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alesland\Python_codes\BackEnd\Salesland_codes\"/>
    </mc:Choice>
  </mc:AlternateContent>
  <xr:revisionPtr revIDLastSave="0" documentId="13_ncr:1_{FCBEAD26-3158-48C4-83E8-A83286C091E5}" xr6:coauthVersionLast="47" xr6:coauthVersionMax="47" xr10:uidLastSave="{00000000-0000-0000-0000-000000000000}"/>
  <bookViews>
    <workbookView xWindow="-120" yWindow="-120" windowWidth="24240" windowHeight="13140" tabRatio="851" activeTab="8" xr2:uid="{E0EF34FA-DC9B-48A6-A109-CFB2872AEAEB}"/>
  </bookViews>
  <sheets>
    <sheet name="Pospago" sheetId="1" r:id="rId1"/>
    <sheet name="Cambio de Plan" sheetId="2" r:id="rId2"/>
    <sheet name="Terminales" sheetId="4" r:id="rId3"/>
    <sheet name="ESC_CP" sheetId="3" r:id="rId4"/>
    <sheet name="Paq. Llamad. Ilim." sheetId="5" r:id="rId5"/>
    <sheet name="Seguros" sheetId="6" r:id="rId6"/>
    <sheet name="MPlay" sheetId="7" r:id="rId7"/>
    <sheet name="CDF-FOX-HBO" sheetId="8" r:id="rId8"/>
    <sheet name="Prepago" sheetId="9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'Cambio de Plan'!$CE$1:$CH$254</definedName>
    <definedName name="_xlnm._FilterDatabase" localSheetId="3" hidden="1">ESC_CP!#REF!</definedName>
    <definedName name="CruceHibrido">'[1]BDD Cnet'!$CQ$1:$CS$8</definedName>
    <definedName name="METAS_TM">'[2]VAR Presupuesto TM'!$A$1:$EN$31</definedName>
    <definedName name="METAS_TM_REF">'[2]VAR Presupuesto TM'!$A$1:$EN$1</definedName>
    <definedName name="METAS_TM_TIENDAS">'[2]VAR Presupuesto TM'!$A$1:$A$9</definedName>
    <definedName name="MetaSLE">[1]Ppto!$A$15:$FV$25</definedName>
    <definedName name="MetaTiendasSLE">[1]Ppto!$A$15:$A$26</definedName>
    <definedName name="MetaTiendaTM">[1]Ppto!$A$4:$A$13</definedName>
    <definedName name="MetaTituloSLE">[1]Ppto!$A$15:$FV$15</definedName>
    <definedName name="MetaTituloTM">[1]Ppto!$A$4:$FV$4</definedName>
    <definedName name="MetaTM">[1]Ppto!$A$4:$FV$13</definedName>
    <definedName name="R_Category2">[1]!CruceRetenciones[[#All],[CATEGORY_2]]</definedName>
    <definedName name="R_Category3">[1]!CruceRetenciones[[#All],[CATEGORY_3]]</definedName>
    <definedName name="R_Ejecutivo">[1]Retenciones!$AR$3:$BY$52</definedName>
    <definedName name="R_Ejecutivo_NAE">[1]Retenciones!$AR$3:$AR$52</definedName>
    <definedName name="R_Ejecutivo_Titulo">[1]Retenciones!$AR$3:$BY$3</definedName>
    <definedName name="R_Estado">[1]!CruceRetenciones[[#All],[ESTADO]]</definedName>
    <definedName name="R_Pronopro">[1]!CruceRetenciones[[#All],[PRONOPRO]]</definedName>
    <definedName name="Retenciones_Lider">[1]Retenciones!$AP$3:$BY$52</definedName>
    <definedName name="Tienda_Lider">[1]Retenciones!$AP$3:$AP$52</definedName>
    <definedName name="Titulo_LIder">[1]Retenciones!$AP$3:$BY$3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461" i="9" l="1"/>
  <c r="BR461" i="9"/>
  <c r="BQ461" i="9"/>
  <c r="BS460" i="9"/>
  <c r="BR460" i="9"/>
  <c r="BQ460" i="9"/>
  <c r="BS459" i="9"/>
  <c r="BR459" i="9"/>
  <c r="BQ459" i="9"/>
  <c r="BS458" i="9"/>
  <c r="BR458" i="9"/>
  <c r="BQ458" i="9"/>
  <c r="BS457" i="9"/>
  <c r="BR457" i="9"/>
  <c r="BQ457" i="9"/>
  <c r="BS456" i="9"/>
  <c r="BR456" i="9"/>
  <c r="BQ456" i="9"/>
  <c r="BS455" i="9"/>
  <c r="BR455" i="9"/>
  <c r="BQ455" i="9"/>
  <c r="BS454" i="9"/>
  <c r="BR454" i="9"/>
  <c r="BQ454" i="9"/>
  <c r="BS453" i="9"/>
  <c r="BR453" i="9"/>
  <c r="BQ453" i="9"/>
  <c r="BS452" i="9"/>
  <c r="BR452" i="9"/>
  <c r="BQ452" i="9"/>
  <c r="BS451" i="9"/>
  <c r="BR451" i="9"/>
  <c r="BQ451" i="9"/>
  <c r="BS450" i="9"/>
  <c r="BR450" i="9"/>
  <c r="BQ450" i="9"/>
  <c r="BS449" i="9"/>
  <c r="BR449" i="9"/>
  <c r="BQ449" i="9"/>
  <c r="BS448" i="9"/>
  <c r="BR448" i="9"/>
  <c r="BQ448" i="9"/>
  <c r="BS447" i="9"/>
  <c r="BR447" i="9"/>
  <c r="BQ447" i="9"/>
  <c r="BS446" i="9"/>
  <c r="BR446" i="9"/>
  <c r="BQ446" i="9"/>
  <c r="BS445" i="9"/>
  <c r="BR445" i="9"/>
  <c r="BQ445" i="9"/>
  <c r="BS444" i="9"/>
  <c r="BR444" i="9"/>
  <c r="BQ444" i="9"/>
  <c r="BS443" i="9"/>
  <c r="BR443" i="9"/>
  <c r="BQ443" i="9"/>
  <c r="BS442" i="9"/>
  <c r="BR442" i="9"/>
  <c r="BQ442" i="9"/>
  <c r="BS441" i="9"/>
  <c r="BR441" i="9"/>
  <c r="BQ441" i="9"/>
  <c r="BS440" i="9"/>
  <c r="BR440" i="9"/>
  <c r="BQ440" i="9"/>
  <c r="BS439" i="9"/>
  <c r="BR439" i="9"/>
  <c r="BQ439" i="9"/>
  <c r="BS438" i="9"/>
  <c r="BR438" i="9"/>
  <c r="BQ438" i="9"/>
  <c r="BS437" i="9"/>
  <c r="BR437" i="9"/>
  <c r="BQ437" i="9"/>
  <c r="BS436" i="9"/>
  <c r="BR436" i="9"/>
  <c r="BQ436" i="9"/>
  <c r="BS435" i="9"/>
  <c r="BR435" i="9"/>
  <c r="BQ435" i="9"/>
  <c r="BS434" i="9"/>
  <c r="BR434" i="9"/>
  <c r="BQ434" i="9"/>
  <c r="BS433" i="9"/>
  <c r="BR433" i="9"/>
  <c r="BQ433" i="9"/>
  <c r="BS432" i="9"/>
  <c r="BR432" i="9"/>
  <c r="BQ432" i="9"/>
  <c r="BS431" i="9"/>
  <c r="BR431" i="9"/>
  <c r="BQ431" i="9"/>
  <c r="BS430" i="9"/>
  <c r="BR430" i="9"/>
  <c r="BQ430" i="9"/>
  <c r="BS429" i="9"/>
  <c r="BR429" i="9"/>
  <c r="BQ429" i="9"/>
  <c r="BS428" i="9"/>
  <c r="BR428" i="9"/>
  <c r="BQ428" i="9"/>
  <c r="BS427" i="9"/>
  <c r="BR427" i="9"/>
  <c r="BQ427" i="9"/>
  <c r="BS426" i="9"/>
  <c r="BR426" i="9"/>
  <c r="BQ426" i="9"/>
  <c r="BS425" i="9"/>
  <c r="BR425" i="9"/>
  <c r="BQ425" i="9"/>
  <c r="BS424" i="9"/>
  <c r="BR424" i="9"/>
  <c r="BQ424" i="9"/>
  <c r="BS423" i="9"/>
  <c r="BR423" i="9"/>
  <c r="BQ423" i="9"/>
  <c r="BS422" i="9"/>
  <c r="BR422" i="9"/>
  <c r="BQ422" i="9"/>
  <c r="BS421" i="9"/>
  <c r="BR421" i="9"/>
  <c r="BQ421" i="9"/>
  <c r="BS420" i="9"/>
  <c r="BR420" i="9"/>
  <c r="BQ420" i="9"/>
  <c r="BS419" i="9"/>
  <c r="BR419" i="9"/>
  <c r="BQ419" i="9"/>
  <c r="BS418" i="9"/>
  <c r="BR418" i="9"/>
  <c r="BQ418" i="9"/>
  <c r="BS417" i="9"/>
  <c r="BR417" i="9"/>
  <c r="BQ417" i="9"/>
  <c r="BS416" i="9"/>
  <c r="BR416" i="9"/>
  <c r="BQ416" i="9"/>
  <c r="BS415" i="9"/>
  <c r="BR415" i="9"/>
  <c r="BQ415" i="9"/>
  <c r="BS414" i="9"/>
  <c r="BR414" i="9"/>
  <c r="BQ414" i="9"/>
  <c r="BS413" i="9"/>
  <c r="BR413" i="9"/>
  <c r="BQ413" i="9"/>
  <c r="BS412" i="9"/>
  <c r="BR412" i="9"/>
  <c r="BQ412" i="9"/>
  <c r="BS411" i="9"/>
  <c r="BR411" i="9"/>
  <c r="BQ411" i="9"/>
  <c r="BS410" i="9"/>
  <c r="BR410" i="9"/>
  <c r="BQ410" i="9"/>
  <c r="BS409" i="9"/>
  <c r="BR409" i="9"/>
  <c r="BQ409" i="9"/>
  <c r="BS408" i="9"/>
  <c r="BR408" i="9"/>
  <c r="BQ408" i="9"/>
  <c r="BS407" i="9"/>
  <c r="BR407" i="9"/>
  <c r="BQ407" i="9"/>
  <c r="BS406" i="9"/>
  <c r="BR406" i="9"/>
  <c r="BQ406" i="9"/>
  <c r="BS405" i="9"/>
  <c r="BR405" i="9"/>
  <c r="BQ405" i="9"/>
  <c r="BS404" i="9"/>
  <c r="BR404" i="9"/>
  <c r="BQ404" i="9"/>
  <c r="BS403" i="9"/>
  <c r="BR403" i="9"/>
  <c r="BQ403" i="9"/>
  <c r="BS402" i="9"/>
  <c r="BR402" i="9"/>
  <c r="BQ402" i="9"/>
  <c r="BS401" i="9"/>
  <c r="BR401" i="9"/>
  <c r="BQ401" i="9"/>
  <c r="BS400" i="9"/>
  <c r="BR400" i="9"/>
  <c r="BQ400" i="9"/>
  <c r="BS399" i="9"/>
  <c r="BR399" i="9"/>
  <c r="BQ399" i="9"/>
  <c r="BS398" i="9"/>
  <c r="BR398" i="9"/>
  <c r="BQ398" i="9"/>
  <c r="BS397" i="9"/>
  <c r="BR397" i="9"/>
  <c r="BQ397" i="9"/>
  <c r="BS396" i="9"/>
  <c r="BR396" i="9"/>
  <c r="BQ396" i="9"/>
  <c r="BS395" i="9"/>
  <c r="BR395" i="9"/>
  <c r="BQ395" i="9"/>
  <c r="BS394" i="9"/>
  <c r="BR394" i="9"/>
  <c r="BQ394" i="9"/>
  <c r="BS393" i="9"/>
  <c r="BR393" i="9"/>
  <c r="BQ393" i="9"/>
  <c r="BS392" i="9"/>
  <c r="BR392" i="9"/>
  <c r="BQ392" i="9"/>
  <c r="BS391" i="9"/>
  <c r="BR391" i="9"/>
  <c r="BQ391" i="9"/>
  <c r="BS390" i="9"/>
  <c r="BR390" i="9"/>
  <c r="BQ390" i="9"/>
  <c r="BS389" i="9"/>
  <c r="BR389" i="9"/>
  <c r="BQ389" i="9"/>
  <c r="BS388" i="9"/>
  <c r="BR388" i="9"/>
  <c r="BQ388" i="9"/>
  <c r="BS387" i="9"/>
  <c r="BR387" i="9"/>
  <c r="BQ387" i="9"/>
  <c r="BS386" i="9"/>
  <c r="BR386" i="9"/>
  <c r="BQ386" i="9"/>
  <c r="BS385" i="9"/>
  <c r="BR385" i="9"/>
  <c r="BQ385" i="9"/>
  <c r="BS384" i="9"/>
  <c r="BR384" i="9"/>
  <c r="BQ384" i="9"/>
  <c r="BS383" i="9"/>
  <c r="BR383" i="9"/>
  <c r="BQ383" i="9"/>
  <c r="BS382" i="9"/>
  <c r="BR382" i="9"/>
  <c r="BQ382" i="9"/>
  <c r="BS381" i="9"/>
  <c r="BR381" i="9"/>
  <c r="BQ381" i="9"/>
  <c r="BS380" i="9"/>
  <c r="BR380" i="9"/>
  <c r="BQ380" i="9"/>
  <c r="BS379" i="9"/>
  <c r="BR379" i="9"/>
  <c r="BQ379" i="9"/>
  <c r="BS378" i="9"/>
  <c r="BR378" i="9"/>
  <c r="BQ378" i="9"/>
  <c r="BS377" i="9"/>
  <c r="BR377" i="9"/>
  <c r="BQ377" i="9"/>
  <c r="BS376" i="9"/>
  <c r="BR376" i="9"/>
  <c r="BQ376" i="9"/>
  <c r="BS375" i="9"/>
  <c r="BR375" i="9"/>
  <c r="BQ375" i="9"/>
  <c r="BS374" i="9"/>
  <c r="BR374" i="9"/>
  <c r="BQ374" i="9"/>
  <c r="BS373" i="9"/>
  <c r="BR373" i="9"/>
  <c r="BQ373" i="9"/>
  <c r="BS372" i="9"/>
  <c r="BR372" i="9"/>
  <c r="BQ372" i="9"/>
  <c r="BS371" i="9"/>
  <c r="BR371" i="9"/>
  <c r="BQ371" i="9"/>
  <c r="BS370" i="9"/>
  <c r="BR370" i="9"/>
  <c r="BQ370" i="9"/>
  <c r="BS369" i="9"/>
  <c r="BR369" i="9"/>
  <c r="BQ369" i="9"/>
  <c r="BS368" i="9"/>
  <c r="BR368" i="9"/>
  <c r="BQ368" i="9"/>
  <c r="BS367" i="9"/>
  <c r="BR367" i="9"/>
  <c r="BQ367" i="9"/>
  <c r="BS366" i="9"/>
  <c r="BR366" i="9"/>
  <c r="BQ366" i="9"/>
  <c r="BS365" i="9"/>
  <c r="BR365" i="9"/>
  <c r="BQ365" i="9"/>
  <c r="BS364" i="9"/>
  <c r="BR364" i="9"/>
  <c r="BQ364" i="9"/>
  <c r="BS363" i="9"/>
  <c r="BR363" i="9"/>
  <c r="BQ363" i="9"/>
  <c r="BS362" i="9"/>
  <c r="BR362" i="9"/>
  <c r="BQ362" i="9"/>
  <c r="BS361" i="9"/>
  <c r="BR361" i="9"/>
  <c r="BQ361" i="9"/>
  <c r="BS360" i="9"/>
  <c r="BR360" i="9"/>
  <c r="BQ360" i="9"/>
  <c r="BS359" i="9"/>
  <c r="BR359" i="9"/>
  <c r="BQ359" i="9"/>
  <c r="BS358" i="9"/>
  <c r="BR358" i="9"/>
  <c r="BQ358" i="9"/>
  <c r="BS357" i="9"/>
  <c r="BR357" i="9"/>
  <c r="BQ357" i="9"/>
  <c r="BS356" i="9"/>
  <c r="BR356" i="9"/>
  <c r="BQ356" i="9"/>
  <c r="BS355" i="9"/>
  <c r="BR355" i="9"/>
  <c r="BQ355" i="9"/>
  <c r="BS354" i="9"/>
  <c r="BR354" i="9"/>
  <c r="BQ354" i="9"/>
  <c r="BS353" i="9"/>
  <c r="BR353" i="9"/>
  <c r="BQ353" i="9"/>
  <c r="BS352" i="9"/>
  <c r="BR352" i="9"/>
  <c r="BQ352" i="9"/>
  <c r="BS351" i="9"/>
  <c r="BR351" i="9"/>
  <c r="BQ351" i="9"/>
  <c r="BS350" i="9"/>
  <c r="BR350" i="9"/>
  <c r="BQ350" i="9"/>
  <c r="BS349" i="9"/>
  <c r="BR349" i="9"/>
  <c r="BQ349" i="9"/>
  <c r="BS348" i="9"/>
  <c r="BR348" i="9"/>
  <c r="BQ348" i="9"/>
  <c r="BS347" i="9"/>
  <c r="BR347" i="9"/>
  <c r="BQ347" i="9"/>
  <c r="BS346" i="9"/>
  <c r="BR346" i="9"/>
  <c r="BQ346" i="9"/>
  <c r="BS345" i="9"/>
  <c r="BR345" i="9"/>
  <c r="BQ345" i="9"/>
  <c r="BS344" i="9"/>
  <c r="BR344" i="9"/>
  <c r="BQ344" i="9"/>
  <c r="BS343" i="9"/>
  <c r="BR343" i="9"/>
  <c r="BQ343" i="9"/>
  <c r="BS342" i="9"/>
  <c r="BR342" i="9"/>
  <c r="BQ342" i="9"/>
  <c r="BS341" i="9"/>
  <c r="BR341" i="9"/>
  <c r="BQ341" i="9"/>
  <c r="BS340" i="9"/>
  <c r="BR340" i="9"/>
  <c r="BQ340" i="9"/>
  <c r="BS339" i="9"/>
  <c r="BR339" i="9"/>
  <c r="BQ339" i="9"/>
  <c r="BS338" i="9"/>
  <c r="BR338" i="9"/>
  <c r="BQ338" i="9"/>
  <c r="BS337" i="9"/>
  <c r="BR337" i="9"/>
  <c r="BQ337" i="9"/>
  <c r="BS336" i="9"/>
  <c r="BR336" i="9"/>
  <c r="BQ336" i="9"/>
  <c r="BS335" i="9"/>
  <c r="BR335" i="9"/>
  <c r="BQ335" i="9"/>
  <c r="BS334" i="9"/>
  <c r="BR334" i="9"/>
  <c r="BQ334" i="9"/>
  <c r="BS333" i="9"/>
  <c r="BR333" i="9"/>
  <c r="BQ333" i="9"/>
  <c r="BS332" i="9"/>
  <c r="BR332" i="9"/>
  <c r="BQ332" i="9"/>
  <c r="BS331" i="9"/>
  <c r="BR331" i="9"/>
  <c r="BQ331" i="9"/>
  <c r="BS330" i="9"/>
  <c r="BR330" i="9"/>
  <c r="BQ330" i="9"/>
  <c r="BS329" i="9"/>
  <c r="BR329" i="9"/>
  <c r="BQ329" i="9"/>
  <c r="BS328" i="9"/>
  <c r="BR328" i="9"/>
  <c r="BQ328" i="9"/>
  <c r="BS327" i="9"/>
  <c r="BR327" i="9"/>
  <c r="BQ327" i="9"/>
  <c r="BS326" i="9"/>
  <c r="BR326" i="9"/>
  <c r="BQ326" i="9"/>
  <c r="BS325" i="9"/>
  <c r="BR325" i="9"/>
  <c r="BQ325" i="9"/>
  <c r="BS324" i="9"/>
  <c r="BR324" i="9"/>
  <c r="BQ324" i="9"/>
  <c r="BS323" i="9"/>
  <c r="BR323" i="9"/>
  <c r="BQ323" i="9"/>
  <c r="BS322" i="9"/>
  <c r="BR322" i="9"/>
  <c r="BQ322" i="9"/>
  <c r="BS321" i="9"/>
  <c r="BR321" i="9"/>
  <c r="BQ321" i="9"/>
  <c r="BS320" i="9"/>
  <c r="BR320" i="9"/>
  <c r="BQ320" i="9"/>
  <c r="BS319" i="9"/>
  <c r="BR319" i="9"/>
  <c r="BQ319" i="9"/>
  <c r="BS318" i="9"/>
  <c r="BR318" i="9"/>
  <c r="BQ318" i="9"/>
  <c r="BS317" i="9"/>
  <c r="BR317" i="9"/>
  <c r="BQ317" i="9"/>
  <c r="BS316" i="9"/>
  <c r="BR316" i="9"/>
  <c r="BQ316" i="9"/>
  <c r="BS315" i="9"/>
  <c r="BR315" i="9"/>
  <c r="BQ315" i="9"/>
  <c r="BS314" i="9"/>
  <c r="BR314" i="9"/>
  <c r="BQ314" i="9"/>
  <c r="BS313" i="9"/>
  <c r="BR313" i="9"/>
  <c r="BQ313" i="9"/>
  <c r="BS312" i="9"/>
  <c r="BR312" i="9"/>
  <c r="BQ312" i="9"/>
  <c r="BS311" i="9"/>
  <c r="BR311" i="9"/>
  <c r="BQ311" i="9"/>
  <c r="BS310" i="9"/>
  <c r="BR310" i="9"/>
  <c r="BQ310" i="9"/>
  <c r="BS309" i="9"/>
  <c r="BR309" i="9"/>
  <c r="BQ309" i="9"/>
  <c r="BS308" i="9"/>
  <c r="BR308" i="9"/>
  <c r="BQ308" i="9"/>
  <c r="BS307" i="9"/>
  <c r="BR307" i="9"/>
  <c r="BQ307" i="9"/>
  <c r="BS306" i="9"/>
  <c r="BR306" i="9"/>
  <c r="BQ306" i="9"/>
  <c r="BS305" i="9"/>
  <c r="BR305" i="9"/>
  <c r="BQ305" i="9"/>
  <c r="BS304" i="9"/>
  <c r="BR304" i="9"/>
  <c r="BQ304" i="9"/>
  <c r="BS303" i="9"/>
  <c r="BR303" i="9"/>
  <c r="BQ303" i="9"/>
  <c r="BS302" i="9"/>
  <c r="BR302" i="9"/>
  <c r="BQ302" i="9"/>
  <c r="BS301" i="9"/>
  <c r="BR301" i="9"/>
  <c r="BQ301" i="9"/>
  <c r="BS300" i="9"/>
  <c r="BR300" i="9"/>
  <c r="BQ300" i="9"/>
  <c r="BS299" i="9"/>
  <c r="BR299" i="9"/>
  <c r="BQ299" i="9"/>
  <c r="BS298" i="9"/>
  <c r="BR298" i="9"/>
  <c r="BQ298" i="9"/>
  <c r="BS297" i="9"/>
  <c r="BR297" i="9"/>
  <c r="BQ297" i="9"/>
  <c r="BS296" i="9"/>
  <c r="BR296" i="9"/>
  <c r="BQ296" i="9"/>
  <c r="BS295" i="9"/>
  <c r="BR295" i="9"/>
  <c r="BQ295" i="9"/>
  <c r="BS294" i="9"/>
  <c r="BR294" i="9"/>
  <c r="BQ294" i="9"/>
  <c r="BS293" i="9"/>
  <c r="BR293" i="9"/>
  <c r="BQ293" i="9"/>
  <c r="BS292" i="9"/>
  <c r="BR292" i="9"/>
  <c r="BQ292" i="9"/>
  <c r="BS291" i="9"/>
  <c r="BR291" i="9"/>
  <c r="BQ291" i="9"/>
  <c r="BS290" i="9"/>
  <c r="BR290" i="9"/>
  <c r="BQ290" i="9"/>
  <c r="BS289" i="9"/>
  <c r="BR289" i="9"/>
  <c r="BQ289" i="9"/>
  <c r="BS288" i="9"/>
  <c r="BR288" i="9"/>
  <c r="BQ288" i="9"/>
  <c r="BS287" i="9"/>
  <c r="BR287" i="9"/>
  <c r="BQ287" i="9"/>
  <c r="BS286" i="9"/>
  <c r="BR286" i="9"/>
  <c r="BQ286" i="9"/>
  <c r="BS285" i="9"/>
  <c r="BR285" i="9"/>
  <c r="BQ285" i="9"/>
  <c r="BS284" i="9"/>
  <c r="BR284" i="9"/>
  <c r="BQ284" i="9"/>
  <c r="BS283" i="9"/>
  <c r="BR283" i="9"/>
  <c r="BQ283" i="9"/>
  <c r="BS282" i="9"/>
  <c r="BR282" i="9"/>
  <c r="BQ282" i="9"/>
  <c r="BS281" i="9"/>
  <c r="BR281" i="9"/>
  <c r="BQ281" i="9"/>
  <c r="BS280" i="9"/>
  <c r="BR280" i="9"/>
  <c r="BQ280" i="9"/>
  <c r="BS279" i="9"/>
  <c r="BR279" i="9"/>
  <c r="BQ279" i="9"/>
  <c r="BS278" i="9"/>
  <c r="BR278" i="9"/>
  <c r="BQ278" i="9"/>
  <c r="BS277" i="9"/>
  <c r="BR277" i="9"/>
  <c r="BQ277" i="9"/>
  <c r="BS276" i="9"/>
  <c r="BR276" i="9"/>
  <c r="BQ276" i="9"/>
  <c r="BS275" i="9"/>
  <c r="BR275" i="9"/>
  <c r="BQ275" i="9"/>
  <c r="BS274" i="9"/>
  <c r="BR274" i="9"/>
  <c r="BQ274" i="9"/>
  <c r="BS273" i="9"/>
  <c r="BR273" i="9"/>
  <c r="BQ273" i="9"/>
  <c r="BS272" i="9"/>
  <c r="BR272" i="9"/>
  <c r="BQ272" i="9"/>
  <c r="BS271" i="9"/>
  <c r="BR271" i="9"/>
  <c r="BQ271" i="9"/>
  <c r="BS270" i="9"/>
  <c r="BR270" i="9"/>
  <c r="BQ270" i="9"/>
  <c r="BS269" i="9"/>
  <c r="BR269" i="9"/>
  <c r="BQ269" i="9"/>
  <c r="BS268" i="9"/>
  <c r="BR268" i="9"/>
  <c r="BQ268" i="9"/>
  <c r="BS267" i="9"/>
  <c r="BR267" i="9"/>
  <c r="BQ267" i="9"/>
  <c r="BS266" i="9"/>
  <c r="BR266" i="9"/>
  <c r="BQ266" i="9"/>
  <c r="BS265" i="9"/>
  <c r="BR265" i="9"/>
  <c r="BQ265" i="9"/>
  <c r="BS264" i="9"/>
  <c r="BR264" i="9"/>
  <c r="BQ264" i="9"/>
  <c r="BS263" i="9"/>
  <c r="BR263" i="9"/>
  <c r="BQ263" i="9"/>
  <c r="BS262" i="9"/>
  <c r="BR262" i="9"/>
  <c r="BQ262" i="9"/>
  <c r="BS261" i="9"/>
  <c r="BR261" i="9"/>
  <c r="BQ261" i="9"/>
  <c r="BS260" i="9"/>
  <c r="BR260" i="9"/>
  <c r="BQ260" i="9"/>
  <c r="BS259" i="9"/>
  <c r="BR259" i="9"/>
  <c r="BQ259" i="9"/>
  <c r="BS258" i="9"/>
  <c r="BR258" i="9"/>
  <c r="BQ258" i="9"/>
  <c r="BS257" i="9"/>
  <c r="BR257" i="9"/>
  <c r="BQ257" i="9"/>
  <c r="BS256" i="9"/>
  <c r="BR256" i="9"/>
  <c r="BQ256" i="9"/>
  <c r="BS255" i="9"/>
  <c r="BR255" i="9"/>
  <c r="BQ255" i="9"/>
  <c r="BS254" i="9"/>
  <c r="BR254" i="9"/>
  <c r="BQ254" i="9"/>
  <c r="BS253" i="9"/>
  <c r="BR253" i="9"/>
  <c r="BQ253" i="9"/>
  <c r="BS252" i="9"/>
  <c r="BR252" i="9"/>
  <c r="BQ252" i="9"/>
  <c r="BS251" i="9"/>
  <c r="BR251" i="9"/>
  <c r="BQ251" i="9"/>
  <c r="BS250" i="9"/>
  <c r="BR250" i="9"/>
  <c r="BQ250" i="9"/>
  <c r="BS249" i="9"/>
  <c r="BR249" i="9"/>
  <c r="BQ249" i="9"/>
  <c r="BS248" i="9"/>
  <c r="BR248" i="9"/>
  <c r="BQ248" i="9"/>
  <c r="BS247" i="9"/>
  <c r="BR247" i="9"/>
  <c r="BQ247" i="9"/>
  <c r="BS246" i="9"/>
  <c r="BR246" i="9"/>
  <c r="BQ246" i="9"/>
  <c r="BS245" i="9"/>
  <c r="BR245" i="9"/>
  <c r="BQ245" i="9"/>
  <c r="BS244" i="9"/>
  <c r="BR244" i="9"/>
  <c r="BQ244" i="9"/>
  <c r="BS243" i="9"/>
  <c r="BR243" i="9"/>
  <c r="BQ243" i="9"/>
  <c r="BS242" i="9"/>
  <c r="BR242" i="9"/>
  <c r="BQ242" i="9"/>
  <c r="BS241" i="9"/>
  <c r="BR241" i="9"/>
  <c r="BQ241" i="9"/>
  <c r="BS240" i="9"/>
  <c r="BR240" i="9"/>
  <c r="BQ240" i="9"/>
  <c r="BS239" i="9"/>
  <c r="BR239" i="9"/>
  <c r="BQ239" i="9"/>
  <c r="BS238" i="9"/>
  <c r="BR238" i="9"/>
  <c r="BQ238" i="9"/>
  <c r="BS237" i="9"/>
  <c r="BR237" i="9"/>
  <c r="BQ237" i="9"/>
  <c r="BS236" i="9"/>
  <c r="BR236" i="9"/>
  <c r="BQ236" i="9"/>
  <c r="BS235" i="9"/>
  <c r="BR235" i="9"/>
  <c r="BQ235" i="9"/>
  <c r="BS234" i="9"/>
  <c r="BR234" i="9"/>
  <c r="BQ234" i="9"/>
  <c r="BS233" i="9"/>
  <c r="BR233" i="9"/>
  <c r="BQ233" i="9"/>
  <c r="BS232" i="9"/>
  <c r="BR232" i="9"/>
  <c r="BQ232" i="9"/>
  <c r="BS231" i="9"/>
  <c r="BR231" i="9"/>
  <c r="BQ231" i="9"/>
  <c r="BS230" i="9"/>
  <c r="BR230" i="9"/>
  <c r="BQ230" i="9"/>
  <c r="BS229" i="9"/>
  <c r="BR229" i="9"/>
  <c r="BQ229" i="9"/>
  <c r="BS228" i="9"/>
  <c r="BR228" i="9"/>
  <c r="BQ228" i="9"/>
  <c r="BS227" i="9"/>
  <c r="BR227" i="9"/>
  <c r="BQ227" i="9"/>
  <c r="BS226" i="9"/>
  <c r="BR226" i="9"/>
  <c r="BQ226" i="9"/>
  <c r="BS225" i="9"/>
  <c r="BR225" i="9"/>
  <c r="BQ225" i="9"/>
  <c r="BS224" i="9"/>
  <c r="BR224" i="9"/>
  <c r="BQ224" i="9"/>
  <c r="BS223" i="9"/>
  <c r="BR223" i="9"/>
  <c r="BQ223" i="9"/>
  <c r="BS222" i="9"/>
  <c r="BR222" i="9"/>
  <c r="BQ222" i="9"/>
  <c r="BS221" i="9"/>
  <c r="BR221" i="9"/>
  <c r="BQ221" i="9"/>
  <c r="BS220" i="9"/>
  <c r="BR220" i="9"/>
  <c r="BQ220" i="9"/>
  <c r="BS219" i="9"/>
  <c r="BR219" i="9"/>
  <c r="BQ219" i="9"/>
  <c r="BS218" i="9"/>
  <c r="BR218" i="9"/>
  <c r="BQ218" i="9"/>
  <c r="BS217" i="9"/>
  <c r="BR217" i="9"/>
  <c r="BQ217" i="9"/>
  <c r="BS216" i="9"/>
  <c r="BR216" i="9"/>
  <c r="BQ216" i="9"/>
  <c r="BS215" i="9"/>
  <c r="BR215" i="9"/>
  <c r="BQ215" i="9"/>
  <c r="BS214" i="9"/>
  <c r="BR214" i="9"/>
  <c r="BQ214" i="9"/>
  <c r="BS213" i="9"/>
  <c r="BR213" i="9"/>
  <c r="BQ213" i="9"/>
  <c r="BS212" i="9"/>
  <c r="BR212" i="9"/>
  <c r="BQ212" i="9"/>
  <c r="BS211" i="9"/>
  <c r="BR211" i="9"/>
  <c r="BQ211" i="9"/>
  <c r="BS210" i="9"/>
  <c r="BR210" i="9"/>
  <c r="BQ210" i="9"/>
  <c r="BS209" i="9"/>
  <c r="BR209" i="9"/>
  <c r="BQ209" i="9"/>
  <c r="BS208" i="9"/>
  <c r="BR208" i="9"/>
  <c r="BQ208" i="9"/>
  <c r="BS207" i="9"/>
  <c r="BR207" i="9"/>
  <c r="BQ207" i="9"/>
  <c r="BS206" i="9"/>
  <c r="BR206" i="9"/>
  <c r="BQ206" i="9"/>
  <c r="BS205" i="9"/>
  <c r="BR205" i="9"/>
  <c r="BQ205" i="9"/>
  <c r="BS204" i="9"/>
  <c r="BR204" i="9"/>
  <c r="BQ204" i="9"/>
  <c r="BS203" i="9"/>
  <c r="BR203" i="9"/>
  <c r="BQ203" i="9"/>
  <c r="BS202" i="9"/>
  <c r="BR202" i="9"/>
  <c r="BQ202" i="9"/>
  <c r="BS201" i="9"/>
  <c r="BR201" i="9"/>
  <c r="BQ201" i="9"/>
  <c r="BS200" i="9"/>
  <c r="BR200" i="9"/>
  <c r="BQ200" i="9"/>
  <c r="BS199" i="9"/>
  <c r="BR199" i="9"/>
  <c r="BQ199" i="9"/>
  <c r="BS198" i="9"/>
  <c r="BR198" i="9"/>
  <c r="BQ198" i="9"/>
  <c r="BS197" i="9"/>
  <c r="BR197" i="9"/>
  <c r="BQ197" i="9"/>
  <c r="BS196" i="9"/>
  <c r="BR196" i="9"/>
  <c r="BQ196" i="9"/>
  <c r="BS195" i="9"/>
  <c r="BR195" i="9"/>
  <c r="BQ195" i="9"/>
  <c r="BS194" i="9"/>
  <c r="BR194" i="9"/>
  <c r="BQ194" i="9"/>
  <c r="BS193" i="9"/>
  <c r="BR193" i="9"/>
  <c r="BQ193" i="9"/>
  <c r="BS192" i="9"/>
  <c r="BR192" i="9"/>
  <c r="BQ192" i="9"/>
  <c r="BS191" i="9"/>
  <c r="BR191" i="9"/>
  <c r="BQ191" i="9"/>
  <c r="BS190" i="9"/>
  <c r="BR190" i="9"/>
  <c r="BQ190" i="9"/>
  <c r="BS189" i="9"/>
  <c r="BR189" i="9"/>
  <c r="BQ189" i="9"/>
  <c r="BS188" i="9"/>
  <c r="BR188" i="9"/>
  <c r="BQ188" i="9"/>
  <c r="BS187" i="9"/>
  <c r="BR187" i="9"/>
  <c r="BQ187" i="9"/>
  <c r="BS186" i="9"/>
  <c r="BR186" i="9"/>
  <c r="BQ186" i="9"/>
  <c r="BS185" i="9"/>
  <c r="BR185" i="9"/>
  <c r="BQ185" i="9"/>
  <c r="BS184" i="9"/>
  <c r="BR184" i="9"/>
  <c r="BQ184" i="9"/>
  <c r="BS183" i="9"/>
  <c r="BR183" i="9"/>
  <c r="BQ183" i="9"/>
  <c r="BS182" i="9"/>
  <c r="BR182" i="9"/>
  <c r="BQ182" i="9"/>
  <c r="BS181" i="9"/>
  <c r="BR181" i="9"/>
  <c r="BQ181" i="9"/>
  <c r="BS180" i="9"/>
  <c r="BR180" i="9"/>
  <c r="BQ180" i="9"/>
  <c r="BS179" i="9"/>
  <c r="BR179" i="9"/>
  <c r="BQ179" i="9"/>
  <c r="BS178" i="9"/>
  <c r="BR178" i="9"/>
  <c r="BQ178" i="9"/>
  <c r="BS177" i="9"/>
  <c r="BR177" i="9"/>
  <c r="BQ177" i="9"/>
  <c r="BS176" i="9"/>
  <c r="BR176" i="9"/>
  <c r="BQ176" i="9"/>
  <c r="BS175" i="9"/>
  <c r="BR175" i="9"/>
  <c r="BQ175" i="9"/>
  <c r="BS174" i="9"/>
  <c r="BR174" i="9"/>
  <c r="BQ174" i="9"/>
  <c r="BS173" i="9"/>
  <c r="BR173" i="9"/>
  <c r="BQ173" i="9"/>
  <c r="BS172" i="9"/>
  <c r="BR172" i="9"/>
  <c r="BQ172" i="9"/>
  <c r="BS171" i="9"/>
  <c r="BR171" i="9"/>
  <c r="BQ171" i="9"/>
  <c r="BS170" i="9"/>
  <c r="BR170" i="9"/>
  <c r="BQ170" i="9"/>
  <c r="BS169" i="9"/>
  <c r="BR169" i="9"/>
  <c r="BQ169" i="9"/>
  <c r="BS168" i="9"/>
  <c r="BR168" i="9"/>
  <c r="BQ168" i="9"/>
  <c r="BS167" i="9"/>
  <c r="BR167" i="9"/>
  <c r="BQ167" i="9"/>
  <c r="BS166" i="9"/>
  <c r="BR166" i="9"/>
  <c r="BQ166" i="9"/>
  <c r="BS165" i="9"/>
  <c r="BR165" i="9"/>
  <c r="BQ165" i="9"/>
  <c r="BS164" i="9"/>
  <c r="BR164" i="9"/>
  <c r="BQ164" i="9"/>
  <c r="BS163" i="9"/>
  <c r="BR163" i="9"/>
  <c r="BQ163" i="9"/>
  <c r="BS162" i="9"/>
  <c r="BR162" i="9"/>
  <c r="BQ162" i="9"/>
  <c r="BS161" i="9"/>
  <c r="BR161" i="9"/>
  <c r="BQ161" i="9"/>
  <c r="BS160" i="9"/>
  <c r="BR160" i="9"/>
  <c r="BQ160" i="9"/>
  <c r="BS159" i="9"/>
  <c r="BR159" i="9"/>
  <c r="BQ159" i="9"/>
  <c r="BS158" i="9"/>
  <c r="BR158" i="9"/>
  <c r="BQ158" i="9"/>
  <c r="BS157" i="9"/>
  <c r="BR157" i="9"/>
  <c r="BQ157" i="9"/>
  <c r="BS156" i="9"/>
  <c r="BR156" i="9"/>
  <c r="BQ156" i="9"/>
  <c r="BS155" i="9"/>
  <c r="BR155" i="9"/>
  <c r="BQ155" i="9"/>
  <c r="BS154" i="9"/>
  <c r="BR154" i="9"/>
  <c r="BQ154" i="9"/>
  <c r="BS153" i="9"/>
  <c r="BR153" i="9"/>
  <c r="BQ153" i="9"/>
  <c r="BS152" i="9"/>
  <c r="BR152" i="9"/>
  <c r="BQ152" i="9"/>
  <c r="BS151" i="9"/>
  <c r="BR151" i="9"/>
  <c r="BQ151" i="9"/>
  <c r="BS150" i="9"/>
  <c r="BR150" i="9"/>
  <c r="BQ150" i="9"/>
  <c r="BS149" i="9"/>
  <c r="BR149" i="9"/>
  <c r="BQ149" i="9"/>
  <c r="BS148" i="9"/>
  <c r="BR148" i="9"/>
  <c r="BQ148" i="9"/>
  <c r="BS147" i="9"/>
  <c r="BR147" i="9"/>
  <c r="BQ147" i="9"/>
  <c r="BS146" i="9"/>
  <c r="BR146" i="9"/>
  <c r="BQ146" i="9"/>
  <c r="BS145" i="9"/>
  <c r="BR145" i="9"/>
  <c r="BQ145" i="9"/>
  <c r="BS144" i="9"/>
  <c r="BR144" i="9"/>
  <c r="BQ144" i="9"/>
  <c r="BS143" i="9"/>
  <c r="BR143" i="9"/>
  <c r="BQ143" i="9"/>
  <c r="BS142" i="9"/>
  <c r="BR142" i="9"/>
  <c r="BQ142" i="9"/>
  <c r="BS141" i="9"/>
  <c r="BR141" i="9"/>
  <c r="BQ141" i="9"/>
  <c r="BS140" i="9"/>
  <c r="BR140" i="9"/>
  <c r="BQ140" i="9"/>
  <c r="BS139" i="9"/>
  <c r="BR139" i="9"/>
  <c r="BQ139" i="9"/>
  <c r="BS138" i="9"/>
  <c r="BR138" i="9"/>
  <c r="BQ138" i="9"/>
  <c r="BS137" i="9"/>
  <c r="BR137" i="9"/>
  <c r="BQ137" i="9"/>
  <c r="BS136" i="9"/>
  <c r="BR136" i="9"/>
  <c r="BQ136" i="9"/>
  <c r="BS135" i="9"/>
  <c r="BR135" i="9"/>
  <c r="BQ135" i="9"/>
  <c r="BS134" i="9"/>
  <c r="BR134" i="9"/>
  <c r="BQ134" i="9"/>
  <c r="BS133" i="9"/>
  <c r="BR133" i="9"/>
  <c r="BQ133" i="9"/>
  <c r="BS132" i="9"/>
  <c r="BR132" i="9"/>
  <c r="BQ132" i="9"/>
  <c r="BS131" i="9"/>
  <c r="BR131" i="9"/>
  <c r="BQ131" i="9"/>
  <c r="BS130" i="9"/>
  <c r="BR130" i="9"/>
  <c r="BQ130" i="9"/>
  <c r="BS129" i="9"/>
  <c r="BR129" i="9"/>
  <c r="BQ129" i="9"/>
  <c r="BS128" i="9"/>
  <c r="BR128" i="9"/>
  <c r="BQ128" i="9"/>
  <c r="BS127" i="9"/>
  <c r="BR127" i="9"/>
  <c r="BQ127" i="9"/>
  <c r="BS126" i="9"/>
  <c r="BR126" i="9"/>
  <c r="BQ126" i="9"/>
  <c r="BS125" i="9"/>
  <c r="BR125" i="9"/>
  <c r="BQ125" i="9"/>
  <c r="BS124" i="9"/>
  <c r="BR124" i="9"/>
  <c r="BQ124" i="9"/>
  <c r="BS123" i="9"/>
  <c r="BR123" i="9"/>
  <c r="BQ123" i="9"/>
  <c r="BS122" i="9"/>
  <c r="BR122" i="9"/>
  <c r="BQ122" i="9"/>
  <c r="BS121" i="9"/>
  <c r="BR121" i="9"/>
  <c r="BQ121" i="9"/>
  <c r="BS120" i="9"/>
  <c r="BR120" i="9"/>
  <c r="BQ120" i="9"/>
  <c r="BS119" i="9"/>
  <c r="BR119" i="9"/>
  <c r="BQ119" i="9"/>
  <c r="BS118" i="9"/>
  <c r="BR118" i="9"/>
  <c r="BQ118" i="9"/>
  <c r="BS117" i="9"/>
  <c r="BR117" i="9"/>
  <c r="BQ117" i="9"/>
  <c r="BS116" i="9"/>
  <c r="BR116" i="9"/>
  <c r="BQ116" i="9"/>
  <c r="BS115" i="9"/>
  <c r="BR115" i="9"/>
  <c r="BQ115" i="9"/>
  <c r="BS114" i="9"/>
  <c r="BR114" i="9"/>
  <c r="BQ114" i="9"/>
  <c r="BS113" i="9"/>
  <c r="BR113" i="9"/>
  <c r="BQ113" i="9"/>
  <c r="BS112" i="9"/>
  <c r="BR112" i="9"/>
  <c r="BQ112" i="9"/>
  <c r="BS111" i="9"/>
  <c r="BR111" i="9"/>
  <c r="BQ111" i="9"/>
  <c r="BS110" i="9"/>
  <c r="BR110" i="9"/>
  <c r="BQ110" i="9"/>
  <c r="BS109" i="9"/>
  <c r="BR109" i="9"/>
  <c r="BQ109" i="9"/>
  <c r="BS108" i="9"/>
  <c r="BR108" i="9"/>
  <c r="BQ108" i="9"/>
  <c r="BS107" i="9"/>
  <c r="BR107" i="9"/>
  <c r="BQ107" i="9"/>
  <c r="BS106" i="9"/>
  <c r="BR106" i="9"/>
  <c r="BQ106" i="9"/>
  <c r="BS105" i="9"/>
  <c r="BR105" i="9"/>
  <c r="BQ105" i="9"/>
  <c r="BS104" i="9"/>
  <c r="BR104" i="9"/>
  <c r="BQ104" i="9"/>
  <c r="BS103" i="9"/>
  <c r="BR103" i="9"/>
  <c r="BQ103" i="9"/>
  <c r="BS102" i="9"/>
  <c r="BR102" i="9"/>
  <c r="BQ102" i="9"/>
  <c r="BS101" i="9"/>
  <c r="BR101" i="9"/>
  <c r="BQ101" i="9"/>
  <c r="BS100" i="9"/>
  <c r="BR100" i="9"/>
  <c r="BQ100" i="9"/>
  <c r="BS99" i="9"/>
  <c r="BR99" i="9"/>
  <c r="BQ99" i="9"/>
  <c r="BS98" i="9"/>
  <c r="BR98" i="9"/>
  <c r="BQ98" i="9"/>
  <c r="BS97" i="9"/>
  <c r="BR97" i="9"/>
  <c r="BQ97" i="9"/>
  <c r="BS96" i="9"/>
  <c r="BR96" i="9"/>
  <c r="BQ96" i="9"/>
  <c r="BS95" i="9"/>
  <c r="BR95" i="9"/>
  <c r="BQ95" i="9"/>
  <c r="BS94" i="9"/>
  <c r="BR94" i="9"/>
  <c r="BQ94" i="9"/>
  <c r="BS93" i="9"/>
  <c r="BR93" i="9"/>
  <c r="BQ93" i="9"/>
  <c r="BS92" i="9"/>
  <c r="BR92" i="9"/>
  <c r="BQ92" i="9"/>
  <c r="BS91" i="9"/>
  <c r="BR91" i="9"/>
  <c r="BQ91" i="9"/>
  <c r="BS90" i="9"/>
  <c r="BR90" i="9"/>
  <c r="BQ90" i="9"/>
  <c r="BS89" i="9"/>
  <c r="BR89" i="9"/>
  <c r="BQ89" i="9"/>
  <c r="BS88" i="9"/>
  <c r="BR88" i="9"/>
  <c r="BQ88" i="9"/>
  <c r="BS87" i="9"/>
  <c r="BR87" i="9"/>
  <c r="BQ87" i="9"/>
  <c r="BS86" i="9"/>
  <c r="BR86" i="9"/>
  <c r="BQ86" i="9"/>
  <c r="BS85" i="9"/>
  <c r="BR85" i="9"/>
  <c r="BQ85" i="9"/>
  <c r="BS84" i="9"/>
  <c r="BR84" i="9"/>
  <c r="BQ84" i="9"/>
  <c r="BS83" i="9"/>
  <c r="BR83" i="9"/>
  <c r="BQ83" i="9"/>
  <c r="BS82" i="9"/>
  <c r="BR82" i="9"/>
  <c r="BQ82" i="9"/>
  <c r="BS81" i="9"/>
  <c r="BR81" i="9"/>
  <c r="BQ81" i="9"/>
  <c r="BS80" i="9"/>
  <c r="BR80" i="9"/>
  <c r="BQ80" i="9"/>
  <c r="BS79" i="9"/>
  <c r="BR79" i="9"/>
  <c r="BQ79" i="9"/>
  <c r="BS78" i="9"/>
  <c r="BR78" i="9"/>
  <c r="BQ78" i="9"/>
  <c r="BS77" i="9"/>
  <c r="BR77" i="9"/>
  <c r="BQ77" i="9"/>
  <c r="BS76" i="9"/>
  <c r="BR76" i="9"/>
  <c r="BQ76" i="9"/>
  <c r="BS75" i="9"/>
  <c r="BR75" i="9"/>
  <c r="BQ75" i="9"/>
  <c r="BS74" i="9"/>
  <c r="BR74" i="9"/>
  <c r="BQ74" i="9"/>
  <c r="BS73" i="9"/>
  <c r="BR73" i="9"/>
  <c r="BQ73" i="9"/>
  <c r="BS72" i="9"/>
  <c r="BR72" i="9"/>
  <c r="BQ72" i="9"/>
  <c r="BS71" i="9"/>
  <c r="BR71" i="9"/>
  <c r="BQ71" i="9"/>
  <c r="BS70" i="9"/>
  <c r="BR70" i="9"/>
  <c r="BQ70" i="9"/>
  <c r="BS69" i="9"/>
  <c r="BR69" i="9"/>
  <c r="BQ69" i="9"/>
  <c r="BS68" i="9"/>
  <c r="BR68" i="9"/>
  <c r="BQ68" i="9"/>
  <c r="BS67" i="9"/>
  <c r="BR67" i="9"/>
  <c r="BQ67" i="9"/>
  <c r="BS66" i="9"/>
  <c r="BR66" i="9"/>
  <c r="BQ66" i="9"/>
  <c r="BS65" i="9"/>
  <c r="BR65" i="9"/>
  <c r="BQ65" i="9"/>
  <c r="BS64" i="9"/>
  <c r="BR64" i="9"/>
  <c r="BQ64" i="9"/>
  <c r="BS63" i="9"/>
  <c r="BR63" i="9"/>
  <c r="BQ63" i="9"/>
  <c r="BS62" i="9"/>
  <c r="BR62" i="9"/>
  <c r="BQ62" i="9"/>
  <c r="BS61" i="9"/>
  <c r="BR61" i="9"/>
  <c r="BQ61" i="9"/>
  <c r="BS60" i="9"/>
  <c r="BR60" i="9"/>
  <c r="BQ60" i="9"/>
  <c r="BS59" i="9"/>
  <c r="BR59" i="9"/>
  <c r="BQ59" i="9"/>
  <c r="BS58" i="9"/>
  <c r="BR58" i="9"/>
  <c r="BQ58" i="9"/>
  <c r="BS57" i="9"/>
  <c r="BR57" i="9"/>
  <c r="BQ57" i="9"/>
  <c r="BS56" i="9"/>
  <c r="BR56" i="9"/>
  <c r="BQ56" i="9"/>
  <c r="BS55" i="9"/>
  <c r="BR55" i="9"/>
  <c r="BQ55" i="9"/>
  <c r="BS54" i="9"/>
  <c r="BR54" i="9"/>
  <c r="BQ54" i="9"/>
  <c r="BS53" i="9"/>
  <c r="BR53" i="9"/>
  <c r="BQ53" i="9"/>
  <c r="BS52" i="9"/>
  <c r="BR52" i="9"/>
  <c r="BQ52" i="9"/>
  <c r="BS51" i="9"/>
  <c r="BR51" i="9"/>
  <c r="BQ51" i="9"/>
  <c r="BS50" i="9"/>
  <c r="BR50" i="9"/>
  <c r="BQ50" i="9"/>
  <c r="BS49" i="9"/>
  <c r="BR49" i="9"/>
  <c r="BQ49" i="9"/>
  <c r="BS48" i="9"/>
  <c r="BR48" i="9"/>
  <c r="BQ48" i="9"/>
  <c r="BS47" i="9"/>
  <c r="BR47" i="9"/>
  <c r="BQ47" i="9"/>
  <c r="BS46" i="9"/>
  <c r="BR46" i="9"/>
  <c r="BQ46" i="9"/>
  <c r="BS45" i="9"/>
  <c r="BR45" i="9"/>
  <c r="BQ45" i="9"/>
  <c r="BS44" i="9"/>
  <c r="BR44" i="9"/>
  <c r="BQ44" i="9"/>
  <c r="BS43" i="9"/>
  <c r="BR43" i="9"/>
  <c r="BQ43" i="9"/>
  <c r="BS42" i="9"/>
  <c r="BR42" i="9"/>
  <c r="BQ42" i="9"/>
  <c r="BS41" i="9"/>
  <c r="BR41" i="9"/>
  <c r="BQ41" i="9"/>
  <c r="BS40" i="9"/>
  <c r="BR40" i="9"/>
  <c r="BQ40" i="9"/>
  <c r="BS39" i="9"/>
  <c r="BR39" i="9"/>
  <c r="BQ39" i="9"/>
  <c r="BS38" i="9"/>
  <c r="BR38" i="9"/>
  <c r="BQ38" i="9"/>
  <c r="BS37" i="9"/>
  <c r="BR37" i="9"/>
  <c r="BQ37" i="9"/>
  <c r="BS36" i="9"/>
  <c r="BR36" i="9"/>
  <c r="BQ36" i="9"/>
  <c r="BS35" i="9"/>
  <c r="BR35" i="9"/>
  <c r="BQ35" i="9"/>
  <c r="BS34" i="9"/>
  <c r="BR34" i="9"/>
  <c r="BQ34" i="9"/>
  <c r="BS33" i="9"/>
  <c r="BR33" i="9"/>
  <c r="BQ33" i="9"/>
  <c r="BS32" i="9"/>
  <c r="BR32" i="9"/>
  <c r="BQ32" i="9"/>
  <c r="BS31" i="9"/>
  <c r="BR31" i="9"/>
  <c r="BQ31" i="9"/>
  <c r="BS30" i="9"/>
  <c r="BR30" i="9"/>
  <c r="BQ30" i="9"/>
  <c r="BS29" i="9"/>
  <c r="BR29" i="9"/>
  <c r="BQ29" i="9"/>
  <c r="BS28" i="9"/>
  <c r="BR28" i="9"/>
  <c r="BQ28" i="9"/>
  <c r="BS27" i="9"/>
  <c r="BR27" i="9"/>
  <c r="BQ27" i="9"/>
  <c r="BS26" i="9"/>
  <c r="BR26" i="9"/>
  <c r="BQ26" i="9"/>
  <c r="BS25" i="9"/>
  <c r="BR25" i="9"/>
  <c r="BQ25" i="9"/>
  <c r="BS24" i="9"/>
  <c r="BR24" i="9"/>
  <c r="BQ24" i="9"/>
  <c r="BS23" i="9"/>
  <c r="BR23" i="9"/>
  <c r="BQ23" i="9"/>
  <c r="BS22" i="9"/>
  <c r="BR22" i="9"/>
  <c r="BQ22" i="9"/>
  <c r="BS21" i="9"/>
  <c r="BR21" i="9"/>
  <c r="BQ21" i="9"/>
  <c r="BS20" i="9"/>
  <c r="BR20" i="9"/>
  <c r="BQ20" i="9"/>
  <c r="BS19" i="9"/>
  <c r="BR19" i="9"/>
  <c r="BQ19" i="9"/>
  <c r="BS18" i="9"/>
  <c r="BR18" i="9"/>
  <c r="BQ18" i="9"/>
  <c r="BS17" i="9"/>
  <c r="BR17" i="9"/>
  <c r="BQ17" i="9"/>
  <c r="BS16" i="9"/>
  <c r="BR16" i="9"/>
  <c r="BQ16" i="9"/>
  <c r="BS15" i="9"/>
  <c r="BR15" i="9"/>
  <c r="BQ15" i="9"/>
  <c r="BS14" i="9"/>
  <c r="BR14" i="9"/>
  <c r="BQ14" i="9"/>
  <c r="BS13" i="9"/>
  <c r="BR13" i="9"/>
  <c r="BQ13" i="9"/>
  <c r="BS12" i="9"/>
  <c r="BR12" i="9"/>
  <c r="BQ12" i="9"/>
  <c r="BS11" i="9"/>
  <c r="BR11" i="9"/>
  <c r="BQ11" i="9"/>
  <c r="BS10" i="9"/>
  <c r="BR10" i="9"/>
  <c r="BQ10" i="9"/>
  <c r="BS9" i="9"/>
  <c r="BR9" i="9"/>
  <c r="BQ9" i="9"/>
  <c r="BS8" i="9"/>
  <c r="BR8" i="9"/>
  <c r="BQ8" i="9"/>
  <c r="BS7" i="9"/>
  <c r="BR7" i="9"/>
  <c r="BQ7" i="9"/>
  <c r="BS6" i="9"/>
  <c r="BR6" i="9"/>
  <c r="BQ6" i="9"/>
  <c r="BS5" i="9"/>
  <c r="BR5" i="9"/>
  <c r="BQ5" i="9"/>
  <c r="BS4" i="9"/>
  <c r="BR4" i="9"/>
  <c r="BQ4" i="9"/>
  <c r="BS3" i="9"/>
  <c r="BR3" i="9"/>
  <c r="BQ3" i="9"/>
  <c r="BS2" i="9"/>
  <c r="BR2" i="9"/>
  <c r="BQ2" i="9"/>
  <c r="S4" i="8"/>
  <c r="R4" i="8"/>
  <c r="Q4" i="8"/>
  <c r="S3" i="8"/>
  <c r="R3" i="8"/>
  <c r="Q3" i="8"/>
  <c r="S2" i="8"/>
  <c r="R2" i="8"/>
  <c r="Q2" i="8"/>
  <c r="S3" i="7"/>
  <c r="R3" i="7"/>
  <c r="Q3" i="7"/>
  <c r="S2" i="7"/>
  <c r="R2" i="7"/>
  <c r="Q2" i="7"/>
  <c r="AH11" i="6"/>
  <c r="AG11" i="6"/>
  <c r="AF11" i="6"/>
  <c r="AI11" i="6" s="1"/>
  <c r="AE11" i="6"/>
  <c r="AD11" i="6"/>
  <c r="AI10" i="6"/>
  <c r="AH10" i="6"/>
  <c r="AG10" i="6"/>
  <c r="AF10" i="6"/>
  <c r="AE10" i="6"/>
  <c r="AD10" i="6"/>
  <c r="AH9" i="6"/>
  <c r="AG9" i="6"/>
  <c r="AF9" i="6"/>
  <c r="AI9" i="6" s="1"/>
  <c r="AE9" i="6"/>
  <c r="AD9" i="6"/>
  <c r="AH8" i="6"/>
  <c r="AG8" i="6"/>
  <c r="AF8" i="6"/>
  <c r="AI8" i="6" s="1"/>
  <c r="AE8" i="6"/>
  <c r="AD8" i="6"/>
  <c r="AH7" i="6"/>
  <c r="AG7" i="6"/>
  <c r="AF7" i="6"/>
  <c r="AI7" i="6" s="1"/>
  <c r="AE7" i="6"/>
  <c r="AD7" i="6"/>
  <c r="AI6" i="6"/>
  <c r="AH6" i="6"/>
  <c r="AG6" i="6"/>
  <c r="AF6" i="6"/>
  <c r="AE6" i="6"/>
  <c r="AD6" i="6"/>
  <c r="AH5" i="6"/>
  <c r="AG5" i="6"/>
  <c r="AF5" i="6"/>
  <c r="AI5" i="6" s="1"/>
  <c r="AE5" i="6"/>
  <c r="AD5" i="6"/>
  <c r="AH4" i="6"/>
  <c r="AG4" i="6"/>
  <c r="AF4" i="6"/>
  <c r="AI4" i="6" s="1"/>
  <c r="AE4" i="6"/>
  <c r="AD4" i="6"/>
  <c r="AH3" i="6"/>
  <c r="AG3" i="6"/>
  <c r="AF3" i="6"/>
  <c r="AI3" i="6" s="1"/>
  <c r="AE3" i="6"/>
  <c r="AD3" i="6"/>
  <c r="AI2" i="6"/>
  <c r="AH2" i="6"/>
  <c r="AG2" i="6"/>
  <c r="AF2" i="6"/>
  <c r="AE2" i="6"/>
  <c r="AD2" i="6"/>
  <c r="Y66" i="5"/>
  <c r="X66" i="5"/>
  <c r="W66" i="5"/>
  <c r="Y65" i="5"/>
  <c r="X65" i="5"/>
  <c r="W65" i="5"/>
  <c r="Y64" i="5"/>
  <c r="X64" i="5"/>
  <c r="W64" i="5"/>
  <c r="Y63" i="5"/>
  <c r="X63" i="5"/>
  <c r="W63" i="5"/>
  <c r="Y62" i="5"/>
  <c r="X62" i="5"/>
  <c r="W62" i="5"/>
  <c r="Y61" i="5"/>
  <c r="X61" i="5"/>
  <c r="W61" i="5"/>
  <c r="Y60" i="5"/>
  <c r="X60" i="5"/>
  <c r="W60" i="5"/>
  <c r="Y59" i="5"/>
  <c r="X59" i="5"/>
  <c r="W59" i="5"/>
  <c r="Y58" i="5"/>
  <c r="X58" i="5"/>
  <c r="W58" i="5"/>
  <c r="Y57" i="5"/>
  <c r="X57" i="5"/>
  <c r="W57" i="5"/>
  <c r="Y56" i="5"/>
  <c r="X56" i="5"/>
  <c r="W56" i="5"/>
  <c r="Y55" i="5"/>
  <c r="X55" i="5"/>
  <c r="W55" i="5"/>
  <c r="Y54" i="5"/>
  <c r="X54" i="5"/>
  <c r="W54" i="5"/>
  <c r="Y53" i="5"/>
  <c r="X53" i="5"/>
  <c r="W53" i="5"/>
  <c r="Y52" i="5"/>
  <c r="X52" i="5"/>
  <c r="W52" i="5"/>
  <c r="Y51" i="5"/>
  <c r="X51" i="5"/>
  <c r="W51" i="5"/>
  <c r="Y50" i="5"/>
  <c r="X50" i="5"/>
  <c r="W50" i="5"/>
  <c r="Y49" i="5"/>
  <c r="X49" i="5"/>
  <c r="W49" i="5"/>
  <c r="Y48" i="5"/>
  <c r="X48" i="5"/>
  <c r="W48" i="5"/>
  <c r="Y47" i="5"/>
  <c r="X47" i="5"/>
  <c r="W47" i="5"/>
  <c r="Y46" i="5"/>
  <c r="X46" i="5"/>
  <c r="W46" i="5"/>
  <c r="Y45" i="5"/>
  <c r="X45" i="5"/>
  <c r="W45" i="5"/>
  <c r="Y44" i="5"/>
  <c r="X44" i="5"/>
  <c r="W44" i="5"/>
  <c r="Y43" i="5"/>
  <c r="X43" i="5"/>
  <c r="W43" i="5"/>
  <c r="Y42" i="5"/>
  <c r="X42" i="5"/>
  <c r="W42" i="5"/>
  <c r="Y41" i="5"/>
  <c r="X41" i="5"/>
  <c r="W41" i="5"/>
  <c r="Y40" i="5"/>
  <c r="X40" i="5"/>
  <c r="W40" i="5"/>
  <c r="Y39" i="5"/>
  <c r="X39" i="5"/>
  <c r="W39" i="5"/>
  <c r="Y38" i="5"/>
  <c r="X38" i="5"/>
  <c r="W38" i="5"/>
  <c r="Y37" i="5"/>
  <c r="X37" i="5"/>
  <c r="W37" i="5"/>
  <c r="Y36" i="5"/>
  <c r="X36" i="5"/>
  <c r="W36" i="5"/>
  <c r="Y35" i="5"/>
  <c r="X35" i="5"/>
  <c r="W35" i="5"/>
  <c r="Y34" i="5"/>
  <c r="X34" i="5"/>
  <c r="W34" i="5"/>
  <c r="Y33" i="5"/>
  <c r="X33" i="5"/>
  <c r="W33" i="5"/>
  <c r="Y32" i="5"/>
  <c r="X32" i="5"/>
  <c r="W32" i="5"/>
  <c r="Y31" i="5"/>
  <c r="X31" i="5"/>
  <c r="W31" i="5"/>
  <c r="Y30" i="5"/>
  <c r="X30" i="5"/>
  <c r="W30" i="5"/>
  <c r="Y29" i="5"/>
  <c r="X29" i="5"/>
  <c r="W29" i="5"/>
  <c r="Y28" i="5"/>
  <c r="X28" i="5"/>
  <c r="W28" i="5"/>
  <c r="Y27" i="5"/>
  <c r="X27" i="5"/>
  <c r="W27" i="5"/>
  <c r="Y26" i="5"/>
  <c r="X26" i="5"/>
  <c r="W26" i="5"/>
  <c r="Y25" i="5"/>
  <c r="X25" i="5"/>
  <c r="W25" i="5"/>
  <c r="Y24" i="5"/>
  <c r="X24" i="5"/>
  <c r="W24" i="5"/>
  <c r="Y23" i="5"/>
  <c r="X23" i="5"/>
  <c r="W23" i="5"/>
  <c r="Y22" i="5"/>
  <c r="X22" i="5"/>
  <c r="W22" i="5"/>
  <c r="Y21" i="5"/>
  <c r="X21" i="5"/>
  <c r="W21" i="5"/>
  <c r="Y20" i="5"/>
  <c r="X20" i="5"/>
  <c r="W20" i="5"/>
  <c r="Y19" i="5"/>
  <c r="X19" i="5"/>
  <c r="W19" i="5"/>
  <c r="Y18" i="5"/>
  <c r="X18" i="5"/>
  <c r="W18" i="5"/>
  <c r="Y17" i="5"/>
  <c r="X17" i="5"/>
  <c r="W17" i="5"/>
  <c r="Y16" i="5"/>
  <c r="X16" i="5"/>
  <c r="W16" i="5"/>
  <c r="Y15" i="5"/>
  <c r="X15" i="5"/>
  <c r="W15" i="5"/>
  <c r="Y14" i="5"/>
  <c r="X14" i="5"/>
  <c r="W14" i="5"/>
  <c r="Y13" i="5"/>
  <c r="X13" i="5"/>
  <c r="W13" i="5"/>
  <c r="Y12" i="5"/>
  <c r="X12" i="5"/>
  <c r="W12" i="5"/>
  <c r="Y11" i="5"/>
  <c r="X11" i="5"/>
  <c r="W11" i="5"/>
  <c r="Y10" i="5"/>
  <c r="X10" i="5"/>
  <c r="W10" i="5"/>
  <c r="Y9" i="5"/>
  <c r="X9" i="5"/>
  <c r="W9" i="5"/>
  <c r="Y8" i="5"/>
  <c r="X8" i="5"/>
  <c r="W8" i="5"/>
  <c r="Y7" i="5"/>
  <c r="X7" i="5"/>
  <c r="W7" i="5"/>
  <c r="Y6" i="5"/>
  <c r="X6" i="5"/>
  <c r="W6" i="5"/>
  <c r="Y5" i="5"/>
  <c r="X5" i="5"/>
  <c r="W5" i="5"/>
  <c r="Y4" i="5"/>
  <c r="X4" i="5"/>
  <c r="W4" i="5"/>
  <c r="Y3" i="5"/>
  <c r="X3" i="5"/>
  <c r="W3" i="5"/>
  <c r="Y2" i="5"/>
  <c r="X2" i="5"/>
  <c r="W2" i="5"/>
  <c r="CD448" i="4"/>
  <c r="CC448" i="4"/>
  <c r="CA448" i="4"/>
  <c r="BZ448" i="4"/>
  <c r="CB448" i="4" s="1"/>
  <c r="BY448" i="4"/>
  <c r="BX448" i="4"/>
  <c r="BW448" i="4"/>
  <c r="BV448" i="4"/>
  <c r="CD447" i="4"/>
  <c r="CH447" i="4" s="1"/>
  <c r="CC447" i="4"/>
  <c r="CA447" i="4"/>
  <c r="BZ447" i="4"/>
  <c r="CB447" i="4" s="1"/>
  <c r="BY447" i="4"/>
  <c r="BX447" i="4"/>
  <c r="BW447" i="4"/>
  <c r="BV447" i="4"/>
  <c r="CG446" i="4"/>
  <c r="CD446" i="4"/>
  <c r="CH446" i="4" s="1"/>
  <c r="CC446" i="4"/>
  <c r="CA446" i="4"/>
  <c r="BZ446" i="4"/>
  <c r="CB446" i="4" s="1"/>
  <c r="BY446" i="4"/>
  <c r="BX446" i="4"/>
  <c r="BW446" i="4"/>
  <c r="BV446" i="4"/>
  <c r="CD445" i="4"/>
  <c r="CH445" i="4" s="1"/>
  <c r="CC445" i="4"/>
  <c r="CB445" i="4"/>
  <c r="CF445" i="4" s="1"/>
  <c r="CA445" i="4"/>
  <c r="BZ445" i="4"/>
  <c r="BY445" i="4"/>
  <c r="BX445" i="4"/>
  <c r="BW445" i="4"/>
  <c r="CG445" i="4" s="1"/>
  <c r="BV445" i="4"/>
  <c r="CD444" i="4"/>
  <c r="CH444" i="4" s="1"/>
  <c r="CC444" i="4"/>
  <c r="CG444" i="4" s="1"/>
  <c r="CA444" i="4"/>
  <c r="BZ444" i="4"/>
  <c r="CB444" i="4" s="1"/>
  <c r="BY444" i="4"/>
  <c r="BX444" i="4"/>
  <c r="BW444" i="4"/>
  <c r="BV444" i="4"/>
  <c r="CH443" i="4"/>
  <c r="CD443" i="4"/>
  <c r="CC443" i="4"/>
  <c r="CG443" i="4" s="1"/>
  <c r="CA443" i="4"/>
  <c r="BZ443" i="4"/>
  <c r="CB443" i="4" s="1"/>
  <c r="BY443" i="4"/>
  <c r="BX443" i="4"/>
  <c r="BW443" i="4"/>
  <c r="BV443" i="4"/>
  <c r="CG442" i="4"/>
  <c r="CD442" i="4"/>
  <c r="CC442" i="4"/>
  <c r="CB442" i="4"/>
  <c r="CE442" i="4" s="1"/>
  <c r="CA442" i="4"/>
  <c r="BZ442" i="4"/>
  <c r="BY442" i="4"/>
  <c r="BX442" i="4"/>
  <c r="BW442" i="4"/>
  <c r="BV442" i="4"/>
  <c r="CD441" i="4"/>
  <c r="CC441" i="4"/>
  <c r="CB441" i="4"/>
  <c r="CA441" i="4"/>
  <c r="BZ441" i="4"/>
  <c r="BY441" i="4"/>
  <c r="BX441" i="4"/>
  <c r="BW441" i="4"/>
  <c r="CG441" i="4" s="1"/>
  <c r="BV441" i="4"/>
  <c r="CD440" i="4"/>
  <c r="CC440" i="4"/>
  <c r="CG440" i="4" s="1"/>
  <c r="CA440" i="4"/>
  <c r="BZ440" i="4"/>
  <c r="CB440" i="4" s="1"/>
  <c r="BY440" i="4"/>
  <c r="BX440" i="4"/>
  <c r="BW440" i="4"/>
  <c r="CH440" i="4" s="1"/>
  <c r="BV440" i="4"/>
  <c r="CD439" i="4"/>
  <c r="CH439" i="4" s="1"/>
  <c r="CC439" i="4"/>
  <c r="CG439" i="4" s="1"/>
  <c r="CA439" i="4"/>
  <c r="BZ439" i="4"/>
  <c r="CB439" i="4" s="1"/>
  <c r="BY439" i="4"/>
  <c r="BX439" i="4"/>
  <c r="BW439" i="4"/>
  <c r="BV439" i="4"/>
  <c r="CG438" i="4"/>
  <c r="CD438" i="4"/>
  <c r="CC438" i="4"/>
  <c r="CB438" i="4"/>
  <c r="CE438" i="4" s="1"/>
  <c r="CA438" i="4"/>
  <c r="BZ438" i="4"/>
  <c r="BY438" i="4"/>
  <c r="BX438" i="4"/>
  <c r="BW438" i="4"/>
  <c r="BV438" i="4"/>
  <c r="CD437" i="4"/>
  <c r="CH437" i="4" s="1"/>
  <c r="CC437" i="4"/>
  <c r="CB437" i="4"/>
  <c r="CF437" i="4" s="1"/>
  <c r="CA437" i="4"/>
  <c r="BZ437" i="4"/>
  <c r="BY437" i="4"/>
  <c r="BX437" i="4"/>
  <c r="BW437" i="4"/>
  <c r="CG437" i="4" s="1"/>
  <c r="BV437" i="4"/>
  <c r="CD436" i="4"/>
  <c r="CC436" i="4"/>
  <c r="CA436" i="4"/>
  <c r="BZ436" i="4"/>
  <c r="CB436" i="4" s="1"/>
  <c r="BY436" i="4"/>
  <c r="BX436" i="4"/>
  <c r="BW436" i="4"/>
  <c r="CH436" i="4" s="1"/>
  <c r="BV436" i="4"/>
  <c r="CD435" i="4"/>
  <c r="CC435" i="4"/>
  <c r="CG435" i="4" s="1"/>
  <c r="CA435" i="4"/>
  <c r="BZ435" i="4"/>
  <c r="CB435" i="4" s="1"/>
  <c r="BY435" i="4"/>
  <c r="BX435" i="4"/>
  <c r="BW435" i="4"/>
  <c r="CH435" i="4" s="1"/>
  <c r="BV435" i="4"/>
  <c r="CD434" i="4"/>
  <c r="CC434" i="4"/>
  <c r="CB434" i="4"/>
  <c r="CA434" i="4"/>
  <c r="BZ434" i="4"/>
  <c r="BY434" i="4"/>
  <c r="BX434" i="4"/>
  <c r="BW434" i="4"/>
  <c r="CG434" i="4" s="1"/>
  <c r="BV434" i="4"/>
  <c r="CD433" i="4"/>
  <c r="CH433" i="4" s="1"/>
  <c r="CC433" i="4"/>
  <c r="CB433" i="4"/>
  <c r="CF433" i="4" s="1"/>
  <c r="CA433" i="4"/>
  <c r="BZ433" i="4"/>
  <c r="BY433" i="4"/>
  <c r="BX433" i="4"/>
  <c r="BW433" i="4"/>
  <c r="CG433" i="4" s="1"/>
  <c r="BV433" i="4"/>
  <c r="CH432" i="4"/>
  <c r="CD432" i="4"/>
  <c r="CC432" i="4"/>
  <c r="CA432" i="4"/>
  <c r="BZ432" i="4"/>
  <c r="CB432" i="4" s="1"/>
  <c r="BY432" i="4"/>
  <c r="BX432" i="4"/>
  <c r="BW432" i="4"/>
  <c r="BV432" i="4"/>
  <c r="CD431" i="4"/>
  <c r="CH431" i="4" s="1"/>
  <c r="CC431" i="4"/>
  <c r="CA431" i="4"/>
  <c r="BZ431" i="4"/>
  <c r="CB431" i="4" s="1"/>
  <c r="BY431" i="4"/>
  <c r="BX431" i="4"/>
  <c r="BW431" i="4"/>
  <c r="BV431" i="4"/>
  <c r="CD430" i="4"/>
  <c r="CC430" i="4"/>
  <c r="CB430" i="4"/>
  <c r="CE430" i="4" s="1"/>
  <c r="CA430" i="4"/>
  <c r="BZ430" i="4"/>
  <c r="BY430" i="4"/>
  <c r="BX430" i="4"/>
  <c r="BW430" i="4"/>
  <c r="CG430" i="4" s="1"/>
  <c r="BV430" i="4"/>
  <c r="CD429" i="4"/>
  <c r="CC429" i="4"/>
  <c r="CB429" i="4"/>
  <c r="CF429" i="4" s="1"/>
  <c r="CA429" i="4"/>
  <c r="BZ429" i="4"/>
  <c r="BY429" i="4"/>
  <c r="BX429" i="4"/>
  <c r="BW429" i="4"/>
  <c r="BV429" i="4"/>
  <c r="CD428" i="4"/>
  <c r="CC428" i="4"/>
  <c r="CA428" i="4"/>
  <c r="BZ428" i="4"/>
  <c r="CB428" i="4" s="1"/>
  <c r="BY428" i="4"/>
  <c r="BX428" i="4"/>
  <c r="BW428" i="4"/>
  <c r="CH428" i="4" s="1"/>
  <c r="BV428" i="4"/>
  <c r="CD427" i="4"/>
  <c r="CC427" i="4"/>
  <c r="CA427" i="4"/>
  <c r="BZ427" i="4"/>
  <c r="CB427" i="4" s="1"/>
  <c r="BY427" i="4"/>
  <c r="BX427" i="4"/>
  <c r="BW427" i="4"/>
  <c r="BV427" i="4"/>
  <c r="CD426" i="4"/>
  <c r="CC426" i="4"/>
  <c r="CB426" i="4"/>
  <c r="CA426" i="4"/>
  <c r="BZ426" i="4"/>
  <c r="BY426" i="4"/>
  <c r="BX426" i="4"/>
  <c r="BW426" i="4"/>
  <c r="CG426" i="4" s="1"/>
  <c r="BV426" i="4"/>
  <c r="CD425" i="4"/>
  <c r="CC425" i="4"/>
  <c r="CB425" i="4"/>
  <c r="CA425" i="4"/>
  <c r="BZ425" i="4"/>
  <c r="BY425" i="4"/>
  <c r="BX425" i="4"/>
  <c r="BW425" i="4"/>
  <c r="BV425" i="4"/>
  <c r="CH424" i="4"/>
  <c r="CD424" i="4"/>
  <c r="CC424" i="4"/>
  <c r="CA424" i="4"/>
  <c r="BZ424" i="4"/>
  <c r="CB424" i="4" s="1"/>
  <c r="BY424" i="4"/>
  <c r="BX424" i="4"/>
  <c r="BW424" i="4"/>
  <c r="BV424" i="4"/>
  <c r="CD423" i="4"/>
  <c r="CC423" i="4"/>
  <c r="CA423" i="4"/>
  <c r="BZ423" i="4"/>
  <c r="CB423" i="4" s="1"/>
  <c r="BY423" i="4"/>
  <c r="BX423" i="4"/>
  <c r="BW423" i="4"/>
  <c r="BV423" i="4"/>
  <c r="CD422" i="4"/>
  <c r="CC422" i="4"/>
  <c r="CB422" i="4"/>
  <c r="CE422" i="4" s="1"/>
  <c r="CA422" i="4"/>
  <c r="BZ422" i="4"/>
  <c r="BY422" i="4"/>
  <c r="BX422" i="4"/>
  <c r="BW422" i="4"/>
  <c r="CG422" i="4" s="1"/>
  <c r="BV422" i="4"/>
  <c r="CD421" i="4"/>
  <c r="CC421" i="4"/>
  <c r="CB421" i="4"/>
  <c r="CA421" i="4"/>
  <c r="BZ421" i="4"/>
  <c r="BY421" i="4"/>
  <c r="BX421" i="4"/>
  <c r="BW421" i="4"/>
  <c r="BV421" i="4"/>
  <c r="CD420" i="4"/>
  <c r="CC420" i="4"/>
  <c r="CA420" i="4"/>
  <c r="BZ420" i="4"/>
  <c r="CB420" i="4" s="1"/>
  <c r="BY420" i="4"/>
  <c r="BX420" i="4"/>
  <c r="BW420" i="4"/>
  <c r="CH420" i="4" s="1"/>
  <c r="BV420" i="4"/>
  <c r="CD419" i="4"/>
  <c r="CC419" i="4"/>
  <c r="CA419" i="4"/>
  <c r="BZ419" i="4"/>
  <c r="CB419" i="4" s="1"/>
  <c r="CF419" i="4" s="1"/>
  <c r="BY419" i="4"/>
  <c r="BX419" i="4"/>
  <c r="BW419" i="4"/>
  <c r="BV419" i="4"/>
  <c r="CD418" i="4"/>
  <c r="CH418" i="4" s="1"/>
  <c r="CC418" i="4"/>
  <c r="CB418" i="4"/>
  <c r="CA418" i="4"/>
  <c r="BZ418" i="4"/>
  <c r="BY418" i="4"/>
  <c r="BX418" i="4"/>
  <c r="BW418" i="4"/>
  <c r="CG418" i="4" s="1"/>
  <c r="BV418" i="4"/>
  <c r="CD417" i="4"/>
  <c r="CC417" i="4"/>
  <c r="CB417" i="4"/>
  <c r="CA417" i="4"/>
  <c r="BZ417" i="4"/>
  <c r="BY417" i="4"/>
  <c r="BX417" i="4"/>
  <c r="BW417" i="4"/>
  <c r="BV417" i="4"/>
  <c r="CD416" i="4"/>
  <c r="CC416" i="4"/>
  <c r="CG416" i="4" s="1"/>
  <c r="CA416" i="4"/>
  <c r="BZ416" i="4"/>
  <c r="CB416" i="4" s="1"/>
  <c r="BY416" i="4"/>
  <c r="BX416" i="4"/>
  <c r="BW416" i="4"/>
  <c r="CH416" i="4" s="1"/>
  <c r="BV416" i="4"/>
  <c r="CE415" i="4"/>
  <c r="CD415" i="4"/>
  <c r="CC415" i="4"/>
  <c r="CB415" i="4"/>
  <c r="CF415" i="4" s="1"/>
  <c r="CA415" i="4"/>
  <c r="BZ415" i="4"/>
  <c r="BY415" i="4"/>
  <c r="BX415" i="4"/>
  <c r="BW415" i="4"/>
  <c r="BV415" i="4"/>
  <c r="CD414" i="4"/>
  <c r="CH414" i="4" s="1"/>
  <c r="CC414" i="4"/>
  <c r="CB414" i="4"/>
  <c r="CA414" i="4"/>
  <c r="BZ414" i="4"/>
  <c r="BY414" i="4"/>
  <c r="BX414" i="4"/>
  <c r="BW414" i="4"/>
  <c r="CG414" i="4" s="1"/>
  <c r="BV414" i="4"/>
  <c r="CD413" i="4"/>
  <c r="CC413" i="4"/>
  <c r="CB413" i="4"/>
  <c r="CA413" i="4"/>
  <c r="BZ413" i="4"/>
  <c r="BY413" i="4"/>
  <c r="BX413" i="4"/>
  <c r="BW413" i="4"/>
  <c r="CH413" i="4" s="1"/>
  <c r="BV413" i="4"/>
  <c r="CH412" i="4"/>
  <c r="CD412" i="4"/>
  <c r="CC412" i="4"/>
  <c r="CA412" i="4"/>
  <c r="BZ412" i="4"/>
  <c r="CB412" i="4" s="1"/>
  <c r="BY412" i="4"/>
  <c r="BX412" i="4"/>
  <c r="BW412" i="4"/>
  <c r="BV412" i="4"/>
  <c r="CD411" i="4"/>
  <c r="CH411" i="4" s="1"/>
  <c r="CC411" i="4"/>
  <c r="CG411" i="4" s="1"/>
  <c r="CB411" i="4"/>
  <c r="CF411" i="4" s="1"/>
  <c r="CA411" i="4"/>
  <c r="BZ411" i="4"/>
  <c r="BY411" i="4"/>
  <c r="BX411" i="4"/>
  <c r="BW411" i="4"/>
  <c r="BV411" i="4"/>
  <c r="CD410" i="4"/>
  <c r="CC410" i="4"/>
  <c r="CB410" i="4"/>
  <c r="CA410" i="4"/>
  <c r="BZ410" i="4"/>
  <c r="BY410" i="4"/>
  <c r="BX410" i="4"/>
  <c r="BW410" i="4"/>
  <c r="CG410" i="4" s="1"/>
  <c r="BV410" i="4"/>
  <c r="CD409" i="4"/>
  <c r="CC409" i="4"/>
  <c r="CB409" i="4"/>
  <c r="CF409" i="4" s="1"/>
  <c r="CA409" i="4"/>
  <c r="BZ409" i="4"/>
  <c r="BY409" i="4"/>
  <c r="BX409" i="4"/>
  <c r="BW409" i="4"/>
  <c r="BV409" i="4"/>
  <c r="CD408" i="4"/>
  <c r="CH408" i="4" s="1"/>
  <c r="CC408" i="4"/>
  <c r="CA408" i="4"/>
  <c r="BZ408" i="4"/>
  <c r="CB408" i="4" s="1"/>
  <c r="BY408" i="4"/>
  <c r="BX408" i="4"/>
  <c r="BW408" i="4"/>
  <c r="BV408" i="4"/>
  <c r="CD407" i="4"/>
  <c r="CC407" i="4"/>
  <c r="CB407" i="4"/>
  <c r="CF407" i="4" s="1"/>
  <c r="CA407" i="4"/>
  <c r="BZ407" i="4"/>
  <c r="BY407" i="4"/>
  <c r="BX407" i="4"/>
  <c r="BW407" i="4"/>
  <c r="BV407" i="4"/>
  <c r="CD406" i="4"/>
  <c r="CH406" i="4" s="1"/>
  <c r="CC406" i="4"/>
  <c r="CB406" i="4"/>
  <c r="CA406" i="4"/>
  <c r="BZ406" i="4"/>
  <c r="BY406" i="4"/>
  <c r="BX406" i="4"/>
  <c r="BW406" i="4"/>
  <c r="CG406" i="4" s="1"/>
  <c r="BV406" i="4"/>
  <c r="CD405" i="4"/>
  <c r="CC405" i="4"/>
  <c r="CB405" i="4"/>
  <c r="CA405" i="4"/>
  <c r="BZ405" i="4"/>
  <c r="BY405" i="4"/>
  <c r="BX405" i="4"/>
  <c r="BW405" i="4"/>
  <c r="BV405" i="4"/>
  <c r="CD404" i="4"/>
  <c r="CH404" i="4" s="1"/>
  <c r="CC404" i="4"/>
  <c r="CA404" i="4"/>
  <c r="BZ404" i="4"/>
  <c r="CB404" i="4" s="1"/>
  <c r="BY404" i="4"/>
  <c r="BX404" i="4"/>
  <c r="BW404" i="4"/>
  <c r="BV404" i="4"/>
  <c r="CD403" i="4"/>
  <c r="CC403" i="4"/>
  <c r="CB403" i="4"/>
  <c r="CF403" i="4" s="1"/>
  <c r="CA403" i="4"/>
  <c r="BZ403" i="4"/>
  <c r="BY403" i="4"/>
  <c r="BX403" i="4"/>
  <c r="BW403" i="4"/>
  <c r="BV403" i="4"/>
  <c r="CD402" i="4"/>
  <c r="CH402" i="4" s="1"/>
  <c r="CC402" i="4"/>
  <c r="CB402" i="4"/>
  <c r="CA402" i="4"/>
  <c r="BZ402" i="4"/>
  <c r="BY402" i="4"/>
  <c r="BX402" i="4"/>
  <c r="BW402" i="4"/>
  <c r="CG402" i="4" s="1"/>
  <c r="BV402" i="4"/>
  <c r="CD401" i="4"/>
  <c r="CC401" i="4"/>
  <c r="CB401" i="4"/>
  <c r="CF401" i="4" s="1"/>
  <c r="CA401" i="4"/>
  <c r="BZ401" i="4"/>
  <c r="BY401" i="4"/>
  <c r="BX401" i="4"/>
  <c r="BW401" i="4"/>
  <c r="BV401" i="4"/>
  <c r="CD400" i="4"/>
  <c r="CH400" i="4" s="1"/>
  <c r="CC400" i="4"/>
  <c r="CA400" i="4"/>
  <c r="BZ400" i="4"/>
  <c r="CB400" i="4" s="1"/>
  <c r="BY400" i="4"/>
  <c r="BX400" i="4"/>
  <c r="BW400" i="4"/>
  <c r="BV400" i="4"/>
  <c r="CF399" i="4"/>
  <c r="CD399" i="4"/>
  <c r="CC399" i="4"/>
  <c r="CG399" i="4" s="1"/>
  <c r="CB399" i="4"/>
  <c r="CA399" i="4"/>
  <c r="BZ399" i="4"/>
  <c r="BY399" i="4"/>
  <c r="BX399" i="4"/>
  <c r="BW399" i="4"/>
  <c r="BV399" i="4"/>
  <c r="CD398" i="4"/>
  <c r="CC398" i="4"/>
  <c r="CB398" i="4"/>
  <c r="CE398" i="4" s="1"/>
  <c r="CA398" i="4"/>
  <c r="BZ398" i="4"/>
  <c r="BY398" i="4"/>
  <c r="BX398" i="4"/>
  <c r="BW398" i="4"/>
  <c r="CG398" i="4" s="1"/>
  <c r="BV398" i="4"/>
  <c r="CD397" i="4"/>
  <c r="CC397" i="4"/>
  <c r="CB397" i="4"/>
  <c r="CA397" i="4"/>
  <c r="BZ397" i="4"/>
  <c r="BY397" i="4"/>
  <c r="BX397" i="4"/>
  <c r="BW397" i="4"/>
  <c r="BV397" i="4"/>
  <c r="CD396" i="4"/>
  <c r="CC396" i="4"/>
  <c r="CG396" i="4" s="1"/>
  <c r="CA396" i="4"/>
  <c r="BZ396" i="4"/>
  <c r="CB396" i="4" s="1"/>
  <c r="BY396" i="4"/>
  <c r="BX396" i="4"/>
  <c r="BW396" i="4"/>
  <c r="CH396" i="4" s="1"/>
  <c r="BV396" i="4"/>
  <c r="CF395" i="4"/>
  <c r="CI395" i="4" s="1"/>
  <c r="CD395" i="4"/>
  <c r="CH395" i="4" s="1"/>
  <c r="CC395" i="4"/>
  <c r="CG395" i="4" s="1"/>
  <c r="CB395" i="4"/>
  <c r="CA395" i="4"/>
  <c r="BZ395" i="4"/>
  <c r="BY395" i="4"/>
  <c r="BX395" i="4"/>
  <c r="BW395" i="4"/>
  <c r="BV395" i="4"/>
  <c r="CD394" i="4"/>
  <c r="CC394" i="4"/>
  <c r="CB394" i="4"/>
  <c r="CE394" i="4" s="1"/>
  <c r="CA394" i="4"/>
  <c r="BZ394" i="4"/>
  <c r="BY394" i="4"/>
  <c r="BX394" i="4"/>
  <c r="BW394" i="4"/>
  <c r="CG394" i="4" s="1"/>
  <c r="BV394" i="4"/>
  <c r="CD393" i="4"/>
  <c r="CC393" i="4"/>
  <c r="CB393" i="4"/>
  <c r="CE393" i="4" s="1"/>
  <c r="CA393" i="4"/>
  <c r="BZ393" i="4"/>
  <c r="BY393" i="4"/>
  <c r="BX393" i="4"/>
  <c r="BW393" i="4"/>
  <c r="BV393" i="4"/>
  <c r="CD392" i="4"/>
  <c r="CC392" i="4"/>
  <c r="CB392" i="4"/>
  <c r="CA392" i="4"/>
  <c r="BZ392" i="4"/>
  <c r="BY392" i="4"/>
  <c r="BX392" i="4"/>
  <c r="BW392" i="4"/>
  <c r="CF392" i="4" s="1"/>
  <c r="BV392" i="4"/>
  <c r="CD391" i="4"/>
  <c r="CC391" i="4"/>
  <c r="CB391" i="4"/>
  <c r="CF391" i="4" s="1"/>
  <c r="CA391" i="4"/>
  <c r="BZ391" i="4"/>
  <c r="BY391" i="4"/>
  <c r="BX391" i="4"/>
  <c r="BW391" i="4"/>
  <c r="BV391" i="4"/>
  <c r="CD390" i="4"/>
  <c r="CC390" i="4"/>
  <c r="CG390" i="4" s="1"/>
  <c r="CB390" i="4"/>
  <c r="CA390" i="4"/>
  <c r="BZ390" i="4"/>
  <c r="BY390" i="4"/>
  <c r="BX390" i="4"/>
  <c r="BW390" i="4"/>
  <c r="BV390" i="4"/>
  <c r="CD389" i="4"/>
  <c r="CC389" i="4"/>
  <c r="CB389" i="4"/>
  <c r="CE389" i="4" s="1"/>
  <c r="CA389" i="4"/>
  <c r="BZ389" i="4"/>
  <c r="BY389" i="4"/>
  <c r="BX389" i="4"/>
  <c r="BW389" i="4"/>
  <c r="BV389" i="4"/>
  <c r="CD388" i="4"/>
  <c r="CH388" i="4" s="1"/>
  <c r="CC388" i="4"/>
  <c r="CA388" i="4"/>
  <c r="BZ388" i="4"/>
  <c r="CB388" i="4" s="1"/>
  <c r="BY388" i="4"/>
  <c r="BX388" i="4"/>
  <c r="BW388" i="4"/>
  <c r="BV388" i="4"/>
  <c r="CE387" i="4"/>
  <c r="CD387" i="4"/>
  <c r="CH387" i="4" s="1"/>
  <c r="CC387" i="4"/>
  <c r="CA387" i="4"/>
  <c r="BZ387" i="4"/>
  <c r="CB387" i="4" s="1"/>
  <c r="BY387" i="4"/>
  <c r="BX387" i="4"/>
  <c r="BW387" i="4"/>
  <c r="BV387" i="4"/>
  <c r="CD386" i="4"/>
  <c r="CH386" i="4" s="1"/>
  <c r="CC386" i="4"/>
  <c r="CB386" i="4"/>
  <c r="CA386" i="4"/>
  <c r="BZ386" i="4"/>
  <c r="BY386" i="4"/>
  <c r="BX386" i="4"/>
  <c r="BW386" i="4"/>
  <c r="CG386" i="4" s="1"/>
  <c r="BV386" i="4"/>
  <c r="CD385" i="4"/>
  <c r="CC385" i="4"/>
  <c r="CB385" i="4"/>
  <c r="CA385" i="4"/>
  <c r="BZ385" i="4"/>
  <c r="BY385" i="4"/>
  <c r="BX385" i="4"/>
  <c r="BW385" i="4"/>
  <c r="CG385" i="4" s="1"/>
  <c r="BV385" i="4"/>
  <c r="CD384" i="4"/>
  <c r="CH384" i="4" s="1"/>
  <c r="CC384" i="4"/>
  <c r="CA384" i="4"/>
  <c r="BZ384" i="4"/>
  <c r="CB384" i="4" s="1"/>
  <c r="CF384" i="4" s="1"/>
  <c r="BY384" i="4"/>
  <c r="BX384" i="4"/>
  <c r="BW384" i="4"/>
  <c r="CG384" i="4" s="1"/>
  <c r="BV384" i="4"/>
  <c r="CF383" i="4"/>
  <c r="CD383" i="4"/>
  <c r="CE383" i="4" s="1"/>
  <c r="CC383" i="4"/>
  <c r="CG383" i="4" s="1"/>
  <c r="CB383" i="4"/>
  <c r="CA383" i="4"/>
  <c r="BZ383" i="4"/>
  <c r="BY383" i="4"/>
  <c r="BX383" i="4"/>
  <c r="BW383" i="4"/>
  <c r="BV383" i="4"/>
  <c r="CD382" i="4"/>
  <c r="CC382" i="4"/>
  <c r="CB382" i="4"/>
  <c r="CA382" i="4"/>
  <c r="BZ382" i="4"/>
  <c r="BY382" i="4"/>
  <c r="BX382" i="4"/>
  <c r="BW382" i="4"/>
  <c r="BV382" i="4"/>
  <c r="CD381" i="4"/>
  <c r="CH381" i="4" s="1"/>
  <c r="CC381" i="4"/>
  <c r="CA381" i="4"/>
  <c r="BZ381" i="4"/>
  <c r="CB381" i="4" s="1"/>
  <c r="BY381" i="4"/>
  <c r="BX381" i="4"/>
  <c r="BW381" i="4"/>
  <c r="CG381" i="4" s="1"/>
  <c r="BV381" i="4"/>
  <c r="CD380" i="4"/>
  <c r="CC380" i="4"/>
  <c r="CG380" i="4" s="1"/>
  <c r="CA380" i="4"/>
  <c r="BZ380" i="4"/>
  <c r="CB380" i="4" s="1"/>
  <c r="CF380" i="4" s="1"/>
  <c r="BY380" i="4"/>
  <c r="BX380" i="4"/>
  <c r="BW380" i="4"/>
  <c r="CH380" i="4" s="1"/>
  <c r="BV380" i="4"/>
  <c r="CE379" i="4"/>
  <c r="CD379" i="4"/>
  <c r="CC379" i="4"/>
  <c r="CB379" i="4"/>
  <c r="CA379" i="4"/>
  <c r="BZ379" i="4"/>
  <c r="BY379" i="4"/>
  <c r="BX379" i="4"/>
  <c r="BW379" i="4"/>
  <c r="BV379" i="4"/>
  <c r="CD378" i="4"/>
  <c r="CC378" i="4"/>
  <c r="CB378" i="4"/>
  <c r="CA378" i="4"/>
  <c r="BZ378" i="4"/>
  <c r="BY378" i="4"/>
  <c r="BX378" i="4"/>
  <c r="BW378" i="4"/>
  <c r="CG378" i="4" s="1"/>
  <c r="BV378" i="4"/>
  <c r="CD377" i="4"/>
  <c r="CE377" i="4" s="1"/>
  <c r="CC377" i="4"/>
  <c r="CB377" i="4"/>
  <c r="CA377" i="4"/>
  <c r="BZ377" i="4"/>
  <c r="BY377" i="4"/>
  <c r="BX377" i="4"/>
  <c r="BW377" i="4"/>
  <c r="BV377" i="4"/>
  <c r="CD376" i="4"/>
  <c r="CC376" i="4"/>
  <c r="CG376" i="4" s="1"/>
  <c r="CA376" i="4"/>
  <c r="BZ376" i="4"/>
  <c r="CB376" i="4" s="1"/>
  <c r="BY376" i="4"/>
  <c r="BX376" i="4"/>
  <c r="BW376" i="4"/>
  <c r="CH376" i="4" s="1"/>
  <c r="BV376" i="4"/>
  <c r="CD375" i="4"/>
  <c r="CC375" i="4"/>
  <c r="CA375" i="4"/>
  <c r="BZ375" i="4"/>
  <c r="CB375" i="4" s="1"/>
  <c r="CE375" i="4" s="1"/>
  <c r="BY375" i="4"/>
  <c r="BX375" i="4"/>
  <c r="BW375" i="4"/>
  <c r="CH375" i="4" s="1"/>
  <c r="BV375" i="4"/>
  <c r="CD374" i="4"/>
  <c r="CC374" i="4"/>
  <c r="CG374" i="4" s="1"/>
  <c r="CB374" i="4"/>
  <c r="CA374" i="4"/>
  <c r="BZ374" i="4"/>
  <c r="BY374" i="4"/>
  <c r="BX374" i="4"/>
  <c r="BW374" i="4"/>
  <c r="BV374" i="4"/>
  <c r="CH373" i="4"/>
  <c r="CD373" i="4"/>
  <c r="CC373" i="4"/>
  <c r="CA373" i="4"/>
  <c r="BZ373" i="4"/>
  <c r="CB373" i="4" s="1"/>
  <c r="BY373" i="4"/>
  <c r="BX373" i="4"/>
  <c r="BW373" i="4"/>
  <c r="CG373" i="4" s="1"/>
  <c r="BV373" i="4"/>
  <c r="CD372" i="4"/>
  <c r="CC372" i="4"/>
  <c r="CB372" i="4"/>
  <c r="CA372" i="4"/>
  <c r="BZ372" i="4"/>
  <c r="BY372" i="4"/>
  <c r="BX372" i="4"/>
  <c r="BW372" i="4"/>
  <c r="BV372" i="4"/>
  <c r="CH371" i="4"/>
  <c r="CD371" i="4"/>
  <c r="CC371" i="4"/>
  <c r="CA371" i="4"/>
  <c r="BZ371" i="4"/>
  <c r="CB371" i="4" s="1"/>
  <c r="BY371" i="4"/>
  <c r="BX371" i="4"/>
  <c r="BW371" i="4"/>
  <c r="BV371" i="4"/>
  <c r="CD370" i="4"/>
  <c r="CC370" i="4"/>
  <c r="CB370" i="4"/>
  <c r="CF370" i="4" s="1"/>
  <c r="CA370" i="4"/>
  <c r="BZ370" i="4"/>
  <c r="BY370" i="4"/>
  <c r="BX370" i="4"/>
  <c r="BW370" i="4"/>
  <c r="BV370" i="4"/>
  <c r="CD369" i="4"/>
  <c r="CH369" i="4" s="1"/>
  <c r="CC369" i="4"/>
  <c r="CA369" i="4"/>
  <c r="BZ369" i="4"/>
  <c r="CB369" i="4" s="1"/>
  <c r="BY369" i="4"/>
  <c r="BX369" i="4"/>
  <c r="BW369" i="4"/>
  <c r="CG369" i="4" s="1"/>
  <c r="BV369" i="4"/>
  <c r="CD368" i="4"/>
  <c r="CC368" i="4"/>
  <c r="CB368" i="4"/>
  <c r="CF368" i="4" s="1"/>
  <c r="CA368" i="4"/>
  <c r="BZ368" i="4"/>
  <c r="BY368" i="4"/>
  <c r="BX368" i="4"/>
  <c r="BW368" i="4"/>
  <c r="BV368" i="4"/>
  <c r="CD367" i="4"/>
  <c r="CC367" i="4"/>
  <c r="CG367" i="4" s="1"/>
  <c r="CB367" i="4"/>
  <c r="CA367" i="4"/>
  <c r="BZ367" i="4"/>
  <c r="BY367" i="4"/>
  <c r="BX367" i="4"/>
  <c r="BW367" i="4"/>
  <c r="BV367" i="4"/>
  <c r="CG366" i="4"/>
  <c r="CD366" i="4"/>
  <c r="CH366" i="4" s="1"/>
  <c r="CC366" i="4"/>
  <c r="CA366" i="4"/>
  <c r="BZ366" i="4"/>
  <c r="CB366" i="4" s="1"/>
  <c r="BY366" i="4"/>
  <c r="BX366" i="4"/>
  <c r="BW366" i="4"/>
  <c r="BV366" i="4"/>
  <c r="CD365" i="4"/>
  <c r="CC365" i="4"/>
  <c r="CB365" i="4"/>
  <c r="CA365" i="4"/>
  <c r="BZ365" i="4"/>
  <c r="BY365" i="4"/>
  <c r="BX365" i="4"/>
  <c r="BW365" i="4"/>
  <c r="CG365" i="4" s="1"/>
  <c r="BV365" i="4"/>
  <c r="CD364" i="4"/>
  <c r="CC364" i="4"/>
  <c r="CA364" i="4"/>
  <c r="BZ364" i="4"/>
  <c r="CB364" i="4" s="1"/>
  <c r="BY364" i="4"/>
  <c r="BX364" i="4"/>
  <c r="BW364" i="4"/>
  <c r="CH364" i="4" s="1"/>
  <c r="BV364" i="4"/>
  <c r="CD363" i="4"/>
  <c r="CH363" i="4" s="1"/>
  <c r="CC363" i="4"/>
  <c r="CG363" i="4" s="1"/>
  <c r="CB363" i="4"/>
  <c r="CA363" i="4"/>
  <c r="BZ363" i="4"/>
  <c r="BY363" i="4"/>
  <c r="BX363" i="4"/>
  <c r="BW363" i="4"/>
  <c r="CF363" i="4" s="1"/>
  <c r="CI363" i="4" s="1"/>
  <c r="BV363" i="4"/>
  <c r="CD362" i="4"/>
  <c r="CH362" i="4" s="1"/>
  <c r="CC362" i="4"/>
  <c r="CA362" i="4"/>
  <c r="BZ362" i="4"/>
  <c r="CB362" i="4" s="1"/>
  <c r="BY362" i="4"/>
  <c r="BX362" i="4"/>
  <c r="BW362" i="4"/>
  <c r="CG362" i="4" s="1"/>
  <c r="BV362" i="4"/>
  <c r="CE361" i="4"/>
  <c r="CD361" i="4"/>
  <c r="CC361" i="4"/>
  <c r="CB361" i="4"/>
  <c r="CA361" i="4"/>
  <c r="BZ361" i="4"/>
  <c r="BY361" i="4"/>
  <c r="BX361" i="4"/>
  <c r="BW361" i="4"/>
  <c r="BV361" i="4"/>
  <c r="CH360" i="4"/>
  <c r="CD360" i="4"/>
  <c r="CC360" i="4"/>
  <c r="CA360" i="4"/>
  <c r="BZ360" i="4"/>
  <c r="CB360" i="4" s="1"/>
  <c r="BY360" i="4"/>
  <c r="BX360" i="4"/>
  <c r="BW360" i="4"/>
  <c r="BV360" i="4"/>
  <c r="CD359" i="4"/>
  <c r="CC359" i="4"/>
  <c r="CA359" i="4"/>
  <c r="BZ359" i="4"/>
  <c r="CB359" i="4" s="1"/>
  <c r="BY359" i="4"/>
  <c r="BX359" i="4"/>
  <c r="BW359" i="4"/>
  <c r="CF359" i="4" s="1"/>
  <c r="BV359" i="4"/>
  <c r="CD358" i="4"/>
  <c r="CC358" i="4"/>
  <c r="CG358" i="4" s="1"/>
  <c r="CB358" i="4"/>
  <c r="CA358" i="4"/>
  <c r="BZ358" i="4"/>
  <c r="BY358" i="4"/>
  <c r="BX358" i="4"/>
  <c r="BW358" i="4"/>
  <c r="BV358" i="4"/>
  <c r="CD357" i="4"/>
  <c r="CC357" i="4"/>
  <c r="CA357" i="4"/>
  <c r="BZ357" i="4"/>
  <c r="CB357" i="4" s="1"/>
  <c r="BY357" i="4"/>
  <c r="BX357" i="4"/>
  <c r="BW357" i="4"/>
  <c r="CH357" i="4" s="1"/>
  <c r="BV357" i="4"/>
  <c r="CD356" i="4"/>
  <c r="CC356" i="4"/>
  <c r="CA356" i="4"/>
  <c r="BZ356" i="4"/>
  <c r="CB356" i="4" s="1"/>
  <c r="CE356" i="4" s="1"/>
  <c r="BY356" i="4"/>
  <c r="BX356" i="4"/>
  <c r="BW356" i="4"/>
  <c r="CH356" i="4" s="1"/>
  <c r="BV356" i="4"/>
  <c r="CD355" i="4"/>
  <c r="CC355" i="4"/>
  <c r="CG355" i="4" s="1"/>
  <c r="CB355" i="4"/>
  <c r="CA355" i="4"/>
  <c r="BZ355" i="4"/>
  <c r="BY355" i="4"/>
  <c r="BX355" i="4"/>
  <c r="BW355" i="4"/>
  <c r="BV355" i="4"/>
  <c r="CD354" i="4"/>
  <c r="CC354" i="4"/>
  <c r="CA354" i="4"/>
  <c r="BZ354" i="4"/>
  <c r="CB354" i="4" s="1"/>
  <c r="BY354" i="4"/>
  <c r="BX354" i="4"/>
  <c r="BW354" i="4"/>
  <c r="CG354" i="4" s="1"/>
  <c r="BV354" i="4"/>
  <c r="CD353" i="4"/>
  <c r="CC353" i="4"/>
  <c r="CA353" i="4"/>
  <c r="BZ353" i="4"/>
  <c r="CB353" i="4" s="1"/>
  <c r="CE353" i="4" s="1"/>
  <c r="BY353" i="4"/>
  <c r="BX353" i="4"/>
  <c r="BW353" i="4"/>
  <c r="CG353" i="4" s="1"/>
  <c r="BV353" i="4"/>
  <c r="CD352" i="4"/>
  <c r="CH352" i="4" s="1"/>
  <c r="CC352" i="4"/>
  <c r="CG352" i="4" s="1"/>
  <c r="CB352" i="4"/>
  <c r="CA352" i="4"/>
  <c r="BZ352" i="4"/>
  <c r="BY352" i="4"/>
  <c r="BX352" i="4"/>
  <c r="BW352" i="4"/>
  <c r="BV352" i="4"/>
  <c r="CD351" i="4"/>
  <c r="CC351" i="4"/>
  <c r="CA351" i="4"/>
  <c r="BZ351" i="4"/>
  <c r="CB351" i="4" s="1"/>
  <c r="BY351" i="4"/>
  <c r="BX351" i="4"/>
  <c r="BW351" i="4"/>
  <c r="CH351" i="4" s="1"/>
  <c r="BV351" i="4"/>
  <c r="CD350" i="4"/>
  <c r="CH350" i="4" s="1"/>
  <c r="CC350" i="4"/>
  <c r="CG350" i="4" s="1"/>
  <c r="CB350" i="4"/>
  <c r="CA350" i="4"/>
  <c r="BZ350" i="4"/>
  <c r="BY350" i="4"/>
  <c r="BX350" i="4"/>
  <c r="BW350" i="4"/>
  <c r="CF350" i="4" s="1"/>
  <c r="BV350" i="4"/>
  <c r="CD349" i="4"/>
  <c r="CC349" i="4"/>
  <c r="CB349" i="4"/>
  <c r="CF349" i="4" s="1"/>
  <c r="CA349" i="4"/>
  <c r="BZ349" i="4"/>
  <c r="BY349" i="4"/>
  <c r="BX349" i="4"/>
  <c r="BW349" i="4"/>
  <c r="CG349" i="4" s="1"/>
  <c r="BV349" i="4"/>
  <c r="CG348" i="4"/>
  <c r="CD348" i="4"/>
  <c r="CH348" i="4" s="1"/>
  <c r="CC348" i="4"/>
  <c r="CA348" i="4"/>
  <c r="BZ348" i="4"/>
  <c r="CB348" i="4" s="1"/>
  <c r="BY348" i="4"/>
  <c r="BX348" i="4"/>
  <c r="BW348" i="4"/>
  <c r="BV348" i="4"/>
  <c r="CD347" i="4"/>
  <c r="CE347" i="4" s="1"/>
  <c r="CC347" i="4"/>
  <c r="CB347" i="4"/>
  <c r="CA347" i="4"/>
  <c r="BZ347" i="4"/>
  <c r="BY347" i="4"/>
  <c r="BX347" i="4"/>
  <c r="BW347" i="4"/>
  <c r="CF347" i="4" s="1"/>
  <c r="BV347" i="4"/>
  <c r="CD346" i="4"/>
  <c r="CC346" i="4"/>
  <c r="CB346" i="4"/>
  <c r="CA346" i="4"/>
  <c r="BZ346" i="4"/>
  <c r="BY346" i="4"/>
  <c r="BX346" i="4"/>
  <c r="BW346" i="4"/>
  <c r="BV346" i="4"/>
  <c r="CG345" i="4"/>
  <c r="CD345" i="4"/>
  <c r="CH345" i="4" s="1"/>
  <c r="CC345" i="4"/>
  <c r="CA345" i="4"/>
  <c r="BZ345" i="4"/>
  <c r="CB345" i="4" s="1"/>
  <c r="BY345" i="4"/>
  <c r="BX345" i="4"/>
  <c r="BW345" i="4"/>
  <c r="BV345" i="4"/>
  <c r="CD344" i="4"/>
  <c r="CC344" i="4"/>
  <c r="CB344" i="4"/>
  <c r="CE344" i="4" s="1"/>
  <c r="CA344" i="4"/>
  <c r="BZ344" i="4"/>
  <c r="BY344" i="4"/>
  <c r="BX344" i="4"/>
  <c r="BW344" i="4"/>
  <c r="BV344" i="4"/>
  <c r="CD343" i="4"/>
  <c r="CH343" i="4" s="1"/>
  <c r="CC343" i="4"/>
  <c r="CG343" i="4" s="1"/>
  <c r="CB343" i="4"/>
  <c r="CA343" i="4"/>
  <c r="BZ343" i="4"/>
  <c r="BY343" i="4"/>
  <c r="BX343" i="4"/>
  <c r="BW343" i="4"/>
  <c r="BV343" i="4"/>
  <c r="CG342" i="4"/>
  <c r="CD342" i="4"/>
  <c r="CH342" i="4" s="1"/>
  <c r="CC342" i="4"/>
  <c r="CA342" i="4"/>
  <c r="BZ342" i="4"/>
  <c r="CB342" i="4" s="1"/>
  <c r="BY342" i="4"/>
  <c r="BX342" i="4"/>
  <c r="BW342" i="4"/>
  <c r="BV342" i="4"/>
  <c r="CE341" i="4"/>
  <c r="CD341" i="4"/>
  <c r="CC341" i="4"/>
  <c r="CB341" i="4"/>
  <c r="CA341" i="4"/>
  <c r="BZ341" i="4"/>
  <c r="BY341" i="4"/>
  <c r="BX341" i="4"/>
  <c r="BW341" i="4"/>
  <c r="BV341" i="4"/>
  <c r="CD340" i="4"/>
  <c r="CC340" i="4"/>
  <c r="CB340" i="4"/>
  <c r="CA340" i="4"/>
  <c r="BZ340" i="4"/>
  <c r="BY340" i="4"/>
  <c r="BX340" i="4"/>
  <c r="BW340" i="4"/>
  <c r="CH340" i="4" s="1"/>
  <c r="BV340" i="4"/>
  <c r="CD339" i="4"/>
  <c r="CH339" i="4" s="1"/>
  <c r="CC339" i="4"/>
  <c r="CA339" i="4"/>
  <c r="BZ339" i="4"/>
  <c r="CB339" i="4" s="1"/>
  <c r="BY339" i="4"/>
  <c r="BX339" i="4"/>
  <c r="BW339" i="4"/>
  <c r="BV339" i="4"/>
  <c r="CD338" i="4"/>
  <c r="CH338" i="4" s="1"/>
  <c r="CC338" i="4"/>
  <c r="CG338" i="4" s="1"/>
  <c r="CB338" i="4"/>
  <c r="CF338" i="4" s="1"/>
  <c r="CA338" i="4"/>
  <c r="BZ338" i="4"/>
  <c r="BY338" i="4"/>
  <c r="BX338" i="4"/>
  <c r="BW338" i="4"/>
  <c r="BV338" i="4"/>
  <c r="CD337" i="4"/>
  <c r="CH337" i="4" s="1"/>
  <c r="CC337" i="4"/>
  <c r="CB337" i="4"/>
  <c r="CA337" i="4"/>
  <c r="BZ337" i="4"/>
  <c r="BY337" i="4"/>
  <c r="BX337" i="4"/>
  <c r="BW337" i="4"/>
  <c r="CG337" i="4" s="1"/>
  <c r="BV337" i="4"/>
  <c r="CD336" i="4"/>
  <c r="CC336" i="4"/>
  <c r="CA336" i="4"/>
  <c r="BZ336" i="4"/>
  <c r="CB336" i="4" s="1"/>
  <c r="BY336" i="4"/>
  <c r="BX336" i="4"/>
  <c r="BW336" i="4"/>
  <c r="CG336" i="4" s="1"/>
  <c r="BV336" i="4"/>
  <c r="CD335" i="4"/>
  <c r="CC335" i="4"/>
  <c r="CB335" i="4"/>
  <c r="CE335" i="4" s="1"/>
  <c r="CA335" i="4"/>
  <c r="BZ335" i="4"/>
  <c r="BY335" i="4"/>
  <c r="BX335" i="4"/>
  <c r="BW335" i="4"/>
  <c r="BV335" i="4"/>
  <c r="CD334" i="4"/>
  <c r="CC334" i="4"/>
  <c r="CG334" i="4" s="1"/>
  <c r="CB334" i="4"/>
  <c r="CF334" i="4" s="1"/>
  <c r="CA334" i="4"/>
  <c r="BZ334" i="4"/>
  <c r="BY334" i="4"/>
  <c r="BX334" i="4"/>
  <c r="BW334" i="4"/>
  <c r="BV334" i="4"/>
  <c r="CH333" i="4"/>
  <c r="CD333" i="4"/>
  <c r="CC333" i="4"/>
  <c r="CA333" i="4"/>
  <c r="BZ333" i="4"/>
  <c r="CB333" i="4" s="1"/>
  <c r="BY333" i="4"/>
  <c r="BX333" i="4"/>
  <c r="BW333" i="4"/>
  <c r="CG333" i="4" s="1"/>
  <c r="BV333" i="4"/>
  <c r="CG332" i="4"/>
  <c r="CD332" i="4"/>
  <c r="CC332" i="4"/>
  <c r="CA332" i="4"/>
  <c r="BZ332" i="4"/>
  <c r="CB332" i="4" s="1"/>
  <c r="BY332" i="4"/>
  <c r="BX332" i="4"/>
  <c r="BW332" i="4"/>
  <c r="CH332" i="4" s="1"/>
  <c r="BV332" i="4"/>
  <c r="CD331" i="4"/>
  <c r="CC331" i="4"/>
  <c r="CG331" i="4" s="1"/>
  <c r="CB331" i="4"/>
  <c r="CE331" i="4" s="1"/>
  <c r="CA331" i="4"/>
  <c r="BZ331" i="4"/>
  <c r="BY331" i="4"/>
  <c r="BX331" i="4"/>
  <c r="BW331" i="4"/>
  <c r="BV331" i="4"/>
  <c r="CD330" i="4"/>
  <c r="CH330" i="4" s="1"/>
  <c r="CC330" i="4"/>
  <c r="CG330" i="4" s="1"/>
  <c r="CB330" i="4"/>
  <c r="CA330" i="4"/>
  <c r="BZ330" i="4"/>
  <c r="BY330" i="4"/>
  <c r="BX330" i="4"/>
  <c r="BW330" i="4"/>
  <c r="BV330" i="4"/>
  <c r="CD329" i="4"/>
  <c r="CH329" i="4" s="1"/>
  <c r="CC329" i="4"/>
  <c r="CA329" i="4"/>
  <c r="BZ329" i="4"/>
  <c r="CB329" i="4" s="1"/>
  <c r="BY329" i="4"/>
  <c r="BX329" i="4"/>
  <c r="BW329" i="4"/>
  <c r="CG329" i="4" s="1"/>
  <c r="BV329" i="4"/>
  <c r="CG328" i="4"/>
  <c r="CD328" i="4"/>
  <c r="CC328" i="4"/>
  <c r="CA328" i="4"/>
  <c r="BZ328" i="4"/>
  <c r="CB328" i="4" s="1"/>
  <c r="BY328" i="4"/>
  <c r="BX328" i="4"/>
  <c r="BW328" i="4"/>
  <c r="BV328" i="4"/>
  <c r="CD327" i="4"/>
  <c r="CH327" i="4" s="1"/>
  <c r="CC327" i="4"/>
  <c r="CB327" i="4"/>
  <c r="CA327" i="4"/>
  <c r="BZ327" i="4"/>
  <c r="BY327" i="4"/>
  <c r="BX327" i="4"/>
  <c r="BW327" i="4"/>
  <c r="CF327" i="4" s="1"/>
  <c r="BV327" i="4"/>
  <c r="CD326" i="4"/>
  <c r="CC326" i="4"/>
  <c r="CB326" i="4"/>
  <c r="CF326" i="4" s="1"/>
  <c r="CA326" i="4"/>
  <c r="BZ326" i="4"/>
  <c r="BY326" i="4"/>
  <c r="BX326" i="4"/>
  <c r="BW326" i="4"/>
  <c r="BV326" i="4"/>
  <c r="CG325" i="4"/>
  <c r="CD325" i="4"/>
  <c r="CH325" i="4" s="1"/>
  <c r="CC325" i="4"/>
  <c r="CA325" i="4"/>
  <c r="BZ325" i="4"/>
  <c r="CB325" i="4" s="1"/>
  <c r="BY325" i="4"/>
  <c r="BX325" i="4"/>
  <c r="BW325" i="4"/>
  <c r="BV325" i="4"/>
  <c r="CD324" i="4"/>
  <c r="CC324" i="4"/>
  <c r="CA324" i="4"/>
  <c r="BZ324" i="4"/>
  <c r="CB324" i="4" s="1"/>
  <c r="BY324" i="4"/>
  <c r="BX324" i="4"/>
  <c r="BW324" i="4"/>
  <c r="BV324" i="4"/>
  <c r="CD323" i="4"/>
  <c r="CC323" i="4"/>
  <c r="CG323" i="4" s="1"/>
  <c r="CB323" i="4"/>
  <c r="CA323" i="4"/>
  <c r="BZ323" i="4"/>
  <c r="BY323" i="4"/>
  <c r="BX323" i="4"/>
  <c r="BW323" i="4"/>
  <c r="BV323" i="4"/>
  <c r="CD322" i="4"/>
  <c r="CH322" i="4" s="1"/>
  <c r="CC322" i="4"/>
  <c r="CG322" i="4" s="1"/>
  <c r="CB322" i="4"/>
  <c r="CA322" i="4"/>
  <c r="BZ322" i="4"/>
  <c r="BY322" i="4"/>
  <c r="BX322" i="4"/>
  <c r="BW322" i="4"/>
  <c r="BV322" i="4"/>
  <c r="CG321" i="4"/>
  <c r="CD321" i="4"/>
  <c r="CC321" i="4"/>
  <c r="CA321" i="4"/>
  <c r="BZ321" i="4"/>
  <c r="CB321" i="4" s="1"/>
  <c r="BY321" i="4"/>
  <c r="BX321" i="4"/>
  <c r="BW321" i="4"/>
  <c r="CH321" i="4" s="1"/>
  <c r="BV321" i="4"/>
  <c r="CD320" i="4"/>
  <c r="CC320" i="4"/>
  <c r="CA320" i="4"/>
  <c r="BZ320" i="4"/>
  <c r="CB320" i="4" s="1"/>
  <c r="BY320" i="4"/>
  <c r="BX320" i="4"/>
  <c r="BW320" i="4"/>
  <c r="CH320" i="4" s="1"/>
  <c r="BV320" i="4"/>
  <c r="CD319" i="4"/>
  <c r="CC319" i="4"/>
  <c r="CG319" i="4" s="1"/>
  <c r="CB319" i="4"/>
  <c r="CA319" i="4"/>
  <c r="BZ319" i="4"/>
  <c r="BY319" i="4"/>
  <c r="BX319" i="4"/>
  <c r="BW319" i="4"/>
  <c r="BV319" i="4"/>
  <c r="CD318" i="4"/>
  <c r="CH318" i="4" s="1"/>
  <c r="CC318" i="4"/>
  <c r="CG318" i="4" s="1"/>
  <c r="CB318" i="4"/>
  <c r="CA318" i="4"/>
  <c r="BZ318" i="4"/>
  <c r="BY318" i="4"/>
  <c r="BX318" i="4"/>
  <c r="BW318" i="4"/>
  <c r="BV318" i="4"/>
  <c r="CD317" i="4"/>
  <c r="CH317" i="4" s="1"/>
  <c r="CC317" i="4"/>
  <c r="CA317" i="4"/>
  <c r="BZ317" i="4"/>
  <c r="CB317" i="4" s="1"/>
  <c r="BY317" i="4"/>
  <c r="BX317" i="4"/>
  <c r="BW317" i="4"/>
  <c r="CG317" i="4" s="1"/>
  <c r="BV317" i="4"/>
  <c r="CG316" i="4"/>
  <c r="CD316" i="4"/>
  <c r="CC316" i="4"/>
  <c r="CA316" i="4"/>
  <c r="BZ316" i="4"/>
  <c r="CB316" i="4" s="1"/>
  <c r="BY316" i="4"/>
  <c r="BX316" i="4"/>
  <c r="BW316" i="4"/>
  <c r="BV316" i="4"/>
  <c r="CD315" i="4"/>
  <c r="CC315" i="4"/>
  <c r="CB315" i="4"/>
  <c r="CA315" i="4"/>
  <c r="BZ315" i="4"/>
  <c r="BY315" i="4"/>
  <c r="BX315" i="4"/>
  <c r="BW315" i="4"/>
  <c r="CF315" i="4" s="1"/>
  <c r="BV315" i="4"/>
  <c r="CD314" i="4"/>
  <c r="CH314" i="4" s="1"/>
  <c r="CC314" i="4"/>
  <c r="CB314" i="4"/>
  <c r="CA314" i="4"/>
  <c r="BZ314" i="4"/>
  <c r="BY314" i="4"/>
  <c r="BX314" i="4"/>
  <c r="BW314" i="4"/>
  <c r="BV314" i="4"/>
  <c r="CD313" i="4"/>
  <c r="CH313" i="4" s="1"/>
  <c r="CC313" i="4"/>
  <c r="CA313" i="4"/>
  <c r="BZ313" i="4"/>
  <c r="CB313" i="4" s="1"/>
  <c r="BY313" i="4"/>
  <c r="BX313" i="4"/>
  <c r="BW313" i="4"/>
  <c r="CG313" i="4" s="1"/>
  <c r="BV313" i="4"/>
  <c r="CG312" i="4"/>
  <c r="CD312" i="4"/>
  <c r="CC312" i="4"/>
  <c r="CA312" i="4"/>
  <c r="BZ312" i="4"/>
  <c r="CB312" i="4" s="1"/>
  <c r="BY312" i="4"/>
  <c r="BX312" i="4"/>
  <c r="BW312" i="4"/>
  <c r="BV312" i="4"/>
  <c r="CD311" i="4"/>
  <c r="CC311" i="4"/>
  <c r="CB311" i="4"/>
  <c r="CA311" i="4"/>
  <c r="BZ311" i="4"/>
  <c r="BY311" i="4"/>
  <c r="BX311" i="4"/>
  <c r="BW311" i="4"/>
  <c r="BV311" i="4"/>
  <c r="CD310" i="4"/>
  <c r="CC310" i="4"/>
  <c r="CG310" i="4" s="1"/>
  <c r="CB310" i="4"/>
  <c r="CA310" i="4"/>
  <c r="BZ310" i="4"/>
  <c r="BY310" i="4"/>
  <c r="BX310" i="4"/>
  <c r="BW310" i="4"/>
  <c r="BV310" i="4"/>
  <c r="CH309" i="4"/>
  <c r="CD309" i="4"/>
  <c r="CC309" i="4"/>
  <c r="CA309" i="4"/>
  <c r="BZ309" i="4"/>
  <c r="CB309" i="4" s="1"/>
  <c r="BY309" i="4"/>
  <c r="BX309" i="4"/>
  <c r="BW309" i="4"/>
  <c r="CG309" i="4" s="1"/>
  <c r="BV309" i="4"/>
  <c r="CD308" i="4"/>
  <c r="CH308" i="4" s="1"/>
  <c r="CC308" i="4"/>
  <c r="CA308" i="4"/>
  <c r="BZ308" i="4"/>
  <c r="CB308" i="4" s="1"/>
  <c r="BY308" i="4"/>
  <c r="BX308" i="4"/>
  <c r="BW308" i="4"/>
  <c r="CG308" i="4" s="1"/>
  <c r="BV308" i="4"/>
  <c r="CD307" i="4"/>
  <c r="CC307" i="4"/>
  <c r="CB307" i="4"/>
  <c r="CE307" i="4" s="1"/>
  <c r="CA307" i="4"/>
  <c r="BZ307" i="4"/>
  <c r="BY307" i="4"/>
  <c r="BX307" i="4"/>
  <c r="BW307" i="4"/>
  <c r="BV307" i="4"/>
  <c r="CD306" i="4"/>
  <c r="CC306" i="4"/>
  <c r="CG306" i="4" s="1"/>
  <c r="CB306" i="4"/>
  <c r="CA306" i="4"/>
  <c r="BZ306" i="4"/>
  <c r="BY306" i="4"/>
  <c r="BX306" i="4"/>
  <c r="BW306" i="4"/>
  <c r="BV306" i="4"/>
  <c r="CH305" i="4"/>
  <c r="CD305" i="4"/>
  <c r="CC305" i="4"/>
  <c r="CA305" i="4"/>
  <c r="BZ305" i="4"/>
  <c r="CB305" i="4" s="1"/>
  <c r="BY305" i="4"/>
  <c r="BX305" i="4"/>
  <c r="BW305" i="4"/>
  <c r="CG305" i="4" s="1"/>
  <c r="BV305" i="4"/>
  <c r="CD304" i="4"/>
  <c r="CC304" i="4"/>
  <c r="CA304" i="4"/>
  <c r="BZ304" i="4"/>
  <c r="CB304" i="4" s="1"/>
  <c r="BY304" i="4"/>
  <c r="BX304" i="4"/>
  <c r="BW304" i="4"/>
  <c r="CH304" i="4" s="1"/>
  <c r="BV304" i="4"/>
  <c r="CD303" i="4"/>
  <c r="CC303" i="4"/>
  <c r="CG303" i="4" s="1"/>
  <c r="CB303" i="4"/>
  <c r="CA303" i="4"/>
  <c r="BZ303" i="4"/>
  <c r="BY303" i="4"/>
  <c r="BX303" i="4"/>
  <c r="BW303" i="4"/>
  <c r="BV303" i="4"/>
  <c r="CD302" i="4"/>
  <c r="CC302" i="4"/>
  <c r="CB302" i="4"/>
  <c r="CA302" i="4"/>
  <c r="BZ302" i="4"/>
  <c r="BY302" i="4"/>
  <c r="BX302" i="4"/>
  <c r="BW302" i="4"/>
  <c r="CH302" i="4" s="1"/>
  <c r="BV302" i="4"/>
  <c r="CD301" i="4"/>
  <c r="CC301" i="4"/>
  <c r="CB301" i="4"/>
  <c r="CA301" i="4"/>
  <c r="BZ301" i="4"/>
  <c r="BY301" i="4"/>
  <c r="BX301" i="4"/>
  <c r="BW301" i="4"/>
  <c r="CG301" i="4" s="1"/>
  <c r="BV301" i="4"/>
  <c r="CD300" i="4"/>
  <c r="CC300" i="4"/>
  <c r="CA300" i="4"/>
  <c r="BZ300" i="4"/>
  <c r="CB300" i="4" s="1"/>
  <c r="BY300" i="4"/>
  <c r="BX300" i="4"/>
  <c r="BW300" i="4"/>
  <c r="CH300" i="4" s="1"/>
  <c r="BV300" i="4"/>
  <c r="CD299" i="4"/>
  <c r="CC299" i="4"/>
  <c r="CG299" i="4" s="1"/>
  <c r="CB299" i="4"/>
  <c r="CF299" i="4" s="1"/>
  <c r="CA299" i="4"/>
  <c r="BZ299" i="4"/>
  <c r="BY299" i="4"/>
  <c r="BX299" i="4"/>
  <c r="BW299" i="4"/>
  <c r="BV299" i="4"/>
  <c r="CD298" i="4"/>
  <c r="CH298" i="4" s="1"/>
  <c r="CC298" i="4"/>
  <c r="CG298" i="4" s="1"/>
  <c r="CB298" i="4"/>
  <c r="CA298" i="4"/>
  <c r="BZ298" i="4"/>
  <c r="BY298" i="4"/>
  <c r="BX298" i="4"/>
  <c r="BW298" i="4"/>
  <c r="BV298" i="4"/>
  <c r="CD297" i="4"/>
  <c r="CH297" i="4" s="1"/>
  <c r="CC297" i="4"/>
  <c r="CB297" i="4"/>
  <c r="CA297" i="4"/>
  <c r="BZ297" i="4"/>
  <c r="BY297" i="4"/>
  <c r="BX297" i="4"/>
  <c r="BW297" i="4"/>
  <c r="CG297" i="4" s="1"/>
  <c r="BV297" i="4"/>
  <c r="CD296" i="4"/>
  <c r="CC296" i="4"/>
  <c r="CA296" i="4"/>
  <c r="BZ296" i="4"/>
  <c r="CB296" i="4" s="1"/>
  <c r="CE296" i="4" s="1"/>
  <c r="BY296" i="4"/>
  <c r="BX296" i="4"/>
  <c r="BW296" i="4"/>
  <c r="BV296" i="4"/>
  <c r="CD295" i="4"/>
  <c r="CH295" i="4" s="1"/>
  <c r="CC295" i="4"/>
  <c r="CB295" i="4"/>
  <c r="CA295" i="4"/>
  <c r="BZ295" i="4"/>
  <c r="BY295" i="4"/>
  <c r="BX295" i="4"/>
  <c r="BW295" i="4"/>
  <c r="BV295" i="4"/>
  <c r="CD294" i="4"/>
  <c r="CH294" i="4" s="1"/>
  <c r="CC294" i="4"/>
  <c r="CG294" i="4" s="1"/>
  <c r="CB294" i="4"/>
  <c r="CA294" i="4"/>
  <c r="BZ294" i="4"/>
  <c r="BY294" i="4"/>
  <c r="BX294" i="4"/>
  <c r="BW294" i="4"/>
  <c r="CF294" i="4" s="1"/>
  <c r="CI294" i="4" s="1"/>
  <c r="BV294" i="4"/>
  <c r="CD293" i="4"/>
  <c r="CC293" i="4"/>
  <c r="CB293" i="4"/>
  <c r="CA293" i="4"/>
  <c r="BZ293" i="4"/>
  <c r="BY293" i="4"/>
  <c r="BX293" i="4"/>
  <c r="BW293" i="4"/>
  <c r="CG293" i="4" s="1"/>
  <c r="BV293" i="4"/>
  <c r="CH292" i="4"/>
  <c r="CD292" i="4"/>
  <c r="CC292" i="4"/>
  <c r="CA292" i="4"/>
  <c r="BZ292" i="4"/>
  <c r="CB292" i="4" s="1"/>
  <c r="BY292" i="4"/>
  <c r="BX292" i="4"/>
  <c r="BW292" i="4"/>
  <c r="CG292" i="4" s="1"/>
  <c r="BV292" i="4"/>
  <c r="CD291" i="4"/>
  <c r="CC291" i="4"/>
  <c r="CA291" i="4"/>
  <c r="BZ291" i="4"/>
  <c r="CB291" i="4" s="1"/>
  <c r="BY291" i="4"/>
  <c r="BX291" i="4"/>
  <c r="BW291" i="4"/>
  <c r="BV291" i="4"/>
  <c r="CD290" i="4"/>
  <c r="CC290" i="4"/>
  <c r="CA290" i="4"/>
  <c r="BZ290" i="4"/>
  <c r="CB290" i="4" s="1"/>
  <c r="BY290" i="4"/>
  <c r="BX290" i="4"/>
  <c r="BW290" i="4"/>
  <c r="BV290" i="4"/>
  <c r="CG289" i="4"/>
  <c r="CD289" i="4"/>
  <c r="CC289" i="4"/>
  <c r="CB289" i="4"/>
  <c r="CF289" i="4" s="1"/>
  <c r="CA289" i="4"/>
  <c r="BZ289" i="4"/>
  <c r="BY289" i="4"/>
  <c r="BX289" i="4"/>
  <c r="BW289" i="4"/>
  <c r="BV289" i="4"/>
  <c r="CH288" i="4"/>
  <c r="CD288" i="4"/>
  <c r="CC288" i="4"/>
  <c r="CB288" i="4"/>
  <c r="CA288" i="4"/>
  <c r="BZ288" i="4"/>
  <c r="BY288" i="4"/>
  <c r="BX288" i="4"/>
  <c r="BW288" i="4"/>
  <c r="CG288" i="4" s="1"/>
  <c r="BV288" i="4"/>
  <c r="CE287" i="4"/>
  <c r="CD287" i="4"/>
  <c r="CC287" i="4"/>
  <c r="CB287" i="4"/>
  <c r="CA287" i="4"/>
  <c r="BZ287" i="4"/>
  <c r="BY287" i="4"/>
  <c r="BX287" i="4"/>
  <c r="BW287" i="4"/>
  <c r="BV287" i="4"/>
  <c r="CD286" i="4"/>
  <c r="CC286" i="4"/>
  <c r="CB286" i="4"/>
  <c r="CE286" i="4" s="1"/>
  <c r="CA286" i="4"/>
  <c r="BZ286" i="4"/>
  <c r="BY286" i="4"/>
  <c r="BX286" i="4"/>
  <c r="BW286" i="4"/>
  <c r="CH286" i="4" s="1"/>
  <c r="BV286" i="4"/>
  <c r="CG285" i="4"/>
  <c r="CD285" i="4"/>
  <c r="CH285" i="4" s="1"/>
  <c r="CC285" i="4"/>
  <c r="CA285" i="4"/>
  <c r="BZ285" i="4"/>
  <c r="CB285" i="4" s="1"/>
  <c r="BY285" i="4"/>
  <c r="BX285" i="4"/>
  <c r="BW285" i="4"/>
  <c r="BV285" i="4"/>
  <c r="CD284" i="4"/>
  <c r="CC284" i="4"/>
  <c r="CB284" i="4"/>
  <c r="CA284" i="4"/>
  <c r="BZ284" i="4"/>
  <c r="BY284" i="4"/>
  <c r="BX284" i="4"/>
  <c r="BW284" i="4"/>
  <c r="CG284" i="4" s="1"/>
  <c r="BV284" i="4"/>
  <c r="CD283" i="4"/>
  <c r="CH283" i="4" s="1"/>
  <c r="CC283" i="4"/>
  <c r="CA283" i="4"/>
  <c r="BZ283" i="4"/>
  <c r="CB283" i="4" s="1"/>
  <c r="BY283" i="4"/>
  <c r="BX283" i="4"/>
  <c r="BW283" i="4"/>
  <c r="BV283" i="4"/>
  <c r="CD282" i="4"/>
  <c r="CC282" i="4"/>
  <c r="CB282" i="4"/>
  <c r="CA282" i="4"/>
  <c r="BZ282" i="4"/>
  <c r="BY282" i="4"/>
  <c r="BX282" i="4"/>
  <c r="BW282" i="4"/>
  <c r="CF282" i="4" s="1"/>
  <c r="BV282" i="4"/>
  <c r="CD281" i="4"/>
  <c r="CC281" i="4"/>
  <c r="CA281" i="4"/>
  <c r="BZ281" i="4"/>
  <c r="CB281" i="4" s="1"/>
  <c r="BY281" i="4"/>
  <c r="BX281" i="4"/>
  <c r="BW281" i="4"/>
  <c r="CH281" i="4" s="1"/>
  <c r="BV281" i="4"/>
  <c r="CD280" i="4"/>
  <c r="CC280" i="4"/>
  <c r="CA280" i="4"/>
  <c r="BZ280" i="4"/>
  <c r="CB280" i="4" s="1"/>
  <c r="CE280" i="4" s="1"/>
  <c r="BY280" i="4"/>
  <c r="BX280" i="4"/>
  <c r="BW280" i="4"/>
  <c r="CG280" i="4" s="1"/>
  <c r="BV280" i="4"/>
  <c r="CD279" i="4"/>
  <c r="CC279" i="4"/>
  <c r="CB279" i="4"/>
  <c r="CA279" i="4"/>
  <c r="BZ279" i="4"/>
  <c r="BY279" i="4"/>
  <c r="BX279" i="4"/>
  <c r="BW279" i="4"/>
  <c r="BV279" i="4"/>
  <c r="CH278" i="4"/>
  <c r="CD278" i="4"/>
  <c r="CC278" i="4"/>
  <c r="CA278" i="4"/>
  <c r="BZ278" i="4"/>
  <c r="CB278" i="4" s="1"/>
  <c r="BY278" i="4"/>
  <c r="BX278" i="4"/>
  <c r="BW278" i="4"/>
  <c r="BV278" i="4"/>
  <c r="CH277" i="4"/>
  <c r="CG277" i="4"/>
  <c r="CD277" i="4"/>
  <c r="CC277" i="4"/>
  <c r="CB277" i="4"/>
  <c r="CF277" i="4" s="1"/>
  <c r="CI277" i="4" s="1"/>
  <c r="CA277" i="4"/>
  <c r="BZ277" i="4"/>
  <c r="BY277" i="4"/>
  <c r="BX277" i="4"/>
  <c r="BW277" i="4"/>
  <c r="BV277" i="4"/>
  <c r="CD276" i="4"/>
  <c r="CH276" i="4" s="1"/>
  <c r="CC276" i="4"/>
  <c r="CB276" i="4"/>
  <c r="CF276" i="4" s="1"/>
  <c r="CA276" i="4"/>
  <c r="BZ276" i="4"/>
  <c r="BY276" i="4"/>
  <c r="BX276" i="4"/>
  <c r="BW276" i="4"/>
  <c r="CG276" i="4" s="1"/>
  <c r="BV276" i="4"/>
  <c r="CD275" i="4"/>
  <c r="CH275" i="4" s="1"/>
  <c r="CC275" i="4"/>
  <c r="CA275" i="4"/>
  <c r="BZ275" i="4"/>
  <c r="CB275" i="4" s="1"/>
  <c r="BY275" i="4"/>
  <c r="BX275" i="4"/>
  <c r="BW275" i="4"/>
  <c r="CG275" i="4" s="1"/>
  <c r="BV275" i="4"/>
  <c r="CE274" i="4"/>
  <c r="CD274" i="4"/>
  <c r="CC274" i="4"/>
  <c r="CB274" i="4"/>
  <c r="CA274" i="4"/>
  <c r="BZ274" i="4"/>
  <c r="BY274" i="4"/>
  <c r="BX274" i="4"/>
  <c r="BW274" i="4"/>
  <c r="BV274" i="4"/>
  <c r="CD273" i="4"/>
  <c r="CH273" i="4" s="1"/>
  <c r="CC273" i="4"/>
  <c r="CG273" i="4" s="1"/>
  <c r="CB273" i="4"/>
  <c r="CA273" i="4"/>
  <c r="BZ273" i="4"/>
  <c r="BY273" i="4"/>
  <c r="BX273" i="4"/>
  <c r="BW273" i="4"/>
  <c r="BV273" i="4"/>
  <c r="CD272" i="4"/>
  <c r="CH272" i="4" s="1"/>
  <c r="CC272" i="4"/>
  <c r="CA272" i="4"/>
  <c r="BZ272" i="4"/>
  <c r="CB272" i="4" s="1"/>
  <c r="BY272" i="4"/>
  <c r="BX272" i="4"/>
  <c r="BW272" i="4"/>
  <c r="CG272" i="4" s="1"/>
  <c r="BV272" i="4"/>
  <c r="CD271" i="4"/>
  <c r="CC271" i="4"/>
  <c r="CB271" i="4"/>
  <c r="CE271" i="4" s="1"/>
  <c r="CA271" i="4"/>
  <c r="BZ271" i="4"/>
  <c r="BY271" i="4"/>
  <c r="BX271" i="4"/>
  <c r="BW271" i="4"/>
  <c r="BV271" i="4"/>
  <c r="CD270" i="4"/>
  <c r="CC270" i="4"/>
  <c r="CG270" i="4" s="1"/>
  <c r="CB270" i="4"/>
  <c r="CA270" i="4"/>
  <c r="BZ270" i="4"/>
  <c r="BY270" i="4"/>
  <c r="BX270" i="4"/>
  <c r="BW270" i="4"/>
  <c r="BV270" i="4"/>
  <c r="CD269" i="4"/>
  <c r="CC269" i="4"/>
  <c r="CA269" i="4"/>
  <c r="BZ269" i="4"/>
  <c r="CB269" i="4" s="1"/>
  <c r="BY269" i="4"/>
  <c r="BX269" i="4"/>
  <c r="BW269" i="4"/>
  <c r="CG269" i="4" s="1"/>
  <c r="BV269" i="4"/>
  <c r="CD268" i="4"/>
  <c r="CC268" i="4"/>
  <c r="CA268" i="4"/>
  <c r="BZ268" i="4"/>
  <c r="CB268" i="4" s="1"/>
  <c r="CE268" i="4" s="1"/>
  <c r="BY268" i="4"/>
  <c r="BX268" i="4"/>
  <c r="BW268" i="4"/>
  <c r="CH268" i="4" s="1"/>
  <c r="BV268" i="4"/>
  <c r="CD267" i="4"/>
  <c r="CC267" i="4"/>
  <c r="CG267" i="4" s="1"/>
  <c r="CB267" i="4"/>
  <c r="CA267" i="4"/>
  <c r="BZ267" i="4"/>
  <c r="BY267" i="4"/>
  <c r="BX267" i="4"/>
  <c r="BW267" i="4"/>
  <c r="BV267" i="4"/>
  <c r="CD266" i="4"/>
  <c r="CH266" i="4" s="1"/>
  <c r="CC266" i="4"/>
  <c r="CG266" i="4" s="1"/>
  <c r="CB266" i="4"/>
  <c r="CA266" i="4"/>
  <c r="BZ266" i="4"/>
  <c r="BY266" i="4"/>
  <c r="BX266" i="4"/>
  <c r="BW266" i="4"/>
  <c r="BV266" i="4"/>
  <c r="CD265" i="4"/>
  <c r="CH265" i="4" s="1"/>
  <c r="CC265" i="4"/>
  <c r="CA265" i="4"/>
  <c r="BZ265" i="4"/>
  <c r="CB265" i="4" s="1"/>
  <c r="BY265" i="4"/>
  <c r="BX265" i="4"/>
  <c r="BW265" i="4"/>
  <c r="CG265" i="4" s="1"/>
  <c r="BV265" i="4"/>
  <c r="CD264" i="4"/>
  <c r="CC264" i="4"/>
  <c r="CA264" i="4"/>
  <c r="BZ264" i="4"/>
  <c r="CB264" i="4" s="1"/>
  <c r="BY264" i="4"/>
  <c r="BX264" i="4"/>
  <c r="BW264" i="4"/>
  <c r="CG264" i="4" s="1"/>
  <c r="BV264" i="4"/>
  <c r="CD263" i="4"/>
  <c r="CC263" i="4"/>
  <c r="CG263" i="4" s="1"/>
  <c r="CB263" i="4"/>
  <c r="CA263" i="4"/>
  <c r="BZ263" i="4"/>
  <c r="BY263" i="4"/>
  <c r="BX263" i="4"/>
  <c r="BW263" i="4"/>
  <c r="CF263" i="4" s="1"/>
  <c r="BV263" i="4"/>
  <c r="CD262" i="4"/>
  <c r="CC262" i="4"/>
  <c r="CB262" i="4"/>
  <c r="CA262" i="4"/>
  <c r="BZ262" i="4"/>
  <c r="BY262" i="4"/>
  <c r="BX262" i="4"/>
  <c r="BW262" i="4"/>
  <c r="BV262" i="4"/>
  <c r="CG261" i="4"/>
  <c r="CD261" i="4"/>
  <c r="CH261" i="4" s="1"/>
  <c r="CC261" i="4"/>
  <c r="CA261" i="4"/>
  <c r="BZ261" i="4"/>
  <c r="CB261" i="4" s="1"/>
  <c r="BY261" i="4"/>
  <c r="BX261" i="4"/>
  <c r="BW261" i="4"/>
  <c r="BV261" i="4"/>
  <c r="CD260" i="4"/>
  <c r="CH260" i="4" s="1"/>
  <c r="CC260" i="4"/>
  <c r="CA260" i="4"/>
  <c r="BZ260" i="4"/>
  <c r="CB260" i="4" s="1"/>
  <c r="BY260" i="4"/>
  <c r="BX260" i="4"/>
  <c r="BW260" i="4"/>
  <c r="CG260" i="4" s="1"/>
  <c r="BV260" i="4"/>
  <c r="CD259" i="4"/>
  <c r="CC259" i="4"/>
  <c r="CB259" i="4"/>
  <c r="CA259" i="4"/>
  <c r="BZ259" i="4"/>
  <c r="BY259" i="4"/>
  <c r="BX259" i="4"/>
  <c r="BW259" i="4"/>
  <c r="BV259" i="4"/>
  <c r="CD258" i="4"/>
  <c r="CC258" i="4"/>
  <c r="CB258" i="4"/>
  <c r="CA258" i="4"/>
  <c r="BZ258" i="4"/>
  <c r="BY258" i="4"/>
  <c r="BX258" i="4"/>
  <c r="BW258" i="4"/>
  <c r="BV258" i="4"/>
  <c r="CD257" i="4"/>
  <c r="CC257" i="4"/>
  <c r="CA257" i="4"/>
  <c r="BZ257" i="4"/>
  <c r="CB257" i="4" s="1"/>
  <c r="BY257" i="4"/>
  <c r="BX257" i="4"/>
  <c r="BW257" i="4"/>
  <c r="CH257" i="4" s="1"/>
  <c r="BV257" i="4"/>
  <c r="CG256" i="4"/>
  <c r="CD256" i="4"/>
  <c r="CH256" i="4" s="1"/>
  <c r="CC256" i="4"/>
  <c r="CA256" i="4"/>
  <c r="BZ256" i="4"/>
  <c r="CB256" i="4" s="1"/>
  <c r="CE256" i="4" s="1"/>
  <c r="BY256" i="4"/>
  <c r="BX256" i="4"/>
  <c r="BW256" i="4"/>
  <c r="BV256" i="4"/>
  <c r="CD255" i="4"/>
  <c r="CC255" i="4"/>
  <c r="CB255" i="4"/>
  <c r="CA255" i="4"/>
  <c r="BZ255" i="4"/>
  <c r="BY255" i="4"/>
  <c r="BX255" i="4"/>
  <c r="BW255" i="4"/>
  <c r="BV255" i="4"/>
  <c r="CD254" i="4"/>
  <c r="CC254" i="4"/>
  <c r="CB254" i="4"/>
  <c r="CA254" i="4"/>
  <c r="BZ254" i="4"/>
  <c r="BY254" i="4"/>
  <c r="BX254" i="4"/>
  <c r="BW254" i="4"/>
  <c r="BV254" i="4"/>
  <c r="CD253" i="4"/>
  <c r="CC253" i="4"/>
  <c r="CA253" i="4"/>
  <c r="BZ253" i="4"/>
  <c r="CB253" i="4" s="1"/>
  <c r="BY253" i="4"/>
  <c r="BX253" i="4"/>
  <c r="BW253" i="4"/>
  <c r="CG253" i="4" s="1"/>
  <c r="BV253" i="4"/>
  <c r="CF252" i="4"/>
  <c r="CD252" i="4"/>
  <c r="CH252" i="4" s="1"/>
  <c r="CC252" i="4"/>
  <c r="CA252" i="4"/>
  <c r="BZ252" i="4"/>
  <c r="CB252" i="4" s="1"/>
  <c r="CE252" i="4" s="1"/>
  <c r="BY252" i="4"/>
  <c r="BX252" i="4"/>
  <c r="BW252" i="4"/>
  <c r="CG252" i="4" s="1"/>
  <c r="BV252" i="4"/>
  <c r="CD251" i="4"/>
  <c r="CC251" i="4"/>
  <c r="CB251" i="4"/>
  <c r="CA251" i="4"/>
  <c r="BZ251" i="4"/>
  <c r="BY251" i="4"/>
  <c r="BX251" i="4"/>
  <c r="BW251" i="4"/>
  <c r="CF251" i="4" s="1"/>
  <c r="BV251" i="4"/>
  <c r="CD250" i="4"/>
  <c r="CH250" i="4" s="1"/>
  <c r="CC250" i="4"/>
  <c r="CG250" i="4" s="1"/>
  <c r="CB250" i="4"/>
  <c r="CA250" i="4"/>
  <c r="BZ250" i="4"/>
  <c r="BY250" i="4"/>
  <c r="BX250" i="4"/>
  <c r="BW250" i="4"/>
  <c r="BV250" i="4"/>
  <c r="CG249" i="4"/>
  <c r="CD249" i="4"/>
  <c r="CC249" i="4"/>
  <c r="CA249" i="4"/>
  <c r="BZ249" i="4"/>
  <c r="CB249" i="4" s="1"/>
  <c r="BY249" i="4"/>
  <c r="BX249" i="4"/>
  <c r="BW249" i="4"/>
  <c r="CH249" i="4" s="1"/>
  <c r="BV249" i="4"/>
  <c r="CF248" i="4"/>
  <c r="CD248" i="4"/>
  <c r="CH248" i="4" s="1"/>
  <c r="CC248" i="4"/>
  <c r="CA248" i="4"/>
  <c r="BZ248" i="4"/>
  <c r="CB248" i="4" s="1"/>
  <c r="BY248" i="4"/>
  <c r="BX248" i="4"/>
  <c r="BW248" i="4"/>
  <c r="CG248" i="4" s="1"/>
  <c r="BV248" i="4"/>
  <c r="CD247" i="4"/>
  <c r="CC247" i="4"/>
  <c r="CG247" i="4" s="1"/>
  <c r="CB247" i="4"/>
  <c r="CE247" i="4" s="1"/>
  <c r="CA247" i="4"/>
  <c r="BZ247" i="4"/>
  <c r="BY247" i="4"/>
  <c r="BX247" i="4"/>
  <c r="BW247" i="4"/>
  <c r="BV247" i="4"/>
  <c r="CD246" i="4"/>
  <c r="CC246" i="4"/>
  <c r="CG246" i="4" s="1"/>
  <c r="CB246" i="4"/>
  <c r="CA246" i="4"/>
  <c r="BZ246" i="4"/>
  <c r="BY246" i="4"/>
  <c r="BX246" i="4"/>
  <c r="BW246" i="4"/>
  <c r="BV246" i="4"/>
  <c r="CH245" i="4"/>
  <c r="CD245" i="4"/>
  <c r="CC245" i="4"/>
  <c r="CA245" i="4"/>
  <c r="BZ245" i="4"/>
  <c r="CB245" i="4" s="1"/>
  <c r="BY245" i="4"/>
  <c r="BX245" i="4"/>
  <c r="BW245" i="4"/>
  <c r="CG245" i="4" s="1"/>
  <c r="BV245" i="4"/>
  <c r="CG244" i="4"/>
  <c r="CD244" i="4"/>
  <c r="CH244" i="4" s="1"/>
  <c r="CC244" i="4"/>
  <c r="CA244" i="4"/>
  <c r="BZ244" i="4"/>
  <c r="CB244" i="4" s="1"/>
  <c r="BY244" i="4"/>
  <c r="BX244" i="4"/>
  <c r="BW244" i="4"/>
  <c r="BV244" i="4"/>
  <c r="CD243" i="4"/>
  <c r="CC243" i="4"/>
  <c r="CG243" i="4" s="1"/>
  <c r="CB243" i="4"/>
  <c r="CF243" i="4" s="1"/>
  <c r="CA243" i="4"/>
  <c r="BZ243" i="4"/>
  <c r="BY243" i="4"/>
  <c r="BX243" i="4"/>
  <c r="BW243" i="4"/>
  <c r="BV243" i="4"/>
  <c r="CD242" i="4"/>
  <c r="CH242" i="4" s="1"/>
  <c r="CC242" i="4"/>
  <c r="CG242" i="4" s="1"/>
  <c r="CB242" i="4"/>
  <c r="CA242" i="4"/>
  <c r="BZ242" i="4"/>
  <c r="BY242" i="4"/>
  <c r="BX242" i="4"/>
  <c r="BW242" i="4"/>
  <c r="BV242" i="4"/>
  <c r="CD241" i="4"/>
  <c r="CC241" i="4"/>
  <c r="CA241" i="4"/>
  <c r="BZ241" i="4"/>
  <c r="CB241" i="4" s="1"/>
  <c r="BY241" i="4"/>
  <c r="BX241" i="4"/>
  <c r="BW241" i="4"/>
  <c r="CH241" i="4" s="1"/>
  <c r="BV241" i="4"/>
  <c r="CD240" i="4"/>
  <c r="CH240" i="4" s="1"/>
  <c r="CC240" i="4"/>
  <c r="CA240" i="4"/>
  <c r="BZ240" i="4"/>
  <c r="CB240" i="4" s="1"/>
  <c r="CF240" i="4" s="1"/>
  <c r="BY240" i="4"/>
  <c r="BX240" i="4"/>
  <c r="BW240" i="4"/>
  <c r="CG240" i="4" s="1"/>
  <c r="BV240" i="4"/>
  <c r="CD239" i="4"/>
  <c r="CC239" i="4"/>
  <c r="CB239" i="4"/>
  <c r="CF239" i="4" s="1"/>
  <c r="CA239" i="4"/>
  <c r="BZ239" i="4"/>
  <c r="BY239" i="4"/>
  <c r="BX239" i="4"/>
  <c r="BW239" i="4"/>
  <c r="BV239" i="4"/>
  <c r="CD238" i="4"/>
  <c r="CC238" i="4"/>
  <c r="CG238" i="4" s="1"/>
  <c r="CA238" i="4"/>
  <c r="BZ238" i="4"/>
  <c r="CB238" i="4" s="1"/>
  <c r="BY238" i="4"/>
  <c r="BX238" i="4"/>
  <c r="BW238" i="4"/>
  <c r="BV238" i="4"/>
  <c r="CG237" i="4"/>
  <c r="CD237" i="4"/>
  <c r="CH237" i="4" s="1"/>
  <c r="CC237" i="4"/>
  <c r="CA237" i="4"/>
  <c r="BZ237" i="4"/>
  <c r="CB237" i="4" s="1"/>
  <c r="BY237" i="4"/>
  <c r="BX237" i="4"/>
  <c r="BW237" i="4"/>
  <c r="BV237" i="4"/>
  <c r="CD236" i="4"/>
  <c r="CC236" i="4"/>
  <c r="CA236" i="4"/>
  <c r="BZ236" i="4"/>
  <c r="CB236" i="4" s="1"/>
  <c r="BY236" i="4"/>
  <c r="BX236" i="4"/>
  <c r="BW236" i="4"/>
  <c r="CH236" i="4" s="1"/>
  <c r="BV236" i="4"/>
  <c r="CD235" i="4"/>
  <c r="CC235" i="4"/>
  <c r="CB235" i="4"/>
  <c r="CA235" i="4"/>
  <c r="BZ235" i="4"/>
  <c r="BY235" i="4"/>
  <c r="BX235" i="4"/>
  <c r="BW235" i="4"/>
  <c r="BV235" i="4"/>
  <c r="CD234" i="4"/>
  <c r="CH234" i="4" s="1"/>
  <c r="CC234" i="4"/>
  <c r="CG234" i="4" s="1"/>
  <c r="CA234" i="4"/>
  <c r="BZ234" i="4"/>
  <c r="CB234" i="4" s="1"/>
  <c r="BY234" i="4"/>
  <c r="BX234" i="4"/>
  <c r="BW234" i="4"/>
  <c r="BV234" i="4"/>
  <c r="CD233" i="4"/>
  <c r="CH233" i="4" s="1"/>
  <c r="CC233" i="4"/>
  <c r="CB233" i="4"/>
  <c r="CA233" i="4"/>
  <c r="BZ233" i="4"/>
  <c r="BY233" i="4"/>
  <c r="BX233" i="4"/>
  <c r="BW233" i="4"/>
  <c r="CG233" i="4" s="1"/>
  <c r="BV233" i="4"/>
  <c r="CD232" i="4"/>
  <c r="CC232" i="4"/>
  <c r="CA232" i="4"/>
  <c r="BZ232" i="4"/>
  <c r="CB232" i="4" s="1"/>
  <c r="BY232" i="4"/>
  <c r="BX232" i="4"/>
  <c r="BW232" i="4"/>
  <c r="CG232" i="4" s="1"/>
  <c r="BV232" i="4"/>
  <c r="CD231" i="4"/>
  <c r="CH231" i="4" s="1"/>
  <c r="CC231" i="4"/>
  <c r="CG231" i="4" s="1"/>
  <c r="CB231" i="4"/>
  <c r="CA231" i="4"/>
  <c r="BZ231" i="4"/>
  <c r="BY231" i="4"/>
  <c r="BX231" i="4"/>
  <c r="BW231" i="4"/>
  <c r="BV231" i="4"/>
  <c r="CD230" i="4"/>
  <c r="CC230" i="4"/>
  <c r="CB230" i="4"/>
  <c r="CA230" i="4"/>
  <c r="BZ230" i="4"/>
  <c r="BY230" i="4"/>
  <c r="BX230" i="4"/>
  <c r="BW230" i="4"/>
  <c r="BV230" i="4"/>
  <c r="CD229" i="4"/>
  <c r="CC229" i="4"/>
  <c r="CB229" i="4"/>
  <c r="CE229" i="4" s="1"/>
  <c r="CA229" i="4"/>
  <c r="BZ229" i="4"/>
  <c r="BY229" i="4"/>
  <c r="BX229" i="4"/>
  <c r="BW229" i="4"/>
  <c r="CG229" i="4" s="1"/>
  <c r="BV229" i="4"/>
  <c r="CD228" i="4"/>
  <c r="CC228" i="4"/>
  <c r="CA228" i="4"/>
  <c r="BZ228" i="4"/>
  <c r="CB228" i="4" s="1"/>
  <c r="CE228" i="4" s="1"/>
  <c r="BY228" i="4"/>
  <c r="BX228" i="4"/>
  <c r="BW228" i="4"/>
  <c r="CG228" i="4" s="1"/>
  <c r="BV228" i="4"/>
  <c r="CD227" i="4"/>
  <c r="CC227" i="4"/>
  <c r="CG227" i="4" s="1"/>
  <c r="CB227" i="4"/>
  <c r="CA227" i="4"/>
  <c r="BZ227" i="4"/>
  <c r="BY227" i="4"/>
  <c r="BX227" i="4"/>
  <c r="BW227" i="4"/>
  <c r="BV227" i="4"/>
  <c r="CD226" i="4"/>
  <c r="CH226" i="4" s="1"/>
  <c r="CC226" i="4"/>
  <c r="CG226" i="4" s="1"/>
  <c r="CA226" i="4"/>
  <c r="BZ226" i="4"/>
  <c r="CB226" i="4" s="1"/>
  <c r="BY226" i="4"/>
  <c r="BX226" i="4"/>
  <c r="BW226" i="4"/>
  <c r="BV226" i="4"/>
  <c r="CD225" i="4"/>
  <c r="CC225" i="4"/>
  <c r="CA225" i="4"/>
  <c r="BZ225" i="4"/>
  <c r="CB225" i="4" s="1"/>
  <c r="BY225" i="4"/>
  <c r="BX225" i="4"/>
  <c r="BW225" i="4"/>
  <c r="CH225" i="4" s="1"/>
  <c r="BV225" i="4"/>
  <c r="CH224" i="4"/>
  <c r="CD224" i="4"/>
  <c r="CC224" i="4"/>
  <c r="CA224" i="4"/>
  <c r="BZ224" i="4"/>
  <c r="CB224" i="4" s="1"/>
  <c r="CE224" i="4" s="1"/>
  <c r="BY224" i="4"/>
  <c r="BX224" i="4"/>
  <c r="BW224" i="4"/>
  <c r="BV224" i="4"/>
  <c r="CD223" i="4"/>
  <c r="CC223" i="4"/>
  <c r="CB223" i="4"/>
  <c r="CA223" i="4"/>
  <c r="BZ223" i="4"/>
  <c r="BY223" i="4"/>
  <c r="BX223" i="4"/>
  <c r="BW223" i="4"/>
  <c r="BV223" i="4"/>
  <c r="CD222" i="4"/>
  <c r="CC222" i="4"/>
  <c r="CB222" i="4"/>
  <c r="CA222" i="4"/>
  <c r="BZ222" i="4"/>
  <c r="BY222" i="4"/>
  <c r="BX222" i="4"/>
  <c r="BW222" i="4"/>
  <c r="BV222" i="4"/>
  <c r="CD221" i="4"/>
  <c r="CH221" i="4" s="1"/>
  <c r="CC221" i="4"/>
  <c r="CB221" i="4"/>
  <c r="CA221" i="4"/>
  <c r="BZ221" i="4"/>
  <c r="BY221" i="4"/>
  <c r="BX221" i="4"/>
  <c r="BW221" i="4"/>
  <c r="CG221" i="4" s="1"/>
  <c r="BV221" i="4"/>
  <c r="CD220" i="4"/>
  <c r="CC220" i="4"/>
  <c r="CA220" i="4"/>
  <c r="BZ220" i="4"/>
  <c r="CB220" i="4" s="1"/>
  <c r="CE220" i="4" s="1"/>
  <c r="BY220" i="4"/>
  <c r="BX220" i="4"/>
  <c r="BW220" i="4"/>
  <c r="CG220" i="4" s="1"/>
  <c r="BV220" i="4"/>
  <c r="CD219" i="4"/>
  <c r="CH219" i="4" s="1"/>
  <c r="CC219" i="4"/>
  <c r="CB219" i="4"/>
  <c r="CF219" i="4" s="1"/>
  <c r="CA219" i="4"/>
  <c r="BZ219" i="4"/>
  <c r="BY219" i="4"/>
  <c r="BX219" i="4"/>
  <c r="BW219" i="4"/>
  <c r="BV219" i="4"/>
  <c r="CD218" i="4"/>
  <c r="CC218" i="4"/>
  <c r="CA218" i="4"/>
  <c r="BZ218" i="4"/>
  <c r="CB218" i="4" s="1"/>
  <c r="CE218" i="4" s="1"/>
  <c r="BY218" i="4"/>
  <c r="BX218" i="4"/>
  <c r="BW218" i="4"/>
  <c r="CH218" i="4" s="1"/>
  <c r="BV218" i="4"/>
  <c r="CD217" i="4"/>
  <c r="CC217" i="4"/>
  <c r="CB217" i="4"/>
  <c r="CA217" i="4"/>
  <c r="BZ217" i="4"/>
  <c r="BY217" i="4"/>
  <c r="BX217" i="4"/>
  <c r="BW217" i="4"/>
  <c r="CG217" i="4" s="1"/>
  <c r="BV217" i="4"/>
  <c r="CD216" i="4"/>
  <c r="CC216" i="4"/>
  <c r="CA216" i="4"/>
  <c r="BZ216" i="4"/>
  <c r="CB216" i="4" s="1"/>
  <c r="CF216" i="4" s="1"/>
  <c r="BY216" i="4"/>
  <c r="BX216" i="4"/>
  <c r="BW216" i="4"/>
  <c r="BV216" i="4"/>
  <c r="CD215" i="4"/>
  <c r="CH215" i="4" s="1"/>
  <c r="CC215" i="4"/>
  <c r="CB215" i="4"/>
  <c r="CA215" i="4"/>
  <c r="BZ215" i="4"/>
  <c r="BY215" i="4"/>
  <c r="BX215" i="4"/>
  <c r="BW215" i="4"/>
  <c r="BV215" i="4"/>
  <c r="CD214" i="4"/>
  <c r="CH214" i="4" s="1"/>
  <c r="CC214" i="4"/>
  <c r="CA214" i="4"/>
  <c r="BZ214" i="4"/>
  <c r="CB214" i="4" s="1"/>
  <c r="BY214" i="4"/>
  <c r="BX214" i="4"/>
  <c r="BW214" i="4"/>
  <c r="BV214" i="4"/>
  <c r="CD213" i="4"/>
  <c r="CC213" i="4"/>
  <c r="CB213" i="4"/>
  <c r="CA213" i="4"/>
  <c r="BZ213" i="4"/>
  <c r="BY213" i="4"/>
  <c r="BX213" i="4"/>
  <c r="BW213" i="4"/>
  <c r="CG213" i="4" s="1"/>
  <c r="BV213" i="4"/>
  <c r="CD212" i="4"/>
  <c r="CH212" i="4" s="1"/>
  <c r="CC212" i="4"/>
  <c r="CB212" i="4"/>
  <c r="CF212" i="4" s="1"/>
  <c r="CA212" i="4"/>
  <c r="BZ212" i="4"/>
  <c r="BY212" i="4"/>
  <c r="BX212" i="4"/>
  <c r="BW212" i="4"/>
  <c r="CG212" i="4" s="1"/>
  <c r="BV212" i="4"/>
  <c r="CD211" i="4"/>
  <c r="CC211" i="4"/>
  <c r="CG211" i="4" s="1"/>
  <c r="CA211" i="4"/>
  <c r="BZ211" i="4"/>
  <c r="CB211" i="4" s="1"/>
  <c r="BY211" i="4"/>
  <c r="BX211" i="4"/>
  <c r="BW211" i="4"/>
  <c r="BV211" i="4"/>
  <c r="CD210" i="4"/>
  <c r="CC210" i="4"/>
  <c r="CB210" i="4"/>
  <c r="CA210" i="4"/>
  <c r="BZ210" i="4"/>
  <c r="BY210" i="4"/>
  <c r="BX210" i="4"/>
  <c r="BW210" i="4"/>
  <c r="BV210" i="4"/>
  <c r="CD209" i="4"/>
  <c r="CC209" i="4"/>
  <c r="CA209" i="4"/>
  <c r="BZ209" i="4"/>
  <c r="CB209" i="4" s="1"/>
  <c r="BY209" i="4"/>
  <c r="BX209" i="4"/>
  <c r="BW209" i="4"/>
  <c r="CH209" i="4" s="1"/>
  <c r="BV209" i="4"/>
  <c r="CD208" i="4"/>
  <c r="CC208" i="4"/>
  <c r="CB208" i="4"/>
  <c r="CA208" i="4"/>
  <c r="BZ208" i="4"/>
  <c r="BY208" i="4"/>
  <c r="BX208" i="4"/>
  <c r="BW208" i="4"/>
  <c r="BV208" i="4"/>
  <c r="CD207" i="4"/>
  <c r="CC207" i="4"/>
  <c r="CB207" i="4"/>
  <c r="CF207" i="4" s="1"/>
  <c r="CA207" i="4"/>
  <c r="BZ207" i="4"/>
  <c r="BY207" i="4"/>
  <c r="BX207" i="4"/>
  <c r="BW207" i="4"/>
  <c r="CH207" i="4" s="1"/>
  <c r="BV207" i="4"/>
  <c r="CD206" i="4"/>
  <c r="CC206" i="4"/>
  <c r="CB206" i="4"/>
  <c r="CA206" i="4"/>
  <c r="BZ206" i="4"/>
  <c r="BY206" i="4"/>
  <c r="BX206" i="4"/>
  <c r="BW206" i="4"/>
  <c r="CG206" i="4" s="1"/>
  <c r="BV206" i="4"/>
  <c r="CD205" i="4"/>
  <c r="CH205" i="4" s="1"/>
  <c r="CC205" i="4"/>
  <c r="CB205" i="4"/>
  <c r="CA205" i="4"/>
  <c r="BZ205" i="4"/>
  <c r="BY205" i="4"/>
  <c r="BX205" i="4"/>
  <c r="BW205" i="4"/>
  <c r="CG205" i="4" s="1"/>
  <c r="BV205" i="4"/>
  <c r="CD204" i="4"/>
  <c r="CC204" i="4"/>
  <c r="CB204" i="4"/>
  <c r="CF204" i="4" s="1"/>
  <c r="CA204" i="4"/>
  <c r="BZ204" i="4"/>
  <c r="BY204" i="4"/>
  <c r="BX204" i="4"/>
  <c r="BW204" i="4"/>
  <c r="CH204" i="4" s="1"/>
  <c r="BV204" i="4"/>
  <c r="CD203" i="4"/>
  <c r="CC203" i="4"/>
  <c r="CB203" i="4"/>
  <c r="CF203" i="4" s="1"/>
  <c r="CA203" i="4"/>
  <c r="BZ203" i="4"/>
  <c r="BY203" i="4"/>
  <c r="BX203" i="4"/>
  <c r="BW203" i="4"/>
  <c r="BV203" i="4"/>
  <c r="CD202" i="4"/>
  <c r="CH202" i="4" s="1"/>
  <c r="CC202" i="4"/>
  <c r="CB202" i="4"/>
  <c r="CA202" i="4"/>
  <c r="BZ202" i="4"/>
  <c r="BY202" i="4"/>
  <c r="BX202" i="4"/>
  <c r="BW202" i="4"/>
  <c r="BV202" i="4"/>
  <c r="CD201" i="4"/>
  <c r="CH201" i="4" s="1"/>
  <c r="CC201" i="4"/>
  <c r="CG201" i="4" s="1"/>
  <c r="CB201" i="4"/>
  <c r="CA201" i="4"/>
  <c r="BZ201" i="4"/>
  <c r="BY201" i="4"/>
  <c r="BX201" i="4"/>
  <c r="BW201" i="4"/>
  <c r="BV201" i="4"/>
  <c r="CG200" i="4"/>
  <c r="CD200" i="4"/>
  <c r="CH200" i="4" s="1"/>
  <c r="CC200" i="4"/>
  <c r="CA200" i="4"/>
  <c r="BZ200" i="4"/>
  <c r="CB200" i="4" s="1"/>
  <c r="BY200" i="4"/>
  <c r="BX200" i="4"/>
  <c r="BW200" i="4"/>
  <c r="BV200" i="4"/>
  <c r="CG199" i="4"/>
  <c r="CD199" i="4"/>
  <c r="CC199" i="4"/>
  <c r="CB199" i="4"/>
  <c r="CF199" i="4" s="1"/>
  <c r="CA199" i="4"/>
  <c r="BZ199" i="4"/>
  <c r="BY199" i="4"/>
  <c r="BX199" i="4"/>
  <c r="BW199" i="4"/>
  <c r="BV199" i="4"/>
  <c r="CD198" i="4"/>
  <c r="CC198" i="4"/>
  <c r="CB198" i="4"/>
  <c r="CA198" i="4"/>
  <c r="BZ198" i="4"/>
  <c r="BY198" i="4"/>
  <c r="BX198" i="4"/>
  <c r="BW198" i="4"/>
  <c r="BV198" i="4"/>
  <c r="CD197" i="4"/>
  <c r="CC197" i="4"/>
  <c r="CG197" i="4" s="1"/>
  <c r="CA197" i="4"/>
  <c r="BZ197" i="4"/>
  <c r="CB197" i="4" s="1"/>
  <c r="BY197" i="4"/>
  <c r="BX197" i="4"/>
  <c r="BW197" i="4"/>
  <c r="BV197" i="4"/>
  <c r="CF196" i="4"/>
  <c r="CD196" i="4"/>
  <c r="CC196" i="4"/>
  <c r="CA196" i="4"/>
  <c r="BZ196" i="4"/>
  <c r="CB196" i="4" s="1"/>
  <c r="CE196" i="4" s="1"/>
  <c r="BY196" i="4"/>
  <c r="BX196" i="4"/>
  <c r="BW196" i="4"/>
  <c r="CH196" i="4" s="1"/>
  <c r="BV196" i="4"/>
  <c r="CG195" i="4"/>
  <c r="CD195" i="4"/>
  <c r="CC195" i="4"/>
  <c r="CB195" i="4"/>
  <c r="CF195" i="4" s="1"/>
  <c r="CA195" i="4"/>
  <c r="BZ195" i="4"/>
  <c r="BY195" i="4"/>
  <c r="BX195" i="4"/>
  <c r="BW195" i="4"/>
  <c r="BV195" i="4"/>
  <c r="CD194" i="4"/>
  <c r="CC194" i="4"/>
  <c r="CB194" i="4"/>
  <c r="CA194" i="4"/>
  <c r="BZ194" i="4"/>
  <c r="BY194" i="4"/>
  <c r="BX194" i="4"/>
  <c r="BW194" i="4"/>
  <c r="BV194" i="4"/>
  <c r="CD193" i="4"/>
  <c r="CH193" i="4" s="1"/>
  <c r="CC193" i="4"/>
  <c r="CG193" i="4" s="1"/>
  <c r="CB193" i="4"/>
  <c r="CA193" i="4"/>
  <c r="BZ193" i="4"/>
  <c r="BY193" i="4"/>
  <c r="BX193" i="4"/>
  <c r="BW193" i="4"/>
  <c r="BV193" i="4"/>
  <c r="CH192" i="4"/>
  <c r="CF192" i="4"/>
  <c r="CD192" i="4"/>
  <c r="CC192" i="4"/>
  <c r="CA192" i="4"/>
  <c r="BZ192" i="4"/>
  <c r="CB192" i="4" s="1"/>
  <c r="CE192" i="4" s="1"/>
  <c r="BY192" i="4"/>
  <c r="BX192" i="4"/>
  <c r="BW192" i="4"/>
  <c r="CG192" i="4" s="1"/>
  <c r="BV192" i="4"/>
  <c r="CD191" i="4"/>
  <c r="CC191" i="4"/>
  <c r="CB191" i="4"/>
  <c r="CA191" i="4"/>
  <c r="BZ191" i="4"/>
  <c r="BY191" i="4"/>
  <c r="BX191" i="4"/>
  <c r="BW191" i="4"/>
  <c r="CG191" i="4" s="1"/>
  <c r="BV191" i="4"/>
  <c r="CD190" i="4"/>
  <c r="CC190" i="4"/>
  <c r="CB190" i="4"/>
  <c r="CF190" i="4" s="1"/>
  <c r="CA190" i="4"/>
  <c r="BZ190" i="4"/>
  <c r="BY190" i="4"/>
  <c r="BX190" i="4"/>
  <c r="BW190" i="4"/>
  <c r="BV190" i="4"/>
  <c r="CD189" i="4"/>
  <c r="CH189" i="4" s="1"/>
  <c r="CC189" i="4"/>
  <c r="CB189" i="4"/>
  <c r="CA189" i="4"/>
  <c r="BZ189" i="4"/>
  <c r="BY189" i="4"/>
  <c r="BX189" i="4"/>
  <c r="BW189" i="4"/>
  <c r="BV189" i="4"/>
  <c r="CD188" i="4"/>
  <c r="CC188" i="4"/>
  <c r="CA188" i="4"/>
  <c r="BZ188" i="4"/>
  <c r="CB188" i="4" s="1"/>
  <c r="CE188" i="4" s="1"/>
  <c r="BY188" i="4"/>
  <c r="BX188" i="4"/>
  <c r="BW188" i="4"/>
  <c r="CH188" i="4" s="1"/>
  <c r="BV188" i="4"/>
  <c r="CD187" i="4"/>
  <c r="CC187" i="4"/>
  <c r="CB187" i="4"/>
  <c r="CF187" i="4" s="1"/>
  <c r="CA187" i="4"/>
  <c r="BZ187" i="4"/>
  <c r="BY187" i="4"/>
  <c r="BX187" i="4"/>
  <c r="BW187" i="4"/>
  <c r="CG187" i="4" s="1"/>
  <c r="BV187" i="4"/>
  <c r="CD186" i="4"/>
  <c r="CC186" i="4"/>
  <c r="CB186" i="4"/>
  <c r="CA186" i="4"/>
  <c r="BZ186" i="4"/>
  <c r="BY186" i="4"/>
  <c r="BX186" i="4"/>
  <c r="BW186" i="4"/>
  <c r="BV186" i="4"/>
  <c r="CD185" i="4"/>
  <c r="CC185" i="4"/>
  <c r="CB185" i="4"/>
  <c r="CA185" i="4"/>
  <c r="BZ185" i="4"/>
  <c r="BY185" i="4"/>
  <c r="BX185" i="4"/>
  <c r="BW185" i="4"/>
  <c r="CH185" i="4" s="1"/>
  <c r="BV185" i="4"/>
  <c r="CD184" i="4"/>
  <c r="CC184" i="4"/>
  <c r="CA184" i="4"/>
  <c r="BZ184" i="4"/>
  <c r="CB184" i="4" s="1"/>
  <c r="BY184" i="4"/>
  <c r="BX184" i="4"/>
  <c r="BW184" i="4"/>
  <c r="CH184" i="4" s="1"/>
  <c r="BV184" i="4"/>
  <c r="CD183" i="4"/>
  <c r="CH183" i="4" s="1"/>
  <c r="CC183" i="4"/>
  <c r="CB183" i="4"/>
  <c r="CA183" i="4"/>
  <c r="BZ183" i="4"/>
  <c r="BY183" i="4"/>
  <c r="BX183" i="4"/>
  <c r="BW183" i="4"/>
  <c r="CG183" i="4" s="1"/>
  <c r="BV183" i="4"/>
  <c r="CE182" i="4"/>
  <c r="CD182" i="4"/>
  <c r="CC182" i="4"/>
  <c r="CB182" i="4"/>
  <c r="CA182" i="4"/>
  <c r="BZ182" i="4"/>
  <c r="BY182" i="4"/>
  <c r="BX182" i="4"/>
  <c r="BW182" i="4"/>
  <c r="BV182" i="4"/>
  <c r="CD181" i="4"/>
  <c r="CC181" i="4"/>
  <c r="CB181" i="4"/>
  <c r="CA181" i="4"/>
  <c r="BZ181" i="4"/>
  <c r="BY181" i="4"/>
  <c r="BX181" i="4"/>
  <c r="BW181" i="4"/>
  <c r="CH181" i="4" s="1"/>
  <c r="BV181" i="4"/>
  <c r="CD180" i="4"/>
  <c r="CC180" i="4"/>
  <c r="CA180" i="4"/>
  <c r="BZ180" i="4"/>
  <c r="CB180" i="4" s="1"/>
  <c r="CE180" i="4" s="1"/>
  <c r="BY180" i="4"/>
  <c r="BX180" i="4"/>
  <c r="BW180" i="4"/>
  <c r="CG180" i="4" s="1"/>
  <c r="BV180" i="4"/>
  <c r="CG179" i="4"/>
  <c r="CD179" i="4"/>
  <c r="CH179" i="4" s="1"/>
  <c r="CC179" i="4"/>
  <c r="CB179" i="4"/>
  <c r="CA179" i="4"/>
  <c r="BZ179" i="4"/>
  <c r="BY179" i="4"/>
  <c r="BX179" i="4"/>
  <c r="BW179" i="4"/>
  <c r="CF179" i="4" s="1"/>
  <c r="BV179" i="4"/>
  <c r="CD178" i="4"/>
  <c r="CC178" i="4"/>
  <c r="CB178" i="4"/>
  <c r="CF178" i="4" s="1"/>
  <c r="CA178" i="4"/>
  <c r="BZ178" i="4"/>
  <c r="BY178" i="4"/>
  <c r="BX178" i="4"/>
  <c r="BW178" i="4"/>
  <c r="BV178" i="4"/>
  <c r="CD177" i="4"/>
  <c r="CH177" i="4" s="1"/>
  <c r="CC177" i="4"/>
  <c r="CG177" i="4" s="1"/>
  <c r="CB177" i="4"/>
  <c r="CA177" i="4"/>
  <c r="BZ177" i="4"/>
  <c r="BY177" i="4"/>
  <c r="BX177" i="4"/>
  <c r="BW177" i="4"/>
  <c r="BV177" i="4"/>
  <c r="CD176" i="4"/>
  <c r="CC176" i="4"/>
  <c r="CA176" i="4"/>
  <c r="BZ176" i="4"/>
  <c r="CB176" i="4" s="1"/>
  <c r="CE176" i="4" s="1"/>
  <c r="BY176" i="4"/>
  <c r="BX176" i="4"/>
  <c r="BW176" i="4"/>
  <c r="CG176" i="4" s="1"/>
  <c r="BV176" i="4"/>
  <c r="CG175" i="4"/>
  <c r="CD175" i="4"/>
  <c r="CC175" i="4"/>
  <c r="CB175" i="4"/>
  <c r="CF175" i="4" s="1"/>
  <c r="CA175" i="4"/>
  <c r="BZ175" i="4"/>
  <c r="BY175" i="4"/>
  <c r="BX175" i="4"/>
  <c r="BW175" i="4"/>
  <c r="BV175" i="4"/>
  <c r="CD174" i="4"/>
  <c r="CC174" i="4"/>
  <c r="CB174" i="4"/>
  <c r="CE174" i="4" s="1"/>
  <c r="CA174" i="4"/>
  <c r="BZ174" i="4"/>
  <c r="BY174" i="4"/>
  <c r="BX174" i="4"/>
  <c r="BW174" i="4"/>
  <c r="BV174" i="4"/>
  <c r="CD173" i="4"/>
  <c r="CH173" i="4" s="1"/>
  <c r="CC173" i="4"/>
  <c r="CA173" i="4"/>
  <c r="BZ173" i="4"/>
  <c r="CB173" i="4" s="1"/>
  <c r="BY173" i="4"/>
  <c r="BX173" i="4"/>
  <c r="BW173" i="4"/>
  <c r="BV173" i="4"/>
  <c r="CH172" i="4"/>
  <c r="CD172" i="4"/>
  <c r="CC172" i="4"/>
  <c r="CA172" i="4"/>
  <c r="BZ172" i="4"/>
  <c r="CB172" i="4" s="1"/>
  <c r="CE172" i="4" s="1"/>
  <c r="BY172" i="4"/>
  <c r="BX172" i="4"/>
  <c r="BW172" i="4"/>
  <c r="CG172" i="4" s="1"/>
  <c r="BV172" i="4"/>
  <c r="CG171" i="4"/>
  <c r="CD171" i="4"/>
  <c r="CC171" i="4"/>
  <c r="CB171" i="4"/>
  <c r="CF171" i="4" s="1"/>
  <c r="CA171" i="4"/>
  <c r="BZ171" i="4"/>
  <c r="BY171" i="4"/>
  <c r="BX171" i="4"/>
  <c r="BW171" i="4"/>
  <c r="BV171" i="4"/>
  <c r="CD170" i="4"/>
  <c r="CH170" i="4" s="1"/>
  <c r="CC170" i="4"/>
  <c r="CG170" i="4" s="1"/>
  <c r="CB170" i="4"/>
  <c r="CA170" i="4"/>
  <c r="BZ170" i="4"/>
  <c r="BY170" i="4"/>
  <c r="BX170" i="4"/>
  <c r="BW170" i="4"/>
  <c r="BV170" i="4"/>
  <c r="CH169" i="4"/>
  <c r="CD169" i="4"/>
  <c r="CC169" i="4"/>
  <c r="CA169" i="4"/>
  <c r="BZ169" i="4"/>
  <c r="CB169" i="4" s="1"/>
  <c r="BY169" i="4"/>
  <c r="BX169" i="4"/>
  <c r="BW169" i="4"/>
  <c r="BV169" i="4"/>
  <c r="CF168" i="4"/>
  <c r="CD168" i="4"/>
  <c r="CH168" i="4" s="1"/>
  <c r="CC168" i="4"/>
  <c r="CA168" i="4"/>
  <c r="BZ168" i="4"/>
  <c r="CB168" i="4" s="1"/>
  <c r="BY168" i="4"/>
  <c r="BX168" i="4"/>
  <c r="BW168" i="4"/>
  <c r="CG168" i="4" s="1"/>
  <c r="BV168" i="4"/>
  <c r="CD167" i="4"/>
  <c r="CC167" i="4"/>
  <c r="CB167" i="4"/>
  <c r="CF167" i="4" s="1"/>
  <c r="CA167" i="4"/>
  <c r="BZ167" i="4"/>
  <c r="BY167" i="4"/>
  <c r="BX167" i="4"/>
  <c r="BW167" i="4"/>
  <c r="CG167" i="4" s="1"/>
  <c r="BV167" i="4"/>
  <c r="CD166" i="4"/>
  <c r="CC166" i="4"/>
  <c r="CG166" i="4" s="1"/>
  <c r="CB166" i="4"/>
  <c r="CF166" i="4" s="1"/>
  <c r="CA166" i="4"/>
  <c r="BZ166" i="4"/>
  <c r="BY166" i="4"/>
  <c r="BX166" i="4"/>
  <c r="BW166" i="4"/>
  <c r="BV166" i="4"/>
  <c r="CD165" i="4"/>
  <c r="CH165" i="4" s="1"/>
  <c r="CC165" i="4"/>
  <c r="CB165" i="4"/>
  <c r="CA165" i="4"/>
  <c r="BZ165" i="4"/>
  <c r="BY165" i="4"/>
  <c r="BX165" i="4"/>
  <c r="BW165" i="4"/>
  <c r="BV165" i="4"/>
  <c r="CD164" i="4"/>
  <c r="CH164" i="4" s="1"/>
  <c r="CC164" i="4"/>
  <c r="CA164" i="4"/>
  <c r="BZ164" i="4"/>
  <c r="CB164" i="4" s="1"/>
  <c r="CE164" i="4" s="1"/>
  <c r="BY164" i="4"/>
  <c r="BX164" i="4"/>
  <c r="BW164" i="4"/>
  <c r="CG164" i="4" s="1"/>
  <c r="BV164" i="4"/>
  <c r="CD163" i="4"/>
  <c r="CC163" i="4"/>
  <c r="CB163" i="4"/>
  <c r="CA163" i="4"/>
  <c r="BZ163" i="4"/>
  <c r="BY163" i="4"/>
  <c r="BX163" i="4"/>
  <c r="BW163" i="4"/>
  <c r="CG163" i="4" s="1"/>
  <c r="BV163" i="4"/>
  <c r="CD162" i="4"/>
  <c r="CC162" i="4"/>
  <c r="CA162" i="4"/>
  <c r="BZ162" i="4"/>
  <c r="CB162" i="4" s="1"/>
  <c r="BY162" i="4"/>
  <c r="BX162" i="4"/>
  <c r="BW162" i="4"/>
  <c r="BV162" i="4"/>
  <c r="CD161" i="4"/>
  <c r="CH161" i="4" s="1"/>
  <c r="CC161" i="4"/>
  <c r="CA161" i="4"/>
  <c r="BZ161" i="4"/>
  <c r="CB161" i="4" s="1"/>
  <c r="BY161" i="4"/>
  <c r="BX161" i="4"/>
  <c r="BW161" i="4"/>
  <c r="BV161" i="4"/>
  <c r="CD160" i="4"/>
  <c r="CH160" i="4" s="1"/>
  <c r="CC160" i="4"/>
  <c r="CA160" i="4"/>
  <c r="BZ160" i="4"/>
  <c r="CB160" i="4" s="1"/>
  <c r="CF160" i="4" s="1"/>
  <c r="BY160" i="4"/>
  <c r="BX160" i="4"/>
  <c r="BW160" i="4"/>
  <c r="CG160" i="4" s="1"/>
  <c r="CI160" i="4" s="1"/>
  <c r="BV160" i="4"/>
  <c r="CG159" i="4"/>
  <c r="CD159" i="4"/>
  <c r="CH159" i="4" s="1"/>
  <c r="CC159" i="4"/>
  <c r="CB159" i="4"/>
  <c r="CA159" i="4"/>
  <c r="BZ159" i="4"/>
  <c r="BY159" i="4"/>
  <c r="BX159" i="4"/>
  <c r="BW159" i="4"/>
  <c r="CF159" i="4" s="1"/>
  <c r="BV159" i="4"/>
  <c r="CD158" i="4"/>
  <c r="CC158" i="4"/>
  <c r="CB158" i="4"/>
  <c r="CA158" i="4"/>
  <c r="BZ158" i="4"/>
  <c r="BY158" i="4"/>
  <c r="BX158" i="4"/>
  <c r="BW158" i="4"/>
  <c r="BV158" i="4"/>
  <c r="CD157" i="4"/>
  <c r="CH157" i="4" s="1"/>
  <c r="CC157" i="4"/>
  <c r="CG157" i="4" s="1"/>
  <c r="CA157" i="4"/>
  <c r="BZ157" i="4"/>
  <c r="CB157" i="4" s="1"/>
  <c r="BY157" i="4"/>
  <c r="BX157" i="4"/>
  <c r="BW157" i="4"/>
  <c r="BV157" i="4"/>
  <c r="CD156" i="4"/>
  <c r="CH156" i="4" s="1"/>
  <c r="CC156" i="4"/>
  <c r="CA156" i="4"/>
  <c r="BZ156" i="4"/>
  <c r="CB156" i="4" s="1"/>
  <c r="CF156" i="4" s="1"/>
  <c r="BY156" i="4"/>
  <c r="BX156" i="4"/>
  <c r="BW156" i="4"/>
  <c r="CG156" i="4" s="1"/>
  <c r="BV156" i="4"/>
  <c r="CD155" i="4"/>
  <c r="CC155" i="4"/>
  <c r="CB155" i="4"/>
  <c r="CA155" i="4"/>
  <c r="BZ155" i="4"/>
  <c r="BY155" i="4"/>
  <c r="BX155" i="4"/>
  <c r="BW155" i="4"/>
  <c r="CG155" i="4" s="1"/>
  <c r="BV155" i="4"/>
  <c r="CD154" i="4"/>
  <c r="CC154" i="4"/>
  <c r="CB154" i="4"/>
  <c r="CA154" i="4"/>
  <c r="BZ154" i="4"/>
  <c r="BY154" i="4"/>
  <c r="BX154" i="4"/>
  <c r="BW154" i="4"/>
  <c r="BV154" i="4"/>
  <c r="CD153" i="4"/>
  <c r="CC153" i="4"/>
  <c r="CG153" i="4" s="1"/>
  <c r="CB153" i="4"/>
  <c r="CE153" i="4" s="1"/>
  <c r="CA153" i="4"/>
  <c r="BZ153" i="4"/>
  <c r="BY153" i="4"/>
  <c r="BX153" i="4"/>
  <c r="BW153" i="4"/>
  <c r="CH153" i="4" s="1"/>
  <c r="BV153" i="4"/>
  <c r="CG152" i="4"/>
  <c r="CD152" i="4"/>
  <c r="CH152" i="4" s="1"/>
  <c r="CC152" i="4"/>
  <c r="CA152" i="4"/>
  <c r="BZ152" i="4"/>
  <c r="CB152" i="4" s="1"/>
  <c r="CF152" i="4" s="1"/>
  <c r="BY152" i="4"/>
  <c r="BX152" i="4"/>
  <c r="BW152" i="4"/>
  <c r="BV152" i="4"/>
  <c r="CG151" i="4"/>
  <c r="CD151" i="4"/>
  <c r="CH151" i="4" s="1"/>
  <c r="CC151" i="4"/>
  <c r="CB151" i="4"/>
  <c r="CF151" i="4" s="1"/>
  <c r="CA151" i="4"/>
  <c r="BZ151" i="4"/>
  <c r="BY151" i="4"/>
  <c r="BX151" i="4"/>
  <c r="BW151" i="4"/>
  <c r="BV151" i="4"/>
  <c r="CD150" i="4"/>
  <c r="CC150" i="4"/>
  <c r="CB150" i="4"/>
  <c r="CA150" i="4"/>
  <c r="BZ150" i="4"/>
  <c r="BY150" i="4"/>
  <c r="BX150" i="4"/>
  <c r="BW150" i="4"/>
  <c r="BV150" i="4"/>
  <c r="CD149" i="4"/>
  <c r="CC149" i="4"/>
  <c r="CB149" i="4"/>
  <c r="CE149" i="4" s="1"/>
  <c r="CA149" i="4"/>
  <c r="BZ149" i="4"/>
  <c r="BY149" i="4"/>
  <c r="BX149" i="4"/>
  <c r="BW149" i="4"/>
  <c r="CH149" i="4" s="1"/>
  <c r="BV149" i="4"/>
  <c r="CD148" i="4"/>
  <c r="CH148" i="4" s="1"/>
  <c r="CC148" i="4"/>
  <c r="CB148" i="4"/>
  <c r="CF148" i="4" s="1"/>
  <c r="CA148" i="4"/>
  <c r="BZ148" i="4"/>
  <c r="BY148" i="4"/>
  <c r="BX148" i="4"/>
  <c r="BW148" i="4"/>
  <c r="CG148" i="4" s="1"/>
  <c r="BV148" i="4"/>
  <c r="CG147" i="4"/>
  <c r="CD147" i="4"/>
  <c r="CH147" i="4" s="1"/>
  <c r="CC147" i="4"/>
  <c r="CA147" i="4"/>
  <c r="BZ147" i="4"/>
  <c r="CB147" i="4" s="1"/>
  <c r="BY147" i="4"/>
  <c r="BX147" i="4"/>
  <c r="BW147" i="4"/>
  <c r="BV147" i="4"/>
  <c r="CD146" i="4"/>
  <c r="CC146" i="4"/>
  <c r="CA146" i="4"/>
  <c r="BZ146" i="4"/>
  <c r="CB146" i="4" s="1"/>
  <c r="CF146" i="4" s="1"/>
  <c r="BY146" i="4"/>
  <c r="BX146" i="4"/>
  <c r="BW146" i="4"/>
  <c r="BV146" i="4"/>
  <c r="CD145" i="4"/>
  <c r="CH145" i="4" s="1"/>
  <c r="CC145" i="4"/>
  <c r="CG145" i="4" s="1"/>
  <c r="CA145" i="4"/>
  <c r="BZ145" i="4"/>
  <c r="CB145" i="4" s="1"/>
  <c r="BY145" i="4"/>
  <c r="BX145" i="4"/>
  <c r="BW145" i="4"/>
  <c r="BV145" i="4"/>
  <c r="CD144" i="4"/>
  <c r="CC144" i="4"/>
  <c r="CA144" i="4"/>
  <c r="BZ144" i="4"/>
  <c r="CB144" i="4" s="1"/>
  <c r="BY144" i="4"/>
  <c r="BX144" i="4"/>
  <c r="BW144" i="4"/>
  <c r="CH144" i="4" s="1"/>
  <c r="BV144" i="4"/>
  <c r="CD143" i="4"/>
  <c r="CC143" i="4"/>
  <c r="CB143" i="4"/>
  <c r="CF143" i="4" s="1"/>
  <c r="CA143" i="4"/>
  <c r="BZ143" i="4"/>
  <c r="BY143" i="4"/>
  <c r="BX143" i="4"/>
  <c r="BW143" i="4"/>
  <c r="CH143" i="4" s="1"/>
  <c r="BV143" i="4"/>
  <c r="CD142" i="4"/>
  <c r="CC142" i="4"/>
  <c r="CB142" i="4"/>
  <c r="CE142" i="4" s="1"/>
  <c r="CA142" i="4"/>
  <c r="BZ142" i="4"/>
  <c r="BY142" i="4"/>
  <c r="BX142" i="4"/>
  <c r="BW142" i="4"/>
  <c r="CH142" i="4" s="1"/>
  <c r="BV142" i="4"/>
  <c r="CD141" i="4"/>
  <c r="CC141" i="4"/>
  <c r="CB141" i="4"/>
  <c r="CA141" i="4"/>
  <c r="BZ141" i="4"/>
  <c r="BY141" i="4"/>
  <c r="BX141" i="4"/>
  <c r="BW141" i="4"/>
  <c r="CH141" i="4" s="1"/>
  <c r="BV141" i="4"/>
  <c r="CD140" i="4"/>
  <c r="CC140" i="4"/>
  <c r="CA140" i="4"/>
  <c r="BZ140" i="4"/>
  <c r="CB140" i="4" s="1"/>
  <c r="BY140" i="4"/>
  <c r="BX140" i="4"/>
  <c r="BW140" i="4"/>
  <c r="CH140" i="4" s="1"/>
  <c r="BV140" i="4"/>
  <c r="CD139" i="4"/>
  <c r="CC139" i="4"/>
  <c r="CA139" i="4"/>
  <c r="BZ139" i="4"/>
  <c r="CB139" i="4" s="1"/>
  <c r="CE139" i="4" s="1"/>
  <c r="BY139" i="4"/>
  <c r="BX139" i="4"/>
  <c r="BW139" i="4"/>
  <c r="CG139" i="4" s="1"/>
  <c r="BV139" i="4"/>
  <c r="CD138" i="4"/>
  <c r="CH138" i="4" s="1"/>
  <c r="CC138" i="4"/>
  <c r="CG138" i="4" s="1"/>
  <c r="CA138" i="4"/>
  <c r="BZ138" i="4"/>
  <c r="CB138" i="4" s="1"/>
  <c r="BY138" i="4"/>
  <c r="BX138" i="4"/>
  <c r="BW138" i="4"/>
  <c r="BV138" i="4"/>
  <c r="CD137" i="4"/>
  <c r="CH137" i="4" s="1"/>
  <c r="CC137" i="4"/>
  <c r="CG137" i="4" s="1"/>
  <c r="CA137" i="4"/>
  <c r="BZ137" i="4"/>
  <c r="CB137" i="4" s="1"/>
  <c r="CE137" i="4" s="1"/>
  <c r="BY137" i="4"/>
  <c r="BX137" i="4"/>
  <c r="BW137" i="4"/>
  <c r="BV137" i="4"/>
  <c r="CD136" i="4"/>
  <c r="CH136" i="4" s="1"/>
  <c r="CC136" i="4"/>
  <c r="CB136" i="4"/>
  <c r="CA136" i="4"/>
  <c r="BZ136" i="4"/>
  <c r="BY136" i="4"/>
  <c r="BX136" i="4"/>
  <c r="BW136" i="4"/>
  <c r="CG136" i="4" s="1"/>
  <c r="BV136" i="4"/>
  <c r="CD135" i="4"/>
  <c r="CC135" i="4"/>
  <c r="CB135" i="4"/>
  <c r="CA135" i="4"/>
  <c r="BZ135" i="4"/>
  <c r="BY135" i="4"/>
  <c r="BX135" i="4"/>
  <c r="BW135" i="4"/>
  <c r="CG135" i="4" s="1"/>
  <c r="BV135" i="4"/>
  <c r="CD134" i="4"/>
  <c r="CC134" i="4"/>
  <c r="CB134" i="4"/>
  <c r="CA134" i="4"/>
  <c r="BZ134" i="4"/>
  <c r="BY134" i="4"/>
  <c r="BX134" i="4"/>
  <c r="BW134" i="4"/>
  <c r="BV134" i="4"/>
  <c r="CD133" i="4"/>
  <c r="CC133" i="4"/>
  <c r="CG133" i="4" s="1"/>
  <c r="CB133" i="4"/>
  <c r="CE133" i="4" s="1"/>
  <c r="CA133" i="4"/>
  <c r="BZ133" i="4"/>
  <c r="BY133" i="4"/>
  <c r="BX133" i="4"/>
  <c r="BW133" i="4"/>
  <c r="CH133" i="4" s="1"/>
  <c r="BV133" i="4"/>
  <c r="CD132" i="4"/>
  <c r="CC132" i="4"/>
  <c r="CB132" i="4"/>
  <c r="CA132" i="4"/>
  <c r="BZ132" i="4"/>
  <c r="BY132" i="4"/>
  <c r="BX132" i="4"/>
  <c r="BW132" i="4"/>
  <c r="CF132" i="4" s="1"/>
  <c r="BV132" i="4"/>
  <c r="CD131" i="4"/>
  <c r="CC131" i="4"/>
  <c r="CA131" i="4"/>
  <c r="BZ131" i="4"/>
  <c r="CB131" i="4" s="1"/>
  <c r="BY131" i="4"/>
  <c r="BX131" i="4"/>
  <c r="BW131" i="4"/>
  <c r="CG131" i="4" s="1"/>
  <c r="BV131" i="4"/>
  <c r="CD130" i="4"/>
  <c r="CC130" i="4"/>
  <c r="CA130" i="4"/>
  <c r="BZ130" i="4"/>
  <c r="CB130" i="4" s="1"/>
  <c r="CE130" i="4" s="1"/>
  <c r="BY130" i="4"/>
  <c r="BX130" i="4"/>
  <c r="BW130" i="4"/>
  <c r="BV130" i="4"/>
  <c r="CD129" i="4"/>
  <c r="CC129" i="4"/>
  <c r="CA129" i="4"/>
  <c r="BZ129" i="4"/>
  <c r="CB129" i="4" s="1"/>
  <c r="BY129" i="4"/>
  <c r="BX129" i="4"/>
  <c r="BW129" i="4"/>
  <c r="BV129" i="4"/>
  <c r="CD128" i="4"/>
  <c r="CH128" i="4" s="1"/>
  <c r="CC128" i="4"/>
  <c r="CA128" i="4"/>
  <c r="BZ128" i="4"/>
  <c r="CB128" i="4" s="1"/>
  <c r="CE128" i="4" s="1"/>
  <c r="BY128" i="4"/>
  <c r="BX128" i="4"/>
  <c r="BW128" i="4"/>
  <c r="CG128" i="4" s="1"/>
  <c r="BV128" i="4"/>
  <c r="CD127" i="4"/>
  <c r="CC127" i="4"/>
  <c r="CB127" i="4"/>
  <c r="CA127" i="4"/>
  <c r="BZ127" i="4"/>
  <c r="BY127" i="4"/>
  <c r="BX127" i="4"/>
  <c r="BW127" i="4"/>
  <c r="BV127" i="4"/>
  <c r="CD126" i="4"/>
  <c r="CH126" i="4" s="1"/>
  <c r="CC126" i="4"/>
  <c r="CB126" i="4"/>
  <c r="CF126" i="4" s="1"/>
  <c r="CA126" i="4"/>
  <c r="BZ126" i="4"/>
  <c r="BY126" i="4"/>
  <c r="BX126" i="4"/>
  <c r="BW126" i="4"/>
  <c r="BV126" i="4"/>
  <c r="CD125" i="4"/>
  <c r="CC125" i="4"/>
  <c r="CB125" i="4"/>
  <c r="CA125" i="4"/>
  <c r="BZ125" i="4"/>
  <c r="BY125" i="4"/>
  <c r="BX125" i="4"/>
  <c r="BW125" i="4"/>
  <c r="CH125" i="4" s="1"/>
  <c r="BV125" i="4"/>
  <c r="CD124" i="4"/>
  <c r="CH124" i="4" s="1"/>
  <c r="CC124" i="4"/>
  <c r="CA124" i="4"/>
  <c r="BZ124" i="4"/>
  <c r="CB124" i="4" s="1"/>
  <c r="BY124" i="4"/>
  <c r="BX124" i="4"/>
  <c r="BW124" i="4"/>
  <c r="CG124" i="4" s="1"/>
  <c r="BV124" i="4"/>
  <c r="CD123" i="4"/>
  <c r="CH123" i="4" s="1"/>
  <c r="CC123" i="4"/>
  <c r="CA123" i="4"/>
  <c r="BZ123" i="4"/>
  <c r="CB123" i="4" s="1"/>
  <c r="CE123" i="4" s="1"/>
  <c r="BY123" i="4"/>
  <c r="BX123" i="4"/>
  <c r="BW123" i="4"/>
  <c r="CG123" i="4" s="1"/>
  <c r="BV123" i="4"/>
  <c r="CD122" i="4"/>
  <c r="CH122" i="4" s="1"/>
  <c r="CC122" i="4"/>
  <c r="CG122" i="4" s="1"/>
  <c r="CA122" i="4"/>
  <c r="BZ122" i="4"/>
  <c r="CB122" i="4" s="1"/>
  <c r="BY122" i="4"/>
  <c r="BX122" i="4"/>
  <c r="BW122" i="4"/>
  <c r="BV122" i="4"/>
  <c r="CD121" i="4"/>
  <c r="CH121" i="4" s="1"/>
  <c r="CC121" i="4"/>
  <c r="CA121" i="4"/>
  <c r="BZ121" i="4"/>
  <c r="CB121" i="4" s="1"/>
  <c r="CF121" i="4" s="1"/>
  <c r="BY121" i="4"/>
  <c r="BX121" i="4"/>
  <c r="BW121" i="4"/>
  <c r="BV121" i="4"/>
  <c r="CD120" i="4"/>
  <c r="CC120" i="4"/>
  <c r="CB120" i="4"/>
  <c r="CA120" i="4"/>
  <c r="BZ120" i="4"/>
  <c r="BY120" i="4"/>
  <c r="BX120" i="4"/>
  <c r="BW120" i="4"/>
  <c r="CG120" i="4" s="1"/>
  <c r="BV120" i="4"/>
  <c r="CG119" i="4"/>
  <c r="CD119" i="4"/>
  <c r="CC119" i="4"/>
  <c r="CB119" i="4"/>
  <c r="CA119" i="4"/>
  <c r="BZ119" i="4"/>
  <c r="BY119" i="4"/>
  <c r="BX119" i="4"/>
  <c r="BW119" i="4"/>
  <c r="CF119" i="4" s="1"/>
  <c r="BV119" i="4"/>
  <c r="CD118" i="4"/>
  <c r="CC118" i="4"/>
  <c r="CB118" i="4"/>
  <c r="CA118" i="4"/>
  <c r="BZ118" i="4"/>
  <c r="BY118" i="4"/>
  <c r="BX118" i="4"/>
  <c r="BW118" i="4"/>
  <c r="BV118" i="4"/>
  <c r="CD117" i="4"/>
  <c r="CH117" i="4" s="1"/>
  <c r="CC117" i="4"/>
  <c r="CB117" i="4"/>
  <c r="CA117" i="4"/>
  <c r="BZ117" i="4"/>
  <c r="BY117" i="4"/>
  <c r="BX117" i="4"/>
  <c r="BW117" i="4"/>
  <c r="BV117" i="4"/>
  <c r="CD116" i="4"/>
  <c r="CC116" i="4"/>
  <c r="CG116" i="4" s="1"/>
  <c r="CB116" i="4"/>
  <c r="CA116" i="4"/>
  <c r="BZ116" i="4"/>
  <c r="BY116" i="4"/>
  <c r="BX116" i="4"/>
  <c r="BW116" i="4"/>
  <c r="CF116" i="4" s="1"/>
  <c r="BV116" i="4"/>
  <c r="CD115" i="4"/>
  <c r="CH115" i="4" s="1"/>
  <c r="CC115" i="4"/>
  <c r="CB115" i="4"/>
  <c r="CA115" i="4"/>
  <c r="BZ115" i="4"/>
  <c r="BY115" i="4"/>
  <c r="BX115" i="4"/>
  <c r="BW115" i="4"/>
  <c r="CG115" i="4" s="1"/>
  <c r="BV115" i="4"/>
  <c r="CG114" i="4"/>
  <c r="CD114" i="4"/>
  <c r="CC114" i="4"/>
  <c r="CB114" i="4"/>
  <c r="CE114" i="4" s="1"/>
  <c r="CA114" i="4"/>
  <c r="BZ114" i="4"/>
  <c r="BY114" i="4"/>
  <c r="BX114" i="4"/>
  <c r="BW114" i="4"/>
  <c r="BV114" i="4"/>
  <c r="CD113" i="4"/>
  <c r="CH113" i="4" s="1"/>
  <c r="CC113" i="4"/>
  <c r="CB113" i="4"/>
  <c r="CA113" i="4"/>
  <c r="BZ113" i="4"/>
  <c r="BY113" i="4"/>
  <c r="BX113" i="4"/>
  <c r="BW113" i="4"/>
  <c r="CF113" i="4" s="1"/>
  <c r="BV113" i="4"/>
  <c r="CD112" i="4"/>
  <c r="CH112" i="4" s="1"/>
  <c r="CC112" i="4"/>
  <c r="CA112" i="4"/>
  <c r="BZ112" i="4"/>
  <c r="CB112" i="4" s="1"/>
  <c r="BY112" i="4"/>
  <c r="BX112" i="4"/>
  <c r="BW112" i="4"/>
  <c r="BV112" i="4"/>
  <c r="CG111" i="4"/>
  <c r="CD111" i="4"/>
  <c r="CH111" i="4" s="1"/>
  <c r="CC111" i="4"/>
  <c r="CB111" i="4"/>
  <c r="CF111" i="4" s="1"/>
  <c r="CI111" i="4" s="1"/>
  <c r="CA111" i="4"/>
  <c r="BZ111" i="4"/>
  <c r="BY111" i="4"/>
  <c r="BX111" i="4"/>
  <c r="BW111" i="4"/>
  <c r="BV111" i="4"/>
  <c r="CD110" i="4"/>
  <c r="CC110" i="4"/>
  <c r="CB110" i="4"/>
  <c r="CA110" i="4"/>
  <c r="BZ110" i="4"/>
  <c r="BY110" i="4"/>
  <c r="BX110" i="4"/>
  <c r="BW110" i="4"/>
  <c r="CF110" i="4" s="1"/>
  <c r="BV110" i="4"/>
  <c r="CD109" i="4"/>
  <c r="CC109" i="4"/>
  <c r="CA109" i="4"/>
  <c r="BZ109" i="4"/>
  <c r="CB109" i="4" s="1"/>
  <c r="BY109" i="4"/>
  <c r="BX109" i="4"/>
  <c r="BW109" i="4"/>
  <c r="BV109" i="4"/>
  <c r="CD108" i="4"/>
  <c r="CH108" i="4" s="1"/>
  <c r="CC108" i="4"/>
  <c r="CA108" i="4"/>
  <c r="BZ108" i="4"/>
  <c r="CB108" i="4" s="1"/>
  <c r="CE108" i="4" s="1"/>
  <c r="BY108" i="4"/>
  <c r="BX108" i="4"/>
  <c r="BW108" i="4"/>
  <c r="CG108" i="4" s="1"/>
  <c r="BV108" i="4"/>
  <c r="CD107" i="4"/>
  <c r="CC107" i="4"/>
  <c r="CB107" i="4"/>
  <c r="CA107" i="4"/>
  <c r="BZ107" i="4"/>
  <c r="BY107" i="4"/>
  <c r="BX107" i="4"/>
  <c r="BW107" i="4"/>
  <c r="CG107" i="4" s="1"/>
  <c r="BV107" i="4"/>
  <c r="CH106" i="4"/>
  <c r="CD106" i="4"/>
  <c r="CC106" i="4"/>
  <c r="CG106" i="4" s="1"/>
  <c r="CA106" i="4"/>
  <c r="BZ106" i="4"/>
  <c r="CB106" i="4" s="1"/>
  <c r="BY106" i="4"/>
  <c r="BX106" i="4"/>
  <c r="BW106" i="4"/>
  <c r="BV106" i="4"/>
  <c r="CD105" i="4"/>
  <c r="CC105" i="4"/>
  <c r="CA105" i="4"/>
  <c r="BZ105" i="4"/>
  <c r="CB105" i="4" s="1"/>
  <c r="CF105" i="4" s="1"/>
  <c r="BY105" i="4"/>
  <c r="BX105" i="4"/>
  <c r="BW105" i="4"/>
  <c r="BV105" i="4"/>
  <c r="CD104" i="4"/>
  <c r="CC104" i="4"/>
  <c r="CB104" i="4"/>
  <c r="CA104" i="4"/>
  <c r="BZ104" i="4"/>
  <c r="BY104" i="4"/>
  <c r="BX104" i="4"/>
  <c r="BW104" i="4"/>
  <c r="BV104" i="4"/>
  <c r="CD103" i="4"/>
  <c r="CC103" i="4"/>
  <c r="CA103" i="4"/>
  <c r="BZ103" i="4"/>
  <c r="CB103" i="4" s="1"/>
  <c r="BY103" i="4"/>
  <c r="BX103" i="4"/>
  <c r="BW103" i="4"/>
  <c r="CH103" i="4" s="1"/>
  <c r="BV103" i="4"/>
  <c r="CD102" i="4"/>
  <c r="CC102" i="4"/>
  <c r="CB102" i="4"/>
  <c r="CE102" i="4" s="1"/>
  <c r="CA102" i="4"/>
  <c r="BZ102" i="4"/>
  <c r="BY102" i="4"/>
  <c r="BX102" i="4"/>
  <c r="BW102" i="4"/>
  <c r="CG102" i="4" s="1"/>
  <c r="BV102" i="4"/>
  <c r="CD101" i="4"/>
  <c r="CH101" i="4" s="1"/>
  <c r="CC101" i="4"/>
  <c r="CA101" i="4"/>
  <c r="BZ101" i="4"/>
  <c r="CB101" i="4" s="1"/>
  <c r="BY101" i="4"/>
  <c r="BX101" i="4"/>
  <c r="BW101" i="4"/>
  <c r="CG101" i="4" s="1"/>
  <c r="BV101" i="4"/>
  <c r="CD100" i="4"/>
  <c r="CC100" i="4"/>
  <c r="CB100" i="4"/>
  <c r="CE100" i="4" s="1"/>
  <c r="CA100" i="4"/>
  <c r="BZ100" i="4"/>
  <c r="BY100" i="4"/>
  <c r="BX100" i="4"/>
  <c r="BW100" i="4"/>
  <c r="BV100" i="4"/>
  <c r="CD99" i="4"/>
  <c r="CH99" i="4" s="1"/>
  <c r="CC99" i="4"/>
  <c r="CA99" i="4"/>
  <c r="BZ99" i="4"/>
  <c r="CB99" i="4" s="1"/>
  <c r="BY99" i="4"/>
  <c r="BX99" i="4"/>
  <c r="BW99" i="4"/>
  <c r="BV99" i="4"/>
  <c r="CG98" i="4"/>
  <c r="CD98" i="4"/>
  <c r="CC98" i="4"/>
  <c r="CB98" i="4"/>
  <c r="CA98" i="4"/>
  <c r="BZ98" i="4"/>
  <c r="BY98" i="4"/>
  <c r="BX98" i="4"/>
  <c r="BW98" i="4"/>
  <c r="CF98" i="4" s="1"/>
  <c r="BV98" i="4"/>
  <c r="CD97" i="4"/>
  <c r="CC97" i="4"/>
  <c r="CA97" i="4"/>
  <c r="BZ97" i="4"/>
  <c r="CB97" i="4" s="1"/>
  <c r="CF97" i="4" s="1"/>
  <c r="BY97" i="4"/>
  <c r="BX97" i="4"/>
  <c r="BW97" i="4"/>
  <c r="CG97" i="4" s="1"/>
  <c r="BV97" i="4"/>
  <c r="CD96" i="4"/>
  <c r="CC96" i="4"/>
  <c r="CB96" i="4"/>
  <c r="CA96" i="4"/>
  <c r="BZ96" i="4"/>
  <c r="BY96" i="4"/>
  <c r="BX96" i="4"/>
  <c r="BW96" i="4"/>
  <c r="CH96" i="4" s="1"/>
  <c r="BV96" i="4"/>
  <c r="CD95" i="4"/>
  <c r="CH95" i="4" s="1"/>
  <c r="CC95" i="4"/>
  <c r="CG95" i="4" s="1"/>
  <c r="CA95" i="4"/>
  <c r="BZ95" i="4"/>
  <c r="CB95" i="4" s="1"/>
  <c r="BY95" i="4"/>
  <c r="BX95" i="4"/>
  <c r="BW95" i="4"/>
  <c r="BV95" i="4"/>
  <c r="CD94" i="4"/>
  <c r="CH94" i="4" s="1"/>
  <c r="CC94" i="4"/>
  <c r="CB94" i="4"/>
  <c r="CA94" i="4"/>
  <c r="BZ94" i="4"/>
  <c r="BY94" i="4"/>
  <c r="BX94" i="4"/>
  <c r="BW94" i="4"/>
  <c r="CG94" i="4" s="1"/>
  <c r="BV94" i="4"/>
  <c r="CD93" i="4"/>
  <c r="CC93" i="4"/>
  <c r="CA93" i="4"/>
  <c r="BZ93" i="4"/>
  <c r="CB93" i="4" s="1"/>
  <c r="BY93" i="4"/>
  <c r="BX93" i="4"/>
  <c r="BW93" i="4"/>
  <c r="CG93" i="4" s="1"/>
  <c r="BV93" i="4"/>
  <c r="CD92" i="4"/>
  <c r="CC92" i="4"/>
  <c r="CA92" i="4"/>
  <c r="BZ92" i="4"/>
  <c r="CB92" i="4" s="1"/>
  <c r="BY92" i="4"/>
  <c r="BX92" i="4"/>
  <c r="BW92" i="4"/>
  <c r="CH92" i="4" s="1"/>
  <c r="BV92" i="4"/>
  <c r="CD91" i="4"/>
  <c r="CH91" i="4" s="1"/>
  <c r="CC91" i="4"/>
  <c r="CA91" i="4"/>
  <c r="BZ91" i="4"/>
  <c r="CB91" i="4" s="1"/>
  <c r="CF91" i="4" s="1"/>
  <c r="BY91" i="4"/>
  <c r="BX91" i="4"/>
  <c r="BW91" i="4"/>
  <c r="BV91" i="4"/>
  <c r="CG90" i="4"/>
  <c r="CD90" i="4"/>
  <c r="CC90" i="4"/>
  <c r="CB90" i="4"/>
  <c r="CA90" i="4"/>
  <c r="BZ90" i="4"/>
  <c r="BY90" i="4"/>
  <c r="BX90" i="4"/>
  <c r="BW90" i="4"/>
  <c r="CF90" i="4" s="1"/>
  <c r="BV90" i="4"/>
  <c r="CD89" i="4"/>
  <c r="CC89" i="4"/>
  <c r="CA89" i="4"/>
  <c r="BZ89" i="4"/>
  <c r="CB89" i="4" s="1"/>
  <c r="BY89" i="4"/>
  <c r="BX89" i="4"/>
  <c r="BW89" i="4"/>
  <c r="CG89" i="4" s="1"/>
  <c r="BV89" i="4"/>
  <c r="CD88" i="4"/>
  <c r="CH88" i="4" s="1"/>
  <c r="CC88" i="4"/>
  <c r="CG88" i="4" s="1"/>
  <c r="CA88" i="4"/>
  <c r="BZ88" i="4"/>
  <c r="CB88" i="4" s="1"/>
  <c r="BY88" i="4"/>
  <c r="BX88" i="4"/>
  <c r="BW88" i="4"/>
  <c r="BV88" i="4"/>
  <c r="CD87" i="4"/>
  <c r="CH87" i="4" s="1"/>
  <c r="CC87" i="4"/>
  <c r="CG87" i="4" s="1"/>
  <c r="CA87" i="4"/>
  <c r="BZ87" i="4"/>
  <c r="CB87" i="4" s="1"/>
  <c r="CF87" i="4" s="1"/>
  <c r="CI87" i="4" s="1"/>
  <c r="BY87" i="4"/>
  <c r="BX87" i="4"/>
  <c r="BW87" i="4"/>
  <c r="BV87" i="4"/>
  <c r="CD86" i="4"/>
  <c r="CH86" i="4" s="1"/>
  <c r="CC86" i="4"/>
  <c r="CB86" i="4"/>
  <c r="CE86" i="4" s="1"/>
  <c r="CA86" i="4"/>
  <c r="BZ86" i="4"/>
  <c r="BY86" i="4"/>
  <c r="BX86" i="4"/>
  <c r="BW86" i="4"/>
  <c r="CG86" i="4" s="1"/>
  <c r="BV86" i="4"/>
  <c r="CD85" i="4"/>
  <c r="CH85" i="4" s="1"/>
  <c r="CC85" i="4"/>
  <c r="CB85" i="4"/>
  <c r="CF85" i="4" s="1"/>
  <c r="CA85" i="4"/>
  <c r="BZ85" i="4"/>
  <c r="BY85" i="4"/>
  <c r="BX85" i="4"/>
  <c r="BW85" i="4"/>
  <c r="CG85" i="4" s="1"/>
  <c r="BV85" i="4"/>
  <c r="CH84" i="4"/>
  <c r="CD84" i="4"/>
  <c r="CC84" i="4"/>
  <c r="CB84" i="4"/>
  <c r="CE84" i="4" s="1"/>
  <c r="CA84" i="4"/>
  <c r="BZ84" i="4"/>
  <c r="BY84" i="4"/>
  <c r="BX84" i="4"/>
  <c r="BW84" i="4"/>
  <c r="CF84" i="4" s="1"/>
  <c r="BV84" i="4"/>
  <c r="CD83" i="4"/>
  <c r="CH83" i="4" s="1"/>
  <c r="CC83" i="4"/>
  <c r="CG83" i="4" s="1"/>
  <c r="CB83" i="4"/>
  <c r="CA83" i="4"/>
  <c r="BZ83" i="4"/>
  <c r="BY83" i="4"/>
  <c r="BX83" i="4"/>
  <c r="BW83" i="4"/>
  <c r="BV83" i="4"/>
  <c r="CD82" i="4"/>
  <c r="CH82" i="4" s="1"/>
  <c r="CC82" i="4"/>
  <c r="CA82" i="4"/>
  <c r="BZ82" i="4"/>
  <c r="CB82" i="4" s="1"/>
  <c r="BY82" i="4"/>
  <c r="BX82" i="4"/>
  <c r="BW82" i="4"/>
  <c r="CG82" i="4" s="1"/>
  <c r="BV82" i="4"/>
  <c r="CD81" i="4"/>
  <c r="CH81" i="4" s="1"/>
  <c r="CC81" i="4"/>
  <c r="CA81" i="4"/>
  <c r="BZ81" i="4"/>
  <c r="CB81" i="4" s="1"/>
  <c r="BY81" i="4"/>
  <c r="BX81" i="4"/>
  <c r="BW81" i="4"/>
  <c r="CG81" i="4" s="1"/>
  <c r="BV81" i="4"/>
  <c r="CD80" i="4"/>
  <c r="CH80" i="4" s="1"/>
  <c r="CC80" i="4"/>
  <c r="CA80" i="4"/>
  <c r="BZ80" i="4"/>
  <c r="CB80" i="4" s="1"/>
  <c r="BY80" i="4"/>
  <c r="BX80" i="4"/>
  <c r="BW80" i="4"/>
  <c r="BV80" i="4"/>
  <c r="CD79" i="4"/>
  <c r="CH79" i="4" s="1"/>
  <c r="CC79" i="4"/>
  <c r="CA79" i="4"/>
  <c r="BZ79" i="4"/>
  <c r="CB79" i="4" s="1"/>
  <c r="BY79" i="4"/>
  <c r="BX79" i="4"/>
  <c r="BW79" i="4"/>
  <c r="BV79" i="4"/>
  <c r="CH78" i="4"/>
  <c r="CD78" i="4"/>
  <c r="CC78" i="4"/>
  <c r="CB78" i="4"/>
  <c r="CA78" i="4"/>
  <c r="BZ78" i="4"/>
  <c r="BY78" i="4"/>
  <c r="BX78" i="4"/>
  <c r="BW78" i="4"/>
  <c r="CG78" i="4" s="1"/>
  <c r="BV78" i="4"/>
  <c r="CG77" i="4"/>
  <c r="CD77" i="4"/>
  <c r="CH77" i="4" s="1"/>
  <c r="CC77" i="4"/>
  <c r="CB77" i="4"/>
  <c r="CA77" i="4"/>
  <c r="BZ77" i="4"/>
  <c r="BY77" i="4"/>
  <c r="BX77" i="4"/>
  <c r="BW77" i="4"/>
  <c r="CF77" i="4" s="1"/>
  <c r="BV77" i="4"/>
  <c r="CD76" i="4"/>
  <c r="CH76" i="4" s="1"/>
  <c r="CC76" i="4"/>
  <c r="CB76" i="4"/>
  <c r="CF76" i="4" s="1"/>
  <c r="CA76" i="4"/>
  <c r="BZ76" i="4"/>
  <c r="BY76" i="4"/>
  <c r="BX76" i="4"/>
  <c r="BW76" i="4"/>
  <c r="BV76" i="4"/>
  <c r="CD75" i="4"/>
  <c r="CH75" i="4" s="1"/>
  <c r="CC75" i="4"/>
  <c r="CG75" i="4" s="1"/>
  <c r="CB75" i="4"/>
  <c r="CA75" i="4"/>
  <c r="BZ75" i="4"/>
  <c r="BY75" i="4"/>
  <c r="BX75" i="4"/>
  <c r="BW75" i="4"/>
  <c r="BV75" i="4"/>
  <c r="CD74" i="4"/>
  <c r="CC74" i="4"/>
  <c r="CA74" i="4"/>
  <c r="BZ74" i="4"/>
  <c r="CB74" i="4" s="1"/>
  <c r="BY74" i="4"/>
  <c r="BX74" i="4"/>
  <c r="BW74" i="4"/>
  <c r="CG74" i="4" s="1"/>
  <c r="BV74" i="4"/>
  <c r="CD73" i="4"/>
  <c r="CC73" i="4"/>
  <c r="CA73" i="4"/>
  <c r="BZ73" i="4"/>
  <c r="CB73" i="4" s="1"/>
  <c r="BY73" i="4"/>
  <c r="BX73" i="4"/>
  <c r="BW73" i="4"/>
  <c r="CG73" i="4" s="1"/>
  <c r="BV73" i="4"/>
  <c r="CD72" i="4"/>
  <c r="CC72" i="4"/>
  <c r="CA72" i="4"/>
  <c r="BZ72" i="4"/>
  <c r="CB72" i="4" s="1"/>
  <c r="BY72" i="4"/>
  <c r="BX72" i="4"/>
  <c r="BW72" i="4"/>
  <c r="BV72" i="4"/>
  <c r="CD71" i="4"/>
  <c r="CC71" i="4"/>
  <c r="CA71" i="4"/>
  <c r="BZ71" i="4"/>
  <c r="CB71" i="4" s="1"/>
  <c r="BY71" i="4"/>
  <c r="BX71" i="4"/>
  <c r="BW71" i="4"/>
  <c r="BV71" i="4"/>
  <c r="CD70" i="4"/>
  <c r="CH70" i="4" s="1"/>
  <c r="CC70" i="4"/>
  <c r="CB70" i="4"/>
  <c r="CE70" i="4" s="1"/>
  <c r="CA70" i="4"/>
  <c r="BZ70" i="4"/>
  <c r="BY70" i="4"/>
  <c r="BX70" i="4"/>
  <c r="BW70" i="4"/>
  <c r="CG70" i="4" s="1"/>
  <c r="BV70" i="4"/>
  <c r="CD69" i="4"/>
  <c r="CH69" i="4" s="1"/>
  <c r="CC69" i="4"/>
  <c r="CB69" i="4"/>
  <c r="CA69" i="4"/>
  <c r="BZ69" i="4"/>
  <c r="BY69" i="4"/>
  <c r="BX69" i="4"/>
  <c r="BW69" i="4"/>
  <c r="CG69" i="4" s="1"/>
  <c r="BV69" i="4"/>
  <c r="CH68" i="4"/>
  <c r="CD68" i="4"/>
  <c r="CC68" i="4"/>
  <c r="CG68" i="4" s="1"/>
  <c r="CB68" i="4"/>
  <c r="CE68" i="4" s="1"/>
  <c r="CA68" i="4"/>
  <c r="BZ68" i="4"/>
  <c r="BY68" i="4"/>
  <c r="BX68" i="4"/>
  <c r="BW68" i="4"/>
  <c r="BV68" i="4"/>
  <c r="CD67" i="4"/>
  <c r="CH67" i="4" s="1"/>
  <c r="CC67" i="4"/>
  <c r="CB67" i="4"/>
  <c r="CE67" i="4" s="1"/>
  <c r="CA67" i="4"/>
  <c r="BZ67" i="4"/>
  <c r="BY67" i="4"/>
  <c r="BX67" i="4"/>
  <c r="BW67" i="4"/>
  <c r="BV67" i="4"/>
  <c r="CG66" i="4"/>
  <c r="CD66" i="4"/>
  <c r="CH66" i="4" s="1"/>
  <c r="CC66" i="4"/>
  <c r="CA66" i="4"/>
  <c r="BZ66" i="4"/>
  <c r="CB66" i="4" s="1"/>
  <c r="BY66" i="4"/>
  <c r="BX66" i="4"/>
  <c r="BW66" i="4"/>
  <c r="BV66" i="4"/>
  <c r="CD65" i="4"/>
  <c r="CH65" i="4" s="1"/>
  <c r="CC65" i="4"/>
  <c r="CA65" i="4"/>
  <c r="BZ65" i="4"/>
  <c r="CB65" i="4" s="1"/>
  <c r="BY65" i="4"/>
  <c r="BX65" i="4"/>
  <c r="BW65" i="4"/>
  <c r="CG65" i="4" s="1"/>
  <c r="BV65" i="4"/>
  <c r="CD64" i="4"/>
  <c r="CH64" i="4" s="1"/>
  <c r="CC64" i="4"/>
  <c r="CA64" i="4"/>
  <c r="BZ64" i="4"/>
  <c r="CB64" i="4" s="1"/>
  <c r="BY64" i="4"/>
  <c r="BX64" i="4"/>
  <c r="BW64" i="4"/>
  <c r="BV64" i="4"/>
  <c r="CD63" i="4"/>
  <c r="CH63" i="4" s="1"/>
  <c r="CC63" i="4"/>
  <c r="CG63" i="4" s="1"/>
  <c r="CA63" i="4"/>
  <c r="BZ63" i="4"/>
  <c r="CB63" i="4" s="1"/>
  <c r="BY63" i="4"/>
  <c r="BX63" i="4"/>
  <c r="BW63" i="4"/>
  <c r="BV63" i="4"/>
  <c r="CH62" i="4"/>
  <c r="CD62" i="4"/>
  <c r="CC62" i="4"/>
  <c r="CB62" i="4"/>
  <c r="CE62" i="4" s="1"/>
  <c r="CA62" i="4"/>
  <c r="BZ62" i="4"/>
  <c r="BY62" i="4"/>
  <c r="BX62" i="4"/>
  <c r="BW62" i="4"/>
  <c r="CG62" i="4" s="1"/>
  <c r="BV62" i="4"/>
  <c r="CD61" i="4"/>
  <c r="CH61" i="4" s="1"/>
  <c r="CC61" i="4"/>
  <c r="CB61" i="4"/>
  <c r="CE61" i="4" s="1"/>
  <c r="CA61" i="4"/>
  <c r="BZ61" i="4"/>
  <c r="BY61" i="4"/>
  <c r="BX61" i="4"/>
  <c r="BW61" i="4"/>
  <c r="CG61" i="4" s="1"/>
  <c r="BV61" i="4"/>
  <c r="CD60" i="4"/>
  <c r="CC60" i="4"/>
  <c r="CG60" i="4" s="1"/>
  <c r="CB60" i="4"/>
  <c r="CA60" i="4"/>
  <c r="BZ60" i="4"/>
  <c r="BY60" i="4"/>
  <c r="BX60" i="4"/>
  <c r="BW60" i="4"/>
  <c r="BV60" i="4"/>
  <c r="CD59" i="4"/>
  <c r="CC59" i="4"/>
  <c r="CB59" i="4"/>
  <c r="CA59" i="4"/>
  <c r="BZ59" i="4"/>
  <c r="BY59" i="4"/>
  <c r="BX59" i="4"/>
  <c r="BW59" i="4"/>
  <c r="CH59" i="4" s="1"/>
  <c r="BV59" i="4"/>
  <c r="CD58" i="4"/>
  <c r="CC58" i="4"/>
  <c r="CA58" i="4"/>
  <c r="BZ58" i="4"/>
  <c r="CB58" i="4" s="1"/>
  <c r="BY58" i="4"/>
  <c r="BX58" i="4"/>
  <c r="BW58" i="4"/>
  <c r="CG58" i="4" s="1"/>
  <c r="BV58" i="4"/>
  <c r="CD57" i="4"/>
  <c r="CC57" i="4"/>
  <c r="CA57" i="4"/>
  <c r="BZ57" i="4"/>
  <c r="CB57" i="4" s="1"/>
  <c r="BY57" i="4"/>
  <c r="BX57" i="4"/>
  <c r="BW57" i="4"/>
  <c r="CG57" i="4" s="1"/>
  <c r="BV57" i="4"/>
  <c r="CD56" i="4"/>
  <c r="CC56" i="4"/>
  <c r="CA56" i="4"/>
  <c r="BZ56" i="4"/>
  <c r="CB56" i="4" s="1"/>
  <c r="BY56" i="4"/>
  <c r="BX56" i="4"/>
  <c r="BW56" i="4"/>
  <c r="BV56" i="4"/>
  <c r="CD55" i="4"/>
  <c r="CC55" i="4"/>
  <c r="CA55" i="4"/>
  <c r="BZ55" i="4"/>
  <c r="CB55" i="4" s="1"/>
  <c r="BY55" i="4"/>
  <c r="BX55" i="4"/>
  <c r="BW55" i="4"/>
  <c r="BV55" i="4"/>
  <c r="CD54" i="4"/>
  <c r="CC54" i="4"/>
  <c r="CB54" i="4"/>
  <c r="CE54" i="4" s="1"/>
  <c r="CA54" i="4"/>
  <c r="BZ54" i="4"/>
  <c r="BY54" i="4"/>
  <c r="BX54" i="4"/>
  <c r="BW54" i="4"/>
  <c r="CH54" i="4" s="1"/>
  <c r="BV54" i="4"/>
  <c r="CD53" i="4"/>
  <c r="CC53" i="4"/>
  <c r="CB53" i="4"/>
  <c r="CA53" i="4"/>
  <c r="BZ53" i="4"/>
  <c r="BY53" i="4"/>
  <c r="BX53" i="4"/>
  <c r="BW53" i="4"/>
  <c r="CG53" i="4" s="1"/>
  <c r="BV53" i="4"/>
  <c r="CD52" i="4"/>
  <c r="CC52" i="4"/>
  <c r="CA52" i="4"/>
  <c r="BZ52" i="4"/>
  <c r="CB52" i="4" s="1"/>
  <c r="BY52" i="4"/>
  <c r="BX52" i="4"/>
  <c r="BW52" i="4"/>
  <c r="CH52" i="4" s="1"/>
  <c r="BV52" i="4"/>
  <c r="CD51" i="4"/>
  <c r="CC51" i="4"/>
  <c r="CB51" i="4"/>
  <c r="CE51" i="4" s="1"/>
  <c r="CA51" i="4"/>
  <c r="BZ51" i="4"/>
  <c r="BY51" i="4"/>
  <c r="BX51" i="4"/>
  <c r="BW51" i="4"/>
  <c r="BV51" i="4"/>
  <c r="CG50" i="4"/>
  <c r="CD50" i="4"/>
  <c r="CH50" i="4" s="1"/>
  <c r="CC50" i="4"/>
  <c r="CA50" i="4"/>
  <c r="BZ50" i="4"/>
  <c r="CB50" i="4" s="1"/>
  <c r="BY50" i="4"/>
  <c r="BX50" i="4"/>
  <c r="BW50" i="4"/>
  <c r="BV50" i="4"/>
  <c r="CD49" i="4"/>
  <c r="CC49" i="4"/>
  <c r="CB49" i="4"/>
  <c r="CA49" i="4"/>
  <c r="BZ49" i="4"/>
  <c r="BY49" i="4"/>
  <c r="BX49" i="4"/>
  <c r="BW49" i="4"/>
  <c r="CG49" i="4" s="1"/>
  <c r="BV49" i="4"/>
  <c r="CD48" i="4"/>
  <c r="CH48" i="4" s="1"/>
  <c r="CC48" i="4"/>
  <c r="CA48" i="4"/>
  <c r="BZ48" i="4"/>
  <c r="CB48" i="4" s="1"/>
  <c r="BY48" i="4"/>
  <c r="BX48" i="4"/>
  <c r="BW48" i="4"/>
  <c r="BV48" i="4"/>
  <c r="CD47" i="4"/>
  <c r="CC47" i="4"/>
  <c r="CB47" i="4"/>
  <c r="CA47" i="4"/>
  <c r="BZ47" i="4"/>
  <c r="BY47" i="4"/>
  <c r="BX47" i="4"/>
  <c r="BW47" i="4"/>
  <c r="CF47" i="4" s="1"/>
  <c r="BV47" i="4"/>
  <c r="CD46" i="4"/>
  <c r="CC46" i="4"/>
  <c r="CB46" i="4"/>
  <c r="CE46" i="4" s="1"/>
  <c r="CA46" i="4"/>
  <c r="BZ46" i="4"/>
  <c r="BY46" i="4"/>
  <c r="BX46" i="4"/>
  <c r="BW46" i="4"/>
  <c r="CG46" i="4" s="1"/>
  <c r="BV46" i="4"/>
  <c r="CG45" i="4"/>
  <c r="CD45" i="4"/>
  <c r="CH45" i="4" s="1"/>
  <c r="CC45" i="4"/>
  <c r="CA45" i="4"/>
  <c r="BZ45" i="4"/>
  <c r="CB45" i="4" s="1"/>
  <c r="BY45" i="4"/>
  <c r="BX45" i="4"/>
  <c r="BW45" i="4"/>
  <c r="BV45" i="4"/>
  <c r="CD44" i="4"/>
  <c r="CH44" i="4" s="1"/>
  <c r="CC44" i="4"/>
  <c r="CA44" i="4"/>
  <c r="BZ44" i="4"/>
  <c r="CB44" i="4" s="1"/>
  <c r="BY44" i="4"/>
  <c r="BX44" i="4"/>
  <c r="BW44" i="4"/>
  <c r="BV44" i="4"/>
  <c r="CG43" i="4"/>
  <c r="CD43" i="4"/>
  <c r="CC43" i="4"/>
  <c r="CA43" i="4"/>
  <c r="BZ43" i="4"/>
  <c r="CB43" i="4" s="1"/>
  <c r="BY43" i="4"/>
  <c r="BX43" i="4"/>
  <c r="BW43" i="4"/>
  <c r="BV43" i="4"/>
  <c r="CG42" i="4"/>
  <c r="CD42" i="4"/>
  <c r="CH42" i="4" s="1"/>
  <c r="CC42" i="4"/>
  <c r="CA42" i="4"/>
  <c r="BZ42" i="4"/>
  <c r="CB42" i="4" s="1"/>
  <c r="BY42" i="4"/>
  <c r="BX42" i="4"/>
  <c r="BW42" i="4"/>
  <c r="BV42" i="4"/>
  <c r="CD41" i="4"/>
  <c r="CH41" i="4" s="1"/>
  <c r="CC41" i="4"/>
  <c r="CG41" i="4" s="1"/>
  <c r="CA41" i="4"/>
  <c r="BZ41" i="4"/>
  <c r="CB41" i="4" s="1"/>
  <c r="BY41" i="4"/>
  <c r="BX41" i="4"/>
  <c r="BW41" i="4"/>
  <c r="BV41" i="4"/>
  <c r="CD40" i="4"/>
  <c r="CH40" i="4" s="1"/>
  <c r="CC40" i="4"/>
  <c r="CA40" i="4"/>
  <c r="BZ40" i="4"/>
  <c r="CB40" i="4" s="1"/>
  <c r="BY40" i="4"/>
  <c r="BX40" i="4"/>
  <c r="BW40" i="4"/>
  <c r="BV40" i="4"/>
  <c r="CH39" i="4"/>
  <c r="CG39" i="4"/>
  <c r="CD39" i="4"/>
  <c r="CC39" i="4"/>
  <c r="CB39" i="4"/>
  <c r="CF39" i="4" s="1"/>
  <c r="CI39" i="4" s="1"/>
  <c r="CA39" i="4"/>
  <c r="BZ39" i="4"/>
  <c r="BY39" i="4"/>
  <c r="BX39" i="4"/>
  <c r="BW39" i="4"/>
  <c r="BV39" i="4"/>
  <c r="CD38" i="4"/>
  <c r="CC38" i="4"/>
  <c r="CA38" i="4"/>
  <c r="BZ38" i="4"/>
  <c r="CB38" i="4" s="1"/>
  <c r="BY38" i="4"/>
  <c r="BX38" i="4"/>
  <c r="BW38" i="4"/>
  <c r="CG38" i="4" s="1"/>
  <c r="BV38" i="4"/>
  <c r="CD37" i="4"/>
  <c r="CH37" i="4" s="1"/>
  <c r="CC37" i="4"/>
  <c r="CA37" i="4"/>
  <c r="BZ37" i="4"/>
  <c r="CB37" i="4" s="1"/>
  <c r="BY37" i="4"/>
  <c r="BX37" i="4"/>
  <c r="BW37" i="4"/>
  <c r="BV37" i="4"/>
  <c r="CE36" i="4"/>
  <c r="CD36" i="4"/>
  <c r="CC36" i="4"/>
  <c r="CB36" i="4"/>
  <c r="CA36" i="4"/>
  <c r="BZ36" i="4"/>
  <c r="BY36" i="4"/>
  <c r="BX36" i="4"/>
  <c r="BW36" i="4"/>
  <c r="CH36" i="4" s="1"/>
  <c r="BV36" i="4"/>
  <c r="CD35" i="4"/>
  <c r="CH35" i="4" s="1"/>
  <c r="CC35" i="4"/>
  <c r="CG35" i="4" s="1"/>
  <c r="CB35" i="4"/>
  <c r="CA35" i="4"/>
  <c r="BZ35" i="4"/>
  <c r="BY35" i="4"/>
  <c r="BX35" i="4"/>
  <c r="BW35" i="4"/>
  <c r="BV35" i="4"/>
  <c r="CD34" i="4"/>
  <c r="CC34" i="4"/>
  <c r="CA34" i="4"/>
  <c r="BZ34" i="4"/>
  <c r="CB34" i="4" s="1"/>
  <c r="BY34" i="4"/>
  <c r="BX34" i="4"/>
  <c r="BW34" i="4"/>
  <c r="CG34" i="4" s="1"/>
  <c r="BV34" i="4"/>
  <c r="CE33" i="4"/>
  <c r="CD33" i="4"/>
  <c r="CC33" i="4"/>
  <c r="CB33" i="4"/>
  <c r="CA33" i="4"/>
  <c r="BZ33" i="4"/>
  <c r="BY33" i="4"/>
  <c r="BX33" i="4"/>
  <c r="BW33" i="4"/>
  <c r="CG33" i="4" s="1"/>
  <c r="BV33" i="4"/>
  <c r="CD32" i="4"/>
  <c r="CC32" i="4"/>
  <c r="CB32" i="4"/>
  <c r="CF32" i="4" s="1"/>
  <c r="CA32" i="4"/>
  <c r="BZ32" i="4"/>
  <c r="BY32" i="4"/>
  <c r="BX32" i="4"/>
  <c r="BW32" i="4"/>
  <c r="BV32" i="4"/>
  <c r="CD31" i="4"/>
  <c r="CH31" i="4" s="1"/>
  <c r="CC31" i="4"/>
  <c r="CA31" i="4"/>
  <c r="BZ31" i="4"/>
  <c r="CB31" i="4" s="1"/>
  <c r="BY31" i="4"/>
  <c r="BX31" i="4"/>
  <c r="BW31" i="4"/>
  <c r="BV31" i="4"/>
  <c r="CE30" i="4"/>
  <c r="CD30" i="4"/>
  <c r="CC30" i="4"/>
  <c r="CB30" i="4"/>
  <c r="CA30" i="4"/>
  <c r="BZ30" i="4"/>
  <c r="BY30" i="4"/>
  <c r="BX30" i="4"/>
  <c r="BW30" i="4"/>
  <c r="CG30" i="4" s="1"/>
  <c r="BV30" i="4"/>
  <c r="CD29" i="4"/>
  <c r="CH29" i="4" s="1"/>
  <c r="CC29" i="4"/>
  <c r="CG29" i="4" s="1"/>
  <c r="CB29" i="4"/>
  <c r="CF29" i="4" s="1"/>
  <c r="CA29" i="4"/>
  <c r="BZ29" i="4"/>
  <c r="BY29" i="4"/>
  <c r="BX29" i="4"/>
  <c r="BW29" i="4"/>
  <c r="BV29" i="4"/>
  <c r="CD28" i="4"/>
  <c r="CC28" i="4"/>
  <c r="CA28" i="4"/>
  <c r="BZ28" i="4"/>
  <c r="CB28" i="4" s="1"/>
  <c r="BY28" i="4"/>
  <c r="BX28" i="4"/>
  <c r="BW28" i="4"/>
  <c r="CH28" i="4" s="1"/>
  <c r="BV28" i="4"/>
  <c r="CG27" i="4"/>
  <c r="CD27" i="4"/>
  <c r="CC27" i="4"/>
  <c r="CB27" i="4"/>
  <c r="CF27" i="4" s="1"/>
  <c r="CA27" i="4"/>
  <c r="BZ27" i="4"/>
  <c r="BY27" i="4"/>
  <c r="BX27" i="4"/>
  <c r="BW27" i="4"/>
  <c r="BV27" i="4"/>
  <c r="CD26" i="4"/>
  <c r="CH26" i="4" s="1"/>
  <c r="CC26" i="4"/>
  <c r="CB26" i="4"/>
  <c r="CF26" i="4" s="1"/>
  <c r="CA26" i="4"/>
  <c r="BZ26" i="4"/>
  <c r="BY26" i="4"/>
  <c r="BX26" i="4"/>
  <c r="BW26" i="4"/>
  <c r="CG26" i="4" s="1"/>
  <c r="BV26" i="4"/>
  <c r="CG25" i="4"/>
  <c r="CD25" i="4"/>
  <c r="CH25" i="4" s="1"/>
  <c r="CC25" i="4"/>
  <c r="CA25" i="4"/>
  <c r="BZ25" i="4"/>
  <c r="CB25" i="4" s="1"/>
  <c r="BY25" i="4"/>
  <c r="BX25" i="4"/>
  <c r="BW25" i="4"/>
  <c r="BV25" i="4"/>
  <c r="CE24" i="4"/>
  <c r="CD24" i="4"/>
  <c r="CC24" i="4"/>
  <c r="CB24" i="4"/>
  <c r="CA24" i="4"/>
  <c r="BZ24" i="4"/>
  <c r="BY24" i="4"/>
  <c r="BX24" i="4"/>
  <c r="BW24" i="4"/>
  <c r="CG24" i="4" s="1"/>
  <c r="BV24" i="4"/>
  <c r="CD23" i="4"/>
  <c r="CC23" i="4"/>
  <c r="CA23" i="4"/>
  <c r="BZ23" i="4"/>
  <c r="CB23" i="4" s="1"/>
  <c r="BY23" i="4"/>
  <c r="BX23" i="4"/>
  <c r="BW23" i="4"/>
  <c r="BV23" i="4"/>
  <c r="CD22" i="4"/>
  <c r="CC22" i="4"/>
  <c r="CB22" i="4"/>
  <c r="CA22" i="4"/>
  <c r="BZ22" i="4"/>
  <c r="BY22" i="4"/>
  <c r="BX22" i="4"/>
  <c r="BW22" i="4"/>
  <c r="CH22" i="4" s="1"/>
  <c r="BV22" i="4"/>
  <c r="CG21" i="4"/>
  <c r="CD21" i="4"/>
  <c r="CH21" i="4" s="1"/>
  <c r="CC21" i="4"/>
  <c r="CA21" i="4"/>
  <c r="BZ21" i="4"/>
  <c r="CB21" i="4" s="1"/>
  <c r="BY21" i="4"/>
  <c r="BX21" i="4"/>
  <c r="BW21" i="4"/>
  <c r="BV21" i="4"/>
  <c r="CD20" i="4"/>
  <c r="CC20" i="4"/>
  <c r="CB20" i="4"/>
  <c r="CE20" i="4" s="1"/>
  <c r="CA20" i="4"/>
  <c r="BZ20" i="4"/>
  <c r="BY20" i="4"/>
  <c r="BX20" i="4"/>
  <c r="BW20" i="4"/>
  <c r="CG20" i="4" s="1"/>
  <c r="BV20" i="4"/>
  <c r="CD19" i="4"/>
  <c r="CH19" i="4" s="1"/>
  <c r="CC19" i="4"/>
  <c r="CG19" i="4" s="1"/>
  <c r="CA19" i="4"/>
  <c r="BZ19" i="4"/>
  <c r="CB19" i="4" s="1"/>
  <c r="BY19" i="4"/>
  <c r="BX19" i="4"/>
  <c r="BW19" i="4"/>
  <c r="BV19" i="4"/>
  <c r="CD18" i="4"/>
  <c r="CC18" i="4"/>
  <c r="CG18" i="4" s="1"/>
  <c r="CB18" i="4"/>
  <c r="CF18" i="4" s="1"/>
  <c r="CA18" i="4"/>
  <c r="BZ18" i="4"/>
  <c r="BY18" i="4"/>
  <c r="BX18" i="4"/>
  <c r="BW18" i="4"/>
  <c r="BV18" i="4"/>
  <c r="CD17" i="4"/>
  <c r="CC17" i="4"/>
  <c r="CA17" i="4"/>
  <c r="BZ17" i="4"/>
  <c r="CB17" i="4" s="1"/>
  <c r="BY17" i="4"/>
  <c r="BX17" i="4"/>
  <c r="BW17" i="4"/>
  <c r="CH17" i="4" s="1"/>
  <c r="BV17" i="4"/>
  <c r="CD16" i="4"/>
  <c r="CC16" i="4"/>
  <c r="CB16" i="4"/>
  <c r="CE16" i="4" s="1"/>
  <c r="CA16" i="4"/>
  <c r="BZ16" i="4"/>
  <c r="BY16" i="4"/>
  <c r="BX16" i="4"/>
  <c r="BW16" i="4"/>
  <c r="CG16" i="4" s="1"/>
  <c r="BV16" i="4"/>
  <c r="CD15" i="4"/>
  <c r="CC15" i="4"/>
  <c r="CG15" i="4" s="1"/>
  <c r="CA15" i="4"/>
  <c r="BZ15" i="4"/>
  <c r="CB15" i="4" s="1"/>
  <c r="BY15" i="4"/>
  <c r="BX15" i="4"/>
  <c r="BW15" i="4"/>
  <c r="BV15" i="4"/>
  <c r="CD14" i="4"/>
  <c r="CC14" i="4"/>
  <c r="CG14" i="4" s="1"/>
  <c r="CB14" i="4"/>
  <c r="CA14" i="4"/>
  <c r="BZ14" i="4"/>
  <c r="BY14" i="4"/>
  <c r="BX14" i="4"/>
  <c r="BW14" i="4"/>
  <c r="BV14" i="4"/>
  <c r="CD13" i="4"/>
  <c r="CH13" i="4" s="1"/>
  <c r="CC13" i="4"/>
  <c r="CA13" i="4"/>
  <c r="BZ13" i="4"/>
  <c r="CB13" i="4" s="1"/>
  <c r="BY13" i="4"/>
  <c r="BX13" i="4"/>
  <c r="BW13" i="4"/>
  <c r="CG13" i="4" s="1"/>
  <c r="BV13" i="4"/>
  <c r="CE12" i="4"/>
  <c r="CD12" i="4"/>
  <c r="CC12" i="4"/>
  <c r="CB12" i="4"/>
  <c r="CA12" i="4"/>
  <c r="BZ12" i="4"/>
  <c r="BY12" i="4"/>
  <c r="BX12" i="4"/>
  <c r="BW12" i="4"/>
  <c r="CG12" i="4" s="1"/>
  <c r="BV12" i="4"/>
  <c r="CD11" i="4"/>
  <c r="CC11" i="4"/>
  <c r="CA11" i="4"/>
  <c r="BZ11" i="4"/>
  <c r="CB11" i="4" s="1"/>
  <c r="BY11" i="4"/>
  <c r="BX11" i="4"/>
  <c r="BW11" i="4"/>
  <c r="BV11" i="4"/>
  <c r="CD10" i="4"/>
  <c r="CC10" i="4"/>
  <c r="CB10" i="4"/>
  <c r="CA10" i="4"/>
  <c r="BZ10" i="4"/>
  <c r="BY10" i="4"/>
  <c r="BX10" i="4"/>
  <c r="BW10" i="4"/>
  <c r="CH10" i="4" s="1"/>
  <c r="BV10" i="4"/>
  <c r="CD9" i="4"/>
  <c r="CC9" i="4"/>
  <c r="CA9" i="4"/>
  <c r="BZ9" i="4"/>
  <c r="CB9" i="4" s="1"/>
  <c r="BY9" i="4"/>
  <c r="BX9" i="4"/>
  <c r="BW9" i="4"/>
  <c r="CH9" i="4" s="1"/>
  <c r="BV9" i="4"/>
  <c r="CD8" i="4"/>
  <c r="CH8" i="4" s="1"/>
  <c r="CC8" i="4"/>
  <c r="CB8" i="4"/>
  <c r="CE8" i="4" s="1"/>
  <c r="CA8" i="4"/>
  <c r="BZ8" i="4"/>
  <c r="BY8" i="4"/>
  <c r="BX8" i="4"/>
  <c r="BW8" i="4"/>
  <c r="CG8" i="4" s="1"/>
  <c r="BV8" i="4"/>
  <c r="CD7" i="4"/>
  <c r="CC7" i="4"/>
  <c r="CG7" i="4" s="1"/>
  <c r="CA7" i="4"/>
  <c r="BZ7" i="4"/>
  <c r="CB7" i="4" s="1"/>
  <c r="BY7" i="4"/>
  <c r="BX7" i="4"/>
  <c r="BW7" i="4"/>
  <c r="BV7" i="4"/>
  <c r="CD6" i="4"/>
  <c r="CC6" i="4"/>
  <c r="CG6" i="4" s="1"/>
  <c r="CB6" i="4"/>
  <c r="CF6" i="4" s="1"/>
  <c r="CA6" i="4"/>
  <c r="BZ6" i="4"/>
  <c r="BY6" i="4"/>
  <c r="BX6" i="4"/>
  <c r="BW6" i="4"/>
  <c r="CH6" i="4" s="1"/>
  <c r="BV6" i="4"/>
  <c r="CD5" i="4"/>
  <c r="CC5" i="4"/>
  <c r="CA5" i="4"/>
  <c r="BZ5" i="4"/>
  <c r="CB5" i="4" s="1"/>
  <c r="BY5" i="4"/>
  <c r="BX5" i="4"/>
  <c r="BW5" i="4"/>
  <c r="CG5" i="4" s="1"/>
  <c r="BV5" i="4"/>
  <c r="CE4" i="4"/>
  <c r="CD4" i="4"/>
  <c r="CC4" i="4"/>
  <c r="CB4" i="4"/>
  <c r="CA4" i="4"/>
  <c r="BZ4" i="4"/>
  <c r="BY4" i="4"/>
  <c r="BX4" i="4"/>
  <c r="BW4" i="4"/>
  <c r="CG4" i="4" s="1"/>
  <c r="BV4" i="4"/>
  <c r="CD3" i="4"/>
  <c r="CC3" i="4"/>
  <c r="CA3" i="4"/>
  <c r="BZ3" i="4"/>
  <c r="CB3" i="4" s="1"/>
  <c r="BY3" i="4"/>
  <c r="BX3" i="4"/>
  <c r="BW3" i="4"/>
  <c r="BV3" i="4"/>
  <c r="CD2" i="4"/>
  <c r="CC2" i="4"/>
  <c r="CB2" i="4"/>
  <c r="CF2" i="4" s="1"/>
  <c r="CA2" i="4"/>
  <c r="BZ2" i="4"/>
  <c r="BY2" i="4"/>
  <c r="BX2" i="4"/>
  <c r="BW2" i="4"/>
  <c r="CH2" i="4" s="1"/>
  <c r="BV2" i="4"/>
  <c r="CB2" i="2"/>
  <c r="CC2" i="2" s="1"/>
  <c r="CD2" i="2" s="1"/>
  <c r="CB3" i="2"/>
  <c r="CC3" i="2" s="1"/>
  <c r="CD3" i="2" s="1"/>
  <c r="CB4" i="2"/>
  <c r="CC4" i="2" s="1"/>
  <c r="CD4" i="2" s="1"/>
  <c r="CB5" i="2"/>
  <c r="CC5" i="2" s="1"/>
  <c r="CD5" i="2" s="1"/>
  <c r="CB6" i="2"/>
  <c r="CC6" i="2" s="1"/>
  <c r="CD6" i="2" s="1"/>
  <c r="CB7" i="2"/>
  <c r="CC7" i="2" s="1"/>
  <c r="CD7" i="2" s="1"/>
  <c r="CB8" i="2"/>
  <c r="CC8" i="2" s="1"/>
  <c r="CD8" i="2" s="1"/>
  <c r="CB9" i="2"/>
  <c r="CC9" i="2" s="1"/>
  <c r="CD9" i="2" s="1"/>
  <c r="CB10" i="2"/>
  <c r="CC10" i="2" s="1"/>
  <c r="CD10" i="2" s="1"/>
  <c r="CB11" i="2"/>
  <c r="CC11" i="2" s="1"/>
  <c r="CD11" i="2" s="1"/>
  <c r="CB12" i="2"/>
  <c r="CC12" i="2" s="1"/>
  <c r="CD12" i="2" s="1"/>
  <c r="CB13" i="2"/>
  <c r="CC13" i="2" s="1"/>
  <c r="CD13" i="2" s="1"/>
  <c r="CB14" i="2"/>
  <c r="CC14" i="2" s="1"/>
  <c r="CD14" i="2" s="1"/>
  <c r="CB15" i="2"/>
  <c r="CC15" i="2" s="1"/>
  <c r="CD15" i="2" s="1"/>
  <c r="CB16" i="2"/>
  <c r="CC16" i="2" s="1"/>
  <c r="CD16" i="2" s="1"/>
  <c r="CB17" i="2"/>
  <c r="CC17" i="2" s="1"/>
  <c r="CD17" i="2" s="1"/>
  <c r="CB18" i="2"/>
  <c r="CC18" i="2" s="1"/>
  <c r="CD18" i="2" s="1"/>
  <c r="CB19" i="2"/>
  <c r="CC19" i="2" s="1"/>
  <c r="CD19" i="2" s="1"/>
  <c r="CB20" i="2"/>
  <c r="CC20" i="2" s="1"/>
  <c r="CD20" i="2" s="1"/>
  <c r="CB21" i="2"/>
  <c r="CC21" i="2" s="1"/>
  <c r="CD21" i="2" s="1"/>
  <c r="CB22" i="2"/>
  <c r="CC22" i="2" s="1"/>
  <c r="CD22" i="2" s="1"/>
  <c r="CB23" i="2"/>
  <c r="CC23" i="2" s="1"/>
  <c r="CD23" i="2" s="1"/>
  <c r="CB24" i="2"/>
  <c r="CC24" i="2" s="1"/>
  <c r="CD24" i="2" s="1"/>
  <c r="CB25" i="2"/>
  <c r="CC25" i="2" s="1"/>
  <c r="CD25" i="2" s="1"/>
  <c r="CB26" i="2"/>
  <c r="CC26" i="2" s="1"/>
  <c r="CD26" i="2" s="1"/>
  <c r="CB27" i="2"/>
  <c r="CC27" i="2" s="1"/>
  <c r="CD27" i="2" s="1"/>
  <c r="CB28" i="2"/>
  <c r="CC28" i="2" s="1"/>
  <c r="CD28" i="2" s="1"/>
  <c r="CB29" i="2"/>
  <c r="CC29" i="2" s="1"/>
  <c r="CD29" i="2" s="1"/>
  <c r="CB30" i="2"/>
  <c r="CC30" i="2" s="1"/>
  <c r="CD30" i="2" s="1"/>
  <c r="CB31" i="2"/>
  <c r="CC31" i="2" s="1"/>
  <c r="CD31" i="2" s="1"/>
  <c r="CB32" i="2"/>
  <c r="CC32" i="2" s="1"/>
  <c r="CD32" i="2" s="1"/>
  <c r="CB33" i="2"/>
  <c r="CC33" i="2" s="1"/>
  <c r="CD33" i="2" s="1"/>
  <c r="CB34" i="2"/>
  <c r="CC34" i="2" s="1"/>
  <c r="CD34" i="2" s="1"/>
  <c r="CB35" i="2"/>
  <c r="CC35" i="2" s="1"/>
  <c r="CD35" i="2" s="1"/>
  <c r="CB36" i="2"/>
  <c r="CC36" i="2" s="1"/>
  <c r="CD36" i="2" s="1"/>
  <c r="CB37" i="2"/>
  <c r="CC37" i="2" s="1"/>
  <c r="CD37" i="2" s="1"/>
  <c r="CB38" i="2"/>
  <c r="CC38" i="2" s="1"/>
  <c r="CD38" i="2" s="1"/>
  <c r="CB39" i="2"/>
  <c r="CC39" i="2" s="1"/>
  <c r="CD39" i="2" s="1"/>
  <c r="CB40" i="2"/>
  <c r="CC40" i="2" s="1"/>
  <c r="CD40" i="2" s="1"/>
  <c r="CB41" i="2"/>
  <c r="CC41" i="2" s="1"/>
  <c r="CD41" i="2" s="1"/>
  <c r="CB42" i="2"/>
  <c r="CC42" i="2" s="1"/>
  <c r="CD42" i="2" s="1"/>
  <c r="CB43" i="2"/>
  <c r="CC43" i="2" s="1"/>
  <c r="CD43" i="2" s="1"/>
  <c r="CB44" i="2"/>
  <c r="CC44" i="2" s="1"/>
  <c r="CD44" i="2" s="1"/>
  <c r="CB45" i="2"/>
  <c r="CC45" i="2" s="1"/>
  <c r="CD45" i="2" s="1"/>
  <c r="CB46" i="2"/>
  <c r="CC46" i="2" s="1"/>
  <c r="CD46" i="2" s="1"/>
  <c r="CB47" i="2"/>
  <c r="CC47" i="2" s="1"/>
  <c r="CD47" i="2" s="1"/>
  <c r="CB48" i="2"/>
  <c r="CC48" i="2" s="1"/>
  <c r="CD48" i="2" s="1"/>
  <c r="CB49" i="2"/>
  <c r="CC49" i="2" s="1"/>
  <c r="CD49" i="2" s="1"/>
  <c r="CB50" i="2"/>
  <c r="CC50" i="2" s="1"/>
  <c r="CD50" i="2" s="1"/>
  <c r="CB51" i="2"/>
  <c r="CC51" i="2" s="1"/>
  <c r="CD51" i="2" s="1"/>
  <c r="CB52" i="2"/>
  <c r="CC52" i="2" s="1"/>
  <c r="CD52" i="2" s="1"/>
  <c r="CB53" i="2"/>
  <c r="CC53" i="2" s="1"/>
  <c r="CD53" i="2" s="1"/>
  <c r="CB54" i="2"/>
  <c r="CC54" i="2" s="1"/>
  <c r="CD54" i="2" s="1"/>
  <c r="CB55" i="2"/>
  <c r="CC55" i="2" s="1"/>
  <c r="CD55" i="2" s="1"/>
  <c r="CB56" i="2"/>
  <c r="CC56" i="2" s="1"/>
  <c r="CD56" i="2" s="1"/>
  <c r="CB57" i="2"/>
  <c r="CC57" i="2" s="1"/>
  <c r="CD57" i="2" s="1"/>
  <c r="CB58" i="2"/>
  <c r="CC58" i="2" s="1"/>
  <c r="CD58" i="2" s="1"/>
  <c r="CB59" i="2"/>
  <c r="CC59" i="2" s="1"/>
  <c r="CD59" i="2" s="1"/>
  <c r="CB60" i="2"/>
  <c r="CC60" i="2" s="1"/>
  <c r="CD60" i="2" s="1"/>
  <c r="CB61" i="2"/>
  <c r="CC61" i="2" s="1"/>
  <c r="CD61" i="2" s="1"/>
  <c r="CB62" i="2"/>
  <c r="CC62" i="2" s="1"/>
  <c r="CD62" i="2" s="1"/>
  <c r="CB63" i="2"/>
  <c r="CC63" i="2" s="1"/>
  <c r="CD63" i="2" s="1"/>
  <c r="CB64" i="2"/>
  <c r="CC64" i="2" s="1"/>
  <c r="CD64" i="2" s="1"/>
  <c r="CB65" i="2"/>
  <c r="CC65" i="2" s="1"/>
  <c r="CD65" i="2" s="1"/>
  <c r="CB66" i="2"/>
  <c r="CC66" i="2" s="1"/>
  <c r="CD66" i="2" s="1"/>
  <c r="CB67" i="2"/>
  <c r="CC67" i="2" s="1"/>
  <c r="CD67" i="2" s="1"/>
  <c r="CB68" i="2"/>
  <c r="CC68" i="2" s="1"/>
  <c r="CD68" i="2" s="1"/>
  <c r="CB69" i="2"/>
  <c r="CC69" i="2" s="1"/>
  <c r="CD69" i="2" s="1"/>
  <c r="CB70" i="2"/>
  <c r="CC70" i="2" s="1"/>
  <c r="CD70" i="2" s="1"/>
  <c r="CB71" i="2"/>
  <c r="CC71" i="2" s="1"/>
  <c r="CD71" i="2" s="1"/>
  <c r="CB72" i="2"/>
  <c r="CC72" i="2" s="1"/>
  <c r="CD72" i="2" s="1"/>
  <c r="CB73" i="2"/>
  <c r="CC73" i="2" s="1"/>
  <c r="CD73" i="2" s="1"/>
  <c r="CB74" i="2"/>
  <c r="CC74" i="2" s="1"/>
  <c r="CD74" i="2" s="1"/>
  <c r="CB75" i="2"/>
  <c r="CC75" i="2" s="1"/>
  <c r="CD75" i="2" s="1"/>
  <c r="CB76" i="2"/>
  <c r="CC76" i="2" s="1"/>
  <c r="CD76" i="2" s="1"/>
  <c r="CB77" i="2"/>
  <c r="CC77" i="2" s="1"/>
  <c r="CD77" i="2" s="1"/>
  <c r="CB78" i="2"/>
  <c r="CC78" i="2" s="1"/>
  <c r="CD78" i="2" s="1"/>
  <c r="CB79" i="2"/>
  <c r="CC79" i="2" s="1"/>
  <c r="CD79" i="2" s="1"/>
  <c r="CB80" i="2"/>
  <c r="CC80" i="2" s="1"/>
  <c r="CD80" i="2" s="1"/>
  <c r="CB81" i="2"/>
  <c r="CC81" i="2" s="1"/>
  <c r="CD81" i="2" s="1"/>
  <c r="CB82" i="2"/>
  <c r="CC82" i="2" s="1"/>
  <c r="CD82" i="2" s="1"/>
  <c r="CB83" i="2"/>
  <c r="CC83" i="2" s="1"/>
  <c r="CD83" i="2" s="1"/>
  <c r="CB84" i="2"/>
  <c r="CC84" i="2" s="1"/>
  <c r="CD84" i="2" s="1"/>
  <c r="CB85" i="2"/>
  <c r="CC85" i="2" s="1"/>
  <c r="CD85" i="2" s="1"/>
  <c r="CB86" i="2"/>
  <c r="CC86" i="2" s="1"/>
  <c r="CD86" i="2" s="1"/>
  <c r="CB87" i="2"/>
  <c r="CC87" i="2" s="1"/>
  <c r="CD87" i="2" s="1"/>
  <c r="CB88" i="2"/>
  <c r="CC88" i="2" s="1"/>
  <c r="CD88" i="2" s="1"/>
  <c r="CB89" i="2"/>
  <c r="CC89" i="2" s="1"/>
  <c r="CD89" i="2" s="1"/>
  <c r="CB90" i="2"/>
  <c r="CC90" i="2" s="1"/>
  <c r="CD90" i="2" s="1"/>
  <c r="CB91" i="2"/>
  <c r="CC91" i="2" s="1"/>
  <c r="CD91" i="2" s="1"/>
  <c r="CB92" i="2"/>
  <c r="CC92" i="2" s="1"/>
  <c r="CD92" i="2" s="1"/>
  <c r="CB93" i="2"/>
  <c r="CC93" i="2" s="1"/>
  <c r="CD93" i="2" s="1"/>
  <c r="CB94" i="2"/>
  <c r="CC94" i="2" s="1"/>
  <c r="CD94" i="2" s="1"/>
  <c r="CB95" i="2"/>
  <c r="CC95" i="2" s="1"/>
  <c r="CD95" i="2" s="1"/>
  <c r="CB96" i="2"/>
  <c r="CC96" i="2" s="1"/>
  <c r="CD96" i="2" s="1"/>
  <c r="CB97" i="2"/>
  <c r="CC97" i="2" s="1"/>
  <c r="CD97" i="2" s="1"/>
  <c r="CB98" i="2"/>
  <c r="CC98" i="2" s="1"/>
  <c r="CD98" i="2" s="1"/>
  <c r="CB99" i="2"/>
  <c r="CC99" i="2" s="1"/>
  <c r="CD99" i="2" s="1"/>
  <c r="CB100" i="2"/>
  <c r="CC100" i="2" s="1"/>
  <c r="CD100" i="2" s="1"/>
  <c r="CB101" i="2"/>
  <c r="CC101" i="2" s="1"/>
  <c r="CD101" i="2" s="1"/>
  <c r="CB102" i="2"/>
  <c r="CC102" i="2" s="1"/>
  <c r="CD102" i="2" s="1"/>
  <c r="CB103" i="2"/>
  <c r="CC103" i="2" s="1"/>
  <c r="CD103" i="2" s="1"/>
  <c r="CB104" i="2"/>
  <c r="CC104" i="2" s="1"/>
  <c r="CD104" i="2" s="1"/>
  <c r="CB105" i="2"/>
  <c r="CC105" i="2" s="1"/>
  <c r="CD105" i="2" s="1"/>
  <c r="CB106" i="2"/>
  <c r="CC106" i="2" s="1"/>
  <c r="CD106" i="2" s="1"/>
  <c r="CB107" i="2"/>
  <c r="CC107" i="2" s="1"/>
  <c r="CD107" i="2" s="1"/>
  <c r="CB108" i="2"/>
  <c r="CC108" i="2" s="1"/>
  <c r="CD108" i="2" s="1"/>
  <c r="CB109" i="2"/>
  <c r="CC109" i="2" s="1"/>
  <c r="CD109" i="2" s="1"/>
  <c r="CB110" i="2"/>
  <c r="CC110" i="2" s="1"/>
  <c r="CD110" i="2" s="1"/>
  <c r="CB111" i="2"/>
  <c r="CC111" i="2" s="1"/>
  <c r="CD111" i="2" s="1"/>
  <c r="CB112" i="2"/>
  <c r="CC112" i="2" s="1"/>
  <c r="CD112" i="2" s="1"/>
  <c r="CB113" i="2"/>
  <c r="CC113" i="2" s="1"/>
  <c r="CD113" i="2" s="1"/>
  <c r="CB114" i="2"/>
  <c r="CC114" i="2" s="1"/>
  <c r="CD114" i="2" s="1"/>
  <c r="CB115" i="2"/>
  <c r="CC115" i="2" s="1"/>
  <c r="CD115" i="2" s="1"/>
  <c r="CB116" i="2"/>
  <c r="CC116" i="2" s="1"/>
  <c r="CD116" i="2" s="1"/>
  <c r="CB117" i="2"/>
  <c r="CC117" i="2" s="1"/>
  <c r="CD117" i="2" s="1"/>
  <c r="CB118" i="2"/>
  <c r="CC118" i="2" s="1"/>
  <c r="CD118" i="2" s="1"/>
  <c r="CB119" i="2"/>
  <c r="CC119" i="2" s="1"/>
  <c r="CD119" i="2" s="1"/>
  <c r="CB120" i="2"/>
  <c r="CC120" i="2" s="1"/>
  <c r="CD120" i="2" s="1"/>
  <c r="CB121" i="2"/>
  <c r="CC121" i="2" s="1"/>
  <c r="CD121" i="2" s="1"/>
  <c r="CB122" i="2"/>
  <c r="CC122" i="2" s="1"/>
  <c r="CD122" i="2" s="1"/>
  <c r="CB123" i="2"/>
  <c r="CC123" i="2" s="1"/>
  <c r="CD123" i="2" s="1"/>
  <c r="CB124" i="2"/>
  <c r="CC124" i="2" s="1"/>
  <c r="CD124" i="2" s="1"/>
  <c r="CB125" i="2"/>
  <c r="CC125" i="2" s="1"/>
  <c r="CD125" i="2" s="1"/>
  <c r="CB126" i="2"/>
  <c r="CC126" i="2" s="1"/>
  <c r="CD126" i="2" s="1"/>
  <c r="CB127" i="2"/>
  <c r="CC127" i="2" s="1"/>
  <c r="CD127" i="2" s="1"/>
  <c r="CB128" i="2"/>
  <c r="CC128" i="2" s="1"/>
  <c r="CD128" i="2" s="1"/>
  <c r="CB129" i="2"/>
  <c r="CC129" i="2" s="1"/>
  <c r="CD129" i="2" s="1"/>
  <c r="CB130" i="2"/>
  <c r="CC130" i="2" s="1"/>
  <c r="CD130" i="2" s="1"/>
  <c r="CB131" i="2"/>
  <c r="CC131" i="2" s="1"/>
  <c r="CD131" i="2" s="1"/>
  <c r="CB132" i="2"/>
  <c r="CC132" i="2" s="1"/>
  <c r="CD132" i="2" s="1"/>
  <c r="CB133" i="2"/>
  <c r="CC133" i="2" s="1"/>
  <c r="CD133" i="2" s="1"/>
  <c r="CB134" i="2"/>
  <c r="CC134" i="2" s="1"/>
  <c r="CD134" i="2" s="1"/>
  <c r="CB135" i="2"/>
  <c r="CC135" i="2" s="1"/>
  <c r="CD135" i="2" s="1"/>
  <c r="CB136" i="2"/>
  <c r="CC136" i="2" s="1"/>
  <c r="CD136" i="2" s="1"/>
  <c r="CB137" i="2"/>
  <c r="CC137" i="2" s="1"/>
  <c r="CD137" i="2" s="1"/>
  <c r="CB138" i="2"/>
  <c r="CC138" i="2" s="1"/>
  <c r="CD138" i="2" s="1"/>
  <c r="CB139" i="2"/>
  <c r="CC139" i="2" s="1"/>
  <c r="CD139" i="2" s="1"/>
  <c r="CB140" i="2"/>
  <c r="CC140" i="2" s="1"/>
  <c r="CD140" i="2" s="1"/>
  <c r="CB141" i="2"/>
  <c r="CC141" i="2" s="1"/>
  <c r="CD141" i="2" s="1"/>
  <c r="CB142" i="2"/>
  <c r="CC142" i="2" s="1"/>
  <c r="CD142" i="2" s="1"/>
  <c r="CB143" i="2"/>
  <c r="CC143" i="2" s="1"/>
  <c r="CD143" i="2" s="1"/>
  <c r="CB144" i="2"/>
  <c r="CC144" i="2" s="1"/>
  <c r="CD144" i="2" s="1"/>
  <c r="CB145" i="2"/>
  <c r="CC145" i="2" s="1"/>
  <c r="CD145" i="2" s="1"/>
  <c r="CB146" i="2"/>
  <c r="CC146" i="2" s="1"/>
  <c r="CD146" i="2" s="1"/>
  <c r="CB147" i="2"/>
  <c r="CC147" i="2" s="1"/>
  <c r="CD147" i="2" s="1"/>
  <c r="CB148" i="2"/>
  <c r="CC148" i="2" s="1"/>
  <c r="CD148" i="2" s="1"/>
  <c r="CB149" i="2"/>
  <c r="CC149" i="2" s="1"/>
  <c r="CD149" i="2" s="1"/>
  <c r="CB150" i="2"/>
  <c r="CC150" i="2" s="1"/>
  <c r="CD150" i="2" s="1"/>
  <c r="CB151" i="2"/>
  <c r="CC151" i="2" s="1"/>
  <c r="CD151" i="2" s="1"/>
  <c r="CB152" i="2"/>
  <c r="CC152" i="2" s="1"/>
  <c r="CD152" i="2" s="1"/>
  <c r="CB153" i="2"/>
  <c r="CC153" i="2" s="1"/>
  <c r="CD153" i="2" s="1"/>
  <c r="CB154" i="2"/>
  <c r="CC154" i="2" s="1"/>
  <c r="CD154" i="2" s="1"/>
  <c r="CB155" i="2"/>
  <c r="CC155" i="2" s="1"/>
  <c r="CD155" i="2" s="1"/>
  <c r="CB156" i="2"/>
  <c r="CC156" i="2" s="1"/>
  <c r="CD156" i="2" s="1"/>
  <c r="CB157" i="2"/>
  <c r="CC157" i="2" s="1"/>
  <c r="CD157" i="2" s="1"/>
  <c r="CB158" i="2"/>
  <c r="CC158" i="2" s="1"/>
  <c r="CD158" i="2" s="1"/>
  <c r="CB159" i="2"/>
  <c r="CC159" i="2" s="1"/>
  <c r="CD159" i="2" s="1"/>
  <c r="CB160" i="2"/>
  <c r="CC160" i="2" s="1"/>
  <c r="CD160" i="2" s="1"/>
  <c r="CB161" i="2"/>
  <c r="CC161" i="2" s="1"/>
  <c r="CD161" i="2" s="1"/>
  <c r="CB162" i="2"/>
  <c r="CC162" i="2" s="1"/>
  <c r="CD162" i="2" s="1"/>
  <c r="CB163" i="2"/>
  <c r="CC163" i="2" s="1"/>
  <c r="CD163" i="2" s="1"/>
  <c r="CB164" i="2"/>
  <c r="CC164" i="2" s="1"/>
  <c r="CD164" i="2" s="1"/>
  <c r="CB165" i="2"/>
  <c r="CC165" i="2" s="1"/>
  <c r="CD165" i="2" s="1"/>
  <c r="CB166" i="2"/>
  <c r="CC166" i="2" s="1"/>
  <c r="CD166" i="2" s="1"/>
  <c r="CB167" i="2"/>
  <c r="CC167" i="2" s="1"/>
  <c r="CD167" i="2" s="1"/>
  <c r="CB168" i="2"/>
  <c r="CC168" i="2" s="1"/>
  <c r="CD168" i="2" s="1"/>
  <c r="CB169" i="2"/>
  <c r="CC169" i="2" s="1"/>
  <c r="CD169" i="2" s="1"/>
  <c r="CB170" i="2"/>
  <c r="CC170" i="2" s="1"/>
  <c r="CD170" i="2" s="1"/>
  <c r="CB171" i="2"/>
  <c r="CC171" i="2" s="1"/>
  <c r="CD171" i="2" s="1"/>
  <c r="CB172" i="2"/>
  <c r="CC172" i="2" s="1"/>
  <c r="CD172" i="2" s="1"/>
  <c r="CB173" i="2"/>
  <c r="CC173" i="2" s="1"/>
  <c r="CD173" i="2" s="1"/>
  <c r="CB174" i="2"/>
  <c r="CC174" i="2" s="1"/>
  <c r="CD174" i="2" s="1"/>
  <c r="CB175" i="2"/>
  <c r="CC175" i="2" s="1"/>
  <c r="CD175" i="2" s="1"/>
  <c r="CB176" i="2"/>
  <c r="CC176" i="2" s="1"/>
  <c r="CD176" i="2" s="1"/>
  <c r="CB177" i="2"/>
  <c r="CC177" i="2" s="1"/>
  <c r="CD177" i="2" s="1"/>
  <c r="CB178" i="2"/>
  <c r="CC178" i="2" s="1"/>
  <c r="CD178" i="2" s="1"/>
  <c r="CB179" i="2"/>
  <c r="CC179" i="2" s="1"/>
  <c r="CD179" i="2" s="1"/>
  <c r="CB180" i="2"/>
  <c r="CC180" i="2" s="1"/>
  <c r="CD180" i="2" s="1"/>
  <c r="CB181" i="2"/>
  <c r="CC181" i="2" s="1"/>
  <c r="CD181" i="2" s="1"/>
  <c r="CB182" i="2"/>
  <c r="CC182" i="2" s="1"/>
  <c r="CD182" i="2" s="1"/>
  <c r="CB183" i="2"/>
  <c r="CC183" i="2" s="1"/>
  <c r="CD183" i="2" s="1"/>
  <c r="CB184" i="2"/>
  <c r="CC184" i="2" s="1"/>
  <c r="CD184" i="2" s="1"/>
  <c r="CB185" i="2"/>
  <c r="CC185" i="2" s="1"/>
  <c r="CD185" i="2" s="1"/>
  <c r="CB186" i="2"/>
  <c r="CC186" i="2" s="1"/>
  <c r="CD186" i="2" s="1"/>
  <c r="CB187" i="2"/>
  <c r="CC187" i="2" s="1"/>
  <c r="CD187" i="2" s="1"/>
  <c r="CB188" i="2"/>
  <c r="CC188" i="2" s="1"/>
  <c r="CD188" i="2" s="1"/>
  <c r="CB189" i="2"/>
  <c r="CC189" i="2" s="1"/>
  <c r="CD189" i="2" s="1"/>
  <c r="CB190" i="2"/>
  <c r="CC190" i="2" s="1"/>
  <c r="CD190" i="2" s="1"/>
  <c r="CB191" i="2"/>
  <c r="CC191" i="2" s="1"/>
  <c r="CD191" i="2" s="1"/>
  <c r="CB192" i="2"/>
  <c r="CC192" i="2" s="1"/>
  <c r="CD192" i="2" s="1"/>
  <c r="CB193" i="2"/>
  <c r="CC193" i="2" s="1"/>
  <c r="CD193" i="2" s="1"/>
  <c r="CB194" i="2"/>
  <c r="CC194" i="2" s="1"/>
  <c r="CD194" i="2" s="1"/>
  <c r="CB195" i="2"/>
  <c r="CC195" i="2" s="1"/>
  <c r="CD195" i="2" s="1"/>
  <c r="CB196" i="2"/>
  <c r="CC196" i="2" s="1"/>
  <c r="CD196" i="2" s="1"/>
  <c r="CB197" i="2"/>
  <c r="CC197" i="2" s="1"/>
  <c r="CD197" i="2" s="1"/>
  <c r="CB198" i="2"/>
  <c r="CC198" i="2" s="1"/>
  <c r="CD198" i="2" s="1"/>
  <c r="CB199" i="2"/>
  <c r="CC199" i="2" s="1"/>
  <c r="CD199" i="2" s="1"/>
  <c r="CB200" i="2"/>
  <c r="CC200" i="2" s="1"/>
  <c r="CD200" i="2" s="1"/>
  <c r="CB201" i="2"/>
  <c r="CC201" i="2" s="1"/>
  <c r="CD201" i="2" s="1"/>
  <c r="CB202" i="2"/>
  <c r="CC202" i="2" s="1"/>
  <c r="CD202" i="2" s="1"/>
  <c r="CB203" i="2"/>
  <c r="CC203" i="2" s="1"/>
  <c r="CD203" i="2" s="1"/>
  <c r="CB204" i="2"/>
  <c r="CC204" i="2" s="1"/>
  <c r="CD204" i="2" s="1"/>
  <c r="CB205" i="2"/>
  <c r="CC205" i="2" s="1"/>
  <c r="CD205" i="2" s="1"/>
  <c r="CB206" i="2"/>
  <c r="CC206" i="2" s="1"/>
  <c r="CD206" i="2" s="1"/>
  <c r="CB207" i="2"/>
  <c r="CC207" i="2" s="1"/>
  <c r="CD207" i="2" s="1"/>
  <c r="CB208" i="2"/>
  <c r="CC208" i="2" s="1"/>
  <c r="CD208" i="2" s="1"/>
  <c r="CB209" i="2"/>
  <c r="CC209" i="2" s="1"/>
  <c r="CD209" i="2" s="1"/>
  <c r="CB210" i="2"/>
  <c r="CC210" i="2" s="1"/>
  <c r="CD210" i="2" s="1"/>
  <c r="CB211" i="2"/>
  <c r="CC211" i="2" s="1"/>
  <c r="CD211" i="2" s="1"/>
  <c r="CB212" i="2"/>
  <c r="CC212" i="2" s="1"/>
  <c r="CD212" i="2" s="1"/>
  <c r="CB213" i="2"/>
  <c r="CC213" i="2" s="1"/>
  <c r="CD213" i="2" s="1"/>
  <c r="CB214" i="2"/>
  <c r="CC214" i="2" s="1"/>
  <c r="CD214" i="2" s="1"/>
  <c r="CB215" i="2"/>
  <c r="CC215" i="2" s="1"/>
  <c r="CD215" i="2" s="1"/>
  <c r="CB216" i="2"/>
  <c r="CC216" i="2" s="1"/>
  <c r="CD216" i="2" s="1"/>
  <c r="CB217" i="2"/>
  <c r="CC217" i="2" s="1"/>
  <c r="CD217" i="2" s="1"/>
  <c r="CB218" i="2"/>
  <c r="CC218" i="2" s="1"/>
  <c r="CD218" i="2" s="1"/>
  <c r="CB219" i="2"/>
  <c r="CC219" i="2" s="1"/>
  <c r="CD219" i="2" s="1"/>
  <c r="CB220" i="2"/>
  <c r="CC220" i="2" s="1"/>
  <c r="CD220" i="2" s="1"/>
  <c r="CB221" i="2"/>
  <c r="CC221" i="2" s="1"/>
  <c r="CD221" i="2" s="1"/>
  <c r="CB222" i="2"/>
  <c r="CC222" i="2" s="1"/>
  <c r="CD222" i="2" s="1"/>
  <c r="CB223" i="2"/>
  <c r="CC223" i="2" s="1"/>
  <c r="CD223" i="2" s="1"/>
  <c r="CB224" i="2"/>
  <c r="CC224" i="2" s="1"/>
  <c r="CD224" i="2" s="1"/>
  <c r="CB225" i="2"/>
  <c r="CC225" i="2" s="1"/>
  <c r="CD225" i="2" s="1"/>
  <c r="CB226" i="2"/>
  <c r="CC226" i="2" s="1"/>
  <c r="CD226" i="2" s="1"/>
  <c r="CB227" i="2"/>
  <c r="CC227" i="2" s="1"/>
  <c r="CD227" i="2" s="1"/>
  <c r="CB228" i="2"/>
  <c r="CC228" i="2" s="1"/>
  <c r="CD228" i="2" s="1"/>
  <c r="CB229" i="2"/>
  <c r="CC229" i="2" s="1"/>
  <c r="CD229" i="2" s="1"/>
  <c r="CB230" i="2"/>
  <c r="CC230" i="2" s="1"/>
  <c r="CD230" i="2" s="1"/>
  <c r="CB231" i="2"/>
  <c r="CC231" i="2" s="1"/>
  <c r="CD231" i="2" s="1"/>
  <c r="CB232" i="2"/>
  <c r="CC232" i="2" s="1"/>
  <c r="CD232" i="2" s="1"/>
  <c r="CB233" i="2"/>
  <c r="CC233" i="2" s="1"/>
  <c r="CD233" i="2" s="1"/>
  <c r="CB234" i="2"/>
  <c r="CC234" i="2" s="1"/>
  <c r="CD234" i="2" s="1"/>
  <c r="CB235" i="2"/>
  <c r="CC235" i="2" s="1"/>
  <c r="CD235" i="2" s="1"/>
  <c r="CB236" i="2"/>
  <c r="CC236" i="2" s="1"/>
  <c r="CD236" i="2" s="1"/>
  <c r="CB237" i="2"/>
  <c r="CC237" i="2" s="1"/>
  <c r="CD237" i="2" s="1"/>
  <c r="CB238" i="2"/>
  <c r="CC238" i="2" s="1"/>
  <c r="CD238" i="2" s="1"/>
  <c r="CB239" i="2"/>
  <c r="CC239" i="2" s="1"/>
  <c r="CD239" i="2" s="1"/>
  <c r="CB240" i="2"/>
  <c r="CC240" i="2" s="1"/>
  <c r="CD240" i="2" s="1"/>
  <c r="CB241" i="2"/>
  <c r="CC241" i="2" s="1"/>
  <c r="CD241" i="2" s="1"/>
  <c r="CB242" i="2"/>
  <c r="CC242" i="2" s="1"/>
  <c r="CD242" i="2" s="1"/>
  <c r="CB243" i="2"/>
  <c r="CC243" i="2" s="1"/>
  <c r="CD243" i="2" s="1"/>
  <c r="CB244" i="2"/>
  <c r="CC244" i="2" s="1"/>
  <c r="CD244" i="2" s="1"/>
  <c r="CB245" i="2"/>
  <c r="CC245" i="2" s="1"/>
  <c r="CD245" i="2" s="1"/>
  <c r="CB246" i="2"/>
  <c r="CC246" i="2" s="1"/>
  <c r="CD246" i="2" s="1"/>
  <c r="CB247" i="2"/>
  <c r="CC247" i="2" s="1"/>
  <c r="CD247" i="2" s="1"/>
  <c r="CB248" i="2"/>
  <c r="CC248" i="2" s="1"/>
  <c r="CD248" i="2" s="1"/>
  <c r="CB249" i="2"/>
  <c r="CC249" i="2" s="1"/>
  <c r="CD249" i="2" s="1"/>
  <c r="CB250" i="2"/>
  <c r="CC250" i="2" s="1"/>
  <c r="CD250" i="2" s="1"/>
  <c r="CB251" i="2"/>
  <c r="CC251" i="2" s="1"/>
  <c r="CD251" i="2" s="1"/>
  <c r="CB252" i="2"/>
  <c r="CC252" i="2" s="1"/>
  <c r="CD252" i="2" s="1"/>
  <c r="CB253" i="2"/>
  <c r="CC253" i="2" s="1"/>
  <c r="CD253" i="2" s="1"/>
  <c r="CB254" i="2"/>
  <c r="CC254" i="2" s="1"/>
  <c r="CD254" i="2" s="1"/>
  <c r="CI156" i="4" l="1"/>
  <c r="CI84" i="4"/>
  <c r="CF135" i="4"/>
  <c r="CI168" i="4"/>
  <c r="CH232" i="4"/>
  <c r="CH7" i="4"/>
  <c r="CF14" i="4"/>
  <c r="CH18" i="4"/>
  <c r="CH20" i="4"/>
  <c r="CH30" i="4"/>
  <c r="CG31" i="4"/>
  <c r="CG37" i="4"/>
  <c r="CH43" i="4"/>
  <c r="CG44" i="4"/>
  <c r="CH49" i="4"/>
  <c r="CH60" i="4"/>
  <c r="CG67" i="4"/>
  <c r="CG76" i="4"/>
  <c r="CE77" i="4"/>
  <c r="CE83" i="4"/>
  <c r="CH93" i="4"/>
  <c r="CG100" i="4"/>
  <c r="CH105" i="4"/>
  <c r="CG112" i="4"/>
  <c r="CH116" i="4"/>
  <c r="CI116" i="4" s="1"/>
  <c r="CE117" i="4"/>
  <c r="CH120" i="4"/>
  <c r="CG121" i="4"/>
  <c r="CH132" i="4"/>
  <c r="CH146" i="4"/>
  <c r="CF162" i="4"/>
  <c r="CG174" i="4"/>
  <c r="CG178" i="4"/>
  <c r="CH186" i="4"/>
  <c r="CH213" i="4"/>
  <c r="CG214" i="4"/>
  <c r="CF215" i="4"/>
  <c r="CF220" i="4"/>
  <c r="CG225" i="4"/>
  <c r="CH238" i="4"/>
  <c r="CH269" i="4"/>
  <c r="CH301" i="4"/>
  <c r="CF307" i="4"/>
  <c r="CF206" i="4"/>
  <c r="CF49" i="4"/>
  <c r="CF54" i="4"/>
  <c r="CI54" i="4" s="1"/>
  <c r="CF107" i="4"/>
  <c r="CF142" i="4"/>
  <c r="CI142" i="4" s="1"/>
  <c r="CF191" i="4"/>
  <c r="CF22" i="4"/>
  <c r="CG32" i="4"/>
  <c r="CG54" i="4"/>
  <c r="CG55" i="4"/>
  <c r="CF61" i="4"/>
  <c r="CG132" i="4"/>
  <c r="CI132" i="4" s="1"/>
  <c r="CI192" i="4"/>
  <c r="CG196" i="4"/>
  <c r="CF209" i="4"/>
  <c r="CI252" i="4"/>
  <c r="CI2" i="4"/>
  <c r="CG2" i="4"/>
  <c r="CG3" i="4"/>
  <c r="CH15" i="4"/>
  <c r="CH38" i="4"/>
  <c r="CF70" i="4"/>
  <c r="CI70" i="4" s="1"/>
  <c r="CF96" i="4"/>
  <c r="CH100" i="4"/>
  <c r="CF100" i="4"/>
  <c r="CH3" i="4"/>
  <c r="CG9" i="4"/>
  <c r="CF10" i="4"/>
  <c r="CH14" i="4"/>
  <c r="CH16" i="4"/>
  <c r="CG22" i="4"/>
  <c r="CG23" i="4"/>
  <c r="CH27" i="4"/>
  <c r="CI27" i="4" s="1"/>
  <c r="CH32" i="4"/>
  <c r="CI32" i="4" s="1"/>
  <c r="CG51" i="4"/>
  <c r="CG52" i="4"/>
  <c r="CH55" i="4"/>
  <c r="CH56" i="4"/>
  <c r="CG71" i="4"/>
  <c r="CE78" i="4"/>
  <c r="CG84" i="4"/>
  <c r="CH89" i="4"/>
  <c r="CG96" i="4"/>
  <c r="CE98" i="4"/>
  <c r="CH102" i="4"/>
  <c r="CG103" i="4"/>
  <c r="CG109" i="4"/>
  <c r="CG118" i="4"/>
  <c r="CE119" i="4"/>
  <c r="CH127" i="4"/>
  <c r="CG129" i="4"/>
  <c r="CF134" i="4"/>
  <c r="CG149" i="4"/>
  <c r="CG158" i="4"/>
  <c r="CE159" i="4"/>
  <c r="CH162" i="4"/>
  <c r="CH166" i="4"/>
  <c r="CE168" i="4"/>
  <c r="CH171" i="4"/>
  <c r="CI171" i="4" s="1"/>
  <c r="CH175" i="4"/>
  <c r="CF183" i="4"/>
  <c r="CI183" i="4" s="1"/>
  <c r="CG188" i="4"/>
  <c r="CH197" i="4"/>
  <c r="CE216" i="4"/>
  <c r="CG222" i="4"/>
  <c r="CF223" i="4"/>
  <c r="CE237" i="4"/>
  <c r="CH246" i="4"/>
  <c r="CH392" i="4"/>
  <c r="CI76" i="4"/>
  <c r="CH131" i="4"/>
  <c r="CH4" i="4"/>
  <c r="CG10" i="4"/>
  <c r="CG11" i="4"/>
  <c r="CH23" i="4"/>
  <c r="CH33" i="4"/>
  <c r="CH51" i="4"/>
  <c r="CF53" i="4"/>
  <c r="CH57" i="4"/>
  <c r="CH58" i="4"/>
  <c r="CE59" i="4"/>
  <c r="CF68" i="4"/>
  <c r="CI68" i="4" s="1"/>
  <c r="CF69" i="4"/>
  <c r="CI69" i="4" s="1"/>
  <c r="CH71" i="4"/>
  <c r="CH72" i="4"/>
  <c r="CH90" i="4"/>
  <c r="CI90" i="4" s="1"/>
  <c r="CH97" i="4"/>
  <c r="CE104" i="4"/>
  <c r="CH109" i="4"/>
  <c r="CH114" i="4"/>
  <c r="CH118" i="4"/>
  <c r="CG125" i="4"/>
  <c r="CH129" i="4"/>
  <c r="CG134" i="4"/>
  <c r="CE135" i="4"/>
  <c r="CG140" i="4"/>
  <c r="CF141" i="4"/>
  <c r="CE143" i="4"/>
  <c r="CF150" i="4"/>
  <c r="CF155" i="4"/>
  <c r="CH158" i="4"/>
  <c r="CE160" i="4"/>
  <c r="CH163" i="4"/>
  <c r="CH167" i="4"/>
  <c r="CG184" i="4"/>
  <c r="CG189" i="4"/>
  <c r="CH198" i="4"/>
  <c r="CG208" i="4"/>
  <c r="CE210" i="4"/>
  <c r="CH216" i="4"/>
  <c r="CH217" i="4"/>
  <c r="CG218" i="4"/>
  <c r="CH229" i="4"/>
  <c r="CG241" i="4"/>
  <c r="CH253" i="4"/>
  <c r="CG254" i="4"/>
  <c r="CE255" i="4"/>
  <c r="CH280" i="4"/>
  <c r="CF311" i="4"/>
  <c r="CH11" i="4"/>
  <c r="CG17" i="4"/>
  <c r="CH24" i="4"/>
  <c r="CE35" i="4"/>
  <c r="CH46" i="4"/>
  <c r="CG47" i="4"/>
  <c r="CG59" i="4"/>
  <c r="CH73" i="4"/>
  <c r="CH74" i="4"/>
  <c r="CE75" i="4"/>
  <c r="CH98" i="4"/>
  <c r="CI98" i="4" s="1"/>
  <c r="CG104" i="4"/>
  <c r="CH110" i="4"/>
  <c r="CE111" i="4"/>
  <c r="CF114" i="4"/>
  <c r="CH119" i="4"/>
  <c r="CE126" i="4"/>
  <c r="CH134" i="4"/>
  <c r="CG141" i="4"/>
  <c r="CG144" i="4"/>
  <c r="CE151" i="4"/>
  <c r="CH180" i="4"/>
  <c r="CG181" i="4"/>
  <c r="CG185" i="4"/>
  <c r="CG204" i="4"/>
  <c r="CI204" i="4" s="1"/>
  <c r="CH208" i="4"/>
  <c r="CG210" i="4"/>
  <c r="CH223" i="4"/>
  <c r="CG236" i="4"/>
  <c r="CF247" i="4"/>
  <c r="CH264" i="4"/>
  <c r="CE308" i="4"/>
  <c r="CF308" i="4"/>
  <c r="CI308" i="4" s="1"/>
  <c r="CI403" i="4"/>
  <c r="CH5" i="4"/>
  <c r="CI6" i="4"/>
  <c r="CH12" i="4"/>
  <c r="CH34" i="4"/>
  <c r="CH47" i="4"/>
  <c r="CH53" i="4"/>
  <c r="CF60" i="4"/>
  <c r="CG79" i="4"/>
  <c r="CG91" i="4"/>
  <c r="CI91" i="4" s="1"/>
  <c r="CG99" i="4"/>
  <c r="CH104" i="4"/>
  <c r="CH135" i="4"/>
  <c r="CH150" i="4"/>
  <c r="CH154" i="4"/>
  <c r="CF164" i="4"/>
  <c r="CI164" i="4" s="1"/>
  <c r="CF172" i="4"/>
  <c r="CI172" i="4" s="1"/>
  <c r="CH176" i="4"/>
  <c r="CH194" i="4"/>
  <c r="CH210" i="4"/>
  <c r="CE214" i="4"/>
  <c r="CH230" i="4"/>
  <c r="CF284" i="4"/>
  <c r="CH324" i="4"/>
  <c r="CG324" i="4"/>
  <c r="CH354" i="4"/>
  <c r="CF379" i="4"/>
  <c r="CF405" i="4"/>
  <c r="CH419" i="4"/>
  <c r="CG420" i="4"/>
  <c r="CH425" i="4"/>
  <c r="CH426" i="4"/>
  <c r="CG427" i="4"/>
  <c r="CG428" i="4"/>
  <c r="CE434" i="4"/>
  <c r="CE437" i="4"/>
  <c r="CH442" i="4"/>
  <c r="CH448" i="4"/>
  <c r="CH190" i="4"/>
  <c r="CG194" i="4"/>
  <c r="CG198" i="4"/>
  <c r="CG202" i="4"/>
  <c r="CH206" i="4"/>
  <c r="CH222" i="4"/>
  <c r="CF236" i="4"/>
  <c r="CH243" i="4"/>
  <c r="CF255" i="4"/>
  <c r="CF259" i="4"/>
  <c r="CH270" i="4"/>
  <c r="CH279" i="4"/>
  <c r="CH293" i="4"/>
  <c r="CE294" i="4"/>
  <c r="CF300" i="4"/>
  <c r="CG302" i="4"/>
  <c r="CF304" i="4"/>
  <c r="CH306" i="4"/>
  <c r="CH310" i="4"/>
  <c r="CG311" i="4"/>
  <c r="CH316" i="4"/>
  <c r="CH323" i="4"/>
  <c r="CH328" i="4"/>
  <c r="CF330" i="4"/>
  <c r="CH334" i="4"/>
  <c r="CG340" i="4"/>
  <c r="CH355" i="4"/>
  <c r="CE359" i="4"/>
  <c r="CH367" i="4"/>
  <c r="CG368" i="4"/>
  <c r="CH374" i="4"/>
  <c r="CF387" i="4"/>
  <c r="CH410" i="4"/>
  <c r="CG415" i="4"/>
  <c r="CH427" i="4"/>
  <c r="CE433" i="4"/>
  <c r="CH438" i="4"/>
  <c r="CF442" i="4"/>
  <c r="CI442" i="4" s="1"/>
  <c r="CF256" i="4"/>
  <c r="CI256" i="4" s="1"/>
  <c r="CH271" i="4"/>
  <c r="CF280" i="4"/>
  <c r="CI280" i="4" s="1"/>
  <c r="CH284" i="4"/>
  <c r="CI299" i="4"/>
  <c r="CH311" i="4"/>
  <c r="CF323" i="4"/>
  <c r="CH335" i="4"/>
  <c r="CF344" i="4"/>
  <c r="CH349" i="4"/>
  <c r="CG357" i="4"/>
  <c r="CF358" i="4"/>
  <c r="CH368" i="4"/>
  <c r="CI368" i="4" s="1"/>
  <c r="CH415" i="4"/>
  <c r="CH434" i="4"/>
  <c r="CF438" i="4"/>
  <c r="CF335" i="4"/>
  <c r="CF434" i="4"/>
  <c r="CG161" i="4"/>
  <c r="CG165" i="4"/>
  <c r="CG169" i="4"/>
  <c r="CG173" i="4"/>
  <c r="CG215" i="4"/>
  <c r="CE221" i="4"/>
  <c r="CF224" i="4"/>
  <c r="CG224" i="4"/>
  <c r="CG230" i="4"/>
  <c r="CF231" i="4"/>
  <c r="CH235" i="4"/>
  <c r="CG262" i="4"/>
  <c r="CG286" i="4"/>
  <c r="CH289" i="4"/>
  <c r="CI289" i="4" s="1"/>
  <c r="CF295" i="4"/>
  <c r="CH299" i="4"/>
  <c r="CH303" i="4"/>
  <c r="CH312" i="4"/>
  <c r="CH319" i="4"/>
  <c r="CI319" i="4" s="1"/>
  <c r="CG326" i="4"/>
  <c r="CH331" i="4"/>
  <c r="CH341" i="4"/>
  <c r="CG346" i="4"/>
  <c r="CF352" i="4"/>
  <c r="CH358" i="4"/>
  <c r="CH359" i="4"/>
  <c r="CG360" i="4"/>
  <c r="CG370" i="4"/>
  <c r="CG382" i="4"/>
  <c r="CH390" i="4"/>
  <c r="CG391" i="4"/>
  <c r="CH394" i="4"/>
  <c r="CH398" i="4"/>
  <c r="CG403" i="4"/>
  <c r="CG407" i="4"/>
  <c r="CE411" i="4"/>
  <c r="CG412" i="4"/>
  <c r="CH421" i="4"/>
  <c r="CH422" i="4"/>
  <c r="CG423" i="4"/>
  <c r="CG424" i="4"/>
  <c r="CH429" i="4"/>
  <c r="CE429" i="4"/>
  <c r="CG436" i="4"/>
  <c r="CF441" i="4"/>
  <c r="CG257" i="4"/>
  <c r="CH262" i="4"/>
  <c r="CF267" i="4"/>
  <c r="CF268" i="4"/>
  <c r="CG281" i="4"/>
  <c r="CG290" i="4"/>
  <c r="CG291" i="4"/>
  <c r="CG295" i="4"/>
  <c r="CG300" i="4"/>
  <c r="CF303" i="4"/>
  <c r="CG304" i="4"/>
  <c r="CG314" i="4"/>
  <c r="CF319" i="4"/>
  <c r="CG320" i="4"/>
  <c r="CH326" i="4"/>
  <c r="CG327" i="4"/>
  <c r="CF331" i="4"/>
  <c r="CH336" i="4"/>
  <c r="CH346" i="4"/>
  <c r="CG364" i="4"/>
  <c r="CF365" i="4"/>
  <c r="CH370" i="4"/>
  <c r="CI370" i="4" s="1"/>
  <c r="CF372" i="4"/>
  <c r="CH378" i="4"/>
  <c r="CH382" i="4"/>
  <c r="CH385" i="4"/>
  <c r="CE388" i="4"/>
  <c r="CE391" i="4"/>
  <c r="CH403" i="4"/>
  <c r="CE407" i="4"/>
  <c r="CG408" i="4"/>
  <c r="CE419" i="4"/>
  <c r="CH423" i="4"/>
  <c r="CH430" i="4"/>
  <c r="CG431" i="4"/>
  <c r="CG432" i="4"/>
  <c r="CG258" i="4"/>
  <c r="CG268" i="4"/>
  <c r="CG282" i="4"/>
  <c r="CI282" i="4" s="1"/>
  <c r="CH290" i="4"/>
  <c r="CH291" i="4"/>
  <c r="CE297" i="4"/>
  <c r="CG315" i="4"/>
  <c r="CH353" i="4"/>
  <c r="CG372" i="4"/>
  <c r="CH399" i="4"/>
  <c r="CI399" i="4" s="1"/>
  <c r="CE403" i="4"/>
  <c r="CH441" i="4"/>
  <c r="CE445" i="4"/>
  <c r="CG447" i="4"/>
  <c r="CE248" i="4"/>
  <c r="CH254" i="4"/>
  <c r="CH258" i="4"/>
  <c r="CF279" i="4"/>
  <c r="CI279" i="4" s="1"/>
  <c r="CH282" i="4"/>
  <c r="CF288" i="4"/>
  <c r="CI288" i="4" s="1"/>
  <c r="CH315" i="4"/>
  <c r="CE327" i="4"/>
  <c r="CI334" i="4"/>
  <c r="CF355" i="4"/>
  <c r="CH361" i="4"/>
  <c r="CH365" i="4"/>
  <c r="CH372" i="4"/>
  <c r="CG388" i="4"/>
  <c r="CE395" i="4"/>
  <c r="CE399" i="4"/>
  <c r="CG400" i="4"/>
  <c r="CG404" i="4"/>
  <c r="CH417" i="4"/>
  <c r="CG419" i="4"/>
  <c r="CI419" i="4" s="1"/>
  <c r="CE441" i="4"/>
  <c r="CG448" i="4"/>
  <c r="CF21" i="4"/>
  <c r="CI21" i="4" s="1"/>
  <c r="CE21" i="4"/>
  <c r="CE31" i="4"/>
  <c r="CF31" i="4"/>
  <c r="CI31" i="4" s="1"/>
  <c r="CF37" i="4"/>
  <c r="CI37" i="4" s="1"/>
  <c r="CE37" i="4"/>
  <c r="CE44" i="4"/>
  <c r="CF44" i="4"/>
  <c r="CI44" i="4" s="1"/>
  <c r="CE45" i="4"/>
  <c r="CF45" i="4"/>
  <c r="CI45" i="4" s="1"/>
  <c r="CE50" i="4"/>
  <c r="CF50" i="4"/>
  <c r="CI50" i="4" s="1"/>
  <c r="CI60" i="4"/>
  <c r="CF9" i="4"/>
  <c r="CI9" i="4" s="1"/>
  <c r="CE9" i="4"/>
  <c r="CE15" i="4"/>
  <c r="CF15" i="4"/>
  <c r="CI15" i="4" s="1"/>
  <c r="CI26" i="4"/>
  <c r="CE38" i="4"/>
  <c r="CF38" i="4"/>
  <c r="CI38" i="4" s="1"/>
  <c r="CI47" i="4"/>
  <c r="CF88" i="4"/>
  <c r="CI88" i="4" s="1"/>
  <c r="CE88" i="4"/>
  <c r="CF17" i="4"/>
  <c r="CI17" i="4" s="1"/>
  <c r="CE17" i="4"/>
  <c r="CE23" i="4"/>
  <c r="CF23" i="4"/>
  <c r="CE52" i="4"/>
  <c r="CF52" i="4"/>
  <c r="CI52" i="4" s="1"/>
  <c r="CE58" i="4"/>
  <c r="CF58" i="4"/>
  <c r="CI58" i="4" s="1"/>
  <c r="CE71" i="4"/>
  <c r="CF71" i="4"/>
  <c r="CI71" i="4" s="1"/>
  <c r="CF72" i="4"/>
  <c r="CE72" i="4"/>
  <c r="CF73" i="4"/>
  <c r="CI73" i="4" s="1"/>
  <c r="CE73" i="4"/>
  <c r="CF5" i="4"/>
  <c r="CI5" i="4" s="1"/>
  <c r="CE5" i="4"/>
  <c r="CE11" i="4"/>
  <c r="CF11" i="4"/>
  <c r="CI11" i="4" s="1"/>
  <c r="CI22" i="4"/>
  <c r="CF28" i="4"/>
  <c r="CE28" i="4"/>
  <c r="CF34" i="4"/>
  <c r="CI34" i="4" s="1"/>
  <c r="CE34" i="4"/>
  <c r="CE74" i="4"/>
  <c r="CF74" i="4"/>
  <c r="CI74" i="4" s="1"/>
  <c r="CF57" i="4"/>
  <c r="CI57" i="4" s="1"/>
  <c r="CE57" i="4"/>
  <c r="CI10" i="4"/>
  <c r="CF25" i="4"/>
  <c r="CI25" i="4" s="1"/>
  <c r="CE25" i="4"/>
  <c r="CF40" i="4"/>
  <c r="CI40" i="4" s="1"/>
  <c r="CE40" i="4"/>
  <c r="CE41" i="4"/>
  <c r="CF41" i="4"/>
  <c r="CI41" i="4" s="1"/>
  <c r="CE42" i="4"/>
  <c r="CF42" i="4"/>
  <c r="CI42" i="4" s="1"/>
  <c r="CE63" i="4"/>
  <c r="CF63" i="4"/>
  <c r="CI63" i="4" s="1"/>
  <c r="CF64" i="4"/>
  <c r="CE64" i="4"/>
  <c r="CF65" i="4"/>
  <c r="CI65" i="4" s="1"/>
  <c r="CE65" i="4"/>
  <c r="CE66" i="4"/>
  <c r="CF66" i="4"/>
  <c r="CI66" i="4" s="1"/>
  <c r="CE3" i="4"/>
  <c r="CF3" i="4"/>
  <c r="CF56" i="4"/>
  <c r="CE56" i="4"/>
  <c r="CF89" i="4"/>
  <c r="CI89" i="4" s="1"/>
  <c r="CE89" i="4"/>
  <c r="CF13" i="4"/>
  <c r="CI13" i="4" s="1"/>
  <c r="CE13" i="4"/>
  <c r="CF19" i="4"/>
  <c r="CI19" i="4" s="1"/>
  <c r="CE19" i="4"/>
  <c r="CF48" i="4"/>
  <c r="CE48" i="4"/>
  <c r="CI53" i="4"/>
  <c r="CE79" i="4"/>
  <c r="CF79" i="4"/>
  <c r="CF80" i="4"/>
  <c r="CE80" i="4"/>
  <c r="CF81" i="4"/>
  <c r="CI81" i="4" s="1"/>
  <c r="CE81" i="4"/>
  <c r="CE82" i="4"/>
  <c r="CF82" i="4"/>
  <c r="CI82" i="4" s="1"/>
  <c r="CE55" i="4"/>
  <c r="CF55" i="4"/>
  <c r="CI55" i="4" s="1"/>
  <c r="CE7" i="4"/>
  <c r="CF7" i="4"/>
  <c r="CI7" i="4" s="1"/>
  <c r="CI18" i="4"/>
  <c r="CI29" i="4"/>
  <c r="CE43" i="4"/>
  <c r="CF43" i="4"/>
  <c r="CI43" i="4" s="1"/>
  <c r="CF92" i="4"/>
  <c r="CE92" i="4"/>
  <c r="CF93" i="4"/>
  <c r="CI93" i="4" s="1"/>
  <c r="CE93" i="4"/>
  <c r="CI77" i="4"/>
  <c r="CE124" i="4"/>
  <c r="CF124" i="4"/>
  <c r="CI124" i="4" s="1"/>
  <c r="CF8" i="4"/>
  <c r="CI8" i="4" s="1"/>
  <c r="CF12" i="4"/>
  <c r="CI12" i="4" s="1"/>
  <c r="CF16" i="4"/>
  <c r="CI16" i="4" s="1"/>
  <c r="CF20" i="4"/>
  <c r="CF24" i="4"/>
  <c r="CF30" i="4"/>
  <c r="CI30" i="4" s="1"/>
  <c r="CF33" i="4"/>
  <c r="CI33" i="4" s="1"/>
  <c r="CF36" i="4"/>
  <c r="CE49" i="4"/>
  <c r="CI97" i="4"/>
  <c r="CE101" i="4"/>
  <c r="CH107" i="4"/>
  <c r="CI107" i="4" s="1"/>
  <c r="CE107" i="4"/>
  <c r="CE145" i="4"/>
  <c r="CF145" i="4"/>
  <c r="CI145" i="4" s="1"/>
  <c r="CI148" i="4"/>
  <c r="CF169" i="4"/>
  <c r="CE169" i="4"/>
  <c r="CF173" i="4"/>
  <c r="CI173" i="4" s="1"/>
  <c r="CE173" i="4"/>
  <c r="CE200" i="4"/>
  <c r="CF200" i="4"/>
  <c r="CI200" i="4" s="1"/>
  <c r="CE225" i="4"/>
  <c r="CF225" i="4"/>
  <c r="CI225" i="4" s="1"/>
  <c r="CE94" i="4"/>
  <c r="CI110" i="4"/>
  <c r="CF118" i="4"/>
  <c r="CE118" i="4"/>
  <c r="CI121" i="4"/>
  <c r="CF127" i="4"/>
  <c r="CE127" i="4"/>
  <c r="CF147" i="4"/>
  <c r="CI147" i="4" s="1"/>
  <c r="CE147" i="4"/>
  <c r="CH195" i="4"/>
  <c r="CE195" i="4"/>
  <c r="CE161" i="4"/>
  <c r="CF161" i="4"/>
  <c r="CI161" i="4" s="1"/>
  <c r="CI49" i="4"/>
  <c r="CE26" i="4"/>
  <c r="CE29" i="4"/>
  <c r="CE32" i="4"/>
  <c r="CF35" i="4"/>
  <c r="CI35" i="4" s="1"/>
  <c r="CG40" i="4"/>
  <c r="CG48" i="4"/>
  <c r="CF51" i="4"/>
  <c r="CE53" i="4"/>
  <c r="CE60" i="4"/>
  <c r="CG64" i="4"/>
  <c r="CF67" i="4"/>
  <c r="CE69" i="4"/>
  <c r="CE76" i="4"/>
  <c r="CG80" i="4"/>
  <c r="CF83" i="4"/>
  <c r="CI83" i="4" s="1"/>
  <c r="CE85" i="4"/>
  <c r="CE90" i="4"/>
  <c r="CG92" i="4"/>
  <c r="CE96" i="4"/>
  <c r="CF104" i="4"/>
  <c r="CI104" i="4" s="1"/>
  <c r="CE112" i="4"/>
  <c r="CF112" i="4"/>
  <c r="CI112" i="4" s="1"/>
  <c r="CI114" i="4"/>
  <c r="CF115" i="4"/>
  <c r="CI115" i="4" s="1"/>
  <c r="CE115" i="4"/>
  <c r="CE136" i="4"/>
  <c r="CF136" i="4"/>
  <c r="CI136" i="4" s="1"/>
  <c r="CF177" i="4"/>
  <c r="CI177" i="4" s="1"/>
  <c r="CE177" i="4"/>
  <c r="CF99" i="4"/>
  <c r="CI99" i="4" s="1"/>
  <c r="CE99" i="4"/>
  <c r="CE157" i="4"/>
  <c r="CF157" i="4"/>
  <c r="CI157" i="4" s="1"/>
  <c r="CE2" i="4"/>
  <c r="CE6" i="4"/>
  <c r="CE10" i="4"/>
  <c r="CE14" i="4"/>
  <c r="CE18" i="4"/>
  <c r="CE22" i="4"/>
  <c r="CG28" i="4"/>
  <c r="CF46" i="4"/>
  <c r="CI46" i="4" s="1"/>
  <c r="CF62" i="4"/>
  <c r="CI62" i="4" s="1"/>
  <c r="CF78" i="4"/>
  <c r="CI78" i="4" s="1"/>
  <c r="CF95" i="4"/>
  <c r="CI95" i="4" s="1"/>
  <c r="CE95" i="4"/>
  <c r="CF103" i="4"/>
  <c r="CI103" i="4" s="1"/>
  <c r="CE103" i="4"/>
  <c r="CF106" i="4"/>
  <c r="CI106" i="4" s="1"/>
  <c r="CE106" i="4"/>
  <c r="CF108" i="4"/>
  <c r="CI108" i="4" s="1"/>
  <c r="CF109" i="4"/>
  <c r="CI109" i="4" s="1"/>
  <c r="CE109" i="4"/>
  <c r="CE129" i="4"/>
  <c r="CF129" i="4"/>
  <c r="CF130" i="4"/>
  <c r="CF138" i="4"/>
  <c r="CI138" i="4" s="1"/>
  <c r="CE138" i="4"/>
  <c r="CF139" i="4"/>
  <c r="CE163" i="4"/>
  <c r="CF163" i="4"/>
  <c r="CI163" i="4" s="1"/>
  <c r="CF197" i="4"/>
  <c r="CI197" i="4" s="1"/>
  <c r="CE197" i="4"/>
  <c r="CE39" i="4"/>
  <c r="CE91" i="4"/>
  <c r="CF94" i="4"/>
  <c r="CI94" i="4" s="1"/>
  <c r="CE97" i="4"/>
  <c r="CF101" i="4"/>
  <c r="CI101" i="4" s="1"/>
  <c r="CF102" i="4"/>
  <c r="CI102" i="4" s="1"/>
  <c r="CE105" i="4"/>
  <c r="CE125" i="4"/>
  <c r="CF125" i="4"/>
  <c r="CI125" i="4" s="1"/>
  <c r="CF128" i="4"/>
  <c r="CI128" i="4" s="1"/>
  <c r="CF131" i="4"/>
  <c r="CI131" i="4" s="1"/>
  <c r="CE131" i="4"/>
  <c r="CE140" i="4"/>
  <c r="CF140" i="4"/>
  <c r="CI140" i="4" s="1"/>
  <c r="CE146" i="4"/>
  <c r="CG150" i="4"/>
  <c r="CE150" i="4"/>
  <c r="CG154" i="4"/>
  <c r="CE154" i="4"/>
  <c r="CE162" i="4"/>
  <c r="CI61" i="4"/>
  <c r="CE184" i="4"/>
  <c r="CF184" i="4"/>
  <c r="CI184" i="4" s="1"/>
  <c r="CF4" i="4"/>
  <c r="CI4" i="4" s="1"/>
  <c r="CE27" i="4"/>
  <c r="CG36" i="4"/>
  <c r="CE47" i="4"/>
  <c r="CE87" i="4"/>
  <c r="CI119" i="4"/>
  <c r="CE120" i="4"/>
  <c r="CF120" i="4"/>
  <c r="CI120" i="4" s="1"/>
  <c r="CE121" i="4"/>
  <c r="CI152" i="4"/>
  <c r="CF186" i="4"/>
  <c r="CI186" i="4" s="1"/>
  <c r="CE186" i="4"/>
  <c r="CI85" i="4"/>
  <c r="CG110" i="4"/>
  <c r="CE110" i="4"/>
  <c r="CG56" i="4"/>
  <c r="CF59" i="4"/>
  <c r="CI59" i="4" s="1"/>
  <c r="CG72" i="4"/>
  <c r="CF75" i="4"/>
  <c r="CI75" i="4" s="1"/>
  <c r="CF86" i="4"/>
  <c r="CI86" i="4" s="1"/>
  <c r="CG113" i="4"/>
  <c r="CI113" i="4" s="1"/>
  <c r="CE113" i="4"/>
  <c r="CF122" i="4"/>
  <c r="CI122" i="4" s="1"/>
  <c r="CE122" i="4"/>
  <c r="CF123" i="4"/>
  <c r="CI123" i="4" s="1"/>
  <c r="CH130" i="4"/>
  <c r="CI134" i="4"/>
  <c r="CF137" i="4"/>
  <c r="CI137" i="4" s="1"/>
  <c r="CH139" i="4"/>
  <c r="CE144" i="4"/>
  <c r="CF144" i="4"/>
  <c r="CI144" i="4" s="1"/>
  <c r="CF232" i="4"/>
  <c r="CI232" i="4" s="1"/>
  <c r="CE232" i="4"/>
  <c r="CH239" i="4"/>
  <c r="CE239" i="4"/>
  <c r="CF241" i="4"/>
  <c r="CI241" i="4" s="1"/>
  <c r="CE241" i="4"/>
  <c r="CF249" i="4"/>
  <c r="CI249" i="4" s="1"/>
  <c r="CE249" i="4"/>
  <c r="CE281" i="4"/>
  <c r="CF281" i="4"/>
  <c r="CI281" i="4" s="1"/>
  <c r="CF397" i="4"/>
  <c r="CE397" i="4"/>
  <c r="CF435" i="4"/>
  <c r="CI435" i="4" s="1"/>
  <c r="CE435" i="4"/>
  <c r="CF440" i="4"/>
  <c r="CI440" i="4" s="1"/>
  <c r="CE440" i="4"/>
  <c r="CE158" i="4"/>
  <c r="CI166" i="4"/>
  <c r="CH174" i="4"/>
  <c r="CE175" i="4"/>
  <c r="CF180" i="4"/>
  <c r="CI180" i="4" s="1"/>
  <c r="CG186" i="4"/>
  <c r="CF189" i="4"/>
  <c r="CI189" i="4" s="1"/>
  <c r="CE189" i="4"/>
  <c r="CI195" i="4"/>
  <c r="CH199" i="4"/>
  <c r="CI199" i="4" s="1"/>
  <c r="CE199" i="4"/>
  <c r="CI206" i="4"/>
  <c r="CH211" i="4"/>
  <c r="CI212" i="4"/>
  <c r="CF218" i="4"/>
  <c r="CI218" i="4" s="1"/>
  <c r="CF227" i="4"/>
  <c r="CE227" i="4"/>
  <c r="CI231" i="4"/>
  <c r="CE134" i="4"/>
  <c r="CH203" i="4"/>
  <c r="CE203" i="4"/>
  <c r="CE211" i="4"/>
  <c r="CF262" i="4"/>
  <c r="CI262" i="4" s="1"/>
  <c r="CE262" i="4"/>
  <c r="CE264" i="4"/>
  <c r="CF264" i="4"/>
  <c r="CI264" i="4" s="1"/>
  <c r="CF333" i="4"/>
  <c r="CI333" i="4" s="1"/>
  <c r="CE333" i="4"/>
  <c r="CE167" i="4"/>
  <c r="CF181" i="4"/>
  <c r="CI181" i="4" s="1"/>
  <c r="CE181" i="4"/>
  <c r="CF193" i="4"/>
  <c r="CI193" i="4" s="1"/>
  <c r="CE193" i="4"/>
  <c r="CI196" i="4"/>
  <c r="CF208" i="4"/>
  <c r="CI208" i="4" s="1"/>
  <c r="CE208" i="4"/>
  <c r="CE213" i="4"/>
  <c r="CF213" i="4"/>
  <c r="CI213" i="4" s="1"/>
  <c r="CE217" i="4"/>
  <c r="CF217" i="4"/>
  <c r="CI217" i="4" s="1"/>
  <c r="CE233" i="4"/>
  <c r="CF233" i="4"/>
  <c r="CI233" i="4" s="1"/>
  <c r="CF238" i="4"/>
  <c r="CI238" i="4" s="1"/>
  <c r="CE238" i="4"/>
  <c r="CH267" i="4"/>
  <c r="CE267" i="4"/>
  <c r="CE273" i="4"/>
  <c r="CF273" i="4"/>
  <c r="CI273" i="4" s="1"/>
  <c r="CF278" i="4"/>
  <c r="CE278" i="4"/>
  <c r="CE316" i="4"/>
  <c r="CF316" i="4"/>
  <c r="CI316" i="4" s="1"/>
  <c r="CG117" i="4"/>
  <c r="CG126" i="4"/>
  <c r="CI126" i="4" s="1"/>
  <c r="CG127" i="4"/>
  <c r="CG142" i="4"/>
  <c r="CG143" i="4"/>
  <c r="CI143" i="4" s="1"/>
  <c r="CH155" i="4"/>
  <c r="CI155" i="4" s="1"/>
  <c r="CE156" i="4"/>
  <c r="CE166" i="4"/>
  <c r="CF170" i="4"/>
  <c r="CI170" i="4" s="1"/>
  <c r="CI175" i="4"/>
  <c r="CH178" i="4"/>
  <c r="CE179" i="4"/>
  <c r="CH187" i="4"/>
  <c r="CI187" i="4" s="1"/>
  <c r="CE187" i="4"/>
  <c r="CG190" i="4"/>
  <c r="CI190" i="4" s="1"/>
  <c r="CG216" i="4"/>
  <c r="CI216" i="4" s="1"/>
  <c r="CH220" i="4"/>
  <c r="CI220" i="4" s="1"/>
  <c r="CF228" i="4"/>
  <c r="CF234" i="4"/>
  <c r="CI234" i="4" s="1"/>
  <c r="CE234" i="4"/>
  <c r="CF237" i="4"/>
  <c r="CI237" i="4" s="1"/>
  <c r="CF242" i="4"/>
  <c r="CI242" i="4" s="1"/>
  <c r="CE242" i="4"/>
  <c r="CE260" i="4"/>
  <c r="CF260" i="4"/>
  <c r="CI260" i="4" s="1"/>
  <c r="CG105" i="4"/>
  <c r="CI105" i="4" s="1"/>
  <c r="CE152" i="4"/>
  <c r="CE155" i="4"/>
  <c r="CI159" i="4"/>
  <c r="CE178" i="4"/>
  <c r="CF182" i="4"/>
  <c r="CF194" i="4"/>
  <c r="CI194" i="4" s="1"/>
  <c r="CE194" i="4"/>
  <c r="CF201" i="4"/>
  <c r="CI201" i="4" s="1"/>
  <c r="CE201" i="4"/>
  <c r="CF205" i="4"/>
  <c r="CI205" i="4" s="1"/>
  <c r="CE205" i="4"/>
  <c r="CH228" i="4"/>
  <c r="CE244" i="4"/>
  <c r="CF244" i="4"/>
  <c r="CI244" i="4" s="1"/>
  <c r="CG255" i="4"/>
  <c r="CE116" i="4"/>
  <c r="CF117" i="4"/>
  <c r="CG130" i="4"/>
  <c r="CE132" i="4"/>
  <c r="CF133" i="4"/>
  <c r="CI133" i="4" s="1"/>
  <c r="CG146" i="4"/>
  <c r="CI146" i="4" s="1"/>
  <c r="CE148" i="4"/>
  <c r="CF149" i="4"/>
  <c r="CI149" i="4" s="1"/>
  <c r="CF153" i="4"/>
  <c r="CI153" i="4" s="1"/>
  <c r="CF158" i="4"/>
  <c r="CI158" i="4" s="1"/>
  <c r="CG162" i="4"/>
  <c r="CI162" i="4" s="1"/>
  <c r="CI167" i="4"/>
  <c r="CE171" i="4"/>
  <c r="CF176" i="4"/>
  <c r="CI176" i="4" s="1"/>
  <c r="CG182" i="4"/>
  <c r="CF185" i="4"/>
  <c r="CI185" i="4" s="1"/>
  <c r="CE185" i="4"/>
  <c r="CE190" i="4"/>
  <c r="CF198" i="4"/>
  <c r="CE198" i="4"/>
  <c r="CE209" i="4"/>
  <c r="CF211" i="4"/>
  <c r="CI211" i="4" s="1"/>
  <c r="CF226" i="4"/>
  <c r="CI226" i="4" s="1"/>
  <c r="CE226" i="4"/>
  <c r="CI236" i="4"/>
  <c r="CE293" i="4"/>
  <c r="CF293" i="4"/>
  <c r="CI293" i="4" s="1"/>
  <c r="CE312" i="4"/>
  <c r="CF312" i="4"/>
  <c r="CI312" i="4" s="1"/>
  <c r="CI135" i="4"/>
  <c r="CE141" i="4"/>
  <c r="CI151" i="4"/>
  <c r="CF154" i="4"/>
  <c r="CF165" i="4"/>
  <c r="CI165" i="4" s="1"/>
  <c r="CE165" i="4"/>
  <c r="CE170" i="4"/>
  <c r="CF174" i="4"/>
  <c r="CI174" i="4" s="1"/>
  <c r="CI179" i="4"/>
  <c r="CH182" i="4"/>
  <c r="CE183" i="4"/>
  <c r="CF188" i="4"/>
  <c r="CI188" i="4" s="1"/>
  <c r="CH191" i="4"/>
  <c r="CI191" i="4" s="1"/>
  <c r="CE191" i="4"/>
  <c r="CF202" i="4"/>
  <c r="CI202" i="4" s="1"/>
  <c r="CE202" i="4"/>
  <c r="CG209" i="4"/>
  <c r="CI209" i="4" s="1"/>
  <c r="CF214" i="4"/>
  <c r="CI214" i="4" s="1"/>
  <c r="CF222" i="4"/>
  <c r="CI222" i="4" s="1"/>
  <c r="CE222" i="4"/>
  <c r="CF235" i="4"/>
  <c r="CE235" i="4"/>
  <c r="CF245" i="4"/>
  <c r="CI245" i="4" s="1"/>
  <c r="CE245" i="4"/>
  <c r="CH251" i="4"/>
  <c r="CE251" i="4"/>
  <c r="CF257" i="4"/>
  <c r="CI257" i="4" s="1"/>
  <c r="CE257" i="4"/>
  <c r="CH259" i="4"/>
  <c r="CE259" i="4"/>
  <c r="CH287" i="4"/>
  <c r="CF287" i="4"/>
  <c r="CG235" i="4"/>
  <c r="CI248" i="4"/>
  <c r="CF253" i="4"/>
  <c r="CE253" i="4"/>
  <c r="CH255" i="4"/>
  <c r="CI255" i="4" s="1"/>
  <c r="CG259" i="4"/>
  <c r="CF269" i="4"/>
  <c r="CI269" i="4" s="1"/>
  <c r="CE269" i="4"/>
  <c r="CG271" i="4"/>
  <c r="CF271" i="4"/>
  <c r="CH296" i="4"/>
  <c r="CG296" i="4"/>
  <c r="CF296" i="4"/>
  <c r="CE342" i="4"/>
  <c r="CF342" i="4"/>
  <c r="CI342" i="4" s="1"/>
  <c r="CF385" i="4"/>
  <c r="CI385" i="4" s="1"/>
  <c r="CE385" i="4"/>
  <c r="CI240" i="4"/>
  <c r="CF246" i="4"/>
  <c r="CI246" i="4" s="1"/>
  <c r="CE246" i="4"/>
  <c r="CF261" i="4"/>
  <c r="CI261" i="4" s="1"/>
  <c r="CE261" i="4"/>
  <c r="CH263" i="4"/>
  <c r="CI263" i="4" s="1"/>
  <c r="CE263" i="4"/>
  <c r="CF265" i="4"/>
  <c r="CI265" i="4" s="1"/>
  <c r="CE265" i="4"/>
  <c r="CI267" i="4"/>
  <c r="CF275" i="4"/>
  <c r="CI275" i="4" s="1"/>
  <c r="CE275" i="4"/>
  <c r="CE290" i="4"/>
  <c r="CF290" i="4"/>
  <c r="CI290" i="4" s="1"/>
  <c r="CI304" i="4"/>
  <c r="CF328" i="4"/>
  <c r="CI328" i="4" s="1"/>
  <c r="CE328" i="4"/>
  <c r="CF373" i="4"/>
  <c r="CI373" i="4" s="1"/>
  <c r="CE373" i="4"/>
  <c r="CG207" i="4"/>
  <c r="CI207" i="4" s="1"/>
  <c r="CE215" i="4"/>
  <c r="CG219" i="4"/>
  <c r="CI219" i="4" s="1"/>
  <c r="CG223" i="4"/>
  <c r="CI223" i="4" s="1"/>
  <c r="CH227" i="4"/>
  <c r="CF229" i="4"/>
  <c r="CI229" i="4" s="1"/>
  <c r="CE231" i="4"/>
  <c r="CE243" i="4"/>
  <c r="CF291" i="4"/>
  <c r="CI291" i="4" s="1"/>
  <c r="CE291" i="4"/>
  <c r="CF292" i="4"/>
  <c r="CI292" i="4" s="1"/>
  <c r="CE292" i="4"/>
  <c r="CE324" i="4"/>
  <c r="CF324" i="4"/>
  <c r="CE362" i="4"/>
  <c r="CF362" i="4"/>
  <c r="CI362" i="4" s="1"/>
  <c r="CE236" i="4"/>
  <c r="CI243" i="4"/>
  <c r="CF250" i="4"/>
  <c r="CI250" i="4" s="1"/>
  <c r="CE250" i="4"/>
  <c r="CF270" i="4"/>
  <c r="CE270" i="4"/>
  <c r="CF283" i="4"/>
  <c r="CE283" i="4"/>
  <c r="CF305" i="4"/>
  <c r="CI305" i="4" s="1"/>
  <c r="CE305" i="4"/>
  <c r="CF309" i="4"/>
  <c r="CI309" i="4" s="1"/>
  <c r="CE309" i="4"/>
  <c r="CF357" i="4"/>
  <c r="CI357" i="4" s="1"/>
  <c r="CE357" i="4"/>
  <c r="CE204" i="4"/>
  <c r="CE206" i="4"/>
  <c r="CE207" i="4"/>
  <c r="CF210" i="4"/>
  <c r="CE212" i="4"/>
  <c r="CE219" i="4"/>
  <c r="CF221" i="4"/>
  <c r="CI221" i="4" s="1"/>
  <c r="CE223" i="4"/>
  <c r="CF230" i="4"/>
  <c r="CI230" i="4" s="1"/>
  <c r="CE230" i="4"/>
  <c r="CH247" i="4"/>
  <c r="CI247" i="4" s="1"/>
  <c r="CF254" i="4"/>
  <c r="CI254" i="4" s="1"/>
  <c r="CE254" i="4"/>
  <c r="CF272" i="4"/>
  <c r="CI272" i="4" s="1"/>
  <c r="CE272" i="4"/>
  <c r="CH274" i="4"/>
  <c r="CF274" i="4"/>
  <c r="CE320" i="4"/>
  <c r="CF320" i="4"/>
  <c r="CG203" i="4"/>
  <c r="CI203" i="4" s="1"/>
  <c r="CG239" i="4"/>
  <c r="CI239" i="4" s="1"/>
  <c r="CE240" i="4"/>
  <c r="CG251" i="4"/>
  <c r="CI251" i="4" s="1"/>
  <c r="CF258" i="4"/>
  <c r="CI258" i="4" s="1"/>
  <c r="CE258" i="4"/>
  <c r="CF266" i="4"/>
  <c r="CI266" i="4" s="1"/>
  <c r="CE266" i="4"/>
  <c r="CI276" i="4"/>
  <c r="CG279" i="4"/>
  <c r="CE279" i="4"/>
  <c r="CE285" i="4"/>
  <c r="CF285" i="4"/>
  <c r="CI285" i="4" s="1"/>
  <c r="CE301" i="4"/>
  <c r="CF301" i="4"/>
  <c r="CI301" i="4" s="1"/>
  <c r="CF329" i="4"/>
  <c r="CI329" i="4" s="1"/>
  <c r="CE329" i="4"/>
  <c r="CF337" i="4"/>
  <c r="CI337" i="4" s="1"/>
  <c r="CE337" i="4"/>
  <c r="CE346" i="4"/>
  <c r="CF346" i="4"/>
  <c r="CI346" i="4" s="1"/>
  <c r="CG377" i="4"/>
  <c r="CH377" i="4"/>
  <c r="CF377" i="4"/>
  <c r="CF412" i="4"/>
  <c r="CI412" i="4" s="1"/>
  <c r="CE412" i="4"/>
  <c r="CE423" i="4"/>
  <c r="CF423" i="4"/>
  <c r="CI423" i="4" s="1"/>
  <c r="CE276" i="4"/>
  <c r="CE284" i="4"/>
  <c r="CF313" i="4"/>
  <c r="CI313" i="4" s="1"/>
  <c r="CE313" i="4"/>
  <c r="CF317" i="4"/>
  <c r="CI317" i="4" s="1"/>
  <c r="CE317" i="4"/>
  <c r="CF321" i="4"/>
  <c r="CI321" i="4" s="1"/>
  <c r="CE321" i="4"/>
  <c r="CF325" i="4"/>
  <c r="CI325" i="4" s="1"/>
  <c r="CE325" i="4"/>
  <c r="CI331" i="4"/>
  <c r="CF348" i="4"/>
  <c r="CI348" i="4" s="1"/>
  <c r="CE348" i="4"/>
  <c r="CI350" i="4"/>
  <c r="CF367" i="4"/>
  <c r="CI367" i="4" s="1"/>
  <c r="CE367" i="4"/>
  <c r="CG278" i="4"/>
  <c r="CE303" i="4"/>
  <c r="CF306" i="4"/>
  <c r="CI306" i="4" s="1"/>
  <c r="CE306" i="4"/>
  <c r="CI311" i="4"/>
  <c r="CE311" i="4"/>
  <c r="CI315" i="4"/>
  <c r="CE315" i="4"/>
  <c r="CE319" i="4"/>
  <c r="CI323" i="4"/>
  <c r="CE323" i="4"/>
  <c r="CI327" i="4"/>
  <c r="CF339" i="4"/>
  <c r="CE339" i="4"/>
  <c r="CG341" i="4"/>
  <c r="CF341" i="4"/>
  <c r="CI352" i="4"/>
  <c r="CE354" i="4"/>
  <c r="CF354" i="4"/>
  <c r="CI354" i="4" s="1"/>
  <c r="CF356" i="4"/>
  <c r="CG361" i="4"/>
  <c r="CF361" i="4"/>
  <c r="CF369" i="4"/>
  <c r="CI369" i="4" s="1"/>
  <c r="CE369" i="4"/>
  <c r="CE374" i="4"/>
  <c r="CF374" i="4"/>
  <c r="CI374" i="4" s="1"/>
  <c r="CE376" i="4"/>
  <c r="CF376" i="4"/>
  <c r="CI376" i="4" s="1"/>
  <c r="CG283" i="4"/>
  <c r="CF286" i="4"/>
  <c r="CI286" i="4" s="1"/>
  <c r="CE288" i="4"/>
  <c r="CE295" i="4"/>
  <c r="CF297" i="4"/>
  <c r="CI297" i="4" s="1"/>
  <c r="CE299" i="4"/>
  <c r="CI338" i="4"/>
  <c r="CF343" i="4"/>
  <c r="CI343" i="4" s="1"/>
  <c r="CE343" i="4"/>
  <c r="CH347" i="4"/>
  <c r="CE363" i="4"/>
  <c r="CE364" i="4"/>
  <c r="CF364" i="4"/>
  <c r="CI364" i="4" s="1"/>
  <c r="CI411" i="4"/>
  <c r="CE277" i="4"/>
  <c r="CF302" i="4"/>
  <c r="CI302" i="4" s="1"/>
  <c r="CE302" i="4"/>
  <c r="CE304" i="4"/>
  <c r="CF345" i="4"/>
  <c r="CI345" i="4" s="1"/>
  <c r="CE345" i="4"/>
  <c r="CE360" i="4"/>
  <c r="CF360" i="4"/>
  <c r="CF371" i="4"/>
  <c r="CE371" i="4"/>
  <c r="CF381" i="4"/>
  <c r="CI381" i="4" s="1"/>
  <c r="CE381" i="4"/>
  <c r="CG274" i="4"/>
  <c r="CG287" i="4"/>
  <c r="CE289" i="4"/>
  <c r="CF298" i="4"/>
  <c r="CI298" i="4" s="1"/>
  <c r="CE298" i="4"/>
  <c r="CE300" i="4"/>
  <c r="CG307" i="4"/>
  <c r="CI307" i="4" s="1"/>
  <c r="CI330" i="4"/>
  <c r="CF336" i="4"/>
  <c r="CI336" i="4" s="1"/>
  <c r="CE336" i="4"/>
  <c r="CF340" i="4"/>
  <c r="CI340" i="4" s="1"/>
  <c r="CE340" i="4"/>
  <c r="CG344" i="4"/>
  <c r="CI344" i="4" s="1"/>
  <c r="CI349" i="4"/>
  <c r="CF353" i="4"/>
  <c r="CI353" i="4" s="1"/>
  <c r="CF375" i="4"/>
  <c r="CE282" i="4"/>
  <c r="CH307" i="4"/>
  <c r="CF310" i="4"/>
  <c r="CE310" i="4"/>
  <c r="CF314" i="4"/>
  <c r="CI314" i="4" s="1"/>
  <c r="CE314" i="4"/>
  <c r="CF318" i="4"/>
  <c r="CI318" i="4" s="1"/>
  <c r="CE318" i="4"/>
  <c r="CF322" i="4"/>
  <c r="CI322" i="4" s="1"/>
  <c r="CE322" i="4"/>
  <c r="CI326" i="4"/>
  <c r="CF332" i="4"/>
  <c r="CI332" i="4" s="1"/>
  <c r="CE332" i="4"/>
  <c r="CG335" i="4"/>
  <c r="CI335" i="4" s="1"/>
  <c r="CH344" i="4"/>
  <c r="CF351" i="4"/>
  <c r="CE351" i="4"/>
  <c r="CE366" i="4"/>
  <c r="CF366" i="4"/>
  <c r="CI366" i="4" s="1"/>
  <c r="CI387" i="4"/>
  <c r="CG356" i="4"/>
  <c r="CF424" i="4"/>
  <c r="CI424" i="4" s="1"/>
  <c r="CE424" i="4"/>
  <c r="CF436" i="4"/>
  <c r="CI436" i="4" s="1"/>
  <c r="CE436" i="4"/>
  <c r="CI438" i="4"/>
  <c r="CE326" i="4"/>
  <c r="CE330" i="4"/>
  <c r="CE334" i="4"/>
  <c r="CE349" i="4"/>
  <c r="CE352" i="4"/>
  <c r="CE355" i="4"/>
  <c r="CE365" i="4"/>
  <c r="CE378" i="4"/>
  <c r="CF378" i="4"/>
  <c r="CI378" i="4" s="1"/>
  <c r="CI380" i="4"/>
  <c r="CH393" i="4"/>
  <c r="CG393" i="4"/>
  <c r="CI415" i="4"/>
  <c r="CF417" i="4"/>
  <c r="CE417" i="4"/>
  <c r="CF431" i="4"/>
  <c r="CI431" i="4" s="1"/>
  <c r="CE431" i="4"/>
  <c r="CF432" i="4"/>
  <c r="CI432" i="4" s="1"/>
  <c r="CE432" i="4"/>
  <c r="CI434" i="4"/>
  <c r="CI445" i="4"/>
  <c r="CE446" i="4"/>
  <c r="CF446" i="4"/>
  <c r="CI446" i="4" s="1"/>
  <c r="CG351" i="4"/>
  <c r="CG371" i="4"/>
  <c r="CH383" i="4"/>
  <c r="CI383" i="4" s="1"/>
  <c r="CE384" i="4"/>
  <c r="CF388" i="4"/>
  <c r="CI388" i="4" s="1"/>
  <c r="CH397" i="4"/>
  <c r="CG397" i="4"/>
  <c r="CE402" i="4"/>
  <c r="CF413" i="4"/>
  <c r="CE413" i="4"/>
  <c r="CE418" i="4"/>
  <c r="CI441" i="4"/>
  <c r="CF447" i="4"/>
  <c r="CI447" i="4" s="1"/>
  <c r="CE447" i="4"/>
  <c r="CG339" i="4"/>
  <c r="CE386" i="4"/>
  <c r="CF386" i="4"/>
  <c r="CI386" i="4" s="1"/>
  <c r="CF389" i="4"/>
  <c r="CH401" i="4"/>
  <c r="CG401" i="4"/>
  <c r="CE401" i="4"/>
  <c r="CE406" i="4"/>
  <c r="CE410" i="4"/>
  <c r="CE414" i="4"/>
  <c r="CF420" i="4"/>
  <c r="CI420" i="4" s="1"/>
  <c r="CE420" i="4"/>
  <c r="CF425" i="4"/>
  <c r="CE425" i="4"/>
  <c r="CI437" i="4"/>
  <c r="CF448" i="4"/>
  <c r="CI448" i="4" s="1"/>
  <c r="CE448" i="4"/>
  <c r="CE350" i="4"/>
  <c r="CG359" i="4"/>
  <c r="CI359" i="4" s="1"/>
  <c r="CE368" i="4"/>
  <c r="CG375" i="4"/>
  <c r="CG379" i="4"/>
  <c r="CI379" i="4" s="1"/>
  <c r="CG392" i="4"/>
  <c r="CI392" i="4" s="1"/>
  <c r="CE392" i="4"/>
  <c r="CF396" i="4"/>
  <c r="CI396" i="4" s="1"/>
  <c r="CE396" i="4"/>
  <c r="CH405" i="4"/>
  <c r="CG405" i="4"/>
  <c r="CE405" i="4"/>
  <c r="CH409" i="4"/>
  <c r="CG409" i="4"/>
  <c r="CE409" i="4"/>
  <c r="CE426" i="4"/>
  <c r="CF427" i="4"/>
  <c r="CE427" i="4"/>
  <c r="CF428" i="4"/>
  <c r="CI428" i="4" s="1"/>
  <c r="CE428" i="4"/>
  <c r="CI433" i="4"/>
  <c r="CE338" i="4"/>
  <c r="CG347" i="4"/>
  <c r="CI347" i="4" s="1"/>
  <c r="CE370" i="4"/>
  <c r="CH379" i="4"/>
  <c r="CE380" i="4"/>
  <c r="CG387" i="4"/>
  <c r="CF400" i="4"/>
  <c r="CI400" i="4" s="1"/>
  <c r="CE400" i="4"/>
  <c r="CF443" i="4"/>
  <c r="CI443" i="4" s="1"/>
  <c r="CE443" i="4"/>
  <c r="CE358" i="4"/>
  <c r="CE372" i="4"/>
  <c r="CE382" i="4"/>
  <c r="CF382" i="4"/>
  <c r="CI382" i="4" s="1"/>
  <c r="CI384" i="4"/>
  <c r="CH389" i="4"/>
  <c r="CG389" i="4"/>
  <c r="CE390" i="4"/>
  <c r="CF393" i="4"/>
  <c r="CF404" i="4"/>
  <c r="CI404" i="4" s="1"/>
  <c r="CE404" i="4"/>
  <c r="CF408" i="4"/>
  <c r="CI408" i="4" s="1"/>
  <c r="CE408" i="4"/>
  <c r="CF416" i="4"/>
  <c r="CI416" i="4" s="1"/>
  <c r="CE416" i="4"/>
  <c r="CF421" i="4"/>
  <c r="CE421" i="4"/>
  <c r="CF439" i="4"/>
  <c r="CI439" i="4" s="1"/>
  <c r="CE439" i="4"/>
  <c r="CF444" i="4"/>
  <c r="CI444" i="4" s="1"/>
  <c r="CE444" i="4"/>
  <c r="CF390" i="4"/>
  <c r="CI390" i="4" s="1"/>
  <c r="CH391" i="4"/>
  <c r="CI391" i="4" s="1"/>
  <c r="CF394" i="4"/>
  <c r="CI394" i="4" s="1"/>
  <c r="CF398" i="4"/>
  <c r="CI398" i="4" s="1"/>
  <c r="CF402" i="4"/>
  <c r="CI402" i="4" s="1"/>
  <c r="CF406" i="4"/>
  <c r="CI406" i="4" s="1"/>
  <c r="CH407" i="4"/>
  <c r="CF410" i="4"/>
  <c r="CI410" i="4" s="1"/>
  <c r="CF414" i="4"/>
  <c r="CI414" i="4" s="1"/>
  <c r="CF418" i="4"/>
  <c r="CI418" i="4" s="1"/>
  <c r="CF422" i="4"/>
  <c r="CI422" i="4" s="1"/>
  <c r="CF426" i="4"/>
  <c r="CI426" i="4" s="1"/>
  <c r="CF430" i="4"/>
  <c r="CI430" i="4" s="1"/>
  <c r="CG413" i="4"/>
  <c r="CG417" i="4"/>
  <c r="CG421" i="4"/>
  <c r="CG425" i="4"/>
  <c r="CG429" i="4"/>
  <c r="CI429" i="4" s="1"/>
  <c r="CI310" i="4" l="1"/>
  <c r="CI320" i="4"/>
  <c r="CI210" i="4"/>
  <c r="CI3" i="4"/>
  <c r="CI365" i="4"/>
  <c r="CI358" i="4"/>
  <c r="CI407" i="4"/>
  <c r="CI413" i="4"/>
  <c r="CI259" i="4"/>
  <c r="CI397" i="4"/>
  <c r="CI51" i="4"/>
  <c r="CI24" i="4"/>
  <c r="CI355" i="4"/>
  <c r="CI268" i="4"/>
  <c r="CI284" i="4"/>
  <c r="CI141" i="4"/>
  <c r="CI100" i="4"/>
  <c r="CI14" i="4"/>
  <c r="CI405" i="4"/>
  <c r="CI427" i="4"/>
  <c r="CI150" i="4"/>
  <c r="CI129" i="4"/>
  <c r="CI20" i="4"/>
  <c r="CI23" i="4"/>
  <c r="CI371" i="4"/>
  <c r="CI198" i="4"/>
  <c r="CI393" i="4"/>
  <c r="CI341" i="4"/>
  <c r="CI253" i="4"/>
  <c r="CI154" i="4"/>
  <c r="CI117" i="4"/>
  <c r="CI178" i="4"/>
  <c r="CI227" i="4"/>
  <c r="CI118" i="4"/>
  <c r="CI79" i="4"/>
  <c r="CI303" i="4"/>
  <c r="CI295" i="4"/>
  <c r="CI224" i="4"/>
  <c r="CI300" i="4"/>
  <c r="CI96" i="4"/>
  <c r="CI215" i="4"/>
  <c r="CI360" i="4"/>
  <c r="CI324" i="4"/>
  <c r="CI409" i="4"/>
  <c r="CI361" i="4"/>
  <c r="CI270" i="4"/>
  <c r="CI67" i="4"/>
  <c r="CI169" i="4"/>
  <c r="CI401" i="4"/>
  <c r="CI287" i="4"/>
  <c r="CI372" i="4"/>
  <c r="CI278" i="4"/>
  <c r="CI36" i="4"/>
  <c r="CI421" i="4"/>
  <c r="CI417" i="4"/>
  <c r="CI274" i="4"/>
  <c r="CI48" i="4"/>
  <c r="CI56" i="4"/>
  <c r="CI339" i="4"/>
  <c r="CI228" i="4"/>
  <c r="CI139" i="4"/>
  <c r="CI64" i="4"/>
  <c r="CI351" i="4"/>
  <c r="CI356" i="4"/>
  <c r="CI296" i="4"/>
  <c r="CI80" i="4"/>
  <c r="CI425" i="4"/>
  <c r="CI377" i="4"/>
  <c r="CI130" i="4"/>
  <c r="CI127" i="4"/>
  <c r="CI28" i="4"/>
  <c r="CI283" i="4"/>
  <c r="CI389" i="4"/>
  <c r="CI375" i="4"/>
  <c r="CI235" i="4"/>
  <c r="CI182" i="4"/>
  <c r="CI92" i="4"/>
  <c r="CI72" i="4"/>
  <c r="CI271" i="4"/>
  <c r="CH24" i="2" l="1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H130" i="2"/>
  <c r="CH131" i="2"/>
  <c r="CH132" i="2"/>
  <c r="CH133" i="2"/>
  <c r="CH134" i="2"/>
  <c r="CH135" i="2"/>
  <c r="CH136" i="2"/>
  <c r="CH137" i="2"/>
  <c r="CH138" i="2"/>
  <c r="CH139" i="2"/>
  <c r="CH140" i="2"/>
  <c r="CH141" i="2"/>
  <c r="CH142" i="2"/>
  <c r="CH143" i="2"/>
  <c r="CH144" i="2"/>
  <c r="CH145" i="2"/>
  <c r="CH146" i="2"/>
  <c r="CH147" i="2"/>
  <c r="CH148" i="2"/>
  <c r="CH149" i="2"/>
  <c r="CH150" i="2"/>
  <c r="CH151" i="2"/>
  <c r="CH152" i="2"/>
  <c r="CH153" i="2"/>
  <c r="CH154" i="2"/>
  <c r="CH155" i="2"/>
  <c r="CH156" i="2"/>
  <c r="CH157" i="2"/>
  <c r="CH158" i="2"/>
  <c r="CH159" i="2"/>
  <c r="CH160" i="2"/>
  <c r="CH161" i="2"/>
  <c r="CH162" i="2"/>
  <c r="CH163" i="2"/>
  <c r="CH164" i="2"/>
  <c r="CH165" i="2"/>
  <c r="CH166" i="2"/>
  <c r="CH167" i="2"/>
  <c r="CH168" i="2"/>
  <c r="CH169" i="2"/>
  <c r="CH170" i="2"/>
  <c r="CH171" i="2"/>
  <c r="CH172" i="2"/>
  <c r="CH173" i="2"/>
  <c r="CH174" i="2"/>
  <c r="CH175" i="2"/>
  <c r="CH176" i="2"/>
  <c r="CH177" i="2"/>
  <c r="CH178" i="2"/>
  <c r="CH179" i="2"/>
  <c r="CH180" i="2"/>
  <c r="CH181" i="2"/>
  <c r="CH182" i="2"/>
  <c r="CH183" i="2"/>
  <c r="CH184" i="2"/>
  <c r="CH185" i="2"/>
  <c r="CH186" i="2"/>
  <c r="CH187" i="2"/>
  <c r="CH188" i="2"/>
  <c r="CH189" i="2"/>
  <c r="CH190" i="2"/>
  <c r="CH191" i="2"/>
  <c r="CH192" i="2"/>
  <c r="CH193" i="2"/>
  <c r="CH194" i="2"/>
  <c r="CH195" i="2"/>
  <c r="CH196" i="2"/>
  <c r="CH197" i="2"/>
  <c r="CH198" i="2"/>
  <c r="CH199" i="2"/>
  <c r="CH200" i="2"/>
  <c r="CH201" i="2"/>
  <c r="CH202" i="2"/>
  <c r="CH203" i="2"/>
  <c r="CH204" i="2"/>
  <c r="CH205" i="2"/>
  <c r="CH206" i="2"/>
  <c r="CH207" i="2"/>
  <c r="CH208" i="2"/>
  <c r="CH209" i="2"/>
  <c r="CH210" i="2"/>
  <c r="CH211" i="2"/>
  <c r="CH212" i="2"/>
  <c r="CH213" i="2"/>
  <c r="CH214" i="2"/>
  <c r="CH215" i="2"/>
  <c r="CH216" i="2"/>
  <c r="CH217" i="2"/>
  <c r="CH218" i="2"/>
  <c r="CH219" i="2"/>
  <c r="CH220" i="2"/>
  <c r="CH221" i="2"/>
  <c r="CH222" i="2"/>
  <c r="CH223" i="2"/>
  <c r="CH224" i="2"/>
  <c r="CH225" i="2"/>
  <c r="CH226" i="2"/>
  <c r="CH227" i="2"/>
  <c r="CH228" i="2"/>
  <c r="CH229" i="2"/>
  <c r="CH230" i="2"/>
  <c r="CH231" i="2"/>
  <c r="CH232" i="2"/>
  <c r="CH233" i="2"/>
  <c r="CH234" i="2"/>
  <c r="CH235" i="2"/>
  <c r="CH236" i="2"/>
  <c r="CH237" i="2"/>
  <c r="CH238" i="2"/>
  <c r="CH23" i="2"/>
  <c r="CE3" i="2"/>
  <c r="CF3" i="2"/>
  <c r="CE4" i="2"/>
  <c r="CF4" i="2"/>
  <c r="CE5" i="2"/>
  <c r="CF5" i="2"/>
  <c r="CE6" i="2"/>
  <c r="CF6" i="2"/>
  <c r="CE7" i="2"/>
  <c r="CF7" i="2"/>
  <c r="CE8" i="2"/>
  <c r="CF8" i="2"/>
  <c r="CE9" i="2"/>
  <c r="CF9" i="2"/>
  <c r="CE10" i="2"/>
  <c r="CF10" i="2"/>
  <c r="CE11" i="2"/>
  <c r="CF11" i="2"/>
  <c r="CE12" i="2"/>
  <c r="CF12" i="2"/>
  <c r="CE13" i="2"/>
  <c r="CF13" i="2"/>
  <c r="CE14" i="2"/>
  <c r="CF14" i="2"/>
  <c r="CE15" i="2"/>
  <c r="CF15" i="2"/>
  <c r="CE16" i="2"/>
  <c r="CF16" i="2"/>
  <c r="CE17" i="2"/>
  <c r="CF17" i="2"/>
  <c r="CE18" i="2"/>
  <c r="CF18" i="2"/>
  <c r="CE19" i="2"/>
  <c r="CF19" i="2"/>
  <c r="CE20" i="2"/>
  <c r="CF20" i="2"/>
  <c r="CE21" i="2"/>
  <c r="CF21" i="2"/>
  <c r="CE22" i="2"/>
  <c r="CF22" i="2"/>
  <c r="CE23" i="2"/>
  <c r="CF23" i="2"/>
  <c r="CE24" i="2"/>
  <c r="CF24" i="2"/>
  <c r="CE25" i="2"/>
  <c r="CF25" i="2"/>
  <c r="CE26" i="2"/>
  <c r="CF26" i="2"/>
  <c r="CE27" i="2"/>
  <c r="CF27" i="2"/>
  <c r="CE28" i="2"/>
  <c r="CF28" i="2"/>
  <c r="CE29" i="2"/>
  <c r="CF29" i="2"/>
  <c r="CE30" i="2"/>
  <c r="CF30" i="2"/>
  <c r="CE31" i="2"/>
  <c r="CF31" i="2"/>
  <c r="CE32" i="2"/>
  <c r="CF32" i="2"/>
  <c r="CE33" i="2"/>
  <c r="CF33" i="2"/>
  <c r="CE34" i="2"/>
  <c r="CF34" i="2"/>
  <c r="CE35" i="2"/>
  <c r="CF35" i="2"/>
  <c r="CE36" i="2"/>
  <c r="CF36" i="2"/>
  <c r="CE37" i="2"/>
  <c r="CF37" i="2"/>
  <c r="CE38" i="2"/>
  <c r="CF38" i="2"/>
  <c r="CE39" i="2"/>
  <c r="CF39" i="2"/>
  <c r="CE40" i="2"/>
  <c r="CF40" i="2"/>
  <c r="CE41" i="2"/>
  <c r="CF41" i="2"/>
  <c r="CE42" i="2"/>
  <c r="CF42" i="2"/>
  <c r="CE43" i="2"/>
  <c r="CF43" i="2"/>
  <c r="CE44" i="2"/>
  <c r="CF44" i="2"/>
  <c r="CE45" i="2"/>
  <c r="CF45" i="2"/>
  <c r="CE46" i="2"/>
  <c r="CF46" i="2"/>
  <c r="CE47" i="2"/>
  <c r="CF47" i="2"/>
  <c r="CE48" i="2"/>
  <c r="CF48" i="2"/>
  <c r="CE49" i="2"/>
  <c r="CF49" i="2"/>
  <c r="CE50" i="2"/>
  <c r="CF50" i="2"/>
  <c r="CE51" i="2"/>
  <c r="CF51" i="2"/>
  <c r="CE52" i="2"/>
  <c r="CF52" i="2"/>
  <c r="CE53" i="2"/>
  <c r="CF53" i="2"/>
  <c r="CE54" i="2"/>
  <c r="CF54" i="2"/>
  <c r="CE55" i="2"/>
  <c r="CF55" i="2"/>
  <c r="CE56" i="2"/>
  <c r="CF56" i="2"/>
  <c r="CE57" i="2"/>
  <c r="CF57" i="2"/>
  <c r="CE58" i="2"/>
  <c r="CF58" i="2"/>
  <c r="CE59" i="2"/>
  <c r="CF59" i="2"/>
  <c r="CE60" i="2"/>
  <c r="CF60" i="2"/>
  <c r="CE61" i="2"/>
  <c r="CF61" i="2"/>
  <c r="CE62" i="2"/>
  <c r="CF62" i="2"/>
  <c r="CE63" i="2"/>
  <c r="CF63" i="2"/>
  <c r="CE64" i="2"/>
  <c r="CF64" i="2"/>
  <c r="CE65" i="2"/>
  <c r="CF65" i="2"/>
  <c r="CE66" i="2"/>
  <c r="CF66" i="2"/>
  <c r="CE67" i="2"/>
  <c r="CF67" i="2"/>
  <c r="CE68" i="2"/>
  <c r="CF68" i="2"/>
  <c r="CE69" i="2"/>
  <c r="CF69" i="2"/>
  <c r="CE70" i="2"/>
  <c r="CF70" i="2"/>
  <c r="CE71" i="2"/>
  <c r="CF71" i="2"/>
  <c r="CE72" i="2"/>
  <c r="CF72" i="2"/>
  <c r="CE73" i="2"/>
  <c r="CF73" i="2"/>
  <c r="CE74" i="2"/>
  <c r="CF74" i="2"/>
  <c r="CE75" i="2"/>
  <c r="CF75" i="2"/>
  <c r="CE76" i="2"/>
  <c r="CF76" i="2"/>
  <c r="CE77" i="2"/>
  <c r="CF77" i="2"/>
  <c r="CE78" i="2"/>
  <c r="CF78" i="2"/>
  <c r="CE79" i="2"/>
  <c r="CF79" i="2"/>
  <c r="CE80" i="2"/>
  <c r="CF80" i="2"/>
  <c r="CE81" i="2"/>
  <c r="CF81" i="2"/>
  <c r="CE82" i="2"/>
  <c r="CF82" i="2"/>
  <c r="CE83" i="2"/>
  <c r="CF83" i="2"/>
  <c r="CE84" i="2"/>
  <c r="CF84" i="2"/>
  <c r="CE85" i="2"/>
  <c r="CF85" i="2"/>
  <c r="CE86" i="2"/>
  <c r="CF86" i="2"/>
  <c r="CE87" i="2"/>
  <c r="CF87" i="2"/>
  <c r="CE88" i="2"/>
  <c r="CF88" i="2"/>
  <c r="CE89" i="2"/>
  <c r="CF89" i="2"/>
  <c r="CE90" i="2"/>
  <c r="CF90" i="2"/>
  <c r="CE91" i="2"/>
  <c r="CF91" i="2"/>
  <c r="CE92" i="2"/>
  <c r="CF92" i="2"/>
  <c r="CE93" i="2"/>
  <c r="CF93" i="2"/>
  <c r="CE94" i="2"/>
  <c r="CF94" i="2"/>
  <c r="CE95" i="2"/>
  <c r="CF95" i="2"/>
  <c r="CE96" i="2"/>
  <c r="CF96" i="2"/>
  <c r="CE97" i="2"/>
  <c r="CF97" i="2"/>
  <c r="CE98" i="2"/>
  <c r="CF98" i="2"/>
  <c r="CE99" i="2"/>
  <c r="CF99" i="2"/>
  <c r="CE100" i="2"/>
  <c r="CF100" i="2"/>
  <c r="CE101" i="2"/>
  <c r="CF101" i="2"/>
  <c r="CE102" i="2"/>
  <c r="CF102" i="2"/>
  <c r="CE103" i="2"/>
  <c r="CF103" i="2"/>
  <c r="CE104" i="2"/>
  <c r="CF104" i="2"/>
  <c r="CE105" i="2"/>
  <c r="CF105" i="2"/>
  <c r="CE106" i="2"/>
  <c r="CF106" i="2"/>
  <c r="CE107" i="2"/>
  <c r="CF107" i="2"/>
  <c r="CE108" i="2"/>
  <c r="CF108" i="2"/>
  <c r="CE109" i="2"/>
  <c r="CF109" i="2"/>
  <c r="CE110" i="2"/>
  <c r="CF110" i="2"/>
  <c r="CE111" i="2"/>
  <c r="CF111" i="2"/>
  <c r="CE112" i="2"/>
  <c r="CF112" i="2"/>
  <c r="CE113" i="2"/>
  <c r="CF113" i="2"/>
  <c r="CE114" i="2"/>
  <c r="CF114" i="2"/>
  <c r="CE115" i="2"/>
  <c r="CF115" i="2"/>
  <c r="CE116" i="2"/>
  <c r="CF116" i="2"/>
  <c r="CE117" i="2"/>
  <c r="CF117" i="2"/>
  <c r="CE118" i="2"/>
  <c r="CF118" i="2"/>
  <c r="CE119" i="2"/>
  <c r="CF119" i="2"/>
  <c r="CE120" i="2"/>
  <c r="CF120" i="2"/>
  <c r="CE121" i="2"/>
  <c r="CF121" i="2"/>
  <c r="CE122" i="2"/>
  <c r="CF122" i="2"/>
  <c r="CE123" i="2"/>
  <c r="CF123" i="2"/>
  <c r="CE124" i="2"/>
  <c r="CF124" i="2"/>
  <c r="CE125" i="2"/>
  <c r="CF125" i="2"/>
  <c r="CE126" i="2"/>
  <c r="CF126" i="2"/>
  <c r="CE127" i="2"/>
  <c r="CF127" i="2"/>
  <c r="CE128" i="2"/>
  <c r="CF128" i="2"/>
  <c r="CE129" i="2"/>
  <c r="CF129" i="2"/>
  <c r="CE130" i="2"/>
  <c r="CF130" i="2"/>
  <c r="CE131" i="2"/>
  <c r="CF131" i="2"/>
  <c r="CE132" i="2"/>
  <c r="CF132" i="2"/>
  <c r="CE133" i="2"/>
  <c r="CF133" i="2"/>
  <c r="CE134" i="2"/>
  <c r="CF134" i="2"/>
  <c r="CE135" i="2"/>
  <c r="CF135" i="2"/>
  <c r="CE136" i="2"/>
  <c r="CF136" i="2"/>
  <c r="CE137" i="2"/>
  <c r="CF137" i="2"/>
  <c r="CE138" i="2"/>
  <c r="CF138" i="2"/>
  <c r="CE139" i="2"/>
  <c r="CF139" i="2"/>
  <c r="CE140" i="2"/>
  <c r="CF140" i="2"/>
  <c r="CE141" i="2"/>
  <c r="CF141" i="2"/>
  <c r="CE142" i="2"/>
  <c r="CF142" i="2"/>
  <c r="CE143" i="2"/>
  <c r="CF143" i="2"/>
  <c r="CE144" i="2"/>
  <c r="CF144" i="2"/>
  <c r="CE145" i="2"/>
  <c r="CF145" i="2"/>
  <c r="CE146" i="2"/>
  <c r="CF146" i="2"/>
  <c r="CE147" i="2"/>
  <c r="CF147" i="2"/>
  <c r="CE148" i="2"/>
  <c r="CF148" i="2"/>
  <c r="CE149" i="2"/>
  <c r="CF149" i="2"/>
  <c r="CE150" i="2"/>
  <c r="CF150" i="2"/>
  <c r="CE151" i="2"/>
  <c r="CF151" i="2"/>
  <c r="CE152" i="2"/>
  <c r="CF152" i="2"/>
  <c r="CE153" i="2"/>
  <c r="CF153" i="2"/>
  <c r="CE154" i="2"/>
  <c r="CF154" i="2"/>
  <c r="CE155" i="2"/>
  <c r="CF155" i="2"/>
  <c r="CE156" i="2"/>
  <c r="CF156" i="2"/>
  <c r="CE157" i="2"/>
  <c r="CF157" i="2"/>
  <c r="CE158" i="2"/>
  <c r="CF158" i="2"/>
  <c r="CE159" i="2"/>
  <c r="CF159" i="2"/>
  <c r="CE160" i="2"/>
  <c r="CF160" i="2"/>
  <c r="CE161" i="2"/>
  <c r="CF161" i="2"/>
  <c r="CE162" i="2"/>
  <c r="CF162" i="2"/>
  <c r="CE163" i="2"/>
  <c r="CF163" i="2"/>
  <c r="CE164" i="2"/>
  <c r="CF164" i="2"/>
  <c r="CE165" i="2"/>
  <c r="CF165" i="2"/>
  <c r="CE166" i="2"/>
  <c r="CF166" i="2"/>
  <c r="CE167" i="2"/>
  <c r="CF167" i="2"/>
  <c r="CE168" i="2"/>
  <c r="CF168" i="2"/>
  <c r="CE169" i="2"/>
  <c r="CF169" i="2"/>
  <c r="CE170" i="2"/>
  <c r="CF170" i="2"/>
  <c r="CE171" i="2"/>
  <c r="CF171" i="2"/>
  <c r="CE172" i="2"/>
  <c r="CF172" i="2"/>
  <c r="CE173" i="2"/>
  <c r="CF173" i="2"/>
  <c r="CE174" i="2"/>
  <c r="CF174" i="2"/>
  <c r="CE175" i="2"/>
  <c r="CF175" i="2"/>
  <c r="CE176" i="2"/>
  <c r="CF176" i="2"/>
  <c r="CE177" i="2"/>
  <c r="CF177" i="2"/>
  <c r="CE178" i="2"/>
  <c r="CF178" i="2"/>
  <c r="CE179" i="2"/>
  <c r="CF179" i="2"/>
  <c r="CE180" i="2"/>
  <c r="CF180" i="2"/>
  <c r="CE181" i="2"/>
  <c r="CF181" i="2"/>
  <c r="CE182" i="2"/>
  <c r="CF182" i="2"/>
  <c r="CE183" i="2"/>
  <c r="CF183" i="2"/>
  <c r="CE184" i="2"/>
  <c r="CF184" i="2"/>
  <c r="CE185" i="2"/>
  <c r="CF185" i="2"/>
  <c r="CE186" i="2"/>
  <c r="CF186" i="2"/>
  <c r="CE187" i="2"/>
  <c r="CF187" i="2"/>
  <c r="CE188" i="2"/>
  <c r="CF188" i="2"/>
  <c r="CE189" i="2"/>
  <c r="CF189" i="2"/>
  <c r="CE190" i="2"/>
  <c r="CF190" i="2"/>
  <c r="CE191" i="2"/>
  <c r="CF191" i="2"/>
  <c r="CE192" i="2"/>
  <c r="CF192" i="2"/>
  <c r="CE193" i="2"/>
  <c r="CF193" i="2"/>
  <c r="CE194" i="2"/>
  <c r="CF194" i="2"/>
  <c r="CE195" i="2"/>
  <c r="CF195" i="2"/>
  <c r="CE196" i="2"/>
  <c r="CF196" i="2"/>
  <c r="CE197" i="2"/>
  <c r="CF197" i="2"/>
  <c r="CE198" i="2"/>
  <c r="CF198" i="2"/>
  <c r="CE199" i="2"/>
  <c r="CF199" i="2"/>
  <c r="CE200" i="2"/>
  <c r="CF200" i="2"/>
  <c r="CE201" i="2"/>
  <c r="CF201" i="2"/>
  <c r="CE202" i="2"/>
  <c r="CF202" i="2"/>
  <c r="CE203" i="2"/>
  <c r="CF203" i="2"/>
  <c r="CE204" i="2"/>
  <c r="CF204" i="2"/>
  <c r="CE205" i="2"/>
  <c r="CF205" i="2"/>
  <c r="CE206" i="2"/>
  <c r="CF206" i="2"/>
  <c r="CE207" i="2"/>
  <c r="CF207" i="2"/>
  <c r="CE208" i="2"/>
  <c r="CF208" i="2"/>
  <c r="CE209" i="2"/>
  <c r="CF209" i="2"/>
  <c r="CE210" i="2"/>
  <c r="CF210" i="2"/>
  <c r="CE211" i="2"/>
  <c r="CF211" i="2"/>
  <c r="CE212" i="2"/>
  <c r="CF212" i="2"/>
  <c r="CE213" i="2"/>
  <c r="CF213" i="2"/>
  <c r="CE214" i="2"/>
  <c r="CF214" i="2"/>
  <c r="CE215" i="2"/>
  <c r="CF215" i="2"/>
  <c r="CE216" i="2"/>
  <c r="CF216" i="2"/>
  <c r="CE217" i="2"/>
  <c r="CF217" i="2"/>
  <c r="CE218" i="2"/>
  <c r="CF218" i="2"/>
  <c r="CE219" i="2"/>
  <c r="CF219" i="2"/>
  <c r="CE220" i="2"/>
  <c r="CF220" i="2"/>
  <c r="CE221" i="2"/>
  <c r="CF221" i="2"/>
  <c r="CE222" i="2"/>
  <c r="CF222" i="2"/>
  <c r="CE223" i="2"/>
  <c r="CF223" i="2"/>
  <c r="CE224" i="2"/>
  <c r="CF224" i="2"/>
  <c r="CE225" i="2"/>
  <c r="CF225" i="2"/>
  <c r="CE226" i="2"/>
  <c r="CF226" i="2"/>
  <c r="CE227" i="2"/>
  <c r="CF227" i="2"/>
  <c r="CE228" i="2"/>
  <c r="CF228" i="2"/>
  <c r="CE229" i="2"/>
  <c r="CF229" i="2"/>
  <c r="CE230" i="2"/>
  <c r="CF230" i="2"/>
  <c r="CE231" i="2"/>
  <c r="CF231" i="2"/>
  <c r="CE232" i="2"/>
  <c r="CF232" i="2"/>
  <c r="CE233" i="2"/>
  <c r="CF233" i="2"/>
  <c r="CE234" i="2"/>
  <c r="CF234" i="2"/>
  <c r="CE235" i="2"/>
  <c r="CF235" i="2"/>
  <c r="CE236" i="2"/>
  <c r="CF236" i="2"/>
  <c r="CE237" i="2"/>
  <c r="CF237" i="2"/>
  <c r="CE238" i="2"/>
  <c r="CF238" i="2"/>
  <c r="CE239" i="2"/>
  <c r="CF239" i="2"/>
  <c r="CE240" i="2"/>
  <c r="CF240" i="2"/>
  <c r="CE241" i="2"/>
  <c r="CF241" i="2"/>
  <c r="CE242" i="2"/>
  <c r="CF242" i="2"/>
  <c r="CE243" i="2"/>
  <c r="CF243" i="2"/>
  <c r="CE244" i="2"/>
  <c r="CF244" i="2"/>
  <c r="CE245" i="2"/>
  <c r="CF245" i="2"/>
  <c r="CE246" i="2"/>
  <c r="CF246" i="2"/>
  <c r="CE247" i="2"/>
  <c r="CF247" i="2"/>
  <c r="CE248" i="2"/>
  <c r="CF248" i="2"/>
  <c r="CE249" i="2"/>
  <c r="CF249" i="2"/>
  <c r="CE250" i="2"/>
  <c r="CF250" i="2"/>
  <c r="CE251" i="2"/>
  <c r="CF251" i="2"/>
  <c r="CE252" i="2"/>
  <c r="CF252" i="2"/>
  <c r="CE253" i="2"/>
  <c r="CF253" i="2"/>
  <c r="CE254" i="2"/>
  <c r="CF254" i="2"/>
  <c r="CF2" i="2"/>
  <c r="CE2" i="2"/>
  <c r="CA254" i="2"/>
  <c r="BY254" i="2"/>
  <c r="BX254" i="2"/>
  <c r="BW254" i="2"/>
  <c r="BV254" i="2"/>
  <c r="CA253" i="2"/>
  <c r="BY253" i="2"/>
  <c r="BX253" i="2"/>
  <c r="BW253" i="2"/>
  <c r="BV253" i="2"/>
  <c r="CA252" i="2"/>
  <c r="BY252" i="2"/>
  <c r="BX252" i="2"/>
  <c r="BW252" i="2"/>
  <c r="BV252" i="2"/>
  <c r="CA251" i="2"/>
  <c r="BY251" i="2"/>
  <c r="BX251" i="2"/>
  <c r="BW251" i="2"/>
  <c r="BV251" i="2"/>
  <c r="CA250" i="2"/>
  <c r="BY250" i="2"/>
  <c r="BX250" i="2"/>
  <c r="BW250" i="2"/>
  <c r="BV250" i="2"/>
  <c r="CA249" i="2"/>
  <c r="BY249" i="2"/>
  <c r="BX249" i="2"/>
  <c r="BW249" i="2"/>
  <c r="BV249" i="2"/>
  <c r="CA248" i="2"/>
  <c r="BY248" i="2"/>
  <c r="BX248" i="2"/>
  <c r="BW248" i="2"/>
  <c r="BV248" i="2"/>
  <c r="CA247" i="2"/>
  <c r="BY247" i="2"/>
  <c r="BX247" i="2"/>
  <c r="BW247" i="2"/>
  <c r="BV247" i="2"/>
  <c r="CA246" i="2"/>
  <c r="BY246" i="2"/>
  <c r="BX246" i="2"/>
  <c r="BW246" i="2"/>
  <c r="BV246" i="2"/>
  <c r="CA245" i="2"/>
  <c r="BY245" i="2"/>
  <c r="BX245" i="2"/>
  <c r="BW245" i="2"/>
  <c r="BV245" i="2"/>
  <c r="CA244" i="2"/>
  <c r="BY244" i="2"/>
  <c r="BX244" i="2"/>
  <c r="BW244" i="2"/>
  <c r="BV244" i="2"/>
  <c r="CA243" i="2"/>
  <c r="BY243" i="2"/>
  <c r="BX243" i="2"/>
  <c r="BW243" i="2"/>
  <c r="BV243" i="2"/>
  <c r="CA242" i="2"/>
  <c r="BY242" i="2"/>
  <c r="BX242" i="2"/>
  <c r="BW242" i="2"/>
  <c r="BV242" i="2"/>
  <c r="CA241" i="2"/>
  <c r="BY241" i="2"/>
  <c r="BX241" i="2"/>
  <c r="BW241" i="2"/>
  <c r="BV241" i="2"/>
  <c r="CA240" i="2"/>
  <c r="BY240" i="2"/>
  <c r="BX240" i="2"/>
  <c r="BW240" i="2"/>
  <c r="BV240" i="2"/>
  <c r="CA239" i="2"/>
  <c r="BY239" i="2"/>
  <c r="BX239" i="2"/>
  <c r="BW239" i="2"/>
  <c r="BV239" i="2"/>
  <c r="CA238" i="2"/>
  <c r="BY238" i="2"/>
  <c r="BX238" i="2"/>
  <c r="BW238" i="2"/>
  <c r="BV238" i="2"/>
  <c r="CA237" i="2"/>
  <c r="BY237" i="2"/>
  <c r="BX237" i="2"/>
  <c r="BW237" i="2"/>
  <c r="BV237" i="2"/>
  <c r="CA236" i="2"/>
  <c r="BY236" i="2"/>
  <c r="BX236" i="2"/>
  <c r="BW236" i="2"/>
  <c r="BV236" i="2"/>
  <c r="CA235" i="2"/>
  <c r="BY235" i="2"/>
  <c r="BX235" i="2"/>
  <c r="BW235" i="2"/>
  <c r="BV235" i="2"/>
  <c r="CA234" i="2"/>
  <c r="BY234" i="2"/>
  <c r="BX234" i="2"/>
  <c r="BW234" i="2"/>
  <c r="BV234" i="2"/>
  <c r="CA233" i="2"/>
  <c r="BY233" i="2"/>
  <c r="BX233" i="2"/>
  <c r="BW233" i="2"/>
  <c r="BV233" i="2"/>
  <c r="CA232" i="2"/>
  <c r="BY232" i="2"/>
  <c r="BX232" i="2"/>
  <c r="BW232" i="2"/>
  <c r="BV232" i="2"/>
  <c r="CA231" i="2"/>
  <c r="BY231" i="2"/>
  <c r="BX231" i="2"/>
  <c r="BW231" i="2"/>
  <c r="BV231" i="2"/>
  <c r="CA230" i="2"/>
  <c r="BY230" i="2"/>
  <c r="BX230" i="2"/>
  <c r="BW230" i="2"/>
  <c r="BV230" i="2"/>
  <c r="CA229" i="2"/>
  <c r="BY229" i="2"/>
  <c r="BX229" i="2"/>
  <c r="BW229" i="2"/>
  <c r="BV229" i="2"/>
  <c r="CA228" i="2"/>
  <c r="BY228" i="2"/>
  <c r="BX228" i="2"/>
  <c r="BW228" i="2"/>
  <c r="BV228" i="2"/>
  <c r="CA227" i="2"/>
  <c r="BY227" i="2"/>
  <c r="BX227" i="2"/>
  <c r="BW227" i="2"/>
  <c r="BV227" i="2"/>
  <c r="CA226" i="2"/>
  <c r="BY226" i="2"/>
  <c r="BX226" i="2"/>
  <c r="BW226" i="2"/>
  <c r="BV226" i="2"/>
  <c r="CA225" i="2"/>
  <c r="BY225" i="2"/>
  <c r="BX225" i="2"/>
  <c r="BW225" i="2"/>
  <c r="BV225" i="2"/>
  <c r="CA224" i="2"/>
  <c r="BY224" i="2"/>
  <c r="BX224" i="2"/>
  <c r="BW224" i="2"/>
  <c r="BV224" i="2"/>
  <c r="CA223" i="2"/>
  <c r="BY223" i="2"/>
  <c r="BX223" i="2"/>
  <c r="BW223" i="2"/>
  <c r="BV223" i="2"/>
  <c r="CA222" i="2"/>
  <c r="BY222" i="2"/>
  <c r="BX222" i="2"/>
  <c r="BW222" i="2"/>
  <c r="BV222" i="2"/>
  <c r="CA221" i="2"/>
  <c r="BY221" i="2"/>
  <c r="BX221" i="2"/>
  <c r="BW221" i="2"/>
  <c r="BV221" i="2"/>
  <c r="CA220" i="2"/>
  <c r="BY220" i="2"/>
  <c r="BX220" i="2"/>
  <c r="BW220" i="2"/>
  <c r="BV220" i="2"/>
  <c r="CA219" i="2"/>
  <c r="BY219" i="2"/>
  <c r="BX219" i="2"/>
  <c r="BW219" i="2"/>
  <c r="BV219" i="2"/>
  <c r="CA218" i="2"/>
  <c r="BY218" i="2"/>
  <c r="BX218" i="2"/>
  <c r="BW218" i="2"/>
  <c r="BV218" i="2"/>
  <c r="CA217" i="2"/>
  <c r="BY217" i="2"/>
  <c r="BX217" i="2"/>
  <c r="BW217" i="2"/>
  <c r="BV217" i="2"/>
  <c r="CA216" i="2"/>
  <c r="BY216" i="2"/>
  <c r="BX216" i="2"/>
  <c r="BW216" i="2"/>
  <c r="BV216" i="2"/>
  <c r="CA215" i="2"/>
  <c r="BY215" i="2"/>
  <c r="BX215" i="2"/>
  <c r="BW215" i="2"/>
  <c r="BV215" i="2"/>
  <c r="CA214" i="2"/>
  <c r="BY214" i="2"/>
  <c r="BX214" i="2"/>
  <c r="BW214" i="2"/>
  <c r="BV214" i="2"/>
  <c r="CA213" i="2"/>
  <c r="BY213" i="2"/>
  <c r="BX213" i="2"/>
  <c r="BW213" i="2"/>
  <c r="BV213" i="2"/>
  <c r="CA212" i="2"/>
  <c r="BY212" i="2"/>
  <c r="BX212" i="2"/>
  <c r="BW212" i="2"/>
  <c r="BV212" i="2"/>
  <c r="CA211" i="2"/>
  <c r="BY211" i="2"/>
  <c r="BX211" i="2"/>
  <c r="BW211" i="2"/>
  <c r="BV211" i="2"/>
  <c r="CA210" i="2"/>
  <c r="BY210" i="2"/>
  <c r="BX210" i="2"/>
  <c r="BW210" i="2"/>
  <c r="BV210" i="2"/>
  <c r="CA209" i="2"/>
  <c r="BY209" i="2"/>
  <c r="BX209" i="2"/>
  <c r="BW209" i="2"/>
  <c r="BV209" i="2"/>
  <c r="CA208" i="2"/>
  <c r="BY208" i="2"/>
  <c r="BX208" i="2"/>
  <c r="BW208" i="2"/>
  <c r="BV208" i="2"/>
  <c r="CA207" i="2"/>
  <c r="BY207" i="2"/>
  <c r="BX207" i="2"/>
  <c r="BW207" i="2"/>
  <c r="BV207" i="2"/>
  <c r="CA206" i="2"/>
  <c r="BY206" i="2"/>
  <c r="BX206" i="2"/>
  <c r="BW206" i="2"/>
  <c r="BV206" i="2"/>
  <c r="CA205" i="2"/>
  <c r="BY205" i="2"/>
  <c r="BX205" i="2"/>
  <c r="BW205" i="2"/>
  <c r="BV205" i="2"/>
  <c r="CA204" i="2"/>
  <c r="BY204" i="2"/>
  <c r="BX204" i="2"/>
  <c r="BW204" i="2"/>
  <c r="BV204" i="2"/>
  <c r="CA203" i="2"/>
  <c r="BY203" i="2"/>
  <c r="BX203" i="2"/>
  <c r="BW203" i="2"/>
  <c r="BV203" i="2"/>
  <c r="CA202" i="2"/>
  <c r="BY202" i="2"/>
  <c r="BX202" i="2"/>
  <c r="BW202" i="2"/>
  <c r="BV202" i="2"/>
  <c r="CA201" i="2"/>
  <c r="BY201" i="2"/>
  <c r="BX201" i="2"/>
  <c r="BW201" i="2"/>
  <c r="BV201" i="2"/>
  <c r="CA200" i="2"/>
  <c r="BY200" i="2"/>
  <c r="BX200" i="2"/>
  <c r="BW200" i="2"/>
  <c r="BV200" i="2"/>
  <c r="CA199" i="2"/>
  <c r="BY199" i="2"/>
  <c r="BX199" i="2"/>
  <c r="BW199" i="2"/>
  <c r="BV199" i="2"/>
  <c r="CA198" i="2"/>
  <c r="BY198" i="2"/>
  <c r="BX198" i="2"/>
  <c r="BW198" i="2"/>
  <c r="BV198" i="2"/>
  <c r="CA197" i="2"/>
  <c r="BY197" i="2"/>
  <c r="BX197" i="2"/>
  <c r="BW197" i="2"/>
  <c r="BV197" i="2"/>
  <c r="CA196" i="2"/>
  <c r="BY196" i="2"/>
  <c r="BX196" i="2"/>
  <c r="BW196" i="2"/>
  <c r="BV196" i="2"/>
  <c r="CA195" i="2"/>
  <c r="BY195" i="2"/>
  <c r="BX195" i="2"/>
  <c r="BW195" i="2"/>
  <c r="BV195" i="2"/>
  <c r="CA194" i="2"/>
  <c r="BY194" i="2"/>
  <c r="BX194" i="2"/>
  <c r="BW194" i="2"/>
  <c r="BV194" i="2"/>
  <c r="CA193" i="2"/>
  <c r="BY193" i="2"/>
  <c r="BX193" i="2"/>
  <c r="BW193" i="2"/>
  <c r="BV193" i="2"/>
  <c r="CA192" i="2"/>
  <c r="BY192" i="2"/>
  <c r="BX192" i="2"/>
  <c r="BW192" i="2"/>
  <c r="BV192" i="2"/>
  <c r="CA191" i="2"/>
  <c r="BY191" i="2"/>
  <c r="BX191" i="2"/>
  <c r="BW191" i="2"/>
  <c r="BV191" i="2"/>
  <c r="CA190" i="2"/>
  <c r="BY190" i="2"/>
  <c r="BX190" i="2"/>
  <c r="BW190" i="2"/>
  <c r="BV190" i="2"/>
  <c r="CA189" i="2"/>
  <c r="BY189" i="2"/>
  <c r="BX189" i="2"/>
  <c r="BW189" i="2"/>
  <c r="BV189" i="2"/>
  <c r="CA188" i="2"/>
  <c r="BY188" i="2"/>
  <c r="BX188" i="2"/>
  <c r="BW188" i="2"/>
  <c r="BV188" i="2"/>
  <c r="CA187" i="2"/>
  <c r="BY187" i="2"/>
  <c r="BX187" i="2"/>
  <c r="BW187" i="2"/>
  <c r="BV187" i="2"/>
  <c r="CA186" i="2"/>
  <c r="BY186" i="2"/>
  <c r="BX186" i="2"/>
  <c r="BW186" i="2"/>
  <c r="BV186" i="2"/>
  <c r="CA185" i="2"/>
  <c r="BY185" i="2"/>
  <c r="BX185" i="2"/>
  <c r="BW185" i="2"/>
  <c r="BV185" i="2"/>
  <c r="CA184" i="2"/>
  <c r="BY184" i="2"/>
  <c r="BX184" i="2"/>
  <c r="BW184" i="2"/>
  <c r="BV184" i="2"/>
  <c r="CA183" i="2"/>
  <c r="BY183" i="2"/>
  <c r="BX183" i="2"/>
  <c r="BW183" i="2"/>
  <c r="BV183" i="2"/>
  <c r="CA182" i="2"/>
  <c r="BY182" i="2"/>
  <c r="BX182" i="2"/>
  <c r="BW182" i="2"/>
  <c r="BV182" i="2"/>
  <c r="CA181" i="2"/>
  <c r="BY181" i="2"/>
  <c r="BX181" i="2"/>
  <c r="BW181" i="2"/>
  <c r="BV181" i="2"/>
  <c r="CA180" i="2"/>
  <c r="BY180" i="2"/>
  <c r="BX180" i="2"/>
  <c r="BW180" i="2"/>
  <c r="BV180" i="2"/>
  <c r="CA179" i="2"/>
  <c r="BY179" i="2"/>
  <c r="BX179" i="2"/>
  <c r="BW179" i="2"/>
  <c r="BV179" i="2"/>
  <c r="CA178" i="2"/>
  <c r="BY178" i="2"/>
  <c r="BX178" i="2"/>
  <c r="BW178" i="2"/>
  <c r="BV178" i="2"/>
  <c r="CA177" i="2"/>
  <c r="BY177" i="2"/>
  <c r="BX177" i="2"/>
  <c r="BW177" i="2"/>
  <c r="BV177" i="2"/>
  <c r="CA176" i="2"/>
  <c r="BY176" i="2"/>
  <c r="BX176" i="2"/>
  <c r="BW176" i="2"/>
  <c r="BV176" i="2"/>
  <c r="CA175" i="2"/>
  <c r="BY175" i="2"/>
  <c r="BX175" i="2"/>
  <c r="BW175" i="2"/>
  <c r="BV175" i="2"/>
  <c r="CA174" i="2"/>
  <c r="BY174" i="2"/>
  <c r="BX174" i="2"/>
  <c r="BW174" i="2"/>
  <c r="BV174" i="2"/>
  <c r="CA173" i="2"/>
  <c r="BY173" i="2"/>
  <c r="BX173" i="2"/>
  <c r="BW173" i="2"/>
  <c r="BV173" i="2"/>
  <c r="CA172" i="2"/>
  <c r="BY172" i="2"/>
  <c r="BX172" i="2"/>
  <c r="BW172" i="2"/>
  <c r="BV172" i="2"/>
  <c r="CA171" i="2"/>
  <c r="BY171" i="2"/>
  <c r="BX171" i="2"/>
  <c r="BW171" i="2"/>
  <c r="BV171" i="2"/>
  <c r="CA170" i="2"/>
  <c r="BY170" i="2"/>
  <c r="BX170" i="2"/>
  <c r="BW170" i="2"/>
  <c r="BV170" i="2"/>
  <c r="CA169" i="2"/>
  <c r="BY169" i="2"/>
  <c r="BX169" i="2"/>
  <c r="BW169" i="2"/>
  <c r="BV169" i="2"/>
  <c r="CA168" i="2"/>
  <c r="BY168" i="2"/>
  <c r="BX168" i="2"/>
  <c r="BW168" i="2"/>
  <c r="BV168" i="2"/>
  <c r="CA167" i="2"/>
  <c r="BY167" i="2"/>
  <c r="BX167" i="2"/>
  <c r="BW167" i="2"/>
  <c r="BV167" i="2"/>
  <c r="CA166" i="2"/>
  <c r="BY166" i="2"/>
  <c r="BX166" i="2"/>
  <c r="BW166" i="2"/>
  <c r="BV166" i="2"/>
  <c r="CA165" i="2"/>
  <c r="BY165" i="2"/>
  <c r="BX165" i="2"/>
  <c r="BW165" i="2"/>
  <c r="BV165" i="2"/>
  <c r="CA164" i="2"/>
  <c r="BY164" i="2"/>
  <c r="BX164" i="2"/>
  <c r="BW164" i="2"/>
  <c r="BV164" i="2"/>
  <c r="CA163" i="2"/>
  <c r="BY163" i="2"/>
  <c r="BX163" i="2"/>
  <c r="BW163" i="2"/>
  <c r="BV163" i="2"/>
  <c r="CA162" i="2"/>
  <c r="BY162" i="2"/>
  <c r="BX162" i="2"/>
  <c r="BW162" i="2"/>
  <c r="BV162" i="2"/>
  <c r="CA161" i="2"/>
  <c r="BY161" i="2"/>
  <c r="BX161" i="2"/>
  <c r="BW161" i="2"/>
  <c r="BV161" i="2"/>
  <c r="CA160" i="2"/>
  <c r="BY160" i="2"/>
  <c r="BX160" i="2"/>
  <c r="BW160" i="2"/>
  <c r="BV160" i="2"/>
  <c r="CA159" i="2"/>
  <c r="BY159" i="2"/>
  <c r="BX159" i="2"/>
  <c r="BW159" i="2"/>
  <c r="BV159" i="2"/>
  <c r="CA158" i="2"/>
  <c r="BY158" i="2"/>
  <c r="BX158" i="2"/>
  <c r="BW158" i="2"/>
  <c r="BV158" i="2"/>
  <c r="CA157" i="2"/>
  <c r="BY157" i="2"/>
  <c r="BX157" i="2"/>
  <c r="BW157" i="2"/>
  <c r="BV157" i="2"/>
  <c r="CA156" i="2"/>
  <c r="BY156" i="2"/>
  <c r="BX156" i="2"/>
  <c r="BW156" i="2"/>
  <c r="BV156" i="2"/>
  <c r="CA155" i="2"/>
  <c r="BY155" i="2"/>
  <c r="BX155" i="2"/>
  <c r="BW155" i="2"/>
  <c r="BV155" i="2"/>
  <c r="CA154" i="2"/>
  <c r="BY154" i="2"/>
  <c r="BX154" i="2"/>
  <c r="BW154" i="2"/>
  <c r="BV154" i="2"/>
  <c r="CA153" i="2"/>
  <c r="BY153" i="2"/>
  <c r="BX153" i="2"/>
  <c r="BW153" i="2"/>
  <c r="BV153" i="2"/>
  <c r="CA152" i="2"/>
  <c r="BY152" i="2"/>
  <c r="BX152" i="2"/>
  <c r="BW152" i="2"/>
  <c r="BV152" i="2"/>
  <c r="CA151" i="2"/>
  <c r="BY151" i="2"/>
  <c r="BX151" i="2"/>
  <c r="BW151" i="2"/>
  <c r="BV151" i="2"/>
  <c r="CA150" i="2"/>
  <c r="BY150" i="2"/>
  <c r="BX150" i="2"/>
  <c r="BW150" i="2"/>
  <c r="BV150" i="2"/>
  <c r="CA149" i="2"/>
  <c r="BY149" i="2"/>
  <c r="BX149" i="2"/>
  <c r="BW149" i="2"/>
  <c r="BV149" i="2"/>
  <c r="CA148" i="2"/>
  <c r="BY148" i="2"/>
  <c r="BX148" i="2"/>
  <c r="BW148" i="2"/>
  <c r="BV148" i="2"/>
  <c r="CA147" i="2"/>
  <c r="BY147" i="2"/>
  <c r="BX147" i="2"/>
  <c r="BW147" i="2"/>
  <c r="BV147" i="2"/>
  <c r="CA146" i="2"/>
  <c r="BY146" i="2"/>
  <c r="BX146" i="2"/>
  <c r="BW146" i="2"/>
  <c r="BV146" i="2"/>
  <c r="CA145" i="2"/>
  <c r="BY145" i="2"/>
  <c r="BX145" i="2"/>
  <c r="BW145" i="2"/>
  <c r="BV145" i="2"/>
  <c r="CA144" i="2"/>
  <c r="BY144" i="2"/>
  <c r="BX144" i="2"/>
  <c r="BW144" i="2"/>
  <c r="BV144" i="2"/>
  <c r="CA143" i="2"/>
  <c r="BY143" i="2"/>
  <c r="BX143" i="2"/>
  <c r="BW143" i="2"/>
  <c r="BV143" i="2"/>
  <c r="CA142" i="2"/>
  <c r="BY142" i="2"/>
  <c r="BX142" i="2"/>
  <c r="BW142" i="2"/>
  <c r="BV142" i="2"/>
  <c r="CA141" i="2"/>
  <c r="BY141" i="2"/>
  <c r="BX141" i="2"/>
  <c r="BW141" i="2"/>
  <c r="BV141" i="2"/>
  <c r="CA140" i="2"/>
  <c r="BY140" i="2"/>
  <c r="BX140" i="2"/>
  <c r="BW140" i="2"/>
  <c r="BV140" i="2"/>
  <c r="CA139" i="2"/>
  <c r="BY139" i="2"/>
  <c r="BX139" i="2"/>
  <c r="BW139" i="2"/>
  <c r="BV139" i="2"/>
  <c r="CA138" i="2"/>
  <c r="BY138" i="2"/>
  <c r="BX138" i="2"/>
  <c r="BW138" i="2"/>
  <c r="BV138" i="2"/>
  <c r="CA137" i="2"/>
  <c r="BY137" i="2"/>
  <c r="BX137" i="2"/>
  <c r="BW137" i="2"/>
  <c r="BV137" i="2"/>
  <c r="CA136" i="2"/>
  <c r="BY136" i="2"/>
  <c r="BX136" i="2"/>
  <c r="BW136" i="2"/>
  <c r="BV136" i="2"/>
  <c r="CA135" i="2"/>
  <c r="BY135" i="2"/>
  <c r="BX135" i="2"/>
  <c r="BW135" i="2"/>
  <c r="BV135" i="2"/>
  <c r="CA134" i="2"/>
  <c r="BY134" i="2"/>
  <c r="BX134" i="2"/>
  <c r="BW134" i="2"/>
  <c r="BV134" i="2"/>
  <c r="CA133" i="2"/>
  <c r="BY133" i="2"/>
  <c r="BX133" i="2"/>
  <c r="BW133" i="2"/>
  <c r="BV133" i="2"/>
  <c r="CA132" i="2"/>
  <c r="BY132" i="2"/>
  <c r="BX132" i="2"/>
  <c r="BW132" i="2"/>
  <c r="BV132" i="2"/>
  <c r="CA131" i="2"/>
  <c r="BY131" i="2"/>
  <c r="BX131" i="2"/>
  <c r="BW131" i="2"/>
  <c r="BV131" i="2"/>
  <c r="CA130" i="2"/>
  <c r="BY130" i="2"/>
  <c r="BX130" i="2"/>
  <c r="BW130" i="2"/>
  <c r="BV130" i="2"/>
  <c r="CA129" i="2"/>
  <c r="BY129" i="2"/>
  <c r="BX129" i="2"/>
  <c r="BW129" i="2"/>
  <c r="BV129" i="2"/>
  <c r="CA128" i="2"/>
  <c r="BY128" i="2"/>
  <c r="BX128" i="2"/>
  <c r="BW128" i="2"/>
  <c r="BV128" i="2"/>
  <c r="CA127" i="2"/>
  <c r="BY127" i="2"/>
  <c r="BX127" i="2"/>
  <c r="BW127" i="2"/>
  <c r="BV127" i="2"/>
  <c r="CA126" i="2"/>
  <c r="BY126" i="2"/>
  <c r="BX126" i="2"/>
  <c r="BW126" i="2"/>
  <c r="BV126" i="2"/>
  <c r="CA125" i="2"/>
  <c r="BY125" i="2"/>
  <c r="BX125" i="2"/>
  <c r="BW125" i="2"/>
  <c r="BV125" i="2"/>
  <c r="CA124" i="2"/>
  <c r="BY124" i="2"/>
  <c r="BX124" i="2"/>
  <c r="BW124" i="2"/>
  <c r="BV124" i="2"/>
  <c r="CA123" i="2"/>
  <c r="BY123" i="2"/>
  <c r="BX123" i="2"/>
  <c r="BW123" i="2"/>
  <c r="BV123" i="2"/>
  <c r="CA122" i="2"/>
  <c r="BY122" i="2"/>
  <c r="BX122" i="2"/>
  <c r="BW122" i="2"/>
  <c r="BV122" i="2"/>
  <c r="CA121" i="2"/>
  <c r="BY121" i="2"/>
  <c r="BX121" i="2"/>
  <c r="BW121" i="2"/>
  <c r="BV121" i="2"/>
  <c r="CA120" i="2"/>
  <c r="BY120" i="2"/>
  <c r="BX120" i="2"/>
  <c r="BW120" i="2"/>
  <c r="BV120" i="2"/>
  <c r="CA119" i="2"/>
  <c r="BY119" i="2"/>
  <c r="BX119" i="2"/>
  <c r="BW119" i="2"/>
  <c r="BV119" i="2"/>
  <c r="CA118" i="2"/>
  <c r="BY118" i="2"/>
  <c r="BX118" i="2"/>
  <c r="BW118" i="2"/>
  <c r="BV118" i="2"/>
  <c r="CA117" i="2"/>
  <c r="BY117" i="2"/>
  <c r="BX117" i="2"/>
  <c r="BW117" i="2"/>
  <c r="BV117" i="2"/>
  <c r="CA116" i="2"/>
  <c r="BY116" i="2"/>
  <c r="BX116" i="2"/>
  <c r="BW116" i="2"/>
  <c r="BV116" i="2"/>
  <c r="CA115" i="2"/>
  <c r="BY115" i="2"/>
  <c r="BX115" i="2"/>
  <c r="BW115" i="2"/>
  <c r="BV115" i="2"/>
  <c r="CA114" i="2"/>
  <c r="BY114" i="2"/>
  <c r="BX114" i="2"/>
  <c r="BW114" i="2"/>
  <c r="BV114" i="2"/>
  <c r="CA113" i="2"/>
  <c r="BY113" i="2"/>
  <c r="BX113" i="2"/>
  <c r="BW113" i="2"/>
  <c r="BV113" i="2"/>
  <c r="CA112" i="2"/>
  <c r="BY112" i="2"/>
  <c r="BX112" i="2"/>
  <c r="BW112" i="2"/>
  <c r="BV112" i="2"/>
  <c r="CA111" i="2"/>
  <c r="BY111" i="2"/>
  <c r="BX111" i="2"/>
  <c r="BW111" i="2"/>
  <c r="BV111" i="2"/>
  <c r="CA110" i="2"/>
  <c r="BY110" i="2"/>
  <c r="BX110" i="2"/>
  <c r="BW110" i="2"/>
  <c r="BV110" i="2"/>
  <c r="CA109" i="2"/>
  <c r="BY109" i="2"/>
  <c r="BX109" i="2"/>
  <c r="BW109" i="2"/>
  <c r="BV109" i="2"/>
  <c r="CA108" i="2"/>
  <c r="BY108" i="2"/>
  <c r="BX108" i="2"/>
  <c r="BW108" i="2"/>
  <c r="BV108" i="2"/>
  <c r="CA107" i="2"/>
  <c r="BY107" i="2"/>
  <c r="BX107" i="2"/>
  <c r="BW107" i="2"/>
  <c r="BV107" i="2"/>
  <c r="CA106" i="2"/>
  <c r="BY106" i="2"/>
  <c r="BX106" i="2"/>
  <c r="BW106" i="2"/>
  <c r="BV106" i="2"/>
  <c r="CA105" i="2"/>
  <c r="BY105" i="2"/>
  <c r="BX105" i="2"/>
  <c r="BW105" i="2"/>
  <c r="BV105" i="2"/>
  <c r="CA104" i="2"/>
  <c r="BY104" i="2"/>
  <c r="BX104" i="2"/>
  <c r="BW104" i="2"/>
  <c r="BV104" i="2"/>
  <c r="CA103" i="2"/>
  <c r="BY103" i="2"/>
  <c r="BX103" i="2"/>
  <c r="BW103" i="2"/>
  <c r="BV103" i="2"/>
  <c r="CA102" i="2"/>
  <c r="BY102" i="2"/>
  <c r="BX102" i="2"/>
  <c r="BW102" i="2"/>
  <c r="BV102" i="2"/>
  <c r="CA101" i="2"/>
  <c r="BY101" i="2"/>
  <c r="BX101" i="2"/>
  <c r="BW101" i="2"/>
  <c r="BV101" i="2"/>
  <c r="CA100" i="2"/>
  <c r="BY100" i="2"/>
  <c r="BX100" i="2"/>
  <c r="BW100" i="2"/>
  <c r="BV100" i="2"/>
  <c r="CA99" i="2"/>
  <c r="BY99" i="2"/>
  <c r="BX99" i="2"/>
  <c r="BW99" i="2"/>
  <c r="BV99" i="2"/>
  <c r="CA98" i="2"/>
  <c r="BY98" i="2"/>
  <c r="BX98" i="2"/>
  <c r="BW98" i="2"/>
  <c r="BV98" i="2"/>
  <c r="CA97" i="2"/>
  <c r="BY97" i="2"/>
  <c r="BX97" i="2"/>
  <c r="BW97" i="2"/>
  <c r="BV97" i="2"/>
  <c r="CA96" i="2"/>
  <c r="BY96" i="2"/>
  <c r="BX96" i="2"/>
  <c r="BW96" i="2"/>
  <c r="BV96" i="2"/>
  <c r="CA95" i="2"/>
  <c r="BY95" i="2"/>
  <c r="BX95" i="2"/>
  <c r="BW95" i="2"/>
  <c r="BV95" i="2"/>
  <c r="CA94" i="2"/>
  <c r="BY94" i="2"/>
  <c r="BX94" i="2"/>
  <c r="BW94" i="2"/>
  <c r="BV94" i="2"/>
  <c r="CA93" i="2"/>
  <c r="BY93" i="2"/>
  <c r="BX93" i="2"/>
  <c r="BW93" i="2"/>
  <c r="BV93" i="2"/>
  <c r="CA92" i="2"/>
  <c r="BY92" i="2"/>
  <c r="BX92" i="2"/>
  <c r="BW92" i="2"/>
  <c r="BV92" i="2"/>
  <c r="CA91" i="2"/>
  <c r="BY91" i="2"/>
  <c r="BX91" i="2"/>
  <c r="BW91" i="2"/>
  <c r="BV91" i="2"/>
  <c r="CA90" i="2"/>
  <c r="BY90" i="2"/>
  <c r="BX90" i="2"/>
  <c r="BW90" i="2"/>
  <c r="BV90" i="2"/>
  <c r="CA89" i="2"/>
  <c r="BY89" i="2"/>
  <c r="BX89" i="2"/>
  <c r="BW89" i="2"/>
  <c r="BV89" i="2"/>
  <c r="CA88" i="2"/>
  <c r="BY88" i="2"/>
  <c r="BX88" i="2"/>
  <c r="BW88" i="2"/>
  <c r="BV88" i="2"/>
  <c r="CA87" i="2"/>
  <c r="BY87" i="2"/>
  <c r="BX87" i="2"/>
  <c r="BW87" i="2"/>
  <c r="BV87" i="2"/>
  <c r="CA86" i="2"/>
  <c r="BY86" i="2"/>
  <c r="BX86" i="2"/>
  <c r="BW86" i="2"/>
  <c r="BV86" i="2"/>
  <c r="CA85" i="2"/>
  <c r="BY85" i="2"/>
  <c r="BX85" i="2"/>
  <c r="BW85" i="2"/>
  <c r="BV85" i="2"/>
  <c r="CA84" i="2"/>
  <c r="BY84" i="2"/>
  <c r="BX84" i="2"/>
  <c r="BW84" i="2"/>
  <c r="BV84" i="2"/>
  <c r="CA83" i="2"/>
  <c r="BY83" i="2"/>
  <c r="BX83" i="2"/>
  <c r="BW83" i="2"/>
  <c r="BV83" i="2"/>
  <c r="CA82" i="2"/>
  <c r="BY82" i="2"/>
  <c r="BX82" i="2"/>
  <c r="BW82" i="2"/>
  <c r="BV82" i="2"/>
  <c r="CA81" i="2"/>
  <c r="BY81" i="2"/>
  <c r="BX81" i="2"/>
  <c r="BW81" i="2"/>
  <c r="BV81" i="2"/>
  <c r="CA80" i="2"/>
  <c r="BY80" i="2"/>
  <c r="BX80" i="2"/>
  <c r="BW80" i="2"/>
  <c r="BV80" i="2"/>
  <c r="CA79" i="2"/>
  <c r="BY79" i="2"/>
  <c r="BX79" i="2"/>
  <c r="BW79" i="2"/>
  <c r="BV79" i="2"/>
  <c r="CA78" i="2"/>
  <c r="BY78" i="2"/>
  <c r="BX78" i="2"/>
  <c r="BW78" i="2"/>
  <c r="BV78" i="2"/>
  <c r="CA77" i="2"/>
  <c r="BY77" i="2"/>
  <c r="BX77" i="2"/>
  <c r="BW77" i="2"/>
  <c r="BV77" i="2"/>
  <c r="CA76" i="2"/>
  <c r="BY76" i="2"/>
  <c r="BX76" i="2"/>
  <c r="BW76" i="2"/>
  <c r="BV76" i="2"/>
  <c r="CA75" i="2"/>
  <c r="BY75" i="2"/>
  <c r="BX75" i="2"/>
  <c r="BW75" i="2"/>
  <c r="BV75" i="2"/>
  <c r="CA74" i="2"/>
  <c r="BY74" i="2"/>
  <c r="BX74" i="2"/>
  <c r="BW74" i="2"/>
  <c r="BV74" i="2"/>
  <c r="CA73" i="2"/>
  <c r="BY73" i="2"/>
  <c r="BX73" i="2"/>
  <c r="BW73" i="2"/>
  <c r="BV73" i="2"/>
  <c r="CA72" i="2"/>
  <c r="BY72" i="2"/>
  <c r="BX72" i="2"/>
  <c r="BW72" i="2"/>
  <c r="BV72" i="2"/>
  <c r="CA71" i="2"/>
  <c r="BY71" i="2"/>
  <c r="BX71" i="2"/>
  <c r="BW71" i="2"/>
  <c r="BV71" i="2"/>
  <c r="CA70" i="2"/>
  <c r="BY70" i="2"/>
  <c r="BX70" i="2"/>
  <c r="BW70" i="2"/>
  <c r="BV70" i="2"/>
  <c r="CA69" i="2"/>
  <c r="BY69" i="2"/>
  <c r="BX69" i="2"/>
  <c r="BW69" i="2"/>
  <c r="BV69" i="2"/>
  <c r="CA68" i="2"/>
  <c r="BY68" i="2"/>
  <c r="BX68" i="2"/>
  <c r="BW68" i="2"/>
  <c r="BV68" i="2"/>
  <c r="CA67" i="2"/>
  <c r="BY67" i="2"/>
  <c r="BX67" i="2"/>
  <c r="BW67" i="2"/>
  <c r="BV67" i="2"/>
  <c r="CA66" i="2"/>
  <c r="BY66" i="2"/>
  <c r="BX66" i="2"/>
  <c r="BW66" i="2"/>
  <c r="BV66" i="2"/>
  <c r="CA65" i="2"/>
  <c r="BY65" i="2"/>
  <c r="BX65" i="2"/>
  <c r="BW65" i="2"/>
  <c r="BV65" i="2"/>
  <c r="CA64" i="2"/>
  <c r="BY64" i="2"/>
  <c r="BX64" i="2"/>
  <c r="BW64" i="2"/>
  <c r="BV64" i="2"/>
  <c r="CA63" i="2"/>
  <c r="BY63" i="2"/>
  <c r="BX63" i="2"/>
  <c r="BW63" i="2"/>
  <c r="BV63" i="2"/>
  <c r="CA62" i="2"/>
  <c r="BY62" i="2"/>
  <c r="BX62" i="2"/>
  <c r="BW62" i="2"/>
  <c r="BV62" i="2"/>
  <c r="CA61" i="2"/>
  <c r="BY61" i="2"/>
  <c r="BX61" i="2"/>
  <c r="BW61" i="2"/>
  <c r="BV61" i="2"/>
  <c r="CA60" i="2"/>
  <c r="BY60" i="2"/>
  <c r="BX60" i="2"/>
  <c r="BW60" i="2"/>
  <c r="BV60" i="2"/>
  <c r="CA59" i="2"/>
  <c r="BY59" i="2"/>
  <c r="BX59" i="2"/>
  <c r="BW59" i="2"/>
  <c r="BV59" i="2"/>
  <c r="CA58" i="2"/>
  <c r="BY58" i="2"/>
  <c r="BX58" i="2"/>
  <c r="BW58" i="2"/>
  <c r="BV58" i="2"/>
  <c r="CA57" i="2"/>
  <c r="BY57" i="2"/>
  <c r="BX57" i="2"/>
  <c r="BW57" i="2"/>
  <c r="BV57" i="2"/>
  <c r="CA56" i="2"/>
  <c r="BY56" i="2"/>
  <c r="BX56" i="2"/>
  <c r="BW56" i="2"/>
  <c r="BV56" i="2"/>
  <c r="CA55" i="2"/>
  <c r="BY55" i="2"/>
  <c r="BX55" i="2"/>
  <c r="BW55" i="2"/>
  <c r="BV55" i="2"/>
  <c r="CA54" i="2"/>
  <c r="BY54" i="2"/>
  <c r="BX54" i="2"/>
  <c r="BW54" i="2"/>
  <c r="BV54" i="2"/>
  <c r="CA53" i="2"/>
  <c r="BY53" i="2"/>
  <c r="BX53" i="2"/>
  <c r="BW53" i="2"/>
  <c r="BV53" i="2"/>
  <c r="CA52" i="2"/>
  <c r="BY52" i="2"/>
  <c r="BX52" i="2"/>
  <c r="BW52" i="2"/>
  <c r="BV52" i="2"/>
  <c r="CA51" i="2"/>
  <c r="BY51" i="2"/>
  <c r="BX51" i="2"/>
  <c r="BW51" i="2"/>
  <c r="BV51" i="2"/>
  <c r="CA50" i="2"/>
  <c r="BY50" i="2"/>
  <c r="BX50" i="2"/>
  <c r="BW50" i="2"/>
  <c r="BV50" i="2"/>
  <c r="CA49" i="2"/>
  <c r="BY49" i="2"/>
  <c r="BX49" i="2"/>
  <c r="BW49" i="2"/>
  <c r="BV49" i="2"/>
  <c r="CA48" i="2"/>
  <c r="BY48" i="2"/>
  <c r="BX48" i="2"/>
  <c r="BW48" i="2"/>
  <c r="BV48" i="2"/>
  <c r="CA47" i="2"/>
  <c r="BY47" i="2"/>
  <c r="BX47" i="2"/>
  <c r="BW47" i="2"/>
  <c r="BV47" i="2"/>
  <c r="CA46" i="2"/>
  <c r="BY46" i="2"/>
  <c r="BX46" i="2"/>
  <c r="BW46" i="2"/>
  <c r="BV46" i="2"/>
  <c r="CA45" i="2"/>
  <c r="BY45" i="2"/>
  <c r="BX45" i="2"/>
  <c r="BW45" i="2"/>
  <c r="BV45" i="2"/>
  <c r="CA44" i="2"/>
  <c r="BY44" i="2"/>
  <c r="BX44" i="2"/>
  <c r="BW44" i="2"/>
  <c r="BV44" i="2"/>
  <c r="CA43" i="2"/>
  <c r="BY43" i="2"/>
  <c r="BX43" i="2"/>
  <c r="BW43" i="2"/>
  <c r="BV43" i="2"/>
  <c r="CA42" i="2"/>
  <c r="BY42" i="2"/>
  <c r="BX42" i="2"/>
  <c r="BW42" i="2"/>
  <c r="BV42" i="2"/>
  <c r="CA41" i="2"/>
  <c r="BY41" i="2"/>
  <c r="BX41" i="2"/>
  <c r="BW41" i="2"/>
  <c r="BV41" i="2"/>
  <c r="CA40" i="2"/>
  <c r="BY40" i="2"/>
  <c r="BX40" i="2"/>
  <c r="BW40" i="2"/>
  <c r="BV40" i="2"/>
  <c r="CA39" i="2"/>
  <c r="BY39" i="2"/>
  <c r="BX39" i="2"/>
  <c r="BW39" i="2"/>
  <c r="BV39" i="2"/>
  <c r="CA38" i="2"/>
  <c r="BY38" i="2"/>
  <c r="BX38" i="2"/>
  <c r="BW38" i="2"/>
  <c r="BV38" i="2"/>
  <c r="CA37" i="2"/>
  <c r="BY37" i="2"/>
  <c r="BX37" i="2"/>
  <c r="BW37" i="2"/>
  <c r="BV37" i="2"/>
  <c r="CA36" i="2"/>
  <c r="BY36" i="2"/>
  <c r="BX36" i="2"/>
  <c r="BW36" i="2"/>
  <c r="BV36" i="2"/>
  <c r="CA35" i="2"/>
  <c r="BY35" i="2"/>
  <c r="BX35" i="2"/>
  <c r="BW35" i="2"/>
  <c r="BV35" i="2"/>
  <c r="CA34" i="2"/>
  <c r="BY34" i="2"/>
  <c r="BX34" i="2"/>
  <c r="BW34" i="2"/>
  <c r="BV34" i="2"/>
  <c r="CA33" i="2"/>
  <c r="BY33" i="2"/>
  <c r="BX33" i="2"/>
  <c r="BW33" i="2"/>
  <c r="BV33" i="2"/>
  <c r="CA32" i="2"/>
  <c r="BY32" i="2"/>
  <c r="BX32" i="2"/>
  <c r="BW32" i="2"/>
  <c r="BV32" i="2"/>
  <c r="CA31" i="2"/>
  <c r="BY31" i="2"/>
  <c r="BX31" i="2"/>
  <c r="BW31" i="2"/>
  <c r="BV31" i="2"/>
  <c r="CA30" i="2"/>
  <c r="BY30" i="2"/>
  <c r="BX30" i="2"/>
  <c r="BW30" i="2"/>
  <c r="BV30" i="2"/>
  <c r="CA29" i="2"/>
  <c r="BY29" i="2"/>
  <c r="BX29" i="2"/>
  <c r="BW29" i="2"/>
  <c r="BV29" i="2"/>
  <c r="CA28" i="2"/>
  <c r="BY28" i="2"/>
  <c r="BX28" i="2"/>
  <c r="BW28" i="2"/>
  <c r="BV28" i="2"/>
  <c r="CA27" i="2"/>
  <c r="BY27" i="2"/>
  <c r="BX27" i="2"/>
  <c r="BW27" i="2"/>
  <c r="BV27" i="2"/>
  <c r="CA26" i="2"/>
  <c r="BY26" i="2"/>
  <c r="BX26" i="2"/>
  <c r="BW26" i="2"/>
  <c r="BV26" i="2"/>
  <c r="CA25" i="2"/>
  <c r="BY25" i="2"/>
  <c r="BX25" i="2"/>
  <c r="BW25" i="2"/>
  <c r="BV25" i="2"/>
  <c r="CA24" i="2"/>
  <c r="BY24" i="2"/>
  <c r="BX24" i="2"/>
  <c r="BW24" i="2"/>
  <c r="BV24" i="2"/>
  <c r="CA23" i="2"/>
  <c r="BY23" i="2"/>
  <c r="BX23" i="2"/>
  <c r="BW23" i="2"/>
  <c r="BV23" i="2"/>
  <c r="CA22" i="2"/>
  <c r="BY22" i="2"/>
  <c r="BX22" i="2"/>
  <c r="BW22" i="2"/>
  <c r="BV22" i="2"/>
  <c r="CA21" i="2"/>
  <c r="BY21" i="2"/>
  <c r="BX21" i="2"/>
  <c r="BW21" i="2"/>
  <c r="BV21" i="2"/>
  <c r="CA20" i="2"/>
  <c r="BY20" i="2"/>
  <c r="BX20" i="2"/>
  <c r="BW20" i="2"/>
  <c r="BV20" i="2"/>
  <c r="CA19" i="2"/>
  <c r="BY19" i="2"/>
  <c r="BX19" i="2"/>
  <c r="BW19" i="2"/>
  <c r="BV19" i="2"/>
  <c r="CA18" i="2"/>
  <c r="BY18" i="2"/>
  <c r="BX18" i="2"/>
  <c r="BW18" i="2"/>
  <c r="BV18" i="2"/>
  <c r="CA17" i="2"/>
  <c r="BY17" i="2"/>
  <c r="BX17" i="2"/>
  <c r="BW17" i="2"/>
  <c r="BV17" i="2"/>
  <c r="CA16" i="2"/>
  <c r="BY16" i="2"/>
  <c r="BX16" i="2"/>
  <c r="BW16" i="2"/>
  <c r="BV16" i="2"/>
  <c r="CA15" i="2"/>
  <c r="BY15" i="2"/>
  <c r="BX15" i="2"/>
  <c r="BW15" i="2"/>
  <c r="BV15" i="2"/>
  <c r="CA14" i="2"/>
  <c r="BY14" i="2"/>
  <c r="BX14" i="2"/>
  <c r="BW14" i="2"/>
  <c r="BV14" i="2"/>
  <c r="CA13" i="2"/>
  <c r="BY13" i="2"/>
  <c r="BX13" i="2"/>
  <c r="BW13" i="2"/>
  <c r="BV13" i="2"/>
  <c r="CA12" i="2"/>
  <c r="BY12" i="2"/>
  <c r="BX12" i="2"/>
  <c r="BW12" i="2"/>
  <c r="BV12" i="2"/>
  <c r="CA11" i="2"/>
  <c r="BY11" i="2"/>
  <c r="BX11" i="2"/>
  <c r="BW11" i="2"/>
  <c r="BV11" i="2"/>
  <c r="CA10" i="2"/>
  <c r="BY10" i="2"/>
  <c r="BX10" i="2"/>
  <c r="BW10" i="2"/>
  <c r="BV10" i="2"/>
  <c r="CA9" i="2"/>
  <c r="BY9" i="2"/>
  <c r="BX9" i="2"/>
  <c r="BW9" i="2"/>
  <c r="BV9" i="2"/>
  <c r="CA8" i="2"/>
  <c r="BY8" i="2"/>
  <c r="BX8" i="2"/>
  <c r="BW8" i="2"/>
  <c r="BV8" i="2"/>
  <c r="CA7" i="2"/>
  <c r="BY7" i="2"/>
  <c r="BX7" i="2"/>
  <c r="BW7" i="2"/>
  <c r="BV7" i="2"/>
  <c r="CA6" i="2"/>
  <c r="BY6" i="2"/>
  <c r="BX6" i="2"/>
  <c r="BW6" i="2"/>
  <c r="BV6" i="2"/>
  <c r="CA5" i="2"/>
  <c r="BY5" i="2"/>
  <c r="BX5" i="2"/>
  <c r="BW5" i="2"/>
  <c r="BV5" i="2"/>
  <c r="CA4" i="2"/>
  <c r="BY4" i="2"/>
  <c r="BX4" i="2"/>
  <c r="BW4" i="2"/>
  <c r="BV4" i="2"/>
  <c r="CA3" i="2"/>
  <c r="BY3" i="2"/>
  <c r="BX3" i="2"/>
  <c r="BW3" i="2"/>
  <c r="BV3" i="2"/>
  <c r="CA2" i="2"/>
  <c r="BY2" i="2"/>
  <c r="BX2" i="2"/>
  <c r="BW2" i="2"/>
  <c r="BV2" i="2"/>
  <c r="BK1128" i="1"/>
  <c r="BJ1128" i="1"/>
  <c r="BH1128" i="1"/>
  <c r="BG1128" i="1"/>
  <c r="BF1128" i="1"/>
  <c r="BE1128" i="1"/>
  <c r="BD1128" i="1"/>
  <c r="BC1128" i="1"/>
  <c r="BB1128" i="1"/>
  <c r="BA1128" i="1"/>
  <c r="AZ1128" i="1"/>
  <c r="BI1128" i="1" s="1"/>
  <c r="AY1128" i="1"/>
  <c r="BK1127" i="1"/>
  <c r="BJ1127" i="1"/>
  <c r="BH1127" i="1"/>
  <c r="BG1127" i="1"/>
  <c r="BF1127" i="1"/>
  <c r="BE1127" i="1"/>
  <c r="BD1127" i="1"/>
  <c r="BC1127" i="1"/>
  <c r="BB1127" i="1"/>
  <c r="BA1127" i="1"/>
  <c r="AZ1127" i="1"/>
  <c r="BI1127" i="1" s="1"/>
  <c r="AY1127" i="1"/>
  <c r="BK1126" i="1"/>
  <c r="BJ1126" i="1"/>
  <c r="BH1126" i="1"/>
  <c r="BG1126" i="1"/>
  <c r="BF1126" i="1"/>
  <c r="BE1126" i="1"/>
  <c r="BD1126" i="1"/>
  <c r="BC1126" i="1"/>
  <c r="BB1126" i="1"/>
  <c r="BA1126" i="1"/>
  <c r="AZ1126" i="1"/>
  <c r="BI1126" i="1" s="1"/>
  <c r="AY1126" i="1"/>
  <c r="BK1125" i="1"/>
  <c r="BJ1125" i="1"/>
  <c r="BH1125" i="1"/>
  <c r="BG1125" i="1"/>
  <c r="BF1125" i="1"/>
  <c r="BE1125" i="1"/>
  <c r="BD1125" i="1"/>
  <c r="BC1125" i="1"/>
  <c r="BB1125" i="1"/>
  <c r="BA1125" i="1"/>
  <c r="AZ1125" i="1"/>
  <c r="BI1125" i="1" s="1"/>
  <c r="AY1125" i="1"/>
  <c r="BK1124" i="1"/>
  <c r="BJ1124" i="1"/>
  <c r="BH1124" i="1"/>
  <c r="BG1124" i="1"/>
  <c r="BF1124" i="1"/>
  <c r="BE1124" i="1"/>
  <c r="BD1124" i="1"/>
  <c r="BC1124" i="1"/>
  <c r="BB1124" i="1"/>
  <c r="BA1124" i="1"/>
  <c r="AZ1124" i="1"/>
  <c r="BI1124" i="1" s="1"/>
  <c r="AY1124" i="1"/>
  <c r="BK1123" i="1"/>
  <c r="BJ1123" i="1"/>
  <c r="BH1123" i="1"/>
  <c r="BG1123" i="1"/>
  <c r="BF1123" i="1"/>
  <c r="BE1123" i="1"/>
  <c r="BD1123" i="1"/>
  <c r="BC1123" i="1"/>
  <c r="BB1123" i="1"/>
  <c r="BA1123" i="1"/>
  <c r="AZ1123" i="1"/>
  <c r="BI1123" i="1" s="1"/>
  <c r="AY1123" i="1"/>
  <c r="BK1122" i="1"/>
  <c r="BJ1122" i="1"/>
  <c r="BH1122" i="1"/>
  <c r="BG1122" i="1"/>
  <c r="BF1122" i="1"/>
  <c r="BE1122" i="1"/>
  <c r="BD1122" i="1"/>
  <c r="BC1122" i="1"/>
  <c r="BB1122" i="1"/>
  <c r="BA1122" i="1"/>
  <c r="AZ1122" i="1"/>
  <c r="BI1122" i="1" s="1"/>
  <c r="AY1122" i="1"/>
  <c r="BK1121" i="1"/>
  <c r="BJ1121" i="1"/>
  <c r="BH1121" i="1"/>
  <c r="BG1121" i="1"/>
  <c r="BF1121" i="1"/>
  <c r="BE1121" i="1"/>
  <c r="BD1121" i="1"/>
  <c r="BC1121" i="1"/>
  <c r="BB1121" i="1"/>
  <c r="BA1121" i="1"/>
  <c r="AZ1121" i="1"/>
  <c r="BI1121" i="1" s="1"/>
  <c r="AY1121" i="1"/>
  <c r="BK1120" i="1"/>
  <c r="BJ1120" i="1"/>
  <c r="BH1120" i="1"/>
  <c r="BG1120" i="1"/>
  <c r="BF1120" i="1"/>
  <c r="BE1120" i="1"/>
  <c r="BD1120" i="1"/>
  <c r="BC1120" i="1"/>
  <c r="BB1120" i="1"/>
  <c r="BA1120" i="1"/>
  <c r="AZ1120" i="1"/>
  <c r="BI1120" i="1" s="1"/>
  <c r="AY1120" i="1"/>
  <c r="BK1119" i="1"/>
  <c r="BJ1119" i="1"/>
  <c r="BH1119" i="1"/>
  <c r="BG1119" i="1"/>
  <c r="BF1119" i="1"/>
  <c r="BE1119" i="1"/>
  <c r="BD1119" i="1"/>
  <c r="BC1119" i="1"/>
  <c r="BB1119" i="1"/>
  <c r="BA1119" i="1"/>
  <c r="AZ1119" i="1"/>
  <c r="BI1119" i="1" s="1"/>
  <c r="AY1119" i="1"/>
  <c r="BK1118" i="1"/>
  <c r="BJ1118" i="1"/>
  <c r="BH1118" i="1"/>
  <c r="BG1118" i="1"/>
  <c r="BF1118" i="1"/>
  <c r="BE1118" i="1"/>
  <c r="BD1118" i="1"/>
  <c r="BC1118" i="1"/>
  <c r="BB1118" i="1"/>
  <c r="BA1118" i="1"/>
  <c r="AZ1118" i="1"/>
  <c r="BI1118" i="1" s="1"/>
  <c r="AY1118" i="1"/>
  <c r="BK1117" i="1"/>
  <c r="BJ1117" i="1"/>
  <c r="BH1117" i="1"/>
  <c r="BG1117" i="1"/>
  <c r="BF1117" i="1"/>
  <c r="BE1117" i="1"/>
  <c r="BD1117" i="1"/>
  <c r="BC1117" i="1"/>
  <c r="BB1117" i="1"/>
  <c r="BA1117" i="1"/>
  <c r="AZ1117" i="1"/>
  <c r="BI1117" i="1" s="1"/>
  <c r="AY1117" i="1"/>
  <c r="BK1116" i="1"/>
  <c r="BJ1116" i="1"/>
  <c r="BH1116" i="1"/>
  <c r="BG1116" i="1"/>
  <c r="BF1116" i="1"/>
  <c r="BE1116" i="1"/>
  <c r="BD1116" i="1"/>
  <c r="BC1116" i="1"/>
  <c r="BB1116" i="1"/>
  <c r="BA1116" i="1"/>
  <c r="AZ1116" i="1"/>
  <c r="BI1116" i="1" s="1"/>
  <c r="AY1116" i="1"/>
  <c r="BK1115" i="1"/>
  <c r="BJ1115" i="1"/>
  <c r="BH1115" i="1"/>
  <c r="BG1115" i="1"/>
  <c r="BF1115" i="1"/>
  <c r="BE1115" i="1"/>
  <c r="BD1115" i="1"/>
  <c r="BC1115" i="1"/>
  <c r="BB1115" i="1"/>
  <c r="BA1115" i="1"/>
  <c r="AZ1115" i="1"/>
  <c r="AY1115" i="1"/>
  <c r="BK1114" i="1"/>
  <c r="BJ1114" i="1"/>
  <c r="BH1114" i="1"/>
  <c r="BG1114" i="1"/>
  <c r="BF1114" i="1"/>
  <c r="BE1114" i="1"/>
  <c r="BD1114" i="1"/>
  <c r="BC1114" i="1"/>
  <c r="BB1114" i="1"/>
  <c r="BA1114" i="1"/>
  <c r="AZ1114" i="1"/>
  <c r="BI1114" i="1" s="1"/>
  <c r="AY1114" i="1"/>
  <c r="BK1113" i="1"/>
  <c r="BJ1113" i="1"/>
  <c r="BH1113" i="1"/>
  <c r="BG1113" i="1"/>
  <c r="BF1113" i="1"/>
  <c r="BE1113" i="1"/>
  <c r="BD1113" i="1"/>
  <c r="BC1113" i="1"/>
  <c r="BB1113" i="1"/>
  <c r="BA1113" i="1"/>
  <c r="AZ1113" i="1"/>
  <c r="BI1113" i="1" s="1"/>
  <c r="AY1113" i="1"/>
  <c r="BK1112" i="1"/>
  <c r="BJ1112" i="1"/>
  <c r="BH1112" i="1"/>
  <c r="BG1112" i="1"/>
  <c r="BF1112" i="1"/>
  <c r="BE1112" i="1"/>
  <c r="BD1112" i="1"/>
  <c r="BC1112" i="1"/>
  <c r="BB1112" i="1"/>
  <c r="BA1112" i="1"/>
  <c r="AZ1112" i="1"/>
  <c r="BI1112" i="1" s="1"/>
  <c r="AY1112" i="1"/>
  <c r="BK1111" i="1"/>
  <c r="BJ1111" i="1"/>
  <c r="BH1111" i="1"/>
  <c r="BG1111" i="1"/>
  <c r="BF1111" i="1"/>
  <c r="BE1111" i="1"/>
  <c r="BD1111" i="1"/>
  <c r="BC1111" i="1"/>
  <c r="BB1111" i="1"/>
  <c r="BI1111" i="1" s="1"/>
  <c r="BA1111" i="1"/>
  <c r="AZ1111" i="1"/>
  <c r="AY1111" i="1"/>
  <c r="BK1110" i="1"/>
  <c r="BJ1110" i="1"/>
  <c r="BH1110" i="1"/>
  <c r="BG1110" i="1"/>
  <c r="BF1110" i="1"/>
  <c r="BE1110" i="1"/>
  <c r="BD1110" i="1"/>
  <c r="BC1110" i="1"/>
  <c r="BB1110" i="1"/>
  <c r="BA1110" i="1"/>
  <c r="AZ1110" i="1"/>
  <c r="BI1110" i="1" s="1"/>
  <c r="AY1110" i="1"/>
  <c r="BK1109" i="1"/>
  <c r="BJ1109" i="1"/>
  <c r="BH1109" i="1"/>
  <c r="BG1109" i="1"/>
  <c r="BF1109" i="1"/>
  <c r="BE1109" i="1"/>
  <c r="BD1109" i="1"/>
  <c r="BC1109" i="1"/>
  <c r="BB1109" i="1"/>
  <c r="BA1109" i="1"/>
  <c r="AZ1109" i="1"/>
  <c r="BI1109" i="1" s="1"/>
  <c r="AY1109" i="1"/>
  <c r="BK1108" i="1"/>
  <c r="BJ1108" i="1"/>
  <c r="BH1108" i="1"/>
  <c r="BG1108" i="1"/>
  <c r="BF1108" i="1"/>
  <c r="BE1108" i="1"/>
  <c r="BD1108" i="1"/>
  <c r="BC1108" i="1"/>
  <c r="BB1108" i="1"/>
  <c r="BA1108" i="1"/>
  <c r="AZ1108" i="1"/>
  <c r="BI1108" i="1" s="1"/>
  <c r="AY1108" i="1"/>
  <c r="BK1107" i="1"/>
  <c r="BJ1107" i="1"/>
  <c r="BH1107" i="1"/>
  <c r="BG1107" i="1"/>
  <c r="BF1107" i="1"/>
  <c r="BE1107" i="1"/>
  <c r="BD1107" i="1"/>
  <c r="BC1107" i="1"/>
  <c r="BB1107" i="1"/>
  <c r="BA1107" i="1"/>
  <c r="AZ1107" i="1"/>
  <c r="BI1107" i="1" s="1"/>
  <c r="AY1107" i="1"/>
  <c r="BK1106" i="1"/>
  <c r="BJ1106" i="1"/>
  <c r="BH1106" i="1"/>
  <c r="BG1106" i="1"/>
  <c r="BF1106" i="1"/>
  <c r="BE1106" i="1"/>
  <c r="BD1106" i="1"/>
  <c r="BC1106" i="1"/>
  <c r="BB1106" i="1"/>
  <c r="BA1106" i="1"/>
  <c r="AZ1106" i="1"/>
  <c r="BI1106" i="1" s="1"/>
  <c r="AY1106" i="1"/>
  <c r="BK1105" i="1"/>
  <c r="BJ1105" i="1"/>
  <c r="BH1105" i="1"/>
  <c r="BG1105" i="1"/>
  <c r="BF1105" i="1"/>
  <c r="BE1105" i="1"/>
  <c r="BD1105" i="1"/>
  <c r="BC1105" i="1"/>
  <c r="BB1105" i="1"/>
  <c r="BI1105" i="1" s="1"/>
  <c r="BA1105" i="1"/>
  <c r="AZ1105" i="1"/>
  <c r="AY1105" i="1"/>
  <c r="BK1104" i="1"/>
  <c r="BJ1104" i="1"/>
  <c r="BH1104" i="1"/>
  <c r="BG1104" i="1"/>
  <c r="BF1104" i="1"/>
  <c r="BE1104" i="1"/>
  <c r="BD1104" i="1"/>
  <c r="BC1104" i="1"/>
  <c r="BB1104" i="1"/>
  <c r="BA1104" i="1"/>
  <c r="AZ1104" i="1"/>
  <c r="BI1104" i="1" s="1"/>
  <c r="AY1104" i="1"/>
  <c r="BK1103" i="1"/>
  <c r="BJ1103" i="1"/>
  <c r="BH1103" i="1"/>
  <c r="BG1103" i="1"/>
  <c r="BF1103" i="1"/>
  <c r="BE1103" i="1"/>
  <c r="BD1103" i="1"/>
  <c r="BC1103" i="1"/>
  <c r="BB1103" i="1"/>
  <c r="BA1103" i="1"/>
  <c r="AZ1103" i="1"/>
  <c r="AY1103" i="1"/>
  <c r="BK1102" i="1"/>
  <c r="BJ1102" i="1"/>
  <c r="BH1102" i="1"/>
  <c r="BG1102" i="1"/>
  <c r="BF1102" i="1"/>
  <c r="BE1102" i="1"/>
  <c r="BD1102" i="1"/>
  <c r="BC1102" i="1"/>
  <c r="BB1102" i="1"/>
  <c r="BA1102" i="1"/>
  <c r="AZ1102" i="1"/>
  <c r="AY1102" i="1"/>
  <c r="BK1101" i="1"/>
  <c r="BJ1101" i="1"/>
  <c r="BH1101" i="1"/>
  <c r="BG1101" i="1"/>
  <c r="BF1101" i="1"/>
  <c r="BE1101" i="1"/>
  <c r="BD1101" i="1"/>
  <c r="BC1101" i="1"/>
  <c r="BB1101" i="1"/>
  <c r="BA1101" i="1"/>
  <c r="AZ1101" i="1"/>
  <c r="BI1101" i="1" s="1"/>
  <c r="AY1101" i="1"/>
  <c r="BK1100" i="1"/>
  <c r="BJ1100" i="1"/>
  <c r="BH1100" i="1"/>
  <c r="BG1100" i="1"/>
  <c r="BF1100" i="1"/>
  <c r="BE1100" i="1"/>
  <c r="BD1100" i="1"/>
  <c r="BC1100" i="1"/>
  <c r="BB1100" i="1"/>
  <c r="BA1100" i="1"/>
  <c r="AZ1100" i="1"/>
  <c r="BI1100" i="1" s="1"/>
  <c r="AY1100" i="1"/>
  <c r="BK1099" i="1"/>
  <c r="BJ1099" i="1"/>
  <c r="BH1099" i="1"/>
  <c r="BG1099" i="1"/>
  <c r="BF1099" i="1"/>
  <c r="BE1099" i="1"/>
  <c r="BD1099" i="1"/>
  <c r="BC1099" i="1"/>
  <c r="BB1099" i="1"/>
  <c r="BA1099" i="1"/>
  <c r="AZ1099" i="1"/>
  <c r="BI1099" i="1" s="1"/>
  <c r="AY1099" i="1"/>
  <c r="BK1098" i="1"/>
  <c r="BJ1098" i="1"/>
  <c r="BH1098" i="1"/>
  <c r="BG1098" i="1"/>
  <c r="BF1098" i="1"/>
  <c r="BE1098" i="1"/>
  <c r="BD1098" i="1"/>
  <c r="BC1098" i="1"/>
  <c r="BB1098" i="1"/>
  <c r="BA1098" i="1"/>
  <c r="AZ1098" i="1"/>
  <c r="AY1098" i="1"/>
  <c r="BK1097" i="1"/>
  <c r="BJ1097" i="1"/>
  <c r="BH1097" i="1"/>
  <c r="BG1097" i="1"/>
  <c r="BF1097" i="1"/>
  <c r="BE1097" i="1"/>
  <c r="BD1097" i="1"/>
  <c r="BC1097" i="1"/>
  <c r="BB1097" i="1"/>
  <c r="BA1097" i="1"/>
  <c r="AZ1097" i="1"/>
  <c r="BI1097" i="1" s="1"/>
  <c r="AY1097" i="1"/>
  <c r="BK1096" i="1"/>
  <c r="BJ1096" i="1"/>
  <c r="BH1096" i="1"/>
  <c r="BG1096" i="1"/>
  <c r="BF1096" i="1"/>
  <c r="BE1096" i="1"/>
  <c r="BD1096" i="1"/>
  <c r="BC1096" i="1"/>
  <c r="BB1096" i="1"/>
  <c r="BA1096" i="1"/>
  <c r="AZ1096" i="1"/>
  <c r="BI1096" i="1" s="1"/>
  <c r="AY1096" i="1"/>
  <c r="BK1095" i="1"/>
  <c r="BJ1095" i="1"/>
  <c r="BH1095" i="1"/>
  <c r="BG1095" i="1"/>
  <c r="BF1095" i="1"/>
  <c r="BE1095" i="1"/>
  <c r="BD1095" i="1"/>
  <c r="BC1095" i="1"/>
  <c r="BB1095" i="1"/>
  <c r="BA1095" i="1"/>
  <c r="AZ1095" i="1"/>
  <c r="BI1095" i="1" s="1"/>
  <c r="AY1095" i="1"/>
  <c r="BK1094" i="1"/>
  <c r="BJ1094" i="1"/>
  <c r="BH1094" i="1"/>
  <c r="BG1094" i="1"/>
  <c r="BF1094" i="1"/>
  <c r="BE1094" i="1"/>
  <c r="BD1094" i="1"/>
  <c r="BC1094" i="1"/>
  <c r="BB1094" i="1"/>
  <c r="BA1094" i="1"/>
  <c r="AZ1094" i="1"/>
  <c r="BI1094" i="1" s="1"/>
  <c r="AY1094" i="1"/>
  <c r="BK1093" i="1"/>
  <c r="BJ1093" i="1"/>
  <c r="BH1093" i="1"/>
  <c r="BG1093" i="1"/>
  <c r="BF1093" i="1"/>
  <c r="BE1093" i="1"/>
  <c r="BD1093" i="1"/>
  <c r="BC1093" i="1"/>
  <c r="BB1093" i="1"/>
  <c r="BA1093" i="1"/>
  <c r="AZ1093" i="1"/>
  <c r="BI1093" i="1" s="1"/>
  <c r="AY1093" i="1"/>
  <c r="BK1092" i="1"/>
  <c r="BJ1092" i="1"/>
  <c r="BH1092" i="1"/>
  <c r="BG1092" i="1"/>
  <c r="BF1092" i="1"/>
  <c r="BE1092" i="1"/>
  <c r="BD1092" i="1"/>
  <c r="BC1092" i="1"/>
  <c r="BB1092" i="1"/>
  <c r="BA1092" i="1"/>
  <c r="AZ1092" i="1"/>
  <c r="BI1092" i="1" s="1"/>
  <c r="AY1092" i="1"/>
  <c r="BK1091" i="1"/>
  <c r="BJ1091" i="1"/>
  <c r="BH1091" i="1"/>
  <c r="BG1091" i="1"/>
  <c r="BF1091" i="1"/>
  <c r="BE1091" i="1"/>
  <c r="BD1091" i="1"/>
  <c r="BC1091" i="1"/>
  <c r="BB1091" i="1"/>
  <c r="BA1091" i="1"/>
  <c r="AZ1091" i="1"/>
  <c r="BI1091" i="1" s="1"/>
  <c r="AY1091" i="1"/>
  <c r="BK1090" i="1"/>
  <c r="BJ1090" i="1"/>
  <c r="BH1090" i="1"/>
  <c r="BG1090" i="1"/>
  <c r="BF1090" i="1"/>
  <c r="BE1090" i="1"/>
  <c r="BD1090" i="1"/>
  <c r="BC1090" i="1"/>
  <c r="BB1090" i="1"/>
  <c r="BA1090" i="1"/>
  <c r="AZ1090" i="1"/>
  <c r="AY1090" i="1"/>
  <c r="BK1089" i="1"/>
  <c r="BJ1089" i="1"/>
  <c r="BH1089" i="1"/>
  <c r="BG1089" i="1"/>
  <c r="BF1089" i="1"/>
  <c r="BE1089" i="1"/>
  <c r="BD1089" i="1"/>
  <c r="BC1089" i="1"/>
  <c r="BB1089" i="1"/>
  <c r="BA1089" i="1"/>
  <c r="AZ1089" i="1"/>
  <c r="BI1089" i="1" s="1"/>
  <c r="AY1089" i="1"/>
  <c r="BK1088" i="1"/>
  <c r="BJ1088" i="1"/>
  <c r="BH1088" i="1"/>
  <c r="BG1088" i="1"/>
  <c r="BF1088" i="1"/>
  <c r="BE1088" i="1"/>
  <c r="BD1088" i="1"/>
  <c r="BC1088" i="1"/>
  <c r="BB1088" i="1"/>
  <c r="BA1088" i="1"/>
  <c r="AZ1088" i="1"/>
  <c r="BI1088" i="1" s="1"/>
  <c r="AY1088" i="1"/>
  <c r="BK1087" i="1"/>
  <c r="BJ1087" i="1"/>
  <c r="BH1087" i="1"/>
  <c r="BG1087" i="1"/>
  <c r="BF1087" i="1"/>
  <c r="BE1087" i="1"/>
  <c r="BD1087" i="1"/>
  <c r="BC1087" i="1"/>
  <c r="BB1087" i="1"/>
  <c r="BA1087" i="1"/>
  <c r="AZ1087" i="1"/>
  <c r="BI1087" i="1" s="1"/>
  <c r="AY1087" i="1"/>
  <c r="BK1086" i="1"/>
  <c r="BJ1086" i="1"/>
  <c r="BH1086" i="1"/>
  <c r="BG1086" i="1"/>
  <c r="BF1086" i="1"/>
  <c r="BE1086" i="1"/>
  <c r="BD1086" i="1"/>
  <c r="BC1086" i="1"/>
  <c r="BB1086" i="1"/>
  <c r="BA1086" i="1"/>
  <c r="AZ1086" i="1"/>
  <c r="BI1086" i="1" s="1"/>
  <c r="AY1086" i="1"/>
  <c r="BK1085" i="1"/>
  <c r="BJ1085" i="1"/>
  <c r="BH1085" i="1"/>
  <c r="BG1085" i="1"/>
  <c r="BF1085" i="1"/>
  <c r="BE1085" i="1"/>
  <c r="BD1085" i="1"/>
  <c r="BC1085" i="1"/>
  <c r="BB1085" i="1"/>
  <c r="BA1085" i="1"/>
  <c r="AZ1085" i="1"/>
  <c r="BI1085" i="1" s="1"/>
  <c r="AY1085" i="1"/>
  <c r="BK1084" i="1"/>
  <c r="BJ1084" i="1"/>
  <c r="BH1084" i="1"/>
  <c r="BG1084" i="1"/>
  <c r="BF1084" i="1"/>
  <c r="BE1084" i="1"/>
  <c r="BD1084" i="1"/>
  <c r="BC1084" i="1"/>
  <c r="BB1084" i="1"/>
  <c r="BA1084" i="1"/>
  <c r="AZ1084" i="1"/>
  <c r="BI1084" i="1" s="1"/>
  <c r="AY1084" i="1"/>
  <c r="BK1083" i="1"/>
  <c r="BJ1083" i="1"/>
  <c r="BH1083" i="1"/>
  <c r="BG1083" i="1"/>
  <c r="BF1083" i="1"/>
  <c r="BE1083" i="1"/>
  <c r="BD1083" i="1"/>
  <c r="BC1083" i="1"/>
  <c r="BB1083" i="1"/>
  <c r="BA1083" i="1"/>
  <c r="AZ1083" i="1"/>
  <c r="AY1083" i="1"/>
  <c r="BK1082" i="1"/>
  <c r="BJ1082" i="1"/>
  <c r="BH1082" i="1"/>
  <c r="BG1082" i="1"/>
  <c r="BF1082" i="1"/>
  <c r="BE1082" i="1"/>
  <c r="BD1082" i="1"/>
  <c r="BC1082" i="1"/>
  <c r="BB1082" i="1"/>
  <c r="BA1082" i="1"/>
  <c r="AZ1082" i="1"/>
  <c r="BI1082" i="1" s="1"/>
  <c r="AY1082" i="1"/>
  <c r="BK1081" i="1"/>
  <c r="BJ1081" i="1"/>
  <c r="BH1081" i="1"/>
  <c r="BG1081" i="1"/>
  <c r="BF1081" i="1"/>
  <c r="BE1081" i="1"/>
  <c r="BD1081" i="1"/>
  <c r="BC1081" i="1"/>
  <c r="BB1081" i="1"/>
  <c r="BA1081" i="1"/>
  <c r="AZ1081" i="1"/>
  <c r="BI1081" i="1" s="1"/>
  <c r="AY1081" i="1"/>
  <c r="BK1080" i="1"/>
  <c r="BJ1080" i="1"/>
  <c r="BH1080" i="1"/>
  <c r="BG1080" i="1"/>
  <c r="BF1080" i="1"/>
  <c r="BE1080" i="1"/>
  <c r="BD1080" i="1"/>
  <c r="BC1080" i="1"/>
  <c r="BB1080" i="1"/>
  <c r="BA1080" i="1"/>
  <c r="AZ1080" i="1"/>
  <c r="BI1080" i="1" s="1"/>
  <c r="AY1080" i="1"/>
  <c r="BK1079" i="1"/>
  <c r="BJ1079" i="1"/>
  <c r="BH1079" i="1"/>
  <c r="BG1079" i="1"/>
  <c r="BF1079" i="1"/>
  <c r="BE1079" i="1"/>
  <c r="BD1079" i="1"/>
  <c r="BC1079" i="1"/>
  <c r="BB1079" i="1"/>
  <c r="BA1079" i="1"/>
  <c r="AZ1079" i="1"/>
  <c r="AY1079" i="1"/>
  <c r="BK1078" i="1"/>
  <c r="BJ1078" i="1"/>
  <c r="BH1078" i="1"/>
  <c r="BG1078" i="1"/>
  <c r="BF1078" i="1"/>
  <c r="BE1078" i="1"/>
  <c r="BD1078" i="1"/>
  <c r="BC1078" i="1"/>
  <c r="BB1078" i="1"/>
  <c r="BA1078" i="1"/>
  <c r="AZ1078" i="1"/>
  <c r="BI1078" i="1" s="1"/>
  <c r="AY1078" i="1"/>
  <c r="BK1077" i="1"/>
  <c r="BJ1077" i="1"/>
  <c r="BH1077" i="1"/>
  <c r="BG1077" i="1"/>
  <c r="BF1077" i="1"/>
  <c r="BE1077" i="1"/>
  <c r="BD1077" i="1"/>
  <c r="BC1077" i="1"/>
  <c r="BB1077" i="1"/>
  <c r="BA1077" i="1"/>
  <c r="AZ1077" i="1"/>
  <c r="BI1077" i="1" s="1"/>
  <c r="AY1077" i="1"/>
  <c r="BK1076" i="1"/>
  <c r="BJ1076" i="1"/>
  <c r="BH1076" i="1"/>
  <c r="BG1076" i="1"/>
  <c r="BF1076" i="1"/>
  <c r="BE1076" i="1"/>
  <c r="BD1076" i="1"/>
  <c r="BC1076" i="1"/>
  <c r="BB1076" i="1"/>
  <c r="BA1076" i="1"/>
  <c r="AZ1076" i="1"/>
  <c r="BI1076" i="1" s="1"/>
  <c r="AY1076" i="1"/>
  <c r="BK1075" i="1"/>
  <c r="BJ1075" i="1"/>
  <c r="BH1075" i="1"/>
  <c r="BG1075" i="1"/>
  <c r="BF1075" i="1"/>
  <c r="BE1075" i="1"/>
  <c r="BD1075" i="1"/>
  <c r="BC1075" i="1"/>
  <c r="BB1075" i="1"/>
  <c r="BA1075" i="1"/>
  <c r="AZ1075" i="1"/>
  <c r="BI1075" i="1" s="1"/>
  <c r="AY1075" i="1"/>
  <c r="BK1074" i="1"/>
  <c r="BJ1074" i="1"/>
  <c r="BH1074" i="1"/>
  <c r="BG1074" i="1"/>
  <c r="BF1074" i="1"/>
  <c r="BE1074" i="1"/>
  <c r="BD1074" i="1"/>
  <c r="BC1074" i="1"/>
  <c r="BB1074" i="1"/>
  <c r="BA1074" i="1"/>
  <c r="AZ1074" i="1"/>
  <c r="BI1074" i="1" s="1"/>
  <c r="AY1074" i="1"/>
  <c r="BK1073" i="1"/>
  <c r="BJ1073" i="1"/>
  <c r="BI1073" i="1"/>
  <c r="BH1073" i="1"/>
  <c r="BG1073" i="1"/>
  <c r="BF1073" i="1"/>
  <c r="BE1073" i="1"/>
  <c r="BD1073" i="1"/>
  <c r="BC1073" i="1"/>
  <c r="BB1073" i="1"/>
  <c r="BA1073" i="1"/>
  <c r="AZ1073" i="1"/>
  <c r="AY1073" i="1"/>
  <c r="BK1072" i="1"/>
  <c r="BJ1072" i="1"/>
  <c r="BH1072" i="1"/>
  <c r="BG1072" i="1"/>
  <c r="BF1072" i="1"/>
  <c r="BE1072" i="1"/>
  <c r="BD1072" i="1"/>
  <c r="BC1072" i="1"/>
  <c r="BB1072" i="1"/>
  <c r="BA1072" i="1"/>
  <c r="AZ1072" i="1"/>
  <c r="BI1072" i="1" s="1"/>
  <c r="AY1072" i="1"/>
  <c r="BK1071" i="1"/>
  <c r="BJ1071" i="1"/>
  <c r="BH1071" i="1"/>
  <c r="BG1071" i="1"/>
  <c r="BF1071" i="1"/>
  <c r="BE1071" i="1"/>
  <c r="BD1071" i="1"/>
  <c r="BC1071" i="1"/>
  <c r="BB1071" i="1"/>
  <c r="BI1071" i="1" s="1"/>
  <c r="BA1071" i="1"/>
  <c r="AZ1071" i="1"/>
  <c r="AY1071" i="1"/>
  <c r="BK1070" i="1"/>
  <c r="BJ1070" i="1"/>
  <c r="BH1070" i="1"/>
  <c r="BG1070" i="1"/>
  <c r="BF1070" i="1"/>
  <c r="BE1070" i="1"/>
  <c r="BD1070" i="1"/>
  <c r="BC1070" i="1"/>
  <c r="BB1070" i="1"/>
  <c r="BA1070" i="1"/>
  <c r="AZ1070" i="1"/>
  <c r="BI1070" i="1" s="1"/>
  <c r="AY1070" i="1"/>
  <c r="BK1069" i="1"/>
  <c r="BJ1069" i="1"/>
  <c r="BH1069" i="1"/>
  <c r="BG1069" i="1"/>
  <c r="BF1069" i="1"/>
  <c r="BE1069" i="1"/>
  <c r="BD1069" i="1"/>
  <c r="BC1069" i="1"/>
  <c r="BB1069" i="1"/>
  <c r="BA1069" i="1"/>
  <c r="AZ1069" i="1"/>
  <c r="BI1069" i="1" s="1"/>
  <c r="AY1069" i="1"/>
  <c r="BK1068" i="1"/>
  <c r="BJ1068" i="1"/>
  <c r="BH1068" i="1"/>
  <c r="BG1068" i="1"/>
  <c r="BF1068" i="1"/>
  <c r="BE1068" i="1"/>
  <c r="BD1068" i="1"/>
  <c r="BC1068" i="1"/>
  <c r="BB1068" i="1"/>
  <c r="BA1068" i="1"/>
  <c r="AZ1068" i="1"/>
  <c r="BI1068" i="1" s="1"/>
  <c r="AY1068" i="1"/>
  <c r="BK1067" i="1"/>
  <c r="BJ1067" i="1"/>
  <c r="BH1067" i="1"/>
  <c r="BG1067" i="1"/>
  <c r="BF1067" i="1"/>
  <c r="BE1067" i="1"/>
  <c r="BD1067" i="1"/>
  <c r="BC1067" i="1"/>
  <c r="BB1067" i="1"/>
  <c r="BA1067" i="1"/>
  <c r="AZ1067" i="1"/>
  <c r="BI1067" i="1" s="1"/>
  <c r="AY1067" i="1"/>
  <c r="BK1066" i="1"/>
  <c r="BJ1066" i="1"/>
  <c r="BH1066" i="1"/>
  <c r="BG1066" i="1"/>
  <c r="BF1066" i="1"/>
  <c r="BE1066" i="1"/>
  <c r="BD1066" i="1"/>
  <c r="BC1066" i="1"/>
  <c r="BB1066" i="1"/>
  <c r="BA1066" i="1"/>
  <c r="AZ1066" i="1"/>
  <c r="AY1066" i="1"/>
  <c r="BK1065" i="1"/>
  <c r="BJ1065" i="1"/>
  <c r="BH1065" i="1"/>
  <c r="BG1065" i="1"/>
  <c r="BF1065" i="1"/>
  <c r="BE1065" i="1"/>
  <c r="BD1065" i="1"/>
  <c r="BC1065" i="1"/>
  <c r="BB1065" i="1"/>
  <c r="BA1065" i="1"/>
  <c r="AZ1065" i="1"/>
  <c r="BI1065" i="1" s="1"/>
  <c r="AY1065" i="1"/>
  <c r="BK1064" i="1"/>
  <c r="BJ1064" i="1"/>
  <c r="BI1064" i="1"/>
  <c r="BH1064" i="1"/>
  <c r="BG1064" i="1"/>
  <c r="BF1064" i="1"/>
  <c r="BE1064" i="1"/>
  <c r="BD1064" i="1"/>
  <c r="BC1064" i="1"/>
  <c r="BB1064" i="1"/>
  <c r="BA1064" i="1"/>
  <c r="AZ1064" i="1"/>
  <c r="AY1064" i="1"/>
  <c r="BK1063" i="1"/>
  <c r="BJ1063" i="1"/>
  <c r="BH1063" i="1"/>
  <c r="BG1063" i="1"/>
  <c r="BF1063" i="1"/>
  <c r="BE1063" i="1"/>
  <c r="BD1063" i="1"/>
  <c r="BC1063" i="1"/>
  <c r="BB1063" i="1"/>
  <c r="BA1063" i="1"/>
  <c r="AZ1063" i="1"/>
  <c r="BI1063" i="1" s="1"/>
  <c r="AY1063" i="1"/>
  <c r="BK1062" i="1"/>
  <c r="BJ1062" i="1"/>
  <c r="BH1062" i="1"/>
  <c r="BG1062" i="1"/>
  <c r="BF1062" i="1"/>
  <c r="BE1062" i="1"/>
  <c r="BD1062" i="1"/>
  <c r="BC1062" i="1"/>
  <c r="BB1062" i="1"/>
  <c r="BA1062" i="1"/>
  <c r="AZ1062" i="1"/>
  <c r="AY1062" i="1"/>
  <c r="BK1061" i="1"/>
  <c r="BJ1061" i="1"/>
  <c r="BH1061" i="1"/>
  <c r="BG1061" i="1"/>
  <c r="BF1061" i="1"/>
  <c r="BE1061" i="1"/>
  <c r="BD1061" i="1"/>
  <c r="BC1061" i="1"/>
  <c r="BB1061" i="1"/>
  <c r="BA1061" i="1"/>
  <c r="AZ1061" i="1"/>
  <c r="BI1061" i="1" s="1"/>
  <c r="AY1061" i="1"/>
  <c r="BK1060" i="1"/>
  <c r="BJ1060" i="1"/>
  <c r="BH1060" i="1"/>
  <c r="BG1060" i="1"/>
  <c r="BF1060" i="1"/>
  <c r="BE1060" i="1"/>
  <c r="BD1060" i="1"/>
  <c r="BC1060" i="1"/>
  <c r="BB1060" i="1"/>
  <c r="BA1060" i="1"/>
  <c r="AZ1060" i="1"/>
  <c r="BI1060" i="1" s="1"/>
  <c r="AY1060" i="1"/>
  <c r="BK1059" i="1"/>
  <c r="BJ1059" i="1"/>
  <c r="BH1059" i="1"/>
  <c r="BG1059" i="1"/>
  <c r="BF1059" i="1"/>
  <c r="BE1059" i="1"/>
  <c r="BD1059" i="1"/>
  <c r="BC1059" i="1"/>
  <c r="BB1059" i="1"/>
  <c r="BA1059" i="1"/>
  <c r="AZ1059" i="1"/>
  <c r="BI1059" i="1" s="1"/>
  <c r="AY1059" i="1"/>
  <c r="BK1058" i="1"/>
  <c r="BJ1058" i="1"/>
  <c r="BH1058" i="1"/>
  <c r="BG1058" i="1"/>
  <c r="BF1058" i="1"/>
  <c r="BE1058" i="1"/>
  <c r="BD1058" i="1"/>
  <c r="BC1058" i="1"/>
  <c r="BB1058" i="1"/>
  <c r="BA1058" i="1"/>
  <c r="AZ1058" i="1"/>
  <c r="AY1058" i="1"/>
  <c r="BK1057" i="1"/>
  <c r="BJ1057" i="1"/>
  <c r="BI1057" i="1"/>
  <c r="BH1057" i="1"/>
  <c r="BG1057" i="1"/>
  <c r="BF1057" i="1"/>
  <c r="BE1057" i="1"/>
  <c r="BD1057" i="1"/>
  <c r="BC1057" i="1"/>
  <c r="BB1057" i="1"/>
  <c r="BA1057" i="1"/>
  <c r="AZ1057" i="1"/>
  <c r="AY1057" i="1"/>
  <c r="BK1056" i="1"/>
  <c r="BJ1056" i="1"/>
  <c r="BH1056" i="1"/>
  <c r="BG1056" i="1"/>
  <c r="BF1056" i="1"/>
  <c r="BE1056" i="1"/>
  <c r="BD1056" i="1"/>
  <c r="BC1056" i="1"/>
  <c r="BB1056" i="1"/>
  <c r="BA1056" i="1"/>
  <c r="AZ1056" i="1"/>
  <c r="BI1056" i="1" s="1"/>
  <c r="AY1056" i="1"/>
  <c r="BK1055" i="1"/>
  <c r="BJ1055" i="1"/>
  <c r="BH1055" i="1"/>
  <c r="BG1055" i="1"/>
  <c r="BF1055" i="1"/>
  <c r="BE1055" i="1"/>
  <c r="BD1055" i="1"/>
  <c r="BC1055" i="1"/>
  <c r="BB1055" i="1"/>
  <c r="BA1055" i="1"/>
  <c r="AZ1055" i="1"/>
  <c r="AY1055" i="1"/>
  <c r="BK1054" i="1"/>
  <c r="BJ1054" i="1"/>
  <c r="BH1054" i="1"/>
  <c r="BG1054" i="1"/>
  <c r="BF1054" i="1"/>
  <c r="BE1054" i="1"/>
  <c r="BD1054" i="1"/>
  <c r="BC1054" i="1"/>
  <c r="BB1054" i="1"/>
  <c r="BA1054" i="1"/>
  <c r="AZ1054" i="1"/>
  <c r="BI1054" i="1" s="1"/>
  <c r="AY1054" i="1"/>
  <c r="BK1053" i="1"/>
  <c r="BJ1053" i="1"/>
  <c r="BH1053" i="1"/>
  <c r="BG1053" i="1"/>
  <c r="BF1053" i="1"/>
  <c r="BE1053" i="1"/>
  <c r="BD1053" i="1"/>
  <c r="BC1053" i="1"/>
  <c r="BB1053" i="1"/>
  <c r="BA1053" i="1"/>
  <c r="AZ1053" i="1"/>
  <c r="BI1053" i="1" s="1"/>
  <c r="AY1053" i="1"/>
  <c r="BK1052" i="1"/>
  <c r="BJ1052" i="1"/>
  <c r="BI1052" i="1"/>
  <c r="BH1052" i="1"/>
  <c r="BG1052" i="1"/>
  <c r="BF1052" i="1"/>
  <c r="BE1052" i="1"/>
  <c r="BD1052" i="1"/>
  <c r="BC1052" i="1"/>
  <c r="BB1052" i="1"/>
  <c r="BA1052" i="1"/>
  <c r="AZ1052" i="1"/>
  <c r="AY1052" i="1"/>
  <c r="BK1051" i="1"/>
  <c r="BJ1051" i="1"/>
  <c r="BH1051" i="1"/>
  <c r="BG1051" i="1"/>
  <c r="BF1051" i="1"/>
  <c r="BE1051" i="1"/>
  <c r="BD1051" i="1"/>
  <c r="BC1051" i="1"/>
  <c r="BB1051" i="1"/>
  <c r="BA1051" i="1"/>
  <c r="AZ1051" i="1"/>
  <c r="AY1051" i="1"/>
  <c r="BK1050" i="1"/>
  <c r="BJ1050" i="1"/>
  <c r="BH1050" i="1"/>
  <c r="BG1050" i="1"/>
  <c r="BF1050" i="1"/>
  <c r="BE1050" i="1"/>
  <c r="BD1050" i="1"/>
  <c r="BC1050" i="1"/>
  <c r="BB1050" i="1"/>
  <c r="BA1050" i="1"/>
  <c r="AZ1050" i="1"/>
  <c r="AY1050" i="1"/>
  <c r="BK1049" i="1"/>
  <c r="BJ1049" i="1"/>
  <c r="BH1049" i="1"/>
  <c r="BG1049" i="1"/>
  <c r="BF1049" i="1"/>
  <c r="BE1049" i="1"/>
  <c r="BD1049" i="1"/>
  <c r="BC1049" i="1"/>
  <c r="BB1049" i="1"/>
  <c r="BA1049" i="1"/>
  <c r="AZ1049" i="1"/>
  <c r="BI1049" i="1" s="1"/>
  <c r="AY1049" i="1"/>
  <c r="BK1048" i="1"/>
  <c r="BJ1048" i="1"/>
  <c r="BH1048" i="1"/>
  <c r="BG1048" i="1"/>
  <c r="BF1048" i="1"/>
  <c r="BE1048" i="1"/>
  <c r="BD1048" i="1"/>
  <c r="BC1048" i="1"/>
  <c r="BB1048" i="1"/>
  <c r="BA1048" i="1"/>
  <c r="AZ1048" i="1"/>
  <c r="BI1048" i="1" s="1"/>
  <c r="AY1048" i="1"/>
  <c r="BK1047" i="1"/>
  <c r="BJ1047" i="1"/>
  <c r="BH1047" i="1"/>
  <c r="BG1047" i="1"/>
  <c r="BF1047" i="1"/>
  <c r="BE1047" i="1"/>
  <c r="BD1047" i="1"/>
  <c r="BC1047" i="1"/>
  <c r="BB1047" i="1"/>
  <c r="BA1047" i="1"/>
  <c r="AZ1047" i="1"/>
  <c r="BI1047" i="1" s="1"/>
  <c r="AY1047" i="1"/>
  <c r="BK1046" i="1"/>
  <c r="BJ1046" i="1"/>
  <c r="BH1046" i="1"/>
  <c r="BG1046" i="1"/>
  <c r="BF1046" i="1"/>
  <c r="BE1046" i="1"/>
  <c r="BD1046" i="1"/>
  <c r="BC1046" i="1"/>
  <c r="BB1046" i="1"/>
  <c r="BA1046" i="1"/>
  <c r="AZ1046" i="1"/>
  <c r="AY1046" i="1"/>
  <c r="BK1045" i="1"/>
  <c r="BJ1045" i="1"/>
  <c r="BH1045" i="1"/>
  <c r="BG1045" i="1"/>
  <c r="BF1045" i="1"/>
  <c r="BE1045" i="1"/>
  <c r="BD1045" i="1"/>
  <c r="BC1045" i="1"/>
  <c r="BB1045" i="1"/>
  <c r="BA1045" i="1"/>
  <c r="AZ1045" i="1"/>
  <c r="BI1045" i="1" s="1"/>
  <c r="AY1045" i="1"/>
  <c r="BK1044" i="1"/>
  <c r="BJ1044" i="1"/>
  <c r="BH1044" i="1"/>
  <c r="BG1044" i="1"/>
  <c r="BF1044" i="1"/>
  <c r="BE1044" i="1"/>
  <c r="BD1044" i="1"/>
  <c r="BC1044" i="1"/>
  <c r="BB1044" i="1"/>
  <c r="BA1044" i="1"/>
  <c r="AZ1044" i="1"/>
  <c r="BI1044" i="1" s="1"/>
  <c r="AY1044" i="1"/>
  <c r="BK1043" i="1"/>
  <c r="BJ1043" i="1"/>
  <c r="BH1043" i="1"/>
  <c r="BG1043" i="1"/>
  <c r="BF1043" i="1"/>
  <c r="BE1043" i="1"/>
  <c r="BD1043" i="1"/>
  <c r="BC1043" i="1"/>
  <c r="BB1043" i="1"/>
  <c r="BA1043" i="1"/>
  <c r="AZ1043" i="1"/>
  <c r="BI1043" i="1" s="1"/>
  <c r="AY1043" i="1"/>
  <c r="BK1042" i="1"/>
  <c r="BJ1042" i="1"/>
  <c r="BH1042" i="1"/>
  <c r="BG1042" i="1"/>
  <c r="BF1042" i="1"/>
  <c r="BE1042" i="1"/>
  <c r="BD1042" i="1"/>
  <c r="BC1042" i="1"/>
  <c r="BB1042" i="1"/>
  <c r="BA1042" i="1"/>
  <c r="AZ1042" i="1"/>
  <c r="BI1042" i="1" s="1"/>
  <c r="AY1042" i="1"/>
  <c r="BK1041" i="1"/>
  <c r="BJ1041" i="1"/>
  <c r="BH1041" i="1"/>
  <c r="BG1041" i="1"/>
  <c r="BF1041" i="1"/>
  <c r="BE1041" i="1"/>
  <c r="BD1041" i="1"/>
  <c r="BC1041" i="1"/>
  <c r="BB1041" i="1"/>
  <c r="BA1041" i="1"/>
  <c r="AZ1041" i="1"/>
  <c r="BI1041" i="1" s="1"/>
  <c r="AY1041" i="1"/>
  <c r="BK1040" i="1"/>
  <c r="BJ1040" i="1"/>
  <c r="BH1040" i="1"/>
  <c r="BG1040" i="1"/>
  <c r="BF1040" i="1"/>
  <c r="BE1040" i="1"/>
  <c r="BD1040" i="1"/>
  <c r="BC1040" i="1"/>
  <c r="BB1040" i="1"/>
  <c r="BA1040" i="1"/>
  <c r="AZ1040" i="1"/>
  <c r="BI1040" i="1" s="1"/>
  <c r="AY1040" i="1"/>
  <c r="BK1039" i="1"/>
  <c r="BJ1039" i="1"/>
  <c r="BH1039" i="1"/>
  <c r="BG1039" i="1"/>
  <c r="BF1039" i="1"/>
  <c r="BE1039" i="1"/>
  <c r="BD1039" i="1"/>
  <c r="BC1039" i="1"/>
  <c r="BB1039" i="1"/>
  <c r="BA1039" i="1"/>
  <c r="AZ1039" i="1"/>
  <c r="AY1039" i="1"/>
  <c r="BK1038" i="1"/>
  <c r="BJ1038" i="1"/>
  <c r="BH1038" i="1"/>
  <c r="BG1038" i="1"/>
  <c r="BF1038" i="1"/>
  <c r="BE1038" i="1"/>
  <c r="BD1038" i="1"/>
  <c r="BC1038" i="1"/>
  <c r="BB1038" i="1"/>
  <c r="BA1038" i="1"/>
  <c r="AZ1038" i="1"/>
  <c r="BI1038" i="1" s="1"/>
  <c r="AY1038" i="1"/>
  <c r="BK1037" i="1"/>
  <c r="BJ1037" i="1"/>
  <c r="BH1037" i="1"/>
  <c r="BG1037" i="1"/>
  <c r="BF1037" i="1"/>
  <c r="BE1037" i="1"/>
  <c r="BD1037" i="1"/>
  <c r="BC1037" i="1"/>
  <c r="BB1037" i="1"/>
  <c r="BA1037" i="1"/>
  <c r="AZ1037" i="1"/>
  <c r="BI1037" i="1" s="1"/>
  <c r="AY1037" i="1"/>
  <c r="BK1036" i="1"/>
  <c r="BJ1036" i="1"/>
  <c r="BI1036" i="1"/>
  <c r="BH1036" i="1"/>
  <c r="BG1036" i="1"/>
  <c r="BF1036" i="1"/>
  <c r="BE1036" i="1"/>
  <c r="BD1036" i="1"/>
  <c r="BC1036" i="1"/>
  <c r="BB1036" i="1"/>
  <c r="BA1036" i="1"/>
  <c r="AZ1036" i="1"/>
  <c r="AY1036" i="1"/>
  <c r="BK1035" i="1"/>
  <c r="BJ1035" i="1"/>
  <c r="BH1035" i="1"/>
  <c r="BG1035" i="1"/>
  <c r="BF1035" i="1"/>
  <c r="BE1035" i="1"/>
  <c r="BD1035" i="1"/>
  <c r="BC1035" i="1"/>
  <c r="BB1035" i="1"/>
  <c r="BA1035" i="1"/>
  <c r="AZ1035" i="1"/>
  <c r="BI1035" i="1" s="1"/>
  <c r="AY1035" i="1"/>
  <c r="BK1034" i="1"/>
  <c r="BJ1034" i="1"/>
  <c r="BH1034" i="1"/>
  <c r="BG1034" i="1"/>
  <c r="BF1034" i="1"/>
  <c r="BE1034" i="1"/>
  <c r="BD1034" i="1"/>
  <c r="BC1034" i="1"/>
  <c r="BB1034" i="1"/>
  <c r="BA1034" i="1"/>
  <c r="AZ1034" i="1"/>
  <c r="AY1034" i="1"/>
  <c r="BK1033" i="1"/>
  <c r="BJ1033" i="1"/>
  <c r="BH1033" i="1"/>
  <c r="BG1033" i="1"/>
  <c r="BF1033" i="1"/>
  <c r="BE1033" i="1"/>
  <c r="BD1033" i="1"/>
  <c r="BC1033" i="1"/>
  <c r="BB1033" i="1"/>
  <c r="BA1033" i="1"/>
  <c r="AZ1033" i="1"/>
  <c r="BI1033" i="1" s="1"/>
  <c r="AY1033" i="1"/>
  <c r="BK1032" i="1"/>
  <c r="BJ1032" i="1"/>
  <c r="BH1032" i="1"/>
  <c r="BG1032" i="1"/>
  <c r="BF1032" i="1"/>
  <c r="BE1032" i="1"/>
  <c r="BD1032" i="1"/>
  <c r="BC1032" i="1"/>
  <c r="BB1032" i="1"/>
  <c r="BA1032" i="1"/>
  <c r="AZ1032" i="1"/>
  <c r="BI1032" i="1" s="1"/>
  <c r="AY1032" i="1"/>
  <c r="BK1031" i="1"/>
  <c r="BJ1031" i="1"/>
  <c r="BH1031" i="1"/>
  <c r="BG1031" i="1"/>
  <c r="BF1031" i="1"/>
  <c r="BE1031" i="1"/>
  <c r="BD1031" i="1"/>
  <c r="BC1031" i="1"/>
  <c r="BB1031" i="1"/>
  <c r="BI1031" i="1" s="1"/>
  <c r="BA1031" i="1"/>
  <c r="AZ1031" i="1"/>
  <c r="AY1031" i="1"/>
  <c r="BK1030" i="1"/>
  <c r="BJ1030" i="1"/>
  <c r="BH1030" i="1"/>
  <c r="BG1030" i="1"/>
  <c r="BF1030" i="1"/>
  <c r="BE1030" i="1"/>
  <c r="BD1030" i="1"/>
  <c r="BC1030" i="1"/>
  <c r="BB1030" i="1"/>
  <c r="BA1030" i="1"/>
  <c r="AZ1030" i="1"/>
  <c r="BI1030" i="1" s="1"/>
  <c r="AY1030" i="1"/>
  <c r="BK1029" i="1"/>
  <c r="BJ1029" i="1"/>
  <c r="BH1029" i="1"/>
  <c r="BG1029" i="1"/>
  <c r="BF1029" i="1"/>
  <c r="BE1029" i="1"/>
  <c r="BD1029" i="1"/>
  <c r="BC1029" i="1"/>
  <c r="BB1029" i="1"/>
  <c r="BA1029" i="1"/>
  <c r="AZ1029" i="1"/>
  <c r="BI1029" i="1" s="1"/>
  <c r="AY1029" i="1"/>
  <c r="BK1028" i="1"/>
  <c r="BJ1028" i="1"/>
  <c r="BH1028" i="1"/>
  <c r="BG1028" i="1"/>
  <c r="BF1028" i="1"/>
  <c r="BE1028" i="1"/>
  <c r="BD1028" i="1"/>
  <c r="BC1028" i="1"/>
  <c r="BB1028" i="1"/>
  <c r="BA1028" i="1"/>
  <c r="AZ1028" i="1"/>
  <c r="BI1028" i="1" s="1"/>
  <c r="AY1028" i="1"/>
  <c r="BK1027" i="1"/>
  <c r="BJ1027" i="1"/>
  <c r="BH1027" i="1"/>
  <c r="BG1027" i="1"/>
  <c r="BF1027" i="1"/>
  <c r="BE1027" i="1"/>
  <c r="BD1027" i="1"/>
  <c r="BC1027" i="1"/>
  <c r="BB1027" i="1"/>
  <c r="BA1027" i="1"/>
  <c r="AZ1027" i="1"/>
  <c r="BI1027" i="1" s="1"/>
  <c r="AY1027" i="1"/>
  <c r="BK1026" i="1"/>
  <c r="BJ1026" i="1"/>
  <c r="BH1026" i="1"/>
  <c r="BG1026" i="1"/>
  <c r="BF1026" i="1"/>
  <c r="BE1026" i="1"/>
  <c r="BD1026" i="1"/>
  <c r="BC1026" i="1"/>
  <c r="BB1026" i="1"/>
  <c r="BA1026" i="1"/>
  <c r="AZ1026" i="1"/>
  <c r="BI1026" i="1" s="1"/>
  <c r="AY1026" i="1"/>
  <c r="BK1025" i="1"/>
  <c r="BJ1025" i="1"/>
  <c r="BH1025" i="1"/>
  <c r="BG1025" i="1"/>
  <c r="BF1025" i="1"/>
  <c r="BE1025" i="1"/>
  <c r="BD1025" i="1"/>
  <c r="BC1025" i="1"/>
  <c r="BB1025" i="1"/>
  <c r="BA1025" i="1"/>
  <c r="AZ1025" i="1"/>
  <c r="BI1025" i="1" s="1"/>
  <c r="AY1025" i="1"/>
  <c r="BK1024" i="1"/>
  <c r="BJ1024" i="1"/>
  <c r="BH1024" i="1"/>
  <c r="BG1024" i="1"/>
  <c r="BF1024" i="1"/>
  <c r="BE1024" i="1"/>
  <c r="BD1024" i="1"/>
  <c r="BC1024" i="1"/>
  <c r="BB1024" i="1"/>
  <c r="BA1024" i="1"/>
  <c r="AZ1024" i="1"/>
  <c r="BI1024" i="1" s="1"/>
  <c r="AY1024" i="1"/>
  <c r="BK1023" i="1"/>
  <c r="BJ1023" i="1"/>
  <c r="BH1023" i="1"/>
  <c r="BG1023" i="1"/>
  <c r="BF1023" i="1"/>
  <c r="BE1023" i="1"/>
  <c r="BD1023" i="1"/>
  <c r="BC1023" i="1"/>
  <c r="BB1023" i="1"/>
  <c r="BI1023" i="1" s="1"/>
  <c r="BA1023" i="1"/>
  <c r="AZ1023" i="1"/>
  <c r="AY1023" i="1"/>
  <c r="BK1022" i="1"/>
  <c r="BJ1022" i="1"/>
  <c r="BH1022" i="1"/>
  <c r="BG1022" i="1"/>
  <c r="BF1022" i="1"/>
  <c r="BE1022" i="1"/>
  <c r="BD1022" i="1"/>
  <c r="BC1022" i="1"/>
  <c r="BB1022" i="1"/>
  <c r="BA1022" i="1"/>
  <c r="AZ1022" i="1"/>
  <c r="BI1022" i="1" s="1"/>
  <c r="AY1022" i="1"/>
  <c r="BK1021" i="1"/>
  <c r="BJ1021" i="1"/>
  <c r="BH1021" i="1"/>
  <c r="BG1021" i="1"/>
  <c r="BF1021" i="1"/>
  <c r="BE1021" i="1"/>
  <c r="BD1021" i="1"/>
  <c r="BC1021" i="1"/>
  <c r="BB1021" i="1"/>
  <c r="BA1021" i="1"/>
  <c r="AZ1021" i="1"/>
  <c r="BI1021" i="1" s="1"/>
  <c r="AY1021" i="1"/>
  <c r="BK1020" i="1"/>
  <c r="BJ1020" i="1"/>
  <c r="BH1020" i="1"/>
  <c r="BG1020" i="1"/>
  <c r="BF1020" i="1"/>
  <c r="BE1020" i="1"/>
  <c r="BD1020" i="1"/>
  <c r="BC1020" i="1"/>
  <c r="BB1020" i="1"/>
  <c r="BA1020" i="1"/>
  <c r="AZ1020" i="1"/>
  <c r="AY1020" i="1"/>
  <c r="BK1019" i="1"/>
  <c r="BJ1019" i="1"/>
  <c r="BH1019" i="1"/>
  <c r="BG1019" i="1"/>
  <c r="BF1019" i="1"/>
  <c r="BE1019" i="1"/>
  <c r="BD1019" i="1"/>
  <c r="BC1019" i="1"/>
  <c r="BB1019" i="1"/>
  <c r="BA1019" i="1"/>
  <c r="AZ1019" i="1"/>
  <c r="BI1019" i="1" s="1"/>
  <c r="AY1019" i="1"/>
  <c r="BK1018" i="1"/>
  <c r="BJ1018" i="1"/>
  <c r="BH1018" i="1"/>
  <c r="BG1018" i="1"/>
  <c r="BF1018" i="1"/>
  <c r="BE1018" i="1"/>
  <c r="BD1018" i="1"/>
  <c r="BC1018" i="1"/>
  <c r="BB1018" i="1"/>
  <c r="BA1018" i="1"/>
  <c r="AZ1018" i="1"/>
  <c r="AY1018" i="1"/>
  <c r="BK1017" i="1"/>
  <c r="BJ1017" i="1"/>
  <c r="BH1017" i="1"/>
  <c r="BG1017" i="1"/>
  <c r="BF1017" i="1"/>
  <c r="BE1017" i="1"/>
  <c r="BD1017" i="1"/>
  <c r="BC1017" i="1"/>
  <c r="BB1017" i="1"/>
  <c r="BA1017" i="1"/>
  <c r="AZ1017" i="1"/>
  <c r="BI1017" i="1" s="1"/>
  <c r="AY1017" i="1"/>
  <c r="BK1016" i="1"/>
  <c r="BJ1016" i="1"/>
  <c r="BH1016" i="1"/>
  <c r="BG1016" i="1"/>
  <c r="BF1016" i="1"/>
  <c r="BE1016" i="1"/>
  <c r="BD1016" i="1"/>
  <c r="BC1016" i="1"/>
  <c r="BB1016" i="1"/>
  <c r="BA1016" i="1"/>
  <c r="AZ1016" i="1"/>
  <c r="BI1016" i="1" s="1"/>
  <c r="AY1016" i="1"/>
  <c r="BK1015" i="1"/>
  <c r="BJ1015" i="1"/>
  <c r="BI1015" i="1"/>
  <c r="BH1015" i="1"/>
  <c r="BG1015" i="1"/>
  <c r="BF1015" i="1"/>
  <c r="BE1015" i="1"/>
  <c r="BD1015" i="1"/>
  <c r="BC1015" i="1"/>
  <c r="BB1015" i="1"/>
  <c r="BA1015" i="1"/>
  <c r="AZ1015" i="1"/>
  <c r="AY1015" i="1"/>
  <c r="BK1014" i="1"/>
  <c r="BJ1014" i="1"/>
  <c r="BH1014" i="1"/>
  <c r="BG1014" i="1"/>
  <c r="BF1014" i="1"/>
  <c r="BE1014" i="1"/>
  <c r="BD1014" i="1"/>
  <c r="BC1014" i="1"/>
  <c r="BB1014" i="1"/>
  <c r="BA1014" i="1"/>
  <c r="AZ1014" i="1"/>
  <c r="AY1014" i="1"/>
  <c r="BK1013" i="1"/>
  <c r="BJ1013" i="1"/>
  <c r="BH1013" i="1"/>
  <c r="BG1013" i="1"/>
  <c r="BF1013" i="1"/>
  <c r="BE1013" i="1"/>
  <c r="BD1013" i="1"/>
  <c r="BC1013" i="1"/>
  <c r="BB1013" i="1"/>
  <c r="BA1013" i="1"/>
  <c r="AZ1013" i="1"/>
  <c r="BI1013" i="1" s="1"/>
  <c r="AY1013" i="1"/>
  <c r="BK1012" i="1"/>
  <c r="BJ1012" i="1"/>
  <c r="BH1012" i="1"/>
  <c r="BG1012" i="1"/>
  <c r="BF1012" i="1"/>
  <c r="BE1012" i="1"/>
  <c r="BD1012" i="1"/>
  <c r="BC1012" i="1"/>
  <c r="BB1012" i="1"/>
  <c r="BA1012" i="1"/>
  <c r="AZ1012" i="1"/>
  <c r="BI1012" i="1" s="1"/>
  <c r="AY1012" i="1"/>
  <c r="BK1011" i="1"/>
  <c r="BJ1011" i="1"/>
  <c r="BH1011" i="1"/>
  <c r="BG1011" i="1"/>
  <c r="BF1011" i="1"/>
  <c r="BE1011" i="1"/>
  <c r="BD1011" i="1"/>
  <c r="BC1011" i="1"/>
  <c r="BB1011" i="1"/>
  <c r="BA1011" i="1"/>
  <c r="AZ1011" i="1"/>
  <c r="BI1011" i="1" s="1"/>
  <c r="AY1011" i="1"/>
  <c r="BK1010" i="1"/>
  <c r="BJ1010" i="1"/>
  <c r="BH1010" i="1"/>
  <c r="BG1010" i="1"/>
  <c r="BF1010" i="1"/>
  <c r="BE1010" i="1"/>
  <c r="BD1010" i="1"/>
  <c r="BC1010" i="1"/>
  <c r="BB1010" i="1"/>
  <c r="BA1010" i="1"/>
  <c r="AZ1010" i="1"/>
  <c r="BI1010" i="1" s="1"/>
  <c r="AY1010" i="1"/>
  <c r="BK1009" i="1"/>
  <c r="BJ1009" i="1"/>
  <c r="BH1009" i="1"/>
  <c r="BG1009" i="1"/>
  <c r="BF1009" i="1"/>
  <c r="BE1009" i="1"/>
  <c r="BD1009" i="1"/>
  <c r="BC1009" i="1"/>
  <c r="BB1009" i="1"/>
  <c r="BI1009" i="1" s="1"/>
  <c r="BA1009" i="1"/>
  <c r="AZ1009" i="1"/>
  <c r="AY1009" i="1"/>
  <c r="BK1008" i="1"/>
  <c r="BJ1008" i="1"/>
  <c r="BH1008" i="1"/>
  <c r="BG1008" i="1"/>
  <c r="BF1008" i="1"/>
  <c r="BE1008" i="1"/>
  <c r="BD1008" i="1"/>
  <c r="BC1008" i="1"/>
  <c r="BB1008" i="1"/>
  <c r="BA1008" i="1"/>
  <c r="AZ1008" i="1"/>
  <c r="BI1008" i="1" s="1"/>
  <c r="AY1008" i="1"/>
  <c r="BK1007" i="1"/>
  <c r="BJ1007" i="1"/>
  <c r="BH1007" i="1"/>
  <c r="BG1007" i="1"/>
  <c r="BF1007" i="1"/>
  <c r="BE1007" i="1"/>
  <c r="BD1007" i="1"/>
  <c r="BC1007" i="1"/>
  <c r="BB1007" i="1"/>
  <c r="BI1007" i="1" s="1"/>
  <c r="BA1007" i="1"/>
  <c r="AZ1007" i="1"/>
  <c r="AY1007" i="1"/>
  <c r="BK1006" i="1"/>
  <c r="BJ1006" i="1"/>
  <c r="BH1006" i="1"/>
  <c r="BG1006" i="1"/>
  <c r="BF1006" i="1"/>
  <c r="BE1006" i="1"/>
  <c r="BD1006" i="1"/>
  <c r="BC1006" i="1"/>
  <c r="BB1006" i="1"/>
  <c r="BA1006" i="1"/>
  <c r="AZ1006" i="1"/>
  <c r="BI1006" i="1" s="1"/>
  <c r="AY1006" i="1"/>
  <c r="BK1005" i="1"/>
  <c r="BJ1005" i="1"/>
  <c r="BH1005" i="1"/>
  <c r="BG1005" i="1"/>
  <c r="BF1005" i="1"/>
  <c r="BE1005" i="1"/>
  <c r="BD1005" i="1"/>
  <c r="BC1005" i="1"/>
  <c r="BB1005" i="1"/>
  <c r="BA1005" i="1"/>
  <c r="AZ1005" i="1"/>
  <c r="BI1005" i="1" s="1"/>
  <c r="AY1005" i="1"/>
  <c r="BK1004" i="1"/>
  <c r="BJ1004" i="1"/>
  <c r="BH1004" i="1"/>
  <c r="BG1004" i="1"/>
  <c r="BF1004" i="1"/>
  <c r="BE1004" i="1"/>
  <c r="BD1004" i="1"/>
  <c r="BC1004" i="1"/>
  <c r="BB1004" i="1"/>
  <c r="BA1004" i="1"/>
  <c r="AZ1004" i="1"/>
  <c r="BI1004" i="1" s="1"/>
  <c r="AY1004" i="1"/>
  <c r="BK1003" i="1"/>
  <c r="BJ1003" i="1"/>
  <c r="BH1003" i="1"/>
  <c r="BG1003" i="1"/>
  <c r="BF1003" i="1"/>
  <c r="BE1003" i="1"/>
  <c r="BD1003" i="1"/>
  <c r="BC1003" i="1"/>
  <c r="BB1003" i="1"/>
  <c r="BA1003" i="1"/>
  <c r="AZ1003" i="1"/>
  <c r="BI1003" i="1" s="1"/>
  <c r="AY1003" i="1"/>
  <c r="BK1002" i="1"/>
  <c r="BJ1002" i="1"/>
  <c r="BH1002" i="1"/>
  <c r="BG1002" i="1"/>
  <c r="BF1002" i="1"/>
  <c r="BE1002" i="1"/>
  <c r="BD1002" i="1"/>
  <c r="BC1002" i="1"/>
  <c r="BB1002" i="1"/>
  <c r="BA1002" i="1"/>
  <c r="AZ1002" i="1"/>
  <c r="AY1002" i="1"/>
  <c r="BK1001" i="1"/>
  <c r="BJ1001" i="1"/>
  <c r="BH1001" i="1"/>
  <c r="BG1001" i="1"/>
  <c r="BF1001" i="1"/>
  <c r="BE1001" i="1"/>
  <c r="BD1001" i="1"/>
  <c r="BC1001" i="1"/>
  <c r="BB1001" i="1"/>
  <c r="BA1001" i="1"/>
  <c r="AZ1001" i="1"/>
  <c r="BI1001" i="1" s="1"/>
  <c r="AY1001" i="1"/>
  <c r="BK1000" i="1"/>
  <c r="BJ1000" i="1"/>
  <c r="BH1000" i="1"/>
  <c r="BG1000" i="1"/>
  <c r="BF1000" i="1"/>
  <c r="BE1000" i="1"/>
  <c r="BD1000" i="1"/>
  <c r="BC1000" i="1"/>
  <c r="BB1000" i="1"/>
  <c r="BA1000" i="1"/>
  <c r="AZ1000" i="1"/>
  <c r="BI1000" i="1" s="1"/>
  <c r="AY1000" i="1"/>
  <c r="BK999" i="1"/>
  <c r="BJ999" i="1"/>
  <c r="BH999" i="1"/>
  <c r="BG999" i="1"/>
  <c r="BF999" i="1"/>
  <c r="BE999" i="1"/>
  <c r="BD999" i="1"/>
  <c r="BC999" i="1"/>
  <c r="BB999" i="1"/>
  <c r="BA999" i="1"/>
  <c r="AZ999" i="1"/>
  <c r="BI999" i="1" s="1"/>
  <c r="AY999" i="1"/>
  <c r="BK998" i="1"/>
  <c r="BJ998" i="1"/>
  <c r="BH998" i="1"/>
  <c r="BG998" i="1"/>
  <c r="BF998" i="1"/>
  <c r="BE998" i="1"/>
  <c r="BD998" i="1"/>
  <c r="BC998" i="1"/>
  <c r="BB998" i="1"/>
  <c r="BA998" i="1"/>
  <c r="AZ998" i="1"/>
  <c r="BI998" i="1" s="1"/>
  <c r="AY998" i="1"/>
  <c r="BK997" i="1"/>
  <c r="BJ997" i="1"/>
  <c r="BH997" i="1"/>
  <c r="BG997" i="1"/>
  <c r="BF997" i="1"/>
  <c r="BE997" i="1"/>
  <c r="BD997" i="1"/>
  <c r="BC997" i="1"/>
  <c r="BB997" i="1"/>
  <c r="BA997" i="1"/>
  <c r="AZ997" i="1"/>
  <c r="BI997" i="1" s="1"/>
  <c r="AY997" i="1"/>
  <c r="BK996" i="1"/>
  <c r="BJ996" i="1"/>
  <c r="BH996" i="1"/>
  <c r="BG996" i="1"/>
  <c r="BF996" i="1"/>
  <c r="BE996" i="1"/>
  <c r="BD996" i="1"/>
  <c r="BC996" i="1"/>
  <c r="BB996" i="1"/>
  <c r="BA996" i="1"/>
  <c r="AZ996" i="1"/>
  <c r="BI996" i="1" s="1"/>
  <c r="AY996" i="1"/>
  <c r="BK995" i="1"/>
  <c r="BJ995" i="1"/>
  <c r="BH995" i="1"/>
  <c r="BG995" i="1"/>
  <c r="BF995" i="1"/>
  <c r="BE995" i="1"/>
  <c r="BD995" i="1"/>
  <c r="BC995" i="1"/>
  <c r="BB995" i="1"/>
  <c r="BA995" i="1"/>
  <c r="AZ995" i="1"/>
  <c r="BI995" i="1" s="1"/>
  <c r="AY995" i="1"/>
  <c r="BK994" i="1"/>
  <c r="BJ994" i="1"/>
  <c r="BH994" i="1"/>
  <c r="BG994" i="1"/>
  <c r="BF994" i="1"/>
  <c r="BE994" i="1"/>
  <c r="BD994" i="1"/>
  <c r="BC994" i="1"/>
  <c r="BB994" i="1"/>
  <c r="BA994" i="1"/>
  <c r="AZ994" i="1"/>
  <c r="BI994" i="1" s="1"/>
  <c r="AY994" i="1"/>
  <c r="BK993" i="1"/>
  <c r="BJ993" i="1"/>
  <c r="BH993" i="1"/>
  <c r="BG993" i="1"/>
  <c r="BF993" i="1"/>
  <c r="BE993" i="1"/>
  <c r="BD993" i="1"/>
  <c r="BC993" i="1"/>
  <c r="BB993" i="1"/>
  <c r="BA993" i="1"/>
  <c r="AZ993" i="1"/>
  <c r="BI993" i="1" s="1"/>
  <c r="AY993" i="1"/>
  <c r="BK992" i="1"/>
  <c r="BJ992" i="1"/>
  <c r="BH992" i="1"/>
  <c r="BG992" i="1"/>
  <c r="BF992" i="1"/>
  <c r="BE992" i="1"/>
  <c r="BD992" i="1"/>
  <c r="BC992" i="1"/>
  <c r="BB992" i="1"/>
  <c r="BA992" i="1"/>
  <c r="AZ992" i="1"/>
  <c r="BI992" i="1" s="1"/>
  <c r="AY992" i="1"/>
  <c r="BK991" i="1"/>
  <c r="BJ991" i="1"/>
  <c r="BH991" i="1"/>
  <c r="BG991" i="1"/>
  <c r="BF991" i="1"/>
  <c r="BE991" i="1"/>
  <c r="BD991" i="1"/>
  <c r="BC991" i="1"/>
  <c r="BB991" i="1"/>
  <c r="BA991" i="1"/>
  <c r="AZ991" i="1"/>
  <c r="BI991" i="1" s="1"/>
  <c r="AY991" i="1"/>
  <c r="BK990" i="1"/>
  <c r="BJ990" i="1"/>
  <c r="BH990" i="1"/>
  <c r="BG990" i="1"/>
  <c r="BF990" i="1"/>
  <c r="BE990" i="1"/>
  <c r="BD990" i="1"/>
  <c r="BC990" i="1"/>
  <c r="BB990" i="1"/>
  <c r="BA990" i="1"/>
  <c r="AZ990" i="1"/>
  <c r="BI990" i="1" s="1"/>
  <c r="AY990" i="1"/>
  <c r="BK989" i="1"/>
  <c r="BJ989" i="1"/>
  <c r="BH989" i="1"/>
  <c r="BG989" i="1"/>
  <c r="BF989" i="1"/>
  <c r="BE989" i="1"/>
  <c r="BD989" i="1"/>
  <c r="BC989" i="1"/>
  <c r="BB989" i="1"/>
  <c r="BA989" i="1"/>
  <c r="AZ989" i="1"/>
  <c r="BI989" i="1" s="1"/>
  <c r="AY989" i="1"/>
  <c r="BK988" i="1"/>
  <c r="BJ988" i="1"/>
  <c r="BH988" i="1"/>
  <c r="BG988" i="1"/>
  <c r="BF988" i="1"/>
  <c r="BE988" i="1"/>
  <c r="BD988" i="1"/>
  <c r="BC988" i="1"/>
  <c r="BB988" i="1"/>
  <c r="BA988" i="1"/>
  <c r="AZ988" i="1"/>
  <c r="BI988" i="1" s="1"/>
  <c r="AY988" i="1"/>
  <c r="BK987" i="1"/>
  <c r="BJ987" i="1"/>
  <c r="BH987" i="1"/>
  <c r="BG987" i="1"/>
  <c r="BF987" i="1"/>
  <c r="BE987" i="1"/>
  <c r="BD987" i="1"/>
  <c r="BC987" i="1"/>
  <c r="BB987" i="1"/>
  <c r="BA987" i="1"/>
  <c r="AZ987" i="1"/>
  <c r="AY987" i="1"/>
  <c r="BK986" i="1"/>
  <c r="BJ986" i="1"/>
  <c r="BH986" i="1"/>
  <c r="BG986" i="1"/>
  <c r="BF986" i="1"/>
  <c r="BE986" i="1"/>
  <c r="BD986" i="1"/>
  <c r="BC986" i="1"/>
  <c r="BB986" i="1"/>
  <c r="BA986" i="1"/>
  <c r="AZ986" i="1"/>
  <c r="BI986" i="1" s="1"/>
  <c r="AY986" i="1"/>
  <c r="BK985" i="1"/>
  <c r="BJ985" i="1"/>
  <c r="BH985" i="1"/>
  <c r="BG985" i="1"/>
  <c r="BF985" i="1"/>
  <c r="BE985" i="1"/>
  <c r="BD985" i="1"/>
  <c r="BC985" i="1"/>
  <c r="BB985" i="1"/>
  <c r="BA985" i="1"/>
  <c r="AZ985" i="1"/>
  <c r="BI985" i="1" s="1"/>
  <c r="AY985" i="1"/>
  <c r="BK984" i="1"/>
  <c r="BJ984" i="1"/>
  <c r="BH984" i="1"/>
  <c r="BG984" i="1"/>
  <c r="BF984" i="1"/>
  <c r="BE984" i="1"/>
  <c r="BD984" i="1"/>
  <c r="BC984" i="1"/>
  <c r="BB984" i="1"/>
  <c r="BA984" i="1"/>
  <c r="AZ984" i="1"/>
  <c r="BI984" i="1" s="1"/>
  <c r="AY984" i="1"/>
  <c r="BK983" i="1"/>
  <c r="BJ983" i="1"/>
  <c r="BH983" i="1"/>
  <c r="BG983" i="1"/>
  <c r="BF983" i="1"/>
  <c r="BE983" i="1"/>
  <c r="BD983" i="1"/>
  <c r="BC983" i="1"/>
  <c r="BB983" i="1"/>
  <c r="BA983" i="1"/>
  <c r="AZ983" i="1"/>
  <c r="AY983" i="1"/>
  <c r="BK982" i="1"/>
  <c r="BJ982" i="1"/>
  <c r="BH982" i="1"/>
  <c r="BG982" i="1"/>
  <c r="BF982" i="1"/>
  <c r="BE982" i="1"/>
  <c r="BD982" i="1"/>
  <c r="BC982" i="1"/>
  <c r="BB982" i="1"/>
  <c r="BA982" i="1"/>
  <c r="AZ982" i="1"/>
  <c r="BI982" i="1" s="1"/>
  <c r="AY982" i="1"/>
  <c r="BK981" i="1"/>
  <c r="BJ981" i="1"/>
  <c r="BH981" i="1"/>
  <c r="BG981" i="1"/>
  <c r="BF981" i="1"/>
  <c r="BE981" i="1"/>
  <c r="BD981" i="1"/>
  <c r="BC981" i="1"/>
  <c r="BB981" i="1"/>
  <c r="BA981" i="1"/>
  <c r="AZ981" i="1"/>
  <c r="BI981" i="1" s="1"/>
  <c r="AY981" i="1"/>
  <c r="BK980" i="1"/>
  <c r="BJ980" i="1"/>
  <c r="BH980" i="1"/>
  <c r="BG980" i="1"/>
  <c r="BF980" i="1"/>
  <c r="BE980" i="1"/>
  <c r="BD980" i="1"/>
  <c r="BC980" i="1"/>
  <c r="BB980" i="1"/>
  <c r="BA980" i="1"/>
  <c r="AZ980" i="1"/>
  <c r="BI980" i="1" s="1"/>
  <c r="AY980" i="1"/>
  <c r="BK979" i="1"/>
  <c r="BJ979" i="1"/>
  <c r="BH979" i="1"/>
  <c r="BG979" i="1"/>
  <c r="BF979" i="1"/>
  <c r="BE979" i="1"/>
  <c r="BD979" i="1"/>
  <c r="BC979" i="1"/>
  <c r="BB979" i="1"/>
  <c r="BA979" i="1"/>
  <c r="AZ979" i="1"/>
  <c r="BI979" i="1" s="1"/>
  <c r="AY979" i="1"/>
  <c r="BK978" i="1"/>
  <c r="BJ978" i="1"/>
  <c r="BH978" i="1"/>
  <c r="BG978" i="1"/>
  <c r="BF978" i="1"/>
  <c r="BE978" i="1"/>
  <c r="BD978" i="1"/>
  <c r="BC978" i="1"/>
  <c r="BB978" i="1"/>
  <c r="BA978" i="1"/>
  <c r="AZ978" i="1"/>
  <c r="BI978" i="1" s="1"/>
  <c r="AY978" i="1"/>
  <c r="BK977" i="1"/>
  <c r="BJ977" i="1"/>
  <c r="BH977" i="1"/>
  <c r="BG977" i="1"/>
  <c r="BF977" i="1"/>
  <c r="BE977" i="1"/>
  <c r="BD977" i="1"/>
  <c r="BC977" i="1"/>
  <c r="BB977" i="1"/>
  <c r="BA977" i="1"/>
  <c r="AZ977" i="1"/>
  <c r="AY977" i="1"/>
  <c r="BK976" i="1"/>
  <c r="BJ976" i="1"/>
  <c r="BH976" i="1"/>
  <c r="BG976" i="1"/>
  <c r="BF976" i="1"/>
  <c r="BE976" i="1"/>
  <c r="BD976" i="1"/>
  <c r="BC976" i="1"/>
  <c r="BB976" i="1"/>
  <c r="BA976" i="1"/>
  <c r="AZ976" i="1"/>
  <c r="BI976" i="1" s="1"/>
  <c r="AY976" i="1"/>
  <c r="BK975" i="1"/>
  <c r="BJ975" i="1"/>
  <c r="BI975" i="1"/>
  <c r="BH975" i="1"/>
  <c r="BG975" i="1"/>
  <c r="BF975" i="1"/>
  <c r="BE975" i="1"/>
  <c r="BD975" i="1"/>
  <c r="BC975" i="1"/>
  <c r="BB975" i="1"/>
  <c r="BA975" i="1"/>
  <c r="AZ975" i="1"/>
  <c r="AY975" i="1"/>
  <c r="BK974" i="1"/>
  <c r="BJ974" i="1"/>
  <c r="BH974" i="1"/>
  <c r="BG974" i="1"/>
  <c r="BF974" i="1"/>
  <c r="BE974" i="1"/>
  <c r="BD974" i="1"/>
  <c r="BC974" i="1"/>
  <c r="BB974" i="1"/>
  <c r="BA974" i="1"/>
  <c r="AZ974" i="1"/>
  <c r="BI974" i="1" s="1"/>
  <c r="AY974" i="1"/>
  <c r="BK973" i="1"/>
  <c r="BJ973" i="1"/>
  <c r="BH973" i="1"/>
  <c r="BG973" i="1"/>
  <c r="BF973" i="1"/>
  <c r="BE973" i="1"/>
  <c r="BD973" i="1"/>
  <c r="BC973" i="1"/>
  <c r="BB973" i="1"/>
  <c r="BA973" i="1"/>
  <c r="AZ973" i="1"/>
  <c r="BI973" i="1" s="1"/>
  <c r="AY973" i="1"/>
  <c r="BK972" i="1"/>
  <c r="BJ972" i="1"/>
  <c r="BH972" i="1"/>
  <c r="BG972" i="1"/>
  <c r="BF972" i="1"/>
  <c r="BE972" i="1"/>
  <c r="BD972" i="1"/>
  <c r="BC972" i="1"/>
  <c r="BB972" i="1"/>
  <c r="BA972" i="1"/>
  <c r="AZ972" i="1"/>
  <c r="AY972" i="1"/>
  <c r="BK971" i="1"/>
  <c r="BJ971" i="1"/>
  <c r="BH971" i="1"/>
  <c r="BG971" i="1"/>
  <c r="BF971" i="1"/>
  <c r="BE971" i="1"/>
  <c r="BD971" i="1"/>
  <c r="BC971" i="1"/>
  <c r="BB971" i="1"/>
  <c r="BA971" i="1"/>
  <c r="AZ971" i="1"/>
  <c r="BI971" i="1" s="1"/>
  <c r="AY971" i="1"/>
  <c r="BK970" i="1"/>
  <c r="BJ970" i="1"/>
  <c r="BH970" i="1"/>
  <c r="BG970" i="1"/>
  <c r="BF970" i="1"/>
  <c r="BE970" i="1"/>
  <c r="BD970" i="1"/>
  <c r="BC970" i="1"/>
  <c r="BB970" i="1"/>
  <c r="BA970" i="1"/>
  <c r="AZ970" i="1"/>
  <c r="AY970" i="1"/>
  <c r="BK969" i="1"/>
  <c r="BJ969" i="1"/>
  <c r="BH969" i="1"/>
  <c r="BG969" i="1"/>
  <c r="BF969" i="1"/>
  <c r="BE969" i="1"/>
  <c r="BD969" i="1"/>
  <c r="BC969" i="1"/>
  <c r="BB969" i="1"/>
  <c r="BA969" i="1"/>
  <c r="AZ969" i="1"/>
  <c r="BI969" i="1" s="1"/>
  <c r="AY969" i="1"/>
  <c r="BK968" i="1"/>
  <c r="BJ968" i="1"/>
  <c r="BH968" i="1"/>
  <c r="BG968" i="1"/>
  <c r="BF968" i="1"/>
  <c r="BE968" i="1"/>
  <c r="BD968" i="1"/>
  <c r="BC968" i="1"/>
  <c r="BB968" i="1"/>
  <c r="BA968" i="1"/>
  <c r="AZ968" i="1"/>
  <c r="BI968" i="1" s="1"/>
  <c r="AY968" i="1"/>
  <c r="BK967" i="1"/>
  <c r="BJ967" i="1"/>
  <c r="BH967" i="1"/>
  <c r="BG967" i="1"/>
  <c r="BF967" i="1"/>
  <c r="BE967" i="1"/>
  <c r="BD967" i="1"/>
  <c r="BC967" i="1"/>
  <c r="BB967" i="1"/>
  <c r="BA967" i="1"/>
  <c r="AZ967" i="1"/>
  <c r="AY967" i="1"/>
  <c r="BK966" i="1"/>
  <c r="BJ966" i="1"/>
  <c r="BI966" i="1"/>
  <c r="BH966" i="1"/>
  <c r="BG966" i="1"/>
  <c r="BF966" i="1"/>
  <c r="BE966" i="1"/>
  <c r="BD966" i="1"/>
  <c r="BC966" i="1"/>
  <c r="BB966" i="1"/>
  <c r="BA966" i="1"/>
  <c r="AZ966" i="1"/>
  <c r="AY966" i="1"/>
  <c r="BK965" i="1"/>
  <c r="BJ965" i="1"/>
  <c r="BH965" i="1"/>
  <c r="BG965" i="1"/>
  <c r="BF965" i="1"/>
  <c r="BE965" i="1"/>
  <c r="BD965" i="1"/>
  <c r="BC965" i="1"/>
  <c r="BB965" i="1"/>
  <c r="BA965" i="1"/>
  <c r="AZ965" i="1"/>
  <c r="BI965" i="1" s="1"/>
  <c r="AY965" i="1"/>
  <c r="BK964" i="1"/>
  <c r="BJ964" i="1"/>
  <c r="BH964" i="1"/>
  <c r="BG964" i="1"/>
  <c r="BF964" i="1"/>
  <c r="BE964" i="1"/>
  <c r="BD964" i="1"/>
  <c r="BC964" i="1"/>
  <c r="BB964" i="1"/>
  <c r="BA964" i="1"/>
  <c r="AZ964" i="1"/>
  <c r="BI964" i="1" s="1"/>
  <c r="AY964" i="1"/>
  <c r="BK963" i="1"/>
  <c r="BJ963" i="1"/>
  <c r="BH963" i="1"/>
  <c r="BG963" i="1"/>
  <c r="BF963" i="1"/>
  <c r="BE963" i="1"/>
  <c r="BD963" i="1"/>
  <c r="BC963" i="1"/>
  <c r="BB963" i="1"/>
  <c r="BA963" i="1"/>
  <c r="AZ963" i="1"/>
  <c r="BI963" i="1" s="1"/>
  <c r="AY963" i="1"/>
  <c r="BK962" i="1"/>
  <c r="BJ962" i="1"/>
  <c r="BH962" i="1"/>
  <c r="BG962" i="1"/>
  <c r="BF962" i="1"/>
  <c r="BE962" i="1"/>
  <c r="BD962" i="1"/>
  <c r="BC962" i="1"/>
  <c r="BB962" i="1"/>
  <c r="BA962" i="1"/>
  <c r="AZ962" i="1"/>
  <c r="BI962" i="1" s="1"/>
  <c r="AY962" i="1"/>
  <c r="BK961" i="1"/>
  <c r="BJ961" i="1"/>
  <c r="BH961" i="1"/>
  <c r="BG961" i="1"/>
  <c r="BF961" i="1"/>
  <c r="BE961" i="1"/>
  <c r="BD961" i="1"/>
  <c r="BC961" i="1"/>
  <c r="BB961" i="1"/>
  <c r="BA961" i="1"/>
  <c r="AZ961" i="1"/>
  <c r="BI961" i="1" s="1"/>
  <c r="AY961" i="1"/>
  <c r="BK960" i="1"/>
  <c r="BJ960" i="1"/>
  <c r="BH960" i="1"/>
  <c r="BG960" i="1"/>
  <c r="BF960" i="1"/>
  <c r="BE960" i="1"/>
  <c r="BD960" i="1"/>
  <c r="BC960" i="1"/>
  <c r="BB960" i="1"/>
  <c r="BA960" i="1"/>
  <c r="AZ960" i="1"/>
  <c r="BI960" i="1" s="1"/>
  <c r="AY960" i="1"/>
  <c r="BK959" i="1"/>
  <c r="BJ959" i="1"/>
  <c r="BH959" i="1"/>
  <c r="BG959" i="1"/>
  <c r="BF959" i="1"/>
  <c r="BE959" i="1"/>
  <c r="BD959" i="1"/>
  <c r="BC959" i="1"/>
  <c r="BB959" i="1"/>
  <c r="BA959" i="1"/>
  <c r="AZ959" i="1"/>
  <c r="BI959" i="1" s="1"/>
  <c r="AY959" i="1"/>
  <c r="BK958" i="1"/>
  <c r="BJ958" i="1"/>
  <c r="BH958" i="1"/>
  <c r="BG958" i="1"/>
  <c r="BF958" i="1"/>
  <c r="BE958" i="1"/>
  <c r="BD958" i="1"/>
  <c r="BC958" i="1"/>
  <c r="BB958" i="1"/>
  <c r="BA958" i="1"/>
  <c r="AZ958" i="1"/>
  <c r="BI958" i="1" s="1"/>
  <c r="AY958" i="1"/>
  <c r="BK957" i="1"/>
  <c r="BJ957" i="1"/>
  <c r="BH957" i="1"/>
  <c r="BG957" i="1"/>
  <c r="BF957" i="1"/>
  <c r="BE957" i="1"/>
  <c r="BD957" i="1"/>
  <c r="BC957" i="1"/>
  <c r="BB957" i="1"/>
  <c r="BA957" i="1"/>
  <c r="AZ957" i="1"/>
  <c r="BI957" i="1" s="1"/>
  <c r="AY957" i="1"/>
  <c r="BK956" i="1"/>
  <c r="BJ956" i="1"/>
  <c r="BH956" i="1"/>
  <c r="BG956" i="1"/>
  <c r="BF956" i="1"/>
  <c r="BE956" i="1"/>
  <c r="BD956" i="1"/>
  <c r="BC956" i="1"/>
  <c r="BB956" i="1"/>
  <c r="BA956" i="1"/>
  <c r="AZ956" i="1"/>
  <c r="BI956" i="1" s="1"/>
  <c r="AY956" i="1"/>
  <c r="BK955" i="1"/>
  <c r="BJ955" i="1"/>
  <c r="BH955" i="1"/>
  <c r="BG955" i="1"/>
  <c r="BF955" i="1"/>
  <c r="BE955" i="1"/>
  <c r="BD955" i="1"/>
  <c r="BC955" i="1"/>
  <c r="BB955" i="1"/>
  <c r="BA955" i="1"/>
  <c r="AZ955" i="1"/>
  <c r="BI955" i="1" s="1"/>
  <c r="AY955" i="1"/>
  <c r="BK954" i="1"/>
  <c r="BJ954" i="1"/>
  <c r="BH954" i="1"/>
  <c r="BG954" i="1"/>
  <c r="BF954" i="1"/>
  <c r="BE954" i="1"/>
  <c r="BD954" i="1"/>
  <c r="BC954" i="1"/>
  <c r="BB954" i="1"/>
  <c r="BA954" i="1"/>
  <c r="AZ954" i="1"/>
  <c r="AY954" i="1"/>
  <c r="BK953" i="1"/>
  <c r="BJ953" i="1"/>
  <c r="BH953" i="1"/>
  <c r="BG953" i="1"/>
  <c r="BF953" i="1"/>
  <c r="BE953" i="1"/>
  <c r="BD953" i="1"/>
  <c r="BC953" i="1"/>
  <c r="BB953" i="1"/>
  <c r="BA953" i="1"/>
  <c r="AZ953" i="1"/>
  <c r="BI953" i="1" s="1"/>
  <c r="AY953" i="1"/>
  <c r="BK952" i="1"/>
  <c r="BJ952" i="1"/>
  <c r="BH952" i="1"/>
  <c r="BG952" i="1"/>
  <c r="BF952" i="1"/>
  <c r="BE952" i="1"/>
  <c r="BD952" i="1"/>
  <c r="BC952" i="1"/>
  <c r="BB952" i="1"/>
  <c r="BA952" i="1"/>
  <c r="AZ952" i="1"/>
  <c r="BI952" i="1" s="1"/>
  <c r="AY952" i="1"/>
  <c r="BK951" i="1"/>
  <c r="BJ951" i="1"/>
  <c r="BI951" i="1"/>
  <c r="BH951" i="1"/>
  <c r="BG951" i="1"/>
  <c r="BF951" i="1"/>
  <c r="BE951" i="1"/>
  <c r="BD951" i="1"/>
  <c r="BC951" i="1"/>
  <c r="BB951" i="1"/>
  <c r="BA951" i="1"/>
  <c r="AZ951" i="1"/>
  <c r="AY951" i="1"/>
  <c r="BK950" i="1"/>
  <c r="BJ950" i="1"/>
  <c r="BH950" i="1"/>
  <c r="BG950" i="1"/>
  <c r="BF950" i="1"/>
  <c r="BE950" i="1"/>
  <c r="BD950" i="1"/>
  <c r="BC950" i="1"/>
  <c r="BB950" i="1"/>
  <c r="BA950" i="1"/>
  <c r="AZ950" i="1"/>
  <c r="AY950" i="1"/>
  <c r="BK949" i="1"/>
  <c r="BJ949" i="1"/>
  <c r="BH949" i="1"/>
  <c r="BG949" i="1"/>
  <c r="BF949" i="1"/>
  <c r="BE949" i="1"/>
  <c r="BD949" i="1"/>
  <c r="BC949" i="1"/>
  <c r="BB949" i="1"/>
  <c r="BA949" i="1"/>
  <c r="AZ949" i="1"/>
  <c r="BI949" i="1" s="1"/>
  <c r="AY949" i="1"/>
  <c r="BK948" i="1"/>
  <c r="BJ948" i="1"/>
  <c r="BH948" i="1"/>
  <c r="BG948" i="1"/>
  <c r="BF948" i="1"/>
  <c r="BE948" i="1"/>
  <c r="BD948" i="1"/>
  <c r="BC948" i="1"/>
  <c r="BB948" i="1"/>
  <c r="BA948" i="1"/>
  <c r="AZ948" i="1"/>
  <c r="BI948" i="1" s="1"/>
  <c r="AY948" i="1"/>
  <c r="BK947" i="1"/>
  <c r="BJ947" i="1"/>
  <c r="BH947" i="1"/>
  <c r="BG947" i="1"/>
  <c r="BF947" i="1"/>
  <c r="BE947" i="1"/>
  <c r="BD947" i="1"/>
  <c r="BC947" i="1"/>
  <c r="BB947" i="1"/>
  <c r="BA947" i="1"/>
  <c r="AZ947" i="1"/>
  <c r="BI947" i="1" s="1"/>
  <c r="AY947" i="1"/>
  <c r="BK946" i="1"/>
  <c r="BJ946" i="1"/>
  <c r="BH946" i="1"/>
  <c r="BG946" i="1"/>
  <c r="BF946" i="1"/>
  <c r="BE946" i="1"/>
  <c r="BD946" i="1"/>
  <c r="BC946" i="1"/>
  <c r="BB946" i="1"/>
  <c r="BA946" i="1"/>
  <c r="AZ946" i="1"/>
  <c r="BI946" i="1" s="1"/>
  <c r="AY946" i="1"/>
  <c r="BK945" i="1"/>
  <c r="BJ945" i="1"/>
  <c r="BH945" i="1"/>
  <c r="BG945" i="1"/>
  <c r="BF945" i="1"/>
  <c r="BE945" i="1"/>
  <c r="BD945" i="1"/>
  <c r="BC945" i="1"/>
  <c r="BB945" i="1"/>
  <c r="BA945" i="1"/>
  <c r="AZ945" i="1"/>
  <c r="BI945" i="1" s="1"/>
  <c r="AY945" i="1"/>
  <c r="BK944" i="1"/>
  <c r="BJ944" i="1"/>
  <c r="BH944" i="1"/>
  <c r="BG944" i="1"/>
  <c r="BF944" i="1"/>
  <c r="BE944" i="1"/>
  <c r="BD944" i="1"/>
  <c r="BC944" i="1"/>
  <c r="BB944" i="1"/>
  <c r="BA944" i="1"/>
  <c r="AZ944" i="1"/>
  <c r="BI944" i="1" s="1"/>
  <c r="AY944" i="1"/>
  <c r="BK943" i="1"/>
  <c r="BJ943" i="1"/>
  <c r="BH943" i="1"/>
  <c r="BG943" i="1"/>
  <c r="BF943" i="1"/>
  <c r="BE943" i="1"/>
  <c r="BD943" i="1"/>
  <c r="BC943" i="1"/>
  <c r="BB943" i="1"/>
  <c r="BA943" i="1"/>
  <c r="AZ943" i="1"/>
  <c r="BI943" i="1" s="1"/>
  <c r="AY943" i="1"/>
  <c r="BK942" i="1"/>
  <c r="BJ942" i="1"/>
  <c r="BH942" i="1"/>
  <c r="BG942" i="1"/>
  <c r="BF942" i="1"/>
  <c r="BE942" i="1"/>
  <c r="BD942" i="1"/>
  <c r="BC942" i="1"/>
  <c r="BB942" i="1"/>
  <c r="BA942" i="1"/>
  <c r="AZ942" i="1"/>
  <c r="BI942" i="1" s="1"/>
  <c r="AY942" i="1"/>
  <c r="BK941" i="1"/>
  <c r="BJ941" i="1"/>
  <c r="BH941" i="1"/>
  <c r="BG941" i="1"/>
  <c r="BF941" i="1"/>
  <c r="BE941" i="1"/>
  <c r="BD941" i="1"/>
  <c r="BC941" i="1"/>
  <c r="BB941" i="1"/>
  <c r="BA941" i="1"/>
  <c r="AZ941" i="1"/>
  <c r="BI941" i="1" s="1"/>
  <c r="AY941" i="1"/>
  <c r="BK940" i="1"/>
  <c r="BJ940" i="1"/>
  <c r="BH940" i="1"/>
  <c r="BG940" i="1"/>
  <c r="BF940" i="1"/>
  <c r="BE940" i="1"/>
  <c r="BD940" i="1"/>
  <c r="BC940" i="1"/>
  <c r="BB940" i="1"/>
  <c r="BA940" i="1"/>
  <c r="AZ940" i="1"/>
  <c r="AY940" i="1"/>
  <c r="BK939" i="1"/>
  <c r="BJ939" i="1"/>
  <c r="BH939" i="1"/>
  <c r="BG939" i="1"/>
  <c r="BF939" i="1"/>
  <c r="BE939" i="1"/>
  <c r="BD939" i="1"/>
  <c r="BC939" i="1"/>
  <c r="BB939" i="1"/>
  <c r="BA939" i="1"/>
  <c r="AZ939" i="1"/>
  <c r="BI939" i="1" s="1"/>
  <c r="AY939" i="1"/>
  <c r="BK938" i="1"/>
  <c r="BJ938" i="1"/>
  <c r="BH938" i="1"/>
  <c r="BG938" i="1"/>
  <c r="BF938" i="1"/>
  <c r="BE938" i="1"/>
  <c r="BD938" i="1"/>
  <c r="BC938" i="1"/>
  <c r="BB938" i="1"/>
  <c r="BA938" i="1"/>
  <c r="AZ938" i="1"/>
  <c r="AY938" i="1"/>
  <c r="BK937" i="1"/>
  <c r="BJ937" i="1"/>
  <c r="BH937" i="1"/>
  <c r="BG937" i="1"/>
  <c r="BF937" i="1"/>
  <c r="BE937" i="1"/>
  <c r="BD937" i="1"/>
  <c r="BC937" i="1"/>
  <c r="BB937" i="1"/>
  <c r="BA937" i="1"/>
  <c r="AZ937" i="1"/>
  <c r="BI937" i="1" s="1"/>
  <c r="AY937" i="1"/>
  <c r="BK936" i="1"/>
  <c r="BJ936" i="1"/>
  <c r="BH936" i="1"/>
  <c r="BG936" i="1"/>
  <c r="BF936" i="1"/>
  <c r="BE936" i="1"/>
  <c r="BD936" i="1"/>
  <c r="BC936" i="1"/>
  <c r="BB936" i="1"/>
  <c r="BA936" i="1"/>
  <c r="AZ936" i="1"/>
  <c r="BI936" i="1" s="1"/>
  <c r="AY936" i="1"/>
  <c r="BK935" i="1"/>
  <c r="BJ935" i="1"/>
  <c r="BH935" i="1"/>
  <c r="BG935" i="1"/>
  <c r="BF935" i="1"/>
  <c r="BE935" i="1"/>
  <c r="BD935" i="1"/>
  <c r="BC935" i="1"/>
  <c r="BB935" i="1"/>
  <c r="BA935" i="1"/>
  <c r="AZ935" i="1"/>
  <c r="BI935" i="1" s="1"/>
  <c r="AY935" i="1"/>
  <c r="BK934" i="1"/>
  <c r="BJ934" i="1"/>
  <c r="BH934" i="1"/>
  <c r="BG934" i="1"/>
  <c r="BF934" i="1"/>
  <c r="BE934" i="1"/>
  <c r="BD934" i="1"/>
  <c r="BC934" i="1"/>
  <c r="BB934" i="1"/>
  <c r="BA934" i="1"/>
  <c r="AZ934" i="1"/>
  <c r="BI934" i="1" s="1"/>
  <c r="AY934" i="1"/>
  <c r="BK933" i="1"/>
  <c r="BJ933" i="1"/>
  <c r="BH933" i="1"/>
  <c r="BG933" i="1"/>
  <c r="BF933" i="1"/>
  <c r="BE933" i="1"/>
  <c r="BD933" i="1"/>
  <c r="BC933" i="1"/>
  <c r="BB933" i="1"/>
  <c r="BA933" i="1"/>
  <c r="AZ933" i="1"/>
  <c r="BI933" i="1" s="1"/>
  <c r="AY933" i="1"/>
  <c r="BK932" i="1"/>
  <c r="BJ932" i="1"/>
  <c r="BH932" i="1"/>
  <c r="BG932" i="1"/>
  <c r="BF932" i="1"/>
  <c r="BE932" i="1"/>
  <c r="BD932" i="1"/>
  <c r="BC932" i="1"/>
  <c r="BB932" i="1"/>
  <c r="BA932" i="1"/>
  <c r="AZ932" i="1"/>
  <c r="BI932" i="1" s="1"/>
  <c r="AY932" i="1"/>
  <c r="BK931" i="1"/>
  <c r="BJ931" i="1"/>
  <c r="BH931" i="1"/>
  <c r="BG931" i="1"/>
  <c r="BF931" i="1"/>
  <c r="BE931" i="1"/>
  <c r="BD931" i="1"/>
  <c r="BC931" i="1"/>
  <c r="BB931" i="1"/>
  <c r="BA931" i="1"/>
  <c r="AZ931" i="1"/>
  <c r="BI931" i="1" s="1"/>
  <c r="AY931" i="1"/>
  <c r="BK930" i="1"/>
  <c r="BJ930" i="1"/>
  <c r="BH930" i="1"/>
  <c r="BG930" i="1"/>
  <c r="BF930" i="1"/>
  <c r="BE930" i="1"/>
  <c r="BD930" i="1"/>
  <c r="BC930" i="1"/>
  <c r="BB930" i="1"/>
  <c r="BA930" i="1"/>
  <c r="AZ930" i="1"/>
  <c r="BI930" i="1" s="1"/>
  <c r="AY930" i="1"/>
  <c r="BK929" i="1"/>
  <c r="BJ929" i="1"/>
  <c r="BI929" i="1"/>
  <c r="BH929" i="1"/>
  <c r="BG929" i="1"/>
  <c r="BF929" i="1"/>
  <c r="BE929" i="1"/>
  <c r="BD929" i="1"/>
  <c r="BC929" i="1"/>
  <c r="BB929" i="1"/>
  <c r="BA929" i="1"/>
  <c r="AZ929" i="1"/>
  <c r="AY929" i="1"/>
  <c r="BK928" i="1"/>
  <c r="BJ928" i="1"/>
  <c r="BH928" i="1"/>
  <c r="BG928" i="1"/>
  <c r="BF928" i="1"/>
  <c r="BE928" i="1"/>
  <c r="BD928" i="1"/>
  <c r="BC928" i="1"/>
  <c r="BB928" i="1"/>
  <c r="BA928" i="1"/>
  <c r="AZ928" i="1"/>
  <c r="BI928" i="1" s="1"/>
  <c r="AY928" i="1"/>
  <c r="BK927" i="1"/>
  <c r="BJ927" i="1"/>
  <c r="BH927" i="1"/>
  <c r="BG927" i="1"/>
  <c r="BF927" i="1"/>
  <c r="BE927" i="1"/>
  <c r="BD927" i="1"/>
  <c r="BC927" i="1"/>
  <c r="BB927" i="1"/>
  <c r="BI927" i="1" s="1"/>
  <c r="BA927" i="1"/>
  <c r="AZ927" i="1"/>
  <c r="AY927" i="1"/>
  <c r="BK926" i="1"/>
  <c r="BJ926" i="1"/>
  <c r="BH926" i="1"/>
  <c r="BG926" i="1"/>
  <c r="BF926" i="1"/>
  <c r="BE926" i="1"/>
  <c r="BD926" i="1"/>
  <c r="BC926" i="1"/>
  <c r="BB926" i="1"/>
  <c r="BA926" i="1"/>
  <c r="AZ926" i="1"/>
  <c r="BI926" i="1" s="1"/>
  <c r="AY926" i="1"/>
  <c r="BK925" i="1"/>
  <c r="BJ925" i="1"/>
  <c r="BH925" i="1"/>
  <c r="BG925" i="1"/>
  <c r="BF925" i="1"/>
  <c r="BE925" i="1"/>
  <c r="BD925" i="1"/>
  <c r="BC925" i="1"/>
  <c r="BB925" i="1"/>
  <c r="BA925" i="1"/>
  <c r="AZ925" i="1"/>
  <c r="BI925" i="1" s="1"/>
  <c r="AY925" i="1"/>
  <c r="BK924" i="1"/>
  <c r="BJ924" i="1"/>
  <c r="BH924" i="1"/>
  <c r="BG924" i="1"/>
  <c r="BF924" i="1"/>
  <c r="BE924" i="1"/>
  <c r="BD924" i="1"/>
  <c r="BC924" i="1"/>
  <c r="BB924" i="1"/>
  <c r="BA924" i="1"/>
  <c r="AZ924" i="1"/>
  <c r="BI924" i="1" s="1"/>
  <c r="AY924" i="1"/>
  <c r="BK923" i="1"/>
  <c r="BJ923" i="1"/>
  <c r="BH923" i="1"/>
  <c r="BG923" i="1"/>
  <c r="BF923" i="1"/>
  <c r="BE923" i="1"/>
  <c r="BD923" i="1"/>
  <c r="BC923" i="1"/>
  <c r="BB923" i="1"/>
  <c r="BA923" i="1"/>
  <c r="AZ923" i="1"/>
  <c r="BI923" i="1" s="1"/>
  <c r="AY923" i="1"/>
  <c r="BK922" i="1"/>
  <c r="BJ922" i="1"/>
  <c r="BH922" i="1"/>
  <c r="BG922" i="1"/>
  <c r="BF922" i="1"/>
  <c r="BE922" i="1"/>
  <c r="BD922" i="1"/>
  <c r="BC922" i="1"/>
  <c r="BB922" i="1"/>
  <c r="BA922" i="1"/>
  <c r="AZ922" i="1"/>
  <c r="AY922" i="1"/>
  <c r="BK921" i="1"/>
  <c r="BJ921" i="1"/>
  <c r="BH921" i="1"/>
  <c r="BG921" i="1"/>
  <c r="BF921" i="1"/>
  <c r="BE921" i="1"/>
  <c r="BD921" i="1"/>
  <c r="BC921" i="1"/>
  <c r="BB921" i="1"/>
  <c r="BA921" i="1"/>
  <c r="AZ921" i="1"/>
  <c r="BI921" i="1" s="1"/>
  <c r="AY921" i="1"/>
  <c r="BK920" i="1"/>
  <c r="BJ920" i="1"/>
  <c r="BH920" i="1"/>
  <c r="BG920" i="1"/>
  <c r="BF920" i="1"/>
  <c r="BE920" i="1"/>
  <c r="BD920" i="1"/>
  <c r="BC920" i="1"/>
  <c r="BB920" i="1"/>
  <c r="BA920" i="1"/>
  <c r="AZ920" i="1"/>
  <c r="BI920" i="1" s="1"/>
  <c r="AY920" i="1"/>
  <c r="BK919" i="1"/>
  <c r="BJ919" i="1"/>
  <c r="BI919" i="1"/>
  <c r="BH919" i="1"/>
  <c r="BG919" i="1"/>
  <c r="BF919" i="1"/>
  <c r="BE919" i="1"/>
  <c r="BD919" i="1"/>
  <c r="BC919" i="1"/>
  <c r="BB919" i="1"/>
  <c r="BA919" i="1"/>
  <c r="AZ919" i="1"/>
  <c r="AY919" i="1"/>
  <c r="BK918" i="1"/>
  <c r="BJ918" i="1"/>
  <c r="BH918" i="1"/>
  <c r="BG918" i="1"/>
  <c r="BF918" i="1"/>
  <c r="BE918" i="1"/>
  <c r="BD918" i="1"/>
  <c r="BC918" i="1"/>
  <c r="BB918" i="1"/>
  <c r="BA918" i="1"/>
  <c r="AZ918" i="1"/>
  <c r="AY918" i="1"/>
  <c r="BK917" i="1"/>
  <c r="BJ917" i="1"/>
  <c r="BH917" i="1"/>
  <c r="BG917" i="1"/>
  <c r="BF917" i="1"/>
  <c r="BE917" i="1"/>
  <c r="BD917" i="1"/>
  <c r="BC917" i="1"/>
  <c r="BB917" i="1"/>
  <c r="BA917" i="1"/>
  <c r="AZ917" i="1"/>
  <c r="BI917" i="1" s="1"/>
  <c r="AY917" i="1"/>
  <c r="BK916" i="1"/>
  <c r="BJ916" i="1"/>
  <c r="BH916" i="1"/>
  <c r="BG916" i="1"/>
  <c r="BF916" i="1"/>
  <c r="BE916" i="1"/>
  <c r="BD916" i="1"/>
  <c r="BC916" i="1"/>
  <c r="BB916" i="1"/>
  <c r="BA916" i="1"/>
  <c r="AZ916" i="1"/>
  <c r="BI916" i="1" s="1"/>
  <c r="AY916" i="1"/>
  <c r="BK915" i="1"/>
  <c r="BJ915" i="1"/>
  <c r="BH915" i="1"/>
  <c r="BG915" i="1"/>
  <c r="BF915" i="1"/>
  <c r="BE915" i="1"/>
  <c r="BD915" i="1"/>
  <c r="BC915" i="1"/>
  <c r="BB915" i="1"/>
  <c r="BA915" i="1"/>
  <c r="AZ915" i="1"/>
  <c r="AY915" i="1"/>
  <c r="BK914" i="1"/>
  <c r="BJ914" i="1"/>
  <c r="BH914" i="1"/>
  <c r="BG914" i="1"/>
  <c r="BF914" i="1"/>
  <c r="BE914" i="1"/>
  <c r="BD914" i="1"/>
  <c r="BC914" i="1"/>
  <c r="BB914" i="1"/>
  <c r="BA914" i="1"/>
  <c r="AZ914" i="1"/>
  <c r="BI914" i="1" s="1"/>
  <c r="AY914" i="1"/>
  <c r="BK913" i="1"/>
  <c r="BJ913" i="1"/>
  <c r="BH913" i="1"/>
  <c r="BG913" i="1"/>
  <c r="BF913" i="1"/>
  <c r="BE913" i="1"/>
  <c r="BD913" i="1"/>
  <c r="BC913" i="1"/>
  <c r="BB913" i="1"/>
  <c r="BA913" i="1"/>
  <c r="AZ913" i="1"/>
  <c r="AY913" i="1"/>
  <c r="BK912" i="1"/>
  <c r="BJ912" i="1"/>
  <c r="BI912" i="1"/>
  <c r="BH912" i="1"/>
  <c r="BG912" i="1"/>
  <c r="BF912" i="1"/>
  <c r="BE912" i="1"/>
  <c r="BD912" i="1"/>
  <c r="BC912" i="1"/>
  <c r="BB912" i="1"/>
  <c r="BA912" i="1"/>
  <c r="AZ912" i="1"/>
  <c r="AY912" i="1"/>
  <c r="BK911" i="1"/>
  <c r="BJ911" i="1"/>
  <c r="BH911" i="1"/>
  <c r="BG911" i="1"/>
  <c r="BF911" i="1"/>
  <c r="BE911" i="1"/>
  <c r="BD911" i="1"/>
  <c r="BC911" i="1"/>
  <c r="BB911" i="1"/>
  <c r="BA911" i="1"/>
  <c r="AZ911" i="1"/>
  <c r="BI911" i="1" s="1"/>
  <c r="AY911" i="1"/>
  <c r="BK910" i="1"/>
  <c r="BJ910" i="1"/>
  <c r="BH910" i="1"/>
  <c r="BG910" i="1"/>
  <c r="BF910" i="1"/>
  <c r="BE910" i="1"/>
  <c r="BD910" i="1"/>
  <c r="BC910" i="1"/>
  <c r="BB910" i="1"/>
  <c r="BA910" i="1"/>
  <c r="AZ910" i="1"/>
  <c r="BI910" i="1" s="1"/>
  <c r="AY910" i="1"/>
  <c r="BK909" i="1"/>
  <c r="BJ909" i="1"/>
  <c r="BH909" i="1"/>
  <c r="BG909" i="1"/>
  <c r="BF909" i="1"/>
  <c r="BE909" i="1"/>
  <c r="BD909" i="1"/>
  <c r="BC909" i="1"/>
  <c r="BB909" i="1"/>
  <c r="BA909" i="1"/>
  <c r="AZ909" i="1"/>
  <c r="BI909" i="1" s="1"/>
  <c r="AY909" i="1"/>
  <c r="BK908" i="1"/>
  <c r="BJ908" i="1"/>
  <c r="BH908" i="1"/>
  <c r="BG908" i="1"/>
  <c r="BF908" i="1"/>
  <c r="BE908" i="1"/>
  <c r="BD908" i="1"/>
  <c r="BC908" i="1"/>
  <c r="BB908" i="1"/>
  <c r="BA908" i="1"/>
  <c r="AZ908" i="1"/>
  <c r="AY908" i="1"/>
  <c r="BK907" i="1"/>
  <c r="BJ907" i="1"/>
  <c r="BH907" i="1"/>
  <c r="BG907" i="1"/>
  <c r="BF907" i="1"/>
  <c r="BE907" i="1"/>
  <c r="BD907" i="1"/>
  <c r="BC907" i="1"/>
  <c r="BB907" i="1"/>
  <c r="BA907" i="1"/>
  <c r="AZ907" i="1"/>
  <c r="BI907" i="1" s="1"/>
  <c r="AY907" i="1"/>
  <c r="BK906" i="1"/>
  <c r="BJ906" i="1"/>
  <c r="BH906" i="1"/>
  <c r="BG906" i="1"/>
  <c r="BF906" i="1"/>
  <c r="BE906" i="1"/>
  <c r="BD906" i="1"/>
  <c r="BC906" i="1"/>
  <c r="BB906" i="1"/>
  <c r="BA906" i="1"/>
  <c r="AZ906" i="1"/>
  <c r="AY906" i="1"/>
  <c r="BK905" i="1"/>
  <c r="BJ905" i="1"/>
  <c r="BH905" i="1"/>
  <c r="BG905" i="1"/>
  <c r="BF905" i="1"/>
  <c r="BE905" i="1"/>
  <c r="BD905" i="1"/>
  <c r="BC905" i="1"/>
  <c r="BB905" i="1"/>
  <c r="BA905" i="1"/>
  <c r="AZ905" i="1"/>
  <c r="BI905" i="1" s="1"/>
  <c r="AY905" i="1"/>
  <c r="BK904" i="1"/>
  <c r="BJ904" i="1"/>
  <c r="BH904" i="1"/>
  <c r="BG904" i="1"/>
  <c r="BF904" i="1"/>
  <c r="BE904" i="1"/>
  <c r="BD904" i="1"/>
  <c r="BC904" i="1"/>
  <c r="BB904" i="1"/>
  <c r="BA904" i="1"/>
  <c r="AZ904" i="1"/>
  <c r="BI904" i="1" s="1"/>
  <c r="AY904" i="1"/>
  <c r="BK903" i="1"/>
  <c r="BJ903" i="1"/>
  <c r="BH903" i="1"/>
  <c r="BG903" i="1"/>
  <c r="BF903" i="1"/>
  <c r="BE903" i="1"/>
  <c r="BD903" i="1"/>
  <c r="BC903" i="1"/>
  <c r="BB903" i="1"/>
  <c r="BA903" i="1"/>
  <c r="AZ903" i="1"/>
  <c r="AY903" i="1"/>
  <c r="BK902" i="1"/>
  <c r="BJ902" i="1"/>
  <c r="BH902" i="1"/>
  <c r="BG902" i="1"/>
  <c r="BF902" i="1"/>
  <c r="BE902" i="1"/>
  <c r="BD902" i="1"/>
  <c r="BC902" i="1"/>
  <c r="BB902" i="1"/>
  <c r="BA902" i="1"/>
  <c r="AZ902" i="1"/>
  <c r="BI902" i="1" s="1"/>
  <c r="AY902" i="1"/>
  <c r="BK901" i="1"/>
  <c r="BJ901" i="1"/>
  <c r="BH901" i="1"/>
  <c r="BG901" i="1"/>
  <c r="BF901" i="1"/>
  <c r="BE901" i="1"/>
  <c r="BD901" i="1"/>
  <c r="BC901" i="1"/>
  <c r="BB901" i="1"/>
  <c r="BA901" i="1"/>
  <c r="AZ901" i="1"/>
  <c r="BI901" i="1" s="1"/>
  <c r="AY901" i="1"/>
  <c r="BK900" i="1"/>
  <c r="BJ900" i="1"/>
  <c r="BH900" i="1"/>
  <c r="BG900" i="1"/>
  <c r="BF900" i="1"/>
  <c r="BE900" i="1"/>
  <c r="BD900" i="1"/>
  <c r="BC900" i="1"/>
  <c r="BB900" i="1"/>
  <c r="BA900" i="1"/>
  <c r="AZ900" i="1"/>
  <c r="BI900" i="1" s="1"/>
  <c r="AY900" i="1"/>
  <c r="BK899" i="1"/>
  <c r="BJ899" i="1"/>
  <c r="BH899" i="1"/>
  <c r="BG899" i="1"/>
  <c r="BF899" i="1"/>
  <c r="BE899" i="1"/>
  <c r="BD899" i="1"/>
  <c r="BC899" i="1"/>
  <c r="BB899" i="1"/>
  <c r="BA899" i="1"/>
  <c r="AZ899" i="1"/>
  <c r="BI899" i="1" s="1"/>
  <c r="AY899" i="1"/>
  <c r="BK898" i="1"/>
  <c r="BJ898" i="1"/>
  <c r="BH898" i="1"/>
  <c r="BG898" i="1"/>
  <c r="BF898" i="1"/>
  <c r="BE898" i="1"/>
  <c r="BD898" i="1"/>
  <c r="BC898" i="1"/>
  <c r="BB898" i="1"/>
  <c r="BA898" i="1"/>
  <c r="AZ898" i="1"/>
  <c r="AY898" i="1"/>
  <c r="BK897" i="1"/>
  <c r="BJ897" i="1"/>
  <c r="BH897" i="1"/>
  <c r="BG897" i="1"/>
  <c r="BF897" i="1"/>
  <c r="BE897" i="1"/>
  <c r="BD897" i="1"/>
  <c r="BC897" i="1"/>
  <c r="BB897" i="1"/>
  <c r="BA897" i="1"/>
  <c r="AZ897" i="1"/>
  <c r="BI897" i="1" s="1"/>
  <c r="AY897" i="1"/>
  <c r="BK896" i="1"/>
  <c r="BJ896" i="1"/>
  <c r="BH896" i="1"/>
  <c r="BG896" i="1"/>
  <c r="BF896" i="1"/>
  <c r="BE896" i="1"/>
  <c r="BD896" i="1"/>
  <c r="BC896" i="1"/>
  <c r="BB896" i="1"/>
  <c r="BA896" i="1"/>
  <c r="AZ896" i="1"/>
  <c r="BI896" i="1" s="1"/>
  <c r="AY896" i="1"/>
  <c r="BK895" i="1"/>
  <c r="BJ895" i="1"/>
  <c r="BI895" i="1"/>
  <c r="BH895" i="1"/>
  <c r="BG895" i="1"/>
  <c r="BF895" i="1"/>
  <c r="BE895" i="1"/>
  <c r="BD895" i="1"/>
  <c r="BC895" i="1"/>
  <c r="BB895" i="1"/>
  <c r="BA895" i="1"/>
  <c r="AZ895" i="1"/>
  <c r="AY895" i="1"/>
  <c r="BK894" i="1"/>
  <c r="BJ894" i="1"/>
  <c r="BH894" i="1"/>
  <c r="BG894" i="1"/>
  <c r="BF894" i="1"/>
  <c r="BE894" i="1"/>
  <c r="BD894" i="1"/>
  <c r="BC894" i="1"/>
  <c r="BB894" i="1"/>
  <c r="BA894" i="1"/>
  <c r="AZ894" i="1"/>
  <c r="BI894" i="1" s="1"/>
  <c r="AY894" i="1"/>
  <c r="BK893" i="1"/>
  <c r="BJ893" i="1"/>
  <c r="BH893" i="1"/>
  <c r="BG893" i="1"/>
  <c r="BF893" i="1"/>
  <c r="BE893" i="1"/>
  <c r="BD893" i="1"/>
  <c r="BC893" i="1"/>
  <c r="BB893" i="1"/>
  <c r="BA893" i="1"/>
  <c r="AZ893" i="1"/>
  <c r="BI893" i="1" s="1"/>
  <c r="AY893" i="1"/>
  <c r="BK892" i="1"/>
  <c r="BJ892" i="1"/>
  <c r="BH892" i="1"/>
  <c r="BG892" i="1"/>
  <c r="BF892" i="1"/>
  <c r="BE892" i="1"/>
  <c r="BD892" i="1"/>
  <c r="BC892" i="1"/>
  <c r="BB892" i="1"/>
  <c r="BA892" i="1"/>
  <c r="AZ892" i="1"/>
  <c r="BI892" i="1" s="1"/>
  <c r="AY892" i="1"/>
  <c r="BK891" i="1"/>
  <c r="BJ891" i="1"/>
  <c r="BH891" i="1"/>
  <c r="BG891" i="1"/>
  <c r="BF891" i="1"/>
  <c r="BE891" i="1"/>
  <c r="BD891" i="1"/>
  <c r="BC891" i="1"/>
  <c r="BB891" i="1"/>
  <c r="BA891" i="1"/>
  <c r="AZ891" i="1"/>
  <c r="AY891" i="1"/>
  <c r="BK890" i="1"/>
  <c r="BJ890" i="1"/>
  <c r="BH890" i="1"/>
  <c r="BG890" i="1"/>
  <c r="BF890" i="1"/>
  <c r="BE890" i="1"/>
  <c r="BD890" i="1"/>
  <c r="BC890" i="1"/>
  <c r="BB890" i="1"/>
  <c r="BA890" i="1"/>
  <c r="AZ890" i="1"/>
  <c r="BI890" i="1" s="1"/>
  <c r="AY890" i="1"/>
  <c r="BK889" i="1"/>
  <c r="BJ889" i="1"/>
  <c r="BH889" i="1"/>
  <c r="BG889" i="1"/>
  <c r="BF889" i="1"/>
  <c r="BE889" i="1"/>
  <c r="BD889" i="1"/>
  <c r="BC889" i="1"/>
  <c r="BB889" i="1"/>
  <c r="BA889" i="1"/>
  <c r="AZ889" i="1"/>
  <c r="BI889" i="1" s="1"/>
  <c r="AY889" i="1"/>
  <c r="BK888" i="1"/>
  <c r="BJ888" i="1"/>
  <c r="BH888" i="1"/>
  <c r="BG888" i="1"/>
  <c r="BF888" i="1"/>
  <c r="BE888" i="1"/>
  <c r="BD888" i="1"/>
  <c r="BC888" i="1"/>
  <c r="BB888" i="1"/>
  <c r="BA888" i="1"/>
  <c r="AZ888" i="1"/>
  <c r="BI888" i="1" s="1"/>
  <c r="AY888" i="1"/>
  <c r="BK887" i="1"/>
  <c r="BJ887" i="1"/>
  <c r="BH887" i="1"/>
  <c r="BG887" i="1"/>
  <c r="BF887" i="1"/>
  <c r="BE887" i="1"/>
  <c r="BD887" i="1"/>
  <c r="BC887" i="1"/>
  <c r="BB887" i="1"/>
  <c r="BA887" i="1"/>
  <c r="AZ887" i="1"/>
  <c r="BI887" i="1" s="1"/>
  <c r="AY887" i="1"/>
  <c r="BK886" i="1"/>
  <c r="BJ886" i="1"/>
  <c r="BH886" i="1"/>
  <c r="BG886" i="1"/>
  <c r="BF886" i="1"/>
  <c r="BE886" i="1"/>
  <c r="BD886" i="1"/>
  <c r="BC886" i="1"/>
  <c r="BB886" i="1"/>
  <c r="BA886" i="1"/>
  <c r="AZ886" i="1"/>
  <c r="AY886" i="1"/>
  <c r="BK885" i="1"/>
  <c r="BJ885" i="1"/>
  <c r="BH885" i="1"/>
  <c r="BG885" i="1"/>
  <c r="BF885" i="1"/>
  <c r="BE885" i="1"/>
  <c r="BD885" i="1"/>
  <c r="BC885" i="1"/>
  <c r="BB885" i="1"/>
  <c r="BA885" i="1"/>
  <c r="AZ885" i="1"/>
  <c r="BI885" i="1" s="1"/>
  <c r="AY885" i="1"/>
  <c r="BK884" i="1"/>
  <c r="BJ884" i="1"/>
  <c r="BH884" i="1"/>
  <c r="BG884" i="1"/>
  <c r="BF884" i="1"/>
  <c r="BE884" i="1"/>
  <c r="BD884" i="1"/>
  <c r="BC884" i="1"/>
  <c r="BB884" i="1"/>
  <c r="BA884" i="1"/>
  <c r="AZ884" i="1"/>
  <c r="BI884" i="1" s="1"/>
  <c r="AY884" i="1"/>
  <c r="BK883" i="1"/>
  <c r="BJ883" i="1"/>
  <c r="BH883" i="1"/>
  <c r="BG883" i="1"/>
  <c r="BF883" i="1"/>
  <c r="BE883" i="1"/>
  <c r="BD883" i="1"/>
  <c r="BC883" i="1"/>
  <c r="BB883" i="1"/>
  <c r="BA883" i="1"/>
  <c r="AZ883" i="1"/>
  <c r="BI883" i="1" s="1"/>
  <c r="AY883" i="1"/>
  <c r="BK882" i="1"/>
  <c r="BJ882" i="1"/>
  <c r="BH882" i="1"/>
  <c r="BG882" i="1"/>
  <c r="BF882" i="1"/>
  <c r="BE882" i="1"/>
  <c r="BD882" i="1"/>
  <c r="BC882" i="1"/>
  <c r="BB882" i="1"/>
  <c r="BA882" i="1"/>
  <c r="AZ882" i="1"/>
  <c r="BI882" i="1" s="1"/>
  <c r="AY882" i="1"/>
  <c r="BK881" i="1"/>
  <c r="BJ881" i="1"/>
  <c r="BH881" i="1"/>
  <c r="BG881" i="1"/>
  <c r="BF881" i="1"/>
  <c r="BE881" i="1"/>
  <c r="BD881" i="1"/>
  <c r="BC881" i="1"/>
  <c r="BB881" i="1"/>
  <c r="BA881" i="1"/>
  <c r="AZ881" i="1"/>
  <c r="BI881" i="1" s="1"/>
  <c r="AY881" i="1"/>
  <c r="BK880" i="1"/>
  <c r="BJ880" i="1"/>
  <c r="BH880" i="1"/>
  <c r="BG880" i="1"/>
  <c r="BF880" i="1"/>
  <c r="BE880" i="1"/>
  <c r="BD880" i="1"/>
  <c r="BC880" i="1"/>
  <c r="BB880" i="1"/>
  <c r="BA880" i="1"/>
  <c r="AZ880" i="1"/>
  <c r="BI880" i="1" s="1"/>
  <c r="AY880" i="1"/>
  <c r="BK879" i="1"/>
  <c r="BJ879" i="1"/>
  <c r="BI879" i="1"/>
  <c r="BH879" i="1"/>
  <c r="BG879" i="1"/>
  <c r="BF879" i="1"/>
  <c r="BE879" i="1"/>
  <c r="BD879" i="1"/>
  <c r="BC879" i="1"/>
  <c r="BB879" i="1"/>
  <c r="BA879" i="1"/>
  <c r="AZ879" i="1"/>
  <c r="AY879" i="1"/>
  <c r="BK878" i="1"/>
  <c r="BJ878" i="1"/>
  <c r="BH878" i="1"/>
  <c r="BG878" i="1"/>
  <c r="BF878" i="1"/>
  <c r="BE878" i="1"/>
  <c r="BD878" i="1"/>
  <c r="BC878" i="1"/>
  <c r="BB878" i="1"/>
  <c r="BA878" i="1"/>
  <c r="AZ878" i="1"/>
  <c r="BI878" i="1" s="1"/>
  <c r="AY878" i="1"/>
  <c r="BK877" i="1"/>
  <c r="BJ877" i="1"/>
  <c r="BH877" i="1"/>
  <c r="BG877" i="1"/>
  <c r="BF877" i="1"/>
  <c r="BE877" i="1"/>
  <c r="BD877" i="1"/>
  <c r="BC877" i="1"/>
  <c r="BB877" i="1"/>
  <c r="BA877" i="1"/>
  <c r="AZ877" i="1"/>
  <c r="BI877" i="1" s="1"/>
  <c r="AY877" i="1"/>
  <c r="BK876" i="1"/>
  <c r="BJ876" i="1"/>
  <c r="BI876" i="1"/>
  <c r="BH876" i="1"/>
  <c r="BG876" i="1"/>
  <c r="BF876" i="1"/>
  <c r="BE876" i="1"/>
  <c r="BD876" i="1"/>
  <c r="BC876" i="1"/>
  <c r="BB876" i="1"/>
  <c r="BA876" i="1"/>
  <c r="AZ876" i="1"/>
  <c r="AY876" i="1"/>
  <c r="BK875" i="1"/>
  <c r="BJ875" i="1"/>
  <c r="BH875" i="1"/>
  <c r="BG875" i="1"/>
  <c r="BF875" i="1"/>
  <c r="BE875" i="1"/>
  <c r="BD875" i="1"/>
  <c r="BC875" i="1"/>
  <c r="BB875" i="1"/>
  <c r="BA875" i="1"/>
  <c r="AZ875" i="1"/>
  <c r="AY875" i="1"/>
  <c r="BK874" i="1"/>
  <c r="BJ874" i="1"/>
  <c r="BH874" i="1"/>
  <c r="BG874" i="1"/>
  <c r="BF874" i="1"/>
  <c r="BE874" i="1"/>
  <c r="BD874" i="1"/>
  <c r="BC874" i="1"/>
  <c r="BB874" i="1"/>
  <c r="BA874" i="1"/>
  <c r="AZ874" i="1"/>
  <c r="AY874" i="1"/>
  <c r="BK873" i="1"/>
  <c r="BJ873" i="1"/>
  <c r="BH873" i="1"/>
  <c r="BG873" i="1"/>
  <c r="BF873" i="1"/>
  <c r="BE873" i="1"/>
  <c r="BD873" i="1"/>
  <c r="BC873" i="1"/>
  <c r="BB873" i="1"/>
  <c r="BA873" i="1"/>
  <c r="AZ873" i="1"/>
  <c r="BI873" i="1" s="1"/>
  <c r="AY873" i="1"/>
  <c r="BK872" i="1"/>
  <c r="BJ872" i="1"/>
  <c r="BH872" i="1"/>
  <c r="BG872" i="1"/>
  <c r="BF872" i="1"/>
  <c r="BE872" i="1"/>
  <c r="BD872" i="1"/>
  <c r="BC872" i="1"/>
  <c r="BB872" i="1"/>
  <c r="BA872" i="1"/>
  <c r="AZ872" i="1"/>
  <c r="BI872" i="1" s="1"/>
  <c r="AY872" i="1"/>
  <c r="BK871" i="1"/>
  <c r="BJ871" i="1"/>
  <c r="BH871" i="1"/>
  <c r="BG871" i="1"/>
  <c r="BF871" i="1"/>
  <c r="BE871" i="1"/>
  <c r="BD871" i="1"/>
  <c r="BC871" i="1"/>
  <c r="BB871" i="1"/>
  <c r="BA871" i="1"/>
  <c r="AZ871" i="1"/>
  <c r="BI871" i="1" s="1"/>
  <c r="AY871" i="1"/>
  <c r="BK870" i="1"/>
  <c r="BJ870" i="1"/>
  <c r="BH870" i="1"/>
  <c r="BG870" i="1"/>
  <c r="BF870" i="1"/>
  <c r="BE870" i="1"/>
  <c r="BD870" i="1"/>
  <c r="BC870" i="1"/>
  <c r="BB870" i="1"/>
  <c r="BA870" i="1"/>
  <c r="AZ870" i="1"/>
  <c r="AY870" i="1"/>
  <c r="BK869" i="1"/>
  <c r="BJ869" i="1"/>
  <c r="BH869" i="1"/>
  <c r="BG869" i="1"/>
  <c r="BF869" i="1"/>
  <c r="BE869" i="1"/>
  <c r="BD869" i="1"/>
  <c r="BC869" i="1"/>
  <c r="BB869" i="1"/>
  <c r="BA869" i="1"/>
  <c r="AZ869" i="1"/>
  <c r="BI869" i="1" s="1"/>
  <c r="AY869" i="1"/>
  <c r="BK868" i="1"/>
  <c r="BJ868" i="1"/>
  <c r="BH868" i="1"/>
  <c r="BG868" i="1"/>
  <c r="BF868" i="1"/>
  <c r="BE868" i="1"/>
  <c r="BD868" i="1"/>
  <c r="BC868" i="1"/>
  <c r="BB868" i="1"/>
  <c r="BA868" i="1"/>
  <c r="AZ868" i="1"/>
  <c r="BI868" i="1" s="1"/>
  <c r="AY868" i="1"/>
  <c r="BK867" i="1"/>
  <c r="BJ867" i="1"/>
  <c r="BH867" i="1"/>
  <c r="BG867" i="1"/>
  <c r="BF867" i="1"/>
  <c r="BE867" i="1"/>
  <c r="BD867" i="1"/>
  <c r="BC867" i="1"/>
  <c r="BB867" i="1"/>
  <c r="BA867" i="1"/>
  <c r="AZ867" i="1"/>
  <c r="BI867" i="1" s="1"/>
  <c r="AY867" i="1"/>
  <c r="BK866" i="1"/>
  <c r="BJ866" i="1"/>
  <c r="BH866" i="1"/>
  <c r="BG866" i="1"/>
  <c r="BF866" i="1"/>
  <c r="BE866" i="1"/>
  <c r="BD866" i="1"/>
  <c r="BC866" i="1"/>
  <c r="BB866" i="1"/>
  <c r="BA866" i="1"/>
  <c r="AZ866" i="1"/>
  <c r="AY866" i="1"/>
  <c r="BK865" i="1"/>
  <c r="BJ865" i="1"/>
  <c r="BH865" i="1"/>
  <c r="BG865" i="1"/>
  <c r="BF865" i="1"/>
  <c r="BE865" i="1"/>
  <c r="BD865" i="1"/>
  <c r="BC865" i="1"/>
  <c r="BB865" i="1"/>
  <c r="BA865" i="1"/>
  <c r="AZ865" i="1"/>
  <c r="BI865" i="1" s="1"/>
  <c r="AY865" i="1"/>
  <c r="BK864" i="1"/>
  <c r="BJ864" i="1"/>
  <c r="BH864" i="1"/>
  <c r="BG864" i="1"/>
  <c r="BF864" i="1"/>
  <c r="BE864" i="1"/>
  <c r="BD864" i="1"/>
  <c r="BC864" i="1"/>
  <c r="BB864" i="1"/>
  <c r="BA864" i="1"/>
  <c r="AZ864" i="1"/>
  <c r="BI864" i="1" s="1"/>
  <c r="AY864" i="1"/>
  <c r="BK863" i="1"/>
  <c r="BJ863" i="1"/>
  <c r="BH863" i="1"/>
  <c r="BG863" i="1"/>
  <c r="BF863" i="1"/>
  <c r="BE863" i="1"/>
  <c r="BD863" i="1"/>
  <c r="BC863" i="1"/>
  <c r="BB863" i="1"/>
  <c r="BA863" i="1"/>
  <c r="AZ863" i="1"/>
  <c r="AY863" i="1"/>
  <c r="BK862" i="1"/>
  <c r="BJ862" i="1"/>
  <c r="BH862" i="1"/>
  <c r="BG862" i="1"/>
  <c r="BF862" i="1"/>
  <c r="BE862" i="1"/>
  <c r="BD862" i="1"/>
  <c r="BC862" i="1"/>
  <c r="BB862" i="1"/>
  <c r="BA862" i="1"/>
  <c r="AZ862" i="1"/>
  <c r="BI862" i="1" s="1"/>
  <c r="AY862" i="1"/>
  <c r="BK861" i="1"/>
  <c r="BJ861" i="1"/>
  <c r="BH861" i="1"/>
  <c r="BG861" i="1"/>
  <c r="BF861" i="1"/>
  <c r="BE861" i="1"/>
  <c r="BD861" i="1"/>
  <c r="BC861" i="1"/>
  <c r="BB861" i="1"/>
  <c r="BA861" i="1"/>
  <c r="AZ861" i="1"/>
  <c r="BI861" i="1" s="1"/>
  <c r="AY861" i="1"/>
  <c r="BK860" i="1"/>
  <c r="BJ860" i="1"/>
  <c r="BH860" i="1"/>
  <c r="BG860" i="1"/>
  <c r="BF860" i="1"/>
  <c r="BE860" i="1"/>
  <c r="BD860" i="1"/>
  <c r="BC860" i="1"/>
  <c r="BB860" i="1"/>
  <c r="BA860" i="1"/>
  <c r="AZ860" i="1"/>
  <c r="BI860" i="1" s="1"/>
  <c r="AY860" i="1"/>
  <c r="BK859" i="1"/>
  <c r="BJ859" i="1"/>
  <c r="BH859" i="1"/>
  <c r="BG859" i="1"/>
  <c r="BF859" i="1"/>
  <c r="BE859" i="1"/>
  <c r="BD859" i="1"/>
  <c r="BC859" i="1"/>
  <c r="BB859" i="1"/>
  <c r="BA859" i="1"/>
  <c r="AZ859" i="1"/>
  <c r="AY859" i="1"/>
  <c r="BK858" i="1"/>
  <c r="BJ858" i="1"/>
  <c r="BH858" i="1"/>
  <c r="BG858" i="1"/>
  <c r="BF858" i="1"/>
  <c r="BE858" i="1"/>
  <c r="BD858" i="1"/>
  <c r="BC858" i="1"/>
  <c r="BB858" i="1"/>
  <c r="BA858" i="1"/>
  <c r="AZ858" i="1"/>
  <c r="BI858" i="1" s="1"/>
  <c r="AY858" i="1"/>
  <c r="BK857" i="1"/>
  <c r="BJ857" i="1"/>
  <c r="BH857" i="1"/>
  <c r="BG857" i="1"/>
  <c r="BF857" i="1"/>
  <c r="BE857" i="1"/>
  <c r="BD857" i="1"/>
  <c r="BC857" i="1"/>
  <c r="BB857" i="1"/>
  <c r="BA857" i="1"/>
  <c r="AZ857" i="1"/>
  <c r="BI857" i="1" s="1"/>
  <c r="AY857" i="1"/>
  <c r="BK856" i="1"/>
  <c r="BJ856" i="1"/>
  <c r="BH856" i="1"/>
  <c r="BG856" i="1"/>
  <c r="BF856" i="1"/>
  <c r="BE856" i="1"/>
  <c r="BD856" i="1"/>
  <c r="BC856" i="1"/>
  <c r="BB856" i="1"/>
  <c r="BA856" i="1"/>
  <c r="AZ856" i="1"/>
  <c r="BI856" i="1" s="1"/>
  <c r="AY856" i="1"/>
  <c r="BK855" i="1"/>
  <c r="BJ855" i="1"/>
  <c r="BH855" i="1"/>
  <c r="BG855" i="1"/>
  <c r="BF855" i="1"/>
  <c r="BE855" i="1"/>
  <c r="BD855" i="1"/>
  <c r="BC855" i="1"/>
  <c r="BB855" i="1"/>
  <c r="BA855" i="1"/>
  <c r="AZ855" i="1"/>
  <c r="BI855" i="1" s="1"/>
  <c r="AY855" i="1"/>
  <c r="BK854" i="1"/>
  <c r="BJ854" i="1"/>
  <c r="BH854" i="1"/>
  <c r="BG854" i="1"/>
  <c r="BF854" i="1"/>
  <c r="BE854" i="1"/>
  <c r="BD854" i="1"/>
  <c r="BC854" i="1"/>
  <c r="BB854" i="1"/>
  <c r="BA854" i="1"/>
  <c r="AZ854" i="1"/>
  <c r="AY854" i="1"/>
  <c r="BK853" i="1"/>
  <c r="BJ853" i="1"/>
  <c r="BH853" i="1"/>
  <c r="BG853" i="1"/>
  <c r="BF853" i="1"/>
  <c r="BE853" i="1"/>
  <c r="BD853" i="1"/>
  <c r="BC853" i="1"/>
  <c r="BB853" i="1"/>
  <c r="BA853" i="1"/>
  <c r="AZ853" i="1"/>
  <c r="BI853" i="1" s="1"/>
  <c r="AY853" i="1"/>
  <c r="BK852" i="1"/>
  <c r="BJ852" i="1"/>
  <c r="BH852" i="1"/>
  <c r="BG852" i="1"/>
  <c r="BF852" i="1"/>
  <c r="BE852" i="1"/>
  <c r="BD852" i="1"/>
  <c r="BC852" i="1"/>
  <c r="BB852" i="1"/>
  <c r="BA852" i="1"/>
  <c r="AZ852" i="1"/>
  <c r="BI852" i="1" s="1"/>
  <c r="AY852" i="1"/>
  <c r="BK851" i="1"/>
  <c r="BJ851" i="1"/>
  <c r="BH851" i="1"/>
  <c r="BG851" i="1"/>
  <c r="BF851" i="1"/>
  <c r="BE851" i="1"/>
  <c r="BD851" i="1"/>
  <c r="BC851" i="1"/>
  <c r="BB851" i="1"/>
  <c r="BA851" i="1"/>
  <c r="AZ851" i="1"/>
  <c r="BI851" i="1" s="1"/>
  <c r="AY851" i="1"/>
  <c r="BK850" i="1"/>
  <c r="BJ850" i="1"/>
  <c r="BH850" i="1"/>
  <c r="BG850" i="1"/>
  <c r="BF850" i="1"/>
  <c r="BE850" i="1"/>
  <c r="BD850" i="1"/>
  <c r="BC850" i="1"/>
  <c r="BB850" i="1"/>
  <c r="BA850" i="1"/>
  <c r="AZ850" i="1"/>
  <c r="BI850" i="1" s="1"/>
  <c r="AY850" i="1"/>
  <c r="BK849" i="1"/>
  <c r="BJ849" i="1"/>
  <c r="BI849" i="1"/>
  <c r="BH849" i="1"/>
  <c r="BG849" i="1"/>
  <c r="BF849" i="1"/>
  <c r="BE849" i="1"/>
  <c r="BD849" i="1"/>
  <c r="BC849" i="1"/>
  <c r="BB849" i="1"/>
  <c r="BA849" i="1"/>
  <c r="AZ849" i="1"/>
  <c r="AY849" i="1"/>
  <c r="BK848" i="1"/>
  <c r="BJ848" i="1"/>
  <c r="BH848" i="1"/>
  <c r="BG848" i="1"/>
  <c r="BF848" i="1"/>
  <c r="BE848" i="1"/>
  <c r="BD848" i="1"/>
  <c r="BC848" i="1"/>
  <c r="BB848" i="1"/>
  <c r="BA848" i="1"/>
  <c r="AZ848" i="1"/>
  <c r="BI848" i="1" s="1"/>
  <c r="AY848" i="1"/>
  <c r="BK847" i="1"/>
  <c r="BJ847" i="1"/>
  <c r="BI847" i="1"/>
  <c r="BH847" i="1"/>
  <c r="BG847" i="1"/>
  <c r="BF847" i="1"/>
  <c r="BE847" i="1"/>
  <c r="BD847" i="1"/>
  <c r="BC847" i="1"/>
  <c r="BB847" i="1"/>
  <c r="BA847" i="1"/>
  <c r="AZ847" i="1"/>
  <c r="AY847" i="1"/>
  <c r="BK846" i="1"/>
  <c r="BJ846" i="1"/>
  <c r="BH846" i="1"/>
  <c r="BG846" i="1"/>
  <c r="BF846" i="1"/>
  <c r="BE846" i="1"/>
  <c r="BD846" i="1"/>
  <c r="BC846" i="1"/>
  <c r="BB846" i="1"/>
  <c r="BA846" i="1"/>
  <c r="AZ846" i="1"/>
  <c r="BI846" i="1" s="1"/>
  <c r="AY846" i="1"/>
  <c r="BK845" i="1"/>
  <c r="BJ845" i="1"/>
  <c r="BH845" i="1"/>
  <c r="BG845" i="1"/>
  <c r="BF845" i="1"/>
  <c r="BE845" i="1"/>
  <c r="BD845" i="1"/>
  <c r="BC845" i="1"/>
  <c r="BB845" i="1"/>
  <c r="BA845" i="1"/>
  <c r="AZ845" i="1"/>
  <c r="BI845" i="1" s="1"/>
  <c r="AY845" i="1"/>
  <c r="BK844" i="1"/>
  <c r="BJ844" i="1"/>
  <c r="BH844" i="1"/>
  <c r="BG844" i="1"/>
  <c r="BF844" i="1"/>
  <c r="BE844" i="1"/>
  <c r="BD844" i="1"/>
  <c r="BC844" i="1"/>
  <c r="BB844" i="1"/>
  <c r="BA844" i="1"/>
  <c r="AZ844" i="1"/>
  <c r="BI844" i="1" s="1"/>
  <c r="AY844" i="1"/>
  <c r="BK843" i="1"/>
  <c r="BJ843" i="1"/>
  <c r="BH843" i="1"/>
  <c r="BG843" i="1"/>
  <c r="BF843" i="1"/>
  <c r="BE843" i="1"/>
  <c r="BD843" i="1"/>
  <c r="BC843" i="1"/>
  <c r="BB843" i="1"/>
  <c r="BA843" i="1"/>
  <c r="AZ843" i="1"/>
  <c r="BI843" i="1" s="1"/>
  <c r="AY843" i="1"/>
  <c r="BK842" i="1"/>
  <c r="BJ842" i="1"/>
  <c r="BH842" i="1"/>
  <c r="BG842" i="1"/>
  <c r="BF842" i="1"/>
  <c r="BE842" i="1"/>
  <c r="BD842" i="1"/>
  <c r="BC842" i="1"/>
  <c r="BB842" i="1"/>
  <c r="BA842" i="1"/>
  <c r="AZ842" i="1"/>
  <c r="AY842" i="1"/>
  <c r="BK841" i="1"/>
  <c r="BJ841" i="1"/>
  <c r="BH841" i="1"/>
  <c r="BG841" i="1"/>
  <c r="BF841" i="1"/>
  <c r="BE841" i="1"/>
  <c r="BD841" i="1"/>
  <c r="BC841" i="1"/>
  <c r="BB841" i="1"/>
  <c r="BA841" i="1"/>
  <c r="AZ841" i="1"/>
  <c r="BI841" i="1" s="1"/>
  <c r="AY841" i="1"/>
  <c r="BK840" i="1"/>
  <c r="BJ840" i="1"/>
  <c r="BH840" i="1"/>
  <c r="BG840" i="1"/>
  <c r="BF840" i="1"/>
  <c r="BE840" i="1"/>
  <c r="BD840" i="1"/>
  <c r="BC840" i="1"/>
  <c r="BB840" i="1"/>
  <c r="BA840" i="1"/>
  <c r="AZ840" i="1"/>
  <c r="BI840" i="1" s="1"/>
  <c r="AY840" i="1"/>
  <c r="BK839" i="1"/>
  <c r="BJ839" i="1"/>
  <c r="BH839" i="1"/>
  <c r="BG839" i="1"/>
  <c r="BF839" i="1"/>
  <c r="BE839" i="1"/>
  <c r="BD839" i="1"/>
  <c r="BC839" i="1"/>
  <c r="BB839" i="1"/>
  <c r="BA839" i="1"/>
  <c r="AZ839" i="1"/>
  <c r="AY839" i="1"/>
  <c r="BK838" i="1"/>
  <c r="BJ838" i="1"/>
  <c r="BH838" i="1"/>
  <c r="BG838" i="1"/>
  <c r="BF838" i="1"/>
  <c r="BE838" i="1"/>
  <c r="BD838" i="1"/>
  <c r="BC838" i="1"/>
  <c r="BB838" i="1"/>
  <c r="BA838" i="1"/>
  <c r="AZ838" i="1"/>
  <c r="BI838" i="1" s="1"/>
  <c r="AY838" i="1"/>
  <c r="BK837" i="1"/>
  <c r="BJ837" i="1"/>
  <c r="BH837" i="1"/>
  <c r="BG837" i="1"/>
  <c r="BF837" i="1"/>
  <c r="BE837" i="1"/>
  <c r="BD837" i="1"/>
  <c r="BC837" i="1"/>
  <c r="BB837" i="1"/>
  <c r="BA837" i="1"/>
  <c r="AZ837" i="1"/>
  <c r="BI837" i="1" s="1"/>
  <c r="AY837" i="1"/>
  <c r="BK836" i="1"/>
  <c r="BJ836" i="1"/>
  <c r="BI836" i="1"/>
  <c r="BH836" i="1"/>
  <c r="BG836" i="1"/>
  <c r="BF836" i="1"/>
  <c r="BE836" i="1"/>
  <c r="BD836" i="1"/>
  <c r="BC836" i="1"/>
  <c r="BB836" i="1"/>
  <c r="BA836" i="1"/>
  <c r="AZ836" i="1"/>
  <c r="AY836" i="1"/>
  <c r="BK835" i="1"/>
  <c r="BJ835" i="1"/>
  <c r="BI835" i="1"/>
  <c r="BH835" i="1"/>
  <c r="BG835" i="1"/>
  <c r="BF835" i="1"/>
  <c r="BE835" i="1"/>
  <c r="BD835" i="1"/>
  <c r="BC835" i="1"/>
  <c r="BB835" i="1"/>
  <c r="BA835" i="1"/>
  <c r="AZ835" i="1"/>
  <c r="AY835" i="1"/>
  <c r="BK834" i="1"/>
  <c r="BJ834" i="1"/>
  <c r="BH834" i="1"/>
  <c r="BG834" i="1"/>
  <c r="BF834" i="1"/>
  <c r="BE834" i="1"/>
  <c r="BD834" i="1"/>
  <c r="BC834" i="1"/>
  <c r="BB834" i="1"/>
  <c r="BA834" i="1"/>
  <c r="AZ834" i="1"/>
  <c r="AY834" i="1"/>
  <c r="BK833" i="1"/>
  <c r="BJ833" i="1"/>
  <c r="BH833" i="1"/>
  <c r="BG833" i="1"/>
  <c r="BF833" i="1"/>
  <c r="BE833" i="1"/>
  <c r="BD833" i="1"/>
  <c r="BC833" i="1"/>
  <c r="BB833" i="1"/>
  <c r="BA833" i="1"/>
  <c r="AZ833" i="1"/>
  <c r="BI833" i="1" s="1"/>
  <c r="AY833" i="1"/>
  <c r="BK832" i="1"/>
  <c r="BJ832" i="1"/>
  <c r="BH832" i="1"/>
  <c r="BG832" i="1"/>
  <c r="BF832" i="1"/>
  <c r="BE832" i="1"/>
  <c r="BD832" i="1"/>
  <c r="BC832" i="1"/>
  <c r="BB832" i="1"/>
  <c r="BA832" i="1"/>
  <c r="AZ832" i="1"/>
  <c r="BI832" i="1" s="1"/>
  <c r="AY832" i="1"/>
  <c r="BK831" i="1"/>
  <c r="BJ831" i="1"/>
  <c r="BH831" i="1"/>
  <c r="BG831" i="1"/>
  <c r="BF831" i="1"/>
  <c r="BE831" i="1"/>
  <c r="BD831" i="1"/>
  <c r="BC831" i="1"/>
  <c r="BB831" i="1"/>
  <c r="BA831" i="1"/>
  <c r="AZ831" i="1"/>
  <c r="BI831" i="1" s="1"/>
  <c r="AY831" i="1"/>
  <c r="BK830" i="1"/>
  <c r="BJ830" i="1"/>
  <c r="BH830" i="1"/>
  <c r="BG830" i="1"/>
  <c r="BF830" i="1"/>
  <c r="BE830" i="1"/>
  <c r="BD830" i="1"/>
  <c r="BC830" i="1"/>
  <c r="BB830" i="1"/>
  <c r="BA830" i="1"/>
  <c r="AZ830" i="1"/>
  <c r="BI830" i="1" s="1"/>
  <c r="AY830" i="1"/>
  <c r="BK829" i="1"/>
  <c r="BJ829" i="1"/>
  <c r="BH829" i="1"/>
  <c r="BG829" i="1"/>
  <c r="BF829" i="1"/>
  <c r="BE829" i="1"/>
  <c r="BD829" i="1"/>
  <c r="BC829" i="1"/>
  <c r="BB829" i="1"/>
  <c r="BA829" i="1"/>
  <c r="AZ829" i="1"/>
  <c r="BI829" i="1" s="1"/>
  <c r="AY829" i="1"/>
  <c r="BK828" i="1"/>
  <c r="BJ828" i="1"/>
  <c r="BH828" i="1"/>
  <c r="BG828" i="1"/>
  <c r="BF828" i="1"/>
  <c r="BE828" i="1"/>
  <c r="BD828" i="1"/>
  <c r="BC828" i="1"/>
  <c r="BB828" i="1"/>
  <c r="BA828" i="1"/>
  <c r="AZ828" i="1"/>
  <c r="BI828" i="1" s="1"/>
  <c r="AY828" i="1"/>
  <c r="BK827" i="1"/>
  <c r="BJ827" i="1"/>
  <c r="BH827" i="1"/>
  <c r="BG827" i="1"/>
  <c r="BF827" i="1"/>
  <c r="BE827" i="1"/>
  <c r="BD827" i="1"/>
  <c r="BC827" i="1"/>
  <c r="BB827" i="1"/>
  <c r="BA827" i="1"/>
  <c r="AZ827" i="1"/>
  <c r="BI827" i="1" s="1"/>
  <c r="AY827" i="1"/>
  <c r="BK826" i="1"/>
  <c r="BJ826" i="1"/>
  <c r="BH826" i="1"/>
  <c r="BG826" i="1"/>
  <c r="BF826" i="1"/>
  <c r="BE826" i="1"/>
  <c r="BD826" i="1"/>
  <c r="BC826" i="1"/>
  <c r="BB826" i="1"/>
  <c r="BA826" i="1"/>
  <c r="AZ826" i="1"/>
  <c r="BI826" i="1" s="1"/>
  <c r="AY826" i="1"/>
  <c r="BK825" i="1"/>
  <c r="BJ825" i="1"/>
  <c r="BH825" i="1"/>
  <c r="BG825" i="1"/>
  <c r="BF825" i="1"/>
  <c r="BE825" i="1"/>
  <c r="BD825" i="1"/>
  <c r="BC825" i="1"/>
  <c r="BB825" i="1"/>
  <c r="BA825" i="1"/>
  <c r="AZ825" i="1"/>
  <c r="BI825" i="1" s="1"/>
  <c r="AY825" i="1"/>
  <c r="BK824" i="1"/>
  <c r="BJ824" i="1"/>
  <c r="BH824" i="1"/>
  <c r="BG824" i="1"/>
  <c r="BF824" i="1"/>
  <c r="BE824" i="1"/>
  <c r="BD824" i="1"/>
  <c r="BC824" i="1"/>
  <c r="BB824" i="1"/>
  <c r="BA824" i="1"/>
  <c r="AZ824" i="1"/>
  <c r="BI824" i="1" s="1"/>
  <c r="AY824" i="1"/>
  <c r="BK823" i="1"/>
  <c r="BJ823" i="1"/>
  <c r="BI823" i="1"/>
  <c r="BH823" i="1"/>
  <c r="BG823" i="1"/>
  <c r="BF823" i="1"/>
  <c r="BE823" i="1"/>
  <c r="BD823" i="1"/>
  <c r="BC823" i="1"/>
  <c r="BB823" i="1"/>
  <c r="BA823" i="1"/>
  <c r="AZ823" i="1"/>
  <c r="AY823" i="1"/>
  <c r="BK822" i="1"/>
  <c r="BJ822" i="1"/>
  <c r="BH822" i="1"/>
  <c r="BG822" i="1"/>
  <c r="BF822" i="1"/>
  <c r="BE822" i="1"/>
  <c r="BD822" i="1"/>
  <c r="BC822" i="1"/>
  <c r="BB822" i="1"/>
  <c r="BA822" i="1"/>
  <c r="AZ822" i="1"/>
  <c r="BI822" i="1" s="1"/>
  <c r="AY822" i="1"/>
  <c r="BK821" i="1"/>
  <c r="BJ821" i="1"/>
  <c r="BH821" i="1"/>
  <c r="BG821" i="1"/>
  <c r="BF821" i="1"/>
  <c r="BE821" i="1"/>
  <c r="BD821" i="1"/>
  <c r="BC821" i="1"/>
  <c r="BB821" i="1"/>
  <c r="BA821" i="1"/>
  <c r="AZ821" i="1"/>
  <c r="BI821" i="1" s="1"/>
  <c r="AY821" i="1"/>
  <c r="BK820" i="1"/>
  <c r="BJ820" i="1"/>
  <c r="BH820" i="1"/>
  <c r="BG820" i="1"/>
  <c r="BF820" i="1"/>
  <c r="BE820" i="1"/>
  <c r="BD820" i="1"/>
  <c r="BC820" i="1"/>
  <c r="BB820" i="1"/>
  <c r="BA820" i="1"/>
  <c r="AZ820" i="1"/>
  <c r="BI820" i="1" s="1"/>
  <c r="AY820" i="1"/>
  <c r="BK819" i="1"/>
  <c r="BJ819" i="1"/>
  <c r="BH819" i="1"/>
  <c r="BG819" i="1"/>
  <c r="BF819" i="1"/>
  <c r="BE819" i="1"/>
  <c r="BD819" i="1"/>
  <c r="BC819" i="1"/>
  <c r="BB819" i="1"/>
  <c r="BA819" i="1"/>
  <c r="AZ819" i="1"/>
  <c r="AY819" i="1"/>
  <c r="BK818" i="1"/>
  <c r="BJ818" i="1"/>
  <c r="BH818" i="1"/>
  <c r="BG818" i="1"/>
  <c r="BF818" i="1"/>
  <c r="BE818" i="1"/>
  <c r="BD818" i="1"/>
  <c r="BC818" i="1"/>
  <c r="BB818" i="1"/>
  <c r="BA818" i="1"/>
  <c r="AZ818" i="1"/>
  <c r="BI818" i="1" s="1"/>
  <c r="AY818" i="1"/>
  <c r="BK817" i="1"/>
  <c r="BJ817" i="1"/>
  <c r="BH817" i="1"/>
  <c r="BG817" i="1"/>
  <c r="BF817" i="1"/>
  <c r="BE817" i="1"/>
  <c r="BD817" i="1"/>
  <c r="BC817" i="1"/>
  <c r="BB817" i="1"/>
  <c r="BA817" i="1"/>
  <c r="AZ817" i="1"/>
  <c r="BI817" i="1" s="1"/>
  <c r="AY817" i="1"/>
  <c r="BK816" i="1"/>
  <c r="BJ816" i="1"/>
  <c r="BH816" i="1"/>
  <c r="BG816" i="1"/>
  <c r="BF816" i="1"/>
  <c r="BE816" i="1"/>
  <c r="BD816" i="1"/>
  <c r="BC816" i="1"/>
  <c r="BB816" i="1"/>
  <c r="BA816" i="1"/>
  <c r="AZ816" i="1"/>
  <c r="BI816" i="1" s="1"/>
  <c r="AY816" i="1"/>
  <c r="BK815" i="1"/>
  <c r="BJ815" i="1"/>
  <c r="BH815" i="1"/>
  <c r="BG815" i="1"/>
  <c r="BF815" i="1"/>
  <c r="BE815" i="1"/>
  <c r="BD815" i="1"/>
  <c r="BC815" i="1"/>
  <c r="BB815" i="1"/>
  <c r="BA815" i="1"/>
  <c r="AZ815" i="1"/>
  <c r="BI815" i="1" s="1"/>
  <c r="AY815" i="1"/>
  <c r="BK814" i="1"/>
  <c r="BJ814" i="1"/>
  <c r="BH814" i="1"/>
  <c r="BG814" i="1"/>
  <c r="BF814" i="1"/>
  <c r="BE814" i="1"/>
  <c r="BD814" i="1"/>
  <c r="BC814" i="1"/>
  <c r="BB814" i="1"/>
  <c r="BA814" i="1"/>
  <c r="AZ814" i="1"/>
  <c r="BI814" i="1" s="1"/>
  <c r="AY814" i="1"/>
  <c r="BK813" i="1"/>
  <c r="BJ813" i="1"/>
  <c r="BH813" i="1"/>
  <c r="BG813" i="1"/>
  <c r="BF813" i="1"/>
  <c r="BE813" i="1"/>
  <c r="BD813" i="1"/>
  <c r="BC813" i="1"/>
  <c r="BB813" i="1"/>
  <c r="BA813" i="1"/>
  <c r="AZ813" i="1"/>
  <c r="BI813" i="1" s="1"/>
  <c r="AY813" i="1"/>
  <c r="BK812" i="1"/>
  <c r="BJ812" i="1"/>
  <c r="BH812" i="1"/>
  <c r="BG812" i="1"/>
  <c r="BF812" i="1"/>
  <c r="BE812" i="1"/>
  <c r="BD812" i="1"/>
  <c r="BC812" i="1"/>
  <c r="BB812" i="1"/>
  <c r="BA812" i="1"/>
  <c r="AZ812" i="1"/>
  <c r="BI812" i="1" s="1"/>
  <c r="AY812" i="1"/>
  <c r="BK811" i="1"/>
  <c r="BJ811" i="1"/>
  <c r="BH811" i="1"/>
  <c r="BG811" i="1"/>
  <c r="BF811" i="1"/>
  <c r="BE811" i="1"/>
  <c r="BD811" i="1"/>
  <c r="BC811" i="1"/>
  <c r="BB811" i="1"/>
  <c r="BA811" i="1"/>
  <c r="AZ811" i="1"/>
  <c r="BI811" i="1" s="1"/>
  <c r="AY811" i="1"/>
  <c r="BK810" i="1"/>
  <c r="BJ810" i="1"/>
  <c r="BH810" i="1"/>
  <c r="BG810" i="1"/>
  <c r="BF810" i="1"/>
  <c r="BE810" i="1"/>
  <c r="BD810" i="1"/>
  <c r="BC810" i="1"/>
  <c r="BB810" i="1"/>
  <c r="BA810" i="1"/>
  <c r="AZ810" i="1"/>
  <c r="AY810" i="1"/>
  <c r="BK809" i="1"/>
  <c r="BJ809" i="1"/>
  <c r="BH809" i="1"/>
  <c r="BG809" i="1"/>
  <c r="BF809" i="1"/>
  <c r="BE809" i="1"/>
  <c r="BD809" i="1"/>
  <c r="BC809" i="1"/>
  <c r="BB809" i="1"/>
  <c r="BA809" i="1"/>
  <c r="AZ809" i="1"/>
  <c r="BI809" i="1" s="1"/>
  <c r="AY809" i="1"/>
  <c r="BK808" i="1"/>
  <c r="BJ808" i="1"/>
  <c r="BH808" i="1"/>
  <c r="BG808" i="1"/>
  <c r="BF808" i="1"/>
  <c r="BE808" i="1"/>
  <c r="BD808" i="1"/>
  <c r="BC808" i="1"/>
  <c r="BB808" i="1"/>
  <c r="BA808" i="1"/>
  <c r="AZ808" i="1"/>
  <c r="BI808" i="1" s="1"/>
  <c r="AY808" i="1"/>
  <c r="BK807" i="1"/>
  <c r="BJ807" i="1"/>
  <c r="BI807" i="1"/>
  <c r="BH807" i="1"/>
  <c r="BG807" i="1"/>
  <c r="BF807" i="1"/>
  <c r="BE807" i="1"/>
  <c r="BD807" i="1"/>
  <c r="BC807" i="1"/>
  <c r="BB807" i="1"/>
  <c r="BA807" i="1"/>
  <c r="AZ807" i="1"/>
  <c r="AY807" i="1"/>
  <c r="BK806" i="1"/>
  <c r="BJ806" i="1"/>
  <c r="BH806" i="1"/>
  <c r="BG806" i="1"/>
  <c r="BF806" i="1"/>
  <c r="BE806" i="1"/>
  <c r="BD806" i="1"/>
  <c r="BC806" i="1"/>
  <c r="BB806" i="1"/>
  <c r="BA806" i="1"/>
  <c r="AZ806" i="1"/>
  <c r="BI806" i="1" s="1"/>
  <c r="AY806" i="1"/>
  <c r="BK805" i="1"/>
  <c r="BJ805" i="1"/>
  <c r="BH805" i="1"/>
  <c r="BG805" i="1"/>
  <c r="BF805" i="1"/>
  <c r="BE805" i="1"/>
  <c r="BD805" i="1"/>
  <c r="BC805" i="1"/>
  <c r="BB805" i="1"/>
  <c r="BA805" i="1"/>
  <c r="AZ805" i="1"/>
  <c r="BI805" i="1" s="1"/>
  <c r="AY805" i="1"/>
  <c r="BK804" i="1"/>
  <c r="BJ804" i="1"/>
  <c r="BH804" i="1"/>
  <c r="BG804" i="1"/>
  <c r="BF804" i="1"/>
  <c r="BE804" i="1"/>
  <c r="BD804" i="1"/>
  <c r="BC804" i="1"/>
  <c r="BB804" i="1"/>
  <c r="BA804" i="1"/>
  <c r="AZ804" i="1"/>
  <c r="BI804" i="1" s="1"/>
  <c r="AY804" i="1"/>
  <c r="BK803" i="1"/>
  <c r="BJ803" i="1"/>
  <c r="BH803" i="1"/>
  <c r="BG803" i="1"/>
  <c r="BF803" i="1"/>
  <c r="BE803" i="1"/>
  <c r="BD803" i="1"/>
  <c r="BC803" i="1"/>
  <c r="BB803" i="1"/>
  <c r="BA803" i="1"/>
  <c r="AZ803" i="1"/>
  <c r="BI803" i="1" s="1"/>
  <c r="AY803" i="1"/>
  <c r="BK802" i="1"/>
  <c r="BJ802" i="1"/>
  <c r="BH802" i="1"/>
  <c r="BG802" i="1"/>
  <c r="BF802" i="1"/>
  <c r="BE802" i="1"/>
  <c r="BD802" i="1"/>
  <c r="BC802" i="1"/>
  <c r="BB802" i="1"/>
  <c r="BA802" i="1"/>
  <c r="AZ802" i="1"/>
  <c r="AY802" i="1"/>
  <c r="BK801" i="1"/>
  <c r="BJ801" i="1"/>
  <c r="BH801" i="1"/>
  <c r="BG801" i="1"/>
  <c r="BF801" i="1"/>
  <c r="BE801" i="1"/>
  <c r="BD801" i="1"/>
  <c r="BC801" i="1"/>
  <c r="BB801" i="1"/>
  <c r="BA801" i="1"/>
  <c r="AZ801" i="1"/>
  <c r="BI801" i="1" s="1"/>
  <c r="AY801" i="1"/>
  <c r="BK800" i="1"/>
  <c r="BJ800" i="1"/>
  <c r="BH800" i="1"/>
  <c r="BG800" i="1"/>
  <c r="BF800" i="1"/>
  <c r="BE800" i="1"/>
  <c r="BD800" i="1"/>
  <c r="BC800" i="1"/>
  <c r="BB800" i="1"/>
  <c r="BA800" i="1"/>
  <c r="AZ800" i="1"/>
  <c r="BI800" i="1" s="1"/>
  <c r="AY800" i="1"/>
  <c r="BK799" i="1"/>
  <c r="BJ799" i="1"/>
  <c r="BH799" i="1"/>
  <c r="BG799" i="1"/>
  <c r="BF799" i="1"/>
  <c r="BE799" i="1"/>
  <c r="BD799" i="1"/>
  <c r="BC799" i="1"/>
  <c r="BB799" i="1"/>
  <c r="BA799" i="1"/>
  <c r="AZ799" i="1"/>
  <c r="BI799" i="1" s="1"/>
  <c r="AY799" i="1"/>
  <c r="BK798" i="1"/>
  <c r="BJ798" i="1"/>
  <c r="BH798" i="1"/>
  <c r="BG798" i="1"/>
  <c r="BF798" i="1"/>
  <c r="BE798" i="1"/>
  <c r="BD798" i="1"/>
  <c r="BC798" i="1"/>
  <c r="BB798" i="1"/>
  <c r="BA798" i="1"/>
  <c r="AZ798" i="1"/>
  <c r="BI798" i="1" s="1"/>
  <c r="AY798" i="1"/>
  <c r="BK797" i="1"/>
  <c r="BJ797" i="1"/>
  <c r="BH797" i="1"/>
  <c r="BG797" i="1"/>
  <c r="BF797" i="1"/>
  <c r="BE797" i="1"/>
  <c r="BD797" i="1"/>
  <c r="BC797" i="1"/>
  <c r="BB797" i="1"/>
  <c r="BA797" i="1"/>
  <c r="AZ797" i="1"/>
  <c r="BI797" i="1" s="1"/>
  <c r="AY797" i="1"/>
  <c r="BK796" i="1"/>
  <c r="BJ796" i="1"/>
  <c r="BH796" i="1"/>
  <c r="BG796" i="1"/>
  <c r="BF796" i="1"/>
  <c r="BE796" i="1"/>
  <c r="BD796" i="1"/>
  <c r="BC796" i="1"/>
  <c r="BB796" i="1"/>
  <c r="BA796" i="1"/>
  <c r="AZ796" i="1"/>
  <c r="BI796" i="1" s="1"/>
  <c r="AY796" i="1"/>
  <c r="BK795" i="1"/>
  <c r="BJ795" i="1"/>
  <c r="BH795" i="1"/>
  <c r="BG795" i="1"/>
  <c r="BF795" i="1"/>
  <c r="BE795" i="1"/>
  <c r="BD795" i="1"/>
  <c r="BC795" i="1"/>
  <c r="BB795" i="1"/>
  <c r="BA795" i="1"/>
  <c r="AZ795" i="1"/>
  <c r="AY795" i="1"/>
  <c r="BK794" i="1"/>
  <c r="BJ794" i="1"/>
  <c r="BH794" i="1"/>
  <c r="BG794" i="1"/>
  <c r="BF794" i="1"/>
  <c r="BE794" i="1"/>
  <c r="BD794" i="1"/>
  <c r="BC794" i="1"/>
  <c r="BB794" i="1"/>
  <c r="BA794" i="1"/>
  <c r="AZ794" i="1"/>
  <c r="BI794" i="1" s="1"/>
  <c r="AY794" i="1"/>
  <c r="BK793" i="1"/>
  <c r="BJ793" i="1"/>
  <c r="BH793" i="1"/>
  <c r="BG793" i="1"/>
  <c r="BF793" i="1"/>
  <c r="BE793" i="1"/>
  <c r="BD793" i="1"/>
  <c r="BC793" i="1"/>
  <c r="BB793" i="1"/>
  <c r="BA793" i="1"/>
  <c r="AZ793" i="1"/>
  <c r="BI793" i="1" s="1"/>
  <c r="AY793" i="1"/>
  <c r="BK792" i="1"/>
  <c r="BJ792" i="1"/>
  <c r="BH792" i="1"/>
  <c r="BG792" i="1"/>
  <c r="BF792" i="1"/>
  <c r="BE792" i="1"/>
  <c r="BD792" i="1"/>
  <c r="BC792" i="1"/>
  <c r="BB792" i="1"/>
  <c r="BA792" i="1"/>
  <c r="AZ792" i="1"/>
  <c r="BI792" i="1" s="1"/>
  <c r="AY792" i="1"/>
  <c r="BK791" i="1"/>
  <c r="BJ791" i="1"/>
  <c r="BH791" i="1"/>
  <c r="BG791" i="1"/>
  <c r="BF791" i="1"/>
  <c r="BE791" i="1"/>
  <c r="BD791" i="1"/>
  <c r="BC791" i="1"/>
  <c r="BB791" i="1"/>
  <c r="BA791" i="1"/>
  <c r="AZ791" i="1"/>
  <c r="AY791" i="1"/>
  <c r="BK790" i="1"/>
  <c r="BJ790" i="1"/>
  <c r="BH790" i="1"/>
  <c r="BG790" i="1"/>
  <c r="BF790" i="1"/>
  <c r="BE790" i="1"/>
  <c r="BD790" i="1"/>
  <c r="BC790" i="1"/>
  <c r="BB790" i="1"/>
  <c r="BA790" i="1"/>
  <c r="AZ790" i="1"/>
  <c r="AY790" i="1"/>
  <c r="BK789" i="1"/>
  <c r="BJ789" i="1"/>
  <c r="BH789" i="1"/>
  <c r="BG789" i="1"/>
  <c r="BF789" i="1"/>
  <c r="BE789" i="1"/>
  <c r="BD789" i="1"/>
  <c r="BC789" i="1"/>
  <c r="BB789" i="1"/>
  <c r="BA789" i="1"/>
  <c r="AZ789" i="1"/>
  <c r="BI789" i="1" s="1"/>
  <c r="AY789" i="1"/>
  <c r="BK788" i="1"/>
  <c r="BJ788" i="1"/>
  <c r="BH788" i="1"/>
  <c r="BG788" i="1"/>
  <c r="BF788" i="1"/>
  <c r="BE788" i="1"/>
  <c r="BD788" i="1"/>
  <c r="BC788" i="1"/>
  <c r="BB788" i="1"/>
  <c r="BA788" i="1"/>
  <c r="AZ788" i="1"/>
  <c r="BI788" i="1" s="1"/>
  <c r="AY788" i="1"/>
  <c r="BK787" i="1"/>
  <c r="BJ787" i="1"/>
  <c r="BH787" i="1"/>
  <c r="BG787" i="1"/>
  <c r="BF787" i="1"/>
  <c r="BE787" i="1"/>
  <c r="BD787" i="1"/>
  <c r="BC787" i="1"/>
  <c r="BB787" i="1"/>
  <c r="BA787" i="1"/>
  <c r="AZ787" i="1"/>
  <c r="BI787" i="1" s="1"/>
  <c r="AY787" i="1"/>
  <c r="BK786" i="1"/>
  <c r="BJ786" i="1"/>
  <c r="BH786" i="1"/>
  <c r="BG786" i="1"/>
  <c r="BF786" i="1"/>
  <c r="BE786" i="1"/>
  <c r="BD786" i="1"/>
  <c r="BC786" i="1"/>
  <c r="BB786" i="1"/>
  <c r="BA786" i="1"/>
  <c r="AZ786" i="1"/>
  <c r="BI786" i="1" s="1"/>
  <c r="AY786" i="1"/>
  <c r="BK785" i="1"/>
  <c r="BJ785" i="1"/>
  <c r="BH785" i="1"/>
  <c r="BG785" i="1"/>
  <c r="BF785" i="1"/>
  <c r="BE785" i="1"/>
  <c r="BD785" i="1"/>
  <c r="BC785" i="1"/>
  <c r="BB785" i="1"/>
  <c r="BA785" i="1"/>
  <c r="AZ785" i="1"/>
  <c r="BI785" i="1" s="1"/>
  <c r="AY785" i="1"/>
  <c r="BK784" i="1"/>
  <c r="BJ784" i="1"/>
  <c r="BH784" i="1"/>
  <c r="BG784" i="1"/>
  <c r="BF784" i="1"/>
  <c r="BE784" i="1"/>
  <c r="BD784" i="1"/>
  <c r="BC784" i="1"/>
  <c r="BB784" i="1"/>
  <c r="BA784" i="1"/>
  <c r="AZ784" i="1"/>
  <c r="BI784" i="1" s="1"/>
  <c r="AY784" i="1"/>
  <c r="BK783" i="1"/>
  <c r="BJ783" i="1"/>
  <c r="BH783" i="1"/>
  <c r="BG783" i="1"/>
  <c r="BF783" i="1"/>
  <c r="BE783" i="1"/>
  <c r="BD783" i="1"/>
  <c r="BC783" i="1"/>
  <c r="BB783" i="1"/>
  <c r="BA783" i="1"/>
  <c r="AZ783" i="1"/>
  <c r="BI783" i="1" s="1"/>
  <c r="AY783" i="1"/>
  <c r="BK782" i="1"/>
  <c r="BJ782" i="1"/>
  <c r="BH782" i="1"/>
  <c r="BG782" i="1"/>
  <c r="BF782" i="1"/>
  <c r="BE782" i="1"/>
  <c r="BD782" i="1"/>
  <c r="BC782" i="1"/>
  <c r="BB782" i="1"/>
  <c r="BA782" i="1"/>
  <c r="AZ782" i="1"/>
  <c r="BI782" i="1" s="1"/>
  <c r="AY782" i="1"/>
  <c r="BK781" i="1"/>
  <c r="BJ781" i="1"/>
  <c r="BH781" i="1"/>
  <c r="BG781" i="1"/>
  <c r="BF781" i="1"/>
  <c r="BE781" i="1"/>
  <c r="BD781" i="1"/>
  <c r="BC781" i="1"/>
  <c r="BB781" i="1"/>
  <c r="BA781" i="1"/>
  <c r="AZ781" i="1"/>
  <c r="BI781" i="1" s="1"/>
  <c r="AY781" i="1"/>
  <c r="BK780" i="1"/>
  <c r="BJ780" i="1"/>
  <c r="BI780" i="1"/>
  <c r="BH780" i="1"/>
  <c r="BG780" i="1"/>
  <c r="BF780" i="1"/>
  <c r="BE780" i="1"/>
  <c r="BD780" i="1"/>
  <c r="BC780" i="1"/>
  <c r="BB780" i="1"/>
  <c r="BA780" i="1"/>
  <c r="AZ780" i="1"/>
  <c r="AY780" i="1"/>
  <c r="BK779" i="1"/>
  <c r="BJ779" i="1"/>
  <c r="BI779" i="1"/>
  <c r="BH779" i="1"/>
  <c r="BG779" i="1"/>
  <c r="BF779" i="1"/>
  <c r="BE779" i="1"/>
  <c r="BD779" i="1"/>
  <c r="BC779" i="1"/>
  <c r="BB779" i="1"/>
  <c r="BA779" i="1"/>
  <c r="AZ779" i="1"/>
  <c r="AY779" i="1"/>
  <c r="BK778" i="1"/>
  <c r="BJ778" i="1"/>
  <c r="BH778" i="1"/>
  <c r="BG778" i="1"/>
  <c r="BF778" i="1"/>
  <c r="BE778" i="1"/>
  <c r="BD778" i="1"/>
  <c r="BC778" i="1"/>
  <c r="BB778" i="1"/>
  <c r="BA778" i="1"/>
  <c r="AZ778" i="1"/>
  <c r="AY778" i="1"/>
  <c r="BK777" i="1"/>
  <c r="BJ777" i="1"/>
  <c r="BH777" i="1"/>
  <c r="BG777" i="1"/>
  <c r="BF777" i="1"/>
  <c r="BE777" i="1"/>
  <c r="BD777" i="1"/>
  <c r="BC777" i="1"/>
  <c r="BB777" i="1"/>
  <c r="BA777" i="1"/>
  <c r="AZ777" i="1"/>
  <c r="BI777" i="1" s="1"/>
  <c r="AY777" i="1"/>
  <c r="BK776" i="1"/>
  <c r="BJ776" i="1"/>
  <c r="BH776" i="1"/>
  <c r="BG776" i="1"/>
  <c r="BF776" i="1"/>
  <c r="BE776" i="1"/>
  <c r="BD776" i="1"/>
  <c r="BC776" i="1"/>
  <c r="BB776" i="1"/>
  <c r="BA776" i="1"/>
  <c r="AZ776" i="1"/>
  <c r="BI776" i="1" s="1"/>
  <c r="AY776" i="1"/>
  <c r="BK775" i="1"/>
  <c r="BJ775" i="1"/>
  <c r="BH775" i="1"/>
  <c r="BG775" i="1"/>
  <c r="BF775" i="1"/>
  <c r="BE775" i="1"/>
  <c r="BD775" i="1"/>
  <c r="BC775" i="1"/>
  <c r="BB775" i="1"/>
  <c r="BA775" i="1"/>
  <c r="AZ775" i="1"/>
  <c r="BI775" i="1" s="1"/>
  <c r="AY775" i="1"/>
  <c r="BK774" i="1"/>
  <c r="BJ774" i="1"/>
  <c r="BH774" i="1"/>
  <c r="BG774" i="1"/>
  <c r="BF774" i="1"/>
  <c r="BE774" i="1"/>
  <c r="BD774" i="1"/>
  <c r="BC774" i="1"/>
  <c r="BB774" i="1"/>
  <c r="BA774" i="1"/>
  <c r="AZ774" i="1"/>
  <c r="BI774" i="1" s="1"/>
  <c r="AY774" i="1"/>
  <c r="BK773" i="1"/>
  <c r="BJ773" i="1"/>
  <c r="BH773" i="1"/>
  <c r="BG773" i="1"/>
  <c r="BF773" i="1"/>
  <c r="BE773" i="1"/>
  <c r="BD773" i="1"/>
  <c r="BC773" i="1"/>
  <c r="BB773" i="1"/>
  <c r="BA773" i="1"/>
  <c r="AZ773" i="1"/>
  <c r="BI773" i="1" s="1"/>
  <c r="AY773" i="1"/>
  <c r="BK772" i="1"/>
  <c r="BJ772" i="1"/>
  <c r="BH772" i="1"/>
  <c r="BG772" i="1"/>
  <c r="BF772" i="1"/>
  <c r="BE772" i="1"/>
  <c r="BD772" i="1"/>
  <c r="BC772" i="1"/>
  <c r="BB772" i="1"/>
  <c r="BA772" i="1"/>
  <c r="AZ772" i="1"/>
  <c r="BI772" i="1" s="1"/>
  <c r="AY772" i="1"/>
  <c r="BK771" i="1"/>
  <c r="BJ771" i="1"/>
  <c r="BH771" i="1"/>
  <c r="BG771" i="1"/>
  <c r="BF771" i="1"/>
  <c r="BE771" i="1"/>
  <c r="BD771" i="1"/>
  <c r="BC771" i="1"/>
  <c r="BB771" i="1"/>
  <c r="BA771" i="1"/>
  <c r="AZ771" i="1"/>
  <c r="BI771" i="1" s="1"/>
  <c r="AY771" i="1"/>
  <c r="BK770" i="1"/>
  <c r="BJ770" i="1"/>
  <c r="BH770" i="1"/>
  <c r="BG770" i="1"/>
  <c r="BF770" i="1"/>
  <c r="BE770" i="1"/>
  <c r="BD770" i="1"/>
  <c r="BC770" i="1"/>
  <c r="BB770" i="1"/>
  <c r="BA770" i="1"/>
  <c r="AZ770" i="1"/>
  <c r="BI770" i="1" s="1"/>
  <c r="AY770" i="1"/>
  <c r="BK769" i="1"/>
  <c r="BJ769" i="1"/>
  <c r="BH769" i="1"/>
  <c r="BG769" i="1"/>
  <c r="BF769" i="1"/>
  <c r="BE769" i="1"/>
  <c r="BD769" i="1"/>
  <c r="BC769" i="1"/>
  <c r="BB769" i="1"/>
  <c r="BA769" i="1"/>
  <c r="AZ769" i="1"/>
  <c r="AY769" i="1"/>
  <c r="BK768" i="1"/>
  <c r="BJ768" i="1"/>
  <c r="BH768" i="1"/>
  <c r="BG768" i="1"/>
  <c r="BF768" i="1"/>
  <c r="BE768" i="1"/>
  <c r="BD768" i="1"/>
  <c r="BC768" i="1"/>
  <c r="BB768" i="1"/>
  <c r="BA768" i="1"/>
  <c r="AZ768" i="1"/>
  <c r="BI768" i="1" s="1"/>
  <c r="AY768" i="1"/>
  <c r="BK767" i="1"/>
  <c r="BJ767" i="1"/>
  <c r="BH767" i="1"/>
  <c r="BG767" i="1"/>
  <c r="BF767" i="1"/>
  <c r="BE767" i="1"/>
  <c r="BD767" i="1"/>
  <c r="BC767" i="1"/>
  <c r="BB767" i="1"/>
  <c r="BA767" i="1"/>
  <c r="AZ767" i="1"/>
  <c r="BI767" i="1" s="1"/>
  <c r="AY767" i="1"/>
  <c r="BK766" i="1"/>
  <c r="BJ766" i="1"/>
  <c r="BH766" i="1"/>
  <c r="BG766" i="1"/>
  <c r="BF766" i="1"/>
  <c r="BE766" i="1"/>
  <c r="BD766" i="1"/>
  <c r="BC766" i="1"/>
  <c r="BB766" i="1"/>
  <c r="BA766" i="1"/>
  <c r="AZ766" i="1"/>
  <c r="BI766" i="1" s="1"/>
  <c r="AY766" i="1"/>
  <c r="BK765" i="1"/>
  <c r="BJ765" i="1"/>
  <c r="BH765" i="1"/>
  <c r="BG765" i="1"/>
  <c r="BF765" i="1"/>
  <c r="BE765" i="1"/>
  <c r="BD765" i="1"/>
  <c r="BC765" i="1"/>
  <c r="BB765" i="1"/>
  <c r="BA765" i="1"/>
  <c r="AZ765" i="1"/>
  <c r="BI765" i="1" s="1"/>
  <c r="AY765" i="1"/>
  <c r="BK764" i="1"/>
  <c r="BJ764" i="1"/>
  <c r="BH764" i="1"/>
  <c r="BG764" i="1"/>
  <c r="BF764" i="1"/>
  <c r="BE764" i="1"/>
  <c r="BD764" i="1"/>
  <c r="BC764" i="1"/>
  <c r="BB764" i="1"/>
  <c r="BA764" i="1"/>
  <c r="AZ764" i="1"/>
  <c r="BI764" i="1" s="1"/>
  <c r="AY764" i="1"/>
  <c r="BK763" i="1"/>
  <c r="BJ763" i="1"/>
  <c r="BH763" i="1"/>
  <c r="BG763" i="1"/>
  <c r="BF763" i="1"/>
  <c r="BE763" i="1"/>
  <c r="BD763" i="1"/>
  <c r="BC763" i="1"/>
  <c r="BB763" i="1"/>
  <c r="BA763" i="1"/>
  <c r="AZ763" i="1"/>
  <c r="BI763" i="1" s="1"/>
  <c r="AY763" i="1"/>
  <c r="BK762" i="1"/>
  <c r="BJ762" i="1"/>
  <c r="BH762" i="1"/>
  <c r="BG762" i="1"/>
  <c r="BF762" i="1"/>
  <c r="BE762" i="1"/>
  <c r="BD762" i="1"/>
  <c r="BC762" i="1"/>
  <c r="BB762" i="1"/>
  <c r="BA762" i="1"/>
  <c r="AZ762" i="1"/>
  <c r="AY762" i="1"/>
  <c r="BK761" i="1"/>
  <c r="BJ761" i="1"/>
  <c r="BH761" i="1"/>
  <c r="BG761" i="1"/>
  <c r="BF761" i="1"/>
  <c r="BE761" i="1"/>
  <c r="BD761" i="1"/>
  <c r="BC761" i="1"/>
  <c r="BB761" i="1"/>
  <c r="BA761" i="1"/>
  <c r="AZ761" i="1"/>
  <c r="BI761" i="1" s="1"/>
  <c r="AY761" i="1"/>
  <c r="BK760" i="1"/>
  <c r="BJ760" i="1"/>
  <c r="BH760" i="1"/>
  <c r="BG760" i="1"/>
  <c r="BF760" i="1"/>
  <c r="BE760" i="1"/>
  <c r="BD760" i="1"/>
  <c r="BC760" i="1"/>
  <c r="BB760" i="1"/>
  <c r="BA760" i="1"/>
  <c r="AZ760" i="1"/>
  <c r="BI760" i="1" s="1"/>
  <c r="AY760" i="1"/>
  <c r="BK759" i="1"/>
  <c r="BJ759" i="1"/>
  <c r="BH759" i="1"/>
  <c r="BG759" i="1"/>
  <c r="BF759" i="1"/>
  <c r="BE759" i="1"/>
  <c r="BD759" i="1"/>
  <c r="BC759" i="1"/>
  <c r="BB759" i="1"/>
  <c r="BA759" i="1"/>
  <c r="AZ759" i="1"/>
  <c r="BI759" i="1" s="1"/>
  <c r="AY759" i="1"/>
  <c r="BK758" i="1"/>
  <c r="BJ758" i="1"/>
  <c r="BH758" i="1"/>
  <c r="BG758" i="1"/>
  <c r="BF758" i="1"/>
  <c r="BE758" i="1"/>
  <c r="BD758" i="1"/>
  <c r="BC758" i="1"/>
  <c r="BB758" i="1"/>
  <c r="BA758" i="1"/>
  <c r="AZ758" i="1"/>
  <c r="AY758" i="1"/>
  <c r="BK757" i="1"/>
  <c r="BJ757" i="1"/>
  <c r="BH757" i="1"/>
  <c r="BG757" i="1"/>
  <c r="BF757" i="1"/>
  <c r="BE757" i="1"/>
  <c r="BD757" i="1"/>
  <c r="BC757" i="1"/>
  <c r="BB757" i="1"/>
  <c r="BA757" i="1"/>
  <c r="AZ757" i="1"/>
  <c r="BI757" i="1" s="1"/>
  <c r="AY757" i="1"/>
  <c r="BK756" i="1"/>
  <c r="BJ756" i="1"/>
  <c r="BH756" i="1"/>
  <c r="BG756" i="1"/>
  <c r="BF756" i="1"/>
  <c r="BE756" i="1"/>
  <c r="BD756" i="1"/>
  <c r="BC756" i="1"/>
  <c r="BB756" i="1"/>
  <c r="BA756" i="1"/>
  <c r="AZ756" i="1"/>
  <c r="BI756" i="1" s="1"/>
  <c r="AY756" i="1"/>
  <c r="BK755" i="1"/>
  <c r="BJ755" i="1"/>
  <c r="BH755" i="1"/>
  <c r="BG755" i="1"/>
  <c r="BF755" i="1"/>
  <c r="BE755" i="1"/>
  <c r="BD755" i="1"/>
  <c r="BC755" i="1"/>
  <c r="BB755" i="1"/>
  <c r="BA755" i="1"/>
  <c r="AZ755" i="1"/>
  <c r="BI755" i="1" s="1"/>
  <c r="AY755" i="1"/>
  <c r="BK754" i="1"/>
  <c r="BJ754" i="1"/>
  <c r="BH754" i="1"/>
  <c r="BG754" i="1"/>
  <c r="BF754" i="1"/>
  <c r="BE754" i="1"/>
  <c r="BD754" i="1"/>
  <c r="BC754" i="1"/>
  <c r="BB754" i="1"/>
  <c r="BA754" i="1"/>
  <c r="AZ754" i="1"/>
  <c r="BI754" i="1" s="1"/>
  <c r="AY754" i="1"/>
  <c r="BK753" i="1"/>
  <c r="BJ753" i="1"/>
  <c r="BI753" i="1"/>
  <c r="BH753" i="1"/>
  <c r="BG753" i="1"/>
  <c r="BF753" i="1"/>
  <c r="BE753" i="1"/>
  <c r="BD753" i="1"/>
  <c r="BC753" i="1"/>
  <c r="BB753" i="1"/>
  <c r="BA753" i="1"/>
  <c r="AZ753" i="1"/>
  <c r="AY753" i="1"/>
  <c r="BK752" i="1"/>
  <c r="BJ752" i="1"/>
  <c r="BH752" i="1"/>
  <c r="BG752" i="1"/>
  <c r="BF752" i="1"/>
  <c r="BE752" i="1"/>
  <c r="BD752" i="1"/>
  <c r="BC752" i="1"/>
  <c r="BB752" i="1"/>
  <c r="BA752" i="1"/>
  <c r="AZ752" i="1"/>
  <c r="BI752" i="1" s="1"/>
  <c r="AY752" i="1"/>
  <c r="BK751" i="1"/>
  <c r="BJ751" i="1"/>
  <c r="BH751" i="1"/>
  <c r="BG751" i="1"/>
  <c r="BF751" i="1"/>
  <c r="BE751" i="1"/>
  <c r="BD751" i="1"/>
  <c r="BC751" i="1"/>
  <c r="BB751" i="1"/>
  <c r="BA751" i="1"/>
  <c r="AZ751" i="1"/>
  <c r="BI751" i="1" s="1"/>
  <c r="AY751" i="1"/>
  <c r="BK750" i="1"/>
  <c r="BJ750" i="1"/>
  <c r="BH750" i="1"/>
  <c r="BG750" i="1"/>
  <c r="BF750" i="1"/>
  <c r="BE750" i="1"/>
  <c r="BD750" i="1"/>
  <c r="BC750" i="1"/>
  <c r="BB750" i="1"/>
  <c r="BA750" i="1"/>
  <c r="AZ750" i="1"/>
  <c r="BI750" i="1" s="1"/>
  <c r="AY750" i="1"/>
  <c r="BK749" i="1"/>
  <c r="BJ749" i="1"/>
  <c r="BH749" i="1"/>
  <c r="BG749" i="1"/>
  <c r="BF749" i="1"/>
  <c r="BE749" i="1"/>
  <c r="BD749" i="1"/>
  <c r="BC749" i="1"/>
  <c r="BB749" i="1"/>
  <c r="BA749" i="1"/>
  <c r="AZ749" i="1"/>
  <c r="BI749" i="1" s="1"/>
  <c r="AY749" i="1"/>
  <c r="BK748" i="1"/>
  <c r="BJ748" i="1"/>
  <c r="BH748" i="1"/>
  <c r="BG748" i="1"/>
  <c r="BF748" i="1"/>
  <c r="BE748" i="1"/>
  <c r="BD748" i="1"/>
  <c r="BC748" i="1"/>
  <c r="BB748" i="1"/>
  <c r="BA748" i="1"/>
  <c r="AZ748" i="1"/>
  <c r="AY748" i="1"/>
  <c r="BK747" i="1"/>
  <c r="BJ747" i="1"/>
  <c r="BH747" i="1"/>
  <c r="BG747" i="1"/>
  <c r="BF747" i="1"/>
  <c r="BE747" i="1"/>
  <c r="BD747" i="1"/>
  <c r="BC747" i="1"/>
  <c r="BB747" i="1"/>
  <c r="BA747" i="1"/>
  <c r="AZ747" i="1"/>
  <c r="BI747" i="1" s="1"/>
  <c r="AY747" i="1"/>
  <c r="BK746" i="1"/>
  <c r="BJ746" i="1"/>
  <c r="BH746" i="1"/>
  <c r="BG746" i="1"/>
  <c r="BF746" i="1"/>
  <c r="BE746" i="1"/>
  <c r="BD746" i="1"/>
  <c r="BC746" i="1"/>
  <c r="BB746" i="1"/>
  <c r="BA746" i="1"/>
  <c r="AZ746" i="1"/>
  <c r="AY746" i="1"/>
  <c r="BK745" i="1"/>
  <c r="BJ745" i="1"/>
  <c r="BH745" i="1"/>
  <c r="BG745" i="1"/>
  <c r="BF745" i="1"/>
  <c r="BE745" i="1"/>
  <c r="BD745" i="1"/>
  <c r="BC745" i="1"/>
  <c r="BB745" i="1"/>
  <c r="BA745" i="1"/>
  <c r="AZ745" i="1"/>
  <c r="BI745" i="1" s="1"/>
  <c r="AY745" i="1"/>
  <c r="BK744" i="1"/>
  <c r="BJ744" i="1"/>
  <c r="BH744" i="1"/>
  <c r="BG744" i="1"/>
  <c r="BF744" i="1"/>
  <c r="BE744" i="1"/>
  <c r="BD744" i="1"/>
  <c r="BC744" i="1"/>
  <c r="BB744" i="1"/>
  <c r="BA744" i="1"/>
  <c r="AZ744" i="1"/>
  <c r="BI744" i="1" s="1"/>
  <c r="AY744" i="1"/>
  <c r="BK743" i="1"/>
  <c r="BJ743" i="1"/>
  <c r="BH743" i="1"/>
  <c r="BG743" i="1"/>
  <c r="BF743" i="1"/>
  <c r="BE743" i="1"/>
  <c r="BD743" i="1"/>
  <c r="BC743" i="1"/>
  <c r="BB743" i="1"/>
  <c r="BA743" i="1"/>
  <c r="AZ743" i="1"/>
  <c r="BI743" i="1" s="1"/>
  <c r="AY743" i="1"/>
  <c r="BK742" i="1"/>
  <c r="BJ742" i="1"/>
  <c r="BH742" i="1"/>
  <c r="BG742" i="1"/>
  <c r="BF742" i="1"/>
  <c r="BE742" i="1"/>
  <c r="BD742" i="1"/>
  <c r="BC742" i="1"/>
  <c r="BB742" i="1"/>
  <c r="BA742" i="1"/>
  <c r="AZ742" i="1"/>
  <c r="BI742" i="1" s="1"/>
  <c r="AY742" i="1"/>
  <c r="BK741" i="1"/>
  <c r="BJ741" i="1"/>
  <c r="BH741" i="1"/>
  <c r="BG741" i="1"/>
  <c r="BF741" i="1"/>
  <c r="BE741" i="1"/>
  <c r="BD741" i="1"/>
  <c r="BC741" i="1"/>
  <c r="BB741" i="1"/>
  <c r="BA741" i="1"/>
  <c r="AZ741" i="1"/>
  <c r="BI741" i="1" s="1"/>
  <c r="AY741" i="1"/>
  <c r="BK740" i="1"/>
  <c r="BJ740" i="1"/>
  <c r="BH740" i="1"/>
  <c r="BG740" i="1"/>
  <c r="BF740" i="1"/>
  <c r="BE740" i="1"/>
  <c r="BD740" i="1"/>
  <c r="BC740" i="1"/>
  <c r="BB740" i="1"/>
  <c r="BA740" i="1"/>
  <c r="AZ740" i="1"/>
  <c r="BI740" i="1" s="1"/>
  <c r="AY740" i="1"/>
  <c r="BK739" i="1"/>
  <c r="BJ739" i="1"/>
  <c r="BH739" i="1"/>
  <c r="BG739" i="1"/>
  <c r="BF739" i="1"/>
  <c r="BE739" i="1"/>
  <c r="BD739" i="1"/>
  <c r="BC739" i="1"/>
  <c r="BB739" i="1"/>
  <c r="BA739" i="1"/>
  <c r="AZ739" i="1"/>
  <c r="BI739" i="1" s="1"/>
  <c r="AY739" i="1"/>
  <c r="BK738" i="1"/>
  <c r="BJ738" i="1"/>
  <c r="BH738" i="1"/>
  <c r="BG738" i="1"/>
  <c r="BF738" i="1"/>
  <c r="BE738" i="1"/>
  <c r="BD738" i="1"/>
  <c r="BC738" i="1"/>
  <c r="BB738" i="1"/>
  <c r="BA738" i="1"/>
  <c r="AZ738" i="1"/>
  <c r="AY738" i="1"/>
  <c r="BK737" i="1"/>
  <c r="BJ737" i="1"/>
  <c r="BH737" i="1"/>
  <c r="BG737" i="1"/>
  <c r="BF737" i="1"/>
  <c r="BE737" i="1"/>
  <c r="BD737" i="1"/>
  <c r="BC737" i="1"/>
  <c r="BB737" i="1"/>
  <c r="BA737" i="1"/>
  <c r="AZ737" i="1"/>
  <c r="BI737" i="1" s="1"/>
  <c r="AY737" i="1"/>
  <c r="BK736" i="1"/>
  <c r="BJ736" i="1"/>
  <c r="BH736" i="1"/>
  <c r="BG736" i="1"/>
  <c r="BF736" i="1"/>
  <c r="BE736" i="1"/>
  <c r="BD736" i="1"/>
  <c r="BC736" i="1"/>
  <c r="BB736" i="1"/>
  <c r="BA736" i="1"/>
  <c r="AZ736" i="1"/>
  <c r="BI736" i="1" s="1"/>
  <c r="AY736" i="1"/>
  <c r="BK735" i="1"/>
  <c r="BJ735" i="1"/>
  <c r="BI735" i="1"/>
  <c r="BH735" i="1"/>
  <c r="BG735" i="1"/>
  <c r="BF735" i="1"/>
  <c r="BE735" i="1"/>
  <c r="BD735" i="1"/>
  <c r="BC735" i="1"/>
  <c r="BB735" i="1"/>
  <c r="BA735" i="1"/>
  <c r="AZ735" i="1"/>
  <c r="AY735" i="1"/>
  <c r="BK734" i="1"/>
  <c r="BJ734" i="1"/>
  <c r="BH734" i="1"/>
  <c r="BG734" i="1"/>
  <c r="BF734" i="1"/>
  <c r="BE734" i="1"/>
  <c r="BD734" i="1"/>
  <c r="BC734" i="1"/>
  <c r="BB734" i="1"/>
  <c r="BA734" i="1"/>
  <c r="AZ734" i="1"/>
  <c r="BI734" i="1" s="1"/>
  <c r="AY734" i="1"/>
  <c r="BK733" i="1"/>
  <c r="BJ733" i="1"/>
  <c r="BH733" i="1"/>
  <c r="BG733" i="1"/>
  <c r="BF733" i="1"/>
  <c r="BE733" i="1"/>
  <c r="BD733" i="1"/>
  <c r="BC733" i="1"/>
  <c r="BB733" i="1"/>
  <c r="BA733" i="1"/>
  <c r="AZ733" i="1"/>
  <c r="BI733" i="1" s="1"/>
  <c r="AY733" i="1"/>
  <c r="BK732" i="1"/>
  <c r="BJ732" i="1"/>
  <c r="BH732" i="1"/>
  <c r="BG732" i="1"/>
  <c r="BF732" i="1"/>
  <c r="BE732" i="1"/>
  <c r="BD732" i="1"/>
  <c r="BC732" i="1"/>
  <c r="BB732" i="1"/>
  <c r="BA732" i="1"/>
  <c r="AZ732" i="1"/>
  <c r="BI732" i="1" s="1"/>
  <c r="AY732" i="1"/>
  <c r="BK731" i="1"/>
  <c r="BJ731" i="1"/>
  <c r="BH731" i="1"/>
  <c r="BG731" i="1"/>
  <c r="BF731" i="1"/>
  <c r="BE731" i="1"/>
  <c r="BD731" i="1"/>
  <c r="BC731" i="1"/>
  <c r="BB731" i="1"/>
  <c r="BA731" i="1"/>
  <c r="AZ731" i="1"/>
  <c r="AY731" i="1"/>
  <c r="BK730" i="1"/>
  <c r="BJ730" i="1"/>
  <c r="BH730" i="1"/>
  <c r="BG730" i="1"/>
  <c r="BF730" i="1"/>
  <c r="BE730" i="1"/>
  <c r="BD730" i="1"/>
  <c r="BC730" i="1"/>
  <c r="BB730" i="1"/>
  <c r="BA730" i="1"/>
  <c r="AZ730" i="1"/>
  <c r="AY730" i="1"/>
  <c r="BK729" i="1"/>
  <c r="BJ729" i="1"/>
  <c r="BH729" i="1"/>
  <c r="BG729" i="1"/>
  <c r="BF729" i="1"/>
  <c r="BE729" i="1"/>
  <c r="BD729" i="1"/>
  <c r="BC729" i="1"/>
  <c r="BB729" i="1"/>
  <c r="BA729" i="1"/>
  <c r="AZ729" i="1"/>
  <c r="BI729" i="1" s="1"/>
  <c r="AY729" i="1"/>
  <c r="BK728" i="1"/>
  <c r="BJ728" i="1"/>
  <c r="BH728" i="1"/>
  <c r="BG728" i="1"/>
  <c r="BF728" i="1"/>
  <c r="BE728" i="1"/>
  <c r="BD728" i="1"/>
  <c r="BC728" i="1"/>
  <c r="BB728" i="1"/>
  <c r="BA728" i="1"/>
  <c r="AZ728" i="1"/>
  <c r="BI728" i="1" s="1"/>
  <c r="AY728" i="1"/>
  <c r="BK727" i="1"/>
  <c r="BJ727" i="1"/>
  <c r="BH727" i="1"/>
  <c r="BG727" i="1"/>
  <c r="BF727" i="1"/>
  <c r="BE727" i="1"/>
  <c r="BD727" i="1"/>
  <c r="BC727" i="1"/>
  <c r="BB727" i="1"/>
  <c r="BI727" i="1" s="1"/>
  <c r="BA727" i="1"/>
  <c r="AZ727" i="1"/>
  <c r="AY727" i="1"/>
  <c r="BK726" i="1"/>
  <c r="BJ726" i="1"/>
  <c r="BH726" i="1"/>
  <c r="BG726" i="1"/>
  <c r="BF726" i="1"/>
  <c r="BE726" i="1"/>
  <c r="BD726" i="1"/>
  <c r="BC726" i="1"/>
  <c r="BB726" i="1"/>
  <c r="BA726" i="1"/>
  <c r="AZ726" i="1"/>
  <c r="BI726" i="1" s="1"/>
  <c r="AY726" i="1"/>
  <c r="BK725" i="1"/>
  <c r="BJ725" i="1"/>
  <c r="BH725" i="1"/>
  <c r="BG725" i="1"/>
  <c r="BF725" i="1"/>
  <c r="BE725" i="1"/>
  <c r="BD725" i="1"/>
  <c r="BC725" i="1"/>
  <c r="BB725" i="1"/>
  <c r="BA725" i="1"/>
  <c r="AZ725" i="1"/>
  <c r="BI725" i="1" s="1"/>
  <c r="AY725" i="1"/>
  <c r="BK724" i="1"/>
  <c r="BJ724" i="1"/>
  <c r="BH724" i="1"/>
  <c r="BG724" i="1"/>
  <c r="BF724" i="1"/>
  <c r="BE724" i="1"/>
  <c r="BD724" i="1"/>
  <c r="BC724" i="1"/>
  <c r="BB724" i="1"/>
  <c r="BA724" i="1"/>
  <c r="AZ724" i="1"/>
  <c r="BI724" i="1" s="1"/>
  <c r="AY724" i="1"/>
  <c r="BK723" i="1"/>
  <c r="BJ723" i="1"/>
  <c r="BH723" i="1"/>
  <c r="BG723" i="1"/>
  <c r="BF723" i="1"/>
  <c r="BE723" i="1"/>
  <c r="BD723" i="1"/>
  <c r="BC723" i="1"/>
  <c r="BB723" i="1"/>
  <c r="BA723" i="1"/>
  <c r="AZ723" i="1"/>
  <c r="BI723" i="1" s="1"/>
  <c r="AY723" i="1"/>
  <c r="BK722" i="1"/>
  <c r="BJ722" i="1"/>
  <c r="BH722" i="1"/>
  <c r="BG722" i="1"/>
  <c r="BF722" i="1"/>
  <c r="BE722" i="1"/>
  <c r="BD722" i="1"/>
  <c r="BC722" i="1"/>
  <c r="BB722" i="1"/>
  <c r="BA722" i="1"/>
  <c r="AZ722" i="1"/>
  <c r="BI722" i="1" s="1"/>
  <c r="AY722" i="1"/>
  <c r="BK721" i="1"/>
  <c r="BJ721" i="1"/>
  <c r="BH721" i="1"/>
  <c r="BG721" i="1"/>
  <c r="BF721" i="1"/>
  <c r="BE721" i="1"/>
  <c r="BD721" i="1"/>
  <c r="BC721" i="1"/>
  <c r="BB721" i="1"/>
  <c r="BA721" i="1"/>
  <c r="AZ721" i="1"/>
  <c r="AY721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BK718" i="1"/>
  <c r="BJ718" i="1"/>
  <c r="BH718" i="1"/>
  <c r="BG718" i="1"/>
  <c r="BF718" i="1"/>
  <c r="BE718" i="1"/>
  <c r="BD718" i="1"/>
  <c r="BC718" i="1"/>
  <c r="BB718" i="1"/>
  <c r="BA718" i="1"/>
  <c r="AZ718" i="1"/>
  <c r="BI718" i="1" s="1"/>
  <c r="AY718" i="1"/>
  <c r="BK717" i="1"/>
  <c r="BJ717" i="1"/>
  <c r="BH717" i="1"/>
  <c r="BG717" i="1"/>
  <c r="BF717" i="1"/>
  <c r="BE717" i="1"/>
  <c r="BD717" i="1"/>
  <c r="BC717" i="1"/>
  <c r="BB717" i="1"/>
  <c r="BA717" i="1"/>
  <c r="AZ717" i="1"/>
  <c r="BI717" i="1" s="1"/>
  <c r="AY717" i="1"/>
  <c r="BK716" i="1"/>
  <c r="BJ716" i="1"/>
  <c r="BH716" i="1"/>
  <c r="BG716" i="1"/>
  <c r="BF716" i="1"/>
  <c r="BE716" i="1"/>
  <c r="BD716" i="1"/>
  <c r="BC716" i="1"/>
  <c r="BB716" i="1"/>
  <c r="BA716" i="1"/>
  <c r="AZ716" i="1"/>
  <c r="AY716" i="1"/>
  <c r="BK715" i="1"/>
  <c r="BJ715" i="1"/>
  <c r="BH715" i="1"/>
  <c r="BG715" i="1"/>
  <c r="BF715" i="1"/>
  <c r="BE715" i="1"/>
  <c r="BD715" i="1"/>
  <c r="BC715" i="1"/>
  <c r="BB715" i="1"/>
  <c r="BA715" i="1"/>
  <c r="AZ715" i="1"/>
  <c r="BI715" i="1" s="1"/>
  <c r="AY715" i="1"/>
  <c r="BK714" i="1"/>
  <c r="BJ714" i="1"/>
  <c r="BH714" i="1"/>
  <c r="BG714" i="1"/>
  <c r="BF714" i="1"/>
  <c r="BE714" i="1"/>
  <c r="BD714" i="1"/>
  <c r="BC714" i="1"/>
  <c r="BB714" i="1"/>
  <c r="BA714" i="1"/>
  <c r="AZ714" i="1"/>
  <c r="AY714" i="1"/>
  <c r="BK713" i="1"/>
  <c r="BJ713" i="1"/>
  <c r="BH713" i="1"/>
  <c r="BG713" i="1"/>
  <c r="BF713" i="1"/>
  <c r="BE713" i="1"/>
  <c r="BD713" i="1"/>
  <c r="BC713" i="1"/>
  <c r="BB713" i="1"/>
  <c r="BA713" i="1"/>
  <c r="AZ713" i="1"/>
  <c r="BI713" i="1" s="1"/>
  <c r="AY713" i="1"/>
  <c r="BK712" i="1"/>
  <c r="BJ712" i="1"/>
  <c r="BH712" i="1"/>
  <c r="BG712" i="1"/>
  <c r="BF712" i="1"/>
  <c r="BE712" i="1"/>
  <c r="BD712" i="1"/>
  <c r="BC712" i="1"/>
  <c r="BB712" i="1"/>
  <c r="BA712" i="1"/>
  <c r="AZ712" i="1"/>
  <c r="BI712" i="1" s="1"/>
  <c r="AY712" i="1"/>
  <c r="BK711" i="1"/>
  <c r="BJ711" i="1"/>
  <c r="BH711" i="1"/>
  <c r="BG711" i="1"/>
  <c r="BF711" i="1"/>
  <c r="BE711" i="1"/>
  <c r="BD711" i="1"/>
  <c r="BC711" i="1"/>
  <c r="BB711" i="1"/>
  <c r="BA711" i="1"/>
  <c r="AZ711" i="1"/>
  <c r="AY711" i="1"/>
  <c r="BK710" i="1"/>
  <c r="BJ710" i="1"/>
  <c r="BH710" i="1"/>
  <c r="BG710" i="1"/>
  <c r="BF710" i="1"/>
  <c r="BE710" i="1"/>
  <c r="BD710" i="1"/>
  <c r="BC710" i="1"/>
  <c r="BB710" i="1"/>
  <c r="BA710" i="1"/>
  <c r="AZ710" i="1"/>
  <c r="BI710" i="1" s="1"/>
  <c r="AY710" i="1"/>
  <c r="BK709" i="1"/>
  <c r="BJ709" i="1"/>
  <c r="BH709" i="1"/>
  <c r="BG709" i="1"/>
  <c r="BF709" i="1"/>
  <c r="BE709" i="1"/>
  <c r="BD709" i="1"/>
  <c r="BC709" i="1"/>
  <c r="BB709" i="1"/>
  <c r="BA709" i="1"/>
  <c r="AZ709" i="1"/>
  <c r="BI709" i="1" s="1"/>
  <c r="AY709" i="1"/>
  <c r="BK708" i="1"/>
  <c r="BJ708" i="1"/>
  <c r="BH708" i="1"/>
  <c r="BG708" i="1"/>
  <c r="BF708" i="1"/>
  <c r="BE708" i="1"/>
  <c r="BD708" i="1"/>
  <c r="BC708" i="1"/>
  <c r="BB708" i="1"/>
  <c r="BA708" i="1"/>
  <c r="AZ708" i="1"/>
  <c r="BI708" i="1" s="1"/>
  <c r="AY708" i="1"/>
  <c r="BK707" i="1"/>
  <c r="BJ707" i="1"/>
  <c r="BH707" i="1"/>
  <c r="BG707" i="1"/>
  <c r="BF707" i="1"/>
  <c r="BE707" i="1"/>
  <c r="BD707" i="1"/>
  <c r="BC707" i="1"/>
  <c r="BB707" i="1"/>
  <c r="BA707" i="1"/>
  <c r="AZ707" i="1"/>
  <c r="BI707" i="1" s="1"/>
  <c r="AY707" i="1"/>
  <c r="BK706" i="1"/>
  <c r="BJ706" i="1"/>
  <c r="BH706" i="1"/>
  <c r="BG706" i="1"/>
  <c r="BF706" i="1"/>
  <c r="BE706" i="1"/>
  <c r="BD706" i="1"/>
  <c r="BC706" i="1"/>
  <c r="BB706" i="1"/>
  <c r="BA706" i="1"/>
  <c r="AZ706" i="1"/>
  <c r="BI706" i="1" s="1"/>
  <c r="AY706" i="1"/>
  <c r="BK705" i="1"/>
  <c r="BJ705" i="1"/>
  <c r="BH705" i="1"/>
  <c r="BG705" i="1"/>
  <c r="BF705" i="1"/>
  <c r="BE705" i="1"/>
  <c r="BD705" i="1"/>
  <c r="BC705" i="1"/>
  <c r="BB705" i="1"/>
  <c r="BA705" i="1"/>
  <c r="AZ705" i="1"/>
  <c r="BI705" i="1" s="1"/>
  <c r="AY705" i="1"/>
  <c r="BK704" i="1"/>
  <c r="BJ704" i="1"/>
  <c r="BH704" i="1"/>
  <c r="BG704" i="1"/>
  <c r="BF704" i="1"/>
  <c r="BE704" i="1"/>
  <c r="BD704" i="1"/>
  <c r="BC704" i="1"/>
  <c r="BB704" i="1"/>
  <c r="BA704" i="1"/>
  <c r="AZ704" i="1"/>
  <c r="BI704" i="1" s="1"/>
  <c r="AY704" i="1"/>
  <c r="BK703" i="1"/>
  <c r="BJ703" i="1"/>
  <c r="BH703" i="1"/>
  <c r="BG703" i="1"/>
  <c r="BF703" i="1"/>
  <c r="BE703" i="1"/>
  <c r="BD703" i="1"/>
  <c r="BC703" i="1"/>
  <c r="BB703" i="1"/>
  <c r="BA703" i="1"/>
  <c r="AZ703" i="1"/>
  <c r="AY703" i="1"/>
  <c r="BK702" i="1"/>
  <c r="BJ702" i="1"/>
  <c r="BH702" i="1"/>
  <c r="BG702" i="1"/>
  <c r="BF702" i="1"/>
  <c r="BE702" i="1"/>
  <c r="BD702" i="1"/>
  <c r="BC702" i="1"/>
  <c r="BB702" i="1"/>
  <c r="BA702" i="1"/>
  <c r="AZ702" i="1"/>
  <c r="BI702" i="1" s="1"/>
  <c r="AY702" i="1"/>
  <c r="BK701" i="1"/>
  <c r="BJ701" i="1"/>
  <c r="BH701" i="1"/>
  <c r="BG701" i="1"/>
  <c r="BF701" i="1"/>
  <c r="BE701" i="1"/>
  <c r="BD701" i="1"/>
  <c r="BC701" i="1"/>
  <c r="BB701" i="1"/>
  <c r="BA701" i="1"/>
  <c r="AZ701" i="1"/>
  <c r="BI701" i="1" s="1"/>
  <c r="AY701" i="1"/>
  <c r="BK700" i="1"/>
  <c r="BJ700" i="1"/>
  <c r="BH700" i="1"/>
  <c r="BG700" i="1"/>
  <c r="BF700" i="1"/>
  <c r="BE700" i="1"/>
  <c r="BD700" i="1"/>
  <c r="BC700" i="1"/>
  <c r="BB700" i="1"/>
  <c r="BA700" i="1"/>
  <c r="AZ700" i="1"/>
  <c r="BI700" i="1" s="1"/>
  <c r="AY700" i="1"/>
  <c r="BK699" i="1"/>
  <c r="BJ699" i="1"/>
  <c r="BH699" i="1"/>
  <c r="BG699" i="1"/>
  <c r="BF699" i="1"/>
  <c r="BE699" i="1"/>
  <c r="BD699" i="1"/>
  <c r="BC699" i="1"/>
  <c r="BB699" i="1"/>
  <c r="BA699" i="1"/>
  <c r="AZ699" i="1"/>
  <c r="BI699" i="1" s="1"/>
  <c r="AY699" i="1"/>
  <c r="BK698" i="1"/>
  <c r="BJ698" i="1"/>
  <c r="BH698" i="1"/>
  <c r="BG698" i="1"/>
  <c r="BF698" i="1"/>
  <c r="BE698" i="1"/>
  <c r="BD698" i="1"/>
  <c r="BC698" i="1"/>
  <c r="BB698" i="1"/>
  <c r="BA698" i="1"/>
  <c r="AZ698" i="1"/>
  <c r="AY698" i="1"/>
  <c r="BK697" i="1"/>
  <c r="BJ697" i="1"/>
  <c r="BH697" i="1"/>
  <c r="BG697" i="1"/>
  <c r="BF697" i="1"/>
  <c r="BE697" i="1"/>
  <c r="BD697" i="1"/>
  <c r="BC697" i="1"/>
  <c r="BB697" i="1"/>
  <c r="BA697" i="1"/>
  <c r="AZ697" i="1"/>
  <c r="BI697" i="1" s="1"/>
  <c r="AY697" i="1"/>
  <c r="BK696" i="1"/>
  <c r="BJ696" i="1"/>
  <c r="BH696" i="1"/>
  <c r="BG696" i="1"/>
  <c r="BF696" i="1"/>
  <c r="BE696" i="1"/>
  <c r="BD696" i="1"/>
  <c r="BC696" i="1"/>
  <c r="BB696" i="1"/>
  <c r="BA696" i="1"/>
  <c r="AZ696" i="1"/>
  <c r="BI696" i="1" s="1"/>
  <c r="AY696" i="1"/>
  <c r="BK695" i="1"/>
  <c r="BJ695" i="1"/>
  <c r="BH695" i="1"/>
  <c r="BG695" i="1"/>
  <c r="BF695" i="1"/>
  <c r="BE695" i="1"/>
  <c r="BD695" i="1"/>
  <c r="BC695" i="1"/>
  <c r="BB695" i="1"/>
  <c r="BA695" i="1"/>
  <c r="AZ695" i="1"/>
  <c r="BI695" i="1" s="1"/>
  <c r="AY695" i="1"/>
  <c r="BK694" i="1"/>
  <c r="BJ694" i="1"/>
  <c r="BH694" i="1"/>
  <c r="BG694" i="1"/>
  <c r="BF694" i="1"/>
  <c r="BE694" i="1"/>
  <c r="BD694" i="1"/>
  <c r="BC694" i="1"/>
  <c r="BB694" i="1"/>
  <c r="BA694" i="1"/>
  <c r="AZ694" i="1"/>
  <c r="AY694" i="1"/>
  <c r="BK693" i="1"/>
  <c r="BJ693" i="1"/>
  <c r="BH693" i="1"/>
  <c r="BG693" i="1"/>
  <c r="BF693" i="1"/>
  <c r="BE693" i="1"/>
  <c r="BD693" i="1"/>
  <c r="BC693" i="1"/>
  <c r="BB693" i="1"/>
  <c r="BA693" i="1"/>
  <c r="AZ693" i="1"/>
  <c r="BI693" i="1" s="1"/>
  <c r="AY693" i="1"/>
  <c r="BK692" i="1"/>
  <c r="BJ692" i="1"/>
  <c r="BH692" i="1"/>
  <c r="BG692" i="1"/>
  <c r="BF692" i="1"/>
  <c r="BE692" i="1"/>
  <c r="BD692" i="1"/>
  <c r="BC692" i="1"/>
  <c r="BB692" i="1"/>
  <c r="BA692" i="1"/>
  <c r="AZ692" i="1"/>
  <c r="BI692" i="1" s="1"/>
  <c r="AY692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BK690" i="1"/>
  <c r="BJ690" i="1"/>
  <c r="BH690" i="1"/>
  <c r="BG690" i="1"/>
  <c r="BF690" i="1"/>
  <c r="BE690" i="1"/>
  <c r="BD690" i="1"/>
  <c r="BC690" i="1"/>
  <c r="BB690" i="1"/>
  <c r="BA690" i="1"/>
  <c r="AZ690" i="1"/>
  <c r="BI690" i="1" s="1"/>
  <c r="AY690" i="1"/>
  <c r="BK689" i="1"/>
  <c r="BJ689" i="1"/>
  <c r="BH689" i="1"/>
  <c r="BG689" i="1"/>
  <c r="BF689" i="1"/>
  <c r="BE689" i="1"/>
  <c r="BD689" i="1"/>
  <c r="BC689" i="1"/>
  <c r="BB689" i="1"/>
  <c r="BI689" i="1" s="1"/>
  <c r="BA689" i="1"/>
  <c r="AZ689" i="1"/>
  <c r="AY689" i="1"/>
  <c r="BK688" i="1"/>
  <c r="BJ688" i="1"/>
  <c r="BH688" i="1"/>
  <c r="BG688" i="1"/>
  <c r="BF688" i="1"/>
  <c r="BE688" i="1"/>
  <c r="BD688" i="1"/>
  <c r="BC688" i="1"/>
  <c r="BB688" i="1"/>
  <c r="BA688" i="1"/>
  <c r="AZ688" i="1"/>
  <c r="BI688" i="1" s="1"/>
  <c r="AY688" i="1"/>
  <c r="BK687" i="1"/>
  <c r="BJ687" i="1"/>
  <c r="BH687" i="1"/>
  <c r="BG687" i="1"/>
  <c r="BF687" i="1"/>
  <c r="BE687" i="1"/>
  <c r="BD687" i="1"/>
  <c r="BC687" i="1"/>
  <c r="BB687" i="1"/>
  <c r="BA687" i="1"/>
  <c r="AZ687" i="1"/>
  <c r="BI687" i="1" s="1"/>
  <c r="AY687" i="1"/>
  <c r="BK686" i="1"/>
  <c r="BJ686" i="1"/>
  <c r="BH686" i="1"/>
  <c r="BG686" i="1"/>
  <c r="BF686" i="1"/>
  <c r="BE686" i="1"/>
  <c r="BD686" i="1"/>
  <c r="BC686" i="1"/>
  <c r="BB686" i="1"/>
  <c r="BA686" i="1"/>
  <c r="AZ686" i="1"/>
  <c r="BI686" i="1" s="1"/>
  <c r="AY686" i="1"/>
  <c r="BK685" i="1"/>
  <c r="BJ685" i="1"/>
  <c r="BH685" i="1"/>
  <c r="BG685" i="1"/>
  <c r="BF685" i="1"/>
  <c r="BE685" i="1"/>
  <c r="BD685" i="1"/>
  <c r="BC685" i="1"/>
  <c r="BB685" i="1"/>
  <c r="BA685" i="1"/>
  <c r="AZ685" i="1"/>
  <c r="BI685" i="1" s="1"/>
  <c r="AY685" i="1"/>
  <c r="BK684" i="1"/>
  <c r="BJ684" i="1"/>
  <c r="BH684" i="1"/>
  <c r="BG684" i="1"/>
  <c r="BF684" i="1"/>
  <c r="BE684" i="1"/>
  <c r="BD684" i="1"/>
  <c r="BC684" i="1"/>
  <c r="BB684" i="1"/>
  <c r="BA684" i="1"/>
  <c r="AZ684" i="1"/>
  <c r="BI684" i="1" s="1"/>
  <c r="AY684" i="1"/>
  <c r="BK683" i="1"/>
  <c r="BJ683" i="1"/>
  <c r="BH683" i="1"/>
  <c r="BG683" i="1"/>
  <c r="BF683" i="1"/>
  <c r="BE683" i="1"/>
  <c r="BD683" i="1"/>
  <c r="BC683" i="1"/>
  <c r="BB683" i="1"/>
  <c r="BA683" i="1"/>
  <c r="AZ683" i="1"/>
  <c r="BI683" i="1" s="1"/>
  <c r="AY683" i="1"/>
  <c r="BK682" i="1"/>
  <c r="BJ682" i="1"/>
  <c r="BH682" i="1"/>
  <c r="BG682" i="1"/>
  <c r="BF682" i="1"/>
  <c r="BE682" i="1"/>
  <c r="BD682" i="1"/>
  <c r="BC682" i="1"/>
  <c r="BB682" i="1"/>
  <c r="BA682" i="1"/>
  <c r="AZ682" i="1"/>
  <c r="AY682" i="1"/>
  <c r="BK681" i="1"/>
  <c r="BJ681" i="1"/>
  <c r="BH681" i="1"/>
  <c r="BG681" i="1"/>
  <c r="BF681" i="1"/>
  <c r="BE681" i="1"/>
  <c r="BD681" i="1"/>
  <c r="BC681" i="1"/>
  <c r="BB681" i="1"/>
  <c r="BA681" i="1"/>
  <c r="AZ681" i="1"/>
  <c r="BI681" i="1" s="1"/>
  <c r="AY681" i="1"/>
  <c r="BK680" i="1"/>
  <c r="BJ680" i="1"/>
  <c r="BH680" i="1"/>
  <c r="BG680" i="1"/>
  <c r="BF680" i="1"/>
  <c r="BE680" i="1"/>
  <c r="BD680" i="1"/>
  <c r="BC680" i="1"/>
  <c r="BB680" i="1"/>
  <c r="BA680" i="1"/>
  <c r="AZ680" i="1"/>
  <c r="BI680" i="1" s="1"/>
  <c r="AY680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BK678" i="1"/>
  <c r="BJ678" i="1"/>
  <c r="BH678" i="1"/>
  <c r="BG678" i="1"/>
  <c r="BF678" i="1"/>
  <c r="BE678" i="1"/>
  <c r="BD678" i="1"/>
  <c r="BC678" i="1"/>
  <c r="BB678" i="1"/>
  <c r="BA678" i="1"/>
  <c r="AZ678" i="1"/>
  <c r="BI678" i="1" s="1"/>
  <c r="AY678" i="1"/>
  <c r="BK677" i="1"/>
  <c r="BJ677" i="1"/>
  <c r="BH677" i="1"/>
  <c r="BG677" i="1"/>
  <c r="BF677" i="1"/>
  <c r="BE677" i="1"/>
  <c r="BD677" i="1"/>
  <c r="BC677" i="1"/>
  <c r="BB677" i="1"/>
  <c r="BA677" i="1"/>
  <c r="AZ677" i="1"/>
  <c r="BI677" i="1" s="1"/>
  <c r="AY677" i="1"/>
  <c r="BK676" i="1"/>
  <c r="BJ676" i="1"/>
  <c r="BH676" i="1"/>
  <c r="BG676" i="1"/>
  <c r="BF676" i="1"/>
  <c r="BE676" i="1"/>
  <c r="BD676" i="1"/>
  <c r="BC676" i="1"/>
  <c r="BB676" i="1"/>
  <c r="BA676" i="1"/>
  <c r="AZ676" i="1"/>
  <c r="BI676" i="1" s="1"/>
  <c r="AY676" i="1"/>
  <c r="BK675" i="1"/>
  <c r="BJ675" i="1"/>
  <c r="BH675" i="1"/>
  <c r="BG675" i="1"/>
  <c r="BF675" i="1"/>
  <c r="BE675" i="1"/>
  <c r="BD675" i="1"/>
  <c r="BC675" i="1"/>
  <c r="BB675" i="1"/>
  <c r="BA675" i="1"/>
  <c r="AZ675" i="1"/>
  <c r="BI675" i="1" s="1"/>
  <c r="AY675" i="1"/>
  <c r="BK674" i="1"/>
  <c r="BJ674" i="1"/>
  <c r="BH674" i="1"/>
  <c r="BG674" i="1"/>
  <c r="BF674" i="1"/>
  <c r="BE674" i="1"/>
  <c r="BD674" i="1"/>
  <c r="BC674" i="1"/>
  <c r="BB674" i="1"/>
  <c r="BA674" i="1"/>
  <c r="AZ674" i="1"/>
  <c r="BI674" i="1" s="1"/>
  <c r="AY674" i="1"/>
  <c r="BK673" i="1"/>
  <c r="BJ673" i="1"/>
  <c r="BH673" i="1"/>
  <c r="BG673" i="1"/>
  <c r="BF673" i="1"/>
  <c r="BE673" i="1"/>
  <c r="BD673" i="1"/>
  <c r="BC673" i="1"/>
  <c r="BB673" i="1"/>
  <c r="BA673" i="1"/>
  <c r="AZ673" i="1"/>
  <c r="BI673" i="1" s="1"/>
  <c r="AY673" i="1"/>
  <c r="BK672" i="1"/>
  <c r="BJ672" i="1"/>
  <c r="BH672" i="1"/>
  <c r="BG672" i="1"/>
  <c r="BF672" i="1"/>
  <c r="BE672" i="1"/>
  <c r="BD672" i="1"/>
  <c r="BC672" i="1"/>
  <c r="BB672" i="1"/>
  <c r="BA672" i="1"/>
  <c r="AZ672" i="1"/>
  <c r="BI672" i="1" s="1"/>
  <c r="AY672" i="1"/>
  <c r="BK671" i="1"/>
  <c r="BJ671" i="1"/>
  <c r="BH671" i="1"/>
  <c r="BG671" i="1"/>
  <c r="BF671" i="1"/>
  <c r="BE671" i="1"/>
  <c r="BD671" i="1"/>
  <c r="BC671" i="1"/>
  <c r="BB671" i="1"/>
  <c r="BA671" i="1"/>
  <c r="AZ671" i="1"/>
  <c r="AY671" i="1"/>
  <c r="BK670" i="1"/>
  <c r="BJ670" i="1"/>
  <c r="BH670" i="1"/>
  <c r="BG670" i="1"/>
  <c r="BF670" i="1"/>
  <c r="BE670" i="1"/>
  <c r="BD670" i="1"/>
  <c r="BC670" i="1"/>
  <c r="BB670" i="1"/>
  <c r="BA670" i="1"/>
  <c r="AZ670" i="1"/>
  <c r="BI670" i="1" s="1"/>
  <c r="AY670" i="1"/>
  <c r="BK669" i="1"/>
  <c r="BJ669" i="1"/>
  <c r="BH669" i="1"/>
  <c r="BG669" i="1"/>
  <c r="BF669" i="1"/>
  <c r="BE669" i="1"/>
  <c r="BD669" i="1"/>
  <c r="BC669" i="1"/>
  <c r="BB669" i="1"/>
  <c r="BA669" i="1"/>
  <c r="AZ669" i="1"/>
  <c r="BI669" i="1" s="1"/>
  <c r="AY669" i="1"/>
  <c r="BK668" i="1"/>
  <c r="BJ668" i="1"/>
  <c r="BH668" i="1"/>
  <c r="BG668" i="1"/>
  <c r="BF668" i="1"/>
  <c r="BE668" i="1"/>
  <c r="BD668" i="1"/>
  <c r="BC668" i="1"/>
  <c r="BB668" i="1"/>
  <c r="BA668" i="1"/>
  <c r="AZ668" i="1"/>
  <c r="AY668" i="1"/>
  <c r="BK667" i="1"/>
  <c r="BJ667" i="1"/>
  <c r="BH667" i="1"/>
  <c r="BG667" i="1"/>
  <c r="BF667" i="1"/>
  <c r="BE667" i="1"/>
  <c r="BD667" i="1"/>
  <c r="BC667" i="1"/>
  <c r="BB667" i="1"/>
  <c r="BA667" i="1"/>
  <c r="AZ667" i="1"/>
  <c r="BI667" i="1" s="1"/>
  <c r="AY667" i="1"/>
  <c r="BK666" i="1"/>
  <c r="BJ666" i="1"/>
  <c r="BH666" i="1"/>
  <c r="BG666" i="1"/>
  <c r="BF666" i="1"/>
  <c r="BE666" i="1"/>
  <c r="BD666" i="1"/>
  <c r="BC666" i="1"/>
  <c r="BB666" i="1"/>
  <c r="BA666" i="1"/>
  <c r="AZ666" i="1"/>
  <c r="AY666" i="1"/>
  <c r="BK665" i="1"/>
  <c r="BJ665" i="1"/>
  <c r="BH665" i="1"/>
  <c r="BG665" i="1"/>
  <c r="BF665" i="1"/>
  <c r="BE665" i="1"/>
  <c r="BD665" i="1"/>
  <c r="BC665" i="1"/>
  <c r="BB665" i="1"/>
  <c r="BA665" i="1"/>
  <c r="AZ665" i="1"/>
  <c r="BI665" i="1" s="1"/>
  <c r="AY665" i="1"/>
  <c r="BK664" i="1"/>
  <c r="BJ664" i="1"/>
  <c r="BH664" i="1"/>
  <c r="BG664" i="1"/>
  <c r="BF664" i="1"/>
  <c r="BE664" i="1"/>
  <c r="BD664" i="1"/>
  <c r="BC664" i="1"/>
  <c r="BB664" i="1"/>
  <c r="BA664" i="1"/>
  <c r="AZ664" i="1"/>
  <c r="BI664" i="1" s="1"/>
  <c r="AY664" i="1"/>
  <c r="BK663" i="1"/>
  <c r="BJ663" i="1"/>
  <c r="BH663" i="1"/>
  <c r="BG663" i="1"/>
  <c r="BF663" i="1"/>
  <c r="BE663" i="1"/>
  <c r="BD663" i="1"/>
  <c r="BC663" i="1"/>
  <c r="BB663" i="1"/>
  <c r="BA663" i="1"/>
  <c r="AZ663" i="1"/>
  <c r="AY663" i="1"/>
  <c r="BK662" i="1"/>
  <c r="BJ662" i="1"/>
  <c r="BH662" i="1"/>
  <c r="BG662" i="1"/>
  <c r="BF662" i="1"/>
  <c r="BE662" i="1"/>
  <c r="BD662" i="1"/>
  <c r="BC662" i="1"/>
  <c r="BB662" i="1"/>
  <c r="BA662" i="1"/>
  <c r="AZ662" i="1"/>
  <c r="AY662" i="1"/>
  <c r="BK661" i="1"/>
  <c r="BJ661" i="1"/>
  <c r="BH661" i="1"/>
  <c r="BG661" i="1"/>
  <c r="BF661" i="1"/>
  <c r="BE661" i="1"/>
  <c r="BD661" i="1"/>
  <c r="BC661" i="1"/>
  <c r="BB661" i="1"/>
  <c r="BA661" i="1"/>
  <c r="AZ661" i="1"/>
  <c r="BI661" i="1" s="1"/>
  <c r="AY661" i="1"/>
  <c r="BK660" i="1"/>
  <c r="BJ660" i="1"/>
  <c r="BH660" i="1"/>
  <c r="BG660" i="1"/>
  <c r="BF660" i="1"/>
  <c r="BE660" i="1"/>
  <c r="BD660" i="1"/>
  <c r="BC660" i="1"/>
  <c r="BB660" i="1"/>
  <c r="BA660" i="1"/>
  <c r="AZ660" i="1"/>
  <c r="BI660" i="1" s="1"/>
  <c r="AY660" i="1"/>
  <c r="BK659" i="1"/>
  <c r="BJ659" i="1"/>
  <c r="BH659" i="1"/>
  <c r="BG659" i="1"/>
  <c r="BF659" i="1"/>
  <c r="BE659" i="1"/>
  <c r="BD659" i="1"/>
  <c r="BC659" i="1"/>
  <c r="BB659" i="1"/>
  <c r="BA659" i="1"/>
  <c r="AZ659" i="1"/>
  <c r="BI659" i="1" s="1"/>
  <c r="AY659" i="1"/>
  <c r="BK658" i="1"/>
  <c r="BJ658" i="1"/>
  <c r="BH658" i="1"/>
  <c r="BG658" i="1"/>
  <c r="BF658" i="1"/>
  <c r="BE658" i="1"/>
  <c r="BD658" i="1"/>
  <c r="BC658" i="1"/>
  <c r="BB658" i="1"/>
  <c r="BA658" i="1"/>
  <c r="AZ658" i="1"/>
  <c r="BI658" i="1" s="1"/>
  <c r="AY658" i="1"/>
  <c r="BK657" i="1"/>
  <c r="BJ657" i="1"/>
  <c r="BH657" i="1"/>
  <c r="BG657" i="1"/>
  <c r="BF657" i="1"/>
  <c r="BE657" i="1"/>
  <c r="BD657" i="1"/>
  <c r="BC657" i="1"/>
  <c r="BB657" i="1"/>
  <c r="BA657" i="1"/>
  <c r="AZ657" i="1"/>
  <c r="AY657" i="1"/>
  <c r="BK656" i="1"/>
  <c r="BJ656" i="1"/>
  <c r="BH656" i="1"/>
  <c r="BG656" i="1"/>
  <c r="BF656" i="1"/>
  <c r="BE656" i="1"/>
  <c r="BD656" i="1"/>
  <c r="BC656" i="1"/>
  <c r="BB656" i="1"/>
  <c r="BA656" i="1"/>
  <c r="AZ656" i="1"/>
  <c r="BI656" i="1" s="1"/>
  <c r="AY656" i="1"/>
  <c r="BK655" i="1"/>
  <c r="BJ655" i="1"/>
  <c r="BH655" i="1"/>
  <c r="BG655" i="1"/>
  <c r="BF655" i="1"/>
  <c r="BE655" i="1"/>
  <c r="BD655" i="1"/>
  <c r="BC655" i="1"/>
  <c r="BB655" i="1"/>
  <c r="BA655" i="1"/>
  <c r="AZ655" i="1"/>
  <c r="AY655" i="1"/>
  <c r="BK654" i="1"/>
  <c r="BJ654" i="1"/>
  <c r="BH654" i="1"/>
  <c r="BG654" i="1"/>
  <c r="BF654" i="1"/>
  <c r="BE654" i="1"/>
  <c r="BD654" i="1"/>
  <c r="BC654" i="1"/>
  <c r="BB654" i="1"/>
  <c r="BA654" i="1"/>
  <c r="AZ654" i="1"/>
  <c r="BI654" i="1" s="1"/>
  <c r="AY654" i="1"/>
  <c r="BK653" i="1"/>
  <c r="BJ653" i="1"/>
  <c r="BH653" i="1"/>
  <c r="BG653" i="1"/>
  <c r="BF653" i="1"/>
  <c r="BE653" i="1"/>
  <c r="BD653" i="1"/>
  <c r="BC653" i="1"/>
  <c r="BB653" i="1"/>
  <c r="BA653" i="1"/>
  <c r="AZ653" i="1"/>
  <c r="BI653" i="1" s="1"/>
  <c r="AY653" i="1"/>
  <c r="BK652" i="1"/>
  <c r="BJ652" i="1"/>
  <c r="BH652" i="1"/>
  <c r="BG652" i="1"/>
  <c r="BF652" i="1"/>
  <c r="BE652" i="1"/>
  <c r="BD652" i="1"/>
  <c r="BC652" i="1"/>
  <c r="BB652" i="1"/>
  <c r="BA652" i="1"/>
  <c r="AZ652" i="1"/>
  <c r="AY652" i="1"/>
  <c r="BK651" i="1"/>
  <c r="BJ651" i="1"/>
  <c r="BH651" i="1"/>
  <c r="BG651" i="1"/>
  <c r="BF651" i="1"/>
  <c r="BE651" i="1"/>
  <c r="BD651" i="1"/>
  <c r="BC651" i="1"/>
  <c r="BB651" i="1"/>
  <c r="BA651" i="1"/>
  <c r="AZ651" i="1"/>
  <c r="BI651" i="1" s="1"/>
  <c r="AY651" i="1"/>
  <c r="BK650" i="1"/>
  <c r="BJ650" i="1"/>
  <c r="BH650" i="1"/>
  <c r="BG650" i="1"/>
  <c r="BF650" i="1"/>
  <c r="BE650" i="1"/>
  <c r="BD650" i="1"/>
  <c r="BC650" i="1"/>
  <c r="BB650" i="1"/>
  <c r="BA650" i="1"/>
  <c r="AZ650" i="1"/>
  <c r="AY650" i="1"/>
  <c r="BK649" i="1"/>
  <c r="BJ649" i="1"/>
  <c r="BH649" i="1"/>
  <c r="BG649" i="1"/>
  <c r="BF649" i="1"/>
  <c r="BE649" i="1"/>
  <c r="BD649" i="1"/>
  <c r="BC649" i="1"/>
  <c r="BB649" i="1"/>
  <c r="BA649" i="1"/>
  <c r="AZ649" i="1"/>
  <c r="BI649" i="1" s="1"/>
  <c r="AY649" i="1"/>
  <c r="BK648" i="1"/>
  <c r="BJ648" i="1"/>
  <c r="BH648" i="1"/>
  <c r="BG648" i="1"/>
  <c r="BF648" i="1"/>
  <c r="BE648" i="1"/>
  <c r="BD648" i="1"/>
  <c r="BC648" i="1"/>
  <c r="BB648" i="1"/>
  <c r="BA648" i="1"/>
  <c r="AZ648" i="1"/>
  <c r="BI648" i="1" s="1"/>
  <c r="AY648" i="1"/>
  <c r="BK647" i="1"/>
  <c r="BJ647" i="1"/>
  <c r="BH647" i="1"/>
  <c r="BG647" i="1"/>
  <c r="BF647" i="1"/>
  <c r="BE647" i="1"/>
  <c r="BD647" i="1"/>
  <c r="BC647" i="1"/>
  <c r="BB647" i="1"/>
  <c r="BA647" i="1"/>
  <c r="AZ647" i="1"/>
  <c r="BI647" i="1" s="1"/>
  <c r="AY647" i="1"/>
  <c r="BK646" i="1"/>
  <c r="BJ646" i="1"/>
  <c r="BH646" i="1"/>
  <c r="BG646" i="1"/>
  <c r="BF646" i="1"/>
  <c r="BE646" i="1"/>
  <c r="BD646" i="1"/>
  <c r="BC646" i="1"/>
  <c r="BB646" i="1"/>
  <c r="BA646" i="1"/>
  <c r="AZ646" i="1"/>
  <c r="BI646" i="1" s="1"/>
  <c r="AY646" i="1"/>
  <c r="BK645" i="1"/>
  <c r="BJ645" i="1"/>
  <c r="BH645" i="1"/>
  <c r="BG645" i="1"/>
  <c r="BF645" i="1"/>
  <c r="BE645" i="1"/>
  <c r="BD645" i="1"/>
  <c r="BC645" i="1"/>
  <c r="BB645" i="1"/>
  <c r="BA645" i="1"/>
  <c r="AZ645" i="1"/>
  <c r="BI645" i="1" s="1"/>
  <c r="AY645" i="1"/>
  <c r="BK644" i="1"/>
  <c r="BJ644" i="1"/>
  <c r="BH644" i="1"/>
  <c r="BG644" i="1"/>
  <c r="BF644" i="1"/>
  <c r="BE644" i="1"/>
  <c r="BD644" i="1"/>
  <c r="BC644" i="1"/>
  <c r="BB644" i="1"/>
  <c r="BA644" i="1"/>
  <c r="AZ644" i="1"/>
  <c r="BI644" i="1" s="1"/>
  <c r="AY644" i="1"/>
  <c r="BK643" i="1"/>
  <c r="BJ643" i="1"/>
  <c r="BH643" i="1"/>
  <c r="BG643" i="1"/>
  <c r="BF643" i="1"/>
  <c r="BE643" i="1"/>
  <c r="BD643" i="1"/>
  <c r="BC643" i="1"/>
  <c r="BB643" i="1"/>
  <c r="BA643" i="1"/>
  <c r="AZ643" i="1"/>
  <c r="BI643" i="1" s="1"/>
  <c r="AY643" i="1"/>
  <c r="BK642" i="1"/>
  <c r="BJ642" i="1"/>
  <c r="BH642" i="1"/>
  <c r="BG642" i="1"/>
  <c r="BF642" i="1"/>
  <c r="BE642" i="1"/>
  <c r="BD642" i="1"/>
  <c r="BC642" i="1"/>
  <c r="BB642" i="1"/>
  <c r="BA642" i="1"/>
  <c r="AZ642" i="1"/>
  <c r="BI642" i="1" s="1"/>
  <c r="AY642" i="1"/>
  <c r="BK641" i="1"/>
  <c r="BJ641" i="1"/>
  <c r="BH641" i="1"/>
  <c r="BG641" i="1"/>
  <c r="BF641" i="1"/>
  <c r="BE641" i="1"/>
  <c r="BD641" i="1"/>
  <c r="BC641" i="1"/>
  <c r="BB641" i="1"/>
  <c r="BA641" i="1"/>
  <c r="AZ641" i="1"/>
  <c r="BI641" i="1" s="1"/>
  <c r="AY641" i="1"/>
  <c r="BK640" i="1"/>
  <c r="BJ640" i="1"/>
  <c r="BH640" i="1"/>
  <c r="BG640" i="1"/>
  <c r="BF640" i="1"/>
  <c r="BE640" i="1"/>
  <c r="BD640" i="1"/>
  <c r="BC640" i="1"/>
  <c r="BB640" i="1"/>
  <c r="BA640" i="1"/>
  <c r="AZ640" i="1"/>
  <c r="BI640" i="1" s="1"/>
  <c r="AY640" i="1"/>
  <c r="BK639" i="1"/>
  <c r="BJ639" i="1"/>
  <c r="BH639" i="1"/>
  <c r="BG639" i="1"/>
  <c r="BF639" i="1"/>
  <c r="BE639" i="1"/>
  <c r="BD639" i="1"/>
  <c r="BC639" i="1"/>
  <c r="BB639" i="1"/>
  <c r="BA639" i="1"/>
  <c r="AZ639" i="1"/>
  <c r="BI639" i="1" s="1"/>
  <c r="AY639" i="1"/>
  <c r="BK638" i="1"/>
  <c r="BJ638" i="1"/>
  <c r="BH638" i="1"/>
  <c r="BG638" i="1"/>
  <c r="BF638" i="1"/>
  <c r="BE638" i="1"/>
  <c r="BD638" i="1"/>
  <c r="BC638" i="1"/>
  <c r="BB638" i="1"/>
  <c r="BA638" i="1"/>
  <c r="AZ638" i="1"/>
  <c r="BI638" i="1" s="1"/>
  <c r="AY638" i="1"/>
  <c r="BK637" i="1"/>
  <c r="BJ637" i="1"/>
  <c r="BH637" i="1"/>
  <c r="BG637" i="1"/>
  <c r="BF637" i="1"/>
  <c r="BE637" i="1"/>
  <c r="BD637" i="1"/>
  <c r="BC637" i="1"/>
  <c r="BB637" i="1"/>
  <c r="BA637" i="1"/>
  <c r="AZ637" i="1"/>
  <c r="BI637" i="1" s="1"/>
  <c r="AY637" i="1"/>
  <c r="BK636" i="1"/>
  <c r="BJ636" i="1"/>
  <c r="BH636" i="1"/>
  <c r="BG636" i="1"/>
  <c r="BF636" i="1"/>
  <c r="BE636" i="1"/>
  <c r="BD636" i="1"/>
  <c r="BC636" i="1"/>
  <c r="BB636" i="1"/>
  <c r="BA636" i="1"/>
  <c r="AZ636" i="1"/>
  <c r="BI636" i="1" s="1"/>
  <c r="AY636" i="1"/>
  <c r="BK635" i="1"/>
  <c r="BJ635" i="1"/>
  <c r="BH635" i="1"/>
  <c r="BG635" i="1"/>
  <c r="BF635" i="1"/>
  <c r="BE635" i="1"/>
  <c r="BD635" i="1"/>
  <c r="BC635" i="1"/>
  <c r="BB635" i="1"/>
  <c r="BA635" i="1"/>
  <c r="AZ635" i="1"/>
  <c r="BI635" i="1" s="1"/>
  <c r="AY635" i="1"/>
  <c r="BK634" i="1"/>
  <c r="BJ634" i="1"/>
  <c r="BH634" i="1"/>
  <c r="BG634" i="1"/>
  <c r="BF634" i="1"/>
  <c r="BE634" i="1"/>
  <c r="BD634" i="1"/>
  <c r="BC634" i="1"/>
  <c r="BB634" i="1"/>
  <c r="BA634" i="1"/>
  <c r="AZ634" i="1"/>
  <c r="AY634" i="1"/>
  <c r="BK633" i="1"/>
  <c r="BJ633" i="1"/>
  <c r="BH633" i="1"/>
  <c r="BG633" i="1"/>
  <c r="BF633" i="1"/>
  <c r="BE633" i="1"/>
  <c r="BD633" i="1"/>
  <c r="BC633" i="1"/>
  <c r="BB633" i="1"/>
  <c r="BA633" i="1"/>
  <c r="AZ633" i="1"/>
  <c r="BI633" i="1" s="1"/>
  <c r="AY633" i="1"/>
  <c r="BK632" i="1"/>
  <c r="BJ632" i="1"/>
  <c r="BH632" i="1"/>
  <c r="BG632" i="1"/>
  <c r="BF632" i="1"/>
  <c r="BE632" i="1"/>
  <c r="BD632" i="1"/>
  <c r="BC632" i="1"/>
  <c r="BB632" i="1"/>
  <c r="BA632" i="1"/>
  <c r="AZ632" i="1"/>
  <c r="BI632" i="1" s="1"/>
  <c r="AY632" i="1"/>
  <c r="BK631" i="1"/>
  <c r="BJ631" i="1"/>
  <c r="BH631" i="1"/>
  <c r="BG631" i="1"/>
  <c r="BF631" i="1"/>
  <c r="BE631" i="1"/>
  <c r="BD631" i="1"/>
  <c r="BC631" i="1"/>
  <c r="BB631" i="1"/>
  <c r="BA631" i="1"/>
  <c r="AZ631" i="1"/>
  <c r="AY631" i="1"/>
  <c r="BK630" i="1"/>
  <c r="BJ630" i="1"/>
  <c r="BH630" i="1"/>
  <c r="BG630" i="1"/>
  <c r="BF630" i="1"/>
  <c r="BE630" i="1"/>
  <c r="BD630" i="1"/>
  <c r="BC630" i="1"/>
  <c r="BB630" i="1"/>
  <c r="BA630" i="1"/>
  <c r="AZ630" i="1"/>
  <c r="BI630" i="1" s="1"/>
  <c r="AY630" i="1"/>
  <c r="BK629" i="1"/>
  <c r="BJ629" i="1"/>
  <c r="BH629" i="1"/>
  <c r="BG629" i="1"/>
  <c r="BF629" i="1"/>
  <c r="BE629" i="1"/>
  <c r="BD629" i="1"/>
  <c r="BC629" i="1"/>
  <c r="BB629" i="1"/>
  <c r="BA629" i="1"/>
  <c r="AZ629" i="1"/>
  <c r="BI629" i="1" s="1"/>
  <c r="AY629" i="1"/>
  <c r="BK628" i="1"/>
  <c r="BJ628" i="1"/>
  <c r="BH628" i="1"/>
  <c r="BG628" i="1"/>
  <c r="BF628" i="1"/>
  <c r="BE628" i="1"/>
  <c r="BD628" i="1"/>
  <c r="BC628" i="1"/>
  <c r="BB628" i="1"/>
  <c r="BA628" i="1"/>
  <c r="AZ628" i="1"/>
  <c r="BI628" i="1" s="1"/>
  <c r="AY628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BK626" i="1"/>
  <c r="BJ626" i="1"/>
  <c r="BH626" i="1"/>
  <c r="BG626" i="1"/>
  <c r="BF626" i="1"/>
  <c r="BE626" i="1"/>
  <c r="BD626" i="1"/>
  <c r="BC626" i="1"/>
  <c r="BB626" i="1"/>
  <c r="BA626" i="1"/>
  <c r="AZ626" i="1"/>
  <c r="BI626" i="1" s="1"/>
  <c r="AY626" i="1"/>
  <c r="BK625" i="1"/>
  <c r="BJ625" i="1"/>
  <c r="BH625" i="1"/>
  <c r="BG625" i="1"/>
  <c r="BF625" i="1"/>
  <c r="BE625" i="1"/>
  <c r="BD625" i="1"/>
  <c r="BC625" i="1"/>
  <c r="BB625" i="1"/>
  <c r="BI625" i="1" s="1"/>
  <c r="BA625" i="1"/>
  <c r="AZ625" i="1"/>
  <c r="AY625" i="1"/>
  <c r="BK624" i="1"/>
  <c r="BJ624" i="1"/>
  <c r="BH624" i="1"/>
  <c r="BG624" i="1"/>
  <c r="BF624" i="1"/>
  <c r="BE624" i="1"/>
  <c r="BD624" i="1"/>
  <c r="BC624" i="1"/>
  <c r="BB624" i="1"/>
  <c r="BA624" i="1"/>
  <c r="AZ624" i="1"/>
  <c r="BI624" i="1" s="1"/>
  <c r="AY624" i="1"/>
  <c r="BK623" i="1"/>
  <c r="BJ623" i="1"/>
  <c r="BH623" i="1"/>
  <c r="BG623" i="1"/>
  <c r="BF623" i="1"/>
  <c r="BE623" i="1"/>
  <c r="BD623" i="1"/>
  <c r="BC623" i="1"/>
  <c r="BB623" i="1"/>
  <c r="BI623" i="1" s="1"/>
  <c r="BA623" i="1"/>
  <c r="AZ623" i="1"/>
  <c r="AY623" i="1"/>
  <c r="BK622" i="1"/>
  <c r="BJ622" i="1"/>
  <c r="BH622" i="1"/>
  <c r="BG622" i="1"/>
  <c r="BF622" i="1"/>
  <c r="BE622" i="1"/>
  <c r="BD622" i="1"/>
  <c r="BC622" i="1"/>
  <c r="BB622" i="1"/>
  <c r="BA622" i="1"/>
  <c r="AZ622" i="1"/>
  <c r="AY622" i="1"/>
  <c r="BK621" i="1"/>
  <c r="BJ621" i="1"/>
  <c r="BH621" i="1"/>
  <c r="BG621" i="1"/>
  <c r="BF621" i="1"/>
  <c r="BE621" i="1"/>
  <c r="BD621" i="1"/>
  <c r="BC621" i="1"/>
  <c r="BB621" i="1"/>
  <c r="BA621" i="1"/>
  <c r="AZ621" i="1"/>
  <c r="BI621" i="1" s="1"/>
  <c r="AY621" i="1"/>
  <c r="BK620" i="1"/>
  <c r="BJ620" i="1"/>
  <c r="BH620" i="1"/>
  <c r="BG620" i="1"/>
  <c r="BF620" i="1"/>
  <c r="BE620" i="1"/>
  <c r="BD620" i="1"/>
  <c r="BC620" i="1"/>
  <c r="BB620" i="1"/>
  <c r="BA620" i="1"/>
  <c r="AZ620" i="1"/>
  <c r="BI620" i="1" s="1"/>
  <c r="AY620" i="1"/>
  <c r="BK619" i="1"/>
  <c r="BJ619" i="1"/>
  <c r="BH619" i="1"/>
  <c r="BG619" i="1"/>
  <c r="BF619" i="1"/>
  <c r="BE619" i="1"/>
  <c r="BD619" i="1"/>
  <c r="BC619" i="1"/>
  <c r="BB619" i="1"/>
  <c r="BA619" i="1"/>
  <c r="AZ619" i="1"/>
  <c r="BI619" i="1" s="1"/>
  <c r="AY619" i="1"/>
  <c r="BK618" i="1"/>
  <c r="BJ618" i="1"/>
  <c r="BH618" i="1"/>
  <c r="BG618" i="1"/>
  <c r="BF618" i="1"/>
  <c r="BE618" i="1"/>
  <c r="BD618" i="1"/>
  <c r="BC618" i="1"/>
  <c r="BB618" i="1"/>
  <c r="BA618" i="1"/>
  <c r="AZ618" i="1"/>
  <c r="AY618" i="1"/>
  <c r="BK617" i="1"/>
  <c r="BJ617" i="1"/>
  <c r="BH617" i="1"/>
  <c r="BG617" i="1"/>
  <c r="BF617" i="1"/>
  <c r="BE617" i="1"/>
  <c r="BD617" i="1"/>
  <c r="BC617" i="1"/>
  <c r="BB617" i="1"/>
  <c r="BA617" i="1"/>
  <c r="AZ617" i="1"/>
  <c r="AY617" i="1"/>
  <c r="BK616" i="1"/>
  <c r="BJ616" i="1"/>
  <c r="BH616" i="1"/>
  <c r="BG616" i="1"/>
  <c r="BF616" i="1"/>
  <c r="BE616" i="1"/>
  <c r="BD616" i="1"/>
  <c r="BC616" i="1"/>
  <c r="BB616" i="1"/>
  <c r="BA616" i="1"/>
  <c r="AZ616" i="1"/>
  <c r="BI616" i="1" s="1"/>
  <c r="AY616" i="1"/>
  <c r="BK615" i="1"/>
  <c r="BJ615" i="1"/>
  <c r="BH615" i="1"/>
  <c r="BG615" i="1"/>
  <c r="BF615" i="1"/>
  <c r="BE615" i="1"/>
  <c r="BD615" i="1"/>
  <c r="BC615" i="1"/>
  <c r="BB615" i="1"/>
  <c r="BA615" i="1"/>
  <c r="AZ615" i="1"/>
  <c r="BI615" i="1" s="1"/>
  <c r="AY615" i="1"/>
  <c r="BK614" i="1"/>
  <c r="BJ614" i="1"/>
  <c r="BH614" i="1"/>
  <c r="BG614" i="1"/>
  <c r="BF614" i="1"/>
  <c r="BE614" i="1"/>
  <c r="BD614" i="1"/>
  <c r="BC614" i="1"/>
  <c r="BB614" i="1"/>
  <c r="BA614" i="1"/>
  <c r="AZ614" i="1"/>
  <c r="BI614" i="1" s="1"/>
  <c r="AY614" i="1"/>
  <c r="BK613" i="1"/>
  <c r="BJ613" i="1"/>
  <c r="BH613" i="1"/>
  <c r="BG613" i="1"/>
  <c r="BF613" i="1"/>
  <c r="BE613" i="1"/>
  <c r="BD613" i="1"/>
  <c r="BC613" i="1"/>
  <c r="BB613" i="1"/>
  <c r="BA613" i="1"/>
  <c r="AZ613" i="1"/>
  <c r="BI613" i="1" s="1"/>
  <c r="AY613" i="1"/>
  <c r="BK612" i="1"/>
  <c r="BJ612" i="1"/>
  <c r="BH612" i="1"/>
  <c r="BG612" i="1"/>
  <c r="BF612" i="1"/>
  <c r="BE612" i="1"/>
  <c r="BD612" i="1"/>
  <c r="BC612" i="1"/>
  <c r="BB612" i="1"/>
  <c r="BA612" i="1"/>
  <c r="AZ612" i="1"/>
  <c r="AY612" i="1"/>
  <c r="BK611" i="1"/>
  <c r="BJ611" i="1"/>
  <c r="BH611" i="1"/>
  <c r="BG611" i="1"/>
  <c r="BF611" i="1"/>
  <c r="BE611" i="1"/>
  <c r="BD611" i="1"/>
  <c r="BC611" i="1"/>
  <c r="BB611" i="1"/>
  <c r="BA611" i="1"/>
  <c r="AZ611" i="1"/>
  <c r="BI611" i="1" s="1"/>
  <c r="AY611" i="1"/>
  <c r="BK610" i="1"/>
  <c r="BJ610" i="1"/>
  <c r="BH610" i="1"/>
  <c r="BG610" i="1"/>
  <c r="BF610" i="1"/>
  <c r="BE610" i="1"/>
  <c r="BD610" i="1"/>
  <c r="BC610" i="1"/>
  <c r="BB610" i="1"/>
  <c r="BA610" i="1"/>
  <c r="AZ610" i="1"/>
  <c r="AY610" i="1"/>
  <c r="BK609" i="1"/>
  <c r="BJ609" i="1"/>
  <c r="BH609" i="1"/>
  <c r="BG609" i="1"/>
  <c r="BF609" i="1"/>
  <c r="BE609" i="1"/>
  <c r="BD609" i="1"/>
  <c r="BC609" i="1"/>
  <c r="BB609" i="1"/>
  <c r="BA609" i="1"/>
  <c r="AZ609" i="1"/>
  <c r="BI609" i="1" s="1"/>
  <c r="AY609" i="1"/>
  <c r="BK608" i="1"/>
  <c r="BJ608" i="1"/>
  <c r="BH608" i="1"/>
  <c r="BG608" i="1"/>
  <c r="BF608" i="1"/>
  <c r="BE608" i="1"/>
  <c r="BD608" i="1"/>
  <c r="BC608" i="1"/>
  <c r="BB608" i="1"/>
  <c r="BA608" i="1"/>
  <c r="AZ608" i="1"/>
  <c r="BI608" i="1" s="1"/>
  <c r="AY608" i="1"/>
  <c r="BK607" i="1"/>
  <c r="BJ607" i="1"/>
  <c r="BH607" i="1"/>
  <c r="BG607" i="1"/>
  <c r="BF607" i="1"/>
  <c r="BE607" i="1"/>
  <c r="BD607" i="1"/>
  <c r="BC607" i="1"/>
  <c r="BB607" i="1"/>
  <c r="BA607" i="1"/>
  <c r="AZ607" i="1"/>
  <c r="BI607" i="1" s="1"/>
  <c r="AY607" i="1"/>
  <c r="BK606" i="1"/>
  <c r="BJ606" i="1"/>
  <c r="BH606" i="1"/>
  <c r="BG606" i="1"/>
  <c r="BF606" i="1"/>
  <c r="BE606" i="1"/>
  <c r="BD606" i="1"/>
  <c r="BC606" i="1"/>
  <c r="BB606" i="1"/>
  <c r="BA606" i="1"/>
  <c r="AZ606" i="1"/>
  <c r="BI606" i="1" s="1"/>
  <c r="AY606" i="1"/>
  <c r="BK605" i="1"/>
  <c r="BJ605" i="1"/>
  <c r="BH605" i="1"/>
  <c r="BG605" i="1"/>
  <c r="BF605" i="1"/>
  <c r="BE605" i="1"/>
  <c r="BD605" i="1"/>
  <c r="BC605" i="1"/>
  <c r="BB605" i="1"/>
  <c r="BA605" i="1"/>
  <c r="AZ605" i="1"/>
  <c r="BI605" i="1" s="1"/>
  <c r="AY605" i="1"/>
  <c r="BK604" i="1"/>
  <c r="BJ604" i="1"/>
  <c r="BH604" i="1"/>
  <c r="BG604" i="1"/>
  <c r="BF604" i="1"/>
  <c r="BE604" i="1"/>
  <c r="BD604" i="1"/>
  <c r="BC604" i="1"/>
  <c r="BB604" i="1"/>
  <c r="BA604" i="1"/>
  <c r="AZ604" i="1"/>
  <c r="BI604" i="1" s="1"/>
  <c r="AY604" i="1"/>
  <c r="BK603" i="1"/>
  <c r="BJ603" i="1"/>
  <c r="BH603" i="1"/>
  <c r="BG603" i="1"/>
  <c r="BF603" i="1"/>
  <c r="BE603" i="1"/>
  <c r="BD603" i="1"/>
  <c r="BC603" i="1"/>
  <c r="BB603" i="1"/>
  <c r="BA603" i="1"/>
  <c r="AZ603" i="1"/>
  <c r="AY603" i="1"/>
  <c r="BK602" i="1"/>
  <c r="BJ602" i="1"/>
  <c r="BH602" i="1"/>
  <c r="BG602" i="1"/>
  <c r="BF602" i="1"/>
  <c r="BE602" i="1"/>
  <c r="BD602" i="1"/>
  <c r="BC602" i="1"/>
  <c r="BB602" i="1"/>
  <c r="BA602" i="1"/>
  <c r="AZ602" i="1"/>
  <c r="BI602" i="1" s="1"/>
  <c r="AY602" i="1"/>
  <c r="BK601" i="1"/>
  <c r="BJ601" i="1"/>
  <c r="BH601" i="1"/>
  <c r="BG601" i="1"/>
  <c r="BF601" i="1"/>
  <c r="BE601" i="1"/>
  <c r="BD601" i="1"/>
  <c r="BC601" i="1"/>
  <c r="BB601" i="1"/>
  <c r="BA601" i="1"/>
  <c r="AZ601" i="1"/>
  <c r="BI601" i="1" s="1"/>
  <c r="AY601" i="1"/>
  <c r="BK600" i="1"/>
  <c r="BJ600" i="1"/>
  <c r="BH600" i="1"/>
  <c r="BG600" i="1"/>
  <c r="BF600" i="1"/>
  <c r="BE600" i="1"/>
  <c r="BD600" i="1"/>
  <c r="BC600" i="1"/>
  <c r="BB600" i="1"/>
  <c r="BA600" i="1"/>
  <c r="AZ600" i="1"/>
  <c r="BI600" i="1" s="1"/>
  <c r="AY600" i="1"/>
  <c r="BK599" i="1"/>
  <c r="BJ599" i="1"/>
  <c r="BH599" i="1"/>
  <c r="BG599" i="1"/>
  <c r="BF599" i="1"/>
  <c r="BE599" i="1"/>
  <c r="BD599" i="1"/>
  <c r="BC599" i="1"/>
  <c r="BB599" i="1"/>
  <c r="BA599" i="1"/>
  <c r="AZ599" i="1"/>
  <c r="AY599" i="1"/>
  <c r="BK598" i="1"/>
  <c r="BJ598" i="1"/>
  <c r="BH598" i="1"/>
  <c r="BG598" i="1"/>
  <c r="BF598" i="1"/>
  <c r="BE598" i="1"/>
  <c r="BD598" i="1"/>
  <c r="BC598" i="1"/>
  <c r="BB598" i="1"/>
  <c r="BA598" i="1"/>
  <c r="AZ598" i="1"/>
  <c r="BI598" i="1" s="1"/>
  <c r="AY598" i="1"/>
  <c r="BK597" i="1"/>
  <c r="BJ597" i="1"/>
  <c r="BH597" i="1"/>
  <c r="BG597" i="1"/>
  <c r="BF597" i="1"/>
  <c r="BE597" i="1"/>
  <c r="BD597" i="1"/>
  <c r="BC597" i="1"/>
  <c r="BB597" i="1"/>
  <c r="BA597" i="1"/>
  <c r="AZ597" i="1"/>
  <c r="BI597" i="1" s="1"/>
  <c r="AY597" i="1"/>
  <c r="BK596" i="1"/>
  <c r="BJ596" i="1"/>
  <c r="BH596" i="1"/>
  <c r="BG596" i="1"/>
  <c r="BF596" i="1"/>
  <c r="BE596" i="1"/>
  <c r="BD596" i="1"/>
  <c r="BC596" i="1"/>
  <c r="BB596" i="1"/>
  <c r="BA596" i="1"/>
  <c r="AZ596" i="1"/>
  <c r="BI596" i="1" s="1"/>
  <c r="AY596" i="1"/>
  <c r="BK595" i="1"/>
  <c r="BJ595" i="1"/>
  <c r="BH595" i="1"/>
  <c r="BG595" i="1"/>
  <c r="BF595" i="1"/>
  <c r="BE595" i="1"/>
  <c r="BD595" i="1"/>
  <c r="BC595" i="1"/>
  <c r="BB595" i="1"/>
  <c r="BA595" i="1"/>
  <c r="AZ595" i="1"/>
  <c r="BI595" i="1" s="1"/>
  <c r="AY595" i="1"/>
  <c r="BK594" i="1"/>
  <c r="BJ594" i="1"/>
  <c r="BH594" i="1"/>
  <c r="BG594" i="1"/>
  <c r="BF594" i="1"/>
  <c r="BE594" i="1"/>
  <c r="BD594" i="1"/>
  <c r="BC594" i="1"/>
  <c r="BB594" i="1"/>
  <c r="BA594" i="1"/>
  <c r="AZ594" i="1"/>
  <c r="BI594" i="1" s="1"/>
  <c r="AY594" i="1"/>
  <c r="BK593" i="1"/>
  <c r="BJ593" i="1"/>
  <c r="BH593" i="1"/>
  <c r="BG593" i="1"/>
  <c r="BF593" i="1"/>
  <c r="BE593" i="1"/>
  <c r="BD593" i="1"/>
  <c r="BC593" i="1"/>
  <c r="BB593" i="1"/>
  <c r="BA593" i="1"/>
  <c r="AZ593" i="1"/>
  <c r="BI593" i="1" s="1"/>
  <c r="AY593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BK591" i="1"/>
  <c r="BJ591" i="1"/>
  <c r="BH591" i="1"/>
  <c r="BG591" i="1"/>
  <c r="BF591" i="1"/>
  <c r="BE591" i="1"/>
  <c r="BD591" i="1"/>
  <c r="BC591" i="1"/>
  <c r="BB591" i="1"/>
  <c r="BI591" i="1" s="1"/>
  <c r="BA591" i="1"/>
  <c r="AZ591" i="1"/>
  <c r="AY591" i="1"/>
  <c r="BK590" i="1"/>
  <c r="BJ590" i="1"/>
  <c r="BH590" i="1"/>
  <c r="BG590" i="1"/>
  <c r="BF590" i="1"/>
  <c r="BE590" i="1"/>
  <c r="BD590" i="1"/>
  <c r="BC590" i="1"/>
  <c r="BB590" i="1"/>
  <c r="BA590" i="1"/>
  <c r="AZ590" i="1"/>
  <c r="BI590" i="1" s="1"/>
  <c r="AY590" i="1"/>
  <c r="BK589" i="1"/>
  <c r="BJ589" i="1"/>
  <c r="BH589" i="1"/>
  <c r="BG589" i="1"/>
  <c r="BF589" i="1"/>
  <c r="BE589" i="1"/>
  <c r="BD589" i="1"/>
  <c r="BC589" i="1"/>
  <c r="BB589" i="1"/>
  <c r="BA589" i="1"/>
  <c r="AZ589" i="1"/>
  <c r="BI589" i="1" s="1"/>
  <c r="AY589" i="1"/>
  <c r="BK588" i="1"/>
  <c r="BJ588" i="1"/>
  <c r="BH588" i="1"/>
  <c r="BG588" i="1"/>
  <c r="BF588" i="1"/>
  <c r="BE588" i="1"/>
  <c r="BD588" i="1"/>
  <c r="BC588" i="1"/>
  <c r="BB588" i="1"/>
  <c r="BA588" i="1"/>
  <c r="AZ588" i="1"/>
  <c r="BI588" i="1" s="1"/>
  <c r="AY588" i="1"/>
  <c r="BK587" i="1"/>
  <c r="BJ587" i="1"/>
  <c r="BH587" i="1"/>
  <c r="BG587" i="1"/>
  <c r="BF587" i="1"/>
  <c r="BE587" i="1"/>
  <c r="BD587" i="1"/>
  <c r="BC587" i="1"/>
  <c r="BB587" i="1"/>
  <c r="BA587" i="1"/>
  <c r="AZ587" i="1"/>
  <c r="BI587" i="1" s="1"/>
  <c r="AY587" i="1"/>
  <c r="BK586" i="1"/>
  <c r="BJ586" i="1"/>
  <c r="BH586" i="1"/>
  <c r="BG586" i="1"/>
  <c r="BF586" i="1"/>
  <c r="BE586" i="1"/>
  <c r="BD586" i="1"/>
  <c r="BC586" i="1"/>
  <c r="BB586" i="1"/>
  <c r="BA586" i="1"/>
  <c r="AZ586" i="1"/>
  <c r="AY586" i="1"/>
  <c r="BK585" i="1"/>
  <c r="BJ585" i="1"/>
  <c r="BH585" i="1"/>
  <c r="BG585" i="1"/>
  <c r="BF585" i="1"/>
  <c r="BE585" i="1"/>
  <c r="BD585" i="1"/>
  <c r="BC585" i="1"/>
  <c r="BB585" i="1"/>
  <c r="BA585" i="1"/>
  <c r="AZ585" i="1"/>
  <c r="BI585" i="1" s="1"/>
  <c r="AY585" i="1"/>
  <c r="BK584" i="1"/>
  <c r="BJ584" i="1"/>
  <c r="BH584" i="1"/>
  <c r="BG584" i="1"/>
  <c r="BF584" i="1"/>
  <c r="BE584" i="1"/>
  <c r="BD584" i="1"/>
  <c r="BC584" i="1"/>
  <c r="BB584" i="1"/>
  <c r="BA584" i="1"/>
  <c r="AZ584" i="1"/>
  <c r="BI584" i="1" s="1"/>
  <c r="AY584" i="1"/>
  <c r="BK583" i="1"/>
  <c r="BJ583" i="1"/>
  <c r="BH583" i="1"/>
  <c r="BG583" i="1"/>
  <c r="BF583" i="1"/>
  <c r="BE583" i="1"/>
  <c r="BD583" i="1"/>
  <c r="BC583" i="1"/>
  <c r="BB583" i="1"/>
  <c r="BA583" i="1"/>
  <c r="AZ583" i="1"/>
  <c r="BI583" i="1" s="1"/>
  <c r="AY583" i="1"/>
  <c r="BK582" i="1"/>
  <c r="BJ582" i="1"/>
  <c r="BH582" i="1"/>
  <c r="BG582" i="1"/>
  <c r="BF582" i="1"/>
  <c r="BE582" i="1"/>
  <c r="BD582" i="1"/>
  <c r="BC582" i="1"/>
  <c r="BB582" i="1"/>
  <c r="BA582" i="1"/>
  <c r="AZ582" i="1"/>
  <c r="BI582" i="1" s="1"/>
  <c r="AY582" i="1"/>
  <c r="BK581" i="1"/>
  <c r="BJ581" i="1"/>
  <c r="BH581" i="1"/>
  <c r="BG581" i="1"/>
  <c r="BF581" i="1"/>
  <c r="BE581" i="1"/>
  <c r="BD581" i="1"/>
  <c r="BC581" i="1"/>
  <c r="BB581" i="1"/>
  <c r="BA581" i="1"/>
  <c r="AZ581" i="1"/>
  <c r="BI581" i="1" s="1"/>
  <c r="AY581" i="1"/>
  <c r="BK580" i="1"/>
  <c r="BJ580" i="1"/>
  <c r="BH580" i="1"/>
  <c r="BG580" i="1"/>
  <c r="BF580" i="1"/>
  <c r="BE580" i="1"/>
  <c r="BD580" i="1"/>
  <c r="BC580" i="1"/>
  <c r="BB580" i="1"/>
  <c r="BA580" i="1"/>
  <c r="AZ580" i="1"/>
  <c r="BI580" i="1" s="1"/>
  <c r="AY580" i="1"/>
  <c r="BK579" i="1"/>
  <c r="BJ579" i="1"/>
  <c r="BH579" i="1"/>
  <c r="BG579" i="1"/>
  <c r="BF579" i="1"/>
  <c r="BE579" i="1"/>
  <c r="BD579" i="1"/>
  <c r="BC579" i="1"/>
  <c r="BB579" i="1"/>
  <c r="BA579" i="1"/>
  <c r="AZ579" i="1"/>
  <c r="BI579" i="1" s="1"/>
  <c r="AY579" i="1"/>
  <c r="BK578" i="1"/>
  <c r="BJ578" i="1"/>
  <c r="BH578" i="1"/>
  <c r="BG578" i="1"/>
  <c r="BF578" i="1"/>
  <c r="BE578" i="1"/>
  <c r="BD578" i="1"/>
  <c r="BC578" i="1"/>
  <c r="BB578" i="1"/>
  <c r="BA578" i="1"/>
  <c r="AZ578" i="1"/>
  <c r="AY578" i="1"/>
  <c r="BK577" i="1"/>
  <c r="BJ577" i="1"/>
  <c r="BH577" i="1"/>
  <c r="BG577" i="1"/>
  <c r="BF577" i="1"/>
  <c r="BE577" i="1"/>
  <c r="BD577" i="1"/>
  <c r="BC577" i="1"/>
  <c r="BB577" i="1"/>
  <c r="BA577" i="1"/>
  <c r="AZ577" i="1"/>
  <c r="AY577" i="1"/>
  <c r="BK576" i="1"/>
  <c r="BJ576" i="1"/>
  <c r="BH576" i="1"/>
  <c r="BG576" i="1"/>
  <c r="BF576" i="1"/>
  <c r="BE576" i="1"/>
  <c r="BD576" i="1"/>
  <c r="BC576" i="1"/>
  <c r="BB576" i="1"/>
  <c r="BA576" i="1"/>
  <c r="AZ576" i="1"/>
  <c r="BI576" i="1" s="1"/>
  <c r="AY576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BK574" i="1"/>
  <c r="BJ574" i="1"/>
  <c r="BH574" i="1"/>
  <c r="BG574" i="1"/>
  <c r="BF574" i="1"/>
  <c r="BE574" i="1"/>
  <c r="BD574" i="1"/>
  <c r="BC574" i="1"/>
  <c r="BB574" i="1"/>
  <c r="BA574" i="1"/>
  <c r="AZ574" i="1"/>
  <c r="BI574" i="1" s="1"/>
  <c r="AY574" i="1"/>
  <c r="BK573" i="1"/>
  <c r="BJ573" i="1"/>
  <c r="BH573" i="1"/>
  <c r="BG573" i="1"/>
  <c r="BF573" i="1"/>
  <c r="BE573" i="1"/>
  <c r="BD573" i="1"/>
  <c r="BC573" i="1"/>
  <c r="BB573" i="1"/>
  <c r="BA573" i="1"/>
  <c r="AZ573" i="1"/>
  <c r="BI573" i="1" s="1"/>
  <c r="AY573" i="1"/>
  <c r="BK572" i="1"/>
  <c r="BJ572" i="1"/>
  <c r="BH572" i="1"/>
  <c r="BG572" i="1"/>
  <c r="BF572" i="1"/>
  <c r="BE572" i="1"/>
  <c r="BD572" i="1"/>
  <c r="BC572" i="1"/>
  <c r="BB572" i="1"/>
  <c r="BA572" i="1"/>
  <c r="AZ572" i="1"/>
  <c r="AY572" i="1"/>
  <c r="BK571" i="1"/>
  <c r="BJ571" i="1"/>
  <c r="BH571" i="1"/>
  <c r="BG571" i="1"/>
  <c r="BF571" i="1"/>
  <c r="BE571" i="1"/>
  <c r="BD571" i="1"/>
  <c r="BC571" i="1"/>
  <c r="BB571" i="1"/>
  <c r="BI571" i="1" s="1"/>
  <c r="BA571" i="1"/>
  <c r="AZ571" i="1"/>
  <c r="AY571" i="1"/>
  <c r="BK570" i="1"/>
  <c r="BJ570" i="1"/>
  <c r="BH570" i="1"/>
  <c r="BG570" i="1"/>
  <c r="BF570" i="1"/>
  <c r="BE570" i="1"/>
  <c r="BD570" i="1"/>
  <c r="BC570" i="1"/>
  <c r="BB570" i="1"/>
  <c r="BA570" i="1"/>
  <c r="AZ570" i="1"/>
  <c r="AY570" i="1"/>
  <c r="BK569" i="1"/>
  <c r="BJ569" i="1"/>
  <c r="BH569" i="1"/>
  <c r="BG569" i="1"/>
  <c r="BF569" i="1"/>
  <c r="BE569" i="1"/>
  <c r="BD569" i="1"/>
  <c r="BC569" i="1"/>
  <c r="BB569" i="1"/>
  <c r="BA569" i="1"/>
  <c r="AZ569" i="1"/>
  <c r="BI569" i="1" s="1"/>
  <c r="AY569" i="1"/>
  <c r="BK568" i="1"/>
  <c r="BJ568" i="1"/>
  <c r="BH568" i="1"/>
  <c r="BG568" i="1"/>
  <c r="BF568" i="1"/>
  <c r="BE568" i="1"/>
  <c r="BD568" i="1"/>
  <c r="BC568" i="1"/>
  <c r="BB568" i="1"/>
  <c r="BA568" i="1"/>
  <c r="AZ568" i="1"/>
  <c r="BI568" i="1" s="1"/>
  <c r="AY568" i="1"/>
  <c r="BK567" i="1"/>
  <c r="BJ567" i="1"/>
  <c r="BH567" i="1"/>
  <c r="BG567" i="1"/>
  <c r="BF567" i="1"/>
  <c r="BE567" i="1"/>
  <c r="BD567" i="1"/>
  <c r="BC567" i="1"/>
  <c r="BB567" i="1"/>
  <c r="BA567" i="1"/>
  <c r="AZ567" i="1"/>
  <c r="BI567" i="1" s="1"/>
  <c r="AY567" i="1"/>
  <c r="BK566" i="1"/>
  <c r="BJ566" i="1"/>
  <c r="BH566" i="1"/>
  <c r="BG566" i="1"/>
  <c r="BF566" i="1"/>
  <c r="BE566" i="1"/>
  <c r="BD566" i="1"/>
  <c r="BC566" i="1"/>
  <c r="BB566" i="1"/>
  <c r="BA566" i="1"/>
  <c r="AZ566" i="1"/>
  <c r="AY566" i="1"/>
  <c r="BK565" i="1"/>
  <c r="BJ565" i="1"/>
  <c r="BH565" i="1"/>
  <c r="BG565" i="1"/>
  <c r="BF565" i="1"/>
  <c r="BE565" i="1"/>
  <c r="BD565" i="1"/>
  <c r="BC565" i="1"/>
  <c r="BB565" i="1"/>
  <c r="BA565" i="1"/>
  <c r="AZ565" i="1"/>
  <c r="BI565" i="1" s="1"/>
  <c r="AY565" i="1"/>
  <c r="BK564" i="1"/>
  <c r="BJ564" i="1"/>
  <c r="BH564" i="1"/>
  <c r="BG564" i="1"/>
  <c r="BF564" i="1"/>
  <c r="BE564" i="1"/>
  <c r="BD564" i="1"/>
  <c r="BC564" i="1"/>
  <c r="BB564" i="1"/>
  <c r="BA564" i="1"/>
  <c r="AZ564" i="1"/>
  <c r="BI564" i="1" s="1"/>
  <c r="AY564" i="1"/>
  <c r="BK563" i="1"/>
  <c r="BJ563" i="1"/>
  <c r="BH563" i="1"/>
  <c r="BG563" i="1"/>
  <c r="BF563" i="1"/>
  <c r="BE563" i="1"/>
  <c r="BD563" i="1"/>
  <c r="BC563" i="1"/>
  <c r="BB563" i="1"/>
  <c r="BA563" i="1"/>
  <c r="AZ563" i="1"/>
  <c r="BI563" i="1" s="1"/>
  <c r="AY563" i="1"/>
  <c r="BK562" i="1"/>
  <c r="BJ562" i="1"/>
  <c r="BH562" i="1"/>
  <c r="BG562" i="1"/>
  <c r="BF562" i="1"/>
  <c r="BE562" i="1"/>
  <c r="BD562" i="1"/>
  <c r="BC562" i="1"/>
  <c r="BB562" i="1"/>
  <c r="BA562" i="1"/>
  <c r="AZ562" i="1"/>
  <c r="BI562" i="1" s="1"/>
  <c r="AY562" i="1"/>
  <c r="BK561" i="1"/>
  <c r="BJ561" i="1"/>
  <c r="BH561" i="1"/>
  <c r="BG561" i="1"/>
  <c r="BF561" i="1"/>
  <c r="BE561" i="1"/>
  <c r="BD561" i="1"/>
  <c r="BC561" i="1"/>
  <c r="BB561" i="1"/>
  <c r="BA561" i="1"/>
  <c r="AZ561" i="1"/>
  <c r="BI561" i="1" s="1"/>
  <c r="AY561" i="1"/>
  <c r="BK560" i="1"/>
  <c r="BJ560" i="1"/>
  <c r="BH560" i="1"/>
  <c r="BG560" i="1"/>
  <c r="BF560" i="1"/>
  <c r="BE560" i="1"/>
  <c r="BD560" i="1"/>
  <c r="BC560" i="1"/>
  <c r="BB560" i="1"/>
  <c r="BA560" i="1"/>
  <c r="AZ560" i="1"/>
  <c r="BI560" i="1" s="1"/>
  <c r="AY560" i="1"/>
  <c r="BK559" i="1"/>
  <c r="BJ559" i="1"/>
  <c r="BH559" i="1"/>
  <c r="BG559" i="1"/>
  <c r="BF559" i="1"/>
  <c r="BE559" i="1"/>
  <c r="BD559" i="1"/>
  <c r="BC559" i="1"/>
  <c r="BB559" i="1"/>
  <c r="BA559" i="1"/>
  <c r="AZ559" i="1"/>
  <c r="AY559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BK557" i="1"/>
  <c r="BJ557" i="1"/>
  <c r="BH557" i="1"/>
  <c r="BG557" i="1"/>
  <c r="BF557" i="1"/>
  <c r="BE557" i="1"/>
  <c r="BD557" i="1"/>
  <c r="BC557" i="1"/>
  <c r="BB557" i="1"/>
  <c r="BA557" i="1"/>
  <c r="AZ557" i="1"/>
  <c r="BI557" i="1" s="1"/>
  <c r="AY557" i="1"/>
  <c r="BK556" i="1"/>
  <c r="BJ556" i="1"/>
  <c r="BH556" i="1"/>
  <c r="BG556" i="1"/>
  <c r="BF556" i="1"/>
  <c r="BE556" i="1"/>
  <c r="BD556" i="1"/>
  <c r="BC556" i="1"/>
  <c r="BB556" i="1"/>
  <c r="BI556" i="1" s="1"/>
  <c r="BA556" i="1"/>
  <c r="AZ556" i="1"/>
  <c r="AY556" i="1"/>
  <c r="BK555" i="1"/>
  <c r="BJ555" i="1"/>
  <c r="BH555" i="1"/>
  <c r="BG555" i="1"/>
  <c r="BF555" i="1"/>
  <c r="BE555" i="1"/>
  <c r="BD555" i="1"/>
  <c r="BC555" i="1"/>
  <c r="BB555" i="1"/>
  <c r="BA555" i="1"/>
  <c r="AZ555" i="1"/>
  <c r="BI555" i="1" s="1"/>
  <c r="AY555" i="1"/>
  <c r="BK554" i="1"/>
  <c r="BJ554" i="1"/>
  <c r="BH554" i="1"/>
  <c r="BG554" i="1"/>
  <c r="BF554" i="1"/>
  <c r="BE554" i="1"/>
  <c r="BD554" i="1"/>
  <c r="BC554" i="1"/>
  <c r="BB554" i="1"/>
  <c r="BA554" i="1"/>
  <c r="AZ554" i="1"/>
  <c r="AY554" i="1"/>
  <c r="BK553" i="1"/>
  <c r="BJ553" i="1"/>
  <c r="BH553" i="1"/>
  <c r="BG553" i="1"/>
  <c r="BF553" i="1"/>
  <c r="BE553" i="1"/>
  <c r="BD553" i="1"/>
  <c r="BC553" i="1"/>
  <c r="BB553" i="1"/>
  <c r="BA553" i="1"/>
  <c r="AZ553" i="1"/>
  <c r="BI553" i="1" s="1"/>
  <c r="AY553" i="1"/>
  <c r="BK552" i="1"/>
  <c r="BJ552" i="1"/>
  <c r="BH552" i="1"/>
  <c r="BG552" i="1"/>
  <c r="BF552" i="1"/>
  <c r="BE552" i="1"/>
  <c r="BD552" i="1"/>
  <c r="BC552" i="1"/>
  <c r="BB552" i="1"/>
  <c r="BA552" i="1"/>
  <c r="AZ552" i="1"/>
  <c r="BI552" i="1" s="1"/>
  <c r="AY552" i="1"/>
  <c r="BK551" i="1"/>
  <c r="BJ551" i="1"/>
  <c r="BH551" i="1"/>
  <c r="BG551" i="1"/>
  <c r="BF551" i="1"/>
  <c r="BE551" i="1"/>
  <c r="BD551" i="1"/>
  <c r="BC551" i="1"/>
  <c r="BB551" i="1"/>
  <c r="BA551" i="1"/>
  <c r="AZ551" i="1"/>
  <c r="BI551" i="1" s="1"/>
  <c r="AY551" i="1"/>
  <c r="BK550" i="1"/>
  <c r="BJ550" i="1"/>
  <c r="BH550" i="1"/>
  <c r="BG550" i="1"/>
  <c r="BF550" i="1"/>
  <c r="BE550" i="1"/>
  <c r="BD550" i="1"/>
  <c r="BC550" i="1"/>
  <c r="BB550" i="1"/>
  <c r="BA550" i="1"/>
  <c r="AZ550" i="1"/>
  <c r="BI550" i="1" s="1"/>
  <c r="AY550" i="1"/>
  <c r="BK549" i="1"/>
  <c r="BJ549" i="1"/>
  <c r="BH549" i="1"/>
  <c r="BG549" i="1"/>
  <c r="BF549" i="1"/>
  <c r="BE549" i="1"/>
  <c r="BD549" i="1"/>
  <c r="BC549" i="1"/>
  <c r="BB549" i="1"/>
  <c r="BA549" i="1"/>
  <c r="AZ549" i="1"/>
  <c r="BI549" i="1" s="1"/>
  <c r="AY549" i="1"/>
  <c r="BK548" i="1"/>
  <c r="BJ548" i="1"/>
  <c r="BH548" i="1"/>
  <c r="BG548" i="1"/>
  <c r="BF548" i="1"/>
  <c r="BE548" i="1"/>
  <c r="BD548" i="1"/>
  <c r="BC548" i="1"/>
  <c r="BB548" i="1"/>
  <c r="BA548" i="1"/>
  <c r="AZ548" i="1"/>
  <c r="BI548" i="1" s="1"/>
  <c r="AY548" i="1"/>
  <c r="BK547" i="1"/>
  <c r="BJ547" i="1"/>
  <c r="BH547" i="1"/>
  <c r="BG547" i="1"/>
  <c r="BF547" i="1"/>
  <c r="BE547" i="1"/>
  <c r="BD547" i="1"/>
  <c r="BC547" i="1"/>
  <c r="BB547" i="1"/>
  <c r="BA547" i="1"/>
  <c r="AZ547" i="1"/>
  <c r="BI547" i="1" s="1"/>
  <c r="AY547" i="1"/>
  <c r="BK546" i="1"/>
  <c r="BJ546" i="1"/>
  <c r="BH546" i="1"/>
  <c r="BG546" i="1"/>
  <c r="BF546" i="1"/>
  <c r="BE546" i="1"/>
  <c r="BD546" i="1"/>
  <c r="BC546" i="1"/>
  <c r="BB546" i="1"/>
  <c r="BA546" i="1"/>
  <c r="AZ546" i="1"/>
  <c r="BI546" i="1" s="1"/>
  <c r="AY546" i="1"/>
  <c r="BK545" i="1"/>
  <c r="BJ545" i="1"/>
  <c r="BH545" i="1"/>
  <c r="BG545" i="1"/>
  <c r="BF545" i="1"/>
  <c r="BE545" i="1"/>
  <c r="BD545" i="1"/>
  <c r="BC545" i="1"/>
  <c r="BB545" i="1"/>
  <c r="BA545" i="1"/>
  <c r="AZ545" i="1"/>
  <c r="BI545" i="1" s="1"/>
  <c r="AY545" i="1"/>
  <c r="BK544" i="1"/>
  <c r="BJ544" i="1"/>
  <c r="BH544" i="1"/>
  <c r="BG544" i="1"/>
  <c r="BF544" i="1"/>
  <c r="BE544" i="1"/>
  <c r="BD544" i="1"/>
  <c r="BC544" i="1"/>
  <c r="BB544" i="1"/>
  <c r="BA544" i="1"/>
  <c r="AZ544" i="1"/>
  <c r="BI544" i="1" s="1"/>
  <c r="AY544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BK542" i="1"/>
  <c r="BJ542" i="1"/>
  <c r="BH542" i="1"/>
  <c r="BG542" i="1"/>
  <c r="BF542" i="1"/>
  <c r="BE542" i="1"/>
  <c r="BD542" i="1"/>
  <c r="BC542" i="1"/>
  <c r="BB542" i="1"/>
  <c r="BA542" i="1"/>
  <c r="AZ542" i="1"/>
  <c r="BI542" i="1" s="1"/>
  <c r="AY542" i="1"/>
  <c r="BK541" i="1"/>
  <c r="BJ541" i="1"/>
  <c r="BH541" i="1"/>
  <c r="BG541" i="1"/>
  <c r="BF541" i="1"/>
  <c r="BE541" i="1"/>
  <c r="BD541" i="1"/>
  <c r="BC541" i="1"/>
  <c r="BB541" i="1"/>
  <c r="BA541" i="1"/>
  <c r="AZ541" i="1"/>
  <c r="BI541" i="1" s="1"/>
  <c r="AY541" i="1"/>
  <c r="BK540" i="1"/>
  <c r="BJ540" i="1"/>
  <c r="BH540" i="1"/>
  <c r="BG540" i="1"/>
  <c r="BF540" i="1"/>
  <c r="BE540" i="1"/>
  <c r="BD540" i="1"/>
  <c r="BC540" i="1"/>
  <c r="BB540" i="1"/>
  <c r="BA540" i="1"/>
  <c r="AZ540" i="1"/>
  <c r="BI540" i="1" s="1"/>
  <c r="AY540" i="1"/>
  <c r="BK539" i="1"/>
  <c r="BJ539" i="1"/>
  <c r="BH539" i="1"/>
  <c r="BG539" i="1"/>
  <c r="BF539" i="1"/>
  <c r="BE539" i="1"/>
  <c r="BD539" i="1"/>
  <c r="BC539" i="1"/>
  <c r="BB539" i="1"/>
  <c r="BA539" i="1"/>
  <c r="AZ539" i="1"/>
  <c r="BI539" i="1" s="1"/>
  <c r="AY539" i="1"/>
  <c r="BK538" i="1"/>
  <c r="BJ538" i="1"/>
  <c r="BH538" i="1"/>
  <c r="BG538" i="1"/>
  <c r="BF538" i="1"/>
  <c r="BE538" i="1"/>
  <c r="BD538" i="1"/>
  <c r="BC538" i="1"/>
  <c r="BB538" i="1"/>
  <c r="BA538" i="1"/>
  <c r="AZ538" i="1"/>
  <c r="AY538" i="1"/>
  <c r="BK537" i="1"/>
  <c r="BJ537" i="1"/>
  <c r="BH537" i="1"/>
  <c r="BG537" i="1"/>
  <c r="BF537" i="1"/>
  <c r="BE537" i="1"/>
  <c r="BD537" i="1"/>
  <c r="BC537" i="1"/>
  <c r="BB537" i="1"/>
  <c r="BA537" i="1"/>
  <c r="AZ537" i="1"/>
  <c r="BI537" i="1" s="1"/>
  <c r="AY537" i="1"/>
  <c r="BK536" i="1"/>
  <c r="BJ536" i="1"/>
  <c r="BH536" i="1"/>
  <c r="BG536" i="1"/>
  <c r="BF536" i="1"/>
  <c r="BE536" i="1"/>
  <c r="BD536" i="1"/>
  <c r="BC536" i="1"/>
  <c r="BB536" i="1"/>
  <c r="BA536" i="1"/>
  <c r="AZ536" i="1"/>
  <c r="BI536" i="1" s="1"/>
  <c r="AY536" i="1"/>
  <c r="BK535" i="1"/>
  <c r="BJ535" i="1"/>
  <c r="BH535" i="1"/>
  <c r="BG535" i="1"/>
  <c r="BF535" i="1"/>
  <c r="BE535" i="1"/>
  <c r="BD535" i="1"/>
  <c r="BC535" i="1"/>
  <c r="BB535" i="1"/>
  <c r="BA535" i="1"/>
  <c r="AZ535" i="1"/>
  <c r="BI535" i="1" s="1"/>
  <c r="AY535" i="1"/>
  <c r="BK534" i="1"/>
  <c r="BJ534" i="1"/>
  <c r="BH534" i="1"/>
  <c r="BG534" i="1"/>
  <c r="BF534" i="1"/>
  <c r="BE534" i="1"/>
  <c r="BD534" i="1"/>
  <c r="BC534" i="1"/>
  <c r="BB534" i="1"/>
  <c r="BA534" i="1"/>
  <c r="AZ534" i="1"/>
  <c r="BI534" i="1" s="1"/>
  <c r="AY534" i="1"/>
  <c r="BK533" i="1"/>
  <c r="BJ533" i="1"/>
  <c r="BH533" i="1"/>
  <c r="BG533" i="1"/>
  <c r="BF533" i="1"/>
  <c r="BE533" i="1"/>
  <c r="BD533" i="1"/>
  <c r="BC533" i="1"/>
  <c r="BB533" i="1"/>
  <c r="BA533" i="1"/>
  <c r="AZ533" i="1"/>
  <c r="BI533" i="1" s="1"/>
  <c r="AY533" i="1"/>
  <c r="BK532" i="1"/>
  <c r="BJ532" i="1"/>
  <c r="BH532" i="1"/>
  <c r="BG532" i="1"/>
  <c r="BF532" i="1"/>
  <c r="BE532" i="1"/>
  <c r="BD532" i="1"/>
  <c r="BC532" i="1"/>
  <c r="BB532" i="1"/>
  <c r="BA532" i="1"/>
  <c r="AZ532" i="1"/>
  <c r="BI532" i="1" s="1"/>
  <c r="AY532" i="1"/>
  <c r="BK531" i="1"/>
  <c r="BJ531" i="1"/>
  <c r="BH531" i="1"/>
  <c r="BG531" i="1"/>
  <c r="BF531" i="1"/>
  <c r="BE531" i="1"/>
  <c r="BD531" i="1"/>
  <c r="BC531" i="1"/>
  <c r="BB531" i="1"/>
  <c r="BA531" i="1"/>
  <c r="AZ531" i="1"/>
  <c r="BI531" i="1" s="1"/>
  <c r="AY531" i="1"/>
  <c r="BK530" i="1"/>
  <c r="BJ530" i="1"/>
  <c r="BH530" i="1"/>
  <c r="BG530" i="1"/>
  <c r="BF530" i="1"/>
  <c r="BE530" i="1"/>
  <c r="BD530" i="1"/>
  <c r="BC530" i="1"/>
  <c r="BB530" i="1"/>
  <c r="BA530" i="1"/>
  <c r="AZ530" i="1"/>
  <c r="AY530" i="1"/>
  <c r="BK529" i="1"/>
  <c r="BJ529" i="1"/>
  <c r="BH529" i="1"/>
  <c r="BG529" i="1"/>
  <c r="BF529" i="1"/>
  <c r="BE529" i="1"/>
  <c r="BD529" i="1"/>
  <c r="BC529" i="1"/>
  <c r="BB529" i="1"/>
  <c r="BA529" i="1"/>
  <c r="AZ529" i="1"/>
  <c r="BI529" i="1" s="1"/>
  <c r="AY529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BK527" i="1"/>
  <c r="BJ527" i="1"/>
  <c r="BH527" i="1"/>
  <c r="BG527" i="1"/>
  <c r="BF527" i="1"/>
  <c r="BE527" i="1"/>
  <c r="BD527" i="1"/>
  <c r="BC527" i="1"/>
  <c r="BB527" i="1"/>
  <c r="BA527" i="1"/>
  <c r="AZ527" i="1"/>
  <c r="BI527" i="1" s="1"/>
  <c r="AY527" i="1"/>
  <c r="BK526" i="1"/>
  <c r="BJ526" i="1"/>
  <c r="BH526" i="1"/>
  <c r="BG526" i="1"/>
  <c r="BF526" i="1"/>
  <c r="BE526" i="1"/>
  <c r="BD526" i="1"/>
  <c r="BC526" i="1"/>
  <c r="BB526" i="1"/>
  <c r="BA526" i="1"/>
  <c r="AZ526" i="1"/>
  <c r="BI526" i="1" s="1"/>
  <c r="AY526" i="1"/>
  <c r="BK525" i="1"/>
  <c r="BJ525" i="1"/>
  <c r="BH525" i="1"/>
  <c r="BG525" i="1"/>
  <c r="BF525" i="1"/>
  <c r="BE525" i="1"/>
  <c r="BD525" i="1"/>
  <c r="BC525" i="1"/>
  <c r="BB525" i="1"/>
  <c r="BA525" i="1"/>
  <c r="AZ525" i="1"/>
  <c r="BI525" i="1" s="1"/>
  <c r="AY525" i="1"/>
  <c r="BK524" i="1"/>
  <c r="BJ524" i="1"/>
  <c r="BH524" i="1"/>
  <c r="BG524" i="1"/>
  <c r="BF524" i="1"/>
  <c r="BE524" i="1"/>
  <c r="BD524" i="1"/>
  <c r="BC524" i="1"/>
  <c r="BB524" i="1"/>
  <c r="BA524" i="1"/>
  <c r="AZ524" i="1"/>
  <c r="BI524" i="1" s="1"/>
  <c r="AY524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BK522" i="1"/>
  <c r="BJ522" i="1"/>
  <c r="BH522" i="1"/>
  <c r="BG522" i="1"/>
  <c r="BF522" i="1"/>
  <c r="BE522" i="1"/>
  <c r="BD522" i="1"/>
  <c r="BC522" i="1"/>
  <c r="BB522" i="1"/>
  <c r="BA522" i="1"/>
  <c r="AZ522" i="1"/>
  <c r="BI522" i="1" s="1"/>
  <c r="AY522" i="1"/>
  <c r="BK521" i="1"/>
  <c r="BJ521" i="1"/>
  <c r="BH521" i="1"/>
  <c r="BG521" i="1"/>
  <c r="BF521" i="1"/>
  <c r="BE521" i="1"/>
  <c r="BD521" i="1"/>
  <c r="BC521" i="1"/>
  <c r="BB521" i="1"/>
  <c r="BA521" i="1"/>
  <c r="AZ521" i="1"/>
  <c r="AY521" i="1"/>
  <c r="BK520" i="1"/>
  <c r="BJ520" i="1"/>
  <c r="BH520" i="1"/>
  <c r="BG520" i="1"/>
  <c r="BF520" i="1"/>
  <c r="BE520" i="1"/>
  <c r="BD520" i="1"/>
  <c r="BC520" i="1"/>
  <c r="BB520" i="1"/>
  <c r="BA520" i="1"/>
  <c r="AZ520" i="1"/>
  <c r="BI520" i="1" s="1"/>
  <c r="AY520" i="1"/>
  <c r="BK519" i="1"/>
  <c r="BJ519" i="1"/>
  <c r="BH519" i="1"/>
  <c r="BG519" i="1"/>
  <c r="BF519" i="1"/>
  <c r="BE519" i="1"/>
  <c r="BD519" i="1"/>
  <c r="BC519" i="1"/>
  <c r="BB519" i="1"/>
  <c r="BA519" i="1"/>
  <c r="AZ519" i="1"/>
  <c r="AY519" i="1"/>
  <c r="BK518" i="1"/>
  <c r="BJ518" i="1"/>
  <c r="BH518" i="1"/>
  <c r="BG518" i="1"/>
  <c r="BF518" i="1"/>
  <c r="BE518" i="1"/>
  <c r="BD518" i="1"/>
  <c r="BC518" i="1"/>
  <c r="BB518" i="1"/>
  <c r="BA518" i="1"/>
  <c r="AZ518" i="1"/>
  <c r="BI518" i="1" s="1"/>
  <c r="AY518" i="1"/>
  <c r="BK517" i="1"/>
  <c r="BJ517" i="1"/>
  <c r="BH517" i="1"/>
  <c r="BG517" i="1"/>
  <c r="BF517" i="1"/>
  <c r="BE517" i="1"/>
  <c r="BD517" i="1"/>
  <c r="BC517" i="1"/>
  <c r="BB517" i="1"/>
  <c r="BA517" i="1"/>
  <c r="AZ517" i="1"/>
  <c r="BI517" i="1" s="1"/>
  <c r="AY517" i="1"/>
  <c r="BK516" i="1"/>
  <c r="BJ516" i="1"/>
  <c r="BH516" i="1"/>
  <c r="BG516" i="1"/>
  <c r="BF516" i="1"/>
  <c r="BE516" i="1"/>
  <c r="BD516" i="1"/>
  <c r="BC516" i="1"/>
  <c r="BB516" i="1"/>
  <c r="BA516" i="1"/>
  <c r="AZ516" i="1"/>
  <c r="BI516" i="1" s="1"/>
  <c r="AY516" i="1"/>
  <c r="BK515" i="1"/>
  <c r="BJ515" i="1"/>
  <c r="BH515" i="1"/>
  <c r="BG515" i="1"/>
  <c r="BF515" i="1"/>
  <c r="BE515" i="1"/>
  <c r="BD515" i="1"/>
  <c r="BC515" i="1"/>
  <c r="BB515" i="1"/>
  <c r="BA515" i="1"/>
  <c r="AZ515" i="1"/>
  <c r="BI515" i="1" s="1"/>
  <c r="AY515" i="1"/>
  <c r="BK514" i="1"/>
  <c r="BJ514" i="1"/>
  <c r="BH514" i="1"/>
  <c r="BG514" i="1"/>
  <c r="BF514" i="1"/>
  <c r="BE514" i="1"/>
  <c r="BD514" i="1"/>
  <c r="BC514" i="1"/>
  <c r="BB514" i="1"/>
  <c r="BA514" i="1"/>
  <c r="AZ514" i="1"/>
  <c r="AY514" i="1"/>
  <c r="BK513" i="1"/>
  <c r="BJ513" i="1"/>
  <c r="BH513" i="1"/>
  <c r="BG513" i="1"/>
  <c r="BF513" i="1"/>
  <c r="BE513" i="1"/>
  <c r="BD513" i="1"/>
  <c r="BC513" i="1"/>
  <c r="BB513" i="1"/>
  <c r="BA513" i="1"/>
  <c r="AZ513" i="1"/>
  <c r="BI513" i="1" s="1"/>
  <c r="AY513" i="1"/>
  <c r="BK512" i="1"/>
  <c r="BJ512" i="1"/>
  <c r="BH512" i="1"/>
  <c r="BG512" i="1"/>
  <c r="BF512" i="1"/>
  <c r="BE512" i="1"/>
  <c r="BD512" i="1"/>
  <c r="BC512" i="1"/>
  <c r="BB512" i="1"/>
  <c r="BA512" i="1"/>
  <c r="AZ512" i="1"/>
  <c r="BI512" i="1" s="1"/>
  <c r="AY512" i="1"/>
  <c r="BK511" i="1"/>
  <c r="BJ511" i="1"/>
  <c r="BH511" i="1"/>
  <c r="BG511" i="1"/>
  <c r="BF511" i="1"/>
  <c r="BE511" i="1"/>
  <c r="BD511" i="1"/>
  <c r="BC511" i="1"/>
  <c r="BB511" i="1"/>
  <c r="BA511" i="1"/>
  <c r="AZ511" i="1"/>
  <c r="AY511" i="1"/>
  <c r="BK510" i="1"/>
  <c r="BJ510" i="1"/>
  <c r="BH510" i="1"/>
  <c r="BG510" i="1"/>
  <c r="BF510" i="1"/>
  <c r="BE510" i="1"/>
  <c r="BD510" i="1"/>
  <c r="BC510" i="1"/>
  <c r="BB510" i="1"/>
  <c r="BA510" i="1"/>
  <c r="AZ510" i="1"/>
  <c r="BI510" i="1" s="1"/>
  <c r="AY510" i="1"/>
  <c r="BK509" i="1"/>
  <c r="BJ509" i="1"/>
  <c r="BH509" i="1"/>
  <c r="BG509" i="1"/>
  <c r="BF509" i="1"/>
  <c r="BE509" i="1"/>
  <c r="BD509" i="1"/>
  <c r="BC509" i="1"/>
  <c r="BB509" i="1"/>
  <c r="BA509" i="1"/>
  <c r="AZ509" i="1"/>
  <c r="AY509" i="1"/>
  <c r="BK508" i="1"/>
  <c r="BJ508" i="1"/>
  <c r="BH508" i="1"/>
  <c r="BG508" i="1"/>
  <c r="BF508" i="1"/>
  <c r="BE508" i="1"/>
  <c r="BD508" i="1"/>
  <c r="BC508" i="1"/>
  <c r="BB508" i="1"/>
  <c r="BA508" i="1"/>
  <c r="AZ508" i="1"/>
  <c r="BI508" i="1" s="1"/>
  <c r="AY508" i="1"/>
  <c r="BK507" i="1"/>
  <c r="BJ507" i="1"/>
  <c r="BH507" i="1"/>
  <c r="BG507" i="1"/>
  <c r="BF507" i="1"/>
  <c r="BE507" i="1"/>
  <c r="BD507" i="1"/>
  <c r="BC507" i="1"/>
  <c r="BB507" i="1"/>
  <c r="BA507" i="1"/>
  <c r="AZ507" i="1"/>
  <c r="BI507" i="1" s="1"/>
  <c r="AY507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BK505" i="1"/>
  <c r="BJ505" i="1"/>
  <c r="BH505" i="1"/>
  <c r="BG505" i="1"/>
  <c r="BF505" i="1"/>
  <c r="BE505" i="1"/>
  <c r="BD505" i="1"/>
  <c r="BC505" i="1"/>
  <c r="BB505" i="1"/>
  <c r="BA505" i="1"/>
  <c r="AZ505" i="1"/>
  <c r="BI505" i="1" s="1"/>
  <c r="AY505" i="1"/>
  <c r="BK504" i="1"/>
  <c r="BJ504" i="1"/>
  <c r="BH504" i="1"/>
  <c r="BG504" i="1"/>
  <c r="BF504" i="1"/>
  <c r="BE504" i="1"/>
  <c r="BD504" i="1"/>
  <c r="BC504" i="1"/>
  <c r="BB504" i="1"/>
  <c r="BA504" i="1"/>
  <c r="AZ504" i="1"/>
  <c r="BI504" i="1" s="1"/>
  <c r="AY504" i="1"/>
  <c r="BK503" i="1"/>
  <c r="BJ503" i="1"/>
  <c r="BH503" i="1"/>
  <c r="BG503" i="1"/>
  <c r="BF503" i="1"/>
  <c r="BE503" i="1"/>
  <c r="BD503" i="1"/>
  <c r="BC503" i="1"/>
  <c r="BB503" i="1"/>
  <c r="BA503" i="1"/>
  <c r="AZ503" i="1"/>
  <c r="BI503" i="1" s="1"/>
  <c r="AY503" i="1"/>
  <c r="BK502" i="1"/>
  <c r="BJ502" i="1"/>
  <c r="BH502" i="1"/>
  <c r="BG502" i="1"/>
  <c r="BF502" i="1"/>
  <c r="BE502" i="1"/>
  <c r="BD502" i="1"/>
  <c r="BC502" i="1"/>
  <c r="BB502" i="1"/>
  <c r="BA502" i="1"/>
  <c r="AZ502" i="1"/>
  <c r="BI502" i="1" s="1"/>
  <c r="AY502" i="1"/>
  <c r="BK501" i="1"/>
  <c r="BJ501" i="1"/>
  <c r="BH501" i="1"/>
  <c r="BG501" i="1"/>
  <c r="BF501" i="1"/>
  <c r="BE501" i="1"/>
  <c r="BD501" i="1"/>
  <c r="BC501" i="1"/>
  <c r="BB501" i="1"/>
  <c r="BA501" i="1"/>
  <c r="AZ501" i="1"/>
  <c r="AY501" i="1"/>
  <c r="BK500" i="1"/>
  <c r="BJ500" i="1"/>
  <c r="BH500" i="1"/>
  <c r="BG500" i="1"/>
  <c r="BF500" i="1"/>
  <c r="BE500" i="1"/>
  <c r="BD500" i="1"/>
  <c r="BC500" i="1"/>
  <c r="BB500" i="1"/>
  <c r="BA500" i="1"/>
  <c r="AZ500" i="1"/>
  <c r="BI500" i="1" s="1"/>
  <c r="AY500" i="1"/>
  <c r="BK499" i="1"/>
  <c r="BJ499" i="1"/>
  <c r="BH499" i="1"/>
  <c r="BG499" i="1"/>
  <c r="BF499" i="1"/>
  <c r="BE499" i="1"/>
  <c r="BD499" i="1"/>
  <c r="BC499" i="1"/>
  <c r="BB499" i="1"/>
  <c r="BA499" i="1"/>
  <c r="AZ499" i="1"/>
  <c r="BI499" i="1" s="1"/>
  <c r="AY499" i="1"/>
  <c r="BK498" i="1"/>
  <c r="BJ498" i="1"/>
  <c r="BH498" i="1"/>
  <c r="BG498" i="1"/>
  <c r="BF498" i="1"/>
  <c r="BE498" i="1"/>
  <c r="BD498" i="1"/>
  <c r="BC498" i="1"/>
  <c r="BB498" i="1"/>
  <c r="BA498" i="1"/>
  <c r="AZ498" i="1"/>
  <c r="BI498" i="1" s="1"/>
  <c r="AY498" i="1"/>
  <c r="BK497" i="1"/>
  <c r="BJ497" i="1"/>
  <c r="BH497" i="1"/>
  <c r="BG497" i="1"/>
  <c r="BF497" i="1"/>
  <c r="BE497" i="1"/>
  <c r="BD497" i="1"/>
  <c r="BC497" i="1"/>
  <c r="BB497" i="1"/>
  <c r="BA497" i="1"/>
  <c r="AZ497" i="1"/>
  <c r="BI497" i="1" s="1"/>
  <c r="AY497" i="1"/>
  <c r="BK496" i="1"/>
  <c r="BJ496" i="1"/>
  <c r="BH496" i="1"/>
  <c r="BG496" i="1"/>
  <c r="BF496" i="1"/>
  <c r="BE496" i="1"/>
  <c r="BD496" i="1"/>
  <c r="BC496" i="1"/>
  <c r="BB496" i="1"/>
  <c r="BA496" i="1"/>
  <c r="AZ496" i="1"/>
  <c r="BI496" i="1" s="1"/>
  <c r="AY496" i="1"/>
  <c r="BK495" i="1"/>
  <c r="BJ495" i="1"/>
  <c r="BH495" i="1"/>
  <c r="BG495" i="1"/>
  <c r="BF495" i="1"/>
  <c r="BE495" i="1"/>
  <c r="BD495" i="1"/>
  <c r="BC495" i="1"/>
  <c r="BB495" i="1"/>
  <c r="BA495" i="1"/>
  <c r="AZ495" i="1"/>
  <c r="AY495" i="1"/>
  <c r="BK494" i="1"/>
  <c r="BJ494" i="1"/>
  <c r="BH494" i="1"/>
  <c r="BG494" i="1"/>
  <c r="BF494" i="1"/>
  <c r="BE494" i="1"/>
  <c r="BD494" i="1"/>
  <c r="BC494" i="1"/>
  <c r="BB494" i="1"/>
  <c r="BA494" i="1"/>
  <c r="AZ494" i="1"/>
  <c r="BI494" i="1" s="1"/>
  <c r="AY494" i="1"/>
  <c r="BK493" i="1"/>
  <c r="BJ493" i="1"/>
  <c r="BH493" i="1"/>
  <c r="BG493" i="1"/>
  <c r="BF493" i="1"/>
  <c r="BE493" i="1"/>
  <c r="BD493" i="1"/>
  <c r="BC493" i="1"/>
  <c r="BB493" i="1"/>
  <c r="BA493" i="1"/>
  <c r="AZ493" i="1"/>
  <c r="BI493" i="1" s="1"/>
  <c r="AY493" i="1"/>
  <c r="BK492" i="1"/>
  <c r="BJ492" i="1"/>
  <c r="BH492" i="1"/>
  <c r="BG492" i="1"/>
  <c r="BF492" i="1"/>
  <c r="BE492" i="1"/>
  <c r="BD492" i="1"/>
  <c r="BC492" i="1"/>
  <c r="BB492" i="1"/>
  <c r="BA492" i="1"/>
  <c r="AZ492" i="1"/>
  <c r="BI492" i="1" s="1"/>
  <c r="AY492" i="1"/>
  <c r="BK491" i="1"/>
  <c r="BJ491" i="1"/>
  <c r="BH491" i="1"/>
  <c r="BG491" i="1"/>
  <c r="BF491" i="1"/>
  <c r="BE491" i="1"/>
  <c r="BD491" i="1"/>
  <c r="BC491" i="1"/>
  <c r="BB491" i="1"/>
  <c r="BA491" i="1"/>
  <c r="AZ491" i="1"/>
  <c r="BI491" i="1" s="1"/>
  <c r="AY491" i="1"/>
  <c r="BK490" i="1"/>
  <c r="BJ490" i="1"/>
  <c r="BH490" i="1"/>
  <c r="BG490" i="1"/>
  <c r="BF490" i="1"/>
  <c r="BE490" i="1"/>
  <c r="BD490" i="1"/>
  <c r="BC490" i="1"/>
  <c r="BB490" i="1"/>
  <c r="BA490" i="1"/>
  <c r="AZ490" i="1"/>
  <c r="BI490" i="1" s="1"/>
  <c r="AY490" i="1"/>
  <c r="BK489" i="1"/>
  <c r="BJ489" i="1"/>
  <c r="BH489" i="1"/>
  <c r="BG489" i="1"/>
  <c r="BF489" i="1"/>
  <c r="BE489" i="1"/>
  <c r="BD489" i="1"/>
  <c r="BC489" i="1"/>
  <c r="BB489" i="1"/>
  <c r="BA489" i="1"/>
  <c r="AZ489" i="1"/>
  <c r="BI489" i="1" s="1"/>
  <c r="AY489" i="1"/>
  <c r="BK488" i="1"/>
  <c r="BJ488" i="1"/>
  <c r="BH488" i="1"/>
  <c r="BG488" i="1"/>
  <c r="BF488" i="1"/>
  <c r="BE488" i="1"/>
  <c r="BD488" i="1"/>
  <c r="BC488" i="1"/>
  <c r="BB488" i="1"/>
  <c r="BA488" i="1"/>
  <c r="AZ488" i="1"/>
  <c r="BI488" i="1" s="1"/>
  <c r="AY488" i="1"/>
  <c r="BK487" i="1"/>
  <c r="BJ487" i="1"/>
  <c r="BH487" i="1"/>
  <c r="BG487" i="1"/>
  <c r="BF487" i="1"/>
  <c r="BE487" i="1"/>
  <c r="BD487" i="1"/>
  <c r="BC487" i="1"/>
  <c r="BB487" i="1"/>
  <c r="BA487" i="1"/>
  <c r="AZ487" i="1"/>
  <c r="BI487" i="1" s="1"/>
  <c r="AY487" i="1"/>
  <c r="BK486" i="1"/>
  <c r="BJ486" i="1"/>
  <c r="BH486" i="1"/>
  <c r="BG486" i="1"/>
  <c r="BF486" i="1"/>
  <c r="BE486" i="1"/>
  <c r="BD486" i="1"/>
  <c r="BC486" i="1"/>
  <c r="BB486" i="1"/>
  <c r="BA486" i="1"/>
  <c r="AZ486" i="1"/>
  <c r="BI486" i="1" s="1"/>
  <c r="AY486" i="1"/>
  <c r="BK485" i="1"/>
  <c r="BJ485" i="1"/>
  <c r="BH485" i="1"/>
  <c r="BG485" i="1"/>
  <c r="BF485" i="1"/>
  <c r="BE485" i="1"/>
  <c r="BD485" i="1"/>
  <c r="BC485" i="1"/>
  <c r="BB485" i="1"/>
  <c r="BA485" i="1"/>
  <c r="AZ485" i="1"/>
  <c r="BI485" i="1" s="1"/>
  <c r="AY485" i="1"/>
  <c r="BK484" i="1"/>
  <c r="BJ484" i="1"/>
  <c r="BH484" i="1"/>
  <c r="BG484" i="1"/>
  <c r="BF484" i="1"/>
  <c r="BE484" i="1"/>
  <c r="BD484" i="1"/>
  <c r="BC484" i="1"/>
  <c r="BB484" i="1"/>
  <c r="BA484" i="1"/>
  <c r="AZ484" i="1"/>
  <c r="BI484" i="1" s="1"/>
  <c r="AY484" i="1"/>
  <c r="BK483" i="1"/>
  <c r="BJ483" i="1"/>
  <c r="BH483" i="1"/>
  <c r="BG483" i="1"/>
  <c r="BF483" i="1"/>
  <c r="BE483" i="1"/>
  <c r="BD483" i="1"/>
  <c r="BC483" i="1"/>
  <c r="BB483" i="1"/>
  <c r="BA483" i="1"/>
  <c r="AZ483" i="1"/>
  <c r="AY483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BK481" i="1"/>
  <c r="BJ481" i="1"/>
  <c r="BH481" i="1"/>
  <c r="BG481" i="1"/>
  <c r="BF481" i="1"/>
  <c r="BE481" i="1"/>
  <c r="BD481" i="1"/>
  <c r="BC481" i="1"/>
  <c r="BB481" i="1"/>
  <c r="BA481" i="1"/>
  <c r="AZ481" i="1"/>
  <c r="BI481" i="1" s="1"/>
  <c r="AY481" i="1"/>
  <c r="BK480" i="1"/>
  <c r="BJ480" i="1"/>
  <c r="BH480" i="1"/>
  <c r="BG480" i="1"/>
  <c r="BF480" i="1"/>
  <c r="BE480" i="1"/>
  <c r="BD480" i="1"/>
  <c r="BC480" i="1"/>
  <c r="BB480" i="1"/>
  <c r="BA480" i="1"/>
  <c r="AZ480" i="1"/>
  <c r="BI480" i="1" s="1"/>
  <c r="AY480" i="1"/>
  <c r="BK479" i="1"/>
  <c r="BJ479" i="1"/>
  <c r="BH479" i="1"/>
  <c r="BG479" i="1"/>
  <c r="BF479" i="1"/>
  <c r="BE479" i="1"/>
  <c r="BD479" i="1"/>
  <c r="BC479" i="1"/>
  <c r="BB479" i="1"/>
  <c r="BA479" i="1"/>
  <c r="AZ479" i="1"/>
  <c r="BI479" i="1" s="1"/>
  <c r="AY479" i="1"/>
  <c r="BK478" i="1"/>
  <c r="BJ478" i="1"/>
  <c r="BH478" i="1"/>
  <c r="BG478" i="1"/>
  <c r="BF478" i="1"/>
  <c r="BE478" i="1"/>
  <c r="BD478" i="1"/>
  <c r="BC478" i="1"/>
  <c r="BB478" i="1"/>
  <c r="BA478" i="1"/>
  <c r="AZ478" i="1"/>
  <c r="AY478" i="1"/>
  <c r="BK477" i="1"/>
  <c r="BJ477" i="1"/>
  <c r="BH477" i="1"/>
  <c r="BG477" i="1"/>
  <c r="BF477" i="1"/>
  <c r="BE477" i="1"/>
  <c r="BD477" i="1"/>
  <c r="BC477" i="1"/>
  <c r="BB477" i="1"/>
  <c r="BA477" i="1"/>
  <c r="AZ477" i="1"/>
  <c r="BI477" i="1" s="1"/>
  <c r="AY477" i="1"/>
  <c r="BK476" i="1"/>
  <c r="BJ476" i="1"/>
  <c r="BH476" i="1"/>
  <c r="BG476" i="1"/>
  <c r="BF476" i="1"/>
  <c r="BE476" i="1"/>
  <c r="BD476" i="1"/>
  <c r="BC476" i="1"/>
  <c r="BB476" i="1"/>
  <c r="BA476" i="1"/>
  <c r="AZ476" i="1"/>
  <c r="BI476" i="1" s="1"/>
  <c r="AY476" i="1"/>
  <c r="BK475" i="1"/>
  <c r="BJ475" i="1"/>
  <c r="BH475" i="1"/>
  <c r="BG475" i="1"/>
  <c r="BF475" i="1"/>
  <c r="BE475" i="1"/>
  <c r="BD475" i="1"/>
  <c r="BC475" i="1"/>
  <c r="BB475" i="1"/>
  <c r="BA475" i="1"/>
  <c r="AZ475" i="1"/>
  <c r="BI475" i="1" s="1"/>
  <c r="AY475" i="1"/>
  <c r="BK474" i="1"/>
  <c r="BJ474" i="1"/>
  <c r="BH474" i="1"/>
  <c r="BG474" i="1"/>
  <c r="BF474" i="1"/>
  <c r="BE474" i="1"/>
  <c r="BD474" i="1"/>
  <c r="BC474" i="1"/>
  <c r="BB474" i="1"/>
  <c r="BA474" i="1"/>
  <c r="AZ474" i="1"/>
  <c r="BI474" i="1" s="1"/>
  <c r="AY474" i="1"/>
  <c r="BK473" i="1"/>
  <c r="BJ473" i="1"/>
  <c r="BH473" i="1"/>
  <c r="BG473" i="1"/>
  <c r="BF473" i="1"/>
  <c r="BE473" i="1"/>
  <c r="BD473" i="1"/>
  <c r="BC473" i="1"/>
  <c r="BB473" i="1"/>
  <c r="BA473" i="1"/>
  <c r="AZ473" i="1"/>
  <c r="AY473" i="1"/>
  <c r="BK472" i="1"/>
  <c r="BJ472" i="1"/>
  <c r="BH472" i="1"/>
  <c r="BG472" i="1"/>
  <c r="BF472" i="1"/>
  <c r="BE472" i="1"/>
  <c r="BD472" i="1"/>
  <c r="BC472" i="1"/>
  <c r="BB472" i="1"/>
  <c r="BA472" i="1"/>
  <c r="AZ472" i="1"/>
  <c r="BI472" i="1" s="1"/>
  <c r="AY472" i="1"/>
  <c r="BK471" i="1"/>
  <c r="BJ471" i="1"/>
  <c r="BH471" i="1"/>
  <c r="BG471" i="1"/>
  <c r="BF471" i="1"/>
  <c r="BE471" i="1"/>
  <c r="BD471" i="1"/>
  <c r="BC471" i="1"/>
  <c r="BB471" i="1"/>
  <c r="BA471" i="1"/>
  <c r="AZ471" i="1"/>
  <c r="BI471" i="1" s="1"/>
  <c r="AY471" i="1"/>
  <c r="BK470" i="1"/>
  <c r="BJ470" i="1"/>
  <c r="BH470" i="1"/>
  <c r="BG470" i="1"/>
  <c r="BF470" i="1"/>
  <c r="BE470" i="1"/>
  <c r="BD470" i="1"/>
  <c r="BC470" i="1"/>
  <c r="BB470" i="1"/>
  <c r="BA470" i="1"/>
  <c r="AZ470" i="1"/>
  <c r="BI470" i="1" s="1"/>
  <c r="AY470" i="1"/>
  <c r="BK469" i="1"/>
  <c r="BJ469" i="1"/>
  <c r="BH469" i="1"/>
  <c r="BG469" i="1"/>
  <c r="BF469" i="1"/>
  <c r="BE469" i="1"/>
  <c r="BD469" i="1"/>
  <c r="BC469" i="1"/>
  <c r="BB469" i="1"/>
  <c r="BA469" i="1"/>
  <c r="AZ469" i="1"/>
  <c r="AY469" i="1"/>
  <c r="BK468" i="1"/>
  <c r="BJ468" i="1"/>
  <c r="BH468" i="1"/>
  <c r="BG468" i="1"/>
  <c r="BF468" i="1"/>
  <c r="BE468" i="1"/>
  <c r="BD468" i="1"/>
  <c r="BC468" i="1"/>
  <c r="BB468" i="1"/>
  <c r="BA468" i="1"/>
  <c r="AZ468" i="1"/>
  <c r="AY468" i="1"/>
  <c r="BK467" i="1"/>
  <c r="BJ467" i="1"/>
  <c r="BH467" i="1"/>
  <c r="BG467" i="1"/>
  <c r="BF467" i="1"/>
  <c r="BE467" i="1"/>
  <c r="BD467" i="1"/>
  <c r="BC467" i="1"/>
  <c r="BB467" i="1"/>
  <c r="BA467" i="1"/>
  <c r="AZ467" i="1"/>
  <c r="BI467" i="1" s="1"/>
  <c r="AY467" i="1"/>
  <c r="BK466" i="1"/>
  <c r="BJ466" i="1"/>
  <c r="BH466" i="1"/>
  <c r="BG466" i="1"/>
  <c r="BF466" i="1"/>
  <c r="BE466" i="1"/>
  <c r="BD466" i="1"/>
  <c r="BC466" i="1"/>
  <c r="BB466" i="1"/>
  <c r="BA466" i="1"/>
  <c r="AZ466" i="1"/>
  <c r="BI466" i="1" s="1"/>
  <c r="AY466" i="1"/>
  <c r="BK465" i="1"/>
  <c r="BJ465" i="1"/>
  <c r="BH465" i="1"/>
  <c r="BG465" i="1"/>
  <c r="BF465" i="1"/>
  <c r="BE465" i="1"/>
  <c r="BD465" i="1"/>
  <c r="BC465" i="1"/>
  <c r="BB465" i="1"/>
  <c r="BA465" i="1"/>
  <c r="AZ465" i="1"/>
  <c r="BI465" i="1" s="1"/>
  <c r="AY465" i="1"/>
  <c r="BK464" i="1"/>
  <c r="BJ464" i="1"/>
  <c r="BH464" i="1"/>
  <c r="BG464" i="1"/>
  <c r="BF464" i="1"/>
  <c r="BE464" i="1"/>
  <c r="BD464" i="1"/>
  <c r="BC464" i="1"/>
  <c r="BB464" i="1"/>
  <c r="BA464" i="1"/>
  <c r="AZ464" i="1"/>
  <c r="BI464" i="1" s="1"/>
  <c r="AY464" i="1"/>
  <c r="BK463" i="1"/>
  <c r="BJ463" i="1"/>
  <c r="BH463" i="1"/>
  <c r="BG463" i="1"/>
  <c r="BF463" i="1"/>
  <c r="BE463" i="1"/>
  <c r="BD463" i="1"/>
  <c r="BC463" i="1"/>
  <c r="BB463" i="1"/>
  <c r="BA463" i="1"/>
  <c r="AZ463" i="1"/>
  <c r="BI463" i="1" s="1"/>
  <c r="AY463" i="1"/>
  <c r="BK462" i="1"/>
  <c r="BJ462" i="1"/>
  <c r="BH462" i="1"/>
  <c r="BG462" i="1"/>
  <c r="BF462" i="1"/>
  <c r="BE462" i="1"/>
  <c r="BD462" i="1"/>
  <c r="BC462" i="1"/>
  <c r="BB462" i="1"/>
  <c r="BA462" i="1"/>
  <c r="AZ462" i="1"/>
  <c r="BI462" i="1" s="1"/>
  <c r="AY462" i="1"/>
  <c r="BK461" i="1"/>
  <c r="BJ461" i="1"/>
  <c r="BH461" i="1"/>
  <c r="BG461" i="1"/>
  <c r="BF461" i="1"/>
  <c r="BE461" i="1"/>
  <c r="BD461" i="1"/>
  <c r="BC461" i="1"/>
  <c r="BB461" i="1"/>
  <c r="BA461" i="1"/>
  <c r="AZ461" i="1"/>
  <c r="BI461" i="1" s="1"/>
  <c r="AY461" i="1"/>
  <c r="BK460" i="1"/>
  <c r="BJ460" i="1"/>
  <c r="BH460" i="1"/>
  <c r="BG460" i="1"/>
  <c r="BF460" i="1"/>
  <c r="BE460" i="1"/>
  <c r="BD460" i="1"/>
  <c r="BC460" i="1"/>
  <c r="BB460" i="1"/>
  <c r="BA460" i="1"/>
  <c r="AZ460" i="1"/>
  <c r="BI460" i="1" s="1"/>
  <c r="AY460" i="1"/>
  <c r="BK459" i="1"/>
  <c r="BJ459" i="1"/>
  <c r="BH459" i="1"/>
  <c r="BG459" i="1"/>
  <c r="BF459" i="1"/>
  <c r="BE459" i="1"/>
  <c r="BD459" i="1"/>
  <c r="BC459" i="1"/>
  <c r="BB459" i="1"/>
  <c r="BA459" i="1"/>
  <c r="AZ459" i="1"/>
  <c r="BI459" i="1" s="1"/>
  <c r="AY459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BK457" i="1"/>
  <c r="BJ457" i="1"/>
  <c r="BH457" i="1"/>
  <c r="BG457" i="1"/>
  <c r="BF457" i="1"/>
  <c r="BE457" i="1"/>
  <c r="BD457" i="1"/>
  <c r="BC457" i="1"/>
  <c r="BB457" i="1"/>
  <c r="BA457" i="1"/>
  <c r="AZ457" i="1"/>
  <c r="BI457" i="1" s="1"/>
  <c r="AY457" i="1"/>
  <c r="BK456" i="1"/>
  <c r="BJ456" i="1"/>
  <c r="BH456" i="1"/>
  <c r="BG456" i="1"/>
  <c r="BF456" i="1"/>
  <c r="BE456" i="1"/>
  <c r="BD456" i="1"/>
  <c r="BC456" i="1"/>
  <c r="BB456" i="1"/>
  <c r="BA456" i="1"/>
  <c r="AZ456" i="1"/>
  <c r="BI456" i="1" s="1"/>
  <c r="AY456" i="1"/>
  <c r="BK455" i="1"/>
  <c r="BJ455" i="1"/>
  <c r="BH455" i="1"/>
  <c r="BG455" i="1"/>
  <c r="BF455" i="1"/>
  <c r="BE455" i="1"/>
  <c r="BD455" i="1"/>
  <c r="BC455" i="1"/>
  <c r="BB455" i="1"/>
  <c r="BA455" i="1"/>
  <c r="AZ455" i="1"/>
  <c r="BI455" i="1" s="1"/>
  <c r="AY455" i="1"/>
  <c r="BK454" i="1"/>
  <c r="BJ454" i="1"/>
  <c r="BH454" i="1"/>
  <c r="BG454" i="1"/>
  <c r="BF454" i="1"/>
  <c r="BE454" i="1"/>
  <c r="BD454" i="1"/>
  <c r="BC454" i="1"/>
  <c r="BB454" i="1"/>
  <c r="BA454" i="1"/>
  <c r="AZ454" i="1"/>
  <c r="BI454" i="1" s="1"/>
  <c r="AY454" i="1"/>
  <c r="BK453" i="1"/>
  <c r="BJ453" i="1"/>
  <c r="BH453" i="1"/>
  <c r="BG453" i="1"/>
  <c r="BF453" i="1"/>
  <c r="BE453" i="1"/>
  <c r="BD453" i="1"/>
  <c r="BC453" i="1"/>
  <c r="BB453" i="1"/>
  <c r="BA453" i="1"/>
  <c r="AZ453" i="1"/>
  <c r="BI453" i="1" s="1"/>
  <c r="AY453" i="1"/>
  <c r="BK452" i="1"/>
  <c r="BJ452" i="1"/>
  <c r="BH452" i="1"/>
  <c r="BG452" i="1"/>
  <c r="BF452" i="1"/>
  <c r="BE452" i="1"/>
  <c r="BD452" i="1"/>
  <c r="BC452" i="1"/>
  <c r="BB452" i="1"/>
  <c r="BA452" i="1"/>
  <c r="AZ452" i="1"/>
  <c r="BI452" i="1" s="1"/>
  <c r="AY452" i="1"/>
  <c r="BK451" i="1"/>
  <c r="BJ451" i="1"/>
  <c r="BH451" i="1"/>
  <c r="BG451" i="1"/>
  <c r="BF451" i="1"/>
  <c r="BE451" i="1"/>
  <c r="BD451" i="1"/>
  <c r="BC451" i="1"/>
  <c r="BB451" i="1"/>
  <c r="BA451" i="1"/>
  <c r="AZ451" i="1"/>
  <c r="AY451" i="1"/>
  <c r="BK450" i="1"/>
  <c r="BJ450" i="1"/>
  <c r="BH450" i="1"/>
  <c r="BG450" i="1"/>
  <c r="BF450" i="1"/>
  <c r="BE450" i="1"/>
  <c r="BD450" i="1"/>
  <c r="BC450" i="1"/>
  <c r="BB450" i="1"/>
  <c r="BA450" i="1"/>
  <c r="AZ450" i="1"/>
  <c r="BI450" i="1" s="1"/>
  <c r="AY450" i="1"/>
  <c r="BK449" i="1"/>
  <c r="BJ449" i="1"/>
  <c r="BH449" i="1"/>
  <c r="BG449" i="1"/>
  <c r="BF449" i="1"/>
  <c r="BE449" i="1"/>
  <c r="BD449" i="1"/>
  <c r="BC449" i="1"/>
  <c r="BB449" i="1"/>
  <c r="BA449" i="1"/>
  <c r="AZ449" i="1"/>
  <c r="AY449" i="1"/>
  <c r="BK448" i="1"/>
  <c r="BJ448" i="1"/>
  <c r="BH448" i="1"/>
  <c r="BG448" i="1"/>
  <c r="BF448" i="1"/>
  <c r="BE448" i="1"/>
  <c r="BD448" i="1"/>
  <c r="BC448" i="1"/>
  <c r="BB448" i="1"/>
  <c r="BA448" i="1"/>
  <c r="AZ448" i="1"/>
  <c r="BI448" i="1" s="1"/>
  <c r="AY448" i="1"/>
  <c r="BK447" i="1"/>
  <c r="BJ447" i="1"/>
  <c r="BH447" i="1"/>
  <c r="BG447" i="1"/>
  <c r="BF447" i="1"/>
  <c r="BE447" i="1"/>
  <c r="BD447" i="1"/>
  <c r="BC447" i="1"/>
  <c r="BB447" i="1"/>
  <c r="BA447" i="1"/>
  <c r="AZ447" i="1"/>
  <c r="AY447" i="1"/>
  <c r="BK446" i="1"/>
  <c r="BJ446" i="1"/>
  <c r="BH446" i="1"/>
  <c r="BG446" i="1"/>
  <c r="BF446" i="1"/>
  <c r="BE446" i="1"/>
  <c r="BD446" i="1"/>
  <c r="BC446" i="1"/>
  <c r="BB446" i="1"/>
  <c r="BA446" i="1"/>
  <c r="AZ446" i="1"/>
  <c r="AY446" i="1"/>
  <c r="BK445" i="1"/>
  <c r="BJ445" i="1"/>
  <c r="BH445" i="1"/>
  <c r="BG445" i="1"/>
  <c r="BF445" i="1"/>
  <c r="BE445" i="1"/>
  <c r="BD445" i="1"/>
  <c r="BC445" i="1"/>
  <c r="BB445" i="1"/>
  <c r="BA445" i="1"/>
  <c r="AZ445" i="1"/>
  <c r="BI445" i="1" s="1"/>
  <c r="AY445" i="1"/>
  <c r="BK444" i="1"/>
  <c r="BJ444" i="1"/>
  <c r="BH444" i="1"/>
  <c r="BG444" i="1"/>
  <c r="BF444" i="1"/>
  <c r="BE444" i="1"/>
  <c r="BD444" i="1"/>
  <c r="BC444" i="1"/>
  <c r="BB444" i="1"/>
  <c r="BA444" i="1"/>
  <c r="AZ444" i="1"/>
  <c r="AY444" i="1"/>
  <c r="BK443" i="1"/>
  <c r="BJ443" i="1"/>
  <c r="BH443" i="1"/>
  <c r="BG443" i="1"/>
  <c r="BF443" i="1"/>
  <c r="BE443" i="1"/>
  <c r="BD443" i="1"/>
  <c r="BC443" i="1"/>
  <c r="BB443" i="1"/>
  <c r="BA443" i="1"/>
  <c r="AZ443" i="1"/>
  <c r="BI443" i="1" s="1"/>
  <c r="AY443" i="1"/>
  <c r="BK442" i="1"/>
  <c r="BJ442" i="1"/>
  <c r="BH442" i="1"/>
  <c r="BG442" i="1"/>
  <c r="BF442" i="1"/>
  <c r="BE442" i="1"/>
  <c r="BD442" i="1"/>
  <c r="BC442" i="1"/>
  <c r="BB442" i="1"/>
  <c r="BA442" i="1"/>
  <c r="AZ442" i="1"/>
  <c r="BI442" i="1" s="1"/>
  <c r="AY442" i="1"/>
  <c r="BK441" i="1"/>
  <c r="BJ441" i="1"/>
  <c r="BH441" i="1"/>
  <c r="BG441" i="1"/>
  <c r="BF441" i="1"/>
  <c r="BE441" i="1"/>
  <c r="BD441" i="1"/>
  <c r="BC441" i="1"/>
  <c r="BB441" i="1"/>
  <c r="BA441" i="1"/>
  <c r="AZ441" i="1"/>
  <c r="BI441" i="1" s="1"/>
  <c r="AY441" i="1"/>
  <c r="BK440" i="1"/>
  <c r="BJ440" i="1"/>
  <c r="BH440" i="1"/>
  <c r="BG440" i="1"/>
  <c r="BF440" i="1"/>
  <c r="BE440" i="1"/>
  <c r="BD440" i="1"/>
  <c r="BC440" i="1"/>
  <c r="BB440" i="1"/>
  <c r="BA440" i="1"/>
  <c r="AZ440" i="1"/>
  <c r="BI440" i="1" s="1"/>
  <c r="AY440" i="1"/>
  <c r="BK439" i="1"/>
  <c r="BJ439" i="1"/>
  <c r="BH439" i="1"/>
  <c r="BG439" i="1"/>
  <c r="BF439" i="1"/>
  <c r="BE439" i="1"/>
  <c r="BD439" i="1"/>
  <c r="BC439" i="1"/>
  <c r="BB439" i="1"/>
  <c r="BA439" i="1"/>
  <c r="AZ439" i="1"/>
  <c r="AY439" i="1"/>
  <c r="BK438" i="1"/>
  <c r="BJ438" i="1"/>
  <c r="BH438" i="1"/>
  <c r="BG438" i="1"/>
  <c r="BF438" i="1"/>
  <c r="BE438" i="1"/>
  <c r="BD438" i="1"/>
  <c r="BC438" i="1"/>
  <c r="BB438" i="1"/>
  <c r="BA438" i="1"/>
  <c r="AZ438" i="1"/>
  <c r="BI438" i="1" s="1"/>
  <c r="AY438" i="1"/>
  <c r="BK437" i="1"/>
  <c r="BJ437" i="1"/>
  <c r="BH437" i="1"/>
  <c r="BG437" i="1"/>
  <c r="BF437" i="1"/>
  <c r="BE437" i="1"/>
  <c r="BD437" i="1"/>
  <c r="BC437" i="1"/>
  <c r="BB437" i="1"/>
  <c r="BA437" i="1"/>
  <c r="AZ437" i="1"/>
  <c r="BI437" i="1" s="1"/>
  <c r="AY437" i="1"/>
  <c r="BK436" i="1"/>
  <c r="BJ436" i="1"/>
  <c r="BH436" i="1"/>
  <c r="BG436" i="1"/>
  <c r="BF436" i="1"/>
  <c r="BE436" i="1"/>
  <c r="BD436" i="1"/>
  <c r="BC436" i="1"/>
  <c r="BB436" i="1"/>
  <c r="BA436" i="1"/>
  <c r="AZ436" i="1"/>
  <c r="BI436" i="1" s="1"/>
  <c r="AY436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BK434" i="1"/>
  <c r="BJ434" i="1"/>
  <c r="BH434" i="1"/>
  <c r="BG434" i="1"/>
  <c r="BF434" i="1"/>
  <c r="BE434" i="1"/>
  <c r="BD434" i="1"/>
  <c r="BC434" i="1"/>
  <c r="BB434" i="1"/>
  <c r="BA434" i="1"/>
  <c r="AZ434" i="1"/>
  <c r="AY434" i="1"/>
  <c r="BK433" i="1"/>
  <c r="BJ433" i="1"/>
  <c r="BH433" i="1"/>
  <c r="BG433" i="1"/>
  <c r="BF433" i="1"/>
  <c r="BE433" i="1"/>
  <c r="BD433" i="1"/>
  <c r="BC433" i="1"/>
  <c r="BB433" i="1"/>
  <c r="BA433" i="1"/>
  <c r="AZ433" i="1"/>
  <c r="AY433" i="1"/>
  <c r="BK432" i="1"/>
  <c r="BJ432" i="1"/>
  <c r="BH432" i="1"/>
  <c r="BG432" i="1"/>
  <c r="BF432" i="1"/>
  <c r="BE432" i="1"/>
  <c r="BD432" i="1"/>
  <c r="BC432" i="1"/>
  <c r="BB432" i="1"/>
  <c r="BA432" i="1"/>
  <c r="AZ432" i="1"/>
  <c r="BI432" i="1" s="1"/>
  <c r="AY432" i="1"/>
  <c r="BK431" i="1"/>
  <c r="BJ431" i="1"/>
  <c r="BH431" i="1"/>
  <c r="BG431" i="1"/>
  <c r="BF431" i="1"/>
  <c r="BE431" i="1"/>
  <c r="BD431" i="1"/>
  <c r="BC431" i="1"/>
  <c r="BB431" i="1"/>
  <c r="BA431" i="1"/>
  <c r="AZ431" i="1"/>
  <c r="BI431" i="1" s="1"/>
  <c r="AY431" i="1"/>
  <c r="BK430" i="1"/>
  <c r="BJ430" i="1"/>
  <c r="BH430" i="1"/>
  <c r="BG430" i="1"/>
  <c r="BF430" i="1"/>
  <c r="BE430" i="1"/>
  <c r="BD430" i="1"/>
  <c r="BC430" i="1"/>
  <c r="BB430" i="1"/>
  <c r="BA430" i="1"/>
  <c r="AZ430" i="1"/>
  <c r="BI430" i="1" s="1"/>
  <c r="AY430" i="1"/>
  <c r="BK429" i="1"/>
  <c r="BJ429" i="1"/>
  <c r="BH429" i="1"/>
  <c r="BG429" i="1"/>
  <c r="BF429" i="1"/>
  <c r="BE429" i="1"/>
  <c r="BD429" i="1"/>
  <c r="BC429" i="1"/>
  <c r="BB429" i="1"/>
  <c r="BA429" i="1"/>
  <c r="AZ429" i="1"/>
  <c r="BI429" i="1" s="1"/>
  <c r="AY429" i="1"/>
  <c r="BK428" i="1"/>
  <c r="BJ428" i="1"/>
  <c r="BH428" i="1"/>
  <c r="BG428" i="1"/>
  <c r="BF428" i="1"/>
  <c r="BE428" i="1"/>
  <c r="BD428" i="1"/>
  <c r="BC428" i="1"/>
  <c r="BB428" i="1"/>
  <c r="BA428" i="1"/>
  <c r="AZ428" i="1"/>
  <c r="AY428" i="1"/>
  <c r="BK427" i="1"/>
  <c r="BJ427" i="1"/>
  <c r="BH427" i="1"/>
  <c r="BG427" i="1"/>
  <c r="BF427" i="1"/>
  <c r="BE427" i="1"/>
  <c r="BD427" i="1"/>
  <c r="BC427" i="1"/>
  <c r="BB427" i="1"/>
  <c r="BA427" i="1"/>
  <c r="AZ427" i="1"/>
  <c r="BI427" i="1" s="1"/>
  <c r="AY427" i="1"/>
  <c r="BK426" i="1"/>
  <c r="BJ426" i="1"/>
  <c r="BH426" i="1"/>
  <c r="BG426" i="1"/>
  <c r="BF426" i="1"/>
  <c r="BE426" i="1"/>
  <c r="BD426" i="1"/>
  <c r="BC426" i="1"/>
  <c r="BB426" i="1"/>
  <c r="BA426" i="1"/>
  <c r="AZ426" i="1"/>
  <c r="BI426" i="1" s="1"/>
  <c r="AY426" i="1"/>
  <c r="BK425" i="1"/>
  <c r="BJ425" i="1"/>
  <c r="BH425" i="1"/>
  <c r="BG425" i="1"/>
  <c r="BF425" i="1"/>
  <c r="BE425" i="1"/>
  <c r="BD425" i="1"/>
  <c r="BC425" i="1"/>
  <c r="BB425" i="1"/>
  <c r="BA425" i="1"/>
  <c r="AZ425" i="1"/>
  <c r="AY425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BK423" i="1"/>
  <c r="BJ423" i="1"/>
  <c r="BH423" i="1"/>
  <c r="BG423" i="1"/>
  <c r="BF423" i="1"/>
  <c r="BE423" i="1"/>
  <c r="BD423" i="1"/>
  <c r="BC423" i="1"/>
  <c r="BB423" i="1"/>
  <c r="BA423" i="1"/>
  <c r="AZ423" i="1"/>
  <c r="BI423" i="1" s="1"/>
  <c r="AY423" i="1"/>
  <c r="BK422" i="1"/>
  <c r="BJ422" i="1"/>
  <c r="BH422" i="1"/>
  <c r="BG422" i="1"/>
  <c r="BF422" i="1"/>
  <c r="BE422" i="1"/>
  <c r="BD422" i="1"/>
  <c r="BC422" i="1"/>
  <c r="BB422" i="1"/>
  <c r="BA422" i="1"/>
  <c r="AZ422" i="1"/>
  <c r="BI422" i="1" s="1"/>
  <c r="AY422" i="1"/>
  <c r="BK421" i="1"/>
  <c r="BJ421" i="1"/>
  <c r="BH421" i="1"/>
  <c r="BG421" i="1"/>
  <c r="BF421" i="1"/>
  <c r="BE421" i="1"/>
  <c r="BD421" i="1"/>
  <c r="BC421" i="1"/>
  <c r="BB421" i="1"/>
  <c r="BA421" i="1"/>
  <c r="AZ421" i="1"/>
  <c r="BI421" i="1" s="1"/>
  <c r="AY421" i="1"/>
  <c r="BK420" i="1"/>
  <c r="BJ420" i="1"/>
  <c r="BH420" i="1"/>
  <c r="BG420" i="1"/>
  <c r="BF420" i="1"/>
  <c r="BE420" i="1"/>
  <c r="BD420" i="1"/>
  <c r="BC420" i="1"/>
  <c r="BB420" i="1"/>
  <c r="BA420" i="1"/>
  <c r="AZ420" i="1"/>
  <c r="BI420" i="1" s="1"/>
  <c r="AY420" i="1"/>
  <c r="BK419" i="1"/>
  <c r="BJ419" i="1"/>
  <c r="BH419" i="1"/>
  <c r="BG419" i="1"/>
  <c r="BF419" i="1"/>
  <c r="BE419" i="1"/>
  <c r="BD419" i="1"/>
  <c r="BC419" i="1"/>
  <c r="BB419" i="1"/>
  <c r="BA419" i="1"/>
  <c r="AZ419" i="1"/>
  <c r="AY419" i="1"/>
  <c r="BK418" i="1"/>
  <c r="BJ418" i="1"/>
  <c r="BH418" i="1"/>
  <c r="BG418" i="1"/>
  <c r="BF418" i="1"/>
  <c r="BE418" i="1"/>
  <c r="BD418" i="1"/>
  <c r="BC418" i="1"/>
  <c r="BB418" i="1"/>
  <c r="BA418" i="1"/>
  <c r="AZ418" i="1"/>
  <c r="BI418" i="1" s="1"/>
  <c r="AY418" i="1"/>
  <c r="BK417" i="1"/>
  <c r="BJ417" i="1"/>
  <c r="BH417" i="1"/>
  <c r="BG417" i="1"/>
  <c r="BF417" i="1"/>
  <c r="BE417" i="1"/>
  <c r="BD417" i="1"/>
  <c r="BC417" i="1"/>
  <c r="BB417" i="1"/>
  <c r="BA417" i="1"/>
  <c r="AZ417" i="1"/>
  <c r="BI417" i="1" s="1"/>
  <c r="AY417" i="1"/>
  <c r="BK416" i="1"/>
  <c r="BJ416" i="1"/>
  <c r="BH416" i="1"/>
  <c r="BG416" i="1"/>
  <c r="BF416" i="1"/>
  <c r="BE416" i="1"/>
  <c r="BD416" i="1"/>
  <c r="BC416" i="1"/>
  <c r="BB416" i="1"/>
  <c r="BA416" i="1"/>
  <c r="AZ416" i="1"/>
  <c r="BI416" i="1" s="1"/>
  <c r="AY416" i="1"/>
  <c r="BK415" i="1"/>
  <c r="BJ415" i="1"/>
  <c r="BH415" i="1"/>
  <c r="BG415" i="1"/>
  <c r="BF415" i="1"/>
  <c r="BE415" i="1"/>
  <c r="BD415" i="1"/>
  <c r="BC415" i="1"/>
  <c r="BB415" i="1"/>
  <c r="BA415" i="1"/>
  <c r="AZ415" i="1"/>
  <c r="AY415" i="1"/>
  <c r="BK414" i="1"/>
  <c r="BJ414" i="1"/>
  <c r="BH414" i="1"/>
  <c r="BG414" i="1"/>
  <c r="BF414" i="1"/>
  <c r="BE414" i="1"/>
  <c r="BD414" i="1"/>
  <c r="BC414" i="1"/>
  <c r="BB414" i="1"/>
  <c r="BA414" i="1"/>
  <c r="AZ414" i="1"/>
  <c r="BI414" i="1" s="1"/>
  <c r="AY414" i="1"/>
  <c r="BK413" i="1"/>
  <c r="BJ413" i="1"/>
  <c r="BH413" i="1"/>
  <c r="BG413" i="1"/>
  <c r="BF413" i="1"/>
  <c r="BE413" i="1"/>
  <c r="BD413" i="1"/>
  <c r="BC413" i="1"/>
  <c r="BB413" i="1"/>
  <c r="BA413" i="1"/>
  <c r="AZ413" i="1"/>
  <c r="BI413" i="1" s="1"/>
  <c r="AY413" i="1"/>
  <c r="BK412" i="1"/>
  <c r="BJ412" i="1"/>
  <c r="BH412" i="1"/>
  <c r="BG412" i="1"/>
  <c r="BF412" i="1"/>
  <c r="BE412" i="1"/>
  <c r="BD412" i="1"/>
  <c r="BC412" i="1"/>
  <c r="BB412" i="1"/>
  <c r="BA412" i="1"/>
  <c r="AZ412" i="1"/>
  <c r="BI412" i="1" s="1"/>
  <c r="AY412" i="1"/>
  <c r="BK411" i="1"/>
  <c r="BJ411" i="1"/>
  <c r="BH411" i="1"/>
  <c r="BG411" i="1"/>
  <c r="BF411" i="1"/>
  <c r="BE411" i="1"/>
  <c r="BD411" i="1"/>
  <c r="BC411" i="1"/>
  <c r="BB411" i="1"/>
  <c r="BA411" i="1"/>
  <c r="AZ411" i="1"/>
  <c r="BI411" i="1" s="1"/>
  <c r="AY411" i="1"/>
  <c r="BK410" i="1"/>
  <c r="BJ410" i="1"/>
  <c r="BH410" i="1"/>
  <c r="BG410" i="1"/>
  <c r="BF410" i="1"/>
  <c r="BE410" i="1"/>
  <c r="BD410" i="1"/>
  <c r="BC410" i="1"/>
  <c r="BB410" i="1"/>
  <c r="BA410" i="1"/>
  <c r="AZ410" i="1"/>
  <c r="BI410" i="1" s="1"/>
  <c r="AY410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BK408" i="1"/>
  <c r="BJ408" i="1"/>
  <c r="BH408" i="1"/>
  <c r="BG408" i="1"/>
  <c r="BF408" i="1"/>
  <c r="BE408" i="1"/>
  <c r="BD408" i="1"/>
  <c r="BC408" i="1"/>
  <c r="BB408" i="1"/>
  <c r="BA408" i="1"/>
  <c r="AZ408" i="1"/>
  <c r="BI408" i="1" s="1"/>
  <c r="AY408" i="1"/>
  <c r="BK407" i="1"/>
  <c r="BJ407" i="1"/>
  <c r="BH407" i="1"/>
  <c r="BG407" i="1"/>
  <c r="BF407" i="1"/>
  <c r="BE407" i="1"/>
  <c r="BD407" i="1"/>
  <c r="BC407" i="1"/>
  <c r="BB407" i="1"/>
  <c r="BI407" i="1" s="1"/>
  <c r="BA407" i="1"/>
  <c r="AZ407" i="1"/>
  <c r="AY407" i="1"/>
  <c r="BK406" i="1"/>
  <c r="BJ406" i="1"/>
  <c r="BH406" i="1"/>
  <c r="BG406" i="1"/>
  <c r="BF406" i="1"/>
  <c r="BE406" i="1"/>
  <c r="BD406" i="1"/>
  <c r="BC406" i="1"/>
  <c r="BB406" i="1"/>
  <c r="BA406" i="1"/>
  <c r="AZ406" i="1"/>
  <c r="BI406" i="1" s="1"/>
  <c r="AY406" i="1"/>
  <c r="BK405" i="1"/>
  <c r="BJ405" i="1"/>
  <c r="BH405" i="1"/>
  <c r="BG405" i="1"/>
  <c r="BF405" i="1"/>
  <c r="BE405" i="1"/>
  <c r="BD405" i="1"/>
  <c r="BC405" i="1"/>
  <c r="BB405" i="1"/>
  <c r="BA405" i="1"/>
  <c r="AZ405" i="1"/>
  <c r="BI405" i="1" s="1"/>
  <c r="AY405" i="1"/>
  <c r="BK404" i="1"/>
  <c r="BJ404" i="1"/>
  <c r="BH404" i="1"/>
  <c r="BG404" i="1"/>
  <c r="BF404" i="1"/>
  <c r="BE404" i="1"/>
  <c r="BD404" i="1"/>
  <c r="BC404" i="1"/>
  <c r="BB404" i="1"/>
  <c r="BA404" i="1"/>
  <c r="AZ404" i="1"/>
  <c r="BI404" i="1" s="1"/>
  <c r="AY404" i="1"/>
  <c r="BK403" i="1"/>
  <c r="BJ403" i="1"/>
  <c r="BH403" i="1"/>
  <c r="BG403" i="1"/>
  <c r="BF403" i="1"/>
  <c r="BE403" i="1"/>
  <c r="BD403" i="1"/>
  <c r="BC403" i="1"/>
  <c r="BB403" i="1"/>
  <c r="BA403" i="1"/>
  <c r="AZ403" i="1"/>
  <c r="BI403" i="1" s="1"/>
  <c r="AY403" i="1"/>
  <c r="BK402" i="1"/>
  <c r="BJ402" i="1"/>
  <c r="BH402" i="1"/>
  <c r="BG402" i="1"/>
  <c r="BF402" i="1"/>
  <c r="BE402" i="1"/>
  <c r="BD402" i="1"/>
  <c r="BC402" i="1"/>
  <c r="BB402" i="1"/>
  <c r="BA402" i="1"/>
  <c r="AZ402" i="1"/>
  <c r="AY402" i="1"/>
  <c r="BK401" i="1"/>
  <c r="BJ401" i="1"/>
  <c r="BH401" i="1"/>
  <c r="BG401" i="1"/>
  <c r="BF401" i="1"/>
  <c r="BE401" i="1"/>
  <c r="BD401" i="1"/>
  <c r="BC401" i="1"/>
  <c r="BB401" i="1"/>
  <c r="BA401" i="1"/>
  <c r="AZ401" i="1"/>
  <c r="BI401" i="1" s="1"/>
  <c r="AY401" i="1"/>
  <c r="BK400" i="1"/>
  <c r="BJ400" i="1"/>
  <c r="BH400" i="1"/>
  <c r="BG400" i="1"/>
  <c r="BF400" i="1"/>
  <c r="BE400" i="1"/>
  <c r="BD400" i="1"/>
  <c r="BC400" i="1"/>
  <c r="BB400" i="1"/>
  <c r="BA400" i="1"/>
  <c r="AZ400" i="1"/>
  <c r="BI400" i="1" s="1"/>
  <c r="AY400" i="1"/>
  <c r="BK399" i="1"/>
  <c r="BJ399" i="1"/>
  <c r="BH399" i="1"/>
  <c r="BG399" i="1"/>
  <c r="BF399" i="1"/>
  <c r="BE399" i="1"/>
  <c r="BD399" i="1"/>
  <c r="BC399" i="1"/>
  <c r="BB399" i="1"/>
  <c r="BA399" i="1"/>
  <c r="AZ399" i="1"/>
  <c r="BI399" i="1" s="1"/>
  <c r="AY399" i="1"/>
  <c r="BK398" i="1"/>
  <c r="BJ398" i="1"/>
  <c r="BH398" i="1"/>
  <c r="BG398" i="1"/>
  <c r="BF398" i="1"/>
  <c r="BE398" i="1"/>
  <c r="BD398" i="1"/>
  <c r="BC398" i="1"/>
  <c r="BB398" i="1"/>
  <c r="BA398" i="1"/>
  <c r="AZ398" i="1"/>
  <c r="BI398" i="1" s="1"/>
  <c r="AY398" i="1"/>
  <c r="BK397" i="1"/>
  <c r="BJ397" i="1"/>
  <c r="BH397" i="1"/>
  <c r="BG397" i="1"/>
  <c r="BF397" i="1"/>
  <c r="BE397" i="1"/>
  <c r="BD397" i="1"/>
  <c r="BC397" i="1"/>
  <c r="BB397" i="1"/>
  <c r="BA397" i="1"/>
  <c r="AZ397" i="1"/>
  <c r="BI397" i="1" s="1"/>
  <c r="AY397" i="1"/>
  <c r="BK396" i="1"/>
  <c r="BJ396" i="1"/>
  <c r="BH396" i="1"/>
  <c r="BG396" i="1"/>
  <c r="BF396" i="1"/>
  <c r="BE396" i="1"/>
  <c r="BD396" i="1"/>
  <c r="BC396" i="1"/>
  <c r="BB396" i="1"/>
  <c r="BA396" i="1"/>
  <c r="AZ396" i="1"/>
  <c r="BI396" i="1" s="1"/>
  <c r="AY396" i="1"/>
  <c r="BK395" i="1"/>
  <c r="BJ395" i="1"/>
  <c r="BH395" i="1"/>
  <c r="BG395" i="1"/>
  <c r="BF395" i="1"/>
  <c r="BE395" i="1"/>
  <c r="BD395" i="1"/>
  <c r="BC395" i="1"/>
  <c r="BB395" i="1"/>
  <c r="BA395" i="1"/>
  <c r="AZ395" i="1"/>
  <c r="BI395" i="1" s="1"/>
  <c r="AY395" i="1"/>
  <c r="BK394" i="1"/>
  <c r="BJ394" i="1"/>
  <c r="BH394" i="1"/>
  <c r="BG394" i="1"/>
  <c r="BF394" i="1"/>
  <c r="BE394" i="1"/>
  <c r="BD394" i="1"/>
  <c r="BC394" i="1"/>
  <c r="BB394" i="1"/>
  <c r="BA394" i="1"/>
  <c r="AZ394" i="1"/>
  <c r="BI394" i="1" s="1"/>
  <c r="AY394" i="1"/>
  <c r="BK393" i="1"/>
  <c r="BJ393" i="1"/>
  <c r="BH393" i="1"/>
  <c r="BG393" i="1"/>
  <c r="BF393" i="1"/>
  <c r="BE393" i="1"/>
  <c r="BD393" i="1"/>
  <c r="BC393" i="1"/>
  <c r="BB393" i="1"/>
  <c r="BA393" i="1"/>
  <c r="AZ393" i="1"/>
  <c r="BI393" i="1" s="1"/>
  <c r="AY393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BK391" i="1"/>
  <c r="BJ391" i="1"/>
  <c r="BH391" i="1"/>
  <c r="BG391" i="1"/>
  <c r="BF391" i="1"/>
  <c r="BE391" i="1"/>
  <c r="BD391" i="1"/>
  <c r="BC391" i="1"/>
  <c r="BB391" i="1"/>
  <c r="BI391" i="1" s="1"/>
  <c r="BA391" i="1"/>
  <c r="AZ391" i="1"/>
  <c r="AY391" i="1"/>
  <c r="BK390" i="1"/>
  <c r="BJ390" i="1"/>
  <c r="BH390" i="1"/>
  <c r="BG390" i="1"/>
  <c r="BF390" i="1"/>
  <c r="BE390" i="1"/>
  <c r="BD390" i="1"/>
  <c r="BC390" i="1"/>
  <c r="BB390" i="1"/>
  <c r="BA390" i="1"/>
  <c r="AZ390" i="1"/>
  <c r="BI390" i="1" s="1"/>
  <c r="AY390" i="1"/>
  <c r="BK389" i="1"/>
  <c r="BJ389" i="1"/>
  <c r="BH389" i="1"/>
  <c r="BG389" i="1"/>
  <c r="BF389" i="1"/>
  <c r="BE389" i="1"/>
  <c r="BD389" i="1"/>
  <c r="BC389" i="1"/>
  <c r="BB389" i="1"/>
  <c r="BA389" i="1"/>
  <c r="AZ389" i="1"/>
  <c r="BI389" i="1" s="1"/>
  <c r="AY389" i="1"/>
  <c r="BK388" i="1"/>
  <c r="BJ388" i="1"/>
  <c r="BH388" i="1"/>
  <c r="BG388" i="1"/>
  <c r="BF388" i="1"/>
  <c r="BE388" i="1"/>
  <c r="BD388" i="1"/>
  <c r="BC388" i="1"/>
  <c r="BB388" i="1"/>
  <c r="BA388" i="1"/>
  <c r="AZ388" i="1"/>
  <c r="AY388" i="1"/>
  <c r="BK387" i="1"/>
  <c r="BJ387" i="1"/>
  <c r="BH387" i="1"/>
  <c r="BG387" i="1"/>
  <c r="BF387" i="1"/>
  <c r="BE387" i="1"/>
  <c r="BD387" i="1"/>
  <c r="BC387" i="1"/>
  <c r="BB387" i="1"/>
  <c r="BA387" i="1"/>
  <c r="AZ387" i="1"/>
  <c r="BI387" i="1" s="1"/>
  <c r="AY387" i="1"/>
  <c r="BK386" i="1"/>
  <c r="BJ386" i="1"/>
  <c r="BH386" i="1"/>
  <c r="BG386" i="1"/>
  <c r="BF386" i="1"/>
  <c r="BE386" i="1"/>
  <c r="BD386" i="1"/>
  <c r="BC386" i="1"/>
  <c r="BB386" i="1"/>
  <c r="BA386" i="1"/>
  <c r="AZ386" i="1"/>
  <c r="BI386" i="1" s="1"/>
  <c r="AY386" i="1"/>
  <c r="BK385" i="1"/>
  <c r="BJ385" i="1"/>
  <c r="BH385" i="1"/>
  <c r="BG385" i="1"/>
  <c r="BF385" i="1"/>
  <c r="BE385" i="1"/>
  <c r="BD385" i="1"/>
  <c r="BC385" i="1"/>
  <c r="BB385" i="1"/>
  <c r="BA385" i="1"/>
  <c r="AZ385" i="1"/>
  <c r="BI385" i="1" s="1"/>
  <c r="AY385" i="1"/>
  <c r="BK384" i="1"/>
  <c r="BJ384" i="1"/>
  <c r="BH384" i="1"/>
  <c r="BG384" i="1"/>
  <c r="BF384" i="1"/>
  <c r="BE384" i="1"/>
  <c r="BD384" i="1"/>
  <c r="BC384" i="1"/>
  <c r="BB384" i="1"/>
  <c r="BA384" i="1"/>
  <c r="AZ384" i="1"/>
  <c r="BI384" i="1" s="1"/>
  <c r="AY384" i="1"/>
  <c r="BK383" i="1"/>
  <c r="BJ383" i="1"/>
  <c r="BH383" i="1"/>
  <c r="BG383" i="1"/>
  <c r="BF383" i="1"/>
  <c r="BE383" i="1"/>
  <c r="BD383" i="1"/>
  <c r="BC383" i="1"/>
  <c r="BB383" i="1"/>
  <c r="BA383" i="1"/>
  <c r="AZ383" i="1"/>
  <c r="AY383" i="1"/>
  <c r="BK382" i="1"/>
  <c r="BJ382" i="1"/>
  <c r="BH382" i="1"/>
  <c r="BG382" i="1"/>
  <c r="BF382" i="1"/>
  <c r="BE382" i="1"/>
  <c r="BD382" i="1"/>
  <c r="BC382" i="1"/>
  <c r="BB382" i="1"/>
  <c r="BA382" i="1"/>
  <c r="AZ382" i="1"/>
  <c r="AY382" i="1"/>
  <c r="BK381" i="1"/>
  <c r="BJ381" i="1"/>
  <c r="BH381" i="1"/>
  <c r="BG381" i="1"/>
  <c r="BF381" i="1"/>
  <c r="BE381" i="1"/>
  <c r="BD381" i="1"/>
  <c r="BC381" i="1"/>
  <c r="BB381" i="1"/>
  <c r="BA381" i="1"/>
  <c r="AZ381" i="1"/>
  <c r="BI381" i="1" s="1"/>
  <c r="AY381" i="1"/>
  <c r="BK380" i="1"/>
  <c r="BJ380" i="1"/>
  <c r="BH380" i="1"/>
  <c r="BG380" i="1"/>
  <c r="BF380" i="1"/>
  <c r="BE380" i="1"/>
  <c r="BD380" i="1"/>
  <c r="BC380" i="1"/>
  <c r="BB380" i="1"/>
  <c r="BA380" i="1"/>
  <c r="AZ380" i="1"/>
  <c r="BI380" i="1" s="1"/>
  <c r="AY380" i="1"/>
  <c r="BK379" i="1"/>
  <c r="BJ379" i="1"/>
  <c r="BH379" i="1"/>
  <c r="BG379" i="1"/>
  <c r="BF379" i="1"/>
  <c r="BE379" i="1"/>
  <c r="BD379" i="1"/>
  <c r="BC379" i="1"/>
  <c r="BB379" i="1"/>
  <c r="BA379" i="1"/>
  <c r="AZ379" i="1"/>
  <c r="BI379" i="1" s="1"/>
  <c r="AY379" i="1"/>
  <c r="BK378" i="1"/>
  <c r="BJ378" i="1"/>
  <c r="BH378" i="1"/>
  <c r="BG378" i="1"/>
  <c r="BF378" i="1"/>
  <c r="BE378" i="1"/>
  <c r="BD378" i="1"/>
  <c r="BC378" i="1"/>
  <c r="BB378" i="1"/>
  <c r="BA378" i="1"/>
  <c r="AZ378" i="1"/>
  <c r="BI378" i="1" s="1"/>
  <c r="AY378" i="1"/>
  <c r="BK377" i="1"/>
  <c r="BJ377" i="1"/>
  <c r="BH377" i="1"/>
  <c r="BG377" i="1"/>
  <c r="BF377" i="1"/>
  <c r="BE377" i="1"/>
  <c r="BD377" i="1"/>
  <c r="BC377" i="1"/>
  <c r="BB377" i="1"/>
  <c r="BA377" i="1"/>
  <c r="AZ377" i="1"/>
  <c r="BI377" i="1" s="1"/>
  <c r="AY377" i="1"/>
  <c r="BK376" i="1"/>
  <c r="BJ376" i="1"/>
  <c r="BH376" i="1"/>
  <c r="BG376" i="1"/>
  <c r="BF376" i="1"/>
  <c r="BE376" i="1"/>
  <c r="BD376" i="1"/>
  <c r="BC376" i="1"/>
  <c r="BB376" i="1"/>
  <c r="BA376" i="1"/>
  <c r="AZ376" i="1"/>
  <c r="BI376" i="1" s="1"/>
  <c r="AY376" i="1"/>
  <c r="BK375" i="1"/>
  <c r="BJ375" i="1"/>
  <c r="BH375" i="1"/>
  <c r="BG375" i="1"/>
  <c r="BF375" i="1"/>
  <c r="BE375" i="1"/>
  <c r="BD375" i="1"/>
  <c r="BC375" i="1"/>
  <c r="BB375" i="1"/>
  <c r="BA375" i="1"/>
  <c r="AZ375" i="1"/>
  <c r="AY375" i="1"/>
  <c r="BK374" i="1"/>
  <c r="BJ374" i="1"/>
  <c r="BH374" i="1"/>
  <c r="BG374" i="1"/>
  <c r="BF374" i="1"/>
  <c r="BE374" i="1"/>
  <c r="BD374" i="1"/>
  <c r="BC374" i="1"/>
  <c r="BB374" i="1"/>
  <c r="BA374" i="1"/>
  <c r="AZ374" i="1"/>
  <c r="BI374" i="1" s="1"/>
  <c r="AY374" i="1"/>
  <c r="BK373" i="1"/>
  <c r="BJ373" i="1"/>
  <c r="BH373" i="1"/>
  <c r="BG373" i="1"/>
  <c r="BF373" i="1"/>
  <c r="BE373" i="1"/>
  <c r="BD373" i="1"/>
  <c r="BC373" i="1"/>
  <c r="BB373" i="1"/>
  <c r="BA373" i="1"/>
  <c r="AZ373" i="1"/>
  <c r="BI373" i="1" s="1"/>
  <c r="AY373" i="1"/>
  <c r="BK372" i="1"/>
  <c r="BJ372" i="1"/>
  <c r="BH372" i="1"/>
  <c r="BG372" i="1"/>
  <c r="BF372" i="1"/>
  <c r="BE372" i="1"/>
  <c r="BD372" i="1"/>
  <c r="BC372" i="1"/>
  <c r="BB372" i="1"/>
  <c r="BA372" i="1"/>
  <c r="AZ372" i="1"/>
  <c r="BI372" i="1" s="1"/>
  <c r="AY372" i="1"/>
  <c r="BK371" i="1"/>
  <c r="BJ371" i="1"/>
  <c r="BH371" i="1"/>
  <c r="BG371" i="1"/>
  <c r="BF371" i="1"/>
  <c r="BE371" i="1"/>
  <c r="BD371" i="1"/>
  <c r="BC371" i="1"/>
  <c r="BB371" i="1"/>
  <c r="BA371" i="1"/>
  <c r="AZ371" i="1"/>
  <c r="BI371" i="1" s="1"/>
  <c r="AY371" i="1"/>
  <c r="BK370" i="1"/>
  <c r="BJ370" i="1"/>
  <c r="BH370" i="1"/>
  <c r="BG370" i="1"/>
  <c r="BF370" i="1"/>
  <c r="BE370" i="1"/>
  <c r="BD370" i="1"/>
  <c r="BC370" i="1"/>
  <c r="BB370" i="1"/>
  <c r="BA370" i="1"/>
  <c r="AZ370" i="1"/>
  <c r="AY370" i="1"/>
  <c r="BK369" i="1"/>
  <c r="BJ369" i="1"/>
  <c r="BH369" i="1"/>
  <c r="BG369" i="1"/>
  <c r="BF369" i="1"/>
  <c r="BE369" i="1"/>
  <c r="BD369" i="1"/>
  <c r="BC369" i="1"/>
  <c r="BB369" i="1"/>
  <c r="BA369" i="1"/>
  <c r="AZ369" i="1"/>
  <c r="BI369" i="1" s="1"/>
  <c r="AY369" i="1"/>
  <c r="BK368" i="1"/>
  <c r="BJ368" i="1"/>
  <c r="BH368" i="1"/>
  <c r="BG368" i="1"/>
  <c r="BF368" i="1"/>
  <c r="BE368" i="1"/>
  <c r="BD368" i="1"/>
  <c r="BC368" i="1"/>
  <c r="BB368" i="1"/>
  <c r="BA368" i="1"/>
  <c r="AZ368" i="1"/>
  <c r="BI368" i="1" s="1"/>
  <c r="AY368" i="1"/>
  <c r="BK367" i="1"/>
  <c r="BJ367" i="1"/>
  <c r="BH367" i="1"/>
  <c r="BG367" i="1"/>
  <c r="BF367" i="1"/>
  <c r="BE367" i="1"/>
  <c r="BD367" i="1"/>
  <c r="BC367" i="1"/>
  <c r="BB367" i="1"/>
  <c r="BA367" i="1"/>
  <c r="AZ367" i="1"/>
  <c r="AY367" i="1"/>
  <c r="BK366" i="1"/>
  <c r="BJ366" i="1"/>
  <c r="BH366" i="1"/>
  <c r="BG366" i="1"/>
  <c r="BF366" i="1"/>
  <c r="BE366" i="1"/>
  <c r="BD366" i="1"/>
  <c r="BC366" i="1"/>
  <c r="BB366" i="1"/>
  <c r="BA366" i="1"/>
  <c r="AZ366" i="1"/>
  <c r="BI366" i="1" s="1"/>
  <c r="AY366" i="1"/>
  <c r="BK365" i="1"/>
  <c r="BJ365" i="1"/>
  <c r="BH365" i="1"/>
  <c r="BG365" i="1"/>
  <c r="BF365" i="1"/>
  <c r="BE365" i="1"/>
  <c r="BD365" i="1"/>
  <c r="BC365" i="1"/>
  <c r="BB365" i="1"/>
  <c r="BA365" i="1"/>
  <c r="AZ365" i="1"/>
  <c r="BI365" i="1" s="1"/>
  <c r="AY365" i="1"/>
  <c r="BK364" i="1"/>
  <c r="BJ364" i="1"/>
  <c r="BH364" i="1"/>
  <c r="BG364" i="1"/>
  <c r="BF364" i="1"/>
  <c r="BE364" i="1"/>
  <c r="BD364" i="1"/>
  <c r="BC364" i="1"/>
  <c r="BB364" i="1"/>
  <c r="BA364" i="1"/>
  <c r="AZ364" i="1"/>
  <c r="BI364" i="1" s="1"/>
  <c r="AY364" i="1"/>
  <c r="BK363" i="1"/>
  <c r="BJ363" i="1"/>
  <c r="BH363" i="1"/>
  <c r="BG363" i="1"/>
  <c r="BF363" i="1"/>
  <c r="BE363" i="1"/>
  <c r="BD363" i="1"/>
  <c r="BC363" i="1"/>
  <c r="BB363" i="1"/>
  <c r="BA363" i="1"/>
  <c r="AZ363" i="1"/>
  <c r="BI363" i="1" s="1"/>
  <c r="AY363" i="1"/>
  <c r="BK362" i="1"/>
  <c r="BJ362" i="1"/>
  <c r="BH362" i="1"/>
  <c r="BG362" i="1"/>
  <c r="BF362" i="1"/>
  <c r="BE362" i="1"/>
  <c r="BD362" i="1"/>
  <c r="BC362" i="1"/>
  <c r="BB362" i="1"/>
  <c r="BA362" i="1"/>
  <c r="AZ362" i="1"/>
  <c r="AY362" i="1"/>
  <c r="BK361" i="1"/>
  <c r="BJ361" i="1"/>
  <c r="BH361" i="1"/>
  <c r="BG361" i="1"/>
  <c r="BF361" i="1"/>
  <c r="BE361" i="1"/>
  <c r="BD361" i="1"/>
  <c r="BC361" i="1"/>
  <c r="BB361" i="1"/>
  <c r="BA361" i="1"/>
  <c r="AZ361" i="1"/>
  <c r="BI361" i="1" s="1"/>
  <c r="AY361" i="1"/>
  <c r="BK360" i="1"/>
  <c r="BJ360" i="1"/>
  <c r="BH360" i="1"/>
  <c r="BG360" i="1"/>
  <c r="BF360" i="1"/>
  <c r="BE360" i="1"/>
  <c r="BD360" i="1"/>
  <c r="BC360" i="1"/>
  <c r="BB360" i="1"/>
  <c r="BA360" i="1"/>
  <c r="AZ360" i="1"/>
  <c r="BI360" i="1" s="1"/>
  <c r="AY360" i="1"/>
  <c r="BK359" i="1"/>
  <c r="BJ359" i="1"/>
  <c r="BH359" i="1"/>
  <c r="BG359" i="1"/>
  <c r="BF359" i="1"/>
  <c r="BE359" i="1"/>
  <c r="BD359" i="1"/>
  <c r="BC359" i="1"/>
  <c r="BB359" i="1"/>
  <c r="BA359" i="1"/>
  <c r="AZ359" i="1"/>
  <c r="BI359" i="1" s="1"/>
  <c r="AY359" i="1"/>
  <c r="BK358" i="1"/>
  <c r="BJ358" i="1"/>
  <c r="BH358" i="1"/>
  <c r="BG358" i="1"/>
  <c r="BF358" i="1"/>
  <c r="BE358" i="1"/>
  <c r="BD358" i="1"/>
  <c r="BC358" i="1"/>
  <c r="BB358" i="1"/>
  <c r="BA358" i="1"/>
  <c r="AZ358" i="1"/>
  <c r="BI358" i="1" s="1"/>
  <c r="AY358" i="1"/>
  <c r="BK357" i="1"/>
  <c r="BJ357" i="1"/>
  <c r="BH357" i="1"/>
  <c r="BG357" i="1"/>
  <c r="BF357" i="1"/>
  <c r="BE357" i="1"/>
  <c r="BD357" i="1"/>
  <c r="BC357" i="1"/>
  <c r="BB357" i="1"/>
  <c r="BA357" i="1"/>
  <c r="AZ357" i="1"/>
  <c r="BI357" i="1" s="1"/>
  <c r="AY357" i="1"/>
  <c r="BK356" i="1"/>
  <c r="BJ356" i="1"/>
  <c r="BH356" i="1"/>
  <c r="BG356" i="1"/>
  <c r="BF356" i="1"/>
  <c r="BE356" i="1"/>
  <c r="BD356" i="1"/>
  <c r="BC356" i="1"/>
  <c r="BB356" i="1"/>
  <c r="BA356" i="1"/>
  <c r="AZ356" i="1"/>
  <c r="AY356" i="1"/>
  <c r="BK355" i="1"/>
  <c r="BJ355" i="1"/>
  <c r="BH355" i="1"/>
  <c r="BG355" i="1"/>
  <c r="BF355" i="1"/>
  <c r="BE355" i="1"/>
  <c r="BD355" i="1"/>
  <c r="BC355" i="1"/>
  <c r="BB355" i="1"/>
  <c r="BA355" i="1"/>
  <c r="AZ355" i="1"/>
  <c r="BI355" i="1" s="1"/>
  <c r="AY355" i="1"/>
  <c r="BK354" i="1"/>
  <c r="BJ354" i="1"/>
  <c r="BH354" i="1"/>
  <c r="BG354" i="1"/>
  <c r="BF354" i="1"/>
  <c r="BE354" i="1"/>
  <c r="BD354" i="1"/>
  <c r="BC354" i="1"/>
  <c r="BB354" i="1"/>
  <c r="BA354" i="1"/>
  <c r="AZ354" i="1"/>
  <c r="BI354" i="1" s="1"/>
  <c r="AY354" i="1"/>
  <c r="BK353" i="1"/>
  <c r="BJ353" i="1"/>
  <c r="BH353" i="1"/>
  <c r="BG353" i="1"/>
  <c r="BF353" i="1"/>
  <c r="BE353" i="1"/>
  <c r="BD353" i="1"/>
  <c r="BC353" i="1"/>
  <c r="BB353" i="1"/>
  <c r="BA353" i="1"/>
  <c r="AZ353" i="1"/>
  <c r="AY353" i="1"/>
  <c r="BK352" i="1"/>
  <c r="BJ352" i="1"/>
  <c r="BH352" i="1"/>
  <c r="BG352" i="1"/>
  <c r="BF352" i="1"/>
  <c r="BE352" i="1"/>
  <c r="BD352" i="1"/>
  <c r="BC352" i="1"/>
  <c r="BB352" i="1"/>
  <c r="BA352" i="1"/>
  <c r="AZ352" i="1"/>
  <c r="BI352" i="1" s="1"/>
  <c r="AY352" i="1"/>
  <c r="BK351" i="1"/>
  <c r="BJ351" i="1"/>
  <c r="BH351" i="1"/>
  <c r="BG351" i="1"/>
  <c r="BF351" i="1"/>
  <c r="BE351" i="1"/>
  <c r="BD351" i="1"/>
  <c r="BC351" i="1"/>
  <c r="BB351" i="1"/>
  <c r="BA351" i="1"/>
  <c r="AZ351" i="1"/>
  <c r="AY351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BK349" i="1"/>
  <c r="BJ349" i="1"/>
  <c r="BH349" i="1"/>
  <c r="BG349" i="1"/>
  <c r="BF349" i="1"/>
  <c r="BE349" i="1"/>
  <c r="BD349" i="1"/>
  <c r="BC349" i="1"/>
  <c r="BB349" i="1"/>
  <c r="BA349" i="1"/>
  <c r="AZ349" i="1"/>
  <c r="BI349" i="1" s="1"/>
  <c r="AY349" i="1"/>
  <c r="BK348" i="1"/>
  <c r="BJ348" i="1"/>
  <c r="BH348" i="1"/>
  <c r="BG348" i="1"/>
  <c r="BF348" i="1"/>
  <c r="BE348" i="1"/>
  <c r="BD348" i="1"/>
  <c r="BC348" i="1"/>
  <c r="BB348" i="1"/>
  <c r="BA348" i="1"/>
  <c r="AZ348" i="1"/>
  <c r="BI348" i="1" s="1"/>
  <c r="AY348" i="1"/>
  <c r="BK347" i="1"/>
  <c r="BJ347" i="1"/>
  <c r="BH347" i="1"/>
  <c r="BG347" i="1"/>
  <c r="BF347" i="1"/>
  <c r="BE347" i="1"/>
  <c r="BD347" i="1"/>
  <c r="BC347" i="1"/>
  <c r="BB347" i="1"/>
  <c r="BI347" i="1" s="1"/>
  <c r="BA347" i="1"/>
  <c r="AZ347" i="1"/>
  <c r="AY347" i="1"/>
  <c r="BK346" i="1"/>
  <c r="BJ346" i="1"/>
  <c r="BH346" i="1"/>
  <c r="BG346" i="1"/>
  <c r="BF346" i="1"/>
  <c r="BE346" i="1"/>
  <c r="BD346" i="1"/>
  <c r="BC346" i="1"/>
  <c r="BB346" i="1"/>
  <c r="BA346" i="1"/>
  <c r="AZ346" i="1"/>
  <c r="AY346" i="1"/>
  <c r="BK345" i="1"/>
  <c r="BJ345" i="1"/>
  <c r="BH345" i="1"/>
  <c r="BG345" i="1"/>
  <c r="BF345" i="1"/>
  <c r="BE345" i="1"/>
  <c r="BD345" i="1"/>
  <c r="BC345" i="1"/>
  <c r="BB345" i="1"/>
  <c r="BA345" i="1"/>
  <c r="AZ345" i="1"/>
  <c r="BI345" i="1" s="1"/>
  <c r="AY345" i="1"/>
  <c r="BK344" i="1"/>
  <c r="BJ344" i="1"/>
  <c r="BH344" i="1"/>
  <c r="BG344" i="1"/>
  <c r="BF344" i="1"/>
  <c r="BE344" i="1"/>
  <c r="BD344" i="1"/>
  <c r="BC344" i="1"/>
  <c r="BB344" i="1"/>
  <c r="BA344" i="1"/>
  <c r="AZ344" i="1"/>
  <c r="BI344" i="1" s="1"/>
  <c r="AY344" i="1"/>
  <c r="BK343" i="1"/>
  <c r="BJ343" i="1"/>
  <c r="BH343" i="1"/>
  <c r="BG343" i="1"/>
  <c r="BF343" i="1"/>
  <c r="BE343" i="1"/>
  <c r="BD343" i="1"/>
  <c r="BC343" i="1"/>
  <c r="BB343" i="1"/>
  <c r="BI343" i="1" s="1"/>
  <c r="BA343" i="1"/>
  <c r="AZ343" i="1"/>
  <c r="AY343" i="1"/>
  <c r="BK342" i="1"/>
  <c r="BJ342" i="1"/>
  <c r="BH342" i="1"/>
  <c r="BG342" i="1"/>
  <c r="BF342" i="1"/>
  <c r="BE342" i="1"/>
  <c r="BD342" i="1"/>
  <c r="BC342" i="1"/>
  <c r="BB342" i="1"/>
  <c r="BA342" i="1"/>
  <c r="AZ342" i="1"/>
  <c r="BI342" i="1" s="1"/>
  <c r="AY342" i="1"/>
  <c r="BK341" i="1"/>
  <c r="BJ341" i="1"/>
  <c r="BH341" i="1"/>
  <c r="BG341" i="1"/>
  <c r="BF341" i="1"/>
  <c r="BE341" i="1"/>
  <c r="BD341" i="1"/>
  <c r="BC341" i="1"/>
  <c r="BB341" i="1"/>
  <c r="BA341" i="1"/>
  <c r="AZ341" i="1"/>
  <c r="BI341" i="1" s="1"/>
  <c r="AY341" i="1"/>
  <c r="BK340" i="1"/>
  <c r="BJ340" i="1"/>
  <c r="BH340" i="1"/>
  <c r="BG340" i="1"/>
  <c r="BF340" i="1"/>
  <c r="BE340" i="1"/>
  <c r="BD340" i="1"/>
  <c r="BC340" i="1"/>
  <c r="BB340" i="1"/>
  <c r="BI340" i="1" s="1"/>
  <c r="BA340" i="1"/>
  <c r="AZ340" i="1"/>
  <c r="AY340" i="1"/>
  <c r="BK339" i="1"/>
  <c r="BJ339" i="1"/>
  <c r="BH339" i="1"/>
  <c r="BG339" i="1"/>
  <c r="BF339" i="1"/>
  <c r="BE339" i="1"/>
  <c r="BD339" i="1"/>
  <c r="BC339" i="1"/>
  <c r="BB339" i="1"/>
  <c r="BA339" i="1"/>
  <c r="AZ339" i="1"/>
  <c r="BI339" i="1" s="1"/>
  <c r="AY339" i="1"/>
  <c r="BK338" i="1"/>
  <c r="BJ338" i="1"/>
  <c r="BH338" i="1"/>
  <c r="BG338" i="1"/>
  <c r="BF338" i="1"/>
  <c r="BE338" i="1"/>
  <c r="BD338" i="1"/>
  <c r="BC338" i="1"/>
  <c r="BB338" i="1"/>
  <c r="BA338" i="1"/>
  <c r="AZ338" i="1"/>
  <c r="AY338" i="1"/>
  <c r="BK337" i="1"/>
  <c r="BJ337" i="1"/>
  <c r="BH337" i="1"/>
  <c r="BG337" i="1"/>
  <c r="BF337" i="1"/>
  <c r="BE337" i="1"/>
  <c r="BD337" i="1"/>
  <c r="BC337" i="1"/>
  <c r="BB337" i="1"/>
  <c r="BA337" i="1"/>
  <c r="AZ337" i="1"/>
  <c r="BI337" i="1" s="1"/>
  <c r="AY337" i="1"/>
  <c r="BK336" i="1"/>
  <c r="BJ336" i="1"/>
  <c r="BH336" i="1"/>
  <c r="BG336" i="1"/>
  <c r="BF336" i="1"/>
  <c r="BE336" i="1"/>
  <c r="BD336" i="1"/>
  <c r="BC336" i="1"/>
  <c r="BB336" i="1"/>
  <c r="BA336" i="1"/>
  <c r="AZ336" i="1"/>
  <c r="BI336" i="1" s="1"/>
  <c r="AY336" i="1"/>
  <c r="BK335" i="1"/>
  <c r="BJ335" i="1"/>
  <c r="BH335" i="1"/>
  <c r="BG335" i="1"/>
  <c r="BF335" i="1"/>
  <c r="BE335" i="1"/>
  <c r="BD335" i="1"/>
  <c r="BC335" i="1"/>
  <c r="BB335" i="1"/>
  <c r="BA335" i="1"/>
  <c r="AZ335" i="1"/>
  <c r="AY335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BK333" i="1"/>
  <c r="BJ333" i="1"/>
  <c r="BH333" i="1"/>
  <c r="BG333" i="1"/>
  <c r="BF333" i="1"/>
  <c r="BE333" i="1"/>
  <c r="BD333" i="1"/>
  <c r="BC333" i="1"/>
  <c r="BB333" i="1"/>
  <c r="BA333" i="1"/>
  <c r="AZ333" i="1"/>
  <c r="BI333" i="1" s="1"/>
  <c r="AY333" i="1"/>
  <c r="BK332" i="1"/>
  <c r="BJ332" i="1"/>
  <c r="BH332" i="1"/>
  <c r="BG332" i="1"/>
  <c r="BF332" i="1"/>
  <c r="BE332" i="1"/>
  <c r="BD332" i="1"/>
  <c r="BC332" i="1"/>
  <c r="BB332" i="1"/>
  <c r="BA332" i="1"/>
  <c r="AZ332" i="1"/>
  <c r="BI332" i="1" s="1"/>
  <c r="AY332" i="1"/>
  <c r="BK331" i="1"/>
  <c r="BJ331" i="1"/>
  <c r="BH331" i="1"/>
  <c r="BG331" i="1"/>
  <c r="BF331" i="1"/>
  <c r="BE331" i="1"/>
  <c r="BD331" i="1"/>
  <c r="BC331" i="1"/>
  <c r="BB331" i="1"/>
  <c r="BA331" i="1"/>
  <c r="AZ331" i="1"/>
  <c r="BI331" i="1" s="1"/>
  <c r="AY331" i="1"/>
  <c r="BK330" i="1"/>
  <c r="BJ330" i="1"/>
  <c r="BH330" i="1"/>
  <c r="BG330" i="1"/>
  <c r="BF330" i="1"/>
  <c r="BE330" i="1"/>
  <c r="BD330" i="1"/>
  <c r="BC330" i="1"/>
  <c r="BB330" i="1"/>
  <c r="BA330" i="1"/>
  <c r="AZ330" i="1"/>
  <c r="BI330" i="1" s="1"/>
  <c r="AY330" i="1"/>
  <c r="BK329" i="1"/>
  <c r="BJ329" i="1"/>
  <c r="BH329" i="1"/>
  <c r="BG329" i="1"/>
  <c r="BF329" i="1"/>
  <c r="BE329" i="1"/>
  <c r="BD329" i="1"/>
  <c r="BC329" i="1"/>
  <c r="BB329" i="1"/>
  <c r="BA329" i="1"/>
  <c r="AZ329" i="1"/>
  <c r="BI329" i="1" s="1"/>
  <c r="AY329" i="1"/>
  <c r="BK328" i="1"/>
  <c r="BJ328" i="1"/>
  <c r="BH328" i="1"/>
  <c r="BG328" i="1"/>
  <c r="BF328" i="1"/>
  <c r="BE328" i="1"/>
  <c r="BD328" i="1"/>
  <c r="BC328" i="1"/>
  <c r="BB328" i="1"/>
  <c r="BA328" i="1"/>
  <c r="AZ328" i="1"/>
  <c r="BI328" i="1" s="1"/>
  <c r="AY328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BK325" i="1"/>
  <c r="BJ325" i="1"/>
  <c r="BH325" i="1"/>
  <c r="BG325" i="1"/>
  <c r="BF325" i="1"/>
  <c r="BE325" i="1"/>
  <c r="BD325" i="1"/>
  <c r="BC325" i="1"/>
  <c r="BB325" i="1"/>
  <c r="BA325" i="1"/>
  <c r="AZ325" i="1"/>
  <c r="BI325" i="1" s="1"/>
  <c r="AY325" i="1"/>
  <c r="BK324" i="1"/>
  <c r="BJ324" i="1"/>
  <c r="BH324" i="1"/>
  <c r="BG324" i="1"/>
  <c r="BF324" i="1"/>
  <c r="BE324" i="1"/>
  <c r="BD324" i="1"/>
  <c r="BC324" i="1"/>
  <c r="BB324" i="1"/>
  <c r="BA324" i="1"/>
  <c r="AZ324" i="1"/>
  <c r="BI324" i="1" s="1"/>
  <c r="AY324" i="1"/>
  <c r="BK323" i="1"/>
  <c r="BJ323" i="1"/>
  <c r="BH323" i="1"/>
  <c r="BG323" i="1"/>
  <c r="BF323" i="1"/>
  <c r="BE323" i="1"/>
  <c r="BD323" i="1"/>
  <c r="BC323" i="1"/>
  <c r="BB323" i="1"/>
  <c r="BA323" i="1"/>
  <c r="AZ323" i="1"/>
  <c r="BI323" i="1" s="1"/>
  <c r="AY323" i="1"/>
  <c r="BK322" i="1"/>
  <c r="BJ322" i="1"/>
  <c r="BH322" i="1"/>
  <c r="BG322" i="1"/>
  <c r="BF322" i="1"/>
  <c r="BE322" i="1"/>
  <c r="BD322" i="1"/>
  <c r="BC322" i="1"/>
  <c r="BB322" i="1"/>
  <c r="BA322" i="1"/>
  <c r="AZ322" i="1"/>
  <c r="BI322" i="1" s="1"/>
  <c r="AY322" i="1"/>
  <c r="BK321" i="1"/>
  <c r="BJ321" i="1"/>
  <c r="BH321" i="1"/>
  <c r="BG321" i="1"/>
  <c r="BF321" i="1"/>
  <c r="BE321" i="1"/>
  <c r="BD321" i="1"/>
  <c r="BC321" i="1"/>
  <c r="BB321" i="1"/>
  <c r="BA321" i="1"/>
  <c r="AZ321" i="1"/>
  <c r="BI321" i="1" s="1"/>
  <c r="AY321" i="1"/>
  <c r="BK320" i="1"/>
  <c r="BJ320" i="1"/>
  <c r="BH320" i="1"/>
  <c r="BG320" i="1"/>
  <c r="BF320" i="1"/>
  <c r="BE320" i="1"/>
  <c r="BD320" i="1"/>
  <c r="BC320" i="1"/>
  <c r="BB320" i="1"/>
  <c r="BA320" i="1"/>
  <c r="AZ320" i="1"/>
  <c r="BI320" i="1" s="1"/>
  <c r="AY320" i="1"/>
  <c r="BK319" i="1"/>
  <c r="BJ319" i="1"/>
  <c r="BH319" i="1"/>
  <c r="BG319" i="1"/>
  <c r="BF319" i="1"/>
  <c r="BE319" i="1"/>
  <c r="BD319" i="1"/>
  <c r="BC319" i="1"/>
  <c r="BB319" i="1"/>
  <c r="BI319" i="1" s="1"/>
  <c r="BA319" i="1"/>
  <c r="AZ319" i="1"/>
  <c r="AY319" i="1"/>
  <c r="BK318" i="1"/>
  <c r="BJ318" i="1"/>
  <c r="BH318" i="1"/>
  <c r="BG318" i="1"/>
  <c r="BF318" i="1"/>
  <c r="BE318" i="1"/>
  <c r="BD318" i="1"/>
  <c r="BC318" i="1"/>
  <c r="BB318" i="1"/>
  <c r="BA318" i="1"/>
  <c r="AZ318" i="1"/>
  <c r="BI318" i="1" s="1"/>
  <c r="AY318" i="1"/>
  <c r="BK317" i="1"/>
  <c r="BJ317" i="1"/>
  <c r="BH317" i="1"/>
  <c r="BG317" i="1"/>
  <c r="BF317" i="1"/>
  <c r="BE317" i="1"/>
  <c r="BD317" i="1"/>
  <c r="BC317" i="1"/>
  <c r="BB317" i="1"/>
  <c r="BA317" i="1"/>
  <c r="AZ317" i="1"/>
  <c r="BI317" i="1" s="1"/>
  <c r="AY317" i="1"/>
  <c r="BK316" i="1"/>
  <c r="BJ316" i="1"/>
  <c r="BH316" i="1"/>
  <c r="BG316" i="1"/>
  <c r="BF316" i="1"/>
  <c r="BE316" i="1"/>
  <c r="BD316" i="1"/>
  <c r="BC316" i="1"/>
  <c r="BB316" i="1"/>
  <c r="BA316" i="1"/>
  <c r="AZ316" i="1"/>
  <c r="AY316" i="1"/>
  <c r="BK315" i="1"/>
  <c r="BJ315" i="1"/>
  <c r="BH315" i="1"/>
  <c r="BG315" i="1"/>
  <c r="BF315" i="1"/>
  <c r="BE315" i="1"/>
  <c r="BD315" i="1"/>
  <c r="BC315" i="1"/>
  <c r="BB315" i="1"/>
  <c r="BA315" i="1"/>
  <c r="AZ315" i="1"/>
  <c r="BI315" i="1" s="1"/>
  <c r="AY315" i="1"/>
  <c r="BK314" i="1"/>
  <c r="BJ314" i="1"/>
  <c r="BH314" i="1"/>
  <c r="BG314" i="1"/>
  <c r="BF314" i="1"/>
  <c r="BE314" i="1"/>
  <c r="BD314" i="1"/>
  <c r="BC314" i="1"/>
  <c r="BB314" i="1"/>
  <c r="BA314" i="1"/>
  <c r="AZ314" i="1"/>
  <c r="AY314" i="1"/>
  <c r="BK313" i="1"/>
  <c r="BJ313" i="1"/>
  <c r="BH313" i="1"/>
  <c r="BG313" i="1"/>
  <c r="BF313" i="1"/>
  <c r="BE313" i="1"/>
  <c r="BD313" i="1"/>
  <c r="BC313" i="1"/>
  <c r="BB313" i="1"/>
  <c r="BA313" i="1"/>
  <c r="AZ313" i="1"/>
  <c r="BI313" i="1" s="1"/>
  <c r="AY313" i="1"/>
  <c r="BK312" i="1"/>
  <c r="BJ312" i="1"/>
  <c r="BH312" i="1"/>
  <c r="BG312" i="1"/>
  <c r="BF312" i="1"/>
  <c r="BE312" i="1"/>
  <c r="BD312" i="1"/>
  <c r="BC312" i="1"/>
  <c r="BB312" i="1"/>
  <c r="BA312" i="1"/>
  <c r="AZ312" i="1"/>
  <c r="BI312" i="1" s="1"/>
  <c r="AY312" i="1"/>
  <c r="BK311" i="1"/>
  <c r="BJ311" i="1"/>
  <c r="BH311" i="1"/>
  <c r="BG311" i="1"/>
  <c r="BF311" i="1"/>
  <c r="BE311" i="1"/>
  <c r="BD311" i="1"/>
  <c r="BC311" i="1"/>
  <c r="BB311" i="1"/>
  <c r="BA311" i="1"/>
  <c r="AZ311" i="1"/>
  <c r="AY311" i="1"/>
  <c r="BK310" i="1"/>
  <c r="BJ310" i="1"/>
  <c r="BH310" i="1"/>
  <c r="BG310" i="1"/>
  <c r="BF310" i="1"/>
  <c r="BE310" i="1"/>
  <c r="BD310" i="1"/>
  <c r="BC310" i="1"/>
  <c r="BB310" i="1"/>
  <c r="BA310" i="1"/>
  <c r="AZ310" i="1"/>
  <c r="BI310" i="1" s="1"/>
  <c r="AY310" i="1"/>
  <c r="BK309" i="1"/>
  <c r="BJ309" i="1"/>
  <c r="BH309" i="1"/>
  <c r="BG309" i="1"/>
  <c r="BF309" i="1"/>
  <c r="BE309" i="1"/>
  <c r="BD309" i="1"/>
  <c r="BC309" i="1"/>
  <c r="BB309" i="1"/>
  <c r="BA309" i="1"/>
  <c r="AZ309" i="1"/>
  <c r="BI309" i="1" s="1"/>
  <c r="AY309" i="1"/>
  <c r="BK308" i="1"/>
  <c r="BJ308" i="1"/>
  <c r="BH308" i="1"/>
  <c r="BG308" i="1"/>
  <c r="BF308" i="1"/>
  <c r="BE308" i="1"/>
  <c r="BD308" i="1"/>
  <c r="BC308" i="1"/>
  <c r="BB308" i="1"/>
  <c r="BA308" i="1"/>
  <c r="AZ308" i="1"/>
  <c r="BI308" i="1" s="1"/>
  <c r="AY308" i="1"/>
  <c r="BK307" i="1"/>
  <c r="BJ307" i="1"/>
  <c r="BH307" i="1"/>
  <c r="BG307" i="1"/>
  <c r="BF307" i="1"/>
  <c r="BE307" i="1"/>
  <c r="BD307" i="1"/>
  <c r="BC307" i="1"/>
  <c r="BB307" i="1"/>
  <c r="BA307" i="1"/>
  <c r="AZ307" i="1"/>
  <c r="BI307" i="1" s="1"/>
  <c r="AY307" i="1"/>
  <c r="BK306" i="1"/>
  <c r="BJ306" i="1"/>
  <c r="BH306" i="1"/>
  <c r="BG306" i="1"/>
  <c r="BF306" i="1"/>
  <c r="BE306" i="1"/>
  <c r="BD306" i="1"/>
  <c r="BC306" i="1"/>
  <c r="BB306" i="1"/>
  <c r="BA306" i="1"/>
  <c r="AZ306" i="1"/>
  <c r="BI306" i="1" s="1"/>
  <c r="AY306" i="1"/>
  <c r="BK305" i="1"/>
  <c r="BJ305" i="1"/>
  <c r="BH305" i="1"/>
  <c r="BG305" i="1"/>
  <c r="BF305" i="1"/>
  <c r="BE305" i="1"/>
  <c r="BD305" i="1"/>
  <c r="BC305" i="1"/>
  <c r="BB305" i="1"/>
  <c r="BA305" i="1"/>
  <c r="AZ305" i="1"/>
  <c r="AY305" i="1"/>
  <c r="BK304" i="1"/>
  <c r="BJ304" i="1"/>
  <c r="BH304" i="1"/>
  <c r="BG304" i="1"/>
  <c r="BF304" i="1"/>
  <c r="BE304" i="1"/>
  <c r="BD304" i="1"/>
  <c r="BC304" i="1"/>
  <c r="BB304" i="1"/>
  <c r="BA304" i="1"/>
  <c r="AZ304" i="1"/>
  <c r="BI304" i="1" s="1"/>
  <c r="AY304" i="1"/>
  <c r="BK303" i="1"/>
  <c r="BJ303" i="1"/>
  <c r="BH303" i="1"/>
  <c r="BG303" i="1"/>
  <c r="BF303" i="1"/>
  <c r="BE303" i="1"/>
  <c r="BD303" i="1"/>
  <c r="BC303" i="1"/>
  <c r="BB303" i="1"/>
  <c r="BA303" i="1"/>
  <c r="AZ303" i="1"/>
  <c r="AY303" i="1"/>
  <c r="BK302" i="1"/>
  <c r="BJ302" i="1"/>
  <c r="BH302" i="1"/>
  <c r="BG302" i="1"/>
  <c r="BF302" i="1"/>
  <c r="BE302" i="1"/>
  <c r="BD302" i="1"/>
  <c r="BC302" i="1"/>
  <c r="BB302" i="1"/>
  <c r="BA302" i="1"/>
  <c r="AZ302" i="1"/>
  <c r="BI302" i="1" s="1"/>
  <c r="AY302" i="1"/>
  <c r="BK301" i="1"/>
  <c r="BJ301" i="1"/>
  <c r="BH301" i="1"/>
  <c r="BG301" i="1"/>
  <c r="BF301" i="1"/>
  <c r="BE301" i="1"/>
  <c r="BD301" i="1"/>
  <c r="BC301" i="1"/>
  <c r="BB301" i="1"/>
  <c r="BA301" i="1"/>
  <c r="AZ301" i="1"/>
  <c r="BI301" i="1" s="1"/>
  <c r="AY301" i="1"/>
  <c r="BK300" i="1"/>
  <c r="BJ300" i="1"/>
  <c r="BH300" i="1"/>
  <c r="BG300" i="1"/>
  <c r="BF300" i="1"/>
  <c r="BE300" i="1"/>
  <c r="BD300" i="1"/>
  <c r="BC300" i="1"/>
  <c r="BB300" i="1"/>
  <c r="BA300" i="1"/>
  <c r="AZ300" i="1"/>
  <c r="AY300" i="1"/>
  <c r="BK299" i="1"/>
  <c r="BJ299" i="1"/>
  <c r="BH299" i="1"/>
  <c r="BG299" i="1"/>
  <c r="BF299" i="1"/>
  <c r="BE299" i="1"/>
  <c r="BD299" i="1"/>
  <c r="BC299" i="1"/>
  <c r="BB299" i="1"/>
  <c r="BA299" i="1"/>
  <c r="AZ299" i="1"/>
  <c r="BI299" i="1" s="1"/>
  <c r="AY299" i="1"/>
  <c r="BK298" i="1"/>
  <c r="BJ298" i="1"/>
  <c r="BH298" i="1"/>
  <c r="BG298" i="1"/>
  <c r="BF298" i="1"/>
  <c r="BE298" i="1"/>
  <c r="BD298" i="1"/>
  <c r="BC298" i="1"/>
  <c r="BB298" i="1"/>
  <c r="BA298" i="1"/>
  <c r="AZ298" i="1"/>
  <c r="AY298" i="1"/>
  <c r="BK297" i="1"/>
  <c r="BJ297" i="1"/>
  <c r="BH297" i="1"/>
  <c r="BG297" i="1"/>
  <c r="BF297" i="1"/>
  <c r="BE297" i="1"/>
  <c r="BD297" i="1"/>
  <c r="BC297" i="1"/>
  <c r="BB297" i="1"/>
  <c r="BA297" i="1"/>
  <c r="AZ297" i="1"/>
  <c r="BI297" i="1" s="1"/>
  <c r="AY297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BK295" i="1"/>
  <c r="BJ295" i="1"/>
  <c r="BH295" i="1"/>
  <c r="BG295" i="1"/>
  <c r="BF295" i="1"/>
  <c r="BE295" i="1"/>
  <c r="BD295" i="1"/>
  <c r="BC295" i="1"/>
  <c r="BB295" i="1"/>
  <c r="BI295" i="1" s="1"/>
  <c r="BA295" i="1"/>
  <c r="AZ295" i="1"/>
  <c r="AY295" i="1"/>
  <c r="BK294" i="1"/>
  <c r="BJ294" i="1"/>
  <c r="BH294" i="1"/>
  <c r="BG294" i="1"/>
  <c r="BF294" i="1"/>
  <c r="BE294" i="1"/>
  <c r="BD294" i="1"/>
  <c r="BC294" i="1"/>
  <c r="BB294" i="1"/>
  <c r="BA294" i="1"/>
  <c r="AZ294" i="1"/>
  <c r="BI294" i="1" s="1"/>
  <c r="AY294" i="1"/>
  <c r="BK293" i="1"/>
  <c r="BJ293" i="1"/>
  <c r="BH293" i="1"/>
  <c r="BG293" i="1"/>
  <c r="BF293" i="1"/>
  <c r="BE293" i="1"/>
  <c r="BD293" i="1"/>
  <c r="BC293" i="1"/>
  <c r="BB293" i="1"/>
  <c r="BA293" i="1"/>
  <c r="AZ293" i="1"/>
  <c r="BI293" i="1" s="1"/>
  <c r="AY293" i="1"/>
  <c r="BK292" i="1"/>
  <c r="BJ292" i="1"/>
  <c r="BH292" i="1"/>
  <c r="BG292" i="1"/>
  <c r="BF292" i="1"/>
  <c r="BE292" i="1"/>
  <c r="BD292" i="1"/>
  <c r="BC292" i="1"/>
  <c r="BB292" i="1"/>
  <c r="BA292" i="1"/>
  <c r="AZ292" i="1"/>
  <c r="BI292" i="1" s="1"/>
  <c r="AY292" i="1"/>
  <c r="BK291" i="1"/>
  <c r="BJ291" i="1"/>
  <c r="BH291" i="1"/>
  <c r="BG291" i="1"/>
  <c r="BF291" i="1"/>
  <c r="BE291" i="1"/>
  <c r="BD291" i="1"/>
  <c r="BC291" i="1"/>
  <c r="BB291" i="1"/>
  <c r="BA291" i="1"/>
  <c r="AZ291" i="1"/>
  <c r="BI291" i="1" s="1"/>
  <c r="AY291" i="1"/>
  <c r="BK290" i="1"/>
  <c r="BJ290" i="1"/>
  <c r="BH290" i="1"/>
  <c r="BG290" i="1"/>
  <c r="BF290" i="1"/>
  <c r="BE290" i="1"/>
  <c r="BD290" i="1"/>
  <c r="BC290" i="1"/>
  <c r="BB290" i="1"/>
  <c r="BA290" i="1"/>
  <c r="AZ290" i="1"/>
  <c r="BI290" i="1" s="1"/>
  <c r="AY290" i="1"/>
  <c r="BK289" i="1"/>
  <c r="BJ289" i="1"/>
  <c r="BH289" i="1"/>
  <c r="BG289" i="1"/>
  <c r="BF289" i="1"/>
  <c r="BE289" i="1"/>
  <c r="BD289" i="1"/>
  <c r="BC289" i="1"/>
  <c r="BB289" i="1"/>
  <c r="BA289" i="1"/>
  <c r="AZ289" i="1"/>
  <c r="BI289" i="1" s="1"/>
  <c r="AY289" i="1"/>
  <c r="BK288" i="1"/>
  <c r="BJ288" i="1"/>
  <c r="BH288" i="1"/>
  <c r="BG288" i="1"/>
  <c r="BF288" i="1"/>
  <c r="BE288" i="1"/>
  <c r="BD288" i="1"/>
  <c r="BC288" i="1"/>
  <c r="BB288" i="1"/>
  <c r="BA288" i="1"/>
  <c r="AZ288" i="1"/>
  <c r="BI288" i="1" s="1"/>
  <c r="AY288" i="1"/>
  <c r="BK287" i="1"/>
  <c r="BJ287" i="1"/>
  <c r="BH287" i="1"/>
  <c r="BG287" i="1"/>
  <c r="BF287" i="1"/>
  <c r="BE287" i="1"/>
  <c r="BD287" i="1"/>
  <c r="BC287" i="1"/>
  <c r="BB287" i="1"/>
  <c r="BA287" i="1"/>
  <c r="AZ287" i="1"/>
  <c r="BI287" i="1" s="1"/>
  <c r="AY287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BK285" i="1"/>
  <c r="BJ285" i="1"/>
  <c r="BH285" i="1"/>
  <c r="BG285" i="1"/>
  <c r="BF285" i="1"/>
  <c r="BE285" i="1"/>
  <c r="BD285" i="1"/>
  <c r="BC285" i="1"/>
  <c r="BB285" i="1"/>
  <c r="BA285" i="1"/>
  <c r="AZ285" i="1"/>
  <c r="BI285" i="1" s="1"/>
  <c r="AY285" i="1"/>
  <c r="BK284" i="1"/>
  <c r="BJ284" i="1"/>
  <c r="BH284" i="1"/>
  <c r="BG284" i="1"/>
  <c r="BF284" i="1"/>
  <c r="BE284" i="1"/>
  <c r="BD284" i="1"/>
  <c r="BC284" i="1"/>
  <c r="BB284" i="1"/>
  <c r="BA284" i="1"/>
  <c r="AZ284" i="1"/>
  <c r="BI284" i="1" s="1"/>
  <c r="AY284" i="1"/>
  <c r="BK283" i="1"/>
  <c r="BJ283" i="1"/>
  <c r="BH283" i="1"/>
  <c r="BG283" i="1"/>
  <c r="BF283" i="1"/>
  <c r="BE283" i="1"/>
  <c r="BD283" i="1"/>
  <c r="BC283" i="1"/>
  <c r="BB283" i="1"/>
  <c r="BA283" i="1"/>
  <c r="AZ283" i="1"/>
  <c r="AY283" i="1"/>
  <c r="BK282" i="1"/>
  <c r="BJ282" i="1"/>
  <c r="BH282" i="1"/>
  <c r="BG282" i="1"/>
  <c r="BF282" i="1"/>
  <c r="BE282" i="1"/>
  <c r="BD282" i="1"/>
  <c r="BC282" i="1"/>
  <c r="BB282" i="1"/>
  <c r="BA282" i="1"/>
  <c r="AZ282" i="1"/>
  <c r="BI282" i="1" s="1"/>
  <c r="AY282" i="1"/>
  <c r="BK281" i="1"/>
  <c r="BJ281" i="1"/>
  <c r="BH281" i="1"/>
  <c r="BG281" i="1"/>
  <c r="BF281" i="1"/>
  <c r="BE281" i="1"/>
  <c r="BD281" i="1"/>
  <c r="BC281" i="1"/>
  <c r="BB281" i="1"/>
  <c r="BA281" i="1"/>
  <c r="AZ281" i="1"/>
  <c r="BI281" i="1" s="1"/>
  <c r="AY281" i="1"/>
  <c r="BK280" i="1"/>
  <c r="BJ280" i="1"/>
  <c r="BH280" i="1"/>
  <c r="BG280" i="1"/>
  <c r="BF280" i="1"/>
  <c r="BE280" i="1"/>
  <c r="BD280" i="1"/>
  <c r="BC280" i="1"/>
  <c r="BB280" i="1"/>
  <c r="BA280" i="1"/>
  <c r="AZ280" i="1"/>
  <c r="BI280" i="1" s="1"/>
  <c r="AY280" i="1"/>
  <c r="BK279" i="1"/>
  <c r="BJ279" i="1"/>
  <c r="BH279" i="1"/>
  <c r="BG279" i="1"/>
  <c r="BF279" i="1"/>
  <c r="BE279" i="1"/>
  <c r="BD279" i="1"/>
  <c r="BC279" i="1"/>
  <c r="BB279" i="1"/>
  <c r="BA279" i="1"/>
  <c r="AZ279" i="1"/>
  <c r="BI279" i="1" s="1"/>
  <c r="AY279" i="1"/>
  <c r="BK278" i="1"/>
  <c r="BJ278" i="1"/>
  <c r="BH278" i="1"/>
  <c r="BG278" i="1"/>
  <c r="BF278" i="1"/>
  <c r="BE278" i="1"/>
  <c r="BD278" i="1"/>
  <c r="BC278" i="1"/>
  <c r="BB278" i="1"/>
  <c r="BA278" i="1"/>
  <c r="AZ278" i="1"/>
  <c r="BI278" i="1" s="1"/>
  <c r="AY278" i="1"/>
  <c r="BK277" i="1"/>
  <c r="BJ277" i="1"/>
  <c r="BH277" i="1"/>
  <c r="BG277" i="1"/>
  <c r="BF277" i="1"/>
  <c r="BE277" i="1"/>
  <c r="BD277" i="1"/>
  <c r="BC277" i="1"/>
  <c r="BB277" i="1"/>
  <c r="BA277" i="1"/>
  <c r="AZ277" i="1"/>
  <c r="AY277" i="1"/>
  <c r="BK276" i="1"/>
  <c r="BJ276" i="1"/>
  <c r="BH276" i="1"/>
  <c r="BG276" i="1"/>
  <c r="BF276" i="1"/>
  <c r="BE276" i="1"/>
  <c r="BD276" i="1"/>
  <c r="BC276" i="1"/>
  <c r="BB276" i="1"/>
  <c r="BA276" i="1"/>
  <c r="AZ276" i="1"/>
  <c r="BI276" i="1" s="1"/>
  <c r="AY276" i="1"/>
  <c r="BK275" i="1"/>
  <c r="BJ275" i="1"/>
  <c r="BH275" i="1"/>
  <c r="BG275" i="1"/>
  <c r="BF275" i="1"/>
  <c r="BE275" i="1"/>
  <c r="BD275" i="1"/>
  <c r="BC275" i="1"/>
  <c r="BB275" i="1"/>
  <c r="BA275" i="1"/>
  <c r="AZ275" i="1"/>
  <c r="AY275" i="1"/>
  <c r="BK274" i="1"/>
  <c r="BJ274" i="1"/>
  <c r="BH274" i="1"/>
  <c r="BG274" i="1"/>
  <c r="BF274" i="1"/>
  <c r="BE274" i="1"/>
  <c r="BD274" i="1"/>
  <c r="BC274" i="1"/>
  <c r="BB274" i="1"/>
  <c r="BA274" i="1"/>
  <c r="AZ274" i="1"/>
  <c r="BI274" i="1" s="1"/>
  <c r="AY274" i="1"/>
  <c r="BK273" i="1"/>
  <c r="BJ273" i="1"/>
  <c r="BH273" i="1"/>
  <c r="BG273" i="1"/>
  <c r="BF273" i="1"/>
  <c r="BE273" i="1"/>
  <c r="BD273" i="1"/>
  <c r="BC273" i="1"/>
  <c r="BB273" i="1"/>
  <c r="BA273" i="1"/>
  <c r="AZ273" i="1"/>
  <c r="AY273" i="1"/>
  <c r="BK272" i="1"/>
  <c r="BJ272" i="1"/>
  <c r="BH272" i="1"/>
  <c r="BG272" i="1"/>
  <c r="BF272" i="1"/>
  <c r="BE272" i="1"/>
  <c r="BD272" i="1"/>
  <c r="BC272" i="1"/>
  <c r="BB272" i="1"/>
  <c r="BA272" i="1"/>
  <c r="AZ272" i="1"/>
  <c r="BI272" i="1" s="1"/>
  <c r="AY272" i="1"/>
  <c r="BK271" i="1"/>
  <c r="BJ271" i="1"/>
  <c r="BH271" i="1"/>
  <c r="BG271" i="1"/>
  <c r="BF271" i="1"/>
  <c r="BE271" i="1"/>
  <c r="BD271" i="1"/>
  <c r="BC271" i="1"/>
  <c r="BB271" i="1"/>
  <c r="BA271" i="1"/>
  <c r="AZ271" i="1"/>
  <c r="BI271" i="1" s="1"/>
  <c r="AY271" i="1"/>
  <c r="BK270" i="1"/>
  <c r="BJ270" i="1"/>
  <c r="BH270" i="1"/>
  <c r="BG270" i="1"/>
  <c r="BF270" i="1"/>
  <c r="BE270" i="1"/>
  <c r="BD270" i="1"/>
  <c r="BC270" i="1"/>
  <c r="BB270" i="1"/>
  <c r="BA270" i="1"/>
  <c r="AZ270" i="1"/>
  <c r="BI270" i="1" s="1"/>
  <c r="AY270" i="1"/>
  <c r="BK269" i="1"/>
  <c r="BJ269" i="1"/>
  <c r="BH269" i="1"/>
  <c r="BG269" i="1"/>
  <c r="BF269" i="1"/>
  <c r="BE269" i="1"/>
  <c r="BD269" i="1"/>
  <c r="BC269" i="1"/>
  <c r="BB269" i="1"/>
  <c r="BA269" i="1"/>
  <c r="AZ269" i="1"/>
  <c r="BI269" i="1" s="1"/>
  <c r="AY269" i="1"/>
  <c r="BK268" i="1"/>
  <c r="BJ268" i="1"/>
  <c r="BH268" i="1"/>
  <c r="BG268" i="1"/>
  <c r="BF268" i="1"/>
  <c r="BE268" i="1"/>
  <c r="BD268" i="1"/>
  <c r="BC268" i="1"/>
  <c r="BB268" i="1"/>
  <c r="BA268" i="1"/>
  <c r="AZ268" i="1"/>
  <c r="AY268" i="1"/>
  <c r="BK267" i="1"/>
  <c r="BJ267" i="1"/>
  <c r="BH267" i="1"/>
  <c r="BG267" i="1"/>
  <c r="BF267" i="1"/>
  <c r="BE267" i="1"/>
  <c r="BD267" i="1"/>
  <c r="BC267" i="1"/>
  <c r="BB267" i="1"/>
  <c r="BA267" i="1"/>
  <c r="AZ267" i="1"/>
  <c r="BI267" i="1" s="1"/>
  <c r="AY267" i="1"/>
  <c r="BK266" i="1"/>
  <c r="BJ266" i="1"/>
  <c r="BH266" i="1"/>
  <c r="BG266" i="1"/>
  <c r="BF266" i="1"/>
  <c r="BE266" i="1"/>
  <c r="BD266" i="1"/>
  <c r="BC266" i="1"/>
  <c r="BB266" i="1"/>
  <c r="BA266" i="1"/>
  <c r="AZ266" i="1"/>
  <c r="AY266" i="1"/>
  <c r="BK265" i="1"/>
  <c r="BJ265" i="1"/>
  <c r="BH265" i="1"/>
  <c r="BG265" i="1"/>
  <c r="BF265" i="1"/>
  <c r="BE265" i="1"/>
  <c r="BD265" i="1"/>
  <c r="BC265" i="1"/>
  <c r="BB265" i="1"/>
  <c r="BA265" i="1"/>
  <c r="AZ265" i="1"/>
  <c r="BI265" i="1" s="1"/>
  <c r="AY265" i="1"/>
  <c r="BK264" i="1"/>
  <c r="BJ264" i="1"/>
  <c r="BH264" i="1"/>
  <c r="BG264" i="1"/>
  <c r="BF264" i="1"/>
  <c r="BE264" i="1"/>
  <c r="BD264" i="1"/>
  <c r="BC264" i="1"/>
  <c r="BB264" i="1"/>
  <c r="BA264" i="1"/>
  <c r="AZ264" i="1"/>
  <c r="BI264" i="1" s="1"/>
  <c r="AY264" i="1"/>
  <c r="BK263" i="1"/>
  <c r="BJ263" i="1"/>
  <c r="BH263" i="1"/>
  <c r="BG263" i="1"/>
  <c r="BF263" i="1"/>
  <c r="BE263" i="1"/>
  <c r="BD263" i="1"/>
  <c r="BC263" i="1"/>
  <c r="BB263" i="1"/>
  <c r="BA263" i="1"/>
  <c r="AZ263" i="1"/>
  <c r="AY263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BK261" i="1"/>
  <c r="BJ261" i="1"/>
  <c r="BH261" i="1"/>
  <c r="BG261" i="1"/>
  <c r="BF261" i="1"/>
  <c r="BE261" i="1"/>
  <c r="BD261" i="1"/>
  <c r="BC261" i="1"/>
  <c r="BB261" i="1"/>
  <c r="BA261" i="1"/>
  <c r="AZ261" i="1"/>
  <c r="BI261" i="1" s="1"/>
  <c r="AY261" i="1"/>
  <c r="BK260" i="1"/>
  <c r="BJ260" i="1"/>
  <c r="BH260" i="1"/>
  <c r="BG260" i="1"/>
  <c r="BF260" i="1"/>
  <c r="BE260" i="1"/>
  <c r="BD260" i="1"/>
  <c r="BC260" i="1"/>
  <c r="BB260" i="1"/>
  <c r="BA260" i="1"/>
  <c r="AZ260" i="1"/>
  <c r="BI260" i="1" s="1"/>
  <c r="AY260" i="1"/>
  <c r="BK259" i="1"/>
  <c r="BJ259" i="1"/>
  <c r="BH259" i="1"/>
  <c r="BG259" i="1"/>
  <c r="BF259" i="1"/>
  <c r="BE259" i="1"/>
  <c r="BD259" i="1"/>
  <c r="BC259" i="1"/>
  <c r="BB259" i="1"/>
  <c r="BA259" i="1"/>
  <c r="AZ259" i="1"/>
  <c r="BI259" i="1" s="1"/>
  <c r="AY259" i="1"/>
  <c r="BK258" i="1"/>
  <c r="BJ258" i="1"/>
  <c r="BH258" i="1"/>
  <c r="BG258" i="1"/>
  <c r="BF258" i="1"/>
  <c r="BE258" i="1"/>
  <c r="BD258" i="1"/>
  <c r="BC258" i="1"/>
  <c r="BB258" i="1"/>
  <c r="BA258" i="1"/>
  <c r="AZ258" i="1"/>
  <c r="BI258" i="1" s="1"/>
  <c r="AY258" i="1"/>
  <c r="BK257" i="1"/>
  <c r="BJ257" i="1"/>
  <c r="BH257" i="1"/>
  <c r="BG257" i="1"/>
  <c r="BF257" i="1"/>
  <c r="BE257" i="1"/>
  <c r="BD257" i="1"/>
  <c r="BC257" i="1"/>
  <c r="BB257" i="1"/>
  <c r="BA257" i="1"/>
  <c r="AZ257" i="1"/>
  <c r="BI257" i="1" s="1"/>
  <c r="AY257" i="1"/>
  <c r="BK256" i="1"/>
  <c r="BJ256" i="1"/>
  <c r="BH256" i="1"/>
  <c r="BG256" i="1"/>
  <c r="BF256" i="1"/>
  <c r="BE256" i="1"/>
  <c r="BD256" i="1"/>
  <c r="BC256" i="1"/>
  <c r="BB256" i="1"/>
  <c r="BA256" i="1"/>
  <c r="AZ256" i="1"/>
  <c r="BI256" i="1" s="1"/>
  <c r="AY256" i="1"/>
  <c r="BK255" i="1"/>
  <c r="BJ255" i="1"/>
  <c r="BH255" i="1"/>
  <c r="BG255" i="1"/>
  <c r="BF255" i="1"/>
  <c r="BE255" i="1"/>
  <c r="BD255" i="1"/>
  <c r="BC255" i="1"/>
  <c r="BB255" i="1"/>
  <c r="BA255" i="1"/>
  <c r="AZ255" i="1"/>
  <c r="BI255" i="1" s="1"/>
  <c r="AY255" i="1"/>
  <c r="BK254" i="1"/>
  <c r="BJ254" i="1"/>
  <c r="BH254" i="1"/>
  <c r="BG254" i="1"/>
  <c r="BF254" i="1"/>
  <c r="BE254" i="1"/>
  <c r="BD254" i="1"/>
  <c r="BC254" i="1"/>
  <c r="BB254" i="1"/>
  <c r="BA254" i="1"/>
  <c r="AZ254" i="1"/>
  <c r="BI254" i="1" s="1"/>
  <c r="AY254" i="1"/>
  <c r="BK253" i="1"/>
  <c r="BJ253" i="1"/>
  <c r="BH253" i="1"/>
  <c r="BG253" i="1"/>
  <c r="BF253" i="1"/>
  <c r="BE253" i="1"/>
  <c r="BD253" i="1"/>
  <c r="BC253" i="1"/>
  <c r="BB253" i="1"/>
  <c r="BA253" i="1"/>
  <c r="AZ253" i="1"/>
  <c r="BI253" i="1" s="1"/>
  <c r="AY253" i="1"/>
  <c r="BK252" i="1"/>
  <c r="BJ252" i="1"/>
  <c r="BH252" i="1"/>
  <c r="BG252" i="1"/>
  <c r="BF252" i="1"/>
  <c r="BE252" i="1"/>
  <c r="BD252" i="1"/>
  <c r="BC252" i="1"/>
  <c r="BB252" i="1"/>
  <c r="BA252" i="1"/>
  <c r="AZ252" i="1"/>
  <c r="BI252" i="1" s="1"/>
  <c r="AY252" i="1"/>
  <c r="BK251" i="1"/>
  <c r="BJ251" i="1"/>
  <c r="BH251" i="1"/>
  <c r="BG251" i="1"/>
  <c r="BF251" i="1"/>
  <c r="BE251" i="1"/>
  <c r="BD251" i="1"/>
  <c r="BC251" i="1"/>
  <c r="BB251" i="1"/>
  <c r="BA251" i="1"/>
  <c r="AZ251" i="1"/>
  <c r="AY251" i="1"/>
  <c r="BK250" i="1"/>
  <c r="BJ250" i="1"/>
  <c r="BH250" i="1"/>
  <c r="BG250" i="1"/>
  <c r="BF250" i="1"/>
  <c r="BE250" i="1"/>
  <c r="BD250" i="1"/>
  <c r="BC250" i="1"/>
  <c r="BB250" i="1"/>
  <c r="BA250" i="1"/>
  <c r="AZ250" i="1"/>
  <c r="BI250" i="1" s="1"/>
  <c r="AY250" i="1"/>
  <c r="BK249" i="1"/>
  <c r="BJ249" i="1"/>
  <c r="BH249" i="1"/>
  <c r="BG249" i="1"/>
  <c r="BF249" i="1"/>
  <c r="BE249" i="1"/>
  <c r="BD249" i="1"/>
  <c r="BC249" i="1"/>
  <c r="BB249" i="1"/>
  <c r="BA249" i="1"/>
  <c r="AZ249" i="1"/>
  <c r="BI249" i="1" s="1"/>
  <c r="AY249" i="1"/>
  <c r="BK248" i="1"/>
  <c r="BJ248" i="1"/>
  <c r="BH248" i="1"/>
  <c r="BG248" i="1"/>
  <c r="BF248" i="1"/>
  <c r="BE248" i="1"/>
  <c r="BD248" i="1"/>
  <c r="BC248" i="1"/>
  <c r="BB248" i="1"/>
  <c r="BA248" i="1"/>
  <c r="AZ248" i="1"/>
  <c r="BI248" i="1" s="1"/>
  <c r="AY248" i="1"/>
  <c r="BK247" i="1"/>
  <c r="BJ247" i="1"/>
  <c r="BH247" i="1"/>
  <c r="BG247" i="1"/>
  <c r="BF247" i="1"/>
  <c r="BE247" i="1"/>
  <c r="BD247" i="1"/>
  <c r="BC247" i="1"/>
  <c r="BB247" i="1"/>
  <c r="BA247" i="1"/>
  <c r="AZ247" i="1"/>
  <c r="BI247" i="1" s="1"/>
  <c r="AY247" i="1"/>
  <c r="BK246" i="1"/>
  <c r="BJ246" i="1"/>
  <c r="BH246" i="1"/>
  <c r="BG246" i="1"/>
  <c r="BF246" i="1"/>
  <c r="BE246" i="1"/>
  <c r="BD246" i="1"/>
  <c r="BC246" i="1"/>
  <c r="BB246" i="1"/>
  <c r="BA246" i="1"/>
  <c r="AZ246" i="1"/>
  <c r="BI246" i="1" s="1"/>
  <c r="AY246" i="1"/>
  <c r="BK245" i="1"/>
  <c r="BJ245" i="1"/>
  <c r="BH245" i="1"/>
  <c r="BG245" i="1"/>
  <c r="BF245" i="1"/>
  <c r="BE245" i="1"/>
  <c r="BD245" i="1"/>
  <c r="BC245" i="1"/>
  <c r="BB245" i="1"/>
  <c r="BA245" i="1"/>
  <c r="AZ245" i="1"/>
  <c r="AY245" i="1"/>
  <c r="BK244" i="1"/>
  <c r="BJ244" i="1"/>
  <c r="BH244" i="1"/>
  <c r="BG244" i="1"/>
  <c r="BF244" i="1"/>
  <c r="BE244" i="1"/>
  <c r="BD244" i="1"/>
  <c r="BC244" i="1"/>
  <c r="BB244" i="1"/>
  <c r="BA244" i="1"/>
  <c r="AZ244" i="1"/>
  <c r="BI244" i="1" s="1"/>
  <c r="AY244" i="1"/>
  <c r="BK243" i="1"/>
  <c r="BJ243" i="1"/>
  <c r="BH243" i="1"/>
  <c r="BG243" i="1"/>
  <c r="BF243" i="1"/>
  <c r="BE243" i="1"/>
  <c r="BD243" i="1"/>
  <c r="BC243" i="1"/>
  <c r="BB243" i="1"/>
  <c r="BA243" i="1"/>
  <c r="AZ243" i="1"/>
  <c r="AY243" i="1"/>
  <c r="BK242" i="1"/>
  <c r="BJ242" i="1"/>
  <c r="BH242" i="1"/>
  <c r="BG242" i="1"/>
  <c r="BF242" i="1"/>
  <c r="BE242" i="1"/>
  <c r="BD242" i="1"/>
  <c r="BC242" i="1"/>
  <c r="BB242" i="1"/>
  <c r="BA242" i="1"/>
  <c r="AZ242" i="1"/>
  <c r="BI242" i="1" s="1"/>
  <c r="AY242" i="1"/>
  <c r="BK241" i="1"/>
  <c r="BJ241" i="1"/>
  <c r="BH241" i="1"/>
  <c r="BG241" i="1"/>
  <c r="BF241" i="1"/>
  <c r="BE241" i="1"/>
  <c r="BD241" i="1"/>
  <c r="BC241" i="1"/>
  <c r="BB241" i="1"/>
  <c r="BA241" i="1"/>
  <c r="AZ241" i="1"/>
  <c r="AY241" i="1"/>
  <c r="BK240" i="1"/>
  <c r="BJ240" i="1"/>
  <c r="BH240" i="1"/>
  <c r="BG240" i="1"/>
  <c r="BF240" i="1"/>
  <c r="BE240" i="1"/>
  <c r="BD240" i="1"/>
  <c r="BC240" i="1"/>
  <c r="BB240" i="1"/>
  <c r="BA240" i="1"/>
  <c r="AZ240" i="1"/>
  <c r="BI240" i="1" s="1"/>
  <c r="AY240" i="1"/>
  <c r="BK239" i="1"/>
  <c r="BJ239" i="1"/>
  <c r="BH239" i="1"/>
  <c r="BG239" i="1"/>
  <c r="BF239" i="1"/>
  <c r="BE239" i="1"/>
  <c r="BD239" i="1"/>
  <c r="BC239" i="1"/>
  <c r="BB239" i="1"/>
  <c r="BA239" i="1"/>
  <c r="AZ239" i="1"/>
  <c r="BI239" i="1" s="1"/>
  <c r="AY239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BK237" i="1"/>
  <c r="BJ237" i="1"/>
  <c r="BH237" i="1"/>
  <c r="BG237" i="1"/>
  <c r="BF237" i="1"/>
  <c r="BE237" i="1"/>
  <c r="BD237" i="1"/>
  <c r="BC237" i="1"/>
  <c r="BB237" i="1"/>
  <c r="BA237" i="1"/>
  <c r="AZ237" i="1"/>
  <c r="BI237" i="1" s="1"/>
  <c r="AY237" i="1"/>
  <c r="BK236" i="1"/>
  <c r="BJ236" i="1"/>
  <c r="BH236" i="1"/>
  <c r="BG236" i="1"/>
  <c r="BF236" i="1"/>
  <c r="BE236" i="1"/>
  <c r="BD236" i="1"/>
  <c r="BC236" i="1"/>
  <c r="BB236" i="1"/>
  <c r="BA236" i="1"/>
  <c r="AZ236" i="1"/>
  <c r="AY236" i="1"/>
  <c r="BK235" i="1"/>
  <c r="BJ235" i="1"/>
  <c r="BH235" i="1"/>
  <c r="BG235" i="1"/>
  <c r="BF235" i="1"/>
  <c r="BE235" i="1"/>
  <c r="BD235" i="1"/>
  <c r="BC235" i="1"/>
  <c r="BB235" i="1"/>
  <c r="BA235" i="1"/>
  <c r="AZ235" i="1"/>
  <c r="BI235" i="1" s="1"/>
  <c r="AY235" i="1"/>
  <c r="BK234" i="1"/>
  <c r="BJ234" i="1"/>
  <c r="BH234" i="1"/>
  <c r="BG234" i="1"/>
  <c r="BF234" i="1"/>
  <c r="BE234" i="1"/>
  <c r="BD234" i="1"/>
  <c r="BC234" i="1"/>
  <c r="BB234" i="1"/>
  <c r="BA234" i="1"/>
  <c r="AZ234" i="1"/>
  <c r="AY234" i="1"/>
  <c r="BK233" i="1"/>
  <c r="BJ233" i="1"/>
  <c r="BH233" i="1"/>
  <c r="BG233" i="1"/>
  <c r="BF233" i="1"/>
  <c r="BE233" i="1"/>
  <c r="BD233" i="1"/>
  <c r="BC233" i="1"/>
  <c r="BB233" i="1"/>
  <c r="BA233" i="1"/>
  <c r="AZ233" i="1"/>
  <c r="BI233" i="1" s="1"/>
  <c r="AY233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BK231" i="1"/>
  <c r="BJ231" i="1"/>
  <c r="BH231" i="1"/>
  <c r="BG231" i="1"/>
  <c r="BF231" i="1"/>
  <c r="BE231" i="1"/>
  <c r="BD231" i="1"/>
  <c r="BC231" i="1"/>
  <c r="BB231" i="1"/>
  <c r="BI231" i="1" s="1"/>
  <c r="BA231" i="1"/>
  <c r="AZ231" i="1"/>
  <c r="AY231" i="1"/>
  <c r="BK230" i="1"/>
  <c r="BJ230" i="1"/>
  <c r="BH230" i="1"/>
  <c r="BG230" i="1"/>
  <c r="BF230" i="1"/>
  <c r="BE230" i="1"/>
  <c r="BD230" i="1"/>
  <c r="BC230" i="1"/>
  <c r="BB230" i="1"/>
  <c r="BA230" i="1"/>
  <c r="AZ230" i="1"/>
  <c r="BI230" i="1" s="1"/>
  <c r="AY230" i="1"/>
  <c r="BK229" i="1"/>
  <c r="BJ229" i="1"/>
  <c r="BH229" i="1"/>
  <c r="BG229" i="1"/>
  <c r="BF229" i="1"/>
  <c r="BE229" i="1"/>
  <c r="BD229" i="1"/>
  <c r="BC229" i="1"/>
  <c r="BB229" i="1"/>
  <c r="BA229" i="1"/>
  <c r="AZ229" i="1"/>
  <c r="BI229" i="1" s="1"/>
  <c r="AY229" i="1"/>
  <c r="BK228" i="1"/>
  <c r="BJ228" i="1"/>
  <c r="BH228" i="1"/>
  <c r="BG228" i="1"/>
  <c r="BF228" i="1"/>
  <c r="BE228" i="1"/>
  <c r="BD228" i="1"/>
  <c r="BC228" i="1"/>
  <c r="BB228" i="1"/>
  <c r="BA228" i="1"/>
  <c r="AZ228" i="1"/>
  <c r="BI228" i="1" s="1"/>
  <c r="AY228" i="1"/>
  <c r="BK227" i="1"/>
  <c r="BJ227" i="1"/>
  <c r="BH227" i="1"/>
  <c r="BG227" i="1"/>
  <c r="BF227" i="1"/>
  <c r="BE227" i="1"/>
  <c r="BD227" i="1"/>
  <c r="BC227" i="1"/>
  <c r="BB227" i="1"/>
  <c r="BA227" i="1"/>
  <c r="AZ227" i="1"/>
  <c r="BI227" i="1" s="1"/>
  <c r="AY227" i="1"/>
  <c r="BK226" i="1"/>
  <c r="BJ226" i="1"/>
  <c r="BH226" i="1"/>
  <c r="BG226" i="1"/>
  <c r="BF226" i="1"/>
  <c r="BE226" i="1"/>
  <c r="BD226" i="1"/>
  <c r="BC226" i="1"/>
  <c r="BB226" i="1"/>
  <c r="BA226" i="1"/>
  <c r="AZ226" i="1"/>
  <c r="AY226" i="1"/>
  <c r="BK225" i="1"/>
  <c r="BJ225" i="1"/>
  <c r="BH225" i="1"/>
  <c r="BG225" i="1"/>
  <c r="BF225" i="1"/>
  <c r="BE225" i="1"/>
  <c r="BD225" i="1"/>
  <c r="BC225" i="1"/>
  <c r="BB225" i="1"/>
  <c r="BA225" i="1"/>
  <c r="AZ225" i="1"/>
  <c r="BI225" i="1" s="1"/>
  <c r="AY225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K223" i="1"/>
  <c r="BJ223" i="1"/>
  <c r="BH223" i="1"/>
  <c r="BG223" i="1"/>
  <c r="BF223" i="1"/>
  <c r="BE223" i="1"/>
  <c r="BD223" i="1"/>
  <c r="BC223" i="1"/>
  <c r="BB223" i="1"/>
  <c r="BA223" i="1"/>
  <c r="AZ223" i="1"/>
  <c r="BI223" i="1" s="1"/>
  <c r="AY223" i="1"/>
  <c r="BK222" i="1"/>
  <c r="BJ222" i="1"/>
  <c r="BH222" i="1"/>
  <c r="BG222" i="1"/>
  <c r="BF222" i="1"/>
  <c r="BE222" i="1"/>
  <c r="BD222" i="1"/>
  <c r="BC222" i="1"/>
  <c r="BB222" i="1"/>
  <c r="BA222" i="1"/>
  <c r="AZ222" i="1"/>
  <c r="BI222" i="1" s="1"/>
  <c r="AY222" i="1"/>
  <c r="BK221" i="1"/>
  <c r="BJ221" i="1"/>
  <c r="BH221" i="1"/>
  <c r="BG221" i="1"/>
  <c r="BF221" i="1"/>
  <c r="BE221" i="1"/>
  <c r="BD221" i="1"/>
  <c r="BC221" i="1"/>
  <c r="BB221" i="1"/>
  <c r="BA221" i="1"/>
  <c r="AZ221" i="1"/>
  <c r="BI221" i="1" s="1"/>
  <c r="AY221" i="1"/>
  <c r="BK220" i="1"/>
  <c r="BJ220" i="1"/>
  <c r="BH220" i="1"/>
  <c r="BG220" i="1"/>
  <c r="BF220" i="1"/>
  <c r="BE220" i="1"/>
  <c r="BD220" i="1"/>
  <c r="BC220" i="1"/>
  <c r="BB220" i="1"/>
  <c r="BA220" i="1"/>
  <c r="AZ220" i="1"/>
  <c r="BI220" i="1" s="1"/>
  <c r="AY220" i="1"/>
  <c r="BK219" i="1"/>
  <c r="BJ219" i="1"/>
  <c r="BH219" i="1"/>
  <c r="BG219" i="1"/>
  <c r="BF219" i="1"/>
  <c r="BE219" i="1"/>
  <c r="BD219" i="1"/>
  <c r="BC219" i="1"/>
  <c r="BB219" i="1"/>
  <c r="BA219" i="1"/>
  <c r="AZ219" i="1"/>
  <c r="BI219" i="1" s="1"/>
  <c r="AY219" i="1"/>
  <c r="BK218" i="1"/>
  <c r="BJ218" i="1"/>
  <c r="BH218" i="1"/>
  <c r="BG218" i="1"/>
  <c r="BF218" i="1"/>
  <c r="BE218" i="1"/>
  <c r="BD218" i="1"/>
  <c r="BC218" i="1"/>
  <c r="BB218" i="1"/>
  <c r="BA218" i="1"/>
  <c r="AZ218" i="1"/>
  <c r="BI218" i="1" s="1"/>
  <c r="AY218" i="1"/>
  <c r="BK217" i="1"/>
  <c r="BJ217" i="1"/>
  <c r="BH217" i="1"/>
  <c r="BG217" i="1"/>
  <c r="BF217" i="1"/>
  <c r="BE217" i="1"/>
  <c r="BD217" i="1"/>
  <c r="BC217" i="1"/>
  <c r="BB217" i="1"/>
  <c r="BA217" i="1"/>
  <c r="AZ217" i="1"/>
  <c r="BI217" i="1" s="1"/>
  <c r="AY217" i="1"/>
  <c r="BK216" i="1"/>
  <c r="BJ216" i="1"/>
  <c r="BH216" i="1"/>
  <c r="BG216" i="1"/>
  <c r="BF216" i="1"/>
  <c r="BE216" i="1"/>
  <c r="BD216" i="1"/>
  <c r="BC216" i="1"/>
  <c r="BB216" i="1"/>
  <c r="BA216" i="1"/>
  <c r="AZ216" i="1"/>
  <c r="AY216" i="1"/>
  <c r="BK215" i="1"/>
  <c r="BJ215" i="1"/>
  <c r="BH215" i="1"/>
  <c r="BG215" i="1"/>
  <c r="BF215" i="1"/>
  <c r="BE215" i="1"/>
  <c r="BD215" i="1"/>
  <c r="BC215" i="1"/>
  <c r="BB215" i="1"/>
  <c r="BA215" i="1"/>
  <c r="AZ215" i="1"/>
  <c r="BI215" i="1" s="1"/>
  <c r="AY215" i="1"/>
  <c r="BK214" i="1"/>
  <c r="BJ214" i="1"/>
  <c r="BH214" i="1"/>
  <c r="BG214" i="1"/>
  <c r="BF214" i="1"/>
  <c r="BE214" i="1"/>
  <c r="BD214" i="1"/>
  <c r="BC214" i="1"/>
  <c r="BB214" i="1"/>
  <c r="BA214" i="1"/>
  <c r="AZ214" i="1"/>
  <c r="BI214" i="1" s="1"/>
  <c r="AY214" i="1"/>
  <c r="BK213" i="1"/>
  <c r="BJ213" i="1"/>
  <c r="BH213" i="1"/>
  <c r="BG213" i="1"/>
  <c r="BF213" i="1"/>
  <c r="BE213" i="1"/>
  <c r="BD213" i="1"/>
  <c r="BC213" i="1"/>
  <c r="BB213" i="1"/>
  <c r="BA213" i="1"/>
  <c r="AZ213" i="1"/>
  <c r="AY213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K211" i="1"/>
  <c r="BJ211" i="1"/>
  <c r="BH211" i="1"/>
  <c r="BG211" i="1"/>
  <c r="BF211" i="1"/>
  <c r="BE211" i="1"/>
  <c r="BD211" i="1"/>
  <c r="BC211" i="1"/>
  <c r="BB211" i="1"/>
  <c r="BA211" i="1"/>
  <c r="AZ211" i="1"/>
  <c r="BI211" i="1" s="1"/>
  <c r="AY211" i="1"/>
  <c r="BK210" i="1"/>
  <c r="BJ210" i="1"/>
  <c r="BH210" i="1"/>
  <c r="BG210" i="1"/>
  <c r="BF210" i="1"/>
  <c r="BE210" i="1"/>
  <c r="BD210" i="1"/>
  <c r="BC210" i="1"/>
  <c r="BB210" i="1"/>
  <c r="BA210" i="1"/>
  <c r="AZ210" i="1"/>
  <c r="BI210" i="1" s="1"/>
  <c r="AY210" i="1"/>
  <c r="BK209" i="1"/>
  <c r="BJ209" i="1"/>
  <c r="BH209" i="1"/>
  <c r="BG209" i="1"/>
  <c r="BF209" i="1"/>
  <c r="BE209" i="1"/>
  <c r="BD209" i="1"/>
  <c r="BC209" i="1"/>
  <c r="BB209" i="1"/>
  <c r="BA209" i="1"/>
  <c r="AZ209" i="1"/>
  <c r="BI209" i="1" s="1"/>
  <c r="AY209" i="1"/>
  <c r="BK208" i="1"/>
  <c r="BJ208" i="1"/>
  <c r="BH208" i="1"/>
  <c r="BG208" i="1"/>
  <c r="BF208" i="1"/>
  <c r="BE208" i="1"/>
  <c r="BD208" i="1"/>
  <c r="BC208" i="1"/>
  <c r="BB208" i="1"/>
  <c r="BI208" i="1" s="1"/>
  <c r="BA208" i="1"/>
  <c r="AZ208" i="1"/>
  <c r="AY208" i="1"/>
  <c r="BK207" i="1"/>
  <c r="BJ207" i="1"/>
  <c r="BH207" i="1"/>
  <c r="BG207" i="1"/>
  <c r="BF207" i="1"/>
  <c r="BE207" i="1"/>
  <c r="BD207" i="1"/>
  <c r="BC207" i="1"/>
  <c r="BB207" i="1"/>
  <c r="BA207" i="1"/>
  <c r="AZ207" i="1"/>
  <c r="BI207" i="1" s="1"/>
  <c r="AY207" i="1"/>
  <c r="BK206" i="1"/>
  <c r="BJ206" i="1"/>
  <c r="BH206" i="1"/>
  <c r="BG206" i="1"/>
  <c r="BF206" i="1"/>
  <c r="BE206" i="1"/>
  <c r="BD206" i="1"/>
  <c r="BC206" i="1"/>
  <c r="BB206" i="1"/>
  <c r="BA206" i="1"/>
  <c r="AZ206" i="1"/>
  <c r="BI206" i="1" s="1"/>
  <c r="AY206" i="1"/>
  <c r="BK205" i="1"/>
  <c r="BJ205" i="1"/>
  <c r="BH205" i="1"/>
  <c r="BG205" i="1"/>
  <c r="BF205" i="1"/>
  <c r="BE205" i="1"/>
  <c r="BD205" i="1"/>
  <c r="BC205" i="1"/>
  <c r="BB205" i="1"/>
  <c r="BA205" i="1"/>
  <c r="AZ205" i="1"/>
  <c r="BI205" i="1" s="1"/>
  <c r="AY205" i="1"/>
  <c r="BK204" i="1"/>
  <c r="BJ204" i="1"/>
  <c r="BH204" i="1"/>
  <c r="BG204" i="1"/>
  <c r="BF204" i="1"/>
  <c r="BE204" i="1"/>
  <c r="BD204" i="1"/>
  <c r="BC204" i="1"/>
  <c r="BB204" i="1"/>
  <c r="BA204" i="1"/>
  <c r="AZ204" i="1"/>
  <c r="BI204" i="1" s="1"/>
  <c r="AY204" i="1"/>
  <c r="BK203" i="1"/>
  <c r="BJ203" i="1"/>
  <c r="BH203" i="1"/>
  <c r="BG203" i="1"/>
  <c r="BF203" i="1"/>
  <c r="BE203" i="1"/>
  <c r="BD203" i="1"/>
  <c r="BC203" i="1"/>
  <c r="BB203" i="1"/>
  <c r="BA203" i="1"/>
  <c r="AZ203" i="1"/>
  <c r="AY203" i="1"/>
  <c r="BK202" i="1"/>
  <c r="BJ202" i="1"/>
  <c r="BH202" i="1"/>
  <c r="BG202" i="1"/>
  <c r="BF202" i="1"/>
  <c r="BE202" i="1"/>
  <c r="BD202" i="1"/>
  <c r="BC202" i="1"/>
  <c r="BB202" i="1"/>
  <c r="BA202" i="1"/>
  <c r="AZ202" i="1"/>
  <c r="BI202" i="1" s="1"/>
  <c r="AY202" i="1"/>
  <c r="BK201" i="1"/>
  <c r="BJ201" i="1"/>
  <c r="BH201" i="1"/>
  <c r="BG201" i="1"/>
  <c r="BF201" i="1"/>
  <c r="BE201" i="1"/>
  <c r="BD201" i="1"/>
  <c r="BC201" i="1"/>
  <c r="BB201" i="1"/>
  <c r="BA201" i="1"/>
  <c r="AZ201" i="1"/>
  <c r="BI201" i="1" s="1"/>
  <c r="AY201" i="1"/>
  <c r="BK200" i="1"/>
  <c r="BJ200" i="1"/>
  <c r="BH200" i="1"/>
  <c r="BG200" i="1"/>
  <c r="BF200" i="1"/>
  <c r="BE200" i="1"/>
  <c r="BD200" i="1"/>
  <c r="BC200" i="1"/>
  <c r="BB200" i="1"/>
  <c r="BA200" i="1"/>
  <c r="AZ200" i="1"/>
  <c r="BI200" i="1" s="1"/>
  <c r="AY200" i="1"/>
  <c r="BK199" i="1"/>
  <c r="BJ199" i="1"/>
  <c r="BH199" i="1"/>
  <c r="BG199" i="1"/>
  <c r="BF199" i="1"/>
  <c r="BE199" i="1"/>
  <c r="BD199" i="1"/>
  <c r="BC199" i="1"/>
  <c r="BB199" i="1"/>
  <c r="BA199" i="1"/>
  <c r="AZ199" i="1"/>
  <c r="BI199" i="1" s="1"/>
  <c r="AY199" i="1"/>
  <c r="BK198" i="1"/>
  <c r="BJ198" i="1"/>
  <c r="BH198" i="1"/>
  <c r="BG198" i="1"/>
  <c r="BF198" i="1"/>
  <c r="BE198" i="1"/>
  <c r="BD198" i="1"/>
  <c r="BC198" i="1"/>
  <c r="BB198" i="1"/>
  <c r="BA198" i="1"/>
  <c r="AZ198" i="1"/>
  <c r="BI198" i="1" s="1"/>
  <c r="AY198" i="1"/>
  <c r="BK197" i="1"/>
  <c r="BJ197" i="1"/>
  <c r="BH197" i="1"/>
  <c r="BG197" i="1"/>
  <c r="BF197" i="1"/>
  <c r="BE197" i="1"/>
  <c r="BD197" i="1"/>
  <c r="BC197" i="1"/>
  <c r="BB197" i="1"/>
  <c r="BA197" i="1"/>
  <c r="AZ197" i="1"/>
  <c r="BI197" i="1" s="1"/>
  <c r="AY197" i="1"/>
  <c r="BK196" i="1"/>
  <c r="BJ196" i="1"/>
  <c r="BH196" i="1"/>
  <c r="BG196" i="1"/>
  <c r="BF196" i="1"/>
  <c r="BE196" i="1"/>
  <c r="BD196" i="1"/>
  <c r="BC196" i="1"/>
  <c r="BB196" i="1"/>
  <c r="BA196" i="1"/>
  <c r="AZ196" i="1"/>
  <c r="BI196" i="1" s="1"/>
  <c r="AY196" i="1"/>
  <c r="BK195" i="1"/>
  <c r="BJ195" i="1"/>
  <c r="BH195" i="1"/>
  <c r="BG195" i="1"/>
  <c r="BF195" i="1"/>
  <c r="BE195" i="1"/>
  <c r="BD195" i="1"/>
  <c r="BC195" i="1"/>
  <c r="BB195" i="1"/>
  <c r="BA195" i="1"/>
  <c r="AZ195" i="1"/>
  <c r="BI195" i="1" s="1"/>
  <c r="AY195" i="1"/>
  <c r="BK194" i="1"/>
  <c r="BJ194" i="1"/>
  <c r="BH194" i="1"/>
  <c r="BG194" i="1"/>
  <c r="BF194" i="1"/>
  <c r="BE194" i="1"/>
  <c r="BD194" i="1"/>
  <c r="BC194" i="1"/>
  <c r="BB194" i="1"/>
  <c r="BA194" i="1"/>
  <c r="AZ194" i="1"/>
  <c r="BI194" i="1" s="1"/>
  <c r="AY194" i="1"/>
  <c r="BK193" i="1"/>
  <c r="BJ193" i="1"/>
  <c r="BH193" i="1"/>
  <c r="BG193" i="1"/>
  <c r="BF193" i="1"/>
  <c r="BE193" i="1"/>
  <c r="BD193" i="1"/>
  <c r="BC193" i="1"/>
  <c r="BB193" i="1"/>
  <c r="BA193" i="1"/>
  <c r="AZ193" i="1"/>
  <c r="BI193" i="1" s="1"/>
  <c r="AY193" i="1"/>
  <c r="BK192" i="1"/>
  <c r="BJ192" i="1"/>
  <c r="BH192" i="1"/>
  <c r="BG192" i="1"/>
  <c r="BF192" i="1"/>
  <c r="BE192" i="1"/>
  <c r="BD192" i="1"/>
  <c r="BC192" i="1"/>
  <c r="BB192" i="1"/>
  <c r="BA192" i="1"/>
  <c r="AZ192" i="1"/>
  <c r="BI192" i="1" s="1"/>
  <c r="AY192" i="1"/>
  <c r="BK191" i="1"/>
  <c r="BJ191" i="1"/>
  <c r="BH191" i="1"/>
  <c r="BG191" i="1"/>
  <c r="BF191" i="1"/>
  <c r="BE191" i="1"/>
  <c r="BD191" i="1"/>
  <c r="BC191" i="1"/>
  <c r="BB191" i="1"/>
  <c r="BA191" i="1"/>
  <c r="AZ191" i="1"/>
  <c r="BI191" i="1" s="1"/>
  <c r="AY191" i="1"/>
  <c r="BK190" i="1"/>
  <c r="BJ190" i="1"/>
  <c r="BH190" i="1"/>
  <c r="BG190" i="1"/>
  <c r="BF190" i="1"/>
  <c r="BE190" i="1"/>
  <c r="BD190" i="1"/>
  <c r="BC190" i="1"/>
  <c r="BB190" i="1"/>
  <c r="BA190" i="1"/>
  <c r="AZ190" i="1"/>
  <c r="AY190" i="1"/>
  <c r="BK189" i="1"/>
  <c r="BJ189" i="1"/>
  <c r="BH189" i="1"/>
  <c r="BG189" i="1"/>
  <c r="BF189" i="1"/>
  <c r="BE189" i="1"/>
  <c r="BD189" i="1"/>
  <c r="BC189" i="1"/>
  <c r="BB189" i="1"/>
  <c r="BA189" i="1"/>
  <c r="AZ189" i="1"/>
  <c r="BI189" i="1" s="1"/>
  <c r="AY189" i="1"/>
  <c r="BK188" i="1"/>
  <c r="BJ188" i="1"/>
  <c r="BH188" i="1"/>
  <c r="BG188" i="1"/>
  <c r="BF188" i="1"/>
  <c r="BE188" i="1"/>
  <c r="BD188" i="1"/>
  <c r="BC188" i="1"/>
  <c r="BB188" i="1"/>
  <c r="BA188" i="1"/>
  <c r="AZ188" i="1"/>
  <c r="BI188" i="1" s="1"/>
  <c r="AY188" i="1"/>
  <c r="BK187" i="1"/>
  <c r="BJ187" i="1"/>
  <c r="BH187" i="1"/>
  <c r="BG187" i="1"/>
  <c r="BF187" i="1"/>
  <c r="BE187" i="1"/>
  <c r="BD187" i="1"/>
  <c r="BC187" i="1"/>
  <c r="BB187" i="1"/>
  <c r="BA187" i="1"/>
  <c r="AZ187" i="1"/>
  <c r="BI187" i="1" s="1"/>
  <c r="AY187" i="1"/>
  <c r="BK186" i="1"/>
  <c r="BJ186" i="1"/>
  <c r="BH186" i="1"/>
  <c r="BG186" i="1"/>
  <c r="BF186" i="1"/>
  <c r="BE186" i="1"/>
  <c r="BD186" i="1"/>
  <c r="BC186" i="1"/>
  <c r="BB186" i="1"/>
  <c r="BA186" i="1"/>
  <c r="AZ186" i="1"/>
  <c r="BI186" i="1" s="1"/>
  <c r="AY186" i="1"/>
  <c r="BK185" i="1"/>
  <c r="BJ185" i="1"/>
  <c r="BH185" i="1"/>
  <c r="BG185" i="1"/>
  <c r="BF185" i="1"/>
  <c r="BE185" i="1"/>
  <c r="BD185" i="1"/>
  <c r="BC185" i="1"/>
  <c r="BB185" i="1"/>
  <c r="BA185" i="1"/>
  <c r="AZ185" i="1"/>
  <c r="BI185" i="1" s="1"/>
  <c r="AY185" i="1"/>
  <c r="BK184" i="1"/>
  <c r="BJ184" i="1"/>
  <c r="BH184" i="1"/>
  <c r="BG184" i="1"/>
  <c r="BF184" i="1"/>
  <c r="BE184" i="1"/>
  <c r="BD184" i="1"/>
  <c r="BC184" i="1"/>
  <c r="BB184" i="1"/>
  <c r="BA184" i="1"/>
  <c r="AZ184" i="1"/>
  <c r="BI184" i="1" s="1"/>
  <c r="AY184" i="1"/>
  <c r="BK183" i="1"/>
  <c r="BJ183" i="1"/>
  <c r="BH183" i="1"/>
  <c r="BG183" i="1"/>
  <c r="BF183" i="1"/>
  <c r="BE183" i="1"/>
  <c r="BD183" i="1"/>
  <c r="BC183" i="1"/>
  <c r="BB183" i="1"/>
  <c r="BA183" i="1"/>
  <c r="AZ183" i="1"/>
  <c r="BI183" i="1" s="1"/>
  <c r="AY183" i="1"/>
  <c r="BK182" i="1"/>
  <c r="BJ182" i="1"/>
  <c r="BH182" i="1"/>
  <c r="BG182" i="1"/>
  <c r="BF182" i="1"/>
  <c r="BE182" i="1"/>
  <c r="BD182" i="1"/>
  <c r="BC182" i="1"/>
  <c r="BB182" i="1"/>
  <c r="BA182" i="1"/>
  <c r="AZ182" i="1"/>
  <c r="AY182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BK180" i="1"/>
  <c r="BJ180" i="1"/>
  <c r="BH180" i="1"/>
  <c r="BG180" i="1"/>
  <c r="BF180" i="1"/>
  <c r="BE180" i="1"/>
  <c r="BD180" i="1"/>
  <c r="BC180" i="1"/>
  <c r="BB180" i="1"/>
  <c r="BA180" i="1"/>
  <c r="AZ180" i="1"/>
  <c r="BI180" i="1" s="1"/>
  <c r="AY180" i="1"/>
  <c r="BK179" i="1"/>
  <c r="BJ179" i="1"/>
  <c r="BH179" i="1"/>
  <c r="BG179" i="1"/>
  <c r="BF179" i="1"/>
  <c r="BE179" i="1"/>
  <c r="BD179" i="1"/>
  <c r="BC179" i="1"/>
  <c r="BB179" i="1"/>
  <c r="BA179" i="1"/>
  <c r="AZ179" i="1"/>
  <c r="BI179" i="1" s="1"/>
  <c r="AY179" i="1"/>
  <c r="BK178" i="1"/>
  <c r="BJ178" i="1"/>
  <c r="BH178" i="1"/>
  <c r="BG178" i="1"/>
  <c r="BF178" i="1"/>
  <c r="BE178" i="1"/>
  <c r="BD178" i="1"/>
  <c r="BC178" i="1"/>
  <c r="BB178" i="1"/>
  <c r="BA178" i="1"/>
  <c r="AZ178" i="1"/>
  <c r="BI178" i="1" s="1"/>
  <c r="AY178" i="1"/>
  <c r="BK177" i="1"/>
  <c r="BJ177" i="1"/>
  <c r="BH177" i="1"/>
  <c r="BG177" i="1"/>
  <c r="BF177" i="1"/>
  <c r="BE177" i="1"/>
  <c r="BD177" i="1"/>
  <c r="BC177" i="1"/>
  <c r="BB177" i="1"/>
  <c r="BA177" i="1"/>
  <c r="AZ177" i="1"/>
  <c r="BI177" i="1" s="1"/>
  <c r="AY177" i="1"/>
  <c r="BK176" i="1"/>
  <c r="BJ176" i="1"/>
  <c r="BH176" i="1"/>
  <c r="BG176" i="1"/>
  <c r="BF176" i="1"/>
  <c r="BE176" i="1"/>
  <c r="BD176" i="1"/>
  <c r="BC176" i="1"/>
  <c r="BB176" i="1"/>
  <c r="BA176" i="1"/>
  <c r="AZ176" i="1"/>
  <c r="BI176" i="1" s="1"/>
  <c r="AY176" i="1"/>
  <c r="BK175" i="1"/>
  <c r="BJ175" i="1"/>
  <c r="BH175" i="1"/>
  <c r="BG175" i="1"/>
  <c r="BF175" i="1"/>
  <c r="BE175" i="1"/>
  <c r="BD175" i="1"/>
  <c r="BC175" i="1"/>
  <c r="BB175" i="1"/>
  <c r="BA175" i="1"/>
  <c r="AZ175" i="1"/>
  <c r="BI175" i="1" s="1"/>
  <c r="AY175" i="1"/>
  <c r="BK174" i="1"/>
  <c r="BJ174" i="1"/>
  <c r="BH174" i="1"/>
  <c r="BG174" i="1"/>
  <c r="BF174" i="1"/>
  <c r="BE174" i="1"/>
  <c r="BD174" i="1"/>
  <c r="BC174" i="1"/>
  <c r="BB174" i="1"/>
  <c r="BA174" i="1"/>
  <c r="AZ174" i="1"/>
  <c r="AY174" i="1"/>
  <c r="BK173" i="1"/>
  <c r="BJ173" i="1"/>
  <c r="BH173" i="1"/>
  <c r="BG173" i="1"/>
  <c r="BF173" i="1"/>
  <c r="BE173" i="1"/>
  <c r="BD173" i="1"/>
  <c r="BC173" i="1"/>
  <c r="BB173" i="1"/>
  <c r="BA173" i="1"/>
  <c r="AZ173" i="1"/>
  <c r="BI173" i="1" s="1"/>
  <c r="AY173" i="1"/>
  <c r="BK172" i="1"/>
  <c r="BJ172" i="1"/>
  <c r="BH172" i="1"/>
  <c r="BG172" i="1"/>
  <c r="BF172" i="1"/>
  <c r="BE172" i="1"/>
  <c r="BD172" i="1"/>
  <c r="BC172" i="1"/>
  <c r="BB172" i="1"/>
  <c r="BA172" i="1"/>
  <c r="AZ172" i="1"/>
  <c r="BI172" i="1" s="1"/>
  <c r="AY172" i="1"/>
  <c r="BK171" i="1"/>
  <c r="BJ171" i="1"/>
  <c r="BH171" i="1"/>
  <c r="BG171" i="1"/>
  <c r="BF171" i="1"/>
  <c r="BE171" i="1"/>
  <c r="BD171" i="1"/>
  <c r="BC171" i="1"/>
  <c r="BB171" i="1"/>
  <c r="BA171" i="1"/>
  <c r="AZ171" i="1"/>
  <c r="BI171" i="1" s="1"/>
  <c r="AY171" i="1"/>
  <c r="BK170" i="1"/>
  <c r="BJ170" i="1"/>
  <c r="BH170" i="1"/>
  <c r="BG170" i="1"/>
  <c r="BF170" i="1"/>
  <c r="BE170" i="1"/>
  <c r="BD170" i="1"/>
  <c r="BC170" i="1"/>
  <c r="BB170" i="1"/>
  <c r="BA170" i="1"/>
  <c r="AZ170" i="1"/>
  <c r="BI170" i="1" s="1"/>
  <c r="AY170" i="1"/>
  <c r="BK169" i="1"/>
  <c r="BJ169" i="1"/>
  <c r="BH169" i="1"/>
  <c r="BG169" i="1"/>
  <c r="BF169" i="1"/>
  <c r="BE169" i="1"/>
  <c r="BD169" i="1"/>
  <c r="BC169" i="1"/>
  <c r="BB169" i="1"/>
  <c r="BA169" i="1"/>
  <c r="AZ169" i="1"/>
  <c r="BI169" i="1" s="1"/>
  <c r="AY169" i="1"/>
  <c r="BK168" i="1"/>
  <c r="BJ168" i="1"/>
  <c r="BH168" i="1"/>
  <c r="BG168" i="1"/>
  <c r="BF168" i="1"/>
  <c r="BE168" i="1"/>
  <c r="BD168" i="1"/>
  <c r="BC168" i="1"/>
  <c r="BB168" i="1"/>
  <c r="BA168" i="1"/>
  <c r="AZ168" i="1"/>
  <c r="BI168" i="1" s="1"/>
  <c r="AY168" i="1"/>
  <c r="BK167" i="1"/>
  <c r="BJ167" i="1"/>
  <c r="BH167" i="1"/>
  <c r="BG167" i="1"/>
  <c r="BF167" i="1"/>
  <c r="BE167" i="1"/>
  <c r="BD167" i="1"/>
  <c r="BC167" i="1"/>
  <c r="BB167" i="1"/>
  <c r="BA167" i="1"/>
  <c r="AZ167" i="1"/>
  <c r="BI167" i="1" s="1"/>
  <c r="AY167" i="1"/>
  <c r="BK166" i="1"/>
  <c r="BJ166" i="1"/>
  <c r="BH166" i="1"/>
  <c r="BG166" i="1"/>
  <c r="BF166" i="1"/>
  <c r="BE166" i="1"/>
  <c r="BD166" i="1"/>
  <c r="BC166" i="1"/>
  <c r="BB166" i="1"/>
  <c r="BA166" i="1"/>
  <c r="AZ166" i="1"/>
  <c r="AY166" i="1"/>
  <c r="BK165" i="1"/>
  <c r="BJ165" i="1"/>
  <c r="BH165" i="1"/>
  <c r="BG165" i="1"/>
  <c r="BF165" i="1"/>
  <c r="BE165" i="1"/>
  <c r="BD165" i="1"/>
  <c r="BC165" i="1"/>
  <c r="BB165" i="1"/>
  <c r="BA165" i="1"/>
  <c r="AZ165" i="1"/>
  <c r="BI165" i="1" s="1"/>
  <c r="AY165" i="1"/>
  <c r="BK164" i="1"/>
  <c r="BJ164" i="1"/>
  <c r="BH164" i="1"/>
  <c r="BG164" i="1"/>
  <c r="BF164" i="1"/>
  <c r="BE164" i="1"/>
  <c r="BD164" i="1"/>
  <c r="BC164" i="1"/>
  <c r="BB164" i="1"/>
  <c r="BA164" i="1"/>
  <c r="AZ164" i="1"/>
  <c r="BI164" i="1" s="1"/>
  <c r="AY164" i="1"/>
  <c r="BK163" i="1"/>
  <c r="BJ163" i="1"/>
  <c r="BH163" i="1"/>
  <c r="BG163" i="1"/>
  <c r="BF163" i="1"/>
  <c r="BE163" i="1"/>
  <c r="BD163" i="1"/>
  <c r="BC163" i="1"/>
  <c r="BB163" i="1"/>
  <c r="BA163" i="1"/>
  <c r="AZ163" i="1"/>
  <c r="BI163" i="1" s="1"/>
  <c r="AY163" i="1"/>
  <c r="BK162" i="1"/>
  <c r="BJ162" i="1"/>
  <c r="BH162" i="1"/>
  <c r="BG162" i="1"/>
  <c r="BF162" i="1"/>
  <c r="BE162" i="1"/>
  <c r="BD162" i="1"/>
  <c r="BC162" i="1"/>
  <c r="BB162" i="1"/>
  <c r="BA162" i="1"/>
  <c r="AZ162" i="1"/>
  <c r="BI162" i="1" s="1"/>
  <c r="AY162" i="1"/>
  <c r="BK161" i="1"/>
  <c r="BJ161" i="1"/>
  <c r="BH161" i="1"/>
  <c r="BG161" i="1"/>
  <c r="BF161" i="1"/>
  <c r="BE161" i="1"/>
  <c r="BD161" i="1"/>
  <c r="BC161" i="1"/>
  <c r="BB161" i="1"/>
  <c r="BA161" i="1"/>
  <c r="AZ161" i="1"/>
  <c r="BI161" i="1" s="1"/>
  <c r="AY161" i="1"/>
  <c r="BK160" i="1"/>
  <c r="BJ160" i="1"/>
  <c r="BH160" i="1"/>
  <c r="BG160" i="1"/>
  <c r="BF160" i="1"/>
  <c r="BE160" i="1"/>
  <c r="BD160" i="1"/>
  <c r="BC160" i="1"/>
  <c r="BB160" i="1"/>
  <c r="BA160" i="1"/>
  <c r="AZ160" i="1"/>
  <c r="BI160" i="1" s="1"/>
  <c r="AY160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BK158" i="1"/>
  <c r="BJ158" i="1"/>
  <c r="BH158" i="1"/>
  <c r="BG158" i="1"/>
  <c r="BF158" i="1"/>
  <c r="BE158" i="1"/>
  <c r="BD158" i="1"/>
  <c r="BC158" i="1"/>
  <c r="BB158" i="1"/>
  <c r="BA158" i="1"/>
  <c r="AZ158" i="1"/>
  <c r="AY158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BK156" i="1"/>
  <c r="BJ156" i="1"/>
  <c r="BH156" i="1"/>
  <c r="BG156" i="1"/>
  <c r="BF156" i="1"/>
  <c r="BE156" i="1"/>
  <c r="BD156" i="1"/>
  <c r="BC156" i="1"/>
  <c r="BB156" i="1"/>
  <c r="BA156" i="1"/>
  <c r="AZ156" i="1"/>
  <c r="BI156" i="1" s="1"/>
  <c r="AY156" i="1"/>
  <c r="BK155" i="1"/>
  <c r="BJ155" i="1"/>
  <c r="BH155" i="1"/>
  <c r="BG155" i="1"/>
  <c r="BF155" i="1"/>
  <c r="BE155" i="1"/>
  <c r="BD155" i="1"/>
  <c r="BC155" i="1"/>
  <c r="BB155" i="1"/>
  <c r="BA155" i="1"/>
  <c r="AZ155" i="1"/>
  <c r="BI155" i="1" s="1"/>
  <c r="AY155" i="1"/>
  <c r="BK154" i="1"/>
  <c r="BJ154" i="1"/>
  <c r="BH154" i="1"/>
  <c r="BG154" i="1"/>
  <c r="BF154" i="1"/>
  <c r="BE154" i="1"/>
  <c r="BD154" i="1"/>
  <c r="BC154" i="1"/>
  <c r="BB154" i="1"/>
  <c r="BA154" i="1"/>
  <c r="AZ154" i="1"/>
  <c r="BI154" i="1" s="1"/>
  <c r="AY154" i="1"/>
  <c r="BK153" i="1"/>
  <c r="BJ153" i="1"/>
  <c r="BH153" i="1"/>
  <c r="BG153" i="1"/>
  <c r="BF153" i="1"/>
  <c r="BE153" i="1"/>
  <c r="BD153" i="1"/>
  <c r="BC153" i="1"/>
  <c r="BB153" i="1"/>
  <c r="BA153" i="1"/>
  <c r="AZ153" i="1"/>
  <c r="BI153" i="1" s="1"/>
  <c r="AY153" i="1"/>
  <c r="BK152" i="1"/>
  <c r="BJ152" i="1"/>
  <c r="BH152" i="1"/>
  <c r="BG152" i="1"/>
  <c r="BF152" i="1"/>
  <c r="BE152" i="1"/>
  <c r="BD152" i="1"/>
  <c r="BC152" i="1"/>
  <c r="BB152" i="1"/>
  <c r="BA152" i="1"/>
  <c r="AZ152" i="1"/>
  <c r="BI152" i="1" s="1"/>
  <c r="AY152" i="1"/>
  <c r="BK151" i="1"/>
  <c r="BJ151" i="1"/>
  <c r="BH151" i="1"/>
  <c r="BG151" i="1"/>
  <c r="BF151" i="1"/>
  <c r="BE151" i="1"/>
  <c r="BD151" i="1"/>
  <c r="BC151" i="1"/>
  <c r="BB151" i="1"/>
  <c r="BA151" i="1"/>
  <c r="AZ151" i="1"/>
  <c r="BI151" i="1" s="1"/>
  <c r="AY151" i="1"/>
  <c r="BK150" i="1"/>
  <c r="BJ150" i="1"/>
  <c r="BH150" i="1"/>
  <c r="BG150" i="1"/>
  <c r="BF150" i="1"/>
  <c r="BE150" i="1"/>
  <c r="BD150" i="1"/>
  <c r="BC150" i="1"/>
  <c r="BB150" i="1"/>
  <c r="BA150" i="1"/>
  <c r="AZ150" i="1"/>
  <c r="AY150" i="1"/>
  <c r="BK149" i="1"/>
  <c r="BJ149" i="1"/>
  <c r="BH149" i="1"/>
  <c r="BG149" i="1"/>
  <c r="BF149" i="1"/>
  <c r="BE149" i="1"/>
  <c r="BD149" i="1"/>
  <c r="BC149" i="1"/>
  <c r="BB149" i="1"/>
  <c r="BA149" i="1"/>
  <c r="AZ149" i="1"/>
  <c r="BI149" i="1" s="1"/>
  <c r="AY149" i="1"/>
  <c r="BK148" i="1"/>
  <c r="BJ148" i="1"/>
  <c r="BH148" i="1"/>
  <c r="BG148" i="1"/>
  <c r="BF148" i="1"/>
  <c r="BE148" i="1"/>
  <c r="BD148" i="1"/>
  <c r="BC148" i="1"/>
  <c r="BB148" i="1"/>
  <c r="BA148" i="1"/>
  <c r="AZ148" i="1"/>
  <c r="BI148" i="1" s="1"/>
  <c r="AY148" i="1"/>
  <c r="BK147" i="1"/>
  <c r="BJ147" i="1"/>
  <c r="BH147" i="1"/>
  <c r="BG147" i="1"/>
  <c r="BF147" i="1"/>
  <c r="BE147" i="1"/>
  <c r="BD147" i="1"/>
  <c r="BC147" i="1"/>
  <c r="BB147" i="1"/>
  <c r="BA147" i="1"/>
  <c r="AZ147" i="1"/>
  <c r="BI147" i="1" s="1"/>
  <c r="AY147" i="1"/>
  <c r="BK146" i="1"/>
  <c r="BJ146" i="1"/>
  <c r="BH146" i="1"/>
  <c r="BG146" i="1"/>
  <c r="BF146" i="1"/>
  <c r="BE146" i="1"/>
  <c r="BD146" i="1"/>
  <c r="BC146" i="1"/>
  <c r="BB146" i="1"/>
  <c r="BA146" i="1"/>
  <c r="AZ146" i="1"/>
  <c r="BI146" i="1" s="1"/>
  <c r="AY146" i="1"/>
  <c r="BK145" i="1"/>
  <c r="BJ145" i="1"/>
  <c r="BH145" i="1"/>
  <c r="BG145" i="1"/>
  <c r="BF145" i="1"/>
  <c r="BE145" i="1"/>
  <c r="BD145" i="1"/>
  <c r="BC145" i="1"/>
  <c r="BB145" i="1"/>
  <c r="BA145" i="1"/>
  <c r="AZ145" i="1"/>
  <c r="BI145" i="1" s="1"/>
  <c r="AY145" i="1"/>
  <c r="BK144" i="1"/>
  <c r="BJ144" i="1"/>
  <c r="BH144" i="1"/>
  <c r="BG144" i="1"/>
  <c r="BF144" i="1"/>
  <c r="BE144" i="1"/>
  <c r="BD144" i="1"/>
  <c r="BC144" i="1"/>
  <c r="BB144" i="1"/>
  <c r="BA144" i="1"/>
  <c r="AZ144" i="1"/>
  <c r="BI144" i="1" s="1"/>
  <c r="AY144" i="1"/>
  <c r="BK143" i="1"/>
  <c r="BJ143" i="1"/>
  <c r="BH143" i="1"/>
  <c r="BG143" i="1"/>
  <c r="BF143" i="1"/>
  <c r="BE143" i="1"/>
  <c r="BD143" i="1"/>
  <c r="BC143" i="1"/>
  <c r="BB143" i="1"/>
  <c r="BA143" i="1"/>
  <c r="AZ143" i="1"/>
  <c r="BI143" i="1" s="1"/>
  <c r="AY143" i="1"/>
  <c r="BK142" i="1"/>
  <c r="BJ142" i="1"/>
  <c r="BH142" i="1"/>
  <c r="BG142" i="1"/>
  <c r="BF142" i="1"/>
  <c r="BE142" i="1"/>
  <c r="BD142" i="1"/>
  <c r="BC142" i="1"/>
  <c r="BB142" i="1"/>
  <c r="BI142" i="1" s="1"/>
  <c r="BA142" i="1"/>
  <c r="AZ142" i="1"/>
  <c r="AY142" i="1"/>
  <c r="BK141" i="1"/>
  <c r="BJ141" i="1"/>
  <c r="BH141" i="1"/>
  <c r="BG141" i="1"/>
  <c r="BF141" i="1"/>
  <c r="BE141" i="1"/>
  <c r="BD141" i="1"/>
  <c r="BC141" i="1"/>
  <c r="BB141" i="1"/>
  <c r="BA141" i="1"/>
  <c r="AZ141" i="1"/>
  <c r="BI141" i="1" s="1"/>
  <c r="AY141" i="1"/>
  <c r="BK140" i="1"/>
  <c r="BJ140" i="1"/>
  <c r="BH140" i="1"/>
  <c r="BG140" i="1"/>
  <c r="BF140" i="1"/>
  <c r="BE140" i="1"/>
  <c r="BD140" i="1"/>
  <c r="BC140" i="1"/>
  <c r="BB140" i="1"/>
  <c r="BA140" i="1"/>
  <c r="AZ140" i="1"/>
  <c r="BI140" i="1" s="1"/>
  <c r="AY140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BK138" i="1"/>
  <c r="BJ138" i="1"/>
  <c r="BH138" i="1"/>
  <c r="BG138" i="1"/>
  <c r="BF138" i="1"/>
  <c r="BE138" i="1"/>
  <c r="BD138" i="1"/>
  <c r="BC138" i="1"/>
  <c r="BB138" i="1"/>
  <c r="BA138" i="1"/>
  <c r="AZ138" i="1"/>
  <c r="BI138" i="1" s="1"/>
  <c r="AY138" i="1"/>
  <c r="BK137" i="1"/>
  <c r="BJ137" i="1"/>
  <c r="BH137" i="1"/>
  <c r="BG137" i="1"/>
  <c r="BF137" i="1"/>
  <c r="BE137" i="1"/>
  <c r="BD137" i="1"/>
  <c r="BC137" i="1"/>
  <c r="BB137" i="1"/>
  <c r="BA137" i="1"/>
  <c r="AZ137" i="1"/>
  <c r="BI137" i="1" s="1"/>
  <c r="AY137" i="1"/>
  <c r="BK136" i="1"/>
  <c r="BJ136" i="1"/>
  <c r="BH136" i="1"/>
  <c r="BG136" i="1"/>
  <c r="BF136" i="1"/>
  <c r="BE136" i="1"/>
  <c r="BD136" i="1"/>
  <c r="BC136" i="1"/>
  <c r="BB136" i="1"/>
  <c r="BA136" i="1"/>
  <c r="AZ136" i="1"/>
  <c r="BI136" i="1" s="1"/>
  <c r="AY136" i="1"/>
  <c r="BK135" i="1"/>
  <c r="BJ135" i="1"/>
  <c r="BH135" i="1"/>
  <c r="BG135" i="1"/>
  <c r="BF135" i="1"/>
  <c r="BE135" i="1"/>
  <c r="BD135" i="1"/>
  <c r="BC135" i="1"/>
  <c r="BB135" i="1"/>
  <c r="BA135" i="1"/>
  <c r="AZ135" i="1"/>
  <c r="BI135" i="1" s="1"/>
  <c r="AY135" i="1"/>
  <c r="BK134" i="1"/>
  <c r="BJ134" i="1"/>
  <c r="BH134" i="1"/>
  <c r="BG134" i="1"/>
  <c r="BF134" i="1"/>
  <c r="BE134" i="1"/>
  <c r="BD134" i="1"/>
  <c r="BC134" i="1"/>
  <c r="BB134" i="1"/>
  <c r="BI134" i="1" s="1"/>
  <c r="BA134" i="1"/>
  <c r="AZ134" i="1"/>
  <c r="AY134" i="1"/>
  <c r="BK133" i="1"/>
  <c r="BJ133" i="1"/>
  <c r="BH133" i="1"/>
  <c r="BG133" i="1"/>
  <c r="BF133" i="1"/>
  <c r="BE133" i="1"/>
  <c r="BD133" i="1"/>
  <c r="BC133" i="1"/>
  <c r="BB133" i="1"/>
  <c r="BA133" i="1"/>
  <c r="AZ133" i="1"/>
  <c r="BI133" i="1" s="1"/>
  <c r="AY133" i="1"/>
  <c r="BK132" i="1"/>
  <c r="BJ132" i="1"/>
  <c r="BH132" i="1"/>
  <c r="BG132" i="1"/>
  <c r="BF132" i="1"/>
  <c r="BE132" i="1"/>
  <c r="BD132" i="1"/>
  <c r="BC132" i="1"/>
  <c r="BB132" i="1"/>
  <c r="BA132" i="1"/>
  <c r="AZ132" i="1"/>
  <c r="BI132" i="1" s="1"/>
  <c r="AY132" i="1"/>
  <c r="BK131" i="1"/>
  <c r="BJ131" i="1"/>
  <c r="BH131" i="1"/>
  <c r="BG131" i="1"/>
  <c r="BF131" i="1"/>
  <c r="BE131" i="1"/>
  <c r="BD131" i="1"/>
  <c r="BC131" i="1"/>
  <c r="BB131" i="1"/>
  <c r="BA131" i="1"/>
  <c r="AZ131" i="1"/>
  <c r="BI131" i="1" s="1"/>
  <c r="AY131" i="1"/>
  <c r="BK130" i="1"/>
  <c r="BJ130" i="1"/>
  <c r="BH130" i="1"/>
  <c r="BG130" i="1"/>
  <c r="BF130" i="1"/>
  <c r="BE130" i="1"/>
  <c r="BD130" i="1"/>
  <c r="BC130" i="1"/>
  <c r="BB130" i="1"/>
  <c r="BA130" i="1"/>
  <c r="AZ130" i="1"/>
  <c r="BI130" i="1" s="1"/>
  <c r="AY130" i="1"/>
  <c r="BK129" i="1"/>
  <c r="BJ129" i="1"/>
  <c r="BH129" i="1"/>
  <c r="BG129" i="1"/>
  <c r="BF129" i="1"/>
  <c r="BE129" i="1"/>
  <c r="BD129" i="1"/>
  <c r="BC129" i="1"/>
  <c r="BB129" i="1"/>
  <c r="BA129" i="1"/>
  <c r="AZ129" i="1"/>
  <c r="BI129" i="1" s="1"/>
  <c r="AY129" i="1"/>
  <c r="BK128" i="1"/>
  <c r="BJ128" i="1"/>
  <c r="BH128" i="1"/>
  <c r="BG128" i="1"/>
  <c r="BF128" i="1"/>
  <c r="BE128" i="1"/>
  <c r="BD128" i="1"/>
  <c r="BC128" i="1"/>
  <c r="BB128" i="1"/>
  <c r="BA128" i="1"/>
  <c r="AZ128" i="1"/>
  <c r="BI128" i="1" s="1"/>
  <c r="AY128" i="1"/>
  <c r="BK127" i="1"/>
  <c r="BJ127" i="1"/>
  <c r="BH127" i="1"/>
  <c r="BG127" i="1"/>
  <c r="BF127" i="1"/>
  <c r="BE127" i="1"/>
  <c r="BD127" i="1"/>
  <c r="BC127" i="1"/>
  <c r="BB127" i="1"/>
  <c r="BA127" i="1"/>
  <c r="AZ127" i="1"/>
  <c r="BI127" i="1" s="1"/>
  <c r="AY127" i="1"/>
  <c r="BK126" i="1"/>
  <c r="BJ126" i="1"/>
  <c r="BH126" i="1"/>
  <c r="BG126" i="1"/>
  <c r="BF126" i="1"/>
  <c r="BE126" i="1"/>
  <c r="BD126" i="1"/>
  <c r="BC126" i="1"/>
  <c r="BB126" i="1"/>
  <c r="BA126" i="1"/>
  <c r="AZ126" i="1"/>
  <c r="AY126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BK124" i="1"/>
  <c r="BJ124" i="1"/>
  <c r="BH124" i="1"/>
  <c r="BG124" i="1"/>
  <c r="BF124" i="1"/>
  <c r="BE124" i="1"/>
  <c r="BD124" i="1"/>
  <c r="BC124" i="1"/>
  <c r="BB124" i="1"/>
  <c r="BA124" i="1"/>
  <c r="AZ124" i="1"/>
  <c r="BI124" i="1" s="1"/>
  <c r="AY124" i="1"/>
  <c r="BK123" i="1"/>
  <c r="BJ123" i="1"/>
  <c r="BH123" i="1"/>
  <c r="BG123" i="1"/>
  <c r="BF123" i="1"/>
  <c r="BE123" i="1"/>
  <c r="BD123" i="1"/>
  <c r="BC123" i="1"/>
  <c r="BB123" i="1"/>
  <c r="BA123" i="1"/>
  <c r="AZ123" i="1"/>
  <c r="BI123" i="1" s="1"/>
  <c r="AY123" i="1"/>
  <c r="BK122" i="1"/>
  <c r="BJ122" i="1"/>
  <c r="BH122" i="1"/>
  <c r="BG122" i="1"/>
  <c r="BF122" i="1"/>
  <c r="BE122" i="1"/>
  <c r="BD122" i="1"/>
  <c r="BC122" i="1"/>
  <c r="BB122" i="1"/>
  <c r="BA122" i="1"/>
  <c r="AZ122" i="1"/>
  <c r="BI122" i="1" s="1"/>
  <c r="AY122" i="1"/>
  <c r="BK121" i="1"/>
  <c r="BJ121" i="1"/>
  <c r="BH121" i="1"/>
  <c r="BG121" i="1"/>
  <c r="BF121" i="1"/>
  <c r="BE121" i="1"/>
  <c r="BD121" i="1"/>
  <c r="BC121" i="1"/>
  <c r="BB121" i="1"/>
  <c r="BA121" i="1"/>
  <c r="AZ121" i="1"/>
  <c r="BI121" i="1" s="1"/>
  <c r="AY121" i="1"/>
  <c r="BK120" i="1"/>
  <c r="BJ120" i="1"/>
  <c r="BH120" i="1"/>
  <c r="BG120" i="1"/>
  <c r="BF120" i="1"/>
  <c r="BE120" i="1"/>
  <c r="BD120" i="1"/>
  <c r="BC120" i="1"/>
  <c r="BB120" i="1"/>
  <c r="BA120" i="1"/>
  <c r="AZ120" i="1"/>
  <c r="BI120" i="1" s="1"/>
  <c r="AY120" i="1"/>
  <c r="BK119" i="1"/>
  <c r="BJ119" i="1"/>
  <c r="BH119" i="1"/>
  <c r="BG119" i="1"/>
  <c r="BF119" i="1"/>
  <c r="BE119" i="1"/>
  <c r="BD119" i="1"/>
  <c r="BC119" i="1"/>
  <c r="BB119" i="1"/>
  <c r="BA119" i="1"/>
  <c r="AZ119" i="1"/>
  <c r="BI119" i="1" s="1"/>
  <c r="AY119" i="1"/>
  <c r="BK118" i="1"/>
  <c r="BJ118" i="1"/>
  <c r="BH118" i="1"/>
  <c r="BG118" i="1"/>
  <c r="BF118" i="1"/>
  <c r="BE118" i="1"/>
  <c r="BD118" i="1"/>
  <c r="BC118" i="1"/>
  <c r="BB118" i="1"/>
  <c r="BA118" i="1"/>
  <c r="AZ118" i="1"/>
  <c r="AY118" i="1"/>
  <c r="BK117" i="1"/>
  <c r="BJ117" i="1"/>
  <c r="BH117" i="1"/>
  <c r="BG117" i="1"/>
  <c r="BF117" i="1"/>
  <c r="BE117" i="1"/>
  <c r="BD117" i="1"/>
  <c r="BC117" i="1"/>
  <c r="BB117" i="1"/>
  <c r="BA117" i="1"/>
  <c r="AZ117" i="1"/>
  <c r="BI117" i="1" s="1"/>
  <c r="AY117" i="1"/>
  <c r="BK116" i="1"/>
  <c r="BJ116" i="1"/>
  <c r="BH116" i="1"/>
  <c r="BG116" i="1"/>
  <c r="BF116" i="1"/>
  <c r="BE116" i="1"/>
  <c r="BD116" i="1"/>
  <c r="BC116" i="1"/>
  <c r="BB116" i="1"/>
  <c r="BA116" i="1"/>
  <c r="AZ116" i="1"/>
  <c r="BI116" i="1" s="1"/>
  <c r="AY116" i="1"/>
  <c r="BK115" i="1"/>
  <c r="BJ115" i="1"/>
  <c r="BH115" i="1"/>
  <c r="BG115" i="1"/>
  <c r="BF115" i="1"/>
  <c r="BE115" i="1"/>
  <c r="BD115" i="1"/>
  <c r="BC115" i="1"/>
  <c r="BB115" i="1"/>
  <c r="BA115" i="1"/>
  <c r="AZ115" i="1"/>
  <c r="BI115" i="1" s="1"/>
  <c r="AY115" i="1"/>
  <c r="BK114" i="1"/>
  <c r="BJ114" i="1"/>
  <c r="BH114" i="1"/>
  <c r="BG114" i="1"/>
  <c r="BF114" i="1"/>
  <c r="BE114" i="1"/>
  <c r="BD114" i="1"/>
  <c r="BC114" i="1"/>
  <c r="BB114" i="1"/>
  <c r="BA114" i="1"/>
  <c r="AZ114" i="1"/>
  <c r="BI114" i="1" s="1"/>
  <c r="AY114" i="1"/>
  <c r="BK113" i="1"/>
  <c r="BJ113" i="1"/>
  <c r="BH113" i="1"/>
  <c r="BG113" i="1"/>
  <c r="BF113" i="1"/>
  <c r="BE113" i="1"/>
  <c r="BD113" i="1"/>
  <c r="BC113" i="1"/>
  <c r="BB113" i="1"/>
  <c r="BA113" i="1"/>
  <c r="AZ113" i="1"/>
  <c r="BI113" i="1" s="1"/>
  <c r="AY113" i="1"/>
  <c r="BK112" i="1"/>
  <c r="BJ112" i="1"/>
  <c r="BH112" i="1"/>
  <c r="BG112" i="1"/>
  <c r="BF112" i="1"/>
  <c r="BE112" i="1"/>
  <c r="BD112" i="1"/>
  <c r="BC112" i="1"/>
  <c r="BB112" i="1"/>
  <c r="BA112" i="1"/>
  <c r="AZ112" i="1"/>
  <c r="BI112" i="1" s="1"/>
  <c r="AY112" i="1"/>
  <c r="BK111" i="1"/>
  <c r="BJ111" i="1"/>
  <c r="BH111" i="1"/>
  <c r="BG111" i="1"/>
  <c r="BF111" i="1"/>
  <c r="BE111" i="1"/>
  <c r="BD111" i="1"/>
  <c r="BC111" i="1"/>
  <c r="BB111" i="1"/>
  <c r="BA111" i="1"/>
  <c r="AZ111" i="1"/>
  <c r="BI111" i="1" s="1"/>
  <c r="AY111" i="1"/>
  <c r="BK110" i="1"/>
  <c r="BJ110" i="1"/>
  <c r="BH110" i="1"/>
  <c r="BG110" i="1"/>
  <c r="BF110" i="1"/>
  <c r="BE110" i="1"/>
  <c r="BD110" i="1"/>
  <c r="BC110" i="1"/>
  <c r="BB110" i="1"/>
  <c r="BA110" i="1"/>
  <c r="AZ110" i="1"/>
  <c r="AY110" i="1"/>
  <c r="BK109" i="1"/>
  <c r="BJ109" i="1"/>
  <c r="BH109" i="1"/>
  <c r="BG109" i="1"/>
  <c r="BF109" i="1"/>
  <c r="BE109" i="1"/>
  <c r="BD109" i="1"/>
  <c r="BC109" i="1"/>
  <c r="BB109" i="1"/>
  <c r="BA109" i="1"/>
  <c r="AZ109" i="1"/>
  <c r="BI109" i="1" s="1"/>
  <c r="AY109" i="1"/>
  <c r="BK108" i="1"/>
  <c r="BJ108" i="1"/>
  <c r="BH108" i="1"/>
  <c r="BG108" i="1"/>
  <c r="BF108" i="1"/>
  <c r="BE108" i="1"/>
  <c r="BD108" i="1"/>
  <c r="BC108" i="1"/>
  <c r="BB108" i="1"/>
  <c r="BA108" i="1"/>
  <c r="AZ108" i="1"/>
  <c r="BI108" i="1" s="1"/>
  <c r="AY108" i="1"/>
  <c r="BK107" i="1"/>
  <c r="BJ107" i="1"/>
  <c r="BH107" i="1"/>
  <c r="BG107" i="1"/>
  <c r="BF107" i="1"/>
  <c r="BE107" i="1"/>
  <c r="BD107" i="1"/>
  <c r="BC107" i="1"/>
  <c r="BB107" i="1"/>
  <c r="BA107" i="1"/>
  <c r="AZ107" i="1"/>
  <c r="BI107" i="1" s="1"/>
  <c r="AY107" i="1"/>
  <c r="BK106" i="1"/>
  <c r="BJ106" i="1"/>
  <c r="BH106" i="1"/>
  <c r="BG106" i="1"/>
  <c r="BF106" i="1"/>
  <c r="BE106" i="1"/>
  <c r="BD106" i="1"/>
  <c r="BC106" i="1"/>
  <c r="BB106" i="1"/>
  <c r="BA106" i="1"/>
  <c r="AZ106" i="1"/>
  <c r="BI106" i="1" s="1"/>
  <c r="AY106" i="1"/>
  <c r="BK105" i="1"/>
  <c r="BJ105" i="1"/>
  <c r="BH105" i="1"/>
  <c r="BG105" i="1"/>
  <c r="BF105" i="1"/>
  <c r="BE105" i="1"/>
  <c r="BD105" i="1"/>
  <c r="BC105" i="1"/>
  <c r="BB105" i="1"/>
  <c r="BA105" i="1"/>
  <c r="AZ105" i="1"/>
  <c r="BI105" i="1" s="1"/>
  <c r="AY105" i="1"/>
  <c r="BK104" i="1"/>
  <c r="BJ104" i="1"/>
  <c r="BH104" i="1"/>
  <c r="BG104" i="1"/>
  <c r="BF104" i="1"/>
  <c r="BE104" i="1"/>
  <c r="BD104" i="1"/>
  <c r="BC104" i="1"/>
  <c r="BB104" i="1"/>
  <c r="BA104" i="1"/>
  <c r="AZ104" i="1"/>
  <c r="BI104" i="1" s="1"/>
  <c r="AY104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BK102" i="1"/>
  <c r="BJ102" i="1"/>
  <c r="BH102" i="1"/>
  <c r="BG102" i="1"/>
  <c r="BF102" i="1"/>
  <c r="BE102" i="1"/>
  <c r="BD102" i="1"/>
  <c r="BC102" i="1"/>
  <c r="BB102" i="1"/>
  <c r="BA102" i="1"/>
  <c r="AZ102" i="1"/>
  <c r="AY102" i="1"/>
  <c r="BK101" i="1"/>
  <c r="BJ101" i="1"/>
  <c r="BH101" i="1"/>
  <c r="BG101" i="1"/>
  <c r="BF101" i="1"/>
  <c r="BE101" i="1"/>
  <c r="BD101" i="1"/>
  <c r="BC101" i="1"/>
  <c r="BB101" i="1"/>
  <c r="BA101" i="1"/>
  <c r="AZ101" i="1"/>
  <c r="BI101" i="1" s="1"/>
  <c r="AY101" i="1"/>
  <c r="BK100" i="1"/>
  <c r="BJ100" i="1"/>
  <c r="BH100" i="1"/>
  <c r="BG100" i="1"/>
  <c r="BF100" i="1"/>
  <c r="BE100" i="1"/>
  <c r="BD100" i="1"/>
  <c r="BC100" i="1"/>
  <c r="BB100" i="1"/>
  <c r="BA100" i="1"/>
  <c r="AZ100" i="1"/>
  <c r="BI100" i="1" s="1"/>
  <c r="AY100" i="1"/>
  <c r="BK99" i="1"/>
  <c r="BJ99" i="1"/>
  <c r="BH99" i="1"/>
  <c r="BG99" i="1"/>
  <c r="BF99" i="1"/>
  <c r="BE99" i="1"/>
  <c r="BD99" i="1"/>
  <c r="BC99" i="1"/>
  <c r="BB99" i="1"/>
  <c r="BA99" i="1"/>
  <c r="AZ99" i="1"/>
  <c r="BI99" i="1" s="1"/>
  <c r="AY99" i="1"/>
  <c r="BK98" i="1"/>
  <c r="BJ98" i="1"/>
  <c r="BH98" i="1"/>
  <c r="BG98" i="1"/>
  <c r="BF98" i="1"/>
  <c r="BE98" i="1"/>
  <c r="BD98" i="1"/>
  <c r="BC98" i="1"/>
  <c r="BB98" i="1"/>
  <c r="BA98" i="1"/>
  <c r="AZ98" i="1"/>
  <c r="BI98" i="1" s="1"/>
  <c r="AY98" i="1"/>
  <c r="BK97" i="1"/>
  <c r="BJ97" i="1"/>
  <c r="BH97" i="1"/>
  <c r="BG97" i="1"/>
  <c r="BF97" i="1"/>
  <c r="BE97" i="1"/>
  <c r="BD97" i="1"/>
  <c r="BC97" i="1"/>
  <c r="BB97" i="1"/>
  <c r="BA97" i="1"/>
  <c r="AZ97" i="1"/>
  <c r="BI97" i="1" s="1"/>
  <c r="AY97" i="1"/>
  <c r="BK96" i="1"/>
  <c r="BJ96" i="1"/>
  <c r="BH96" i="1"/>
  <c r="BG96" i="1"/>
  <c r="BF96" i="1"/>
  <c r="BE96" i="1"/>
  <c r="BD96" i="1"/>
  <c r="BC96" i="1"/>
  <c r="BB96" i="1"/>
  <c r="BA96" i="1"/>
  <c r="AZ96" i="1"/>
  <c r="BI96" i="1" s="1"/>
  <c r="AY96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BK94" i="1"/>
  <c r="BJ94" i="1"/>
  <c r="BH94" i="1"/>
  <c r="BG94" i="1"/>
  <c r="BF94" i="1"/>
  <c r="BE94" i="1"/>
  <c r="BD94" i="1"/>
  <c r="BC94" i="1"/>
  <c r="BB94" i="1"/>
  <c r="BA94" i="1"/>
  <c r="AZ94" i="1"/>
  <c r="AY94" i="1"/>
  <c r="BK93" i="1"/>
  <c r="BJ93" i="1"/>
  <c r="BH93" i="1"/>
  <c r="BG93" i="1"/>
  <c r="BF93" i="1"/>
  <c r="BE93" i="1"/>
  <c r="BD93" i="1"/>
  <c r="BC93" i="1"/>
  <c r="BB93" i="1"/>
  <c r="BA93" i="1"/>
  <c r="AZ93" i="1"/>
  <c r="BI93" i="1" s="1"/>
  <c r="AY93" i="1"/>
  <c r="BK92" i="1"/>
  <c r="BJ92" i="1"/>
  <c r="BH92" i="1"/>
  <c r="BG92" i="1"/>
  <c r="BF92" i="1"/>
  <c r="BE92" i="1"/>
  <c r="BD92" i="1"/>
  <c r="BC92" i="1"/>
  <c r="BB92" i="1"/>
  <c r="BA92" i="1"/>
  <c r="AZ92" i="1"/>
  <c r="BI92" i="1" s="1"/>
  <c r="AY92" i="1"/>
  <c r="BK91" i="1"/>
  <c r="BJ91" i="1"/>
  <c r="BH91" i="1"/>
  <c r="BG91" i="1"/>
  <c r="BF91" i="1"/>
  <c r="BE91" i="1"/>
  <c r="BD91" i="1"/>
  <c r="BC91" i="1"/>
  <c r="BB91" i="1"/>
  <c r="BA91" i="1"/>
  <c r="AZ91" i="1"/>
  <c r="BI91" i="1" s="1"/>
  <c r="AY91" i="1"/>
  <c r="BK90" i="1"/>
  <c r="BJ90" i="1"/>
  <c r="BH90" i="1"/>
  <c r="BG90" i="1"/>
  <c r="BF90" i="1"/>
  <c r="BE90" i="1"/>
  <c r="BD90" i="1"/>
  <c r="BC90" i="1"/>
  <c r="BB90" i="1"/>
  <c r="BA90" i="1"/>
  <c r="AZ90" i="1"/>
  <c r="BI90" i="1" s="1"/>
  <c r="AY90" i="1"/>
  <c r="BK89" i="1"/>
  <c r="BJ89" i="1"/>
  <c r="BH89" i="1"/>
  <c r="BG89" i="1"/>
  <c r="BF89" i="1"/>
  <c r="BE89" i="1"/>
  <c r="BD89" i="1"/>
  <c r="BC89" i="1"/>
  <c r="BB89" i="1"/>
  <c r="BA89" i="1"/>
  <c r="AZ89" i="1"/>
  <c r="BI89" i="1" s="1"/>
  <c r="AY89" i="1"/>
  <c r="BK88" i="1"/>
  <c r="BJ88" i="1"/>
  <c r="BH88" i="1"/>
  <c r="BG88" i="1"/>
  <c r="BF88" i="1"/>
  <c r="BE88" i="1"/>
  <c r="BD88" i="1"/>
  <c r="BC88" i="1"/>
  <c r="BB88" i="1"/>
  <c r="BA88" i="1"/>
  <c r="AZ88" i="1"/>
  <c r="BI88" i="1" s="1"/>
  <c r="AY88" i="1"/>
  <c r="BK87" i="1"/>
  <c r="BJ87" i="1"/>
  <c r="BH87" i="1"/>
  <c r="BG87" i="1"/>
  <c r="BF87" i="1"/>
  <c r="BE87" i="1"/>
  <c r="BD87" i="1"/>
  <c r="BC87" i="1"/>
  <c r="BB87" i="1"/>
  <c r="BA87" i="1"/>
  <c r="AZ87" i="1"/>
  <c r="BI87" i="1" s="1"/>
  <c r="AY87" i="1"/>
  <c r="BK86" i="1"/>
  <c r="BJ86" i="1"/>
  <c r="BH86" i="1"/>
  <c r="BG86" i="1"/>
  <c r="BF86" i="1"/>
  <c r="BE86" i="1"/>
  <c r="BD86" i="1"/>
  <c r="BC86" i="1"/>
  <c r="BB86" i="1"/>
  <c r="BA86" i="1"/>
  <c r="AZ86" i="1"/>
  <c r="AY86" i="1"/>
  <c r="BK85" i="1"/>
  <c r="BJ85" i="1"/>
  <c r="BH85" i="1"/>
  <c r="BG85" i="1"/>
  <c r="BF85" i="1"/>
  <c r="BE85" i="1"/>
  <c r="BD85" i="1"/>
  <c r="BC85" i="1"/>
  <c r="BB85" i="1"/>
  <c r="BA85" i="1"/>
  <c r="AZ85" i="1"/>
  <c r="BI85" i="1" s="1"/>
  <c r="AY85" i="1"/>
  <c r="BK84" i="1"/>
  <c r="BJ84" i="1"/>
  <c r="BH84" i="1"/>
  <c r="BG84" i="1"/>
  <c r="BF84" i="1"/>
  <c r="BE84" i="1"/>
  <c r="BD84" i="1"/>
  <c r="BC84" i="1"/>
  <c r="BB84" i="1"/>
  <c r="BA84" i="1"/>
  <c r="AZ84" i="1"/>
  <c r="BI84" i="1" s="1"/>
  <c r="AY84" i="1"/>
  <c r="BK83" i="1"/>
  <c r="BJ83" i="1"/>
  <c r="BH83" i="1"/>
  <c r="BG83" i="1"/>
  <c r="BF83" i="1"/>
  <c r="BE83" i="1"/>
  <c r="BD83" i="1"/>
  <c r="BC83" i="1"/>
  <c r="BB83" i="1"/>
  <c r="BA83" i="1"/>
  <c r="AZ83" i="1"/>
  <c r="BI83" i="1" s="1"/>
  <c r="AY83" i="1"/>
  <c r="BK82" i="1"/>
  <c r="BJ82" i="1"/>
  <c r="BH82" i="1"/>
  <c r="BG82" i="1"/>
  <c r="BF82" i="1"/>
  <c r="BE82" i="1"/>
  <c r="BD82" i="1"/>
  <c r="BC82" i="1"/>
  <c r="BB82" i="1"/>
  <c r="BA82" i="1"/>
  <c r="AZ82" i="1"/>
  <c r="BI82" i="1" s="1"/>
  <c r="AY82" i="1"/>
  <c r="BK81" i="1"/>
  <c r="BJ81" i="1"/>
  <c r="BH81" i="1"/>
  <c r="BG81" i="1"/>
  <c r="BF81" i="1"/>
  <c r="BE81" i="1"/>
  <c r="BD81" i="1"/>
  <c r="BC81" i="1"/>
  <c r="BB81" i="1"/>
  <c r="BA81" i="1"/>
  <c r="AZ81" i="1"/>
  <c r="BI81" i="1" s="1"/>
  <c r="AY81" i="1"/>
  <c r="BK80" i="1"/>
  <c r="BJ80" i="1"/>
  <c r="BH80" i="1"/>
  <c r="BG80" i="1"/>
  <c r="BF80" i="1"/>
  <c r="BE80" i="1"/>
  <c r="BD80" i="1"/>
  <c r="BC80" i="1"/>
  <c r="BB80" i="1"/>
  <c r="BA80" i="1"/>
  <c r="AZ80" i="1"/>
  <c r="BI80" i="1" s="1"/>
  <c r="AY80" i="1"/>
  <c r="BK79" i="1"/>
  <c r="BJ79" i="1"/>
  <c r="BH79" i="1"/>
  <c r="BG79" i="1"/>
  <c r="BF79" i="1"/>
  <c r="BE79" i="1"/>
  <c r="BD79" i="1"/>
  <c r="BC79" i="1"/>
  <c r="BB79" i="1"/>
  <c r="BA79" i="1"/>
  <c r="AZ79" i="1"/>
  <c r="BI79" i="1" s="1"/>
  <c r="AY79" i="1"/>
  <c r="BK78" i="1"/>
  <c r="BJ78" i="1"/>
  <c r="BH78" i="1"/>
  <c r="BG78" i="1"/>
  <c r="BF78" i="1"/>
  <c r="BE78" i="1"/>
  <c r="BD78" i="1"/>
  <c r="BC78" i="1"/>
  <c r="BB78" i="1"/>
  <c r="BA78" i="1"/>
  <c r="AZ78" i="1"/>
  <c r="AY78" i="1"/>
  <c r="BK77" i="1"/>
  <c r="BJ77" i="1"/>
  <c r="BH77" i="1"/>
  <c r="BG77" i="1"/>
  <c r="BF77" i="1"/>
  <c r="BE77" i="1"/>
  <c r="BD77" i="1"/>
  <c r="BC77" i="1"/>
  <c r="BB77" i="1"/>
  <c r="BA77" i="1"/>
  <c r="AZ77" i="1"/>
  <c r="BI77" i="1" s="1"/>
  <c r="AY77" i="1"/>
  <c r="BK76" i="1"/>
  <c r="BJ76" i="1"/>
  <c r="BH76" i="1"/>
  <c r="BG76" i="1"/>
  <c r="BF76" i="1"/>
  <c r="BE76" i="1"/>
  <c r="BD76" i="1"/>
  <c r="BC76" i="1"/>
  <c r="BB76" i="1"/>
  <c r="BA76" i="1"/>
  <c r="AZ76" i="1"/>
  <c r="BI76" i="1" s="1"/>
  <c r="AY76" i="1"/>
  <c r="BK75" i="1"/>
  <c r="BJ75" i="1"/>
  <c r="BH75" i="1"/>
  <c r="BG75" i="1"/>
  <c r="BF75" i="1"/>
  <c r="BE75" i="1"/>
  <c r="BD75" i="1"/>
  <c r="BC75" i="1"/>
  <c r="BB75" i="1"/>
  <c r="BA75" i="1"/>
  <c r="AZ75" i="1"/>
  <c r="BI75" i="1" s="1"/>
  <c r="AY75" i="1"/>
  <c r="BK74" i="1"/>
  <c r="BJ74" i="1"/>
  <c r="BH74" i="1"/>
  <c r="BG74" i="1"/>
  <c r="BF74" i="1"/>
  <c r="BE74" i="1"/>
  <c r="BD74" i="1"/>
  <c r="BC74" i="1"/>
  <c r="BB74" i="1"/>
  <c r="BA74" i="1"/>
  <c r="AZ74" i="1"/>
  <c r="BI74" i="1" s="1"/>
  <c r="AY74" i="1"/>
  <c r="BK73" i="1"/>
  <c r="BJ73" i="1"/>
  <c r="BH73" i="1"/>
  <c r="BG73" i="1"/>
  <c r="BF73" i="1"/>
  <c r="BE73" i="1"/>
  <c r="BD73" i="1"/>
  <c r="BC73" i="1"/>
  <c r="BB73" i="1"/>
  <c r="BA73" i="1"/>
  <c r="AZ73" i="1"/>
  <c r="BI73" i="1" s="1"/>
  <c r="AY73" i="1"/>
  <c r="BK72" i="1"/>
  <c r="BJ72" i="1"/>
  <c r="BH72" i="1"/>
  <c r="BG72" i="1"/>
  <c r="BF72" i="1"/>
  <c r="BE72" i="1"/>
  <c r="BD72" i="1"/>
  <c r="BC72" i="1"/>
  <c r="BB72" i="1"/>
  <c r="BA72" i="1"/>
  <c r="AZ72" i="1"/>
  <c r="BI72" i="1" s="1"/>
  <c r="AY72" i="1"/>
  <c r="BK71" i="1"/>
  <c r="BJ71" i="1"/>
  <c r="BH71" i="1"/>
  <c r="BG71" i="1"/>
  <c r="BF71" i="1"/>
  <c r="BE71" i="1"/>
  <c r="BD71" i="1"/>
  <c r="BC71" i="1"/>
  <c r="BB71" i="1"/>
  <c r="BA71" i="1"/>
  <c r="AZ71" i="1"/>
  <c r="BI71" i="1" s="1"/>
  <c r="AY71" i="1"/>
  <c r="BK70" i="1"/>
  <c r="BJ70" i="1"/>
  <c r="BH70" i="1"/>
  <c r="BG70" i="1"/>
  <c r="BF70" i="1"/>
  <c r="BE70" i="1"/>
  <c r="BD70" i="1"/>
  <c r="BC70" i="1"/>
  <c r="BB70" i="1"/>
  <c r="BI70" i="1" s="1"/>
  <c r="BA70" i="1"/>
  <c r="AZ70" i="1"/>
  <c r="AY70" i="1"/>
  <c r="BK69" i="1"/>
  <c r="BJ69" i="1"/>
  <c r="BH69" i="1"/>
  <c r="BG69" i="1"/>
  <c r="BF69" i="1"/>
  <c r="BE69" i="1"/>
  <c r="BD69" i="1"/>
  <c r="BC69" i="1"/>
  <c r="BB69" i="1"/>
  <c r="BA69" i="1"/>
  <c r="AZ69" i="1"/>
  <c r="BI69" i="1" s="1"/>
  <c r="AY69" i="1"/>
  <c r="BK68" i="1"/>
  <c r="BJ68" i="1"/>
  <c r="BH68" i="1"/>
  <c r="BG68" i="1"/>
  <c r="BF68" i="1"/>
  <c r="BE68" i="1"/>
  <c r="BD68" i="1"/>
  <c r="BC68" i="1"/>
  <c r="BB68" i="1"/>
  <c r="BA68" i="1"/>
  <c r="AZ68" i="1"/>
  <c r="BI68" i="1" s="1"/>
  <c r="AY68" i="1"/>
  <c r="BK67" i="1"/>
  <c r="BJ67" i="1"/>
  <c r="BH67" i="1"/>
  <c r="BG67" i="1"/>
  <c r="BF67" i="1"/>
  <c r="BE67" i="1"/>
  <c r="BD67" i="1"/>
  <c r="BC67" i="1"/>
  <c r="BB67" i="1"/>
  <c r="BA67" i="1"/>
  <c r="AZ67" i="1"/>
  <c r="BI67" i="1" s="1"/>
  <c r="AY67" i="1"/>
  <c r="BK66" i="1"/>
  <c r="BJ66" i="1"/>
  <c r="BH66" i="1"/>
  <c r="BG66" i="1"/>
  <c r="BF66" i="1"/>
  <c r="BE66" i="1"/>
  <c r="BD66" i="1"/>
  <c r="BC66" i="1"/>
  <c r="BB66" i="1"/>
  <c r="BA66" i="1"/>
  <c r="AZ66" i="1"/>
  <c r="BI66" i="1" s="1"/>
  <c r="AY66" i="1"/>
  <c r="BK65" i="1"/>
  <c r="BJ65" i="1"/>
  <c r="BH65" i="1"/>
  <c r="BG65" i="1"/>
  <c r="BF65" i="1"/>
  <c r="BE65" i="1"/>
  <c r="BD65" i="1"/>
  <c r="BC65" i="1"/>
  <c r="BB65" i="1"/>
  <c r="BA65" i="1"/>
  <c r="AZ65" i="1"/>
  <c r="BI65" i="1" s="1"/>
  <c r="AY65" i="1"/>
  <c r="BK64" i="1"/>
  <c r="BJ64" i="1"/>
  <c r="BH64" i="1"/>
  <c r="BG64" i="1"/>
  <c r="BF64" i="1"/>
  <c r="BE64" i="1"/>
  <c r="BD64" i="1"/>
  <c r="BC64" i="1"/>
  <c r="BB64" i="1"/>
  <c r="BA64" i="1"/>
  <c r="AZ64" i="1"/>
  <c r="BI64" i="1" s="1"/>
  <c r="AY64" i="1"/>
  <c r="BK63" i="1"/>
  <c r="BJ63" i="1"/>
  <c r="BH63" i="1"/>
  <c r="BG63" i="1"/>
  <c r="BF63" i="1"/>
  <c r="BE63" i="1"/>
  <c r="BD63" i="1"/>
  <c r="BC63" i="1"/>
  <c r="BB63" i="1"/>
  <c r="BA63" i="1"/>
  <c r="AZ63" i="1"/>
  <c r="BI63" i="1" s="1"/>
  <c r="AY63" i="1"/>
  <c r="BK62" i="1"/>
  <c r="BJ62" i="1"/>
  <c r="BH62" i="1"/>
  <c r="BG62" i="1"/>
  <c r="BF62" i="1"/>
  <c r="BE62" i="1"/>
  <c r="BD62" i="1"/>
  <c r="BC62" i="1"/>
  <c r="BB62" i="1"/>
  <c r="BA62" i="1"/>
  <c r="AZ62" i="1"/>
  <c r="AY62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BK60" i="1"/>
  <c r="BJ60" i="1"/>
  <c r="BH60" i="1"/>
  <c r="BG60" i="1"/>
  <c r="BF60" i="1"/>
  <c r="BE60" i="1"/>
  <c r="BD60" i="1"/>
  <c r="BC60" i="1"/>
  <c r="BB60" i="1"/>
  <c r="BA60" i="1"/>
  <c r="AZ60" i="1"/>
  <c r="BI60" i="1" s="1"/>
  <c r="AY60" i="1"/>
  <c r="BK59" i="1"/>
  <c r="BJ59" i="1"/>
  <c r="BH59" i="1"/>
  <c r="BG59" i="1"/>
  <c r="BF59" i="1"/>
  <c r="BE59" i="1"/>
  <c r="BD59" i="1"/>
  <c r="BC59" i="1"/>
  <c r="BB59" i="1"/>
  <c r="BA59" i="1"/>
  <c r="AZ59" i="1"/>
  <c r="BI59" i="1" s="1"/>
  <c r="AY59" i="1"/>
  <c r="BK58" i="1"/>
  <c r="BJ58" i="1"/>
  <c r="BH58" i="1"/>
  <c r="BG58" i="1"/>
  <c r="BF58" i="1"/>
  <c r="BE58" i="1"/>
  <c r="BD58" i="1"/>
  <c r="BC58" i="1"/>
  <c r="BB58" i="1"/>
  <c r="BA58" i="1"/>
  <c r="AZ58" i="1"/>
  <c r="BI58" i="1" s="1"/>
  <c r="AY58" i="1"/>
  <c r="BK57" i="1"/>
  <c r="BJ57" i="1"/>
  <c r="BH57" i="1"/>
  <c r="BG57" i="1"/>
  <c r="BF57" i="1"/>
  <c r="BE57" i="1"/>
  <c r="BD57" i="1"/>
  <c r="BC57" i="1"/>
  <c r="BB57" i="1"/>
  <c r="BA57" i="1"/>
  <c r="AZ57" i="1"/>
  <c r="BI57" i="1" s="1"/>
  <c r="AY57" i="1"/>
  <c r="BK56" i="1"/>
  <c r="BJ56" i="1"/>
  <c r="BH56" i="1"/>
  <c r="BG56" i="1"/>
  <c r="BF56" i="1"/>
  <c r="BE56" i="1"/>
  <c r="BD56" i="1"/>
  <c r="BC56" i="1"/>
  <c r="BB56" i="1"/>
  <c r="BA56" i="1"/>
  <c r="AZ56" i="1"/>
  <c r="BI56" i="1" s="1"/>
  <c r="AY56" i="1"/>
  <c r="BK55" i="1"/>
  <c r="BJ55" i="1"/>
  <c r="BH55" i="1"/>
  <c r="BG55" i="1"/>
  <c r="BF55" i="1"/>
  <c r="BE55" i="1"/>
  <c r="BD55" i="1"/>
  <c r="BC55" i="1"/>
  <c r="BB55" i="1"/>
  <c r="BA55" i="1"/>
  <c r="AZ55" i="1"/>
  <c r="BI55" i="1" s="1"/>
  <c r="AY55" i="1"/>
  <c r="BK54" i="1"/>
  <c r="BJ54" i="1"/>
  <c r="BH54" i="1"/>
  <c r="BG54" i="1"/>
  <c r="BF54" i="1"/>
  <c r="BE54" i="1"/>
  <c r="BD54" i="1"/>
  <c r="BC54" i="1"/>
  <c r="BB54" i="1"/>
  <c r="BA54" i="1"/>
  <c r="AZ54" i="1"/>
  <c r="AY54" i="1"/>
  <c r="BK53" i="1"/>
  <c r="BJ53" i="1"/>
  <c r="BH53" i="1"/>
  <c r="BG53" i="1"/>
  <c r="BF53" i="1"/>
  <c r="BE53" i="1"/>
  <c r="BD53" i="1"/>
  <c r="BC53" i="1"/>
  <c r="BB53" i="1"/>
  <c r="BA53" i="1"/>
  <c r="AZ53" i="1"/>
  <c r="BI53" i="1" s="1"/>
  <c r="AY53" i="1"/>
  <c r="BK52" i="1"/>
  <c r="BJ52" i="1"/>
  <c r="BH52" i="1"/>
  <c r="BG52" i="1"/>
  <c r="BF52" i="1"/>
  <c r="BE52" i="1"/>
  <c r="BD52" i="1"/>
  <c r="BC52" i="1"/>
  <c r="BB52" i="1"/>
  <c r="BA52" i="1"/>
  <c r="AZ52" i="1"/>
  <c r="BI52" i="1" s="1"/>
  <c r="AY52" i="1"/>
  <c r="BK51" i="1"/>
  <c r="BJ51" i="1"/>
  <c r="BH51" i="1"/>
  <c r="BG51" i="1"/>
  <c r="BF51" i="1"/>
  <c r="BE51" i="1"/>
  <c r="BD51" i="1"/>
  <c r="BC51" i="1"/>
  <c r="BB51" i="1"/>
  <c r="BA51" i="1"/>
  <c r="AZ51" i="1"/>
  <c r="BI51" i="1" s="1"/>
  <c r="AY51" i="1"/>
  <c r="BK50" i="1"/>
  <c r="BJ50" i="1"/>
  <c r="BH50" i="1"/>
  <c r="BG50" i="1"/>
  <c r="BF50" i="1"/>
  <c r="BE50" i="1"/>
  <c r="BD50" i="1"/>
  <c r="BC50" i="1"/>
  <c r="BB50" i="1"/>
  <c r="BA50" i="1"/>
  <c r="AZ50" i="1"/>
  <c r="BI50" i="1" s="1"/>
  <c r="AY50" i="1"/>
  <c r="BK49" i="1"/>
  <c r="BJ49" i="1"/>
  <c r="BH49" i="1"/>
  <c r="BG49" i="1"/>
  <c r="BF49" i="1"/>
  <c r="BE49" i="1"/>
  <c r="BD49" i="1"/>
  <c r="BC49" i="1"/>
  <c r="BB49" i="1"/>
  <c r="BA49" i="1"/>
  <c r="AZ49" i="1"/>
  <c r="BI49" i="1" s="1"/>
  <c r="AY49" i="1"/>
  <c r="BK48" i="1"/>
  <c r="BJ48" i="1"/>
  <c r="BH48" i="1"/>
  <c r="BG48" i="1"/>
  <c r="BF48" i="1"/>
  <c r="BE48" i="1"/>
  <c r="BD48" i="1"/>
  <c r="BC48" i="1"/>
  <c r="BB48" i="1"/>
  <c r="BA48" i="1"/>
  <c r="AZ48" i="1"/>
  <c r="BI48" i="1" s="1"/>
  <c r="AY48" i="1"/>
  <c r="BK47" i="1"/>
  <c r="BJ47" i="1"/>
  <c r="BH47" i="1"/>
  <c r="BG47" i="1"/>
  <c r="BF47" i="1"/>
  <c r="BE47" i="1"/>
  <c r="BD47" i="1"/>
  <c r="BC47" i="1"/>
  <c r="BB47" i="1"/>
  <c r="BA47" i="1"/>
  <c r="AZ47" i="1"/>
  <c r="BI47" i="1" s="1"/>
  <c r="AY47" i="1"/>
  <c r="BK46" i="1"/>
  <c r="BJ46" i="1"/>
  <c r="BH46" i="1"/>
  <c r="BG46" i="1"/>
  <c r="BF46" i="1"/>
  <c r="BE46" i="1"/>
  <c r="BD46" i="1"/>
  <c r="BC46" i="1"/>
  <c r="BB46" i="1"/>
  <c r="BI46" i="1" s="1"/>
  <c r="BA46" i="1"/>
  <c r="AZ46" i="1"/>
  <c r="AY46" i="1"/>
  <c r="BK45" i="1"/>
  <c r="BJ45" i="1"/>
  <c r="BH45" i="1"/>
  <c r="BG45" i="1"/>
  <c r="BF45" i="1"/>
  <c r="BE45" i="1"/>
  <c r="BD45" i="1"/>
  <c r="BC45" i="1"/>
  <c r="BB45" i="1"/>
  <c r="BA45" i="1"/>
  <c r="AZ45" i="1"/>
  <c r="BI45" i="1" s="1"/>
  <c r="AY45" i="1"/>
  <c r="BK44" i="1"/>
  <c r="BJ44" i="1"/>
  <c r="BH44" i="1"/>
  <c r="BG44" i="1"/>
  <c r="BF44" i="1"/>
  <c r="BE44" i="1"/>
  <c r="BD44" i="1"/>
  <c r="BC44" i="1"/>
  <c r="BB44" i="1"/>
  <c r="BA44" i="1"/>
  <c r="AZ44" i="1"/>
  <c r="BI44" i="1" s="1"/>
  <c r="AY44" i="1"/>
  <c r="BK43" i="1"/>
  <c r="BJ43" i="1"/>
  <c r="BH43" i="1"/>
  <c r="BG43" i="1"/>
  <c r="BF43" i="1"/>
  <c r="BE43" i="1"/>
  <c r="BD43" i="1"/>
  <c r="BC43" i="1"/>
  <c r="BB43" i="1"/>
  <c r="BA43" i="1"/>
  <c r="AZ43" i="1"/>
  <c r="BI43" i="1" s="1"/>
  <c r="AY43" i="1"/>
  <c r="BK42" i="1"/>
  <c r="BJ42" i="1"/>
  <c r="BH42" i="1"/>
  <c r="BG42" i="1"/>
  <c r="BF42" i="1"/>
  <c r="BE42" i="1"/>
  <c r="BD42" i="1"/>
  <c r="BC42" i="1"/>
  <c r="BB42" i="1"/>
  <c r="BA42" i="1"/>
  <c r="AZ42" i="1"/>
  <c r="BI42" i="1" s="1"/>
  <c r="AY42" i="1"/>
  <c r="BK41" i="1"/>
  <c r="BJ41" i="1"/>
  <c r="BH41" i="1"/>
  <c r="BG41" i="1"/>
  <c r="BF41" i="1"/>
  <c r="BE41" i="1"/>
  <c r="BD41" i="1"/>
  <c r="BC41" i="1"/>
  <c r="BB41" i="1"/>
  <c r="BA41" i="1"/>
  <c r="AZ41" i="1"/>
  <c r="BI41" i="1" s="1"/>
  <c r="AY41" i="1"/>
  <c r="BK40" i="1"/>
  <c r="BJ40" i="1"/>
  <c r="BH40" i="1"/>
  <c r="BG40" i="1"/>
  <c r="BF40" i="1"/>
  <c r="BE40" i="1"/>
  <c r="BD40" i="1"/>
  <c r="BC40" i="1"/>
  <c r="BB40" i="1"/>
  <c r="BA40" i="1"/>
  <c r="AZ40" i="1"/>
  <c r="BI40" i="1" s="1"/>
  <c r="AY40" i="1"/>
  <c r="BK39" i="1"/>
  <c r="BJ39" i="1"/>
  <c r="BH39" i="1"/>
  <c r="BG39" i="1"/>
  <c r="BF39" i="1"/>
  <c r="BE39" i="1"/>
  <c r="BD39" i="1"/>
  <c r="BC39" i="1"/>
  <c r="BB39" i="1"/>
  <c r="BA39" i="1"/>
  <c r="AZ39" i="1"/>
  <c r="BI39" i="1" s="1"/>
  <c r="AY39" i="1"/>
  <c r="BK38" i="1"/>
  <c r="BJ38" i="1"/>
  <c r="BH38" i="1"/>
  <c r="BG38" i="1"/>
  <c r="BF38" i="1"/>
  <c r="BE38" i="1"/>
  <c r="BD38" i="1"/>
  <c r="BC38" i="1"/>
  <c r="BB38" i="1"/>
  <c r="BA38" i="1"/>
  <c r="AZ38" i="1"/>
  <c r="AY38" i="1"/>
  <c r="BK37" i="1"/>
  <c r="BJ37" i="1"/>
  <c r="BH37" i="1"/>
  <c r="BG37" i="1"/>
  <c r="BF37" i="1"/>
  <c r="BE37" i="1"/>
  <c r="BD37" i="1"/>
  <c r="BC37" i="1"/>
  <c r="BB37" i="1"/>
  <c r="BA37" i="1"/>
  <c r="AZ37" i="1"/>
  <c r="BI37" i="1" s="1"/>
  <c r="AY37" i="1"/>
  <c r="BK36" i="1"/>
  <c r="BJ36" i="1"/>
  <c r="BH36" i="1"/>
  <c r="BG36" i="1"/>
  <c r="BF36" i="1"/>
  <c r="BE36" i="1"/>
  <c r="BD36" i="1"/>
  <c r="BC36" i="1"/>
  <c r="BB36" i="1"/>
  <c r="BA36" i="1"/>
  <c r="AZ36" i="1"/>
  <c r="BI36" i="1" s="1"/>
  <c r="AY36" i="1"/>
  <c r="BK35" i="1"/>
  <c r="BJ35" i="1"/>
  <c r="BH35" i="1"/>
  <c r="BG35" i="1"/>
  <c r="BF35" i="1"/>
  <c r="BE35" i="1"/>
  <c r="BD35" i="1"/>
  <c r="BC35" i="1"/>
  <c r="BB35" i="1"/>
  <c r="BA35" i="1"/>
  <c r="AZ35" i="1"/>
  <c r="BI35" i="1" s="1"/>
  <c r="AY35" i="1"/>
  <c r="BK34" i="1"/>
  <c r="BJ34" i="1"/>
  <c r="BH34" i="1"/>
  <c r="BG34" i="1"/>
  <c r="BF34" i="1"/>
  <c r="BE34" i="1"/>
  <c r="BD34" i="1"/>
  <c r="BC34" i="1"/>
  <c r="BB34" i="1"/>
  <c r="BA34" i="1"/>
  <c r="AZ34" i="1"/>
  <c r="BI34" i="1" s="1"/>
  <c r="AY34" i="1"/>
  <c r="BK33" i="1"/>
  <c r="BJ33" i="1"/>
  <c r="BH33" i="1"/>
  <c r="BG33" i="1"/>
  <c r="BF33" i="1"/>
  <c r="BE33" i="1"/>
  <c r="BD33" i="1"/>
  <c r="BC33" i="1"/>
  <c r="BB33" i="1"/>
  <c r="BA33" i="1"/>
  <c r="AZ33" i="1"/>
  <c r="BI33" i="1" s="1"/>
  <c r="AY33" i="1"/>
  <c r="BK32" i="1"/>
  <c r="BJ32" i="1"/>
  <c r="BH32" i="1"/>
  <c r="BG32" i="1"/>
  <c r="BF32" i="1"/>
  <c r="BE32" i="1"/>
  <c r="BD32" i="1"/>
  <c r="BC32" i="1"/>
  <c r="BB32" i="1"/>
  <c r="BA32" i="1"/>
  <c r="AZ32" i="1"/>
  <c r="BI32" i="1" s="1"/>
  <c r="AY32" i="1"/>
  <c r="BK31" i="1"/>
  <c r="BJ31" i="1"/>
  <c r="BH31" i="1"/>
  <c r="BG31" i="1"/>
  <c r="BF31" i="1"/>
  <c r="BE31" i="1"/>
  <c r="BD31" i="1"/>
  <c r="BC31" i="1"/>
  <c r="BB31" i="1"/>
  <c r="BA31" i="1"/>
  <c r="AZ31" i="1"/>
  <c r="BI31" i="1" s="1"/>
  <c r="AY31" i="1"/>
  <c r="BK30" i="1"/>
  <c r="BJ30" i="1"/>
  <c r="BH30" i="1"/>
  <c r="BG30" i="1"/>
  <c r="BF30" i="1"/>
  <c r="BE30" i="1"/>
  <c r="BD30" i="1"/>
  <c r="BC30" i="1"/>
  <c r="BB30" i="1"/>
  <c r="BA30" i="1"/>
  <c r="AZ30" i="1"/>
  <c r="AY30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BK28" i="1"/>
  <c r="BJ28" i="1"/>
  <c r="BH28" i="1"/>
  <c r="BG28" i="1"/>
  <c r="BF28" i="1"/>
  <c r="BE28" i="1"/>
  <c r="BD28" i="1"/>
  <c r="BC28" i="1"/>
  <c r="BB28" i="1"/>
  <c r="BA28" i="1"/>
  <c r="AZ28" i="1"/>
  <c r="BI28" i="1" s="1"/>
  <c r="AY28" i="1"/>
  <c r="BK27" i="1"/>
  <c r="BJ27" i="1"/>
  <c r="BH27" i="1"/>
  <c r="BG27" i="1"/>
  <c r="BF27" i="1"/>
  <c r="BE27" i="1"/>
  <c r="BD27" i="1"/>
  <c r="BC27" i="1"/>
  <c r="BB27" i="1"/>
  <c r="BA27" i="1"/>
  <c r="AZ27" i="1"/>
  <c r="BI27" i="1" s="1"/>
  <c r="AY27" i="1"/>
  <c r="BR26" i="1"/>
  <c r="BP26" i="1"/>
  <c r="BK26" i="1"/>
  <c r="BJ26" i="1"/>
  <c r="BH26" i="1"/>
  <c r="BG26" i="1"/>
  <c r="BF26" i="1"/>
  <c r="BE26" i="1"/>
  <c r="BD26" i="1"/>
  <c r="BC26" i="1"/>
  <c r="BB26" i="1"/>
  <c r="BA26" i="1"/>
  <c r="AZ26" i="1"/>
  <c r="BI26" i="1" s="1"/>
  <c r="AY26" i="1"/>
  <c r="BR25" i="1"/>
  <c r="BP25" i="1"/>
  <c r="BK25" i="1"/>
  <c r="BJ25" i="1"/>
  <c r="BH25" i="1"/>
  <c r="BG25" i="1"/>
  <c r="BF25" i="1"/>
  <c r="BE25" i="1"/>
  <c r="BD25" i="1"/>
  <c r="BC25" i="1"/>
  <c r="BB25" i="1"/>
  <c r="BA25" i="1"/>
  <c r="AZ25" i="1"/>
  <c r="BI25" i="1" s="1"/>
  <c r="AY25" i="1"/>
  <c r="BR24" i="1"/>
  <c r="BP24" i="1"/>
  <c r="BK24" i="1"/>
  <c r="BJ24" i="1"/>
  <c r="BH24" i="1"/>
  <c r="BG24" i="1"/>
  <c r="BF24" i="1"/>
  <c r="BE24" i="1"/>
  <c r="BD24" i="1"/>
  <c r="BC24" i="1"/>
  <c r="BB24" i="1"/>
  <c r="BA24" i="1"/>
  <c r="AZ24" i="1"/>
  <c r="BI24" i="1" s="1"/>
  <c r="AY24" i="1"/>
  <c r="BR23" i="1"/>
  <c r="BP23" i="1"/>
  <c r="BK23" i="1"/>
  <c r="BJ23" i="1"/>
  <c r="BH23" i="1"/>
  <c r="BG23" i="1"/>
  <c r="BF23" i="1"/>
  <c r="BE23" i="1"/>
  <c r="BD23" i="1"/>
  <c r="BC23" i="1"/>
  <c r="BB23" i="1"/>
  <c r="BA23" i="1"/>
  <c r="AZ23" i="1"/>
  <c r="BI23" i="1" s="1"/>
  <c r="AY23" i="1"/>
  <c r="BR22" i="1"/>
  <c r="BP22" i="1"/>
  <c r="BK22" i="1"/>
  <c r="BJ22" i="1"/>
  <c r="BH22" i="1"/>
  <c r="BG22" i="1"/>
  <c r="BF22" i="1"/>
  <c r="BE22" i="1"/>
  <c r="BD22" i="1"/>
  <c r="BC22" i="1"/>
  <c r="BB22" i="1"/>
  <c r="BA22" i="1"/>
  <c r="AZ22" i="1"/>
  <c r="BI22" i="1" s="1"/>
  <c r="AY22" i="1"/>
  <c r="BR21" i="1"/>
  <c r="BP21" i="1"/>
  <c r="BK21" i="1"/>
  <c r="BJ21" i="1"/>
  <c r="BH21" i="1"/>
  <c r="BG21" i="1"/>
  <c r="BF21" i="1"/>
  <c r="BE21" i="1"/>
  <c r="BD21" i="1"/>
  <c r="BC21" i="1"/>
  <c r="BB21" i="1"/>
  <c r="BA21" i="1"/>
  <c r="AZ21" i="1"/>
  <c r="BI21" i="1" s="1"/>
  <c r="AY21" i="1"/>
  <c r="BR20" i="1"/>
  <c r="BP20" i="1"/>
  <c r="BK20" i="1"/>
  <c r="BJ20" i="1"/>
  <c r="BH20" i="1"/>
  <c r="BG20" i="1"/>
  <c r="BF20" i="1"/>
  <c r="BE20" i="1"/>
  <c r="BD20" i="1"/>
  <c r="BC20" i="1"/>
  <c r="BB20" i="1"/>
  <c r="BA20" i="1"/>
  <c r="AZ20" i="1"/>
  <c r="BI20" i="1" s="1"/>
  <c r="AY20" i="1"/>
  <c r="BR19" i="1"/>
  <c r="BP19" i="1"/>
  <c r="BK19" i="1"/>
  <c r="BJ19" i="1"/>
  <c r="BH19" i="1"/>
  <c r="BG19" i="1"/>
  <c r="BF19" i="1"/>
  <c r="BE19" i="1"/>
  <c r="BD19" i="1"/>
  <c r="BC19" i="1"/>
  <c r="BB19" i="1"/>
  <c r="BA19" i="1"/>
  <c r="AZ19" i="1"/>
  <c r="BI19" i="1" s="1"/>
  <c r="AY19" i="1"/>
  <c r="BR18" i="1"/>
  <c r="BP18" i="1"/>
  <c r="BK18" i="1"/>
  <c r="BJ18" i="1"/>
  <c r="BH18" i="1"/>
  <c r="BG18" i="1"/>
  <c r="BF18" i="1"/>
  <c r="BE18" i="1"/>
  <c r="BD18" i="1"/>
  <c r="BC18" i="1"/>
  <c r="BB18" i="1"/>
  <c r="BA18" i="1"/>
  <c r="AZ18" i="1"/>
  <c r="BI18" i="1" s="1"/>
  <c r="AY18" i="1"/>
  <c r="BR17" i="1"/>
  <c r="BP17" i="1"/>
  <c r="BK17" i="1"/>
  <c r="BJ17" i="1"/>
  <c r="BH17" i="1"/>
  <c r="BG17" i="1"/>
  <c r="BF17" i="1"/>
  <c r="BE17" i="1"/>
  <c r="BD17" i="1"/>
  <c r="BC17" i="1"/>
  <c r="BB17" i="1"/>
  <c r="BA17" i="1"/>
  <c r="AZ17" i="1"/>
  <c r="BI17" i="1" s="1"/>
  <c r="AY17" i="1"/>
  <c r="BR16" i="1"/>
  <c r="BP16" i="1"/>
  <c r="BK16" i="1"/>
  <c r="BJ16" i="1"/>
  <c r="BH16" i="1"/>
  <c r="BG16" i="1"/>
  <c r="BF16" i="1"/>
  <c r="BE16" i="1"/>
  <c r="BD16" i="1"/>
  <c r="BC16" i="1"/>
  <c r="BB16" i="1"/>
  <c r="BA16" i="1"/>
  <c r="AZ16" i="1"/>
  <c r="BI16" i="1" s="1"/>
  <c r="AY16" i="1"/>
  <c r="BR15" i="1"/>
  <c r="BP15" i="1"/>
  <c r="BK15" i="1"/>
  <c r="BJ15" i="1"/>
  <c r="BH15" i="1"/>
  <c r="BG15" i="1"/>
  <c r="BF15" i="1"/>
  <c r="BE15" i="1"/>
  <c r="BD15" i="1"/>
  <c r="BC15" i="1"/>
  <c r="BB15" i="1"/>
  <c r="BA15" i="1"/>
  <c r="AZ15" i="1"/>
  <c r="BI15" i="1" s="1"/>
  <c r="AY15" i="1"/>
  <c r="BR14" i="1"/>
  <c r="BP14" i="1"/>
  <c r="BK14" i="1"/>
  <c r="BJ14" i="1"/>
  <c r="BH14" i="1"/>
  <c r="BG14" i="1"/>
  <c r="BF14" i="1"/>
  <c r="BE14" i="1"/>
  <c r="BD14" i="1"/>
  <c r="BC14" i="1"/>
  <c r="BB14" i="1"/>
  <c r="BA14" i="1"/>
  <c r="AZ14" i="1"/>
  <c r="BI14" i="1" s="1"/>
  <c r="AY14" i="1"/>
  <c r="BR13" i="1"/>
  <c r="BP13" i="1"/>
  <c r="BK13" i="1"/>
  <c r="BJ13" i="1"/>
  <c r="BH13" i="1"/>
  <c r="BG13" i="1"/>
  <c r="BF13" i="1"/>
  <c r="BE13" i="1"/>
  <c r="BD13" i="1"/>
  <c r="BC13" i="1"/>
  <c r="BB13" i="1"/>
  <c r="BA13" i="1"/>
  <c r="AZ13" i="1"/>
  <c r="BI13" i="1" s="1"/>
  <c r="AY13" i="1"/>
  <c r="BR12" i="1"/>
  <c r="BP12" i="1"/>
  <c r="BK12" i="1"/>
  <c r="BJ12" i="1"/>
  <c r="BH12" i="1"/>
  <c r="BG12" i="1"/>
  <c r="BF12" i="1"/>
  <c r="BE12" i="1"/>
  <c r="BD12" i="1"/>
  <c r="BC12" i="1"/>
  <c r="BB12" i="1"/>
  <c r="BA12" i="1"/>
  <c r="AZ12" i="1"/>
  <c r="BI12" i="1" s="1"/>
  <c r="AY12" i="1"/>
  <c r="BR11" i="1"/>
  <c r="BP11" i="1"/>
  <c r="BK11" i="1"/>
  <c r="BJ11" i="1"/>
  <c r="BH11" i="1"/>
  <c r="BG11" i="1"/>
  <c r="BF11" i="1"/>
  <c r="BE11" i="1"/>
  <c r="BD11" i="1"/>
  <c r="BC11" i="1"/>
  <c r="BB11" i="1"/>
  <c r="BA11" i="1"/>
  <c r="AZ11" i="1"/>
  <c r="BI11" i="1" s="1"/>
  <c r="AY11" i="1"/>
  <c r="BR10" i="1"/>
  <c r="BP10" i="1"/>
  <c r="BK10" i="1"/>
  <c r="BJ10" i="1"/>
  <c r="BH10" i="1"/>
  <c r="BG10" i="1"/>
  <c r="BF10" i="1"/>
  <c r="BE10" i="1"/>
  <c r="BD10" i="1"/>
  <c r="BC10" i="1"/>
  <c r="BB10" i="1"/>
  <c r="BA10" i="1"/>
  <c r="AZ10" i="1"/>
  <c r="BI10" i="1" s="1"/>
  <c r="AY10" i="1"/>
  <c r="BR9" i="1"/>
  <c r="BP9" i="1"/>
  <c r="BK9" i="1"/>
  <c r="BJ9" i="1"/>
  <c r="BH9" i="1"/>
  <c r="BG9" i="1"/>
  <c r="BF9" i="1"/>
  <c r="BE9" i="1"/>
  <c r="BD9" i="1"/>
  <c r="BC9" i="1"/>
  <c r="BB9" i="1"/>
  <c r="BA9" i="1"/>
  <c r="AZ9" i="1"/>
  <c r="BI9" i="1" s="1"/>
  <c r="AY9" i="1"/>
  <c r="BR8" i="1"/>
  <c r="BP8" i="1"/>
  <c r="BK8" i="1"/>
  <c r="BJ8" i="1"/>
  <c r="BH8" i="1"/>
  <c r="BG8" i="1"/>
  <c r="BF8" i="1"/>
  <c r="BE8" i="1"/>
  <c r="BD8" i="1"/>
  <c r="BC8" i="1"/>
  <c r="BB8" i="1"/>
  <c r="BA8" i="1"/>
  <c r="AZ8" i="1"/>
  <c r="BI8" i="1" s="1"/>
  <c r="AY8" i="1"/>
  <c r="BR7" i="1"/>
  <c r="BP7" i="1"/>
  <c r="BK7" i="1"/>
  <c r="BJ7" i="1"/>
  <c r="BH7" i="1"/>
  <c r="BG7" i="1"/>
  <c r="BF7" i="1"/>
  <c r="BE7" i="1"/>
  <c r="BD7" i="1"/>
  <c r="BC7" i="1"/>
  <c r="BB7" i="1"/>
  <c r="BA7" i="1"/>
  <c r="AZ7" i="1"/>
  <c r="BI7" i="1" s="1"/>
  <c r="AY7" i="1"/>
  <c r="BR6" i="1"/>
  <c r="BP6" i="1"/>
  <c r="BK6" i="1"/>
  <c r="BJ6" i="1"/>
  <c r="BH6" i="1"/>
  <c r="BG6" i="1"/>
  <c r="BF6" i="1"/>
  <c r="BE6" i="1"/>
  <c r="BD6" i="1"/>
  <c r="BC6" i="1"/>
  <c r="BB6" i="1"/>
  <c r="BA6" i="1"/>
  <c r="AZ6" i="1"/>
  <c r="BI6" i="1" s="1"/>
  <c r="AY6" i="1"/>
  <c r="BR5" i="1"/>
  <c r="BP5" i="1"/>
  <c r="BK5" i="1"/>
  <c r="BJ5" i="1"/>
  <c r="BH5" i="1"/>
  <c r="BG5" i="1"/>
  <c r="BF5" i="1"/>
  <c r="BE5" i="1"/>
  <c r="BD5" i="1"/>
  <c r="BC5" i="1"/>
  <c r="BB5" i="1"/>
  <c r="BA5" i="1"/>
  <c r="AZ5" i="1"/>
  <c r="BI5" i="1" s="1"/>
  <c r="AY5" i="1"/>
  <c r="BR4" i="1"/>
  <c r="BP4" i="1"/>
  <c r="BK4" i="1"/>
  <c r="BJ4" i="1"/>
  <c r="BH4" i="1"/>
  <c r="BG4" i="1"/>
  <c r="BF4" i="1"/>
  <c r="BE4" i="1"/>
  <c r="BD4" i="1"/>
  <c r="BC4" i="1"/>
  <c r="BB4" i="1"/>
  <c r="BA4" i="1"/>
  <c r="AZ4" i="1"/>
  <c r="BI4" i="1" s="1"/>
  <c r="AY4" i="1"/>
  <c r="BR3" i="1"/>
  <c r="BP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BK2" i="1"/>
  <c r="BJ2" i="1"/>
  <c r="BH2" i="1"/>
  <c r="BG2" i="1"/>
  <c r="BF2" i="1"/>
  <c r="BE2" i="1"/>
  <c r="BD2" i="1"/>
  <c r="BC2" i="1"/>
  <c r="BB2" i="1"/>
  <c r="BA2" i="1"/>
  <c r="AZ2" i="1"/>
  <c r="AY2" i="1"/>
  <c r="BI266" i="1" l="1"/>
  <c r="BI268" i="1"/>
  <c r="BI351" i="1"/>
  <c r="BI451" i="1"/>
  <c r="BI572" i="1"/>
  <c r="BI652" i="1"/>
  <c r="BI703" i="1"/>
  <c r="BI748" i="1"/>
  <c r="BI863" i="1"/>
  <c r="BI972" i="1"/>
  <c r="BI102" i="1"/>
  <c r="BI38" i="1"/>
  <c r="BI110" i="1"/>
  <c r="BI166" i="1"/>
  <c r="BI241" i="1"/>
  <c r="BI303" i="1"/>
  <c r="BI305" i="1"/>
  <c r="BI1055" i="1"/>
  <c r="BI174" i="1"/>
  <c r="BI375" i="1"/>
  <c r="BI1079" i="1"/>
  <c r="BI78" i="1"/>
  <c r="BI190" i="1"/>
  <c r="BI538" i="1"/>
  <c r="BI612" i="1"/>
  <c r="BI671" i="1"/>
  <c r="BI716" i="1"/>
  <c r="BI983" i="1"/>
  <c r="CG237" i="2"/>
  <c r="CG233" i="2"/>
  <c r="CG229" i="2"/>
  <c r="CG225" i="2"/>
  <c r="CG221" i="2"/>
  <c r="CG217" i="2"/>
  <c r="CG213" i="2"/>
  <c r="CG209" i="2"/>
  <c r="CG205" i="2"/>
  <c r="CG201" i="2"/>
  <c r="CG197" i="2"/>
  <c r="CG193" i="2"/>
  <c r="CG189" i="2"/>
  <c r="CG185" i="2"/>
  <c r="CG181" i="2"/>
  <c r="CG177" i="2"/>
  <c r="CG173" i="2"/>
  <c r="CG169" i="2"/>
  <c r="CG165" i="2"/>
  <c r="CG161" i="2"/>
  <c r="CG157" i="2"/>
  <c r="CG153" i="2"/>
  <c r="CG149" i="2"/>
  <c r="CG145" i="2"/>
  <c r="CG141" i="2"/>
  <c r="CG137" i="2"/>
  <c r="CG133" i="2"/>
  <c r="CG129" i="2"/>
  <c r="CG125" i="2"/>
  <c r="CG121" i="2"/>
  <c r="CG117" i="2"/>
  <c r="CG113" i="2"/>
  <c r="CG109" i="2"/>
  <c r="CG105" i="2"/>
  <c r="CG101" i="2"/>
  <c r="CG97" i="2"/>
  <c r="CG93" i="2"/>
  <c r="CG89" i="2"/>
  <c r="CG85" i="2"/>
  <c r="CG81" i="2"/>
  <c r="CG77" i="2"/>
  <c r="CG73" i="2"/>
  <c r="CG69" i="2"/>
  <c r="CG65" i="2"/>
  <c r="CG61" i="2"/>
  <c r="CG57" i="2"/>
  <c r="CG53" i="2"/>
  <c r="CG49" i="2"/>
  <c r="CG45" i="2"/>
  <c r="CG41" i="2"/>
  <c r="CG37" i="2"/>
  <c r="CG33" i="2"/>
  <c r="CG29" i="2"/>
  <c r="CG25" i="2"/>
  <c r="CG236" i="2"/>
  <c r="CG228" i="2"/>
  <c r="CG220" i="2"/>
  <c r="CG212" i="2"/>
  <c r="CG196" i="2"/>
  <c r="CG180" i="2"/>
  <c r="CG172" i="2"/>
  <c r="CG164" i="2"/>
  <c r="CG156" i="2"/>
  <c r="CG148" i="2"/>
  <c r="CG132" i="2"/>
  <c r="CG116" i="2"/>
  <c r="CG108" i="2"/>
  <c r="CG100" i="2"/>
  <c r="CG92" i="2"/>
  <c r="CG84" i="2"/>
  <c r="CG68" i="2"/>
  <c r="CG52" i="2"/>
  <c r="CG44" i="2"/>
  <c r="CG36" i="2"/>
  <c r="CG28" i="2"/>
  <c r="CG227" i="2"/>
  <c r="CG231" i="2"/>
  <c r="CG163" i="2"/>
  <c r="CG83" i="2"/>
  <c r="CG235" i="2"/>
  <c r="CG223" i="2"/>
  <c r="CG219" i="2"/>
  <c r="CG215" i="2"/>
  <c r="CG211" i="2"/>
  <c r="CG207" i="2"/>
  <c r="CG203" i="2"/>
  <c r="CG199" i="2"/>
  <c r="CG195" i="2"/>
  <c r="CG191" i="2"/>
  <c r="CG187" i="2"/>
  <c r="CG183" i="2"/>
  <c r="CG179" i="2"/>
  <c r="CG175" i="2"/>
  <c r="CG171" i="2"/>
  <c r="CG167" i="2"/>
  <c r="CG159" i="2"/>
  <c r="CG155" i="2"/>
  <c r="CG151" i="2"/>
  <c r="CG147" i="2"/>
  <c r="CG143" i="2"/>
  <c r="CG139" i="2"/>
  <c r="CG135" i="2"/>
  <c r="CG131" i="2"/>
  <c r="CG127" i="2"/>
  <c r="CG123" i="2"/>
  <c r="CG119" i="2"/>
  <c r="CG115" i="2"/>
  <c r="CG111" i="2"/>
  <c r="CG107" i="2"/>
  <c r="CG103" i="2"/>
  <c r="CG99" i="2"/>
  <c r="CG95" i="2"/>
  <c r="CG91" i="2"/>
  <c r="CG87" i="2"/>
  <c r="CG79" i="2"/>
  <c r="CG75" i="2"/>
  <c r="CG71" i="2"/>
  <c r="CG67" i="2"/>
  <c r="CG63" i="2"/>
  <c r="CG59" i="2"/>
  <c r="CG55" i="2"/>
  <c r="CG51" i="2"/>
  <c r="CG47" i="2"/>
  <c r="CG43" i="2"/>
  <c r="CG39" i="2"/>
  <c r="CG35" i="2"/>
  <c r="CG31" i="2"/>
  <c r="CG27" i="2"/>
  <c r="CG23" i="2"/>
  <c r="CG204" i="2"/>
  <c r="CG188" i="2"/>
  <c r="CG140" i="2"/>
  <c r="CG124" i="2"/>
  <c r="CG76" i="2"/>
  <c r="CG60" i="2"/>
  <c r="CG232" i="2"/>
  <c r="CG224" i="2"/>
  <c r="CG216" i="2"/>
  <c r="CG208" i="2"/>
  <c r="CG200" i="2"/>
  <c r="CG192" i="2"/>
  <c r="CG184" i="2"/>
  <c r="CG176" i="2"/>
  <c r="CG168" i="2"/>
  <c r="CG160" i="2"/>
  <c r="CG152" i="2"/>
  <c r="CG144" i="2"/>
  <c r="CG136" i="2"/>
  <c r="CG128" i="2"/>
  <c r="CG120" i="2"/>
  <c r="CG112" i="2"/>
  <c r="CG104" i="2"/>
  <c r="CG96" i="2"/>
  <c r="CG88" i="2"/>
  <c r="CG80" i="2"/>
  <c r="CG72" i="2"/>
  <c r="CG64" i="2"/>
  <c r="CG56" i="2"/>
  <c r="CG48" i="2"/>
  <c r="CG40" i="2"/>
  <c r="CG32" i="2"/>
  <c r="CG24" i="2"/>
  <c r="CG238" i="2"/>
  <c r="CG234" i="2"/>
  <c r="CG230" i="2"/>
  <c r="CG226" i="2"/>
  <c r="CG222" i="2"/>
  <c r="CG218" i="2"/>
  <c r="CG214" i="2"/>
  <c r="CG210" i="2"/>
  <c r="CG206" i="2"/>
  <c r="CG202" i="2"/>
  <c r="CG198" i="2"/>
  <c r="CG194" i="2"/>
  <c r="CG190" i="2"/>
  <c r="CG186" i="2"/>
  <c r="CG182" i="2"/>
  <c r="CG178" i="2"/>
  <c r="CG174" i="2"/>
  <c r="CG170" i="2"/>
  <c r="CG166" i="2"/>
  <c r="CG162" i="2"/>
  <c r="CG158" i="2"/>
  <c r="CG154" i="2"/>
  <c r="CG150" i="2"/>
  <c r="CG146" i="2"/>
  <c r="CG142" i="2"/>
  <c r="CG138" i="2"/>
  <c r="CG134" i="2"/>
  <c r="CG130" i="2"/>
  <c r="CG126" i="2"/>
  <c r="CG122" i="2"/>
  <c r="CG118" i="2"/>
  <c r="CG114" i="2"/>
  <c r="CG110" i="2"/>
  <c r="CG106" i="2"/>
  <c r="CG102" i="2"/>
  <c r="CG98" i="2"/>
  <c r="CG94" i="2"/>
  <c r="CG90" i="2"/>
  <c r="CG86" i="2"/>
  <c r="CG82" i="2"/>
  <c r="CG78" i="2"/>
  <c r="CG74" i="2"/>
  <c r="CG70" i="2"/>
  <c r="CG66" i="2"/>
  <c r="CG62" i="2"/>
  <c r="CG58" i="2"/>
  <c r="CG54" i="2"/>
  <c r="CG50" i="2"/>
  <c r="CG46" i="2"/>
  <c r="CG42" i="2"/>
  <c r="CG38" i="2"/>
  <c r="CG34" i="2"/>
  <c r="CG30" i="2"/>
  <c r="CG26" i="2"/>
  <c r="BW14" i="1"/>
  <c r="BX14" i="1" s="1"/>
  <c r="BI94" i="1"/>
  <c r="BI158" i="1"/>
  <c r="BI213" i="1"/>
  <c r="BI311" i="1"/>
  <c r="BI335" i="1"/>
  <c r="BI382" i="1"/>
  <c r="BI511" i="1"/>
  <c r="BI559" i="1"/>
  <c r="BI617" i="1"/>
  <c r="BI655" i="1"/>
  <c r="BI657" i="1"/>
  <c r="BI903" i="1"/>
  <c r="BI1039" i="1"/>
  <c r="BI30" i="1"/>
  <c r="BI54" i="1"/>
  <c r="BI118" i="1"/>
  <c r="BI182" i="1"/>
  <c r="BI226" i="1"/>
  <c r="BI263" i="1"/>
  <c r="BI300" i="1"/>
  <c r="BI367" i="1"/>
  <c r="BI446" i="1"/>
  <c r="BI483" i="1"/>
  <c r="BI663" i="1"/>
  <c r="BI721" i="1"/>
  <c r="BI839" i="1"/>
  <c r="BI967" i="1"/>
  <c r="BI1103" i="1"/>
  <c r="BW6" i="1"/>
  <c r="BX6" i="1" s="1"/>
  <c r="BU21" i="1"/>
  <c r="BV21" i="1" s="1"/>
  <c r="BI62" i="1"/>
  <c r="BI126" i="1"/>
  <c r="BI234" i="1"/>
  <c r="BI236" i="1"/>
  <c r="BI273" i="1"/>
  <c r="BI383" i="1"/>
  <c r="BI433" i="1"/>
  <c r="BI631" i="1"/>
  <c r="BI791" i="1"/>
  <c r="BI913" i="1"/>
  <c r="BI915" i="1"/>
  <c r="BW26" i="1"/>
  <c r="BX26" i="1" s="1"/>
  <c r="BI86" i="1"/>
  <c r="BI150" i="1"/>
  <c r="BI216" i="1"/>
  <c r="BI415" i="1"/>
  <c r="BI419" i="1"/>
  <c r="BI428" i="1"/>
  <c r="BI439" i="1"/>
  <c r="BI447" i="1"/>
  <c r="BI514" i="1"/>
  <c r="BI530" i="1"/>
  <c r="BI566" i="1"/>
  <c r="BI577" i="1"/>
  <c r="BI599" i="1"/>
  <c r="BI711" i="1"/>
  <c r="BI908" i="1"/>
  <c r="BI940" i="1"/>
  <c r="BI977" i="1"/>
  <c r="BS18" i="1"/>
  <c r="BT18" i="1" s="1"/>
  <c r="BU5" i="1"/>
  <c r="BV5" i="1" s="1"/>
  <c r="BW7" i="1"/>
  <c r="BX7" i="1" s="1"/>
  <c r="BU9" i="1"/>
  <c r="BV9" i="1" s="1"/>
  <c r="BU17" i="1"/>
  <c r="BV17" i="1" s="1"/>
  <c r="BW15" i="1"/>
  <c r="BX15" i="1" s="1"/>
  <c r="BW23" i="1"/>
  <c r="BX23" i="1" s="1"/>
  <c r="BU25" i="1"/>
  <c r="BV25" i="1" s="1"/>
  <c r="BW4" i="1"/>
  <c r="BX4" i="1" s="1"/>
  <c r="BU6" i="1"/>
  <c r="BV6" i="1" s="1"/>
  <c r="BW12" i="1"/>
  <c r="BX12" i="1" s="1"/>
  <c r="BU14" i="1"/>
  <c r="BV14" i="1" s="1"/>
  <c r="BW20" i="1"/>
  <c r="BX20" i="1" s="1"/>
  <c r="BU22" i="1"/>
  <c r="BV22" i="1" s="1"/>
  <c r="BU3" i="1"/>
  <c r="BV3" i="1" s="1"/>
  <c r="BW9" i="1"/>
  <c r="BX9" i="1" s="1"/>
  <c r="BU11" i="1"/>
  <c r="BV11" i="1" s="1"/>
  <c r="BS13" i="1"/>
  <c r="BT13" i="1" s="1"/>
  <c r="BW17" i="1"/>
  <c r="BX17" i="1" s="1"/>
  <c r="BU19" i="1"/>
  <c r="BV19" i="1" s="1"/>
  <c r="BW25" i="1"/>
  <c r="BX25" i="1" s="1"/>
  <c r="BI203" i="1"/>
  <c r="BI251" i="1"/>
  <c r="BI283" i="1"/>
  <c r="BI356" i="1"/>
  <c r="BI449" i="1"/>
  <c r="BI521" i="1"/>
  <c r="BI668" i="1"/>
  <c r="BI738" i="1"/>
  <c r="BI790" i="1"/>
  <c r="BI1062" i="1"/>
  <c r="BI1115" i="1"/>
  <c r="BW16" i="1"/>
  <c r="BX16" i="1" s="1"/>
  <c r="BU18" i="1"/>
  <c r="BV18" i="1" s="1"/>
  <c r="BW24" i="1"/>
  <c r="BX24" i="1" s="1"/>
  <c r="BU26" i="1"/>
  <c r="BV26" i="1" s="1"/>
  <c r="BI622" i="1"/>
  <c r="BI886" i="1"/>
  <c r="BI954" i="1"/>
  <c r="BI987" i="1"/>
  <c r="BI243" i="1"/>
  <c r="BI275" i="1"/>
  <c r="BI388" i="1"/>
  <c r="BI444" i="1"/>
  <c r="BI698" i="1"/>
  <c r="BI731" i="1"/>
  <c r="BI834" i="1"/>
  <c r="BI875" i="1"/>
  <c r="BI1020" i="1"/>
  <c r="BI1102" i="1"/>
  <c r="BU8" i="1"/>
  <c r="BV8" i="1" s="1"/>
  <c r="BU16" i="1"/>
  <c r="BV16" i="1" s="1"/>
  <c r="BW22" i="1"/>
  <c r="BX22" i="1" s="1"/>
  <c r="BU24" i="1"/>
  <c r="BV24" i="1" s="1"/>
  <c r="BW3" i="1"/>
  <c r="BX3" i="1" s="1"/>
  <c r="BW11" i="1"/>
  <c r="BX11" i="1" s="1"/>
  <c r="BU13" i="1"/>
  <c r="BV13" i="1" s="1"/>
  <c r="BW19" i="1"/>
  <c r="BX19" i="1" s="1"/>
  <c r="BW8" i="1"/>
  <c r="BX8" i="1" s="1"/>
  <c r="BU10" i="1"/>
  <c r="BV10" i="1" s="1"/>
  <c r="BI2" i="1"/>
  <c r="BW5" i="1"/>
  <c r="BX5" i="1" s="1"/>
  <c r="BU7" i="1"/>
  <c r="BV7" i="1" s="1"/>
  <c r="BW13" i="1"/>
  <c r="BX13" i="1" s="1"/>
  <c r="BU15" i="1"/>
  <c r="BV15" i="1" s="1"/>
  <c r="BS17" i="1"/>
  <c r="BT17" i="1" s="1"/>
  <c r="BW21" i="1"/>
  <c r="BX21" i="1" s="1"/>
  <c r="BU23" i="1"/>
  <c r="BV23" i="1" s="1"/>
  <c r="BU4" i="1"/>
  <c r="BV4" i="1" s="1"/>
  <c r="BS6" i="1"/>
  <c r="BT6" i="1" s="1"/>
  <c r="BW10" i="1"/>
  <c r="BX10" i="1" s="1"/>
  <c r="BU12" i="1"/>
  <c r="BV12" i="1" s="1"/>
  <c r="BS14" i="1"/>
  <c r="BT14" i="1" s="1"/>
  <c r="BW18" i="1"/>
  <c r="BX18" i="1" s="1"/>
  <c r="BU20" i="1"/>
  <c r="BV20" i="1" s="1"/>
  <c r="BI245" i="1"/>
  <c r="BI277" i="1"/>
  <c r="BI316" i="1"/>
  <c r="BI353" i="1"/>
  <c r="BI362" i="1"/>
  <c r="BI425" i="1"/>
  <c r="BI468" i="1"/>
  <c r="BI495" i="1"/>
  <c r="BI769" i="1"/>
  <c r="BI819" i="1"/>
  <c r="BI870" i="1"/>
  <c r="BI1050" i="1"/>
  <c r="BI469" i="1"/>
  <c r="BI578" i="1"/>
  <c r="BI634" i="1"/>
  <c r="BI662" i="1"/>
  <c r="BI730" i="1"/>
  <c r="BI859" i="1"/>
  <c r="BI866" i="1"/>
  <c r="BI918" i="1"/>
  <c r="BI1014" i="1"/>
  <c r="BI1051" i="1"/>
  <c r="BI1058" i="1"/>
  <c r="BI314" i="1"/>
  <c r="BI346" i="1"/>
  <c r="BI478" i="1"/>
  <c r="BI519" i="1"/>
  <c r="BI758" i="1"/>
  <c r="BS16" i="1" s="1"/>
  <c r="BT16" i="1" s="1"/>
  <c r="BI603" i="1"/>
  <c r="BI610" i="1"/>
  <c r="BI666" i="1"/>
  <c r="BI795" i="1"/>
  <c r="BI802" i="1"/>
  <c r="BS9" i="1" s="1"/>
  <c r="BT9" i="1" s="1"/>
  <c r="BI854" i="1"/>
  <c r="BS10" i="1" s="1"/>
  <c r="BT10" i="1" s="1"/>
  <c r="BI922" i="1"/>
  <c r="BI1018" i="1"/>
  <c r="BI1046" i="1"/>
  <c r="BI1083" i="1"/>
  <c r="BI1090" i="1"/>
  <c r="BI298" i="1"/>
  <c r="BI338" i="1"/>
  <c r="BI370" i="1"/>
  <c r="BI402" i="1"/>
  <c r="BI434" i="1"/>
  <c r="BI473" i="1"/>
  <c r="BI570" i="1"/>
  <c r="BI694" i="1"/>
  <c r="BI762" i="1"/>
  <c r="BS5" i="1" s="1"/>
  <c r="BT5" i="1" s="1"/>
  <c r="BI891" i="1"/>
  <c r="BI898" i="1"/>
  <c r="BI950" i="1"/>
  <c r="BI509" i="1"/>
  <c r="BI554" i="1"/>
  <c r="BS4" i="1" s="1"/>
  <c r="BT4" i="1" s="1"/>
  <c r="BI586" i="1"/>
  <c r="BI618" i="1"/>
  <c r="BI650" i="1"/>
  <c r="BI682" i="1"/>
  <c r="BI714" i="1"/>
  <c r="BI746" i="1"/>
  <c r="BI778" i="1"/>
  <c r="BI810" i="1"/>
  <c r="BI842" i="1"/>
  <c r="BI874" i="1"/>
  <c r="BI906" i="1"/>
  <c r="BI938" i="1"/>
  <c r="BI970" i="1"/>
  <c r="BI1002" i="1"/>
  <c r="BI1034" i="1"/>
  <c r="BI1066" i="1"/>
  <c r="BI1098" i="1"/>
  <c r="BS21" i="1" s="1"/>
  <c r="BT21" i="1" s="1"/>
  <c r="BI501" i="1"/>
  <c r="BS23" i="1" l="1"/>
  <c r="BT23" i="1" s="1"/>
  <c r="BS20" i="1"/>
  <c r="BT20" i="1" s="1"/>
  <c r="BS8" i="1"/>
  <c r="BT8" i="1" s="1"/>
  <c r="BS19" i="1"/>
  <c r="BT19" i="1" s="1"/>
  <c r="BS24" i="1"/>
  <c r="BT24" i="1" s="1"/>
  <c r="BS22" i="1"/>
  <c r="BT22" i="1" s="1"/>
  <c r="BS7" i="1"/>
  <c r="BT7" i="1" s="1"/>
  <c r="BS15" i="1"/>
  <c r="BT15" i="1" s="1"/>
  <c r="BS12" i="1"/>
  <c r="BT12" i="1" s="1"/>
  <c r="BS25" i="1"/>
  <c r="BT25" i="1" s="1"/>
  <c r="BS3" i="1"/>
  <c r="BT3" i="1" s="1"/>
  <c r="BS26" i="1"/>
  <c r="BT26" i="1" s="1"/>
  <c r="BV27" i="1"/>
  <c r="BX27" i="1"/>
  <c r="BS11" i="1"/>
  <c r="BT11" i="1" s="1"/>
  <c r="BT27" i="1" l="1"/>
</calcChain>
</file>

<file path=xl/sharedStrings.xml><?xml version="1.0" encoding="utf-8"?>
<sst xmlns="http://schemas.openxmlformats.org/spreadsheetml/2006/main" count="123927" uniqueCount="14329">
  <si>
    <t>LINEA_NEGOCIO</t>
  </si>
  <si>
    <t>NUM_TELEFONICO</t>
  </si>
  <si>
    <t>ACCOUNT_NUM</t>
  </si>
  <si>
    <t>FECHA_ALTA</t>
  </si>
  <si>
    <t>ESTADO_ABONADO</t>
  </si>
  <si>
    <t>CLIENTE</t>
  </si>
  <si>
    <t>DOCUMENTO_CLIENTE</t>
  </si>
  <si>
    <t>TIPO_DOC_CLIENTE</t>
  </si>
  <si>
    <t>PLAN_CODIGO</t>
  </si>
  <si>
    <t>PlanDesc</t>
  </si>
  <si>
    <t>LOCALIZACION</t>
  </si>
  <si>
    <t>IMEI</t>
  </si>
  <si>
    <t>EQUIPO</t>
  </si>
  <si>
    <t>ICCID</t>
  </si>
  <si>
    <t>SUB_SEGMENTO</t>
  </si>
  <si>
    <t>SEGMENTO</t>
  </si>
  <si>
    <t>FECHA_PROCESO</t>
  </si>
  <si>
    <t>TARIFA_BASICA</t>
  </si>
  <si>
    <t>CATEGORIA_PLAN</t>
  </si>
  <si>
    <t>Oficina</t>
  </si>
  <si>
    <t>PORTABILIDAD</t>
  </si>
  <si>
    <t>Operadora_origen</t>
  </si>
  <si>
    <t>RESEGMENTAR</t>
  </si>
  <si>
    <t>FORMA_PAGO</t>
  </si>
  <si>
    <t>CANAL_COMERCIAL</t>
  </si>
  <si>
    <t>CODIGO_DISTRIBUIDOR</t>
  </si>
  <si>
    <t>FORMA_PAGO_FINAL</t>
  </si>
  <si>
    <t>USUARIO</t>
  </si>
  <si>
    <t>NOMBRE_USUARIO</t>
  </si>
  <si>
    <t>CANAL_COMERCIAL_FINAL</t>
  </si>
  <si>
    <t>NOM_DISTRIBUIDOR_FINAL</t>
  </si>
  <si>
    <t>NOM_PLAZA_FINAL</t>
  </si>
  <si>
    <t>REGION_FINAL</t>
  </si>
  <si>
    <t>TIPO_MOVIMIENTO</t>
  </si>
  <si>
    <t>PARQUE</t>
  </si>
  <si>
    <t>FECHA_ALTA_VALIDA</t>
  </si>
  <si>
    <t>FECHA_FACTURA</t>
  </si>
  <si>
    <t>LINEA_NEGOCIO1</t>
  </si>
  <si>
    <t>CLASIFICACION</t>
  </si>
  <si>
    <t>TIPO_DOCUMENTO</t>
  </si>
  <si>
    <t>MODELO_TERMINAL</t>
  </si>
  <si>
    <t>CANTIDAD</t>
  </si>
  <si>
    <t>MONTO</t>
  </si>
  <si>
    <t>TIPO_VENTA</t>
  </si>
  <si>
    <t>ALTA_CON_TERMINAL</t>
  </si>
  <si>
    <t>PLANES TELEVENTAS</t>
  </si>
  <si>
    <t>PREVIO PAGO</t>
  </si>
  <si>
    <t>DESCRIPCION_SLO</t>
  </si>
  <si>
    <t>IP'S</t>
  </si>
  <si>
    <t>Dolarazo</t>
  </si>
  <si>
    <t>CRUCE_CNET</t>
  </si>
  <si>
    <t>LOCALES</t>
  </si>
  <si>
    <t>EJECUTIVO</t>
  </si>
  <si>
    <t>TIPO</t>
  </si>
  <si>
    <t>DIA</t>
  </si>
  <si>
    <t>PLAN $11,42</t>
  </si>
  <si>
    <t>PLAN TELE</t>
  </si>
  <si>
    <t>PLANES TOTAL</t>
  </si>
  <si>
    <t>PLANES $11,42 Y TELE</t>
  </si>
  <si>
    <t>MODABILIDAD ACT.</t>
  </si>
  <si>
    <t>COMISION UPFRONT</t>
  </si>
  <si>
    <t>COMISION BC</t>
  </si>
  <si>
    <t>COMISION BF</t>
  </si>
  <si>
    <t>Unitarios TB</t>
  </si>
  <si>
    <t>POSPAGO VPN</t>
  </si>
  <si>
    <t>939340113</t>
  </si>
  <si>
    <t>45635858</t>
  </si>
  <si>
    <t>AAA</t>
  </si>
  <si>
    <t>JENNY ELIZABETH MORILLO TERAN</t>
  </si>
  <si>
    <t>0105015911</t>
  </si>
  <si>
    <t>CÉDULA</t>
  </si>
  <si>
    <t>P0169</t>
  </si>
  <si>
    <t>PREVIOPAGO PLAN MOVISTAR STARTER</t>
  </si>
  <si>
    <t>CUENCA</t>
  </si>
  <si>
    <t>100104381945251</t>
  </si>
  <si>
    <t>EXTERNO</t>
  </si>
  <si>
    <t>8959300120521835035</t>
  </si>
  <si>
    <t>MASIVOS</t>
  </si>
  <si>
    <t>INDIVIDUAL</t>
  </si>
  <si>
    <t>VOZ</t>
  </si>
  <si>
    <t>CAVS AE SALESLAND CUENCA CENTRO</t>
  </si>
  <si>
    <t>SI</t>
  </si>
  <si>
    <t>CLARO (CONECEL)</t>
  </si>
  <si>
    <t>NO</t>
  </si>
  <si>
    <t>Débito Directo Banco</t>
  </si>
  <si>
    <t>AGENTE ESPECIALIZADO</t>
  </si>
  <si>
    <t>SALPOS5604</t>
  </si>
  <si>
    <t>DOMICILIADO</t>
  </si>
  <si>
    <t>NAE108007</t>
  </si>
  <si>
    <t>AE SALESLAND CUENCA CENTRO (ANDRADE CHRISTIAN)</t>
  </si>
  <si>
    <t>SALESLAND</t>
  </si>
  <si>
    <t>AE SALESLAND CUENCA CENTRO</t>
  </si>
  <si>
    <t>AUSTRO</t>
  </si>
  <si>
    <t>ALTAS</t>
  </si>
  <si>
    <t>PARQUE INDIVIDUOS</t>
  </si>
  <si>
    <t/>
  </si>
  <si>
    <t>PREPAGO</t>
  </si>
  <si>
    <t>TIENDA</t>
  </si>
  <si>
    <t>TIPO ALTA</t>
  </si>
  <si>
    <t>CRUCETIENDA</t>
  </si>
  <si>
    <t>CRUCE</t>
  </si>
  <si>
    <t>MetaTM</t>
  </si>
  <si>
    <t>PROM. UNI TB</t>
  </si>
  <si>
    <t>TOTAL UNI TB</t>
  </si>
  <si>
    <t>PROM. UNI BCM</t>
  </si>
  <si>
    <t>TOTAL UNI BCM</t>
  </si>
  <si>
    <t>PROM. UNI BFQ</t>
  </si>
  <si>
    <t>TOTAL UNI BFQ</t>
  </si>
  <si>
    <t>939872454</t>
  </si>
  <si>
    <t>45636173</t>
  </si>
  <si>
    <t>ANDREA TERESA AGUILAR SILVERIO</t>
  </si>
  <si>
    <t>0704815174</t>
  </si>
  <si>
    <t>P0177</t>
  </si>
  <si>
    <t>PREVIOPAGO PLAN MOVISTAR BRONZE</t>
  </si>
  <si>
    <t>MACHALA</t>
  </si>
  <si>
    <t>532745751192847</t>
  </si>
  <si>
    <t>8959300120522637232</t>
  </si>
  <si>
    <t>CAVS AE SALESLAND MACHALA</t>
  </si>
  <si>
    <t>Efectivo</t>
  </si>
  <si>
    <t>PAGO EN CAJA</t>
  </si>
  <si>
    <t>NAE107726</t>
  </si>
  <si>
    <t>AE SALESLAND MACHALA (ARROBO YADIRA)</t>
  </si>
  <si>
    <t>AE SALESLAND MACHALA</t>
  </si>
  <si>
    <t>TIENDA AMERICA</t>
  </si>
  <si>
    <t>ALTAS DOMICILIADO</t>
  </si>
  <si>
    <t>MetaAltaDomTM</t>
  </si>
  <si>
    <t>958600549</t>
  </si>
  <si>
    <t>45681281</t>
  </si>
  <si>
    <t>REINALDO CEVALLOS SEGUNDO</t>
  </si>
  <si>
    <t>1703385219</t>
  </si>
  <si>
    <t>P0155</t>
  </si>
  <si>
    <t>PREVIOPAGO PLAN MOVISTAR ADULTO</t>
  </si>
  <si>
    <t>QUITO</t>
  </si>
  <si>
    <t>982936813015051</t>
  </si>
  <si>
    <t>8959300120522633124</t>
  </si>
  <si>
    <t>CAVS AE SALESLAND AMERICA</t>
  </si>
  <si>
    <t>NAE107916</t>
  </si>
  <si>
    <t>CAVS AE SALESLAND CONDADO (SALVATIERRA JULIAN)</t>
  </si>
  <si>
    <t>AE SALESLAND AMERICA</t>
  </si>
  <si>
    <t>SIERRA</t>
  </si>
  <si>
    <t>TRANSFERENCIAS DOMICILIADO</t>
  </si>
  <si>
    <t>MetaTransferDomTM</t>
  </si>
  <si>
    <t>958604796</t>
  </si>
  <si>
    <t>45617472</t>
  </si>
  <si>
    <t>NICOLAS ANDRES LEON DELGADO</t>
  </si>
  <si>
    <t>0105687214</t>
  </si>
  <si>
    <t>509639169552800</t>
  </si>
  <si>
    <t>8959300120525774644</t>
  </si>
  <si>
    <t>CAVS AE SALESLAND CUENCA REMIGIO</t>
  </si>
  <si>
    <t>NAE107674</t>
  </si>
  <si>
    <t>AE SALESMAN CUENCA REMIGIO (OSORIO ANA)</t>
  </si>
  <si>
    <t>AE SALESLAND CUENCA REMIGIO</t>
  </si>
  <si>
    <t>ALTAS PAGO EN CAJA</t>
  </si>
  <si>
    <t>MetaAltaPagoCaja</t>
  </si>
  <si>
    <t>Pospago VPN</t>
  </si>
  <si>
    <t>958608516</t>
  </si>
  <si>
    <t>45623159</t>
  </si>
  <si>
    <t>RUBEN FRANCISCO CASTRO VILLALOBOS</t>
  </si>
  <si>
    <t>0908595127</t>
  </si>
  <si>
    <t>Cédula</t>
  </si>
  <si>
    <t>P0173</t>
  </si>
  <si>
    <t>PREVIOPAGO PLAN MOVISTAR BASIC PLUS.</t>
  </si>
  <si>
    <t>919411815313548</t>
  </si>
  <si>
    <t>8959300320533403620</t>
  </si>
  <si>
    <t>CICLO ANTICIPADO NUEVOS INDIVIDUALES</t>
  </si>
  <si>
    <t>TRANSFERENCIAS</t>
  </si>
  <si>
    <t>TRANSFERENCIAS PAGO EN CAJA</t>
  </si>
  <si>
    <t>MetaTransferPagoCaja</t>
  </si>
  <si>
    <t>958621150</t>
  </si>
  <si>
    <t>45624618</t>
  </si>
  <si>
    <t>LUIS EFRAIN CAIZA ASIMBAYA</t>
  </si>
  <si>
    <t>1705540571</t>
  </si>
  <si>
    <t>000000258694728</t>
  </si>
  <si>
    <t>8959300120522528761</t>
  </si>
  <si>
    <t>CAVS AE SALESLAND RECREO</t>
  </si>
  <si>
    <t>NAE109426</t>
  </si>
  <si>
    <t>AE SALESLAND RECREO (VARGAS LUIS)</t>
  </si>
  <si>
    <t>AE SALESLAND RECREO</t>
  </si>
  <si>
    <t>TIENDA CONDADO</t>
  </si>
  <si>
    <t>958628370</t>
  </si>
  <si>
    <t>43069032</t>
  </si>
  <si>
    <t>CHRISTIAN PAUL SALVADOR PALLASCO</t>
  </si>
  <si>
    <t>1721053757</t>
  </si>
  <si>
    <t>P0167</t>
  </si>
  <si>
    <t>PLAN MOVISTAR STARTER PLUS.</t>
  </si>
  <si>
    <t>000000225218486</t>
  </si>
  <si>
    <t>8959300520561492110</t>
  </si>
  <si>
    <t>NAE108058</t>
  </si>
  <si>
    <t>AE SALESLAND RECREO (ESPINOZA LAURA)</t>
  </si>
  <si>
    <t>958637950</t>
  </si>
  <si>
    <t>45696433</t>
  </si>
  <si>
    <t>DIEGO FERNANDO MEJIA VILLALVA</t>
  </si>
  <si>
    <t>1708885437</t>
  </si>
  <si>
    <t>PASAPORTE</t>
  </si>
  <si>
    <t>P0174</t>
  </si>
  <si>
    <t>PREVIOPAGO PLAN MOVISTAR BASIC P</t>
  </si>
  <si>
    <t>ELOY ALFARO (DURAN)</t>
  </si>
  <si>
    <t>332235473189562</t>
  </si>
  <si>
    <t>8959300520561485858</t>
  </si>
  <si>
    <t>NAE110468</t>
  </si>
  <si>
    <t>AE SALESLAND RECREO (MEDINA DAYANNA)</t>
  </si>
  <si>
    <t>958654058</t>
  </si>
  <si>
    <t>45690600</t>
  </si>
  <si>
    <t>HELEN SCARLET LAPO LAPO</t>
  </si>
  <si>
    <t>0706599206</t>
  </si>
  <si>
    <t>529800505981956</t>
  </si>
  <si>
    <t>8959300520560320403</t>
  </si>
  <si>
    <t>958689069</t>
  </si>
  <si>
    <t>45685742</t>
  </si>
  <si>
    <t>ERICK JACINTO AREVALO FLORES</t>
  </si>
  <si>
    <t>148205380</t>
  </si>
  <si>
    <t>UX</t>
  </si>
  <si>
    <t>FULL MEGAS GOLD</t>
  </si>
  <si>
    <t>459123973131184</t>
  </si>
  <si>
    <t>8959300520561493191</t>
  </si>
  <si>
    <t>Débito Directo Tarjeta</t>
  </si>
  <si>
    <t>TIENDA CUENCA CENTRO</t>
  </si>
  <si>
    <t>958692822</t>
  </si>
  <si>
    <t>45682557</t>
  </si>
  <si>
    <t>JULIA NARCISA SANCHEZ VERA</t>
  </si>
  <si>
    <t>0106814601</t>
  </si>
  <si>
    <t>019139870844847</t>
  </si>
  <si>
    <t>8959300520560328984</t>
  </si>
  <si>
    <t>958693472</t>
  </si>
  <si>
    <t>41778248</t>
  </si>
  <si>
    <t>TATIANA ELIZABETH LUDEÑA LUZURIAGA</t>
  </si>
  <si>
    <t>1104444284</t>
  </si>
  <si>
    <t>P0181</t>
  </si>
  <si>
    <t>PREVIOPAGO PLAN MOVISTAR SILVER</t>
  </si>
  <si>
    <t>543958906233948</t>
  </si>
  <si>
    <t>8959300120521827065</t>
  </si>
  <si>
    <t>ALTO VALOR</t>
  </si>
  <si>
    <t>CAVS AE SALESLAND CONDADO</t>
  </si>
  <si>
    <t>NAE104113</t>
  </si>
  <si>
    <t>SALESMAN RECREO (ROSALES JESSICA)</t>
  </si>
  <si>
    <t>AE SALESLAND CONDADO</t>
  </si>
  <si>
    <t>958694262</t>
  </si>
  <si>
    <t>45155491</t>
  </si>
  <si>
    <t>JULIA LORENA TERREROS IÑIGUEZ</t>
  </si>
  <si>
    <t>0103576187</t>
  </si>
  <si>
    <t>996508343120620</t>
  </si>
  <si>
    <t>8959300520560325915</t>
  </si>
  <si>
    <t>NAE104140</t>
  </si>
  <si>
    <t>SALESMAN CUENCA REMIGIO (VALLEJO ROMAN)</t>
  </si>
  <si>
    <t>958704076</t>
  </si>
  <si>
    <t>45630177</t>
  </si>
  <si>
    <t>SAA</t>
  </si>
  <si>
    <t>DIEGO ARMANDO LOZADA MALDONADO</t>
  </si>
  <si>
    <t>1715477277</t>
  </si>
  <si>
    <t>336999208226926</t>
  </si>
  <si>
    <t>8959300120522534074</t>
  </si>
  <si>
    <t>NAE109193</t>
  </si>
  <si>
    <t>AE SALESLAND RECREO (CRUZ KATHERINE)</t>
  </si>
  <si>
    <t>TIENDA CUENCA REMIGIO</t>
  </si>
  <si>
    <t>958709755</t>
  </si>
  <si>
    <t>45644948</t>
  </si>
  <si>
    <t>ANGHELO MARTIN CACHIMUEL PAREDES</t>
  </si>
  <si>
    <t>1750104075</t>
  </si>
  <si>
    <t>PREVIOPAGO PLAN MOVISTAR STARTER PLUS.</t>
  </si>
  <si>
    <t>GUAYAQUIL</t>
  </si>
  <si>
    <t>356045062686303</t>
  </si>
  <si>
    <t>8959300120522531534</t>
  </si>
  <si>
    <t>NAE104139</t>
  </si>
  <si>
    <t>SALESMAN RECREO (CHICAIZA ALEX)</t>
  </si>
  <si>
    <t>958710017</t>
  </si>
  <si>
    <t>45686430</t>
  </si>
  <si>
    <t>JOSE ALBERTO PERUGACHI CORTEZ</t>
  </si>
  <si>
    <t>1003382817</t>
  </si>
  <si>
    <t>PREVIOPAGO PLAN MOVISTAR BASIC PLUS FS.</t>
  </si>
  <si>
    <t>000000265579896</t>
  </si>
  <si>
    <t>8959300520560351341</t>
  </si>
  <si>
    <t>NAE104116</t>
  </si>
  <si>
    <t>SALESMAN RECREO (CASTILLO EDWIN)</t>
  </si>
  <si>
    <t>958721790</t>
  </si>
  <si>
    <t>45672271</t>
  </si>
  <si>
    <t>ANTHONY ALEXANDER CASTILLO ORTIZ</t>
  </si>
  <si>
    <t>1726471210</t>
  </si>
  <si>
    <t>ESMERALDAS</t>
  </si>
  <si>
    <t>523266511915162</t>
  </si>
  <si>
    <t>8959300520560350541</t>
  </si>
  <si>
    <t>NAE108624</t>
  </si>
  <si>
    <t>AE SALESLAND CONDADO (GUACHAMIN HUGO)</t>
  </si>
  <si>
    <t>958726519</t>
  </si>
  <si>
    <t>44716847</t>
  </si>
  <si>
    <t>MARIA ALEJANDRINA PABAÑA PEREZ</t>
  </si>
  <si>
    <t>0104342951</t>
  </si>
  <si>
    <t>353906800011166</t>
  </si>
  <si>
    <t>INTERNO</t>
  </si>
  <si>
    <t>8959300520560325832</t>
  </si>
  <si>
    <t>NAE104152</t>
  </si>
  <si>
    <t>SALESMAN CUENCA CENTRO (CALLE JORGE)</t>
  </si>
  <si>
    <t>POSPAGO</t>
  </si>
  <si>
    <t>TERMINALES</t>
  </si>
  <si>
    <t>Factura Afecta Cuota</t>
  </si>
  <si>
    <t>LTE NOKIA C2 2E AZUL CH31840</t>
  </si>
  <si>
    <t>DOWNPAYMENT</t>
  </si>
  <si>
    <t>TIENDA MACHALA</t>
  </si>
  <si>
    <t>958735971</t>
  </si>
  <si>
    <t>45685995</t>
  </si>
  <si>
    <t>OLGA PIEDAD ALMACHI ENDARA</t>
  </si>
  <si>
    <t>1706827381</t>
  </si>
  <si>
    <t>452268882777861</t>
  </si>
  <si>
    <t>8959300520561486237</t>
  </si>
  <si>
    <t>NAE109935</t>
  </si>
  <si>
    <t>AE SALESLAND RECREO (CORDOVA JONATHAN)</t>
  </si>
  <si>
    <t>958737469</t>
  </si>
  <si>
    <t>45671324</t>
  </si>
  <si>
    <t>ROSA ISABEL IPIALES ESPIN</t>
  </si>
  <si>
    <t>1707733828</t>
  </si>
  <si>
    <t>334284102997829</t>
  </si>
  <si>
    <t>8959300120522632720</t>
  </si>
  <si>
    <t>TITANIUM</t>
  </si>
  <si>
    <t>958743661</t>
  </si>
  <si>
    <t>45635801</t>
  </si>
  <si>
    <t>WILSON ALFREDO CAPA VALDEZ</t>
  </si>
  <si>
    <t>0704133073</t>
  </si>
  <si>
    <t>860036004630458</t>
  </si>
  <si>
    <t>8959300120521054058</t>
  </si>
  <si>
    <t>NAE107367</t>
  </si>
  <si>
    <t>AE SALESMAN CUENCA REMIGIO (RODRIGUEZ JESSICA)</t>
  </si>
  <si>
    <t>958744324</t>
  </si>
  <si>
    <t>45692426</t>
  </si>
  <si>
    <t>ESTEBAN VINICIO YEPEZ PADILLA</t>
  </si>
  <si>
    <t>1709431207</t>
  </si>
  <si>
    <t>441030966349254</t>
  </si>
  <si>
    <t>8959300120519906145</t>
  </si>
  <si>
    <t>NAE109092</t>
  </si>
  <si>
    <t>AE SALESLAND AMERICA (AMBULUDI GIANELLA)</t>
  </si>
  <si>
    <t>TIENDA RECREO</t>
  </si>
  <si>
    <t>958745439</t>
  </si>
  <si>
    <t>990792191450851</t>
  </si>
  <si>
    <t>8959300520561485056</t>
  </si>
  <si>
    <t>958748679</t>
  </si>
  <si>
    <t>45684870</t>
  </si>
  <si>
    <t>AURA ELIMAR RODRIGUEZ FUENTES</t>
  </si>
  <si>
    <t>1761412061</t>
  </si>
  <si>
    <t>866184060679490</t>
  </si>
  <si>
    <t>8959300520560351234</t>
  </si>
  <si>
    <t>LTE HONOR X8 SILVER CH31653</t>
  </si>
  <si>
    <t>958765371</t>
  </si>
  <si>
    <t>45684076</t>
  </si>
  <si>
    <t>DIANA CAROLINA GORDON FLORES</t>
  </si>
  <si>
    <t>1752033959</t>
  </si>
  <si>
    <t>000000220039143</t>
  </si>
  <si>
    <t>8959300520560351200</t>
  </si>
  <si>
    <t>958770587</t>
  </si>
  <si>
    <t>45670406</t>
  </si>
  <si>
    <t>SAMUEL DAVID CRUZ GRACIA</t>
  </si>
  <si>
    <t>0705518199</t>
  </si>
  <si>
    <t>-</t>
  </si>
  <si>
    <t>869113065816648</t>
  </si>
  <si>
    <t>8959300520560320023</t>
  </si>
  <si>
    <t>NAE106956</t>
  </si>
  <si>
    <t>FRANQUICIA AE SALESLAND MACHALA (TENORIO MARIA)</t>
  </si>
  <si>
    <t>LTE XIAOMI REDMI NOTE 11 AZUL CH31574</t>
  </si>
  <si>
    <t>958776671</t>
  </si>
  <si>
    <t>42556786</t>
  </si>
  <si>
    <t>FABIAN TEODORO CORONEL AGUILAR</t>
  </si>
  <si>
    <t>0103730156</t>
  </si>
  <si>
    <t>P0171</t>
  </si>
  <si>
    <t>PLAN MOVISTAR BASIC PLUS.</t>
  </si>
  <si>
    <t>000000241831775</t>
  </si>
  <si>
    <t>8959300320535926859</t>
  </si>
  <si>
    <t>958791825</t>
  </si>
  <si>
    <t>45620838</t>
  </si>
  <si>
    <t>FRANCISCO MARCELO INSUASTI DAVALOS</t>
  </si>
  <si>
    <t>1700678129</t>
  </si>
  <si>
    <t>511364090890890</t>
  </si>
  <si>
    <t>8959300120522532987</t>
  </si>
  <si>
    <t>NAE109306</t>
  </si>
  <si>
    <t>AE SALESLAND RECREO (GUAIGUA GENNESIS)</t>
  </si>
  <si>
    <t>958817348</t>
  </si>
  <si>
    <t>45638305</t>
  </si>
  <si>
    <t>ESTEBAN XAVIER BARONA REINOSO</t>
  </si>
  <si>
    <t>1718028804</t>
  </si>
  <si>
    <t>533217013793944</t>
  </si>
  <si>
    <t>8959300120521827446</t>
  </si>
  <si>
    <t>NAE105912</t>
  </si>
  <si>
    <t>SALESLAND CONDADO (MELCHIADE ISAAC)</t>
  </si>
  <si>
    <t>958843346</t>
  </si>
  <si>
    <t>45690264</t>
  </si>
  <si>
    <t>EDGAR VICENTE CEPEDA OROZCO</t>
  </si>
  <si>
    <t>1801199157</t>
  </si>
  <si>
    <t>541393883954294</t>
  </si>
  <si>
    <t>8959300120522506593</t>
  </si>
  <si>
    <t>NAE108606</t>
  </si>
  <si>
    <t>AE SALESLAND CUENCA CENTRO (RAMIREZ NELLY)</t>
  </si>
  <si>
    <t>958844077</t>
  </si>
  <si>
    <t>45629162</t>
  </si>
  <si>
    <t>JUAN JOSE JULIO VITERI PACHECO</t>
  </si>
  <si>
    <t>0500188495</t>
  </si>
  <si>
    <t>Pasaporte</t>
  </si>
  <si>
    <t>P0160</t>
  </si>
  <si>
    <t>PREVIOPAGO PLAN MOVISTAR ADULTO MAYOR FS</t>
  </si>
  <si>
    <t>000000251985354</t>
  </si>
  <si>
    <t>8959300420557088263</t>
  </si>
  <si>
    <t>NAE109814</t>
  </si>
  <si>
    <t>AE SALESLAND RECREO (VINUEZA ANGY)</t>
  </si>
  <si>
    <t>958848150</t>
  </si>
  <si>
    <t>45669184</t>
  </si>
  <si>
    <t>ANGELA LEONELA QUIÑONEZ RUIZ</t>
  </si>
  <si>
    <t>0805017456</t>
  </si>
  <si>
    <t>500228007415245</t>
  </si>
  <si>
    <t>8959300520561490403</t>
  </si>
  <si>
    <t>NAE107987</t>
  </si>
  <si>
    <t>AE SALESLAND RECREO (ANDREA OTERO)</t>
  </si>
  <si>
    <t>958857005</t>
  </si>
  <si>
    <t>45640180</t>
  </si>
  <si>
    <t>MONICA PATRICIA CHIMBOLEMA LEON</t>
  </si>
  <si>
    <t>1711867513</t>
  </si>
  <si>
    <t>513109715950571</t>
  </si>
  <si>
    <t>8959300120521831588</t>
  </si>
  <si>
    <t>NAE110245</t>
  </si>
  <si>
    <t>AE SALESLAND CONDADO (PADILLA HENRY)</t>
  </si>
  <si>
    <t>958865205</t>
  </si>
  <si>
    <t>45244809</t>
  </si>
  <si>
    <t>MILTON ROLANDO ALVARRACIN GUTAMA</t>
  </si>
  <si>
    <t>0104853270</t>
  </si>
  <si>
    <t>983332182146553</t>
  </si>
  <si>
    <t>8959300120525780526</t>
  </si>
  <si>
    <t>NAE105623</t>
  </si>
  <si>
    <t>SALESMAN CUENCA REMIGIO (YEPEZ DIANA)</t>
  </si>
  <si>
    <t>958868811</t>
  </si>
  <si>
    <t>45667935</t>
  </si>
  <si>
    <t>CRISTINA LOJAN AQUILINA</t>
  </si>
  <si>
    <t>1707073092</t>
  </si>
  <si>
    <t>PREVIOPAGO PLAN MOVISTAR SILVER PLUS.</t>
  </si>
  <si>
    <t>102569746946574</t>
  </si>
  <si>
    <t>8959300520561490346</t>
  </si>
  <si>
    <t>958870030</t>
  </si>
  <si>
    <t>45676977</t>
  </si>
  <si>
    <t>CECILIA DE LOURDES ALVAREZ SALVADOR</t>
  </si>
  <si>
    <t>1704616547</t>
  </si>
  <si>
    <t>PREVIOPAGO PLAN MOVISTAR ADULTO MAYOR</t>
  </si>
  <si>
    <t>355200059794609</t>
  </si>
  <si>
    <t>8959300120512005192</t>
  </si>
  <si>
    <t>958873821</t>
  </si>
  <si>
    <t>45693213</t>
  </si>
  <si>
    <t>JOSE CACHIMUEL CABASCANGO</t>
  </si>
  <si>
    <t>1002843942</t>
  </si>
  <si>
    <t>OTAVALO</t>
  </si>
  <si>
    <t>524389161463637</t>
  </si>
  <si>
    <t>8959300520560349600</t>
  </si>
  <si>
    <t>NAE109162</t>
  </si>
  <si>
    <t>AE SALESLAND CONDADO (JARAMILLO KENIA)</t>
  </si>
  <si>
    <t>958880956</t>
  </si>
  <si>
    <t>45557208</t>
  </si>
  <si>
    <t>CARMEN MARIA ESPINOZA VELEZ</t>
  </si>
  <si>
    <t>0801450131</t>
  </si>
  <si>
    <t>105999825054114</t>
  </si>
  <si>
    <t>8959300520560351531</t>
  </si>
  <si>
    <t>958881013</t>
  </si>
  <si>
    <t>40901558</t>
  </si>
  <si>
    <t>DIEGO FERNANDO MUTIS CAICEDO</t>
  </si>
  <si>
    <t>1758232878</t>
  </si>
  <si>
    <t>442053798225277</t>
  </si>
  <si>
    <t>8959300520561485551</t>
  </si>
  <si>
    <t>NAE110469</t>
  </si>
  <si>
    <t>AE SALESLAND RECREO (LOZADA MARIBEL)</t>
  </si>
  <si>
    <t>958881040</t>
  </si>
  <si>
    <t>45673817</t>
  </si>
  <si>
    <t>CRISTIAN RODRIGO CALVACHI ESPINOZA</t>
  </si>
  <si>
    <t>1720060142</t>
  </si>
  <si>
    <t>493193396045400</t>
  </si>
  <si>
    <t>8959300120522533738</t>
  </si>
  <si>
    <t>958881137</t>
  </si>
  <si>
    <t>45646388</t>
  </si>
  <si>
    <t>NAYELY BELEN CASTILLO CHICAIZA</t>
  </si>
  <si>
    <t>1755188875</t>
  </si>
  <si>
    <t>EL QUINCHE</t>
  </si>
  <si>
    <t>910455112165704</t>
  </si>
  <si>
    <t>8959300520560350269</t>
  </si>
  <si>
    <t>958887386</t>
  </si>
  <si>
    <t>45617457</t>
  </si>
  <si>
    <t>NORMA YOLANDA CADENA PAZ</t>
  </si>
  <si>
    <t>1705432175</t>
  </si>
  <si>
    <t>350768253600983</t>
  </si>
  <si>
    <t>8959300120522630021</t>
  </si>
  <si>
    <t>NAE110246</t>
  </si>
  <si>
    <t>AE SALESLAND AMERICA (REINO PAULETH)</t>
  </si>
  <si>
    <t>958891617</t>
  </si>
  <si>
    <t>45620133</t>
  </si>
  <si>
    <t>KAREN MONSERRATH GUAMAN ZURITA</t>
  </si>
  <si>
    <t>0105466775</t>
  </si>
  <si>
    <t>015903687080380</t>
  </si>
  <si>
    <t>8959300120521053837</t>
  </si>
  <si>
    <t>958899450</t>
  </si>
  <si>
    <t>45712222</t>
  </si>
  <si>
    <t>SERGIO FRANCISCO LOPEZ VALVERDE</t>
  </si>
  <si>
    <t>1800320697</t>
  </si>
  <si>
    <t>358742570675475</t>
  </si>
  <si>
    <t>8959300520561486880</t>
  </si>
  <si>
    <t>NAE109815</t>
  </si>
  <si>
    <t>AE SALESLAND RECREO (CONDO NICOLAS)</t>
  </si>
  <si>
    <t>Factura Contado</t>
  </si>
  <si>
    <t>LTE NOKIA G10 AZUL CH30161</t>
  </si>
  <si>
    <t>CONTADO</t>
  </si>
  <si>
    <t>958905709</t>
  </si>
  <si>
    <t>45697080</t>
  </si>
  <si>
    <t>GUSTAVO EMILIO SALVADOR DAVILA</t>
  </si>
  <si>
    <t>0600790166</t>
  </si>
  <si>
    <t>983810845599185</t>
  </si>
  <si>
    <t>8959300120519904934</t>
  </si>
  <si>
    <t>958905791</t>
  </si>
  <si>
    <t>45625928</t>
  </si>
  <si>
    <t>BRYAN ALEXIS BONILLA ESTRELLA</t>
  </si>
  <si>
    <t>1754322913</t>
  </si>
  <si>
    <t>LATACUNGA</t>
  </si>
  <si>
    <t>443445807693330</t>
  </si>
  <si>
    <t>8959300120521886095</t>
  </si>
  <si>
    <t>958906224</t>
  </si>
  <si>
    <t>44968386</t>
  </si>
  <si>
    <t>FULVIO ANTONIO OCHOA TORRES</t>
  </si>
  <si>
    <t>0701968331001</t>
  </si>
  <si>
    <t>RUC/RUC PERSONAL</t>
  </si>
  <si>
    <t>P0172</t>
  </si>
  <si>
    <t>PLAN MOVISTAR BASIC PLUS FS.</t>
  </si>
  <si>
    <t>ALANGASI</t>
  </si>
  <si>
    <t>494673898404717</t>
  </si>
  <si>
    <t>8959300120522637208</t>
  </si>
  <si>
    <t>PYMES</t>
  </si>
  <si>
    <t>NEGOCIOS</t>
  </si>
  <si>
    <t>PARQUE NEGOCIOS</t>
  </si>
  <si>
    <t>958907098</t>
  </si>
  <si>
    <t>44344944</t>
  </si>
  <si>
    <t>WILSON EDUARDO LEON RIOS</t>
  </si>
  <si>
    <t>0103646055</t>
  </si>
  <si>
    <t>534191769621378</t>
  </si>
  <si>
    <t>8959300120521053977</t>
  </si>
  <si>
    <t>958907304</t>
  </si>
  <si>
    <t>45675905</t>
  </si>
  <si>
    <t>PAUL ANDRES GUERRERO CALVOPIÑA</t>
  </si>
  <si>
    <t>1726634742</t>
  </si>
  <si>
    <t>866050958082339</t>
  </si>
  <si>
    <t>8959300520561493217</t>
  </si>
  <si>
    <t>958910600</t>
  </si>
  <si>
    <t>45682082</t>
  </si>
  <si>
    <t>DIEGO FERNANDO CEVALLOS SARMIENTO</t>
  </si>
  <si>
    <t>1709565582</t>
  </si>
  <si>
    <t>355108340317702</t>
  </si>
  <si>
    <t>8959300120522633157</t>
  </si>
  <si>
    <t>NAE104187</t>
  </si>
  <si>
    <t>SALESMAN RECREO (CEVALLOS DIANA)</t>
  </si>
  <si>
    <t>LTE NOKIA G21 AZUL CH31441</t>
  </si>
  <si>
    <t>958911136</t>
  </si>
  <si>
    <t>45646235</t>
  </si>
  <si>
    <t>RITA DEL CARMEN CUENCA BENAVIDES</t>
  </si>
  <si>
    <t>1712826179</t>
  </si>
  <si>
    <t>453229540646186</t>
  </si>
  <si>
    <t>8959300520561493126</t>
  </si>
  <si>
    <t>958915980</t>
  </si>
  <si>
    <t>45659225</t>
  </si>
  <si>
    <t>MARIA ISABEL CAIZA SARAGOSIN CAIZA SARAGOSIN</t>
  </si>
  <si>
    <t>1703661908</t>
  </si>
  <si>
    <t>528588467035553</t>
  </si>
  <si>
    <t>8959300520560349675</t>
  </si>
  <si>
    <t>958921286</t>
  </si>
  <si>
    <t>45658541</t>
  </si>
  <si>
    <t>VICTOR HUGO DALGO SALAS</t>
  </si>
  <si>
    <t>1713049490</t>
  </si>
  <si>
    <t>AMBATO</t>
  </si>
  <si>
    <t>447284411896872</t>
  </si>
  <si>
    <t>8959300520561494041</t>
  </si>
  <si>
    <t>958922049</t>
  </si>
  <si>
    <t>45681369</t>
  </si>
  <si>
    <t>JOEL JOSE FAJARDO OSTAIZA</t>
  </si>
  <si>
    <t>1725475469</t>
  </si>
  <si>
    <t>SANTO DOMINGO DE LOS COLORADOS</t>
  </si>
  <si>
    <t>512482991375693</t>
  </si>
  <si>
    <t>8959300120522529389</t>
  </si>
  <si>
    <t>958922782</t>
  </si>
  <si>
    <t>45658579</t>
  </si>
  <si>
    <t>JOHANNA CLARIBEL CORDOVA ARIAS</t>
  </si>
  <si>
    <t>0705111276</t>
  </si>
  <si>
    <t>P0175</t>
  </si>
  <si>
    <t>PLAN MOVISTAR BRONZE PLUS.</t>
  </si>
  <si>
    <t>104567581414771</t>
  </si>
  <si>
    <t>8959300520560319769</t>
  </si>
  <si>
    <t>958937253</t>
  </si>
  <si>
    <t>45619395</t>
  </si>
  <si>
    <t>FREDDY MANUEL GOMEZ CATOTA</t>
  </si>
  <si>
    <t>1716860414</t>
  </si>
  <si>
    <t>357988070381756</t>
  </si>
  <si>
    <t>8959300120522629916</t>
  </si>
  <si>
    <t>958947879</t>
  </si>
  <si>
    <t>45686366</t>
  </si>
  <si>
    <t>RAUL FERNANDO FREIRE VILLAGOMEZ</t>
  </si>
  <si>
    <t>1752969566</t>
  </si>
  <si>
    <t>303861122716078</t>
  </si>
  <si>
    <t>8959300520561486252</t>
  </si>
  <si>
    <t>958948160</t>
  </si>
  <si>
    <t>44333708</t>
  </si>
  <si>
    <t>MARIO EDUARDO GUAIGUA COQUE</t>
  </si>
  <si>
    <t>1710060813</t>
  </si>
  <si>
    <t>454367072008604</t>
  </si>
  <si>
    <t>8959300120522534066</t>
  </si>
  <si>
    <t>958949524</t>
  </si>
  <si>
    <t>45685251</t>
  </si>
  <si>
    <t>LUCIO ISRAEL RODRIGUEZ LUZON</t>
  </si>
  <si>
    <t>1720696077</t>
  </si>
  <si>
    <t>491049644715412</t>
  </si>
  <si>
    <t>8959300120522632092</t>
  </si>
  <si>
    <t>958954044</t>
  </si>
  <si>
    <t>45638057</t>
  </si>
  <si>
    <t>LISSETH ANDREA SALAMEA LAMBERT</t>
  </si>
  <si>
    <t>0106035538</t>
  </si>
  <si>
    <t>P0185</t>
  </si>
  <si>
    <t>PREVIOPAGO PLAN MOVISTAR GOLD PL</t>
  </si>
  <si>
    <t>526655050012596</t>
  </si>
  <si>
    <t>8959300120525807725</t>
  </si>
  <si>
    <t>NAE107589</t>
  </si>
  <si>
    <t>CAV FRANQUICIA AE SALESMAN CUENCA REMIGIO (ANDRES PATIÑO)</t>
  </si>
  <si>
    <t>958955459</t>
  </si>
  <si>
    <t>45684676</t>
  </si>
  <si>
    <t>CARMEN ALEXANDRA PORTERO NAVARRETE</t>
  </si>
  <si>
    <t>1721836607</t>
  </si>
  <si>
    <t>453918971301853</t>
  </si>
  <si>
    <t>8959300520560351242</t>
  </si>
  <si>
    <t>958961515</t>
  </si>
  <si>
    <t>44488513</t>
  </si>
  <si>
    <t>HUGO POLIVIO SARMIENTO OCHOA</t>
  </si>
  <si>
    <t>0100726983</t>
  </si>
  <si>
    <t>103838334443727</t>
  </si>
  <si>
    <t>8959300520560326368</t>
  </si>
  <si>
    <t>958965415</t>
  </si>
  <si>
    <t>45653230</t>
  </si>
  <si>
    <t>CRISTIAN BRYANS CHAVEZ VELASQUEZ CHAVEZ VELASQUEZ</t>
  </si>
  <si>
    <t>1712528718</t>
  </si>
  <si>
    <t>338550406047784</t>
  </si>
  <si>
    <t>8959300420541841314</t>
  </si>
  <si>
    <t>NAE107986</t>
  </si>
  <si>
    <t>AE SALESLAND RECREO (LOAYZA JONATHAN)</t>
  </si>
  <si>
    <t>958980132</t>
  </si>
  <si>
    <t>41973526</t>
  </si>
  <si>
    <t>KATY ALEXANDRA MUÑOZ CEVALLOS</t>
  </si>
  <si>
    <t>1723260111</t>
  </si>
  <si>
    <t>304218934026650</t>
  </si>
  <si>
    <t>8959300520560351192</t>
  </si>
  <si>
    <t>958981050</t>
  </si>
  <si>
    <t>45619473</t>
  </si>
  <si>
    <t>ANA MARIA VILLACIS RODRIGUEZ</t>
  </si>
  <si>
    <t>1700081589</t>
  </si>
  <si>
    <t>301823209327924</t>
  </si>
  <si>
    <t>8959300120521827057</t>
  </si>
  <si>
    <t>958988560</t>
  </si>
  <si>
    <t>45646361</t>
  </si>
  <si>
    <t>ITALO ABEL RENTERIA ARTEAGA</t>
  </si>
  <si>
    <t>0700984941</t>
  </si>
  <si>
    <t>MACAS</t>
  </si>
  <si>
    <t>446462494608742</t>
  </si>
  <si>
    <t>8959300520560319520</t>
  </si>
  <si>
    <t>NAE107767</t>
  </si>
  <si>
    <t>CAV FRANQUICIA AE SALESLAND MACHALA (SANCHEZ LUIS)</t>
  </si>
  <si>
    <t>958990298</t>
  </si>
  <si>
    <t>45695624</t>
  </si>
  <si>
    <t>ROSA ELENA GUAMAN SANCHEZ GUAMAN SANCHEZ</t>
  </si>
  <si>
    <t>0300527801</t>
  </si>
  <si>
    <t>525232178226226</t>
  </si>
  <si>
    <t>8959300520561491013</t>
  </si>
  <si>
    <t>958997607</t>
  </si>
  <si>
    <t>45623974</t>
  </si>
  <si>
    <t>FRANKLIN ARTURO LOPEZ PAREDES</t>
  </si>
  <si>
    <t>1719367193</t>
  </si>
  <si>
    <t>444654266730272</t>
  </si>
  <si>
    <t>8959300120522631763</t>
  </si>
  <si>
    <t>NAE108907</t>
  </si>
  <si>
    <t>AE SALESLAND AMERICA (ROSERO JAIRO)</t>
  </si>
  <si>
    <t>958998237</t>
  </si>
  <si>
    <t>14928898</t>
  </si>
  <si>
    <t>MARTIN GUILLERMO PACHECO REINOSO</t>
  </si>
  <si>
    <t>0101044097</t>
  </si>
  <si>
    <t>P0154</t>
  </si>
  <si>
    <t>PLAN MOVISTAR ADULTO MAYOR</t>
  </si>
  <si>
    <t>518240734112631</t>
  </si>
  <si>
    <t>8959300120521835266</t>
  </si>
  <si>
    <t>959029028</t>
  </si>
  <si>
    <t>45640147</t>
  </si>
  <si>
    <t>MARIA OLIVIA IZA TOAPANTA</t>
  </si>
  <si>
    <t>0501185284</t>
  </si>
  <si>
    <t>919749814234532</t>
  </si>
  <si>
    <t>8959300120521826968</t>
  </si>
  <si>
    <t>959054186</t>
  </si>
  <si>
    <t>45619402</t>
  </si>
  <si>
    <t>JENNIFER LUCIA FIGUEROA ALBURQUEQUE</t>
  </si>
  <si>
    <t>0706540879</t>
  </si>
  <si>
    <t>016232869302662</t>
  </si>
  <si>
    <t>8959300120522637000</t>
  </si>
  <si>
    <t>960282364</t>
  </si>
  <si>
    <t>45653452</t>
  </si>
  <si>
    <t>MIRYAM CATALINA PERALTA MORALES</t>
  </si>
  <si>
    <t>0101777274</t>
  </si>
  <si>
    <t>983109385228689</t>
  </si>
  <si>
    <t>8959300120521054587</t>
  </si>
  <si>
    <t>CNT</t>
  </si>
  <si>
    <t>961175100</t>
  </si>
  <si>
    <t>45676429</t>
  </si>
  <si>
    <t>ARACELY NATHALY ARTEAGA CISNEROS</t>
  </si>
  <si>
    <t>1722319827</t>
  </si>
  <si>
    <t>P0186</t>
  </si>
  <si>
    <t>PREVIOPAGO PLAN MOVISTAR GOLD PLUS FS.</t>
  </si>
  <si>
    <t>528880498706967</t>
  </si>
  <si>
    <t>8959300520560350673</t>
  </si>
  <si>
    <t>961615962</t>
  </si>
  <si>
    <t>45698767</t>
  </si>
  <si>
    <t>JOSE EDUARDO CHOEZ GUEVARA</t>
  </si>
  <si>
    <t>2300527302</t>
  </si>
  <si>
    <t>991378250313211</t>
  </si>
  <si>
    <t>8959300520561491427</t>
  </si>
  <si>
    <t>962371075</t>
  </si>
  <si>
    <t>45618112</t>
  </si>
  <si>
    <t>ANDRES SEBASTIAN FLORES HOYOS</t>
  </si>
  <si>
    <t>1722371075</t>
  </si>
  <si>
    <t>P0178</t>
  </si>
  <si>
    <t>919138872538622</t>
  </si>
  <si>
    <t>8959300120525779296</t>
  </si>
  <si>
    <t>962527423</t>
  </si>
  <si>
    <t>45684023</t>
  </si>
  <si>
    <t>ABELARDO PICHUCHO MARIO</t>
  </si>
  <si>
    <t>1701255927</t>
  </si>
  <si>
    <t>LA LIBERTAD</t>
  </si>
  <si>
    <t>335668434853016</t>
  </si>
  <si>
    <t>8959300120522633215</t>
  </si>
  <si>
    <t>962530046</t>
  </si>
  <si>
    <t>45691996</t>
  </si>
  <si>
    <t>PAOLA ESTEFANIA ALBAN GUILLEN</t>
  </si>
  <si>
    <t>0106424757</t>
  </si>
  <si>
    <t>995352958915201</t>
  </si>
  <si>
    <t>8959300120525777977</t>
  </si>
  <si>
    <t>962595062</t>
  </si>
  <si>
    <t>45699087</t>
  </si>
  <si>
    <t>MARIA BARBARA PUZHI PINDO</t>
  </si>
  <si>
    <t>1705363057</t>
  </si>
  <si>
    <t>000000178110011</t>
  </si>
  <si>
    <t>8959300620525251246</t>
  </si>
  <si>
    <t>962595781</t>
  </si>
  <si>
    <t>45672706</t>
  </si>
  <si>
    <t>GEOVANNA GABRIELA                    PARREÑO YANEZ PARREÑO YANEZ</t>
  </si>
  <si>
    <t>1723641328</t>
  </si>
  <si>
    <t>000000180627861</t>
  </si>
  <si>
    <t>8959300520561489686</t>
  </si>
  <si>
    <t>NAE110467</t>
  </si>
  <si>
    <t>AE SALESLAND RECREO (CHAVEZ YESSENIA)</t>
  </si>
  <si>
    <t>962602778</t>
  </si>
  <si>
    <t>45646075</t>
  </si>
  <si>
    <t>JENNY ESTEFANIA CERVANTES CHUQUIN</t>
  </si>
  <si>
    <t>1728193788</t>
  </si>
  <si>
    <t>981231708863299</t>
  </si>
  <si>
    <t>8959300120522631888</t>
  </si>
  <si>
    <t>962612855</t>
  </si>
  <si>
    <t>45673219</t>
  </si>
  <si>
    <t>JOAN MANUEL JARAMILLO LOPEZ</t>
  </si>
  <si>
    <t>1759642505</t>
  </si>
  <si>
    <t>000000180685356</t>
  </si>
  <si>
    <t>8959300520561489660</t>
  </si>
  <si>
    <t>962620430</t>
  </si>
  <si>
    <t>45677134</t>
  </si>
  <si>
    <t>ALAN ALEXANDER ONOFA CHOCHOS</t>
  </si>
  <si>
    <t>1755974324</t>
  </si>
  <si>
    <t>000000253258578</t>
  </si>
  <si>
    <t>8959300520561492979</t>
  </si>
  <si>
    <t>NAE109816</t>
  </si>
  <si>
    <t>AE SALESLAND RECREO (VALBUENA ALBERT)</t>
  </si>
  <si>
    <t>962638957</t>
  </si>
  <si>
    <t>39940480</t>
  </si>
  <si>
    <t>JOSE RAMOS IVAN</t>
  </si>
  <si>
    <t>1759443730</t>
  </si>
  <si>
    <t>455982511928631</t>
  </si>
  <si>
    <t>8959300520560349667</t>
  </si>
  <si>
    <t>GOLD</t>
  </si>
  <si>
    <t>NAE105910</t>
  </si>
  <si>
    <t>SALESLAND CONDADO (ROJAS JHOSMERY)</t>
  </si>
  <si>
    <t>962660958</t>
  </si>
  <si>
    <t>45717913</t>
  </si>
  <si>
    <t>CESAR STALIN CEVALLOS QUISHPE</t>
  </si>
  <si>
    <t>1723588933</t>
  </si>
  <si>
    <t>000000254595911</t>
  </si>
  <si>
    <t>8959300520561492052</t>
  </si>
  <si>
    <t>962681923</t>
  </si>
  <si>
    <t>45675763</t>
  </si>
  <si>
    <t>MARCELINO FERNANDO MOLINA CHILLAGANA</t>
  </si>
  <si>
    <t>1712237872</t>
  </si>
  <si>
    <t>PREVIOPAGO PLAN MOVISTAR BRONZE PLUS.</t>
  </si>
  <si>
    <t>000000242222628</t>
  </si>
  <si>
    <t>8959300320535772170</t>
  </si>
  <si>
    <t>962788202</t>
  </si>
  <si>
    <t>45706163</t>
  </si>
  <si>
    <t>JENNY JOSEFINA CHIN ORDOÑEZ</t>
  </si>
  <si>
    <t>0703480616</t>
  </si>
  <si>
    <t>541300008005498</t>
  </si>
  <si>
    <t>8959300520560320650</t>
  </si>
  <si>
    <t>962792647</t>
  </si>
  <si>
    <t>45690456</t>
  </si>
  <si>
    <t>FABIAN RODRIGO GRANDA PAEZ</t>
  </si>
  <si>
    <t>0601139074</t>
  </si>
  <si>
    <t>359236285612351</t>
  </si>
  <si>
    <t>8959300120522633512</t>
  </si>
  <si>
    <t>962795073</t>
  </si>
  <si>
    <t>45620109</t>
  </si>
  <si>
    <t>DIEGO ALEXANDER PACHECO PALACIOS</t>
  </si>
  <si>
    <t>0150013357</t>
  </si>
  <si>
    <t>526850788730888</t>
  </si>
  <si>
    <t>8959300120521835217</t>
  </si>
  <si>
    <t>962805287</t>
  </si>
  <si>
    <t>45691501</t>
  </si>
  <si>
    <t>ANGEL DAMIAN MINDIOLAZA MEDINA</t>
  </si>
  <si>
    <t>0705865822</t>
  </si>
  <si>
    <t>869183841425972</t>
  </si>
  <si>
    <t>8959300520560320437</t>
  </si>
  <si>
    <t>NAE110544</t>
  </si>
  <si>
    <t>AE SALESLAND MACHALA (GONZALEZ ALICIA)</t>
  </si>
  <si>
    <t>962808069</t>
  </si>
  <si>
    <t>45647099</t>
  </si>
  <si>
    <t>JORDAN DARIO ACHIG CARBO</t>
  </si>
  <si>
    <t>1725240921</t>
  </si>
  <si>
    <t>000000183545102</t>
  </si>
  <si>
    <t>8959300120522530866</t>
  </si>
  <si>
    <t>962809728</t>
  </si>
  <si>
    <t>45678107</t>
  </si>
  <si>
    <t>MONICA RAQUEL TADAY HURTADO</t>
  </si>
  <si>
    <t>1717676199</t>
  </si>
  <si>
    <t>000000185497260</t>
  </si>
  <si>
    <t>8959300520561485908</t>
  </si>
  <si>
    <t>NAE104118</t>
  </si>
  <si>
    <t>SALESMAN RECREO (SALAS MARIA)</t>
  </si>
  <si>
    <t>962821003</t>
  </si>
  <si>
    <t>45622272</t>
  </si>
  <si>
    <t>MARCO VINICIO CUENCA MARIN</t>
  </si>
  <si>
    <t>1711439511</t>
  </si>
  <si>
    <t>547597676495372</t>
  </si>
  <si>
    <t>8959300120522631664</t>
  </si>
  <si>
    <t>962863017</t>
  </si>
  <si>
    <t>45660898</t>
  </si>
  <si>
    <t>DAYANA OJEDA ESCARLIN</t>
  </si>
  <si>
    <t>1759650433</t>
  </si>
  <si>
    <t>331799125795275</t>
  </si>
  <si>
    <t>8959300520560349634</t>
  </si>
  <si>
    <t>962863707</t>
  </si>
  <si>
    <t>45710959</t>
  </si>
  <si>
    <t>LUIS RAMIRO GUAMAN CHUMA</t>
  </si>
  <si>
    <t>0301430203</t>
  </si>
  <si>
    <t>000000258942929</t>
  </si>
  <si>
    <t>8959300120522506858</t>
  </si>
  <si>
    <t>962868315</t>
  </si>
  <si>
    <t>45618155</t>
  </si>
  <si>
    <t>MARIANA DEL CARMEN JACOME QUITIO</t>
  </si>
  <si>
    <t>1704657038</t>
  </si>
  <si>
    <t>506716498996644</t>
  </si>
  <si>
    <t>8959300120521830416</t>
  </si>
  <si>
    <t>962892256</t>
  </si>
  <si>
    <t>45654506</t>
  </si>
  <si>
    <t>SONIA PIEDAD YANZA JARA</t>
  </si>
  <si>
    <t>0105092878</t>
  </si>
  <si>
    <t>301413951380410</t>
  </si>
  <si>
    <t>8959300520560350020</t>
  </si>
  <si>
    <t>962893591</t>
  </si>
  <si>
    <t>45644771</t>
  </si>
  <si>
    <t>SANYI NAYELI HARO OSORIO</t>
  </si>
  <si>
    <t>2350703217</t>
  </si>
  <si>
    <t>000000214511818</t>
  </si>
  <si>
    <t>8959300120522531492</t>
  </si>
  <si>
    <t>962898293</t>
  </si>
  <si>
    <t>45688764</t>
  </si>
  <si>
    <t>GIULIANO MONCINI .</t>
  </si>
  <si>
    <t>1716702673</t>
  </si>
  <si>
    <t>998664466412787</t>
  </si>
  <si>
    <t>8959300120522633306</t>
  </si>
  <si>
    <t>NAE108906</t>
  </si>
  <si>
    <t>AE SALESLAND AMERICA (ORTEGA GABRIEL)</t>
  </si>
  <si>
    <t>962910852</t>
  </si>
  <si>
    <t>45701941</t>
  </si>
  <si>
    <t>MARIANA DE JESUS CARRANZA LLUMIPANTA</t>
  </si>
  <si>
    <t>1705230157</t>
  </si>
  <si>
    <t>000000262363625</t>
  </si>
  <si>
    <t>8959300520561491302</t>
  </si>
  <si>
    <t>962911009</t>
  </si>
  <si>
    <t>45684810</t>
  </si>
  <si>
    <t>LUIS ELIAS BUESTAN SINCHI</t>
  </si>
  <si>
    <t>0103343638</t>
  </si>
  <si>
    <t>000000240777839</t>
  </si>
  <si>
    <t>8959300520560326467</t>
  </si>
  <si>
    <t>NAE110295</t>
  </si>
  <si>
    <t>AE SALESLAND CUENCA CENTRO (LUNA ANDREA)</t>
  </si>
  <si>
    <t>962923944</t>
  </si>
  <si>
    <t>45646290</t>
  </si>
  <si>
    <t>RAQUEL BERENICE ESPINOSA OCAMPO ESPINOSA OCAMPO</t>
  </si>
  <si>
    <t>1709799405</t>
  </si>
  <si>
    <t>000000185800463</t>
  </si>
  <si>
    <t>8959300120522530791</t>
  </si>
  <si>
    <t>962934289</t>
  </si>
  <si>
    <t>45488899</t>
  </si>
  <si>
    <t>SALOMON ARCECIO NARVAEZ CUASPUD NARVAEZ CUASPUD</t>
  </si>
  <si>
    <t>1002632055</t>
  </si>
  <si>
    <t>980079084029675</t>
  </si>
  <si>
    <t>8959300120521831331</t>
  </si>
  <si>
    <t>962935530</t>
  </si>
  <si>
    <t>45628502</t>
  </si>
  <si>
    <t>JHONNY DAVIS CHICAIZA TANDAYAMO</t>
  </si>
  <si>
    <t>1722733977</t>
  </si>
  <si>
    <t>000000215440470</t>
  </si>
  <si>
    <t>8959300120521827206</t>
  </si>
  <si>
    <t>962946177</t>
  </si>
  <si>
    <t>21517289</t>
  </si>
  <si>
    <t>FERNANDO MAURICIO CUENCA HERNANDEZ</t>
  </si>
  <si>
    <t>0703865535</t>
  </si>
  <si>
    <t>528046345052175</t>
  </si>
  <si>
    <t>8959300520560320643</t>
  </si>
  <si>
    <t>962956464</t>
  </si>
  <si>
    <t>45637969</t>
  </si>
  <si>
    <t>ELVIA MARIANA MONTALVO GALARZA</t>
  </si>
  <si>
    <t>1702926732</t>
  </si>
  <si>
    <t>532846573290783</t>
  </si>
  <si>
    <t>8959300120522632118</t>
  </si>
  <si>
    <t>962957060</t>
  </si>
  <si>
    <t>45661900</t>
  </si>
  <si>
    <t>DIANA MARICELA CURAY SIMBAÑA</t>
  </si>
  <si>
    <t>1719375790</t>
  </si>
  <si>
    <t>000000200625663</t>
  </si>
  <si>
    <t>8959300520561493746</t>
  </si>
  <si>
    <t>NAE110429</t>
  </si>
  <si>
    <t>AE SALESLAND RECREO (ORELLANA MICHAEL)</t>
  </si>
  <si>
    <t>962962185</t>
  </si>
  <si>
    <t>45666257</t>
  </si>
  <si>
    <t>RAFAEL ANDRES CUADRADO VILLACIS</t>
  </si>
  <si>
    <t>1717268443</t>
  </si>
  <si>
    <t>359770002125842</t>
  </si>
  <si>
    <t>8959300120525757979</t>
  </si>
  <si>
    <t>NAE108908</t>
  </si>
  <si>
    <t>AE SALESLAND AMERICA (CABEZAS ROBERTO)</t>
  </si>
  <si>
    <t>962962318</t>
  </si>
  <si>
    <t>43092011</t>
  </si>
  <si>
    <t>RAFAEL HUMBERTO TORRES BUCHELI</t>
  </si>
  <si>
    <t>1724071087</t>
  </si>
  <si>
    <t>309189756835681</t>
  </si>
  <si>
    <t>8959300520560351069</t>
  </si>
  <si>
    <t>963001002</t>
  </si>
  <si>
    <t>45698125</t>
  </si>
  <si>
    <t>YIMY ESTALIN ALCIVAR MACIAS</t>
  </si>
  <si>
    <t>1307360535</t>
  </si>
  <si>
    <t>335492626747872</t>
  </si>
  <si>
    <t>8959300520561490924</t>
  </si>
  <si>
    <t>963009428</t>
  </si>
  <si>
    <t>45650369</t>
  </si>
  <si>
    <t>LUIS HERIBERTO MARTINEZ QUIMBITA</t>
  </si>
  <si>
    <t>1712774056</t>
  </si>
  <si>
    <t>000000244501425</t>
  </si>
  <si>
    <t>8959300120522530981</t>
  </si>
  <si>
    <t>963014970</t>
  </si>
  <si>
    <t>45669199</t>
  </si>
  <si>
    <t>MARIA DIGNA BONILLA YUGCHA</t>
  </si>
  <si>
    <t>1707915938</t>
  </si>
  <si>
    <t>103505376367615</t>
  </si>
  <si>
    <t>8959300120519906152</t>
  </si>
  <si>
    <t>963024543</t>
  </si>
  <si>
    <t>45715535</t>
  </si>
  <si>
    <t>DARWIN LEODAN SARITAMA JIMENEZ</t>
  </si>
  <si>
    <t>1719386383</t>
  </si>
  <si>
    <t>493581974848296</t>
  </si>
  <si>
    <t>8959300520561491658</t>
  </si>
  <si>
    <t>963032208</t>
  </si>
  <si>
    <t>41179417</t>
  </si>
  <si>
    <t>HUGO MAURICIO VALLEJO RIVERA</t>
  </si>
  <si>
    <t>1712386463</t>
  </si>
  <si>
    <t>358419250589397</t>
  </si>
  <si>
    <t>8959300120525756054</t>
  </si>
  <si>
    <t>963038283</t>
  </si>
  <si>
    <t>45292715</t>
  </si>
  <si>
    <t>DAYANARA ALEJANDRA ALEMAN GUERRERO</t>
  </si>
  <si>
    <t>0105064604</t>
  </si>
  <si>
    <t>537541904930471</t>
  </si>
  <si>
    <t>8959300120525774529</t>
  </si>
  <si>
    <t>963038672</t>
  </si>
  <si>
    <t>45705569</t>
  </si>
  <si>
    <t>MAYRA ALEXANDRA PERALTA CHAVEZ</t>
  </si>
  <si>
    <t>1717227159</t>
  </si>
  <si>
    <t>000000246517197</t>
  </si>
  <si>
    <t>8959300520561486641</t>
  </si>
  <si>
    <t>963038956</t>
  </si>
  <si>
    <t>45710244</t>
  </si>
  <si>
    <t>LUIS ADRIAN ALVAREZ SUMBA</t>
  </si>
  <si>
    <t>0105804264</t>
  </si>
  <si>
    <t>GUALACEO</t>
  </si>
  <si>
    <t>000000240993485</t>
  </si>
  <si>
    <t>8959300120522506783</t>
  </si>
  <si>
    <t>963041751</t>
  </si>
  <si>
    <t>45695196</t>
  </si>
  <si>
    <t>MARIANYELA CISNERO ESPINOSA</t>
  </si>
  <si>
    <t>V20804890</t>
  </si>
  <si>
    <t>000000259891117</t>
  </si>
  <si>
    <t>8959300520561490791</t>
  </si>
  <si>
    <t>963047362</t>
  </si>
  <si>
    <t>45710253</t>
  </si>
  <si>
    <t>MANUEL PATRICIO GONZALEZ GUAMAN</t>
  </si>
  <si>
    <t>0301829289</t>
  </si>
  <si>
    <t>000000243844099</t>
  </si>
  <si>
    <t>8959300320533665194</t>
  </si>
  <si>
    <t>963062095</t>
  </si>
  <si>
    <t>45632323</t>
  </si>
  <si>
    <t>FANNY EDITH CALVA ULLAURI</t>
  </si>
  <si>
    <t>2100370325</t>
  </si>
  <si>
    <t>ALOASI</t>
  </si>
  <si>
    <t>000000263903791</t>
  </si>
  <si>
    <t>8959300120517351062</t>
  </si>
  <si>
    <t>963063591</t>
  </si>
  <si>
    <t>45716294</t>
  </si>
  <si>
    <t>MARIA JOSEFINA YAUCAN YUMICEBA</t>
  </si>
  <si>
    <t>1723178172</t>
  </si>
  <si>
    <t>000000182438788</t>
  </si>
  <si>
    <t>8959300520561491724</t>
  </si>
  <si>
    <t>963077297</t>
  </si>
  <si>
    <t>45709985</t>
  </si>
  <si>
    <t>MARIA MERCEDES VEGA ARTEAGA</t>
  </si>
  <si>
    <t>1704134012</t>
  </si>
  <si>
    <t>504805944895419</t>
  </si>
  <si>
    <t>8959300520561490866</t>
  </si>
  <si>
    <t>963077379</t>
  </si>
  <si>
    <t>45682690</t>
  </si>
  <si>
    <t>TSENTSAK OLIVER JEMPEKAT UTITIAJ</t>
  </si>
  <si>
    <t>1450115363</t>
  </si>
  <si>
    <t>356795951179196</t>
  </si>
  <si>
    <t>8959300520560328695</t>
  </si>
  <si>
    <t>NAE108702</t>
  </si>
  <si>
    <t>AE SALESLAND CUENCA CENTRO (GONZALEZ PAOLA)</t>
  </si>
  <si>
    <t>LTE SAMSUNG A23 AZUL CH31686</t>
  </si>
  <si>
    <t>963399533</t>
  </si>
  <si>
    <t>45638758</t>
  </si>
  <si>
    <t>REGINA MARISOL BARRERA BERMEO</t>
  </si>
  <si>
    <t>0103974374</t>
  </si>
  <si>
    <t>018162189780628</t>
  </si>
  <si>
    <t>8959300120521835175</t>
  </si>
  <si>
    <t>TUENTI</t>
  </si>
  <si>
    <t>963697270</t>
  </si>
  <si>
    <t>45665822</t>
  </si>
  <si>
    <t>LUIS ISRAEL ZHANGALLIMBAY MALDONADO</t>
  </si>
  <si>
    <t>0102852787</t>
  </si>
  <si>
    <t>109028119239045</t>
  </si>
  <si>
    <t>8959300320535112476</t>
  </si>
  <si>
    <t>CICLO ANTICIPADO GOLD</t>
  </si>
  <si>
    <t>963963869</t>
  </si>
  <si>
    <t>45702502</t>
  </si>
  <si>
    <t>GALO PATRICIO LEON ESPINOZA</t>
  </si>
  <si>
    <t>0702569294</t>
  </si>
  <si>
    <t>352910339629606</t>
  </si>
  <si>
    <t>8959300520560320635</t>
  </si>
  <si>
    <t>NAE107725</t>
  </si>
  <si>
    <t>AE SALESLAND MACHALA (GONZAGA LIZBETH)</t>
  </si>
  <si>
    <t>967051873</t>
  </si>
  <si>
    <t>45602656</t>
  </si>
  <si>
    <t>SARA ESTEFANIA SOLANO MONTALVAN</t>
  </si>
  <si>
    <t>0706254034</t>
  </si>
  <si>
    <t>533806307712964</t>
  </si>
  <si>
    <t>8959300120525776458</t>
  </si>
  <si>
    <t>967098209</t>
  </si>
  <si>
    <t>45645075</t>
  </si>
  <si>
    <t>JOSUE ALEJANDRO RODRIGUEZ PELCHOR</t>
  </si>
  <si>
    <t>0107141236</t>
  </si>
  <si>
    <t>330604127005528</t>
  </si>
  <si>
    <t>8959300120521835522</t>
  </si>
  <si>
    <t>967424398</t>
  </si>
  <si>
    <t>45682966</t>
  </si>
  <si>
    <t>GRACIELA FILOMENA CARRION REYES</t>
  </si>
  <si>
    <t>0700402209</t>
  </si>
  <si>
    <t>300420547755329</t>
  </si>
  <si>
    <t>8959300520560320148</t>
  </si>
  <si>
    <t>967425795</t>
  </si>
  <si>
    <t>45683946</t>
  </si>
  <si>
    <t>913790838922849</t>
  </si>
  <si>
    <t>8959300520560319777</t>
  </si>
  <si>
    <t>967576988</t>
  </si>
  <si>
    <t>45698601</t>
  </si>
  <si>
    <t>WILSON PATRICIO TRELLES TORRES</t>
  </si>
  <si>
    <t>0102933827</t>
  </si>
  <si>
    <t>911181651145522</t>
  </si>
  <si>
    <t>8959300120522506932</t>
  </si>
  <si>
    <t>968462851</t>
  </si>
  <si>
    <t>45646464</t>
  </si>
  <si>
    <t>ROSITA DEL CARMEN PARRA VILLAVICENCIO</t>
  </si>
  <si>
    <t>0101830008</t>
  </si>
  <si>
    <t>019149442022509</t>
  </si>
  <si>
    <t>8959300120521054520</t>
  </si>
  <si>
    <t>969000407</t>
  </si>
  <si>
    <t>45639033</t>
  </si>
  <si>
    <t>KATHERINE JOHANNA AGUIRRE SANTIANA</t>
  </si>
  <si>
    <t>1723289698</t>
  </si>
  <si>
    <t>547263848153403</t>
  </si>
  <si>
    <t>8959300120522532540</t>
  </si>
  <si>
    <t>969010002</t>
  </si>
  <si>
    <t>45435544</t>
  </si>
  <si>
    <t>FRANKLIN GEOVANNY TADAY YAUTIBUG</t>
  </si>
  <si>
    <t>0650512924</t>
  </si>
  <si>
    <t>P0180</t>
  </si>
  <si>
    <t>PLAN MOVISTAR SILVER PLUS FS.</t>
  </si>
  <si>
    <t>916063244570629</t>
  </si>
  <si>
    <t>8959300520560328513</t>
  </si>
  <si>
    <t>969015503</t>
  </si>
  <si>
    <t>45643943</t>
  </si>
  <si>
    <t>ANTONIO CEREZUELA ESPEJO</t>
  </si>
  <si>
    <t>PAF850471</t>
  </si>
  <si>
    <t>522937094311000</t>
  </si>
  <si>
    <t>8959300120521835555</t>
  </si>
  <si>
    <t>969015807</t>
  </si>
  <si>
    <t>45710797</t>
  </si>
  <si>
    <t>GLADYS PATRICIA ERAS CASTILLO</t>
  </si>
  <si>
    <t>0704211788</t>
  </si>
  <si>
    <t>357200107302742</t>
  </si>
  <si>
    <t>8959300420516766397</t>
  </si>
  <si>
    <t>969016993</t>
  </si>
  <si>
    <t>45677705</t>
  </si>
  <si>
    <t>ROBIN MARTIN REVELO REASCOS</t>
  </si>
  <si>
    <t>1721394821</t>
  </si>
  <si>
    <t>000000240647644</t>
  </si>
  <si>
    <t>8959300520561493027</t>
  </si>
  <si>
    <t>969043348</t>
  </si>
  <si>
    <t>45675392</t>
  </si>
  <si>
    <t>GEOVANNY EDUARDO JAMA ARTEAGA</t>
  </si>
  <si>
    <t>0802679415</t>
  </si>
  <si>
    <t>014379002119990</t>
  </si>
  <si>
    <t>8959300520561489884</t>
  </si>
  <si>
    <t>969046003</t>
  </si>
  <si>
    <t>45621319</t>
  </si>
  <si>
    <t>ARACELY SARAHI CHULCA SARAGURO</t>
  </si>
  <si>
    <t>1725457301</t>
  </si>
  <si>
    <t>548520681356255</t>
  </si>
  <si>
    <t>8959300120521826984</t>
  </si>
  <si>
    <t>969055720</t>
  </si>
  <si>
    <t>45620913</t>
  </si>
  <si>
    <t>FREDDY GIOVANNY PAREDES ARAUJO</t>
  </si>
  <si>
    <t>1711979979</t>
  </si>
  <si>
    <t>518134981614631</t>
  </si>
  <si>
    <t>8959300120522532979</t>
  </si>
  <si>
    <t>969059295</t>
  </si>
  <si>
    <t>45661494</t>
  </si>
  <si>
    <t>JUAN MANUEL TIPAN CAIZA</t>
  </si>
  <si>
    <t>1704406196</t>
  </si>
  <si>
    <t>451792859933190</t>
  </si>
  <si>
    <t>8959300520560350442</t>
  </si>
  <si>
    <t>969059882</t>
  </si>
  <si>
    <t>45617995</t>
  </si>
  <si>
    <t>JHONNY PAUL CORREA SIMBAÑA</t>
  </si>
  <si>
    <t>1753032919</t>
  </si>
  <si>
    <t>359715485790497</t>
  </si>
  <si>
    <t>8959300120522529157</t>
  </si>
  <si>
    <t>969060793</t>
  </si>
  <si>
    <t>45699109</t>
  </si>
  <si>
    <t>LIDIA HIPATIA SANCHEZ CAHUASQUI</t>
  </si>
  <si>
    <t>1708386741</t>
  </si>
  <si>
    <t>012356181286842</t>
  </si>
  <si>
    <t>8959300520560350863</t>
  </si>
  <si>
    <t>969068078</t>
  </si>
  <si>
    <t>45711378</t>
  </si>
  <si>
    <t>JESSICA PATRICIA MEDIAVILLA LANDAZURI</t>
  </si>
  <si>
    <t>1751239003</t>
  </si>
  <si>
    <t>355108340299975</t>
  </si>
  <si>
    <t>8959300520560351564</t>
  </si>
  <si>
    <t>969079294</t>
  </si>
  <si>
    <t>45627533</t>
  </si>
  <si>
    <t>MARCELO PATRICIO OBACO LAPO</t>
  </si>
  <si>
    <t>0704404003</t>
  </si>
  <si>
    <t>359231045597596</t>
  </si>
  <si>
    <t>8959300520541816909</t>
  </si>
  <si>
    <t>978605363</t>
  </si>
  <si>
    <t>45661624</t>
  </si>
  <si>
    <t>JOSELYN PAOLA LESCANO LISANO</t>
  </si>
  <si>
    <t>1756151658</t>
  </si>
  <si>
    <t>358175077357935</t>
  </si>
  <si>
    <t>8959300520560349626</t>
  </si>
  <si>
    <t>978609369</t>
  </si>
  <si>
    <t>45620530</t>
  </si>
  <si>
    <t>DIANA ALEXANDRA GARCIA GUANO GARCIA GUANO</t>
  </si>
  <si>
    <t>1755423769</t>
  </si>
  <si>
    <t>355958044097335</t>
  </si>
  <si>
    <t>8959300120522528944</t>
  </si>
  <si>
    <t>978728018</t>
  </si>
  <si>
    <t>45604009</t>
  </si>
  <si>
    <t>WILTER ANTONIO ALAVA FARIAS</t>
  </si>
  <si>
    <t>1719732784</t>
  </si>
  <si>
    <t>913623337326776</t>
  </si>
  <si>
    <t>8959300120522529991</t>
  </si>
  <si>
    <t>978773976</t>
  </si>
  <si>
    <t>45682129</t>
  </si>
  <si>
    <t>JORDY DANIEL MENDOZA VELEZ</t>
  </si>
  <si>
    <t>1722863931</t>
  </si>
  <si>
    <t>356078924844232</t>
  </si>
  <si>
    <t>8959300520560351077</t>
  </si>
  <si>
    <t>979004094</t>
  </si>
  <si>
    <t>20869904</t>
  </si>
  <si>
    <t>JOSE MARIA SINCHE</t>
  </si>
  <si>
    <t>0100043967</t>
  </si>
  <si>
    <t>529004188220127</t>
  </si>
  <si>
    <t>8959300520560326186</t>
  </si>
  <si>
    <t>979027584</t>
  </si>
  <si>
    <t>45691102</t>
  </si>
  <si>
    <t>LENYN JOEL GRANIZO GUAÑO</t>
  </si>
  <si>
    <t>1752092294</t>
  </si>
  <si>
    <t>000000231936022</t>
  </si>
  <si>
    <t>8959300520561490551</t>
  </si>
  <si>
    <t>979051091</t>
  </si>
  <si>
    <t>45711949</t>
  </si>
  <si>
    <t>WILSON ROBERT MOLINA MARIN</t>
  </si>
  <si>
    <t>0913694295</t>
  </si>
  <si>
    <t>455787156249072</t>
  </si>
  <si>
    <t>8959300120522507013</t>
  </si>
  <si>
    <t>979053876</t>
  </si>
  <si>
    <t>45619778</t>
  </si>
  <si>
    <t>BEATRIZ RAMON TENESACA</t>
  </si>
  <si>
    <t>0102360526</t>
  </si>
  <si>
    <t>355371822339384</t>
  </si>
  <si>
    <t>8959300120521837106</t>
  </si>
  <si>
    <t>979077711</t>
  </si>
  <si>
    <t>45712658</t>
  </si>
  <si>
    <t>JAIME ORLANDO SERNA SILVA</t>
  </si>
  <si>
    <t>1708657299</t>
  </si>
  <si>
    <t>308580849293790</t>
  </si>
  <si>
    <t>8959300520560350913</t>
  </si>
  <si>
    <t>979083163</t>
  </si>
  <si>
    <t>45628403</t>
  </si>
  <si>
    <t>EDWIN DAVID DAQUILEMA YUNGAN</t>
  </si>
  <si>
    <t>1721771614</t>
  </si>
  <si>
    <t>000000237758081</t>
  </si>
  <si>
    <t>8959300120522534322</t>
  </si>
  <si>
    <t>979084803</t>
  </si>
  <si>
    <t>45623111</t>
  </si>
  <si>
    <t>JIMMY MARLON CASTILLO JIMENEZ CASTILLO JIMENEZ</t>
  </si>
  <si>
    <t>1105538282</t>
  </si>
  <si>
    <t>503189193811349</t>
  </si>
  <si>
    <t>8959300120521826919</t>
  </si>
  <si>
    <t>979103845</t>
  </si>
  <si>
    <t>45692627</t>
  </si>
  <si>
    <t>ERIKA ALEXANDRA DIAZ ASTUDILLO</t>
  </si>
  <si>
    <t>1751502632</t>
  </si>
  <si>
    <t>000000217025105</t>
  </si>
  <si>
    <t>8959300520561490718</t>
  </si>
  <si>
    <t>979105784</t>
  </si>
  <si>
    <t>45675965</t>
  </si>
  <si>
    <t>BEATRIZ CATALINA BUNCE PALACIOS</t>
  </si>
  <si>
    <t>1707553788</t>
  </si>
  <si>
    <t>519533034095236</t>
  </si>
  <si>
    <t>8959300520561492680</t>
  </si>
  <si>
    <t>979112067</t>
  </si>
  <si>
    <t>45682941</t>
  </si>
  <si>
    <t>GABRIELA LISSETH TENESACA MUÑOZ</t>
  </si>
  <si>
    <t>0106592801</t>
  </si>
  <si>
    <t>990002665920342</t>
  </si>
  <si>
    <t>8959300120522506213</t>
  </si>
  <si>
    <t>979119879</t>
  </si>
  <si>
    <t>45619596</t>
  </si>
  <si>
    <t>ESTEBAN FABIAN VINTIMILLA NEIRA</t>
  </si>
  <si>
    <t>0102409117</t>
  </si>
  <si>
    <t>496100618268873</t>
  </si>
  <si>
    <t>8959300120521053928</t>
  </si>
  <si>
    <t>979149670</t>
  </si>
  <si>
    <t>45640162</t>
  </si>
  <si>
    <t>ANDREA VANESSA TIGSE GAVILANES</t>
  </si>
  <si>
    <t>1756263339</t>
  </si>
  <si>
    <t>016752287021982</t>
  </si>
  <si>
    <t>8959300120525774164</t>
  </si>
  <si>
    <t>979150166</t>
  </si>
  <si>
    <t>41437370</t>
  </si>
  <si>
    <t>EDGAR PORTELA MENESES</t>
  </si>
  <si>
    <t>1754371712</t>
  </si>
  <si>
    <t>441187172477970</t>
  </si>
  <si>
    <t>8959300120521827610</t>
  </si>
  <si>
    <t>979153797</t>
  </si>
  <si>
    <t>45676543</t>
  </si>
  <si>
    <t>LUIS PATRICIO CABEZAS FUENTES</t>
  </si>
  <si>
    <t>1709685885</t>
  </si>
  <si>
    <t>000000265154963</t>
  </si>
  <si>
    <t>8959300120519458113</t>
  </si>
  <si>
    <t>979163585</t>
  </si>
  <si>
    <t>21448893</t>
  </si>
  <si>
    <t>ESTEBAN RAFAEL POZO OCHOA</t>
  </si>
  <si>
    <t>0102692589</t>
  </si>
  <si>
    <t>000000222684714</t>
  </si>
  <si>
    <t>8959300120521054330</t>
  </si>
  <si>
    <t>979165260</t>
  </si>
  <si>
    <t>45702249</t>
  </si>
  <si>
    <t>JULIO CESAR URGILEZ PASTUIZACA</t>
  </si>
  <si>
    <t>0300065141</t>
  </si>
  <si>
    <t>013224005600409</t>
  </si>
  <si>
    <t>8959300320535214926</t>
  </si>
  <si>
    <t>979165366</t>
  </si>
  <si>
    <t>45652194</t>
  </si>
  <si>
    <t>ASIS NORBERTO AVILA JARA</t>
  </si>
  <si>
    <t>0301300315</t>
  </si>
  <si>
    <t>505424613633967</t>
  </si>
  <si>
    <t>8959300520560328547</t>
  </si>
  <si>
    <t>979181836</t>
  </si>
  <si>
    <t>45671214</t>
  </si>
  <si>
    <t>MARIA BLANCA MALLA GUICHAY MALLA GUICHAY</t>
  </si>
  <si>
    <t>0102972213</t>
  </si>
  <si>
    <t>000000190501825</t>
  </si>
  <si>
    <t>8959300520560329263</t>
  </si>
  <si>
    <t>979182956</t>
  </si>
  <si>
    <t>45659000</t>
  </si>
  <si>
    <t>JUANA CATALINA CORDOVA CORDOVA</t>
  </si>
  <si>
    <t>0104491576</t>
  </si>
  <si>
    <t>987238169453985</t>
  </si>
  <si>
    <t>8959300520560329032</t>
  </si>
  <si>
    <t>979214849</t>
  </si>
  <si>
    <t>45671385</t>
  </si>
  <si>
    <t>PAOLA MARICELA MAILA RIOS</t>
  </si>
  <si>
    <t>1755856760</t>
  </si>
  <si>
    <t>000000232604926</t>
  </si>
  <si>
    <t>8959300520560349790</t>
  </si>
  <si>
    <t>979224217</t>
  </si>
  <si>
    <t>45676264</t>
  </si>
  <si>
    <t>JOHN LENON PALMA BRAVO PALMA BRAVO</t>
  </si>
  <si>
    <t>1724129372</t>
  </si>
  <si>
    <t>355108340312273</t>
  </si>
  <si>
    <t>8959300520560350665</t>
  </si>
  <si>
    <t>979236087</t>
  </si>
  <si>
    <t>45563474</t>
  </si>
  <si>
    <t>DARWIN ERNESTO GOYES SANCHEZ</t>
  </si>
  <si>
    <t>1714997879</t>
  </si>
  <si>
    <t>982944019688416</t>
  </si>
  <si>
    <t>8959300520561485882</t>
  </si>
  <si>
    <t>NAE110470</t>
  </si>
  <si>
    <t>AE SALESLAND RECREO (MENDEZ NATALIE)</t>
  </si>
  <si>
    <t>979263302</t>
  </si>
  <si>
    <t>45619433</t>
  </si>
  <si>
    <t>LUIS EDUARDO LANDAZURI MONTENEGRO</t>
  </si>
  <si>
    <t>0400084521</t>
  </si>
  <si>
    <t>000000196655104</t>
  </si>
  <si>
    <t>8959300120522528720</t>
  </si>
  <si>
    <t>979272947</t>
  </si>
  <si>
    <t>45716180</t>
  </si>
  <si>
    <t>EDWIN JAVIER VASQUEZ VERA</t>
  </si>
  <si>
    <t>0706508108</t>
  </si>
  <si>
    <t>862712424768049</t>
  </si>
  <si>
    <t>8959300520560321021</t>
  </si>
  <si>
    <t>979273379</t>
  </si>
  <si>
    <t>45639280</t>
  </si>
  <si>
    <t>JUAN GUAILLA LEMA</t>
  </si>
  <si>
    <t>0201273521</t>
  </si>
  <si>
    <t>356928053144681</t>
  </si>
  <si>
    <t>8959300120522532581</t>
  </si>
  <si>
    <t>979284131</t>
  </si>
  <si>
    <t>45658633</t>
  </si>
  <si>
    <t>ANDERSON VINICIO ANALUISA VELASCO ANALUISA VELASCO</t>
  </si>
  <si>
    <t>1724751464</t>
  </si>
  <si>
    <t>000000254655178</t>
  </si>
  <si>
    <t>8959300520561493837</t>
  </si>
  <si>
    <t>979286196</t>
  </si>
  <si>
    <t>45715997</t>
  </si>
  <si>
    <t>JUAN CARLOS IZA VELOZ</t>
  </si>
  <si>
    <t>1719468959</t>
  </si>
  <si>
    <t>512398407439826</t>
  </si>
  <si>
    <t>8959300520560352315</t>
  </si>
  <si>
    <t>979288927</t>
  </si>
  <si>
    <t>45715317</t>
  </si>
  <si>
    <t>IVAN FRANCO MURILLO</t>
  </si>
  <si>
    <t>1708435829</t>
  </si>
  <si>
    <t>535565158646576</t>
  </si>
  <si>
    <t>8959300520560351689</t>
  </si>
  <si>
    <t>979292883</t>
  </si>
  <si>
    <t>45625199</t>
  </si>
  <si>
    <t>GUILLERMO HERNAN LOPEZ ZALDUMBIDE</t>
  </si>
  <si>
    <t>1705288361</t>
  </si>
  <si>
    <t>P0170</t>
  </si>
  <si>
    <t>518049782512620</t>
  </si>
  <si>
    <t>8959300120521827347</t>
  </si>
  <si>
    <t>979297716</t>
  </si>
  <si>
    <t>45668644</t>
  </si>
  <si>
    <t>MARIA LUCILA PILCO LANCHIMBA</t>
  </si>
  <si>
    <t>1710284801</t>
  </si>
  <si>
    <t>000000263226011</t>
  </si>
  <si>
    <t>8959300520560350467</t>
  </si>
  <si>
    <t>979311555</t>
  </si>
  <si>
    <t>45654329</t>
  </si>
  <si>
    <t>PILAR MARIA CHICO FLORES</t>
  </si>
  <si>
    <t>1716123649</t>
  </si>
  <si>
    <t>305895344970921</t>
  </si>
  <si>
    <t>8959300520560350475</t>
  </si>
  <si>
    <t>979313191</t>
  </si>
  <si>
    <t>45632114</t>
  </si>
  <si>
    <t>MARIA DE LOURDES PINOS AGUILAR</t>
  </si>
  <si>
    <t>1708927544</t>
  </si>
  <si>
    <t>864191031197934</t>
  </si>
  <si>
    <t>8959300120521826646</t>
  </si>
  <si>
    <t>CICLO ANTICIPADO ALTO VALOR</t>
  </si>
  <si>
    <t>979313277</t>
  </si>
  <si>
    <t>45689989</t>
  </si>
  <si>
    <t>MAYRA ALEXANDRA PINEDA CASTRO</t>
  </si>
  <si>
    <t>0104012885</t>
  </si>
  <si>
    <t>000000218665545</t>
  </si>
  <si>
    <t>8959300120522506148</t>
  </si>
  <si>
    <t>979315902</t>
  </si>
  <si>
    <t>45665056</t>
  </si>
  <si>
    <t>LUIS ALEJANDRO TAYUPANTA ILAQUIZE</t>
  </si>
  <si>
    <t>1726301151</t>
  </si>
  <si>
    <t>869652335273635</t>
  </si>
  <si>
    <t>8959300120522632878</t>
  </si>
  <si>
    <t>979316236</t>
  </si>
  <si>
    <t>45652909</t>
  </si>
  <si>
    <t>MARIA DOLORES RUIZ RUIZ</t>
  </si>
  <si>
    <t>1709181273</t>
  </si>
  <si>
    <t>000000221835291</t>
  </si>
  <si>
    <t>8959300520560350103</t>
  </si>
  <si>
    <t>979320757</t>
  </si>
  <si>
    <t>45617514</t>
  </si>
  <si>
    <t>HERMA RONALDO RAMON CARCHI</t>
  </si>
  <si>
    <t>0103938445</t>
  </si>
  <si>
    <t>000000261026223</t>
  </si>
  <si>
    <t>8959300120525776334</t>
  </si>
  <si>
    <t>979331888</t>
  </si>
  <si>
    <t>45704646</t>
  </si>
  <si>
    <t>JASON CARLIN ARCE ELLES</t>
  </si>
  <si>
    <t>1724005192</t>
  </si>
  <si>
    <t>336646430517933</t>
  </si>
  <si>
    <t>8959300520561490858</t>
  </si>
  <si>
    <t>979333430</t>
  </si>
  <si>
    <t>45692186</t>
  </si>
  <si>
    <t>ANGEL POLIVIO CARDENAS MATUTE</t>
  </si>
  <si>
    <t>0300916988</t>
  </si>
  <si>
    <t>994524373298329</t>
  </si>
  <si>
    <t>8959300520560326327</t>
  </si>
  <si>
    <t>NAE104868</t>
  </si>
  <si>
    <t>SALESLAND CUENCA CENTRO (PATIÑO DIANA)</t>
  </si>
  <si>
    <t>979340146</t>
  </si>
  <si>
    <t>45622695</t>
  </si>
  <si>
    <t>ALEX DAVID OROZCO AGUIRRE</t>
  </si>
  <si>
    <t>0705926269</t>
  </si>
  <si>
    <t>458498150241951</t>
  </si>
  <si>
    <t>8959300120522637109</t>
  </si>
  <si>
    <t>979342165</t>
  </si>
  <si>
    <t>45699126</t>
  </si>
  <si>
    <t>MARTHA AMELIA CUADROS JUAREZ</t>
  </si>
  <si>
    <t>G39574617</t>
  </si>
  <si>
    <t>109831768177501</t>
  </si>
  <si>
    <t>8959300520560352240</t>
  </si>
  <si>
    <t>979351408</t>
  </si>
  <si>
    <t>45645560</t>
  </si>
  <si>
    <t>BLANCA ALICIA DEL CARMEN GUAMAN MOROCHO</t>
  </si>
  <si>
    <t>1703867612</t>
  </si>
  <si>
    <t>000000205198054</t>
  </si>
  <si>
    <t>8959300520560350210</t>
  </si>
  <si>
    <t>979355015</t>
  </si>
  <si>
    <t>45680531</t>
  </si>
  <si>
    <t>LUIS ALFONSO URIARTE FLORES</t>
  </si>
  <si>
    <t>1801626910</t>
  </si>
  <si>
    <t>982573837972510</t>
  </si>
  <si>
    <t>8959300520561493266</t>
  </si>
  <si>
    <t>979359462</t>
  </si>
  <si>
    <t>45689867</t>
  </si>
  <si>
    <t>LAURO ALEJANDRO ATIENCIA LLIVICURA</t>
  </si>
  <si>
    <t>0107109829</t>
  </si>
  <si>
    <t>000000262739493</t>
  </si>
  <si>
    <t>8959300520560325576</t>
  </si>
  <si>
    <t>979369569</t>
  </si>
  <si>
    <t>45622429</t>
  </si>
  <si>
    <t>PABLO ANDRES GODOY LUDIZACA</t>
  </si>
  <si>
    <t>0350184008</t>
  </si>
  <si>
    <t>000000249348731</t>
  </si>
  <si>
    <t>8959300120521835258</t>
  </si>
  <si>
    <t>979377168</t>
  </si>
  <si>
    <t>45617266</t>
  </si>
  <si>
    <t>DANIEL ANDRES LOPEZ BARONA</t>
  </si>
  <si>
    <t>1725569113</t>
  </si>
  <si>
    <t>356466104888261</t>
  </si>
  <si>
    <t>8959300120522630088</t>
  </si>
  <si>
    <t>979384668</t>
  </si>
  <si>
    <t>45709493</t>
  </si>
  <si>
    <t>ADRIANA XIMENA MUÑOZ MARTINEZ</t>
  </si>
  <si>
    <t>0966194383</t>
  </si>
  <si>
    <t>917578265908282</t>
  </si>
  <si>
    <t>8959300520560320809</t>
  </si>
  <si>
    <t>979392464</t>
  </si>
  <si>
    <t>45675479</t>
  </si>
  <si>
    <t>FREDDY RAUL PALADINES RAMON</t>
  </si>
  <si>
    <t>0703568345</t>
  </si>
  <si>
    <t>981955577554700</t>
  </si>
  <si>
    <t>8959300520561489876</t>
  </si>
  <si>
    <t>979533928</t>
  </si>
  <si>
    <t>45617942</t>
  </si>
  <si>
    <t>LILIA GERMANIA VASQUEZ DELGADO</t>
  </si>
  <si>
    <t>0100875756</t>
  </si>
  <si>
    <t>302975617939093</t>
  </si>
  <si>
    <t>8959300120521053985</t>
  </si>
  <si>
    <t>980000082</t>
  </si>
  <si>
    <t>45652962</t>
  </si>
  <si>
    <t>GUSTAVO HERNAN SOSA COPA</t>
  </si>
  <si>
    <t>1719659748</t>
  </si>
  <si>
    <t>356385021600254</t>
  </si>
  <si>
    <t>8959300120522632241</t>
  </si>
  <si>
    <t>980096871</t>
  </si>
  <si>
    <t>45556783</t>
  </si>
  <si>
    <t>BRAULIO ALEJANDRO TORRES PULLAS</t>
  </si>
  <si>
    <t>1713394268</t>
  </si>
  <si>
    <t>P0182</t>
  </si>
  <si>
    <t>527468629621999</t>
  </si>
  <si>
    <t>8959300120521835548</t>
  </si>
  <si>
    <t>980271406</t>
  </si>
  <si>
    <t>45659338</t>
  </si>
  <si>
    <t>TAMARA JULISA CADENA PEÑAFIEL CADENA PEÑAFIEL</t>
  </si>
  <si>
    <t>1726402710</t>
  </si>
  <si>
    <t>990194756259522</t>
  </si>
  <si>
    <t>8959300520561493696</t>
  </si>
  <si>
    <t>980588458</t>
  </si>
  <si>
    <t>45634030</t>
  </si>
  <si>
    <t>SOLEDAD ANALIA CONTRERAS NAVARRETE</t>
  </si>
  <si>
    <t>1715631907</t>
  </si>
  <si>
    <t>357611003130245</t>
  </si>
  <si>
    <t>8959300120522532375</t>
  </si>
  <si>
    <t>980883146</t>
  </si>
  <si>
    <t>45627237</t>
  </si>
  <si>
    <t>EDISSON GUSTAVO GONZALEZ REINOSO</t>
  </si>
  <si>
    <t>0105396030</t>
  </si>
  <si>
    <t>990138787119023</t>
  </si>
  <si>
    <t>8959300120525775005</t>
  </si>
  <si>
    <t>981033091</t>
  </si>
  <si>
    <t>45697823</t>
  </si>
  <si>
    <t>EDISON ANDRES RODRIGUEZ SANCHEZ</t>
  </si>
  <si>
    <t>1750969865</t>
  </si>
  <si>
    <t>547590944462555</t>
  </si>
  <si>
    <t>8959300520560350954</t>
  </si>
  <si>
    <t>981485889</t>
  </si>
  <si>
    <t>45620129</t>
  </si>
  <si>
    <t>ANN MARGARET KASPRAK</t>
  </si>
  <si>
    <t>0151380706</t>
  </si>
  <si>
    <t>543845968806408</t>
  </si>
  <si>
    <t>8959300120521053753</t>
  </si>
  <si>
    <t>981905595</t>
  </si>
  <si>
    <t>45691734</t>
  </si>
  <si>
    <t>TERESA ALICIA MOSQUERA CORTEZ</t>
  </si>
  <si>
    <t>1800189977</t>
  </si>
  <si>
    <t>014631803209341</t>
  </si>
  <si>
    <t>8959300520561490510</t>
  </si>
  <si>
    <t>982704488</t>
  </si>
  <si>
    <t>37869049</t>
  </si>
  <si>
    <t>SILVIA ELIZABETH VALENCIA JACOME</t>
  </si>
  <si>
    <t>1711773109</t>
  </si>
  <si>
    <t>011400005649099</t>
  </si>
  <si>
    <t>8959300520560352083</t>
  </si>
  <si>
    <t>MASIVO</t>
  </si>
  <si>
    <t>983002964</t>
  </si>
  <si>
    <t>45682994</t>
  </si>
  <si>
    <t>DAVID ALEJANDRO SANDOVAL COBACANGO</t>
  </si>
  <si>
    <t>1726042540</t>
  </si>
  <si>
    <t>000000197747801</t>
  </si>
  <si>
    <t>8959300520561493456</t>
  </si>
  <si>
    <t>983007328</t>
  </si>
  <si>
    <t>45665892</t>
  </si>
  <si>
    <t>JORGE ANIBAL CEVALLOS RAMIREZ</t>
  </si>
  <si>
    <t>1705055190</t>
  </si>
  <si>
    <t>863664914869168</t>
  </si>
  <si>
    <t>8959300120522632852</t>
  </si>
  <si>
    <t>NAE110142</t>
  </si>
  <si>
    <t>AE SALESLAND AMERICA (GRANDA ANDRES)</t>
  </si>
  <si>
    <t>983014698</t>
  </si>
  <si>
    <t>450171375561424</t>
  </si>
  <si>
    <t>8959300120522632860</t>
  </si>
  <si>
    <t>983014799</t>
  </si>
  <si>
    <t>45639836</t>
  </si>
  <si>
    <t>MANUEL MESIAS SERPA TENEMASA</t>
  </si>
  <si>
    <t>0150892586</t>
  </si>
  <si>
    <t>000000238545347</t>
  </si>
  <si>
    <t>8959300120521835613</t>
  </si>
  <si>
    <t>983028603</t>
  </si>
  <si>
    <t>45692216</t>
  </si>
  <si>
    <t>ROSA ELENA MOSQUERA LOAYZA</t>
  </si>
  <si>
    <t>0701098345</t>
  </si>
  <si>
    <t>864296021924625</t>
  </si>
  <si>
    <t>8959300620518717419</t>
  </si>
  <si>
    <t>983030895</t>
  </si>
  <si>
    <t>45673074</t>
  </si>
  <si>
    <t>WILIAN ALCIVAR GUAMAN TUABANDA</t>
  </si>
  <si>
    <t>0202178943</t>
  </si>
  <si>
    <t>000000253811210</t>
  </si>
  <si>
    <t>8959300420549992689</t>
  </si>
  <si>
    <t>983050194</t>
  </si>
  <si>
    <t>43273294</t>
  </si>
  <si>
    <t>JOSE FERNANDO PACHACAMA GUALOTUÑA</t>
  </si>
  <si>
    <t>1709036196</t>
  </si>
  <si>
    <t>445538651274344</t>
  </si>
  <si>
    <t>8959300120522528621</t>
  </si>
  <si>
    <t>CARIBU</t>
  </si>
  <si>
    <t>983050428</t>
  </si>
  <si>
    <t>45684917</t>
  </si>
  <si>
    <t>CARLOS FERNANDO VINTIMILLA GUERRERO</t>
  </si>
  <si>
    <t>0102027695</t>
  </si>
  <si>
    <t>356579541584150</t>
  </si>
  <si>
    <t>8959300420525840142</t>
  </si>
  <si>
    <t>983056104</t>
  </si>
  <si>
    <t>45711917</t>
  </si>
  <si>
    <t>XIMENA EMERITA PINTO CHAVEZ</t>
  </si>
  <si>
    <t>0600568364</t>
  </si>
  <si>
    <t>491448026797677</t>
  </si>
  <si>
    <t>8959300120519905451</t>
  </si>
  <si>
    <t>983061176</t>
  </si>
  <si>
    <t>45676982</t>
  </si>
  <si>
    <t>LUIS MARCELO CISNEROS FLORES</t>
  </si>
  <si>
    <t>1702986041</t>
  </si>
  <si>
    <t>332543889266688</t>
  </si>
  <si>
    <t>8959300520561492839</t>
  </si>
  <si>
    <t>983063766</t>
  </si>
  <si>
    <t>30070683</t>
  </si>
  <si>
    <t>PAULO EUSTAQUIO ARIAS</t>
  </si>
  <si>
    <t>1708197536</t>
  </si>
  <si>
    <t>547624942341378</t>
  </si>
  <si>
    <t>8959300120522629908</t>
  </si>
  <si>
    <t>983066001</t>
  </si>
  <si>
    <t>45701824</t>
  </si>
  <si>
    <t>CARLOS OSWALDO LLAMUCA RIVERA</t>
  </si>
  <si>
    <t>1709996464</t>
  </si>
  <si>
    <t>000000253618748</t>
  </si>
  <si>
    <t>8959300520561491377</t>
  </si>
  <si>
    <t>983077518</t>
  </si>
  <si>
    <t>45677057</t>
  </si>
  <si>
    <t>PATRICIO JAVIER GUAMAN JAÑA</t>
  </si>
  <si>
    <t>1750280412</t>
  </si>
  <si>
    <t>359669061698337</t>
  </si>
  <si>
    <t>8959300520561492847</t>
  </si>
  <si>
    <t>983080287</t>
  </si>
  <si>
    <t>45654126</t>
  </si>
  <si>
    <t>LUIS EDISON GUANOQUIZA VACA</t>
  </si>
  <si>
    <t>0504811407</t>
  </si>
  <si>
    <t>444151557442899</t>
  </si>
  <si>
    <t>8959300520560350285</t>
  </si>
  <si>
    <t>983082931</t>
  </si>
  <si>
    <t>45654609</t>
  </si>
  <si>
    <t>ANDRES RAFAEL VILLARROEL MOGOLLON</t>
  </si>
  <si>
    <t>19414711</t>
  </si>
  <si>
    <t>516032768354383</t>
  </si>
  <si>
    <t>8959300520561494223</t>
  </si>
  <si>
    <t>983090215</t>
  </si>
  <si>
    <t>45716245</t>
  </si>
  <si>
    <t>MELANY VALERIA GUERRERO GUEVARA</t>
  </si>
  <si>
    <t>1725628463</t>
  </si>
  <si>
    <t>000000221439318</t>
  </si>
  <si>
    <t>8959300520533578434</t>
  </si>
  <si>
    <t>983118424</t>
  </si>
  <si>
    <t>45666225</t>
  </si>
  <si>
    <t>SANDRO EFRAIN CRIOLLO CRIOLLO</t>
  </si>
  <si>
    <t>0105427306</t>
  </si>
  <si>
    <t>000000219397882</t>
  </si>
  <si>
    <t>8959300320507886552</t>
  </si>
  <si>
    <t>983120536</t>
  </si>
  <si>
    <t>45674004</t>
  </si>
  <si>
    <t>DIEGO GUILLERMO BAQUERO LASCANO</t>
  </si>
  <si>
    <t>1723727267</t>
  </si>
  <si>
    <t>000000187780515</t>
  </si>
  <si>
    <t>8959300520561489801</t>
  </si>
  <si>
    <t>983135940</t>
  </si>
  <si>
    <t>45623005</t>
  </si>
  <si>
    <t>ALEXANDER PAUL MORETA CAIZA</t>
  </si>
  <si>
    <t>1723628887</t>
  </si>
  <si>
    <t>334795586426399</t>
  </si>
  <si>
    <t>8959300120522532821</t>
  </si>
  <si>
    <t>983137553</t>
  </si>
  <si>
    <t>493208645075576</t>
  </si>
  <si>
    <t>8959300120522531369</t>
  </si>
  <si>
    <t>983140744</t>
  </si>
  <si>
    <t>45658626</t>
  </si>
  <si>
    <t>LUIS MAURICIO PAUCAR MUÑOZ</t>
  </si>
  <si>
    <t>1720090529</t>
  </si>
  <si>
    <t>352061023364306</t>
  </si>
  <si>
    <t>8959300520561494074</t>
  </si>
  <si>
    <t>983151287</t>
  </si>
  <si>
    <t>45638257</t>
  </si>
  <si>
    <t>OSCAR FERNANDO MACIAS SERRANO</t>
  </si>
  <si>
    <t>0905802708</t>
  </si>
  <si>
    <t>350750522766829</t>
  </si>
  <si>
    <t>8959300120521834863</t>
  </si>
  <si>
    <t>983155960</t>
  </si>
  <si>
    <t>45722184</t>
  </si>
  <si>
    <t>MARCO VINICIO ANDRANGO GUZMAN</t>
  </si>
  <si>
    <t>1704951241</t>
  </si>
  <si>
    <t>354241242001230</t>
  </si>
  <si>
    <t>8959300520561492235</t>
  </si>
  <si>
    <t>983161897</t>
  </si>
  <si>
    <t>45698891</t>
  </si>
  <si>
    <t>CARLOS ANDRES SOSA ESPIN</t>
  </si>
  <si>
    <t>1715038434</t>
  </si>
  <si>
    <t>PREVIOPAGO PLAN MOVISTAR GOLD PLUS.</t>
  </si>
  <si>
    <t>352908911056297</t>
  </si>
  <si>
    <t>8959300120505489155</t>
  </si>
  <si>
    <t>LTE SAMSUNG Z FOLD 4 NEGRO CH32221</t>
  </si>
  <si>
    <t>983177576</t>
  </si>
  <si>
    <t>45675628</t>
  </si>
  <si>
    <t>TEODORO BOLIVAR SALAZAR CHILIQUINGA</t>
  </si>
  <si>
    <t>1701909283</t>
  </si>
  <si>
    <t>530523235755998</t>
  </si>
  <si>
    <t>8959300520561489850</t>
  </si>
  <si>
    <t>983180012</t>
  </si>
  <si>
    <t>336520591580826</t>
  </si>
  <si>
    <t>8959300520560352331</t>
  </si>
  <si>
    <t>983202439</t>
  </si>
  <si>
    <t>45646491</t>
  </si>
  <si>
    <t>DIEGO PATRICIO BARRERA TORRES</t>
  </si>
  <si>
    <t>0102687308</t>
  </si>
  <si>
    <t>356795951173876</t>
  </si>
  <si>
    <t>8959300520549569914</t>
  </si>
  <si>
    <t>LTE SAMSUNG A23 NEGRO CH31686</t>
  </si>
  <si>
    <t>983204549</t>
  </si>
  <si>
    <t>45623030</t>
  </si>
  <si>
    <t>EULALIO ARTURO LOZANO VELASCO LOZANO VELASCO</t>
  </si>
  <si>
    <t>0906379342</t>
  </si>
  <si>
    <t>000000183195825</t>
  </si>
  <si>
    <t>8959300520529491337</t>
  </si>
  <si>
    <t>983207771</t>
  </si>
  <si>
    <t>45650188</t>
  </si>
  <si>
    <t>ELMO DAYTON FLORES VELEZ</t>
  </si>
  <si>
    <t>1308615861</t>
  </si>
  <si>
    <t>869551050380072</t>
  </si>
  <si>
    <t>8959300320506751633</t>
  </si>
  <si>
    <t>LTE REALME 9I 128GB NEGRO CH31424</t>
  </si>
  <si>
    <t>983210456</t>
  </si>
  <si>
    <t>45713598</t>
  </si>
  <si>
    <t>CARLOS RAMON RIVERA HERNANDEZ</t>
  </si>
  <si>
    <t>1203312648</t>
  </si>
  <si>
    <t>868131038121715</t>
  </si>
  <si>
    <t>8959300520561491617</t>
  </si>
  <si>
    <t>983210673</t>
  </si>
  <si>
    <t>45677090</t>
  </si>
  <si>
    <t>CAROLINA ELIZABETH CHINCHIN GARCIA</t>
  </si>
  <si>
    <t>1722588348</t>
  </si>
  <si>
    <t>353022057312289</t>
  </si>
  <si>
    <t>8959300520561492854</t>
  </si>
  <si>
    <t>983215167</t>
  </si>
  <si>
    <t>45676394</t>
  </si>
  <si>
    <t>FREDY GEOVANNY CUESTA ORTIZ</t>
  </si>
  <si>
    <t>0602305104</t>
  </si>
  <si>
    <t>520040431763827</t>
  </si>
  <si>
    <t>8959300520561492755</t>
  </si>
  <si>
    <t>983215839</t>
  </si>
  <si>
    <t>45637848</t>
  </si>
  <si>
    <t>IRAN KARINA SILVA MAYORGA</t>
  </si>
  <si>
    <t>0602188740</t>
  </si>
  <si>
    <t>.</t>
  </si>
  <si>
    <t>505246539450758</t>
  </si>
  <si>
    <t>8959300120521054199</t>
  </si>
  <si>
    <t>983227627</t>
  </si>
  <si>
    <t>45636881</t>
  </si>
  <si>
    <t>KATHERINE MISHELLE COQUE MORA</t>
  </si>
  <si>
    <t>1721559522</t>
  </si>
  <si>
    <t>000000226694016</t>
  </si>
  <si>
    <t>8959300520532347047</t>
  </si>
  <si>
    <t>983229206</t>
  </si>
  <si>
    <t>45626031</t>
  </si>
  <si>
    <t>JUAN CARLOS SIGÜE ALULEMA</t>
  </si>
  <si>
    <t>1753832193</t>
  </si>
  <si>
    <t>455828146655737</t>
  </si>
  <si>
    <t>8959300120522533118</t>
  </si>
  <si>
    <t>983248693</t>
  </si>
  <si>
    <t>45630327</t>
  </si>
  <si>
    <t>MARIA ISABEL ESPINOSA BAEZ</t>
  </si>
  <si>
    <t>0704626506</t>
  </si>
  <si>
    <t>869220885022982</t>
  </si>
  <si>
    <t>8959300120525777373</t>
  </si>
  <si>
    <t>983259044</t>
  </si>
  <si>
    <t>45629544</t>
  </si>
  <si>
    <t>OLIVER ANIBAL FARINANGO GONZALEZ</t>
  </si>
  <si>
    <t>1751671023</t>
  </si>
  <si>
    <t>000000192464287</t>
  </si>
  <si>
    <t>8959300120521827248</t>
  </si>
  <si>
    <t>983264914</t>
  </si>
  <si>
    <t>45682207</t>
  </si>
  <si>
    <t>P0176</t>
  </si>
  <si>
    <t>PLAN MOVISTAR BRONZE PLUS FS.</t>
  </si>
  <si>
    <t>980839528929529</t>
  </si>
  <si>
    <t>8959300520560319942</t>
  </si>
  <si>
    <t>983273864</t>
  </si>
  <si>
    <t>45624702</t>
  </si>
  <si>
    <t>RINA ALEXIS MONRROY PULGARIN</t>
  </si>
  <si>
    <t>1726526476</t>
  </si>
  <si>
    <t>997524112864107</t>
  </si>
  <si>
    <t>8959300120522528910</t>
  </si>
  <si>
    <t>983278309</t>
  </si>
  <si>
    <t>45654147</t>
  </si>
  <si>
    <t>MILTON MARCELO ESPINOSA NAVARRETE</t>
  </si>
  <si>
    <t>1705576609</t>
  </si>
  <si>
    <t>513348294591832</t>
  </si>
  <si>
    <t>8959300520560350061</t>
  </si>
  <si>
    <t>983284051</t>
  </si>
  <si>
    <t>45622892</t>
  </si>
  <si>
    <t>MARITZA DEL CONSUELO VISTIN CASTILLO</t>
  </si>
  <si>
    <t>0201485729</t>
  </si>
  <si>
    <t>000000248886764</t>
  </si>
  <si>
    <t>8959300120522532847</t>
  </si>
  <si>
    <t>983318677</t>
  </si>
  <si>
    <t>45715964</t>
  </si>
  <si>
    <t>MILTON EDUARDO TUMIPAMBA CALDERON</t>
  </si>
  <si>
    <t>1715971832</t>
  </si>
  <si>
    <t>000000248079667</t>
  </si>
  <si>
    <t>8959300520554331432</t>
  </si>
  <si>
    <t>983320800</t>
  </si>
  <si>
    <t>44660052</t>
  </si>
  <si>
    <t>HUMBERTO CASTRO VERA</t>
  </si>
  <si>
    <t>1704165347</t>
  </si>
  <si>
    <t>P0159</t>
  </si>
  <si>
    <t>PLAN MOVISTAR ADULTO MAYOR FS</t>
  </si>
  <si>
    <t>991516490391618</t>
  </si>
  <si>
    <t>8959300520561486328</t>
  </si>
  <si>
    <t>983324925</t>
  </si>
  <si>
    <t>45614998</t>
  </si>
  <si>
    <t>CINTHYA CAROLINA MUÑOZ MOLINA</t>
  </si>
  <si>
    <t>0923466247</t>
  </si>
  <si>
    <t>CATAMAYO (LA TOMA)</t>
  </si>
  <si>
    <t>514685800181908</t>
  </si>
  <si>
    <t>8959300120521885832</t>
  </si>
  <si>
    <t>983334753</t>
  </si>
  <si>
    <t>45665925</t>
  </si>
  <si>
    <t>MARIA EDITH SALTOS PEREZ</t>
  </si>
  <si>
    <t>0703140905</t>
  </si>
  <si>
    <t>013204007326948</t>
  </si>
  <si>
    <t>8959300520560319892</t>
  </si>
  <si>
    <t>983335001</t>
  </si>
  <si>
    <t>45699342</t>
  </si>
  <si>
    <t>AINHOA NOELIA HIDALGO CAJAS</t>
  </si>
  <si>
    <t>1752077444</t>
  </si>
  <si>
    <t>000000235099736</t>
  </si>
  <si>
    <t>8959300520561491203</t>
  </si>
  <si>
    <t>983335478</t>
  </si>
  <si>
    <t>45685463</t>
  </si>
  <si>
    <t>CARLOS HUMBERTO CHACHA ESTRADA</t>
  </si>
  <si>
    <t>0604379081</t>
  </si>
  <si>
    <t>284787105623457</t>
  </si>
  <si>
    <t>8959300520561486278</t>
  </si>
  <si>
    <t>983339146</t>
  </si>
  <si>
    <t>45704863</t>
  </si>
  <si>
    <t>JULIO CESAR MORALES LOPEZ</t>
  </si>
  <si>
    <t>0100911833</t>
  </si>
  <si>
    <t>353906800021728</t>
  </si>
  <si>
    <t>8959300120521832735</t>
  </si>
  <si>
    <t>983350038</t>
  </si>
  <si>
    <t>45483665</t>
  </si>
  <si>
    <t>EDITH ESTRELLA BUÑAY ARANA</t>
  </si>
  <si>
    <t>1723444921</t>
  </si>
  <si>
    <t>353771838021342</t>
  </si>
  <si>
    <t>8959300120525776532</t>
  </si>
  <si>
    <t>983350226</t>
  </si>
  <si>
    <t>45627969</t>
  </si>
  <si>
    <t>NELSON HERNAN VIRACOCHA PARRA</t>
  </si>
  <si>
    <t>1712524311</t>
  </si>
  <si>
    <t>538344338423216</t>
  </si>
  <si>
    <t>8959300120521827131</t>
  </si>
  <si>
    <t>983354033</t>
  </si>
  <si>
    <t>45691686</t>
  </si>
  <si>
    <t>ROCIO PILAR CAIZA GUALOTO</t>
  </si>
  <si>
    <t>1716044795</t>
  </si>
  <si>
    <t>CALDERON(CARAPUNGO)</t>
  </si>
  <si>
    <t>019050120606102</t>
  </si>
  <si>
    <t>8959300520560351424</t>
  </si>
  <si>
    <t>983360098</t>
  </si>
  <si>
    <t>45664793</t>
  </si>
  <si>
    <t>ANN ALLEN WENDY</t>
  </si>
  <si>
    <t>0151921772</t>
  </si>
  <si>
    <t>500906198870035</t>
  </si>
  <si>
    <t>8959300120522505835</t>
  </si>
  <si>
    <t>983361503</t>
  </si>
  <si>
    <t>45639841</t>
  </si>
  <si>
    <t>MARCOS BISMARK ORTIZ CHACHA</t>
  </si>
  <si>
    <t>0701178139</t>
  </si>
  <si>
    <t>456001591865735</t>
  </si>
  <si>
    <t>8959300120522637547</t>
  </si>
  <si>
    <t>983363798</t>
  </si>
  <si>
    <t>45716051</t>
  </si>
  <si>
    <t>HECTOR RODRIGO QUILUMBA NAULAGUARI</t>
  </si>
  <si>
    <t>1724542533</t>
  </si>
  <si>
    <t>304879232289264</t>
  </si>
  <si>
    <t>8959300520561485734</t>
  </si>
  <si>
    <t>983364832</t>
  </si>
  <si>
    <t>45628179</t>
  </si>
  <si>
    <t>PEDRO PABLO CHIPUSIG COMINA</t>
  </si>
  <si>
    <t>0500081369</t>
  </si>
  <si>
    <t>862339728643429</t>
  </si>
  <si>
    <t>8959300120522534504</t>
  </si>
  <si>
    <t>983365488</t>
  </si>
  <si>
    <t>453568764351746</t>
  </si>
  <si>
    <t>8959300520561486161</t>
  </si>
  <si>
    <t>983366628</t>
  </si>
  <si>
    <t>45668396</t>
  </si>
  <si>
    <t>JEFFERSON PATRICIO CAIZA AZOGUE</t>
  </si>
  <si>
    <t>1208630218</t>
  </si>
  <si>
    <t>000000247947492</t>
  </si>
  <si>
    <t>8959300320531000303</t>
  </si>
  <si>
    <t>983376159</t>
  </si>
  <si>
    <t>45666526</t>
  </si>
  <si>
    <t>MAOLY MELANIE COLLAGUAZO CACERES</t>
  </si>
  <si>
    <t>0705514453</t>
  </si>
  <si>
    <t>864050068764943</t>
  </si>
  <si>
    <t>8959300520560320015</t>
  </si>
  <si>
    <t>LTE XIAOMI REDMI 10C 128GB GRIS CH31666</t>
  </si>
  <si>
    <t>983381619</t>
  </si>
  <si>
    <t>45706130</t>
  </si>
  <si>
    <t>VICTOR HUGO GUAMAN TIPANTUÑA</t>
  </si>
  <si>
    <t>1707832877</t>
  </si>
  <si>
    <t>104138392806892</t>
  </si>
  <si>
    <t>8959300520561486682</t>
  </si>
  <si>
    <t>983386636</t>
  </si>
  <si>
    <t>45705254</t>
  </si>
  <si>
    <t>PRISCILLA ESTEFANIA CABRERA AGUILAR</t>
  </si>
  <si>
    <t>0705879518</t>
  </si>
  <si>
    <t>543256788799270</t>
  </si>
  <si>
    <t>8959300520560320676</t>
  </si>
  <si>
    <t>983401140</t>
  </si>
  <si>
    <t>45275290</t>
  </si>
  <si>
    <t>EDWIN ALEXANDER VILLA PILCO</t>
  </si>
  <si>
    <t>0604172494</t>
  </si>
  <si>
    <t>000000262761539</t>
  </si>
  <si>
    <t>8959300120521079683</t>
  </si>
  <si>
    <t>983403382</t>
  </si>
  <si>
    <t>45698366</t>
  </si>
  <si>
    <t>SAUL ALFREDO HARO HARO</t>
  </si>
  <si>
    <t>1001081320</t>
  </si>
  <si>
    <t>359943057932558</t>
  </si>
  <si>
    <t>8959300520561491088</t>
  </si>
  <si>
    <t>983406993</t>
  </si>
  <si>
    <t>45636853</t>
  </si>
  <si>
    <t>DIANA JACQUELINE DELGADO SUAREZ</t>
  </si>
  <si>
    <t>1751654672</t>
  </si>
  <si>
    <t>000000263831679</t>
  </si>
  <si>
    <t>8959300120521827578</t>
  </si>
  <si>
    <t>983410309</t>
  </si>
  <si>
    <t>547073791333120</t>
  </si>
  <si>
    <t>8959300520560320718</t>
  </si>
  <si>
    <t>983411622</t>
  </si>
  <si>
    <t>45621223</t>
  </si>
  <si>
    <t>ALVA MARILU SANCHEZ VERDUGO</t>
  </si>
  <si>
    <t>1717910820</t>
  </si>
  <si>
    <t>358516085039710</t>
  </si>
  <si>
    <t>8959300120522532946</t>
  </si>
  <si>
    <t>983454698</t>
  </si>
  <si>
    <t>45667908</t>
  </si>
  <si>
    <t>MATEO ITAMAR YUMBLA VALLEJO</t>
  </si>
  <si>
    <t>0107840852</t>
  </si>
  <si>
    <t>359517061186177</t>
  </si>
  <si>
    <t>8959300120518216629</t>
  </si>
  <si>
    <t>983459499</t>
  </si>
  <si>
    <t>45643051</t>
  </si>
  <si>
    <t>CRISTHIAN EDUARDO CHALAN CHALAN</t>
  </si>
  <si>
    <t>0151171378</t>
  </si>
  <si>
    <t>000000209967108</t>
  </si>
  <si>
    <t>8959300120521835571</t>
  </si>
  <si>
    <t>983463181</t>
  </si>
  <si>
    <t>45653931</t>
  </si>
  <si>
    <t>IVONNE GABRIELA PILATAXI CHASIPANTA</t>
  </si>
  <si>
    <t>1713596938</t>
  </si>
  <si>
    <t>000000213941958</t>
  </si>
  <si>
    <t>8959300120522631904</t>
  </si>
  <si>
    <t>983487489</t>
  </si>
  <si>
    <t>45705250</t>
  </si>
  <si>
    <t>LUIS ENRIQUE BRAVO PILAMUNGA</t>
  </si>
  <si>
    <t>1716942238</t>
  </si>
  <si>
    <t>458387542321508</t>
  </si>
  <si>
    <t>8959300520561490874</t>
  </si>
  <si>
    <t>983509153</t>
  </si>
  <si>
    <t>45691698</t>
  </si>
  <si>
    <t>DANIEL VICENTE JARAMILLO PAREDES</t>
  </si>
  <si>
    <t>1103579429</t>
  </si>
  <si>
    <t>MANTA</t>
  </si>
  <si>
    <t>496471706670621</t>
  </si>
  <si>
    <t>8959300520560320361</t>
  </si>
  <si>
    <t>983509288</t>
  </si>
  <si>
    <t>45657392</t>
  </si>
  <si>
    <t>ARIEL ALEJANDRO ROMERO HERNANDEZ</t>
  </si>
  <si>
    <t>1724517071</t>
  </si>
  <si>
    <t>494752598608817</t>
  </si>
  <si>
    <t>8959300520560349725</t>
  </si>
  <si>
    <t>983512869</t>
  </si>
  <si>
    <t>45691477</t>
  </si>
  <si>
    <t>BRYAN ANDRES MIRANDA NIETO</t>
  </si>
  <si>
    <t>1723744080</t>
  </si>
  <si>
    <t>353912070763320</t>
  </si>
  <si>
    <t>8959300520561490569</t>
  </si>
  <si>
    <t>983521401</t>
  </si>
  <si>
    <t>45702589</t>
  </si>
  <si>
    <t>LUIS FERNANDO CUJANO CALUÑA</t>
  </si>
  <si>
    <t>1721346334</t>
  </si>
  <si>
    <t>011443005531503</t>
  </si>
  <si>
    <t>8959300520560352034</t>
  </si>
  <si>
    <t>983529274</t>
  </si>
  <si>
    <t>45712547</t>
  </si>
  <si>
    <t>MAYRA VIVIANA CATUCUAMBA TANDAYAMO</t>
  </si>
  <si>
    <t>1721189304</t>
  </si>
  <si>
    <t>868169037643727</t>
  </si>
  <si>
    <t>8959300520561491559</t>
  </si>
  <si>
    <t>983534383</t>
  </si>
  <si>
    <t>45685019</t>
  </si>
  <si>
    <t>EDWIN JEFFERSON CADENA MORILLO</t>
  </si>
  <si>
    <t>1723826564</t>
  </si>
  <si>
    <t>511028472492720</t>
  </si>
  <si>
    <t>8959300120522633314</t>
  </si>
  <si>
    <t>983535105</t>
  </si>
  <si>
    <t>45638545</t>
  </si>
  <si>
    <t>EDGAR ALEXANDER CHIMBA ZOTAMINGA</t>
  </si>
  <si>
    <t>1729076420</t>
  </si>
  <si>
    <t>504984210494676</t>
  </si>
  <si>
    <t>8959300120521827503</t>
  </si>
  <si>
    <t>983536155</t>
  </si>
  <si>
    <t>45718544</t>
  </si>
  <si>
    <t>NARCISA DEL PILAR CALDERON PROAÑO</t>
  </si>
  <si>
    <t>1002164778</t>
  </si>
  <si>
    <t>448001830560387</t>
  </si>
  <si>
    <t>8959300520560352307</t>
  </si>
  <si>
    <t>983557303</t>
  </si>
  <si>
    <t>45710114</t>
  </si>
  <si>
    <t>PAMELA ESTEFANIA CHAVEZ FLORES</t>
  </si>
  <si>
    <t>1725025132</t>
  </si>
  <si>
    <t>358907056768280</t>
  </si>
  <si>
    <t>8959300520561485833</t>
  </si>
  <si>
    <t>983578583</t>
  </si>
  <si>
    <t>45702751</t>
  </si>
  <si>
    <t>LILIA RUTH SAGÑAY SAGÑAY</t>
  </si>
  <si>
    <t>0605601244</t>
  </si>
  <si>
    <t>910969410235449</t>
  </si>
  <si>
    <t>8959300520561491229</t>
  </si>
  <si>
    <t>983580111</t>
  </si>
  <si>
    <t>45671429</t>
  </si>
  <si>
    <t>ELVIS ALEXANDER GONZAGA ARCE</t>
  </si>
  <si>
    <t>1752684058</t>
  </si>
  <si>
    <t>547939545995556</t>
  </si>
  <si>
    <t>8959300520561489751</t>
  </si>
  <si>
    <t>983586330</t>
  </si>
  <si>
    <t>45684695</t>
  </si>
  <si>
    <t>ISRRAEL ARAY ISAAC</t>
  </si>
  <si>
    <t>1761412137</t>
  </si>
  <si>
    <t>869113065934144</t>
  </si>
  <si>
    <t>8959300520560351283</t>
  </si>
  <si>
    <t>983703500</t>
  </si>
  <si>
    <t>45658776</t>
  </si>
  <si>
    <t>HENRY FABIAN CHUQUIZALA VIERA</t>
  </si>
  <si>
    <t>1723516793</t>
  </si>
  <si>
    <t>PREVIOPAGO PLAN MOVISTAR STARTER PLUS FS.</t>
  </si>
  <si>
    <t>011404003835171</t>
  </si>
  <si>
    <t>8959300520561494058</t>
  </si>
  <si>
    <t>983709167</t>
  </si>
  <si>
    <t>45706154</t>
  </si>
  <si>
    <t>CESAR FERNANDO QUILLE BARROS</t>
  </si>
  <si>
    <t>0105203301</t>
  </si>
  <si>
    <t>499679939531876</t>
  </si>
  <si>
    <t>8959300520560325774</t>
  </si>
  <si>
    <t>983716112</t>
  </si>
  <si>
    <t>45622189</t>
  </si>
  <si>
    <t>LUIS GUSTAVO ESPINOSA CISNEROS</t>
  </si>
  <si>
    <t>1707312847</t>
  </si>
  <si>
    <t>000000235980885</t>
  </si>
  <si>
    <t>8959300120522631656</t>
  </si>
  <si>
    <t>983722025</t>
  </si>
  <si>
    <t>45613846</t>
  </si>
  <si>
    <t>VICENTE WILFRIDO ESPIN GUZMAN</t>
  </si>
  <si>
    <t>1704099132</t>
  </si>
  <si>
    <t>443122571218129</t>
  </si>
  <si>
    <t>8959300120521829939</t>
  </si>
  <si>
    <t>983756491</t>
  </si>
  <si>
    <t>45649818</t>
  </si>
  <si>
    <t>ABNER STALIN MOROCHO GUANUCHI</t>
  </si>
  <si>
    <t>0106731599</t>
  </si>
  <si>
    <t>013888000509011</t>
  </si>
  <si>
    <t>8959300520560328604</t>
  </si>
  <si>
    <t>983756621</t>
  </si>
  <si>
    <t>45676109</t>
  </si>
  <si>
    <t>ALEX PATRICIO SIMALUISA TIPAN</t>
  </si>
  <si>
    <t>1728188820</t>
  </si>
  <si>
    <t>000000190623322</t>
  </si>
  <si>
    <t>8959300520561492698</t>
  </si>
  <si>
    <t>983764201</t>
  </si>
  <si>
    <t>45524572</t>
  </si>
  <si>
    <t>FAUSTO ARIOLFO LOYOLA ALBAN</t>
  </si>
  <si>
    <t>1715102719</t>
  </si>
  <si>
    <t>333194027223782</t>
  </si>
  <si>
    <t>8959300120522631482</t>
  </si>
  <si>
    <t>983776948</t>
  </si>
  <si>
    <t>45652822</t>
  </si>
  <si>
    <t>MARIA LEONILA MUÑOZ GUAMAN</t>
  </si>
  <si>
    <t>0103609046</t>
  </si>
  <si>
    <t>355108340319716</t>
  </si>
  <si>
    <t>8959300520560328778</t>
  </si>
  <si>
    <t>983783375</t>
  </si>
  <si>
    <t>45706045</t>
  </si>
  <si>
    <t>TAMARA CRISTINA AREVALO URGILES</t>
  </si>
  <si>
    <t>0105357792</t>
  </si>
  <si>
    <t>536675429927603</t>
  </si>
  <si>
    <t>8959300520560325758</t>
  </si>
  <si>
    <t>983788390</t>
  </si>
  <si>
    <t>45708828</t>
  </si>
  <si>
    <t>LAURO FAUSTINO PROAÑO ANDRADE</t>
  </si>
  <si>
    <t>1704042181</t>
  </si>
  <si>
    <t>000000240218172</t>
  </si>
  <si>
    <t>8959300120519904850</t>
  </si>
  <si>
    <t>983812474</t>
  </si>
  <si>
    <t>45695602</t>
  </si>
  <si>
    <t>FREDDY RODRIGO AGUILAR IZURIETA</t>
  </si>
  <si>
    <t>1804111027</t>
  </si>
  <si>
    <t>359587072077236</t>
  </si>
  <si>
    <t>8959300120518451259</t>
  </si>
  <si>
    <t>983813307</t>
  </si>
  <si>
    <t>45661949</t>
  </si>
  <si>
    <t>ROSA ANRANGO TITUAÑA</t>
  </si>
  <si>
    <t>1003109798</t>
  </si>
  <si>
    <t>493129596734211</t>
  </si>
  <si>
    <t>8959300520561493639</t>
  </si>
  <si>
    <t>983814303</t>
  </si>
  <si>
    <t>45696809</t>
  </si>
  <si>
    <t>DIANA CAROLINA MUÑOZ CARRERA</t>
  </si>
  <si>
    <t>1723476980</t>
  </si>
  <si>
    <t>353104034720766</t>
  </si>
  <si>
    <t>8959300520561491096</t>
  </si>
  <si>
    <t>983817390</t>
  </si>
  <si>
    <t>12767671</t>
  </si>
  <si>
    <t>JOSE EDUARDO RODRIGUEZ VEGA .</t>
  </si>
  <si>
    <t>1710446905</t>
  </si>
  <si>
    <t>013083000566217</t>
  </si>
  <si>
    <t>8959300520561485759</t>
  </si>
  <si>
    <t>NAE110430</t>
  </si>
  <si>
    <t>AE SALESLAND RECREO (CORDOVA LUIS)</t>
  </si>
  <si>
    <t>983838160</t>
  </si>
  <si>
    <t>45629958</t>
  </si>
  <si>
    <t>JAVIER VICENTE FLORES SUAREZ</t>
  </si>
  <si>
    <t>1709264285</t>
  </si>
  <si>
    <t>532100150807373</t>
  </si>
  <si>
    <t>8959300120521826844</t>
  </si>
  <si>
    <t>983838538</t>
  </si>
  <si>
    <t>45563391</t>
  </si>
  <si>
    <t>NESTOR LEOPOLDO GARCIA PUENAYAN</t>
  </si>
  <si>
    <t>1704472560</t>
  </si>
  <si>
    <t>011846740371235</t>
  </si>
  <si>
    <t>8959300520560349824</t>
  </si>
  <si>
    <t>983839658</t>
  </si>
  <si>
    <t>45206350</t>
  </si>
  <si>
    <t>KAROLINA MONSERRAT GONZALEZ QUISNANCELA</t>
  </si>
  <si>
    <t>1728161306</t>
  </si>
  <si>
    <t>493340250760851</t>
  </si>
  <si>
    <t>8959300120521827222</t>
  </si>
  <si>
    <t>983858434</t>
  </si>
  <si>
    <t>45706054</t>
  </si>
  <si>
    <t>GALO IVAN OVIEDO CABRERA</t>
  </si>
  <si>
    <t>0705798072</t>
  </si>
  <si>
    <t>305992805287059</t>
  </si>
  <si>
    <t>8959300520560320726</t>
  </si>
  <si>
    <t>983860155</t>
  </si>
  <si>
    <t>45670915</t>
  </si>
  <si>
    <t>DIEGO SEBASTIAN SANCHEZ LOOR</t>
  </si>
  <si>
    <t>1719148403</t>
  </si>
  <si>
    <t>015809409195887</t>
  </si>
  <si>
    <t>8959300520561490460</t>
  </si>
  <si>
    <t>983863580</t>
  </si>
  <si>
    <t>45717377</t>
  </si>
  <si>
    <t>MARIA FRANCISCA MENDAÑO MILLINGALLI MENDAÑO MILLINGALLI</t>
  </si>
  <si>
    <t>0502066483</t>
  </si>
  <si>
    <t>000000232985804</t>
  </si>
  <si>
    <t>8959300520561491906</t>
  </si>
  <si>
    <t>983869956</t>
  </si>
  <si>
    <t>45646363</t>
  </si>
  <si>
    <t>BLANCA LIDIA CHAMBA ALBITO</t>
  </si>
  <si>
    <t>0702070715</t>
  </si>
  <si>
    <t>455436002872485</t>
  </si>
  <si>
    <t>8959300120522637612</t>
  </si>
  <si>
    <t>983870963</t>
  </si>
  <si>
    <t>45676889</t>
  </si>
  <si>
    <t>FANNY EMERITA MORALES VALVERDE</t>
  </si>
  <si>
    <t>0901386086</t>
  </si>
  <si>
    <t>012821001408066</t>
  </si>
  <si>
    <t>8959300520560350749</t>
  </si>
  <si>
    <t>983880153</t>
  </si>
  <si>
    <t>45634467</t>
  </si>
  <si>
    <t>LESLIE MICHELLE VELASTEGUI QUINTEROS</t>
  </si>
  <si>
    <t>1723121552</t>
  </si>
  <si>
    <t>354390058590115</t>
  </si>
  <si>
    <t>8959300120522532441</t>
  </si>
  <si>
    <t>NAE104739</t>
  </si>
  <si>
    <t>SALESLAND CONDADO (GUEVARA CRISTIAN)</t>
  </si>
  <si>
    <t>983882776</t>
  </si>
  <si>
    <t>45632501</t>
  </si>
  <si>
    <t>GENESIS ADRIANA VILEMA BERMEO</t>
  </si>
  <si>
    <t>1722462783</t>
  </si>
  <si>
    <t>490009666278088</t>
  </si>
  <si>
    <t>8959300520561490965</t>
  </si>
  <si>
    <t>983885826</t>
  </si>
  <si>
    <t>45617542</t>
  </si>
  <si>
    <t>LUIS ENRIQUE ZURITA SANCHEZ</t>
  </si>
  <si>
    <t>0701024127</t>
  </si>
  <si>
    <t>353294050071895</t>
  </si>
  <si>
    <t>8959300120506407495</t>
  </si>
  <si>
    <t>983886034</t>
  </si>
  <si>
    <t>45718994</t>
  </si>
  <si>
    <t>PATRICIA DEL CARMEN VASQUEZ BUNGACHO VASQUEZ BUNGACHO</t>
  </si>
  <si>
    <t>1713125779</t>
  </si>
  <si>
    <t>305609562401265</t>
  </si>
  <si>
    <t>8959300520561492003</t>
  </si>
  <si>
    <t>983887780</t>
  </si>
  <si>
    <t>45681379</t>
  </si>
  <si>
    <t>STEVEN IVAN TITUAÑA TASINCHANA</t>
  </si>
  <si>
    <t>1718273806</t>
  </si>
  <si>
    <t>000000236522751</t>
  </si>
  <si>
    <t>8959300520561493399</t>
  </si>
  <si>
    <t>983888453</t>
  </si>
  <si>
    <t>45662944</t>
  </si>
  <si>
    <t>ANGELO HUGO VALDIVIESO LLUMIQUINGA</t>
  </si>
  <si>
    <t>1724586324</t>
  </si>
  <si>
    <t>352579062314304</t>
  </si>
  <si>
    <t>8959300120522533043</t>
  </si>
  <si>
    <t>983888728</t>
  </si>
  <si>
    <t>45639763</t>
  </si>
  <si>
    <t>NARCISA DE JESUS MONTESDEOCA ORDOÑEZ</t>
  </si>
  <si>
    <t>0705058311</t>
  </si>
  <si>
    <t>300882368992648</t>
  </si>
  <si>
    <t>8959300120522637489</t>
  </si>
  <si>
    <t>983890714</t>
  </si>
  <si>
    <t>45697257</t>
  </si>
  <si>
    <t>VITALY BANDERIANKA</t>
  </si>
  <si>
    <t>FK185741</t>
  </si>
  <si>
    <t>864465695872150</t>
  </si>
  <si>
    <t>8959300120521832990</t>
  </si>
  <si>
    <t>983891894</t>
  </si>
  <si>
    <t>32089782</t>
  </si>
  <si>
    <t>ENRIQUE MANUEL VASQUEZ CARDENAS</t>
  </si>
  <si>
    <t>0700026412</t>
  </si>
  <si>
    <t>9I</t>
  </si>
  <si>
    <t>FULL MEGAS IRON</t>
  </si>
  <si>
    <t>998055756133300</t>
  </si>
  <si>
    <t>8959300520560319751</t>
  </si>
  <si>
    <t>983893510</t>
  </si>
  <si>
    <t>45657388</t>
  </si>
  <si>
    <t>FERNANDO RODRIGUEZ MANUEL</t>
  </si>
  <si>
    <t>1705128070</t>
  </si>
  <si>
    <t>010403719651634</t>
  </si>
  <si>
    <t>8959300120522533068</t>
  </si>
  <si>
    <t>983894675</t>
  </si>
  <si>
    <t>45671218</t>
  </si>
  <si>
    <t>DAVID ESTEBAN CARPIO TORRES</t>
  </si>
  <si>
    <t>0106728959</t>
  </si>
  <si>
    <t>354854023623996</t>
  </si>
  <si>
    <t>8959300420557798200</t>
  </si>
  <si>
    <t>983899678</t>
  </si>
  <si>
    <t>45677110</t>
  </si>
  <si>
    <t>GEOVANNY EDISON FLORES BRAVO</t>
  </si>
  <si>
    <t>1726951245</t>
  </si>
  <si>
    <t>509391870090205</t>
  </si>
  <si>
    <t>8959300520561492789</t>
  </si>
  <si>
    <t>983901910</t>
  </si>
  <si>
    <t>45683381</t>
  </si>
  <si>
    <t>DIGNA CORINA SINCHE JIMBO</t>
  </si>
  <si>
    <t>0104730767</t>
  </si>
  <si>
    <t>992413830352394</t>
  </si>
  <si>
    <t>8959300520560329073</t>
  </si>
  <si>
    <t>983907197</t>
  </si>
  <si>
    <t>40766713</t>
  </si>
  <si>
    <t>MARIA MAGDALENA IZA MALIZA</t>
  </si>
  <si>
    <t>0200791374</t>
  </si>
  <si>
    <t>000000265440933</t>
  </si>
  <si>
    <t>8959300120520213937</t>
  </si>
  <si>
    <t>CICLO ANTICIPADO MASIVO</t>
  </si>
  <si>
    <t>983915394</t>
  </si>
  <si>
    <t>45617882</t>
  </si>
  <si>
    <t>TRACEY SYLVIA CONNORS</t>
  </si>
  <si>
    <t>GI403622</t>
  </si>
  <si>
    <t>545821089553425</t>
  </si>
  <si>
    <t>8959300120521836975</t>
  </si>
  <si>
    <t>983915844</t>
  </si>
  <si>
    <t>45662274</t>
  </si>
  <si>
    <t>ANA FERNANDA TERAN GALLARDO</t>
  </si>
  <si>
    <t>1754487328</t>
  </si>
  <si>
    <t>496276777315836</t>
  </si>
  <si>
    <t>8959300520561493761</t>
  </si>
  <si>
    <t>983917395</t>
  </si>
  <si>
    <t>45628544</t>
  </si>
  <si>
    <t>DIEGO FERNANDO CAAMANO ARGUELLO</t>
  </si>
  <si>
    <t>1711016962</t>
  </si>
  <si>
    <t>359694275290978</t>
  </si>
  <si>
    <t>8959300120522533878</t>
  </si>
  <si>
    <t>LTE MOTO G22 NEGRO CH31787</t>
  </si>
  <si>
    <t>983918248</t>
  </si>
  <si>
    <t>45715590</t>
  </si>
  <si>
    <t>MARCELO EDUARDO MUGLIZA GARCIA</t>
  </si>
  <si>
    <t>1713363537</t>
  </si>
  <si>
    <t>865172023522692</t>
  </si>
  <si>
    <t>8959300520561491666</t>
  </si>
  <si>
    <t>983925507</t>
  </si>
  <si>
    <t>45671287</t>
  </si>
  <si>
    <t>MONICA PATRICIA VENEGAS NUÑEZ</t>
  </si>
  <si>
    <t>1721961207</t>
  </si>
  <si>
    <t>012509002015523</t>
  </si>
  <si>
    <t>8959300520560349782</t>
  </si>
  <si>
    <t>983941727</t>
  </si>
  <si>
    <t>45637064</t>
  </si>
  <si>
    <t>FERNANDA GABRIELA BONILLA MENDEZ</t>
  </si>
  <si>
    <t>1719950550</t>
  </si>
  <si>
    <t>353908053958028</t>
  </si>
  <si>
    <t>8959300120521827537</t>
  </si>
  <si>
    <t>983941737</t>
  </si>
  <si>
    <t>29657673</t>
  </si>
  <si>
    <t>JOHN ADRIAN FLORES ASTUDILLO</t>
  </si>
  <si>
    <t>0105071146</t>
  </si>
  <si>
    <t>861866602131171</t>
  </si>
  <si>
    <t>8959300120522506072</t>
  </si>
  <si>
    <t>983941809</t>
  </si>
  <si>
    <t>45684720</t>
  </si>
  <si>
    <t>JOHANA MARIA VELIZ VELEZ</t>
  </si>
  <si>
    <t>0704860030</t>
  </si>
  <si>
    <t>999963371149123</t>
  </si>
  <si>
    <t>8959300520560320122</t>
  </si>
  <si>
    <t>983942219</t>
  </si>
  <si>
    <t>353894082185835</t>
  </si>
  <si>
    <t>8959300520560351440</t>
  </si>
  <si>
    <t>983947565</t>
  </si>
  <si>
    <t>45710190</t>
  </si>
  <si>
    <t>MALES LUIS ALBERTO ESPINOSA</t>
  </si>
  <si>
    <t>1701207290</t>
  </si>
  <si>
    <t>000000222007833</t>
  </si>
  <si>
    <t>8959300520527838216</t>
  </si>
  <si>
    <t>983948181</t>
  </si>
  <si>
    <t>45636273</t>
  </si>
  <si>
    <t>ENRIQUE ADALBERTO CHAVEZ CHAVEZ</t>
  </si>
  <si>
    <t>0704666866</t>
  </si>
  <si>
    <t>353106086036322</t>
  </si>
  <si>
    <t>8959300120522637315</t>
  </si>
  <si>
    <t>983949932</t>
  </si>
  <si>
    <t>45671129</t>
  </si>
  <si>
    <t>SILVIA ELIZABETH GALARZA CALVOPIÑA</t>
  </si>
  <si>
    <t>0502010002</t>
  </si>
  <si>
    <t>000000218830511</t>
  </si>
  <si>
    <t>8959300520560320056</t>
  </si>
  <si>
    <t>983950134</t>
  </si>
  <si>
    <t>45713097</t>
  </si>
  <si>
    <t>RUBEN FERNANDO DAVILA TIPANTIZA</t>
  </si>
  <si>
    <t>1714957170</t>
  </si>
  <si>
    <t>TUMBACO</t>
  </si>
  <si>
    <t>000000207863242</t>
  </si>
  <si>
    <t>8959300520561485643</t>
  </si>
  <si>
    <t>983954037</t>
  </si>
  <si>
    <t>45712826</t>
  </si>
  <si>
    <t>BRANDON STUART DIAZ HOLGUIN</t>
  </si>
  <si>
    <t>1753149382</t>
  </si>
  <si>
    <t>000000233644426</t>
  </si>
  <si>
    <t>8959300520560351580</t>
  </si>
  <si>
    <t>983955257</t>
  </si>
  <si>
    <t>45629341</t>
  </si>
  <si>
    <t>BRYAN EDUARDO SANCHEZ ACHIG</t>
  </si>
  <si>
    <t>1750176420</t>
  </si>
  <si>
    <t>000000241859016</t>
  </si>
  <si>
    <t>8959300120522534058</t>
  </si>
  <si>
    <t>983959957</t>
  </si>
  <si>
    <t>44598616</t>
  </si>
  <si>
    <t>FERNANDO XAVIER CEPEDA ALTAMIRANO</t>
  </si>
  <si>
    <t>0401535331</t>
  </si>
  <si>
    <t>913075096376122</t>
  </si>
  <si>
    <t>8959300520561493092</t>
  </si>
  <si>
    <t>983965224</t>
  </si>
  <si>
    <t>45651116</t>
  </si>
  <si>
    <t>LUIS MARCELO GUACAPIÑA GUACAPIÑA</t>
  </si>
  <si>
    <t>1711515781</t>
  </si>
  <si>
    <t>000000246845150</t>
  </si>
  <si>
    <t>8959300120522531096</t>
  </si>
  <si>
    <t>983977560</t>
  </si>
  <si>
    <t>45629288</t>
  </si>
  <si>
    <t>JOSE GUILLERMO ESTEVEZ SANTAMARIA</t>
  </si>
  <si>
    <t>1700215112</t>
  </si>
  <si>
    <t>353767047525016</t>
  </si>
  <si>
    <t>8959300620514273581</t>
  </si>
  <si>
    <t>983989314</t>
  </si>
  <si>
    <t>45664870</t>
  </si>
  <si>
    <t>FANNY LUZ COFRE NARVAEZ</t>
  </si>
  <si>
    <t>1701346148</t>
  </si>
  <si>
    <t>494467386434058</t>
  </si>
  <si>
    <t>8959300520561493605</t>
  </si>
  <si>
    <t>984004081</t>
  </si>
  <si>
    <t>45697108</t>
  </si>
  <si>
    <t>NESTOR TOMAS MENDEZ ECHEVERRIA</t>
  </si>
  <si>
    <t>1705250825</t>
  </si>
  <si>
    <t>CAYAMBE</t>
  </si>
  <si>
    <t>498617266211796</t>
  </si>
  <si>
    <t>8959300120525792786</t>
  </si>
  <si>
    <t>984010902</t>
  </si>
  <si>
    <t>45690565</t>
  </si>
  <si>
    <t>ULPIANO TOMAS ALVEAR BASTIDAS</t>
  </si>
  <si>
    <t>1702315258</t>
  </si>
  <si>
    <t>000000266083567</t>
  </si>
  <si>
    <t>8959300520561490296</t>
  </si>
  <si>
    <t>984030160</t>
  </si>
  <si>
    <t>45638527</t>
  </si>
  <si>
    <t>FARYD ANDRE RODRIGUEZ ALVEAR</t>
  </si>
  <si>
    <t>1724516990</t>
  </si>
  <si>
    <t>000000239281231</t>
  </si>
  <si>
    <t>8959300120522532052</t>
  </si>
  <si>
    <t>984033267</t>
  </si>
  <si>
    <t>45637842</t>
  </si>
  <si>
    <t>MERCEDES MYRENA TAMAYO ALBA</t>
  </si>
  <si>
    <t>1701435933</t>
  </si>
  <si>
    <t>011701009129461</t>
  </si>
  <si>
    <t>8959300120522532094</t>
  </si>
  <si>
    <t>984047658</t>
  </si>
  <si>
    <t>45717922</t>
  </si>
  <si>
    <t>LUIS ALFREDO TIBAN PAUCAR</t>
  </si>
  <si>
    <t>1720630902</t>
  </si>
  <si>
    <t>450560923983421</t>
  </si>
  <si>
    <t>8959300520561487250</t>
  </si>
  <si>
    <t>984048169</t>
  </si>
  <si>
    <t>33411761</t>
  </si>
  <si>
    <t>MARIA DEL CISNE TORRES ORDOÑEZ</t>
  </si>
  <si>
    <t>1710460187</t>
  </si>
  <si>
    <t>334166050271085</t>
  </si>
  <si>
    <t>8959300520560349956</t>
  </si>
  <si>
    <t>984066157</t>
  </si>
  <si>
    <t>45662005</t>
  </si>
  <si>
    <t>LAURA CAMILA CALERO CEVALLOS</t>
  </si>
  <si>
    <t>1250496989</t>
  </si>
  <si>
    <t>000000217262062</t>
  </si>
  <si>
    <t>8959300120522632944</t>
  </si>
  <si>
    <t>984066900</t>
  </si>
  <si>
    <t>45722856</t>
  </si>
  <si>
    <t>JUAN ANTONIO PAREDES SILVA</t>
  </si>
  <si>
    <t>1716720048</t>
  </si>
  <si>
    <t>987082898153742</t>
  </si>
  <si>
    <t>8959300520561487334</t>
  </si>
  <si>
    <t>984067529</t>
  </si>
  <si>
    <t>45657457</t>
  </si>
  <si>
    <t>SEGUNDO EDISON SINCHIGUANO QUIMBITA</t>
  </si>
  <si>
    <t>1710104645</t>
  </si>
  <si>
    <t>545427091808946</t>
  </si>
  <si>
    <t>8959300420534998394</t>
  </si>
  <si>
    <t>984068453</t>
  </si>
  <si>
    <t>45642686</t>
  </si>
  <si>
    <t>YONNY ALEX DIAZ ORTIZ</t>
  </si>
  <si>
    <t>1722837406</t>
  </si>
  <si>
    <t>012984002521756</t>
  </si>
  <si>
    <t>8959300520560349931</t>
  </si>
  <si>
    <t>984072094</t>
  </si>
  <si>
    <t>45692776</t>
  </si>
  <si>
    <t>ZOILA MARIA SARCHE SARCHE</t>
  </si>
  <si>
    <t>1712419157</t>
  </si>
  <si>
    <t>020696590377504</t>
  </si>
  <si>
    <t>8959300120521826950</t>
  </si>
  <si>
    <t>984076552</t>
  </si>
  <si>
    <t>45631990</t>
  </si>
  <si>
    <t>ANDRES ALEJANDRO IGLESIAS MOLINA</t>
  </si>
  <si>
    <t>1750037416</t>
  </si>
  <si>
    <t>357884073343077</t>
  </si>
  <si>
    <t>8959300120522534413</t>
  </si>
  <si>
    <t>984080548</t>
  </si>
  <si>
    <t>45628283</t>
  </si>
  <si>
    <t>VERONICA BEATRIZ LAPO SANGOLUISA</t>
  </si>
  <si>
    <t>1713032900</t>
  </si>
  <si>
    <t>014527000967998</t>
  </si>
  <si>
    <t>8959300120522534363</t>
  </si>
  <si>
    <t>984095794</t>
  </si>
  <si>
    <t>31253159</t>
  </si>
  <si>
    <t>KRISTEL ALEXANDRA RECALDE ESTRELLA</t>
  </si>
  <si>
    <t>1712863032</t>
  </si>
  <si>
    <t>990001869689448</t>
  </si>
  <si>
    <t>8959300520560350558</t>
  </si>
  <si>
    <t>984096502</t>
  </si>
  <si>
    <t>45661574</t>
  </si>
  <si>
    <t>CRISTIAN SANTIAGO CHICAIZA GUEVARA</t>
  </si>
  <si>
    <t>1726089814</t>
  </si>
  <si>
    <t>352002051372522</t>
  </si>
  <si>
    <t>8959300120522533613</t>
  </si>
  <si>
    <t>984099988</t>
  </si>
  <si>
    <t>45660568</t>
  </si>
  <si>
    <t>BLANCA JEANETH QUILIGUANGO LANCHIMBA</t>
  </si>
  <si>
    <t>1712560588</t>
  </si>
  <si>
    <t>448903100527816</t>
  </si>
  <si>
    <t>8959300520560349659</t>
  </si>
  <si>
    <t>984101402</t>
  </si>
  <si>
    <t>45667760</t>
  </si>
  <si>
    <t>ROSA LUCILA ASEICHA ACOSTA</t>
  </si>
  <si>
    <t>1702641760</t>
  </si>
  <si>
    <t>010273331244245</t>
  </si>
  <si>
    <t>8959300120522632787</t>
  </si>
  <si>
    <t>984113102</t>
  </si>
  <si>
    <t>45685400</t>
  </si>
  <si>
    <t>GLENDA ELIZABETH CHALEN CORDOVA</t>
  </si>
  <si>
    <t>0911102473</t>
  </si>
  <si>
    <t>011601001247552</t>
  </si>
  <si>
    <t>8959300520561486187</t>
  </si>
  <si>
    <t>984113427</t>
  </si>
  <si>
    <t>45671322</t>
  </si>
  <si>
    <t>MARIA TOMASA JAYA CHUQUI</t>
  </si>
  <si>
    <t>1702954437</t>
  </si>
  <si>
    <t>521944448477504</t>
  </si>
  <si>
    <t>8959300520561489744</t>
  </si>
  <si>
    <t>984132786</t>
  </si>
  <si>
    <t>45672583</t>
  </si>
  <si>
    <t>SEGUNDO AGUSTIN TOAQUIZA TOAPANTA</t>
  </si>
  <si>
    <t>1705507208</t>
  </si>
  <si>
    <t>356813071431064</t>
  </si>
  <si>
    <t>8959300520561489710</t>
  </si>
  <si>
    <t>984143416</t>
  </si>
  <si>
    <t>45686153</t>
  </si>
  <si>
    <t>NANCY BEATRIZ GUANULEMA YAUTIBUG</t>
  </si>
  <si>
    <t>0605396720</t>
  </si>
  <si>
    <t>516921426008607</t>
  </si>
  <si>
    <t>8959300520560349576</t>
  </si>
  <si>
    <t>984145021</t>
  </si>
  <si>
    <t>12850799</t>
  </si>
  <si>
    <t>JUAN JOSE BELTRAN CARPIO .</t>
  </si>
  <si>
    <t>0104388616</t>
  </si>
  <si>
    <t>000000222927675</t>
  </si>
  <si>
    <t>8959300520534622942</t>
  </si>
  <si>
    <t>984151594</t>
  </si>
  <si>
    <t>45645024</t>
  </si>
  <si>
    <t>ENMA GLADIS AYUY NAJAMDE</t>
  </si>
  <si>
    <t>1400338610</t>
  </si>
  <si>
    <t>000000232777888</t>
  </si>
  <si>
    <t>8959300120522531567</t>
  </si>
  <si>
    <t>984154695</t>
  </si>
  <si>
    <t>45652361</t>
  </si>
  <si>
    <t>MARCOS ANTONIO MOLLETURO JUELA</t>
  </si>
  <si>
    <t>0104906615</t>
  </si>
  <si>
    <t>000000233793967</t>
  </si>
  <si>
    <t>8959300520560328703</t>
  </si>
  <si>
    <t>984168393</t>
  </si>
  <si>
    <t>45711432</t>
  </si>
  <si>
    <t>CESAR HUMBERTO LARREA HERNANDEZ</t>
  </si>
  <si>
    <t>1704393725</t>
  </si>
  <si>
    <t>104568096239034</t>
  </si>
  <si>
    <t>8959300520561486864</t>
  </si>
  <si>
    <t>984179188</t>
  </si>
  <si>
    <t>45636637</t>
  </si>
  <si>
    <t>STALIN FERNANDO TUFIÑO RIVERA</t>
  </si>
  <si>
    <t>1720715653</t>
  </si>
  <si>
    <t>301040128381755</t>
  </si>
  <si>
    <t>8959300120521834665</t>
  </si>
  <si>
    <t>984181701</t>
  </si>
  <si>
    <t>45645148</t>
  </si>
  <si>
    <t>ANDERZON CLAUDIO CEVALLOS BORJA</t>
  </si>
  <si>
    <t>0800956658</t>
  </si>
  <si>
    <t>000000256895525</t>
  </si>
  <si>
    <t>8959300120521054348</t>
  </si>
  <si>
    <t>984185038</t>
  </si>
  <si>
    <t>45618982</t>
  </si>
  <si>
    <t>XIMENA DEL CONSUELO AGILA LUZURIAGA</t>
  </si>
  <si>
    <t>1716243876</t>
  </si>
  <si>
    <t>300520518204916</t>
  </si>
  <si>
    <t>8959300120522528811</t>
  </si>
  <si>
    <t>984207801</t>
  </si>
  <si>
    <t>45683374</t>
  </si>
  <si>
    <t>JOSSELYN DANIELA CHILUISA YACELGA</t>
  </si>
  <si>
    <t>1725133613</t>
  </si>
  <si>
    <t>988655908677757</t>
  </si>
  <si>
    <t>8959300520561486054</t>
  </si>
  <si>
    <t>984216658</t>
  </si>
  <si>
    <t>45705952</t>
  </si>
  <si>
    <t>MAYBER SILVANA BOTINA ROSERO</t>
  </si>
  <si>
    <t>1759725797</t>
  </si>
  <si>
    <t>SANGOLQUI</t>
  </si>
  <si>
    <t>535615257966993</t>
  </si>
  <si>
    <t>8959300120519905089</t>
  </si>
  <si>
    <t>984220963</t>
  </si>
  <si>
    <t>45620684</t>
  </si>
  <si>
    <t>JORGE FERNANDO VACA FLORES</t>
  </si>
  <si>
    <t>1726245507</t>
  </si>
  <si>
    <t>545782408538937</t>
  </si>
  <si>
    <t>8959300120522533019</t>
  </si>
  <si>
    <t>984226702</t>
  </si>
  <si>
    <t>45680492</t>
  </si>
  <si>
    <t>JANINA MILENA RODRIGUEZ REYES</t>
  </si>
  <si>
    <t>0705852796</t>
  </si>
  <si>
    <t>501797994934623</t>
  </si>
  <si>
    <t>8959300520560328554</t>
  </si>
  <si>
    <t>984229471</t>
  </si>
  <si>
    <t>45707382</t>
  </si>
  <si>
    <t>CESAR ALFONSO GUACHAMIN SIMBAÑA</t>
  </si>
  <si>
    <t>1710854694</t>
  </si>
  <si>
    <t>010215694225345</t>
  </si>
  <si>
    <t>8959300520560352216</t>
  </si>
  <si>
    <t>984229550</t>
  </si>
  <si>
    <t>45690697</t>
  </si>
  <si>
    <t>LUIS MANUEL SAQUINAULA SANCHEZ SAQUINAULA SANCHEZ</t>
  </si>
  <si>
    <t>0701842254</t>
  </si>
  <si>
    <t>000000257750422</t>
  </si>
  <si>
    <t>8959300520560325592</t>
  </si>
  <si>
    <t>984231896</t>
  </si>
  <si>
    <t>20607660</t>
  </si>
  <si>
    <t>ANGELICA MARIA PINTO SILVA</t>
  </si>
  <si>
    <t>1500512999</t>
  </si>
  <si>
    <t>105834617915067</t>
  </si>
  <si>
    <t>8959300120522632407</t>
  </si>
  <si>
    <t>984243762</t>
  </si>
  <si>
    <t>45624926</t>
  </si>
  <si>
    <t>NAYELI NICOLE TOAPANTA CATAÑA</t>
  </si>
  <si>
    <t>1755404801</t>
  </si>
  <si>
    <t>000000263158487</t>
  </si>
  <si>
    <t>8959300120517342723</t>
  </si>
  <si>
    <t>984250199</t>
  </si>
  <si>
    <t>45645998</t>
  </si>
  <si>
    <t>MANOLA MONSERRATH SORIA QUIZHPE</t>
  </si>
  <si>
    <t>0102270980</t>
  </si>
  <si>
    <t>357611008977350</t>
  </si>
  <si>
    <t>8959300320515244372</t>
  </si>
  <si>
    <t>984251997</t>
  </si>
  <si>
    <t>45661147</t>
  </si>
  <si>
    <t>FRANKLIN FERNANDO PORTILLA BASTIDAS</t>
  </si>
  <si>
    <t>1709404568</t>
  </si>
  <si>
    <t>454726646100041</t>
  </si>
  <si>
    <t>8959300120522632993</t>
  </si>
  <si>
    <t>984259793</t>
  </si>
  <si>
    <t>45677566</t>
  </si>
  <si>
    <t>KATHERINE FABIANA PACCHA CHAMBA PACCHA CHAMBA</t>
  </si>
  <si>
    <t>1726384983</t>
  </si>
  <si>
    <t>336872889739253</t>
  </si>
  <si>
    <t>8959300520560351044</t>
  </si>
  <si>
    <t>984269865</t>
  </si>
  <si>
    <t>45637333</t>
  </si>
  <si>
    <t>EDUARDO FABIAN ALMEIDA SANTILLAN</t>
  </si>
  <si>
    <t>1753821006</t>
  </si>
  <si>
    <t>000000238112924</t>
  </si>
  <si>
    <t>8959300120521827412</t>
  </si>
  <si>
    <t>984279069</t>
  </si>
  <si>
    <t>45685283</t>
  </si>
  <si>
    <t>BRYAN ALEXANDER URQUIZO TOAQUIZA</t>
  </si>
  <si>
    <t>1728194539</t>
  </si>
  <si>
    <t>POMASQUI</t>
  </si>
  <si>
    <t>000000208009977</t>
  </si>
  <si>
    <t>8959300520560350608</t>
  </si>
  <si>
    <t>984291119</t>
  </si>
  <si>
    <t>45680964</t>
  </si>
  <si>
    <t>DEXTER ERVES</t>
  </si>
  <si>
    <t>660227457</t>
  </si>
  <si>
    <t>517963571526768</t>
  </si>
  <si>
    <t>8959300520560328596</t>
  </si>
  <si>
    <t>984303650</t>
  </si>
  <si>
    <t>45716923</t>
  </si>
  <si>
    <t>PAOLA CRISTINA FACTOS FACTOS</t>
  </si>
  <si>
    <t>1723628044</t>
  </si>
  <si>
    <t>000000260978721</t>
  </si>
  <si>
    <t>8959300520561491856</t>
  </si>
  <si>
    <t>984308525</t>
  </si>
  <si>
    <t>41410705</t>
  </si>
  <si>
    <t>GUSTAVO VINICIO HEREDIA FLORES</t>
  </si>
  <si>
    <t>1711142305</t>
  </si>
  <si>
    <t>861761428338227</t>
  </si>
  <si>
    <t>8959300520561494348</t>
  </si>
  <si>
    <t>984312521</t>
  </si>
  <si>
    <t>45696425</t>
  </si>
  <si>
    <t>MANUEL ROSENDO BARROS HUACHICHULLCA</t>
  </si>
  <si>
    <t>0301281721</t>
  </si>
  <si>
    <t>861843063173547</t>
  </si>
  <si>
    <t>8959300520560326293</t>
  </si>
  <si>
    <t>984332719</t>
  </si>
  <si>
    <t>45689133</t>
  </si>
  <si>
    <t>SEGUNDO MAURICIO ESCUDERO CARDENAS</t>
  </si>
  <si>
    <t>0705389252</t>
  </si>
  <si>
    <t>012946200766251</t>
  </si>
  <si>
    <t>8959300520560320296</t>
  </si>
  <si>
    <t>984333422</t>
  </si>
  <si>
    <t>45638566</t>
  </si>
  <si>
    <t>BLANCA SUSANA TAXI PASTRANO</t>
  </si>
  <si>
    <t>1715638324</t>
  </si>
  <si>
    <t>526922543099220</t>
  </si>
  <si>
    <t>8959300120522531708</t>
  </si>
  <si>
    <t>984333792</t>
  </si>
  <si>
    <t>45722200</t>
  </si>
  <si>
    <t>NANCY ISABEL CHICAIZA CONDOR</t>
  </si>
  <si>
    <t>1718584731</t>
  </si>
  <si>
    <t>987862555183524</t>
  </si>
  <si>
    <t>8959300520561456636</t>
  </si>
  <si>
    <t>984346766</t>
  </si>
  <si>
    <t>45680589</t>
  </si>
  <si>
    <t>CARMITA EUGENIA AREVALO BARRERA</t>
  </si>
  <si>
    <t>0101410751</t>
  </si>
  <si>
    <t>000000233323294</t>
  </si>
  <si>
    <t>8959300520535677176</t>
  </si>
  <si>
    <t>984347884</t>
  </si>
  <si>
    <t>45684144</t>
  </si>
  <si>
    <t>DIPSSY MALOHA RIVAS</t>
  </si>
  <si>
    <t>045175987</t>
  </si>
  <si>
    <t>357227604568640</t>
  </si>
  <si>
    <t>8959300120522505652</t>
  </si>
  <si>
    <t>984352386</t>
  </si>
  <si>
    <t>45642216</t>
  </si>
  <si>
    <t>A MANDEL EDWARD</t>
  </si>
  <si>
    <t>0152277760</t>
  </si>
  <si>
    <t>332330112086574</t>
  </si>
  <si>
    <t>8959300120521835597</t>
  </si>
  <si>
    <t>984357761</t>
  </si>
  <si>
    <t>29363430</t>
  </si>
  <si>
    <t>RAUL ENRIQUE HURTADO QUILUMBA</t>
  </si>
  <si>
    <t>1704371416</t>
  </si>
  <si>
    <t>352141076770979</t>
  </si>
  <si>
    <t>8959300120521826745</t>
  </si>
  <si>
    <t>984364911</t>
  </si>
  <si>
    <t>45653472</t>
  </si>
  <si>
    <t>MARIA DEL CISNE CHUQUIGUANGA SINCHI</t>
  </si>
  <si>
    <t>0104416268</t>
  </si>
  <si>
    <t>000000177814662</t>
  </si>
  <si>
    <t>8959300520560329065</t>
  </si>
  <si>
    <t>984379272</t>
  </si>
  <si>
    <t>45697176</t>
  </si>
  <si>
    <t>ZAYNAB VIRGINIA ZABALETA GARCES</t>
  </si>
  <si>
    <t>0918740085</t>
  </si>
  <si>
    <t>996389265448087</t>
  </si>
  <si>
    <t>8959300120522506387</t>
  </si>
  <si>
    <t>984399078</t>
  </si>
  <si>
    <t>45643331</t>
  </si>
  <si>
    <t>JOSE RODRIGO JAIGUA GUALLPA</t>
  </si>
  <si>
    <t>0100494681</t>
  </si>
  <si>
    <t>989979124681198</t>
  </si>
  <si>
    <t>8959300120521054363</t>
  </si>
  <si>
    <t>984409479</t>
  </si>
  <si>
    <t>45690247</t>
  </si>
  <si>
    <t>KARINA MARCELA GARCIA CAGUANA</t>
  </si>
  <si>
    <t>0104396817</t>
  </si>
  <si>
    <t>107281761429008</t>
  </si>
  <si>
    <t>8959300120522506312</t>
  </si>
  <si>
    <t>984418020</t>
  </si>
  <si>
    <t>45618297</t>
  </si>
  <si>
    <t>CARLOS ALEXANDER RIVERA BARRETO</t>
  </si>
  <si>
    <t>0703181586</t>
  </si>
  <si>
    <t>336208730506619</t>
  </si>
  <si>
    <t>8959300120522636937</t>
  </si>
  <si>
    <t>984420139</t>
  </si>
  <si>
    <t>441762807264926</t>
  </si>
  <si>
    <t>8959300520560329057</t>
  </si>
  <si>
    <t>984423540</t>
  </si>
  <si>
    <t>40727682</t>
  </si>
  <si>
    <t>ERIKA ESTEFANIA OJEDA OSORIO</t>
  </si>
  <si>
    <t>0104439948</t>
  </si>
  <si>
    <t>540077673651134</t>
  </si>
  <si>
    <t>8959300320526533045</t>
  </si>
  <si>
    <t>984430417</t>
  </si>
  <si>
    <t>45691942</t>
  </si>
  <si>
    <t>CINTHYA MADELAINE COBOS ESCOBAR</t>
  </si>
  <si>
    <t>1750344895</t>
  </si>
  <si>
    <t>000000217022409</t>
  </si>
  <si>
    <t>8959300520560350764</t>
  </si>
  <si>
    <t>984440802</t>
  </si>
  <si>
    <t>45649961</t>
  </si>
  <si>
    <t>GRACIELA TAMAR LUZCANDO MARTINEZ</t>
  </si>
  <si>
    <t>1701484493</t>
  </si>
  <si>
    <t>491765627544954</t>
  </si>
  <si>
    <t>8959300120522530940</t>
  </si>
  <si>
    <t>984441623</t>
  </si>
  <si>
    <t>45632536</t>
  </si>
  <si>
    <t>NANCY GUADALUPE BARRE CAGUA</t>
  </si>
  <si>
    <t>1722223235</t>
  </si>
  <si>
    <t>985084707477173</t>
  </si>
  <si>
    <t>8959300120522532128</t>
  </si>
  <si>
    <t>984460945</t>
  </si>
  <si>
    <t>45709890</t>
  </si>
  <si>
    <t>MIGUEL ANGEL RAMOS MARTINEZ</t>
  </si>
  <si>
    <t>1703337921</t>
  </si>
  <si>
    <t>011408008570220</t>
  </si>
  <si>
    <t>8959300520561486757</t>
  </si>
  <si>
    <t>984468850</t>
  </si>
  <si>
    <t>45664840</t>
  </si>
  <si>
    <t>PEDRO PABLO MEJIA SALTO</t>
  </si>
  <si>
    <t>0102945300</t>
  </si>
  <si>
    <t>302284606015639</t>
  </si>
  <si>
    <t>8959300520560329289</t>
  </si>
  <si>
    <t>984471176</t>
  </si>
  <si>
    <t>41844348</t>
  </si>
  <si>
    <t>HILDA BEATRIZ TENESACA ROJAS</t>
  </si>
  <si>
    <t>0102216157</t>
  </si>
  <si>
    <t>353796043353990</t>
  </si>
  <si>
    <t>8959300420509770505</t>
  </si>
  <si>
    <t>984473725</t>
  </si>
  <si>
    <t>45705073</t>
  </si>
  <si>
    <t>MARIA ALICIA SIMBAÑA DAQUILEMA</t>
  </si>
  <si>
    <t>1713930491</t>
  </si>
  <si>
    <t>449306100577881</t>
  </si>
  <si>
    <t>8959300120518422805</t>
  </si>
  <si>
    <t>984479292</t>
  </si>
  <si>
    <t>45634351</t>
  </si>
  <si>
    <t>DANIEL SEBASTIAN SANTOS MORALES</t>
  </si>
  <si>
    <t>1729050227</t>
  </si>
  <si>
    <t>000000245415237</t>
  </si>
  <si>
    <t>8959300520550799202</t>
  </si>
  <si>
    <t>984491835</t>
  </si>
  <si>
    <t>350348899660194</t>
  </si>
  <si>
    <t>8959300520560350111</t>
  </si>
  <si>
    <t>984492847</t>
  </si>
  <si>
    <t>45721124</t>
  </si>
  <si>
    <t>OSCAR VLADIMIR BETANCOURT CONDOR</t>
  </si>
  <si>
    <t>1719830901</t>
  </si>
  <si>
    <t>354825012361145</t>
  </si>
  <si>
    <t>8959300520561492490</t>
  </si>
  <si>
    <t>984498359</t>
  </si>
  <si>
    <t>45602486</t>
  </si>
  <si>
    <t>MARCOS MIGUEL DELGADO ORTEGA</t>
  </si>
  <si>
    <t>0102782067</t>
  </si>
  <si>
    <t>989468547731855</t>
  </si>
  <si>
    <t>8959300120521837122</t>
  </si>
  <si>
    <t>984514802</t>
  </si>
  <si>
    <t>534532064830182</t>
  </si>
  <si>
    <t>8959300120521836983</t>
  </si>
  <si>
    <t>984514910</t>
  </si>
  <si>
    <t>45689015</t>
  </si>
  <si>
    <t>DIEGO FERNANDO VANEGAS CHAGUANCALLE</t>
  </si>
  <si>
    <t>0102191756</t>
  </si>
  <si>
    <t>450572252982601</t>
  </si>
  <si>
    <t>8959300120522506544</t>
  </si>
  <si>
    <t>984518359</t>
  </si>
  <si>
    <t>45685882</t>
  </si>
  <si>
    <t>DANNY ALEJANDRO TORRES MORALES</t>
  </si>
  <si>
    <t>1720037470</t>
  </si>
  <si>
    <t>356140096647627</t>
  </si>
  <si>
    <t>8959300520560351309</t>
  </si>
  <si>
    <t>984521329</t>
  </si>
  <si>
    <t>45652632</t>
  </si>
  <si>
    <t>FABIAN RODRIGO MISE GUANOLUISA</t>
  </si>
  <si>
    <t>0502327737</t>
  </si>
  <si>
    <t>000000224674218</t>
  </si>
  <si>
    <t>8959300120522632175</t>
  </si>
  <si>
    <t>984522822</t>
  </si>
  <si>
    <t>45714735</t>
  </si>
  <si>
    <t>ESTEBAN MAURICIO PADILLA RAMIREZ</t>
  </si>
  <si>
    <t>1722291489</t>
  </si>
  <si>
    <t>352016078997228</t>
  </si>
  <si>
    <t>8959300320502382102</t>
  </si>
  <si>
    <t>984522975</t>
  </si>
  <si>
    <t>45683326</t>
  </si>
  <si>
    <t>ADRIANA ELIZABETH BUNCE HERRERA</t>
  </si>
  <si>
    <t>1724104771</t>
  </si>
  <si>
    <t>000000215788050</t>
  </si>
  <si>
    <t>8959300520561493050</t>
  </si>
  <si>
    <t>984525785</t>
  </si>
  <si>
    <t>45673187</t>
  </si>
  <si>
    <t>DIANA CAROLINA CONDO CANCHIGNIA</t>
  </si>
  <si>
    <t>1729080042</t>
  </si>
  <si>
    <t>000000234194942</t>
  </si>
  <si>
    <t>8959300520561489652</t>
  </si>
  <si>
    <t>984528791</t>
  </si>
  <si>
    <t>45666402</t>
  </si>
  <si>
    <t>KEVIN RODRIGO MANZANO RIVERA MANZANO RIVERA</t>
  </si>
  <si>
    <t>1722912241</t>
  </si>
  <si>
    <t>528998675488322</t>
  </si>
  <si>
    <t>8959300520561490049</t>
  </si>
  <si>
    <t>984533886</t>
  </si>
  <si>
    <t>45632775</t>
  </si>
  <si>
    <t>KIMBERLEM ESTEFANIA TAPIA REVELO</t>
  </si>
  <si>
    <t>1726846544</t>
  </si>
  <si>
    <t>358748034500761</t>
  </si>
  <si>
    <t>8959300120522532169</t>
  </si>
  <si>
    <t>984536295</t>
  </si>
  <si>
    <t>45636913</t>
  </si>
  <si>
    <t>MIGUEL MAXIMILIANO MUÑOZ RIVERA</t>
  </si>
  <si>
    <t>1724661952</t>
  </si>
  <si>
    <t>000000206528929</t>
  </si>
  <si>
    <t>8959300120522532490</t>
  </si>
  <si>
    <t>984540235</t>
  </si>
  <si>
    <t>867072504221285</t>
  </si>
  <si>
    <t>8959300520560352158</t>
  </si>
  <si>
    <t>984547242</t>
  </si>
  <si>
    <t>45711484</t>
  </si>
  <si>
    <t>PAUL ALEXANDER QUILLUPANGUI GUALLICHICO</t>
  </si>
  <si>
    <t>1754786067</t>
  </si>
  <si>
    <t>PREVIOPAGO PLAN MOVISTAR BRONZE PLUS FS.</t>
  </si>
  <si>
    <t>000000254115942</t>
  </si>
  <si>
    <t>8959300420549802839</t>
  </si>
  <si>
    <t>984549561</t>
  </si>
  <si>
    <t>45664554</t>
  </si>
  <si>
    <t>ANA LUCIA ULLOA MOSCOSO</t>
  </si>
  <si>
    <t>0103643748</t>
  </si>
  <si>
    <t>998177438995706</t>
  </si>
  <si>
    <t>8959300520560329149</t>
  </si>
  <si>
    <t>984550522</t>
  </si>
  <si>
    <t>39457980</t>
  </si>
  <si>
    <t>LILIANA MAGDALENA SANTACRUZ MEJIA</t>
  </si>
  <si>
    <t>1713940292</t>
  </si>
  <si>
    <t>338634238519119</t>
  </si>
  <si>
    <t>8959300120519906202</t>
  </si>
  <si>
    <t>984551351</t>
  </si>
  <si>
    <t>45713091</t>
  </si>
  <si>
    <t>MARCO ANDRES CORNEJO NARVAEZ</t>
  </si>
  <si>
    <t>1755255641</t>
  </si>
  <si>
    <t>100173422949747</t>
  </si>
  <si>
    <t>8959300520561486922</t>
  </si>
  <si>
    <t>984553967</t>
  </si>
  <si>
    <t>45637396</t>
  </si>
  <si>
    <t>CLARA ELIDA SANCHEZ SARANGO</t>
  </si>
  <si>
    <t>1102053962</t>
  </si>
  <si>
    <t>012439765796798</t>
  </si>
  <si>
    <t>8959300120522637430</t>
  </si>
  <si>
    <t>984567310</t>
  </si>
  <si>
    <t>45689866</t>
  </si>
  <si>
    <t>ALFREDO GASPAR PESANTEZ URDIALES</t>
  </si>
  <si>
    <t>0702702226</t>
  </si>
  <si>
    <t>865115239148893</t>
  </si>
  <si>
    <t>8959300520560320346</t>
  </si>
  <si>
    <t>984571369</t>
  </si>
  <si>
    <t>45698953</t>
  </si>
  <si>
    <t>ALFONSO MARIA SEGARRA TAPIA</t>
  </si>
  <si>
    <t>0100901362</t>
  </si>
  <si>
    <t>445733697710456</t>
  </si>
  <si>
    <t>8959300520560350897</t>
  </si>
  <si>
    <t>984577177</t>
  </si>
  <si>
    <t>45659851</t>
  </si>
  <si>
    <t>MICHAEL IVAN GAVILANES ROJAS</t>
  </si>
  <si>
    <t>1729167575</t>
  </si>
  <si>
    <t>985246415418035</t>
  </si>
  <si>
    <t>8959300520561493688</t>
  </si>
  <si>
    <t>984586684</t>
  </si>
  <si>
    <t>45617320</t>
  </si>
  <si>
    <t>CRISTHIAN POLIVIO ZHUMI MAITA</t>
  </si>
  <si>
    <t>0705144178</t>
  </si>
  <si>
    <t>359771079792563</t>
  </si>
  <si>
    <t>8959300120521836918</t>
  </si>
  <si>
    <t>984589230</t>
  </si>
  <si>
    <t>45670491</t>
  </si>
  <si>
    <t>CESAR FERNANDO REINO MIÑO</t>
  </si>
  <si>
    <t>1711336345</t>
  </si>
  <si>
    <t>352208010772211</t>
  </si>
  <si>
    <t>8959300520561489546</t>
  </si>
  <si>
    <t>984591792</t>
  </si>
  <si>
    <t>45690687</t>
  </si>
  <si>
    <t>SUSANA GENOVEVA ZAMBRANO SINCHE</t>
  </si>
  <si>
    <t>0701146847</t>
  </si>
  <si>
    <t>000000206168015</t>
  </si>
  <si>
    <t>8959300320527477515</t>
  </si>
  <si>
    <t>984601299</t>
  </si>
  <si>
    <t>44889352</t>
  </si>
  <si>
    <t>STEEVEN ENRIQUE RAMIREZ AMAYA</t>
  </si>
  <si>
    <t>1724058340</t>
  </si>
  <si>
    <t>359254255216483</t>
  </si>
  <si>
    <t>8959300520560351226</t>
  </si>
  <si>
    <t>984601372</t>
  </si>
  <si>
    <t>45697422</t>
  </si>
  <si>
    <t>FRANKLIN MAURICIO GARCES ESPIN</t>
  </si>
  <si>
    <t>1711687853</t>
  </si>
  <si>
    <t>PORTOVIEJO</t>
  </si>
  <si>
    <t>917293414724800</t>
  </si>
  <si>
    <t>8959300520561485809</t>
  </si>
  <si>
    <t>984602758</t>
  </si>
  <si>
    <t>45717308</t>
  </si>
  <si>
    <t>JENNY ALEXANDRA ROSERO MENENDEZ ROSERO MENENDEZ</t>
  </si>
  <si>
    <t>1307416188</t>
  </si>
  <si>
    <t>335365143500356</t>
  </si>
  <si>
    <t>8959300120519905329</t>
  </si>
  <si>
    <t>984610142</t>
  </si>
  <si>
    <t>45722277</t>
  </si>
  <si>
    <t>TANIA VIVIANA PEREZ MALDONADO.</t>
  </si>
  <si>
    <t>0502615834</t>
  </si>
  <si>
    <t>000000218002525</t>
  </si>
  <si>
    <t>8959300320507134029</t>
  </si>
  <si>
    <t>984619980</t>
  </si>
  <si>
    <t>45633978</t>
  </si>
  <si>
    <t>ALEX PAUL MONTALVO CALVACHE</t>
  </si>
  <si>
    <t>1719669002</t>
  </si>
  <si>
    <t>352604062157022</t>
  </si>
  <si>
    <t>8959300520538905996</t>
  </si>
  <si>
    <t>984628291</t>
  </si>
  <si>
    <t>45654381</t>
  </si>
  <si>
    <t>JHONATAN ALEXANDER NAULA PERDOMO</t>
  </si>
  <si>
    <t>0504343872</t>
  </si>
  <si>
    <t>546410476938305</t>
  </si>
  <si>
    <t>8959300120522531088</t>
  </si>
  <si>
    <t>984642416</t>
  </si>
  <si>
    <t>45658609</t>
  </si>
  <si>
    <t>FANY MARLENE ALVARRACIN TIRADO</t>
  </si>
  <si>
    <t>0702942095</t>
  </si>
  <si>
    <t>353293080521275</t>
  </si>
  <si>
    <t>8959300520560328901</t>
  </si>
  <si>
    <t>984643636</t>
  </si>
  <si>
    <t>45696670</t>
  </si>
  <si>
    <t>LUIS EDUARDO GUAMAN SIERRA</t>
  </si>
  <si>
    <t>1716088321</t>
  </si>
  <si>
    <t>000000242610392</t>
  </si>
  <si>
    <t>8959300520561490809</t>
  </si>
  <si>
    <t>984649382</t>
  </si>
  <si>
    <t>45696937</t>
  </si>
  <si>
    <t>MARTHA ELIZABETH ROMAN ORTIZ</t>
  </si>
  <si>
    <t>0104157607</t>
  </si>
  <si>
    <t>352884795082776</t>
  </si>
  <si>
    <t>8959300520560326244</t>
  </si>
  <si>
    <t>984651139</t>
  </si>
  <si>
    <t>45632597</t>
  </si>
  <si>
    <t>LORENZO CHICAIZA CEPEDA</t>
  </si>
  <si>
    <t>0600810758</t>
  </si>
  <si>
    <t>514073637138310</t>
  </si>
  <si>
    <t>8959300120522532144</t>
  </si>
  <si>
    <t>984654276</t>
  </si>
  <si>
    <t>45609910</t>
  </si>
  <si>
    <t>ALVARO ENRIQUE VILLACIS GARCIA</t>
  </si>
  <si>
    <t>0102072022</t>
  </si>
  <si>
    <t>992764727956006</t>
  </si>
  <si>
    <t>8959300120521003154</t>
  </si>
  <si>
    <t>INTR</t>
  </si>
  <si>
    <t>MAXIPLUS</t>
  </si>
  <si>
    <t>984656455</t>
  </si>
  <si>
    <t>45521622</t>
  </si>
  <si>
    <t>MARCELO OSWALDO ARTIEDA GALARZA</t>
  </si>
  <si>
    <t>1703275295</t>
  </si>
  <si>
    <t>358509033978477</t>
  </si>
  <si>
    <t>8959300120519905147</t>
  </si>
  <si>
    <t>984658068</t>
  </si>
  <si>
    <t>45681534</t>
  </si>
  <si>
    <t>LUIS GUIDO SAYAVEDRA BONILLA</t>
  </si>
  <si>
    <t>1719300459</t>
  </si>
  <si>
    <t>358152809929166</t>
  </si>
  <si>
    <t>8959300520561493076</t>
  </si>
  <si>
    <t>984662218</t>
  </si>
  <si>
    <t>45649824</t>
  </si>
  <si>
    <t>KEVIN RICARDO ARMIJOS BERMEO</t>
  </si>
  <si>
    <t>1727353086</t>
  </si>
  <si>
    <t>000000254169758</t>
  </si>
  <si>
    <t>8959300120522632597</t>
  </si>
  <si>
    <t>984676559</t>
  </si>
  <si>
    <t>45636098</t>
  </si>
  <si>
    <t>GLENDA YAMILETH BRIONES CORREA</t>
  </si>
  <si>
    <t>0705846285</t>
  </si>
  <si>
    <t>000000213395916</t>
  </si>
  <si>
    <t>8959300120522637307</t>
  </si>
  <si>
    <t>984683584</t>
  </si>
  <si>
    <t>45697759</t>
  </si>
  <si>
    <t>ROSA ODALIA PORRAS ORTEGA</t>
  </si>
  <si>
    <t>1709602070</t>
  </si>
  <si>
    <t>306973249670935</t>
  </si>
  <si>
    <t>8959300120522633421</t>
  </si>
  <si>
    <t>984688942</t>
  </si>
  <si>
    <t>45689297</t>
  </si>
  <si>
    <t>CARLOS DAVID QUINTO SEGOVIA</t>
  </si>
  <si>
    <t>1752650018</t>
  </si>
  <si>
    <t>991062686016404</t>
  </si>
  <si>
    <t>8959300520560351390</t>
  </si>
  <si>
    <t>984694545</t>
  </si>
  <si>
    <t>45699505</t>
  </si>
  <si>
    <t>BLANCA BEATRIZ CHICAIZA TENORIO</t>
  </si>
  <si>
    <t>1710828318</t>
  </si>
  <si>
    <t>000000237335708</t>
  </si>
  <si>
    <t>8959300520561491351</t>
  </si>
  <si>
    <t>984695498</t>
  </si>
  <si>
    <t>45681801</t>
  </si>
  <si>
    <t>TANIA DEL PILAR LEON PINENLA</t>
  </si>
  <si>
    <t>1721250429</t>
  </si>
  <si>
    <t>357249055056537</t>
  </si>
  <si>
    <t>8959300520561485973</t>
  </si>
  <si>
    <t>984736861</t>
  </si>
  <si>
    <t>45706282</t>
  </si>
  <si>
    <t>CARLOS ALBERTO BAÑO PALMA</t>
  </si>
  <si>
    <t>1725018301</t>
  </si>
  <si>
    <t>448896207575052</t>
  </si>
  <si>
    <t>8959300520561486716</t>
  </si>
  <si>
    <t>984736982</t>
  </si>
  <si>
    <t>45638681</t>
  </si>
  <si>
    <t>GLADYS VERONICA TENESACA BERMEJO</t>
  </si>
  <si>
    <t>0303018477</t>
  </si>
  <si>
    <t>000000250189669</t>
  </si>
  <si>
    <t>8959300120521835183</t>
  </si>
  <si>
    <t>984756026</t>
  </si>
  <si>
    <t>45654480</t>
  </si>
  <si>
    <t>JENIFFER VALERIA ABAD DEL HIERRO</t>
  </si>
  <si>
    <t>1712603404</t>
  </si>
  <si>
    <t>CHONE</t>
  </si>
  <si>
    <t>531080610306763</t>
  </si>
  <si>
    <t>8959300320519963019</t>
  </si>
  <si>
    <t>984759856</t>
  </si>
  <si>
    <t>45692444</t>
  </si>
  <si>
    <t>SEGUNDO GERARDO CHASILUISA ESCOBAR</t>
  </si>
  <si>
    <t>0500898044</t>
  </si>
  <si>
    <t>000000230061764</t>
  </si>
  <si>
    <t>8959300520561490643</t>
  </si>
  <si>
    <t>984782851</t>
  </si>
  <si>
    <t>45636727</t>
  </si>
  <si>
    <t>HOLGER JAVIER BONILLA URBINA</t>
  </si>
  <si>
    <t>0703225151</t>
  </si>
  <si>
    <t>542475616883087</t>
  </si>
  <si>
    <t>8959300120522637323</t>
  </si>
  <si>
    <t>984793070</t>
  </si>
  <si>
    <t>45646402</t>
  </si>
  <si>
    <t>PABLO ROBERTO CORTES REINOSO</t>
  </si>
  <si>
    <t>1600054983</t>
  </si>
  <si>
    <t>498549040339553</t>
  </si>
  <si>
    <t>8959300620521347378</t>
  </si>
  <si>
    <t>984797924</t>
  </si>
  <si>
    <t>45642314</t>
  </si>
  <si>
    <t>IRENE MARGARITA PEÑA VIDAL</t>
  </si>
  <si>
    <t>0101815447</t>
  </si>
  <si>
    <t>300100510473734</t>
  </si>
  <si>
    <t>8959300120511475719</t>
  </si>
  <si>
    <t>984815415</t>
  </si>
  <si>
    <t>41140994</t>
  </si>
  <si>
    <t>GERMAN OSWALDO BRAVO BRAVO</t>
  </si>
  <si>
    <t>1703465235</t>
  </si>
  <si>
    <t>339762433261549</t>
  </si>
  <si>
    <t>8959300320533915565</t>
  </si>
  <si>
    <t>984825569</t>
  </si>
  <si>
    <t>45620081</t>
  </si>
  <si>
    <t>FABIOLA LEONELA DE LA CRUZ PEZO</t>
  </si>
  <si>
    <t>0706506243</t>
  </si>
  <si>
    <t>102020372397724</t>
  </si>
  <si>
    <t>8959300120522637034</t>
  </si>
  <si>
    <t>984832677</t>
  </si>
  <si>
    <t>45705670</t>
  </si>
  <si>
    <t>KEVIN JAVIER RAMIREZ ALAJO</t>
  </si>
  <si>
    <t>1727475525</t>
  </si>
  <si>
    <t>339604135476282</t>
  </si>
  <si>
    <t>8959300520561490882</t>
  </si>
  <si>
    <t>984838679</t>
  </si>
  <si>
    <t>45651745</t>
  </si>
  <si>
    <t>MARIA SOLEDAD ROMERO CASTRO</t>
  </si>
  <si>
    <t>0703233155</t>
  </si>
  <si>
    <t>864589381691077</t>
  </si>
  <si>
    <t>8959300520560319652</t>
  </si>
  <si>
    <t>984853489</t>
  </si>
  <si>
    <t>45720353</t>
  </si>
  <si>
    <t>NIXON MIGUEL CUENCA JIMA</t>
  </si>
  <si>
    <t>1719454074</t>
  </si>
  <si>
    <t>869794038437362</t>
  </si>
  <si>
    <t>8959300520560352372</t>
  </si>
  <si>
    <t>984863331</t>
  </si>
  <si>
    <t>45664685</t>
  </si>
  <si>
    <t>LUCAS MARIANO SIMOES</t>
  </si>
  <si>
    <t>GA787767</t>
  </si>
  <si>
    <t>513096615234489</t>
  </si>
  <si>
    <t>8959300520560329131</t>
  </si>
  <si>
    <t>984878555</t>
  </si>
  <si>
    <t>45673138</t>
  </si>
  <si>
    <t>RICHARD SANTIAGO MAIGUA VELA</t>
  </si>
  <si>
    <t>1715216246</t>
  </si>
  <si>
    <t>495496320102983</t>
  </si>
  <si>
    <t>8959300520560350590</t>
  </si>
  <si>
    <t>984878943</t>
  </si>
  <si>
    <t>45698780</t>
  </si>
  <si>
    <t>JOHANNA CECILIA SANMARTIN LOJANO</t>
  </si>
  <si>
    <t>0104840095</t>
  </si>
  <si>
    <t>000000221214224</t>
  </si>
  <si>
    <t>8959300420547334645</t>
  </si>
  <si>
    <t>984887019</t>
  </si>
  <si>
    <t>45657193</t>
  </si>
  <si>
    <t>MIRIAN ELIZABETH GALARZA CONTRERAS</t>
  </si>
  <si>
    <t>0909072340</t>
  </si>
  <si>
    <t>300410502792755</t>
  </si>
  <si>
    <t>8959300320520362953</t>
  </si>
  <si>
    <t>984890371</t>
  </si>
  <si>
    <t>44065641</t>
  </si>
  <si>
    <t>MERCEDES EDITH CRIOLLO DEL VALLE</t>
  </si>
  <si>
    <t>1715130199</t>
  </si>
  <si>
    <t>308803166462065</t>
  </si>
  <si>
    <t>8959300120522528662</t>
  </si>
  <si>
    <t>984899255</t>
  </si>
  <si>
    <t>45661434</t>
  </si>
  <si>
    <t>GLORIA MAGDALENA MORENO MURILLO</t>
  </si>
  <si>
    <t>1702528439</t>
  </si>
  <si>
    <t>010134512172789</t>
  </si>
  <si>
    <t>8959300520506723033</t>
  </si>
  <si>
    <t>984903287</t>
  </si>
  <si>
    <t>45711973</t>
  </si>
  <si>
    <t>MARCO ANTONIO GUAMA VELASQUEZ</t>
  </si>
  <si>
    <t>1710115526</t>
  </si>
  <si>
    <t>000000262380371</t>
  </si>
  <si>
    <t>8959300520560351549</t>
  </si>
  <si>
    <t>984912582</t>
  </si>
  <si>
    <t>43610496</t>
  </si>
  <si>
    <t>ARTURO BLADIMIR MENESES SILVA</t>
  </si>
  <si>
    <t>1804599098</t>
  </si>
  <si>
    <t>913530367040252</t>
  </si>
  <si>
    <t>8959300120522532995</t>
  </si>
  <si>
    <t>984918978</t>
  </si>
  <si>
    <t>45650183</t>
  </si>
  <si>
    <t>EDGAR VINICIO YANEZ BARRAGAN</t>
  </si>
  <si>
    <t>1205503434</t>
  </si>
  <si>
    <t>869113065743867</t>
  </si>
  <si>
    <t>8959300120522530973</t>
  </si>
  <si>
    <t>984923102</t>
  </si>
  <si>
    <t>41176329</t>
  </si>
  <si>
    <t>DIEGO PATRICIO GUILLERMO VELASCO</t>
  </si>
  <si>
    <t>0102842176</t>
  </si>
  <si>
    <t>496384553141309</t>
  </si>
  <si>
    <t>8959300120521834830</t>
  </si>
  <si>
    <t>984923784</t>
  </si>
  <si>
    <t>45655198</t>
  </si>
  <si>
    <t>JOSUE DAVID LARRAGA CONSTANTINE</t>
  </si>
  <si>
    <t>1725213506</t>
  </si>
  <si>
    <t>000000230003428</t>
  </si>
  <si>
    <t>8959300120519353389</t>
  </si>
  <si>
    <t>984938084</t>
  </si>
  <si>
    <t>45676273</t>
  </si>
  <si>
    <t>CHRISTIAN EDUARDO FABARA RIOFRIO</t>
  </si>
  <si>
    <t>1714717277</t>
  </si>
  <si>
    <t>537740045116277</t>
  </si>
  <si>
    <t>8959300520561492730</t>
  </si>
  <si>
    <t>984949524</t>
  </si>
  <si>
    <t>45688825</t>
  </si>
  <si>
    <t>SANTIAGO NICOLAS REINOSO ARMIJOS</t>
  </si>
  <si>
    <t>1104851694</t>
  </si>
  <si>
    <t>539373144581676</t>
  </si>
  <si>
    <t>8959300120522506866</t>
  </si>
  <si>
    <t>984950666</t>
  </si>
  <si>
    <t>45644440</t>
  </si>
  <si>
    <t>LUIS HUMBERTO PALACIOS MENDIETA</t>
  </si>
  <si>
    <t>0901425835</t>
  </si>
  <si>
    <t>513948706345857</t>
  </si>
  <si>
    <t>8959300120522531468</t>
  </si>
  <si>
    <t>984958285</t>
  </si>
  <si>
    <t>45699065</t>
  </si>
  <si>
    <t>CHRISTIAN DIEGO REYES GUAMAN</t>
  </si>
  <si>
    <t>0107583080</t>
  </si>
  <si>
    <t>511865097819088</t>
  </si>
  <si>
    <t>8959300120522506742</t>
  </si>
  <si>
    <t>984962972</t>
  </si>
  <si>
    <t>45704304</t>
  </si>
  <si>
    <t>PATRICIO MULLO CACUANGO</t>
  </si>
  <si>
    <t>1722222252</t>
  </si>
  <si>
    <t>548134887829881</t>
  </si>
  <si>
    <t>8959300520561486542</t>
  </si>
  <si>
    <t>984963800</t>
  </si>
  <si>
    <t>45619481</t>
  </si>
  <si>
    <t>KARLA VERONICA ROMERO FIALLO</t>
  </si>
  <si>
    <t>1720240231</t>
  </si>
  <si>
    <t>354909043702137</t>
  </si>
  <si>
    <t>8959300320529759316</t>
  </si>
  <si>
    <t>984965089</t>
  </si>
  <si>
    <t>45609223</t>
  </si>
  <si>
    <t>JORGE LUIS ARTURO LARCO</t>
  </si>
  <si>
    <t>1716389703</t>
  </si>
  <si>
    <t>518032240868818</t>
  </si>
  <si>
    <t>8959300120522630443</t>
  </si>
  <si>
    <t>984970742</t>
  </si>
  <si>
    <t>860256053188295</t>
  </si>
  <si>
    <t>8959300620516970507</t>
  </si>
  <si>
    <t>LTE REALME C21Y AZUL CH162361</t>
  </si>
  <si>
    <t>984987538</t>
  </si>
  <si>
    <t>45602454</t>
  </si>
  <si>
    <t>KATTY ELIZABETH FAJARDO POMA</t>
  </si>
  <si>
    <t>0750272627</t>
  </si>
  <si>
    <t>496552277660800</t>
  </si>
  <si>
    <t>8959300520560320882</t>
  </si>
  <si>
    <t>984987984</t>
  </si>
  <si>
    <t>45625958</t>
  </si>
  <si>
    <t>DIANA CAMILA BUSTAMANTE ACEVEDO</t>
  </si>
  <si>
    <t>1753913126</t>
  </si>
  <si>
    <t>865524046179589</t>
  </si>
  <si>
    <t>8959300520561486302</t>
  </si>
  <si>
    <t>984988536</t>
  </si>
  <si>
    <t>45651625</t>
  </si>
  <si>
    <t>SEGUNDO MANUEL ANTONIO LLERENA RIVERA</t>
  </si>
  <si>
    <t>0400379079</t>
  </si>
  <si>
    <t>000000184258507</t>
  </si>
  <si>
    <t>8959300420515732630</t>
  </si>
  <si>
    <t>984989457</t>
  </si>
  <si>
    <t>41280156</t>
  </si>
  <si>
    <t>MANUEL HUMBERTO MUZHA NAULA</t>
  </si>
  <si>
    <t>0101278505</t>
  </si>
  <si>
    <t>512965620964606</t>
  </si>
  <si>
    <t>8959300520560328612</t>
  </si>
  <si>
    <t>984990007</t>
  </si>
  <si>
    <t>45667072</t>
  </si>
  <si>
    <t>JUAN CARLOS MALDONADO ESTRELLA</t>
  </si>
  <si>
    <t>1704670775</t>
  </si>
  <si>
    <t>351978089840914</t>
  </si>
  <si>
    <t>8959300520561490148</t>
  </si>
  <si>
    <t>985055391</t>
  </si>
  <si>
    <t>P0190</t>
  </si>
  <si>
    <t>PREVIOPAGO PLAN MOVISTAR DIAMOND</t>
  </si>
  <si>
    <t>914512869137215</t>
  </si>
  <si>
    <t>8959300120522534140</t>
  </si>
  <si>
    <t>985421378</t>
  </si>
  <si>
    <t>45659407</t>
  </si>
  <si>
    <t>WILSON FABIAN OCHOA FEIJOO</t>
  </si>
  <si>
    <t>0707357273</t>
  </si>
  <si>
    <t>454310585862182</t>
  </si>
  <si>
    <t>8959300520561485940</t>
  </si>
  <si>
    <t>985500910</t>
  </si>
  <si>
    <t>45716214</t>
  </si>
  <si>
    <t>MERCEDES HORTENCIA ZUÑIGA CABRERA</t>
  </si>
  <si>
    <t>0101245082</t>
  </si>
  <si>
    <t>357249054124872</t>
  </si>
  <si>
    <t>8959300620501540257</t>
  </si>
  <si>
    <t>985970434</t>
  </si>
  <si>
    <t>45658688</t>
  </si>
  <si>
    <t>NORA PAULINA SALINAS VASQUEZ</t>
  </si>
  <si>
    <t>0103360947</t>
  </si>
  <si>
    <t>998105265282468</t>
  </si>
  <si>
    <t>8959300120522505967</t>
  </si>
  <si>
    <t>986166870</t>
  </si>
  <si>
    <t>45673478</t>
  </si>
  <si>
    <t>MELANIE ANAHI CALVOPIÑA SANCHEZ</t>
  </si>
  <si>
    <t>1751521343</t>
  </si>
  <si>
    <t>104165605130653</t>
  </si>
  <si>
    <t>8959300120525777886</t>
  </si>
  <si>
    <t>987008662</t>
  </si>
  <si>
    <t>45711977</t>
  </si>
  <si>
    <t>GONZALO RODRIGUEZ LUIS</t>
  </si>
  <si>
    <t>1700017997</t>
  </si>
  <si>
    <t>548378750644519</t>
  </si>
  <si>
    <t>8959300520561487458</t>
  </si>
  <si>
    <t>987013569</t>
  </si>
  <si>
    <t>45718861</t>
  </si>
  <si>
    <t>MAITE NOEMI VELIZ MOLINA</t>
  </si>
  <si>
    <t>1726627332</t>
  </si>
  <si>
    <t>865247028824374</t>
  </si>
  <si>
    <t>8959300620509050556</t>
  </si>
  <si>
    <t>987016382</t>
  </si>
  <si>
    <t>45711280</t>
  </si>
  <si>
    <t>LESLEY LIZBETH JACOME PEREZ</t>
  </si>
  <si>
    <t>1726625617</t>
  </si>
  <si>
    <t>000000185572377</t>
  </si>
  <si>
    <t>8959300520561490841</t>
  </si>
  <si>
    <t>987022167</t>
  </si>
  <si>
    <t>45644862</t>
  </si>
  <si>
    <t>PABLO LEONARDO MARTINEZ CABRERA</t>
  </si>
  <si>
    <t>A8350027</t>
  </si>
  <si>
    <t>864674152284052</t>
  </si>
  <si>
    <t>8959300120521835480</t>
  </si>
  <si>
    <t>987023439</t>
  </si>
  <si>
    <t>537236013953734</t>
  </si>
  <si>
    <t>8959300520561494249</t>
  </si>
  <si>
    <t>987037929</t>
  </si>
  <si>
    <t>45684742</t>
  </si>
  <si>
    <t>CARLOS JAIR PANATA CUMBAJIN</t>
  </si>
  <si>
    <t>1721771101</t>
  </si>
  <si>
    <t>524222067673704</t>
  </si>
  <si>
    <t>8959300520561486146</t>
  </si>
  <si>
    <t>987044501</t>
  </si>
  <si>
    <t>45632918</t>
  </si>
  <si>
    <t>ERICK ADRIAN GAVILANES VINUEZA</t>
  </si>
  <si>
    <t>1726232059</t>
  </si>
  <si>
    <t>868214060751144</t>
  </si>
  <si>
    <t>8959300120521826711</t>
  </si>
  <si>
    <t>LTE XIAOMI 12 LITE NEGRO CH32034</t>
  </si>
  <si>
    <t>987047003</t>
  </si>
  <si>
    <t>45622602</t>
  </si>
  <si>
    <t>ROSA MERCEDES PEREZ JARAMILLO</t>
  </si>
  <si>
    <t>0102951316</t>
  </si>
  <si>
    <t>358094056296917</t>
  </si>
  <si>
    <t>8959300500642175611</t>
  </si>
  <si>
    <t>987057016</t>
  </si>
  <si>
    <t>45627030</t>
  </si>
  <si>
    <t>JULIO ALEXANDER TERAN CORDERO TERAN CORDERO</t>
  </si>
  <si>
    <t>1725327835</t>
  </si>
  <si>
    <t>302622343831323</t>
  </si>
  <si>
    <t>8959300520560371083</t>
  </si>
  <si>
    <t>987059719</t>
  </si>
  <si>
    <t>45722497</t>
  </si>
  <si>
    <t>NORMA PIEDAD LANDA VALENCIA</t>
  </si>
  <si>
    <t>1712865227</t>
  </si>
  <si>
    <t>448903102950859</t>
  </si>
  <si>
    <t>8959300520561484927</t>
  </si>
  <si>
    <t>987063776</t>
  </si>
  <si>
    <t>45684966</t>
  </si>
  <si>
    <t>VICTOR HUGO PROAÑO SUAREZ</t>
  </si>
  <si>
    <t>1705905519</t>
  </si>
  <si>
    <t>508815002074043</t>
  </si>
  <si>
    <t>8959300320532961909</t>
  </si>
  <si>
    <t>987066680</t>
  </si>
  <si>
    <t>45676720</t>
  </si>
  <si>
    <t>ALIEXER JOSE RIVERA MANRIQUE</t>
  </si>
  <si>
    <t>1761450111</t>
  </si>
  <si>
    <t>917606781134982</t>
  </si>
  <si>
    <t>8959300520561492813</t>
  </si>
  <si>
    <t>987068974</t>
  </si>
  <si>
    <t>45692892</t>
  </si>
  <si>
    <t>ERIKA ZAMIRNA LOPEZ VELASCO</t>
  </si>
  <si>
    <t>1726160649</t>
  </si>
  <si>
    <t>QUEVEDO</t>
  </si>
  <si>
    <t>986229113139185</t>
  </si>
  <si>
    <t>8959300520561490767</t>
  </si>
  <si>
    <t>987073193</t>
  </si>
  <si>
    <t>38726570</t>
  </si>
  <si>
    <t>MIGUEL HERNAN AREVALO PACHECO</t>
  </si>
  <si>
    <t>0101890747</t>
  </si>
  <si>
    <t>863954377868546</t>
  </si>
  <si>
    <t>8959300520560325683</t>
  </si>
  <si>
    <t>987086567</t>
  </si>
  <si>
    <t>45670438</t>
  </si>
  <si>
    <t>MANUEL BENITEZ VICTOR</t>
  </si>
  <si>
    <t>1700907288</t>
  </si>
  <si>
    <t>518307184931461</t>
  </si>
  <si>
    <t>8959300520561489520</t>
  </si>
  <si>
    <t>987098598</t>
  </si>
  <si>
    <t>45693092</t>
  </si>
  <si>
    <t>MARIA CRISTINA REVELO HERNANDEZ</t>
  </si>
  <si>
    <t>1750009597</t>
  </si>
  <si>
    <t>333954019330998</t>
  </si>
  <si>
    <t>8959300120521826976</t>
  </si>
  <si>
    <t>987112877</t>
  </si>
  <si>
    <t>45646256</t>
  </si>
  <si>
    <t>JORGE VICENTE TRUJILLO MALDONADO</t>
  </si>
  <si>
    <t>0101719839</t>
  </si>
  <si>
    <t>505973254507781</t>
  </si>
  <si>
    <t>8959300120521835456</t>
  </si>
  <si>
    <t>987122217</t>
  </si>
  <si>
    <t>45659337</t>
  </si>
  <si>
    <t>SONIA MERCEDES DE LOURDES SOSA MALDONADO</t>
  </si>
  <si>
    <t>1705345708</t>
  </si>
  <si>
    <t>457895375772291</t>
  </si>
  <si>
    <t>8959300120522632308</t>
  </si>
  <si>
    <t>987124255</t>
  </si>
  <si>
    <t>45717314</t>
  </si>
  <si>
    <t>MARIA BERNARDA SERRANO DUEÑAS</t>
  </si>
  <si>
    <t>1718456450</t>
  </si>
  <si>
    <t>306843199686100</t>
  </si>
  <si>
    <t>8959300120519904769</t>
  </si>
  <si>
    <t>987138866</t>
  </si>
  <si>
    <t>23511706</t>
  </si>
  <si>
    <t>JESSICA GISSELLA GONZALEZ HOLGUIN</t>
  </si>
  <si>
    <t>0704798966</t>
  </si>
  <si>
    <t>545372564617368</t>
  </si>
  <si>
    <t>8959300520560320940</t>
  </si>
  <si>
    <t>987171828</t>
  </si>
  <si>
    <t>45652552</t>
  </si>
  <si>
    <t>LLIWYAQILLARI ATAWALLPA SANCHEZ ARIAS</t>
  </si>
  <si>
    <t>0105908370</t>
  </si>
  <si>
    <t>538188171312329</t>
  </si>
  <si>
    <t>8959300520560328794</t>
  </si>
  <si>
    <t>987173313</t>
  </si>
  <si>
    <t>45665423</t>
  </si>
  <si>
    <t>VERONICA PAULINA CHANCUSI YUGSE</t>
  </si>
  <si>
    <t>1720455185</t>
  </si>
  <si>
    <t>000000251029252</t>
  </si>
  <si>
    <t>8959300520561489942</t>
  </si>
  <si>
    <t>987179623</t>
  </si>
  <si>
    <t>45682202</t>
  </si>
  <si>
    <t>AIDA MARIA VELA GUANIN</t>
  </si>
  <si>
    <t>1704961661</t>
  </si>
  <si>
    <t>864752000595463</t>
  </si>
  <si>
    <t>8959300520560351135</t>
  </si>
  <si>
    <t>987202161</t>
  </si>
  <si>
    <t>45662726</t>
  </si>
  <si>
    <t>JOSE ROBERTO CUSHCAGUA MALDONADO</t>
  </si>
  <si>
    <t>1723747976</t>
  </si>
  <si>
    <t>000000250124435</t>
  </si>
  <si>
    <t>8959300520554475049</t>
  </si>
  <si>
    <t>987205376</t>
  </si>
  <si>
    <t>45691377</t>
  </si>
  <si>
    <t>JENIFFER AMANDA GUANIN CATOTA</t>
  </si>
  <si>
    <t>1723459614</t>
  </si>
  <si>
    <t>356277068421258</t>
  </si>
  <si>
    <t>8959300520561490577</t>
  </si>
  <si>
    <t>987206078</t>
  </si>
  <si>
    <t>45685363</t>
  </si>
  <si>
    <t>JOSE LUIS RODRIGUEZ CHALEN</t>
  </si>
  <si>
    <t>1720644580</t>
  </si>
  <si>
    <t>000000221807233</t>
  </si>
  <si>
    <t>8959300520561486195</t>
  </si>
  <si>
    <t>987207668</t>
  </si>
  <si>
    <t>45620557</t>
  </si>
  <si>
    <t>SANCHEZ MUNZON DIEGO FERNANDO 709995771</t>
  </si>
  <si>
    <t>1709995771</t>
  </si>
  <si>
    <t>350424739301040</t>
  </si>
  <si>
    <t>8959300120522631649</t>
  </si>
  <si>
    <t>987215308</t>
  </si>
  <si>
    <t>45683624</t>
  </si>
  <si>
    <t>JEFFERSON ALEJANDRO PALMA LOOR</t>
  </si>
  <si>
    <t>0804117034</t>
  </si>
  <si>
    <t>539224572172662</t>
  </si>
  <si>
    <t>8959300520561485510</t>
  </si>
  <si>
    <t>987218786</t>
  </si>
  <si>
    <t>45676705</t>
  </si>
  <si>
    <t>KARINA GABRIELA SANCHEZ SANCHEZ</t>
  </si>
  <si>
    <t>1723600456</t>
  </si>
  <si>
    <t>000000234029692</t>
  </si>
  <si>
    <t>8959300520560350699</t>
  </si>
  <si>
    <t>987218837</t>
  </si>
  <si>
    <t>45712757</t>
  </si>
  <si>
    <t>FRANCISCA PAULA TUMBACO SANCHEZ</t>
  </si>
  <si>
    <t>1305166462</t>
  </si>
  <si>
    <t>987507202717006</t>
  </si>
  <si>
    <t>8959300520560350905</t>
  </si>
  <si>
    <t>987220431</t>
  </si>
  <si>
    <t>26978464</t>
  </si>
  <si>
    <t>WILSON OSWALDO BERREZUETA PARRA</t>
  </si>
  <si>
    <t>0102675642</t>
  </si>
  <si>
    <t>105054888161933</t>
  </si>
  <si>
    <t>8959300120521052722</t>
  </si>
  <si>
    <t>987227075</t>
  </si>
  <si>
    <t>45669052</t>
  </si>
  <si>
    <t>TATIANA SORAYA VILLACRES MATUTE</t>
  </si>
  <si>
    <t>0704561661</t>
  </si>
  <si>
    <t>498106018037014</t>
  </si>
  <si>
    <t>8959300520561490254</t>
  </si>
  <si>
    <t>987233448</t>
  </si>
  <si>
    <t>45682601</t>
  </si>
  <si>
    <t>MATEO VERDINO</t>
  </si>
  <si>
    <t>42201702</t>
  </si>
  <si>
    <t>515344712820661</t>
  </si>
  <si>
    <t>8959300520561485700</t>
  </si>
  <si>
    <t>987262687</t>
  </si>
  <si>
    <t>45640245</t>
  </si>
  <si>
    <t>GISSELA ESTEFANIA TIGSE GAVILANES</t>
  </si>
  <si>
    <t>1729043321</t>
  </si>
  <si>
    <t>000000179890827</t>
  </si>
  <si>
    <t>8959300420514370028</t>
  </si>
  <si>
    <t>987272670</t>
  </si>
  <si>
    <t>45685210</t>
  </si>
  <si>
    <t>SANDRA LUCIA TITUAÑA PUCHA</t>
  </si>
  <si>
    <t>1716476286</t>
  </si>
  <si>
    <t>000000241018274</t>
  </si>
  <si>
    <t>8959300320533623128</t>
  </si>
  <si>
    <t>987277465</t>
  </si>
  <si>
    <t>45628020</t>
  </si>
  <si>
    <t>RAUL PEREZ HERNANDEZ</t>
  </si>
  <si>
    <t>PAC986159</t>
  </si>
  <si>
    <t>440669260481718</t>
  </si>
  <si>
    <t>8959300120521827172</t>
  </si>
  <si>
    <t>987281887</t>
  </si>
  <si>
    <t>35299576</t>
  </si>
  <si>
    <t>CRISTIAN DAVID CEVALLOS VALLA</t>
  </si>
  <si>
    <t>1716264393</t>
  </si>
  <si>
    <t>356812071438442</t>
  </si>
  <si>
    <t>8959300120512734650</t>
  </si>
  <si>
    <t>987286104</t>
  </si>
  <si>
    <t>45717550</t>
  </si>
  <si>
    <t>MARIA VERONICA TENEMAZA PASICHE</t>
  </si>
  <si>
    <t>1724512718</t>
  </si>
  <si>
    <t>453741775904213</t>
  </si>
  <si>
    <t>8959300520561491955</t>
  </si>
  <si>
    <t>987287398</t>
  </si>
  <si>
    <t>45624452</t>
  </si>
  <si>
    <t>FLAVIA ALEXANDRA ENRIQUEZ HIDALGO</t>
  </si>
  <si>
    <t>1713089744</t>
  </si>
  <si>
    <t>511493599157285</t>
  </si>
  <si>
    <t>8959300120522528878</t>
  </si>
  <si>
    <t>987292057</t>
  </si>
  <si>
    <t>45673429</t>
  </si>
  <si>
    <t>DANIEL SANTIAGO AUQUILLA VERA</t>
  </si>
  <si>
    <t>1720134814</t>
  </si>
  <si>
    <t>019050212100394</t>
  </si>
  <si>
    <t>8959300520561489785</t>
  </si>
  <si>
    <t>987293571</t>
  </si>
  <si>
    <t>41422106</t>
  </si>
  <si>
    <t>JAVIER WELLINGTON LEMA TIPANTUÑA</t>
  </si>
  <si>
    <t>1722010848</t>
  </si>
  <si>
    <t>918647994713583</t>
  </si>
  <si>
    <t>8959300520561493142</t>
  </si>
  <si>
    <t>987293654</t>
  </si>
  <si>
    <t>43085699</t>
  </si>
  <si>
    <t>SERGIO LEOPOLDO MACAS BALSECA</t>
  </si>
  <si>
    <t>0704106327</t>
  </si>
  <si>
    <t>BELLAVISTA DE EL ORO</t>
  </si>
  <si>
    <t>352036632232029</t>
  </si>
  <si>
    <t>8959300520560319728</t>
  </si>
  <si>
    <t>987294139</t>
  </si>
  <si>
    <t>45633354</t>
  </si>
  <si>
    <t>GLADYS IRENE MARGOTH SANCHEZ CEDEÑO</t>
  </si>
  <si>
    <t>1703453181</t>
  </si>
  <si>
    <t>740535629269325</t>
  </si>
  <si>
    <t>8959300120522532243</t>
  </si>
  <si>
    <t>987296266</t>
  </si>
  <si>
    <t>45637997</t>
  </si>
  <si>
    <t>VICTOR HUGO JUCA PATIÑO</t>
  </si>
  <si>
    <t>0105722250</t>
  </si>
  <si>
    <t>494103446870375</t>
  </si>
  <si>
    <t>8959300120521834822</t>
  </si>
  <si>
    <t>987298901</t>
  </si>
  <si>
    <t>45671347</t>
  </si>
  <si>
    <t>GUADALUPE PATRICIA ACOSTA GUERRERO</t>
  </si>
  <si>
    <t>1701106005</t>
  </si>
  <si>
    <t>014426347476666</t>
  </si>
  <si>
    <t>8959300420535318998</t>
  </si>
  <si>
    <t>987299930</t>
  </si>
  <si>
    <t>45657029</t>
  </si>
  <si>
    <t>WILSON ROMAN RODRIGUEZ SEGARRA</t>
  </si>
  <si>
    <t>0102276821</t>
  </si>
  <si>
    <t>000000187936695</t>
  </si>
  <si>
    <t>8959300120522506015</t>
  </si>
  <si>
    <t>987316396</t>
  </si>
  <si>
    <t>45658272</t>
  </si>
  <si>
    <t>JULIA EDID SIZALIMA SIZALIMA</t>
  </si>
  <si>
    <t>1102051776</t>
  </si>
  <si>
    <t>493006103812567</t>
  </si>
  <si>
    <t>8959300520561494082</t>
  </si>
  <si>
    <t>987316608</t>
  </si>
  <si>
    <t>45638218</t>
  </si>
  <si>
    <t>MARIA CRISTINA CHAVEZ ZAMBRANO</t>
  </si>
  <si>
    <t>1724782360</t>
  </si>
  <si>
    <t>300620517376085</t>
  </si>
  <si>
    <t>8959300120521827487</t>
  </si>
  <si>
    <t>987325971</t>
  </si>
  <si>
    <t>45626304</t>
  </si>
  <si>
    <t>JAIRO OMAR RODRIGUEZ CASTILLO</t>
  </si>
  <si>
    <t>1500778566</t>
  </si>
  <si>
    <t>866184060681587</t>
  </si>
  <si>
    <t>8959300120521827271</t>
  </si>
  <si>
    <t>987328851</t>
  </si>
  <si>
    <t>45691568</t>
  </si>
  <si>
    <t>ALVARO DAVID NAVARRETE HERNANDEZ</t>
  </si>
  <si>
    <t>1722503818</t>
  </si>
  <si>
    <t>442604750877438</t>
  </si>
  <si>
    <t>8959300520560351432</t>
  </si>
  <si>
    <t>987340121</t>
  </si>
  <si>
    <t>45624591</t>
  </si>
  <si>
    <t>KAREN ANTONELA CASTILLO SOLIS</t>
  </si>
  <si>
    <t>0104634936</t>
  </si>
  <si>
    <t>000000264112079</t>
  </si>
  <si>
    <t>8959300120521834731</t>
  </si>
  <si>
    <t>987351545</t>
  </si>
  <si>
    <t>45671533</t>
  </si>
  <si>
    <t>SANDRA CATHERINE VILLON LEON</t>
  </si>
  <si>
    <t>1713663027</t>
  </si>
  <si>
    <t>353906800016223</t>
  </si>
  <si>
    <t>8959300400525090088</t>
  </si>
  <si>
    <t>987355469</t>
  </si>
  <si>
    <t>45665803</t>
  </si>
  <si>
    <t>VICTOR MANUEL VILLAVICENCIO NEIRA</t>
  </si>
  <si>
    <t>1101161212</t>
  </si>
  <si>
    <t>300910394440140</t>
  </si>
  <si>
    <t>8959300520561489967</t>
  </si>
  <si>
    <t>987369008</t>
  </si>
  <si>
    <t>44343431</t>
  </si>
  <si>
    <t>ALVARO ESTEBAN GUAMA CALDERON</t>
  </si>
  <si>
    <t>1722465711</t>
  </si>
  <si>
    <t>000000259271310</t>
  </si>
  <si>
    <t>8959300520561492615</t>
  </si>
  <si>
    <t>987378353</t>
  </si>
  <si>
    <t>45619650</t>
  </si>
  <si>
    <t>JENNY DOLORES ORDOÑEZ TORRES</t>
  </si>
  <si>
    <t>0702934803</t>
  </si>
  <si>
    <t>000000194977971</t>
  </si>
  <si>
    <t>8959300420550700021</t>
  </si>
  <si>
    <t>987387839</t>
  </si>
  <si>
    <t>45682488</t>
  </si>
  <si>
    <t>NANCY CECILIA ORTEGA CHEVEZ</t>
  </si>
  <si>
    <t>1716434392</t>
  </si>
  <si>
    <t>333059941700795</t>
  </si>
  <si>
    <t>8959300520555833667</t>
  </si>
  <si>
    <t>987391394</t>
  </si>
  <si>
    <t>45624834</t>
  </si>
  <si>
    <t>ANTHONY STEVEN MEDIAVILLA ALMACHI</t>
  </si>
  <si>
    <t>1752080026</t>
  </si>
  <si>
    <t>350622870106686</t>
  </si>
  <si>
    <t>8959300120522528928</t>
  </si>
  <si>
    <t>987391606</t>
  </si>
  <si>
    <t>45624532</t>
  </si>
  <si>
    <t>ZOILA LEONOR VAZQUEZ VAZQUEZ</t>
  </si>
  <si>
    <t>0100157833</t>
  </si>
  <si>
    <t>000000251694477</t>
  </si>
  <si>
    <t>8959300420545957280</t>
  </si>
  <si>
    <t>987412010</t>
  </si>
  <si>
    <t>44320713</t>
  </si>
  <si>
    <t>DAYSI VERONICA GUTIERREZ GUTIERREZ</t>
  </si>
  <si>
    <t>0104079918</t>
  </si>
  <si>
    <t>014241864188531</t>
  </si>
  <si>
    <t>8959300120522506395</t>
  </si>
  <si>
    <t>987416060</t>
  </si>
  <si>
    <t>45705679</t>
  </si>
  <si>
    <t>KLEBER EFRAIN CONTERON VARGAS</t>
  </si>
  <si>
    <t>1718001389</t>
  </si>
  <si>
    <t>355108340307430</t>
  </si>
  <si>
    <t>8959300120519904843</t>
  </si>
  <si>
    <t>987425764</t>
  </si>
  <si>
    <t>45653664</t>
  </si>
  <si>
    <t>GILBER EDMUNDO CHUGCHO LOPEZ</t>
  </si>
  <si>
    <t>1706363924</t>
  </si>
  <si>
    <t>000000231149360</t>
  </si>
  <si>
    <t>8959300520561494322</t>
  </si>
  <si>
    <t>987460613</t>
  </si>
  <si>
    <t>43406701</t>
  </si>
  <si>
    <t>NEPTALI SALVADOR TIPAN RODRIGUEZ</t>
  </si>
  <si>
    <t>1703665495</t>
  </si>
  <si>
    <t>357710731063759</t>
  </si>
  <si>
    <t>8959300120522529181</t>
  </si>
  <si>
    <t>987467901</t>
  </si>
  <si>
    <t>45642934</t>
  </si>
  <si>
    <t>DELIA MARIA GUADALUPE AGUIRRE FERNANDEZ</t>
  </si>
  <si>
    <t>1700686247</t>
  </si>
  <si>
    <t>492822424326967</t>
  </si>
  <si>
    <t>8959300120522531302</t>
  </si>
  <si>
    <t>987469254</t>
  </si>
  <si>
    <t>45703445</t>
  </si>
  <si>
    <t>MARISSA MADELAYNE DOMINGUEZ ZARATE</t>
  </si>
  <si>
    <t>0750705642</t>
  </si>
  <si>
    <t>869113065757644</t>
  </si>
  <si>
    <t>8959300520560320684</t>
  </si>
  <si>
    <t>987477056</t>
  </si>
  <si>
    <t>45711958</t>
  </si>
  <si>
    <t>JANS HOMERO LANCHIMBA ANCHAPANTA</t>
  </si>
  <si>
    <t>1711571925</t>
  </si>
  <si>
    <t>YARUQUI</t>
  </si>
  <si>
    <t>305989643242965</t>
  </si>
  <si>
    <t>8959300520561485635</t>
  </si>
  <si>
    <t>987478617</t>
  </si>
  <si>
    <t>45685917</t>
  </si>
  <si>
    <t>GABRIEL RICARDO POLANCO MOLINA</t>
  </si>
  <si>
    <t>1726603838</t>
  </si>
  <si>
    <t>352259051835466</t>
  </si>
  <si>
    <t>8959300520561486179</t>
  </si>
  <si>
    <t>987500901</t>
  </si>
  <si>
    <t>45686125</t>
  </si>
  <si>
    <t>CRISTOFER ELIAN CRUZ VINUEZA</t>
  </si>
  <si>
    <t>1754611984</t>
  </si>
  <si>
    <t>512124644900762</t>
  </si>
  <si>
    <t>8959300120522529413</t>
  </si>
  <si>
    <t>987501803</t>
  </si>
  <si>
    <t>45705859</t>
  </si>
  <si>
    <t>ELOY VICENTE VELASCO LEON</t>
  </si>
  <si>
    <t>1704677150</t>
  </si>
  <si>
    <t>351084957811283</t>
  </si>
  <si>
    <t>8959300520561486674</t>
  </si>
  <si>
    <t>LTE SAMSUNG A03 AZUL CH31462</t>
  </si>
  <si>
    <t>987508833</t>
  </si>
  <si>
    <t>45625704</t>
  </si>
  <si>
    <t>FRANCISCO JAVIER YAGUANA RAMOS</t>
  </si>
  <si>
    <t>1721104345</t>
  </si>
  <si>
    <t>916134465301893</t>
  </si>
  <si>
    <t>8959300120521827305</t>
  </si>
  <si>
    <t>987516099</t>
  </si>
  <si>
    <t>45697087</t>
  </si>
  <si>
    <t>KATHERINE ESTEFANI VALENCIA TROYA</t>
  </si>
  <si>
    <t>1726727876</t>
  </si>
  <si>
    <t>863417176452136</t>
  </si>
  <si>
    <t>8959300520552004312</t>
  </si>
  <si>
    <t>987520628</t>
  </si>
  <si>
    <t>45680315</t>
  </si>
  <si>
    <t>MARIO ORLANDO DUTAN ARIZAGA</t>
  </si>
  <si>
    <t>0301533956</t>
  </si>
  <si>
    <t>000000262510548</t>
  </si>
  <si>
    <t>8959300120517498418</t>
  </si>
  <si>
    <t>987529282</t>
  </si>
  <si>
    <t>45629194</t>
  </si>
  <si>
    <t>MARIA SOLEDAD ALVAREZ CACERES</t>
  </si>
  <si>
    <t>1725800088</t>
  </si>
  <si>
    <t>103171624383258</t>
  </si>
  <si>
    <t>8959300120521826869</t>
  </si>
  <si>
    <t>987529966</t>
  </si>
  <si>
    <t>45676276</t>
  </si>
  <si>
    <t>DANIEL GONZALO ATUPAÑA PANCHI</t>
  </si>
  <si>
    <t>1723649412</t>
  </si>
  <si>
    <t>912528348808210</t>
  </si>
  <si>
    <t>8959300520560350640</t>
  </si>
  <si>
    <t>987537800</t>
  </si>
  <si>
    <t>45629560</t>
  </si>
  <si>
    <t>LUIS FERNANDO CHICAIZA JAMI</t>
  </si>
  <si>
    <t>1722016019</t>
  </si>
  <si>
    <t>000000228278693</t>
  </si>
  <si>
    <t>8959300120522534009</t>
  </si>
  <si>
    <t>987540193</t>
  </si>
  <si>
    <t>44474072</t>
  </si>
  <si>
    <t>MARIA VIRGINIA TOAPANTA CHICAIZA</t>
  </si>
  <si>
    <t>0501146708</t>
  </si>
  <si>
    <t>539590945345783</t>
  </si>
  <si>
    <t>8959300120522533134</t>
  </si>
  <si>
    <t>987556718</t>
  </si>
  <si>
    <t>45717767</t>
  </si>
  <si>
    <t>EDGAR ROBERTO TAYAN HURTADO</t>
  </si>
  <si>
    <t>1720356797</t>
  </si>
  <si>
    <t>109621756775436</t>
  </si>
  <si>
    <t>8959300520561487276</t>
  </si>
  <si>
    <t>987564816</t>
  </si>
  <si>
    <t>45628205</t>
  </si>
  <si>
    <t>LUIS ALFREDO GOMEZ MANRIQUE</t>
  </si>
  <si>
    <t>1759237058</t>
  </si>
  <si>
    <t>352013079584139</t>
  </si>
  <si>
    <t>8959300120521827164</t>
  </si>
  <si>
    <t>987581440</t>
  </si>
  <si>
    <t>45634061</t>
  </si>
  <si>
    <t>DANY VINICIO PADILLA AMAGUAÑA PADILLA AMAGUAÑA</t>
  </si>
  <si>
    <t>1751047562</t>
  </si>
  <si>
    <t>000000234860500</t>
  </si>
  <si>
    <t>8959300120522532391</t>
  </si>
  <si>
    <t>987582539</t>
  </si>
  <si>
    <t>45704239</t>
  </si>
  <si>
    <t>MAURA YEPEZ DAVILA</t>
  </si>
  <si>
    <t>1703467397</t>
  </si>
  <si>
    <t>000000240892984</t>
  </si>
  <si>
    <t>8959300120519904736</t>
  </si>
  <si>
    <t>987593751</t>
  </si>
  <si>
    <t>45695389</t>
  </si>
  <si>
    <t>ANA LUCIA LAZO NIETO</t>
  </si>
  <si>
    <t>0102805140</t>
  </si>
  <si>
    <t>352261227883990</t>
  </si>
  <si>
    <t>8959300120522506197</t>
  </si>
  <si>
    <t>987595190</t>
  </si>
  <si>
    <t>45572052</t>
  </si>
  <si>
    <t>MAYRA PATRICIA GUILLEN CORDOVA</t>
  </si>
  <si>
    <t>0701196651</t>
  </si>
  <si>
    <t>356712949621650</t>
  </si>
  <si>
    <t>8959300120525761864</t>
  </si>
  <si>
    <t>987608155</t>
  </si>
  <si>
    <t>45667880</t>
  </si>
  <si>
    <t>LUIS ALBERTO VIÑA ORTIZ</t>
  </si>
  <si>
    <t>0703895672</t>
  </si>
  <si>
    <t>866688042841895</t>
  </si>
  <si>
    <t>8959300520560319934</t>
  </si>
  <si>
    <t>LTE HUAWEI E5576-508 MIFI CH29333</t>
  </si>
  <si>
    <t>987627605</t>
  </si>
  <si>
    <t>45628520</t>
  </si>
  <si>
    <t>XAVIER ALEXANDER CAICHE VALAREZO</t>
  </si>
  <si>
    <t>0704419191</t>
  </si>
  <si>
    <t>993046104129319</t>
  </si>
  <si>
    <t>8959300120522637273</t>
  </si>
  <si>
    <t>987636687</t>
  </si>
  <si>
    <t>45653985</t>
  </si>
  <si>
    <t>ANGEL MARIA COFRE LEMA</t>
  </si>
  <si>
    <t>0501394662</t>
  </si>
  <si>
    <t>539329875340385</t>
  </si>
  <si>
    <t>8959300520560350459</t>
  </si>
  <si>
    <t>987640619</t>
  </si>
  <si>
    <t>353842194941314</t>
  </si>
  <si>
    <t>8959300420551018308</t>
  </si>
  <si>
    <t>LTE SAMSUNG A53 5G AZUL CH31615</t>
  </si>
  <si>
    <t>FINANCIADO</t>
  </si>
  <si>
    <t>987650656</t>
  </si>
  <si>
    <t>45630035</t>
  </si>
  <si>
    <t>MARIA FERNANDA POZO NAVAS</t>
  </si>
  <si>
    <t>1722882626</t>
  </si>
  <si>
    <t>996777926418269</t>
  </si>
  <si>
    <t>8959300120521826836</t>
  </si>
  <si>
    <t>987656085</t>
  </si>
  <si>
    <t>45716676</t>
  </si>
  <si>
    <t>ERNESTO ANTONIO PINZON PARDO</t>
  </si>
  <si>
    <t>1709490849</t>
  </si>
  <si>
    <t>506468933829259</t>
  </si>
  <si>
    <t>8959300520561491765</t>
  </si>
  <si>
    <t>987658404</t>
  </si>
  <si>
    <t>45631760</t>
  </si>
  <si>
    <t>BOLIVAR GERMAN VALLEJO ARMAS</t>
  </si>
  <si>
    <t>1711194124</t>
  </si>
  <si>
    <t>500765773240505</t>
  </si>
  <si>
    <t>8959300120522534538</t>
  </si>
  <si>
    <t>987677718</t>
  </si>
  <si>
    <t>42258739</t>
  </si>
  <si>
    <t>LUIS ANTONIO HEREDIA CARRERA</t>
  </si>
  <si>
    <t>1717376543</t>
  </si>
  <si>
    <t>000000232622100</t>
  </si>
  <si>
    <t>8959300120518236304</t>
  </si>
  <si>
    <t>987680910</t>
  </si>
  <si>
    <t>45646206</t>
  </si>
  <si>
    <t>BEATRIZ CECILIA VILLACRES ARIAS VILLACRES ARIAS</t>
  </si>
  <si>
    <t>1500396351</t>
  </si>
  <si>
    <t>493901442502012</t>
  </si>
  <si>
    <t>8959300520560350434</t>
  </si>
  <si>
    <t>987684713</t>
  </si>
  <si>
    <t>45618097</t>
  </si>
  <si>
    <t>DAN MICHAEL RAY</t>
  </si>
  <si>
    <t>681371799</t>
  </si>
  <si>
    <t>519816894566309</t>
  </si>
  <si>
    <t>8959300120521836835</t>
  </si>
  <si>
    <t>987685631</t>
  </si>
  <si>
    <t>45646145</t>
  </si>
  <si>
    <t>CRISTOPHER ALEXIS FLORES HUANCAYO</t>
  </si>
  <si>
    <t>0941177693</t>
  </si>
  <si>
    <t>869325036349901</t>
  </si>
  <si>
    <t>8959300520560320239</t>
  </si>
  <si>
    <t>987690464</t>
  </si>
  <si>
    <t>45653453</t>
  </si>
  <si>
    <t>WILIAN ALCIVAR GUALAN GUANUCHI</t>
  </si>
  <si>
    <t>1900445238</t>
  </si>
  <si>
    <t>498361652612024</t>
  </si>
  <si>
    <t>8959300520560319611</t>
  </si>
  <si>
    <t>987690659</t>
  </si>
  <si>
    <t>45646014</t>
  </si>
  <si>
    <t>LUZ CALDERON CARMEN</t>
  </si>
  <si>
    <t>0901058784</t>
  </si>
  <si>
    <t>358583996452069</t>
  </si>
  <si>
    <t>8959300120522637562</t>
  </si>
  <si>
    <t>987697472</t>
  </si>
  <si>
    <t>45711504</t>
  </si>
  <si>
    <t>MARLON JHAIR DIAZ AGILA</t>
  </si>
  <si>
    <t>0703578419</t>
  </si>
  <si>
    <t>EL CAMBIO</t>
  </si>
  <si>
    <t>860256053218373</t>
  </si>
  <si>
    <t>8959300520560320866</t>
  </si>
  <si>
    <t>987698082</t>
  </si>
  <si>
    <t>45671848</t>
  </si>
  <si>
    <t>MARIA CARLOTA TIBAN TASIGUANO</t>
  </si>
  <si>
    <t>1719561860</t>
  </si>
  <si>
    <t>865476481613087</t>
  </si>
  <si>
    <t>8959300520560349899</t>
  </si>
  <si>
    <t>987700016</t>
  </si>
  <si>
    <t>45680041</t>
  </si>
  <si>
    <t>LIRA VICTORIA IÑAGUAZO NAULA</t>
  </si>
  <si>
    <t>0101706851</t>
  </si>
  <si>
    <t>999301418664921</t>
  </si>
  <si>
    <t>8959300120521832453</t>
  </si>
  <si>
    <t>987701644</t>
  </si>
  <si>
    <t>45623709</t>
  </si>
  <si>
    <t>BRITHANY MICHELLE CALVACHE CACPATA</t>
  </si>
  <si>
    <t>1727062737</t>
  </si>
  <si>
    <t>000000263541617</t>
  </si>
  <si>
    <t>8959300120519513933</t>
  </si>
  <si>
    <t>987703111</t>
  </si>
  <si>
    <t>45659456</t>
  </si>
  <si>
    <t>JOSEPH FERNANDO ROJAS VEGA</t>
  </si>
  <si>
    <t>1760794816</t>
  </si>
  <si>
    <t>459834769569581</t>
  </si>
  <si>
    <t>8959300520560349683</t>
  </si>
  <si>
    <t>987711203</t>
  </si>
  <si>
    <t>45638216</t>
  </si>
  <si>
    <t>PAOLA ELIZABETH PAZMIÑO CASTILLO</t>
  </si>
  <si>
    <t>1714117023</t>
  </si>
  <si>
    <t>000000258812569</t>
  </si>
  <si>
    <t>8959300120521827495</t>
  </si>
  <si>
    <t>987712632</t>
  </si>
  <si>
    <t>45703805</t>
  </si>
  <si>
    <t>CRISTINA ELIZABETH VITERI CHUQUIZAN</t>
  </si>
  <si>
    <t>1721296372</t>
  </si>
  <si>
    <t>354152080447742</t>
  </si>
  <si>
    <t>8959300120519904702</t>
  </si>
  <si>
    <t>987715618</t>
  </si>
  <si>
    <t>42181070</t>
  </si>
  <si>
    <t>GRACE ARGENTINA LARA CHAVEZ</t>
  </si>
  <si>
    <t>1000940658</t>
  </si>
  <si>
    <t>101299469278853</t>
  </si>
  <si>
    <t>8959300620503255144</t>
  </si>
  <si>
    <t>987721062</t>
  </si>
  <si>
    <t>45716149</t>
  </si>
  <si>
    <t>FRANK ERIK NARVAEZ PADILLA</t>
  </si>
  <si>
    <t>1721092045</t>
  </si>
  <si>
    <t>300520521203764</t>
  </si>
  <si>
    <t>8959300520561491716</t>
  </si>
  <si>
    <t>987725682</t>
  </si>
  <si>
    <t>45713448</t>
  </si>
  <si>
    <t>JOSE AGUSTO TAYUPANTA NOROÑA</t>
  </si>
  <si>
    <t>1706744941</t>
  </si>
  <si>
    <t>868169038312348</t>
  </si>
  <si>
    <t>8959300520561491567</t>
  </si>
  <si>
    <t>987731199</t>
  </si>
  <si>
    <t>45627934</t>
  </si>
  <si>
    <t>JUANA MARIA GARCIA VANEGAS</t>
  </si>
  <si>
    <t>0901473900</t>
  </si>
  <si>
    <t>353906800009285</t>
  </si>
  <si>
    <t>8959300120521827149</t>
  </si>
  <si>
    <t>987736304</t>
  </si>
  <si>
    <t>45688336</t>
  </si>
  <si>
    <t>ALFONSO COLORADO MONTENEGRO</t>
  </si>
  <si>
    <t>0105831366</t>
  </si>
  <si>
    <t>015727478732952</t>
  </si>
  <si>
    <t>8959300520560325527</t>
  </si>
  <si>
    <t>987749683</t>
  </si>
  <si>
    <t>45643449</t>
  </si>
  <si>
    <t>EYTHER MARCEL CAICEDO COROZO</t>
  </si>
  <si>
    <t>0927759498</t>
  </si>
  <si>
    <t>LOJA</t>
  </si>
  <si>
    <t>501180933533212</t>
  </si>
  <si>
    <t>8959300120522637554</t>
  </si>
  <si>
    <t>987764009</t>
  </si>
  <si>
    <t>45650782</t>
  </si>
  <si>
    <t>DOLORES MARTHI GRANDA PIZARRO</t>
  </si>
  <si>
    <t>1104077910</t>
  </si>
  <si>
    <t>490531515195569</t>
  </si>
  <si>
    <t>8959300120522531062</t>
  </si>
  <si>
    <t>987772631</t>
  </si>
  <si>
    <t>45633636</t>
  </si>
  <si>
    <t>CARLOS MANUEL SUAREZ SANGOQUIZA</t>
  </si>
  <si>
    <t>0502169238</t>
  </si>
  <si>
    <t>862498030333531</t>
  </si>
  <si>
    <t>8959300120522532326</t>
  </si>
  <si>
    <t>987779787</t>
  </si>
  <si>
    <t>45644637</t>
  </si>
  <si>
    <t>MARIA JUANA CHICAIZA CHISAGUANO</t>
  </si>
  <si>
    <t>1710460070</t>
  </si>
  <si>
    <t>000000195293881</t>
  </si>
  <si>
    <t>8959300120522531476</t>
  </si>
  <si>
    <t>987780339</t>
  </si>
  <si>
    <t>45661561</t>
  </si>
  <si>
    <t>SILVIA SOLEDAD CALO ALOMOTO</t>
  </si>
  <si>
    <t>1717075947</t>
  </si>
  <si>
    <t>330576360423966</t>
  </si>
  <si>
    <t>8959300520561493944</t>
  </si>
  <si>
    <t>987782090</t>
  </si>
  <si>
    <t>45664799</t>
  </si>
  <si>
    <t>LUIS ALBERTO PAGUAY POMA</t>
  </si>
  <si>
    <t>1711921880</t>
  </si>
  <si>
    <t>000000221322241</t>
  </si>
  <si>
    <t>8959300520561493795</t>
  </si>
  <si>
    <t>987786980</t>
  </si>
  <si>
    <t>45696820</t>
  </si>
  <si>
    <t>ANGEL WILSON BEJARANO GUAMBANA</t>
  </si>
  <si>
    <t>1703033108</t>
  </si>
  <si>
    <t>000000264770181</t>
  </si>
  <si>
    <t>8959300520561491112</t>
  </si>
  <si>
    <t>987788856</t>
  </si>
  <si>
    <t>45659329</t>
  </si>
  <si>
    <t>LUCAS CEVALLOS GOLDER</t>
  </si>
  <si>
    <t>1101480174</t>
  </si>
  <si>
    <t>011907002577297</t>
  </si>
  <si>
    <t>8959300620509218302</t>
  </si>
  <si>
    <t>987795988</t>
  </si>
  <si>
    <t>000000263533341</t>
  </si>
  <si>
    <t>8959300120518894862</t>
  </si>
  <si>
    <t>987800763</t>
  </si>
  <si>
    <t>45624686</t>
  </si>
  <si>
    <t>HILDA GUADALUPE SUCUZHAÑAY SALTO</t>
  </si>
  <si>
    <t>0105279632</t>
  </si>
  <si>
    <t>528131973086081</t>
  </si>
  <si>
    <t>8959300120521834723</t>
  </si>
  <si>
    <t>987800831</t>
  </si>
  <si>
    <t>45637144</t>
  </si>
  <si>
    <t>LISSETH ABIGAIL ERAZO DONOSO</t>
  </si>
  <si>
    <t>1722460175</t>
  </si>
  <si>
    <t>000000216890582</t>
  </si>
  <si>
    <t>8959300120522531740</t>
  </si>
  <si>
    <t>987803677</t>
  </si>
  <si>
    <t>45617394</t>
  </si>
  <si>
    <t>350179383600986</t>
  </si>
  <si>
    <t>8959300120522630039</t>
  </si>
  <si>
    <t>987811380</t>
  </si>
  <si>
    <t>44798939</t>
  </si>
  <si>
    <t>FUSIONTEC S.A.</t>
  </si>
  <si>
    <t>0190445704001</t>
  </si>
  <si>
    <t>RUC</t>
  </si>
  <si>
    <t>P0183</t>
  </si>
  <si>
    <t>PLAN MOVISTAR GOLD PLUS.</t>
  </si>
  <si>
    <t>912366870090737</t>
  </si>
  <si>
    <t>8959300120522505918</t>
  </si>
  <si>
    <t>987812451</t>
  </si>
  <si>
    <t>45696140</t>
  </si>
  <si>
    <t>JOAQUIN CEPEDA GUILLERMO</t>
  </si>
  <si>
    <t>1700536814</t>
  </si>
  <si>
    <t>000000249674292</t>
  </si>
  <si>
    <t>8959300520561491476</t>
  </si>
  <si>
    <t>987813508</t>
  </si>
  <si>
    <t>38632373</t>
  </si>
  <si>
    <t>NICOLAS FERNANDO CASTILLO MORA</t>
  </si>
  <si>
    <t>0101690162</t>
  </si>
  <si>
    <t>307010758435043</t>
  </si>
  <si>
    <t>8959300120522505843</t>
  </si>
  <si>
    <t>987816493</t>
  </si>
  <si>
    <t>45665896</t>
  </si>
  <si>
    <t>NELSON PATRICIO TACO SUNTAXI</t>
  </si>
  <si>
    <t>1714346911</t>
  </si>
  <si>
    <t>354827017385665</t>
  </si>
  <si>
    <t>8959300520561489983</t>
  </si>
  <si>
    <t>987821061</t>
  </si>
  <si>
    <t>45636205</t>
  </si>
  <si>
    <t>BLANCA SUSANA AUCAY BARRETO</t>
  </si>
  <si>
    <t>0103707717</t>
  </si>
  <si>
    <t>000000213864580</t>
  </si>
  <si>
    <t>8959300120521835001</t>
  </si>
  <si>
    <t>987821359</t>
  </si>
  <si>
    <t>45640054</t>
  </si>
  <si>
    <t>RONNY ESTEFANO FONSECA TAPIA</t>
  </si>
  <si>
    <t>1755869177</t>
  </si>
  <si>
    <t>000000252011762</t>
  </si>
  <si>
    <t>8959300120522531138</t>
  </si>
  <si>
    <t>987841008</t>
  </si>
  <si>
    <t>45666860</t>
  </si>
  <si>
    <t>CARLOS ALFREDO GUALOTO GUERRERO</t>
  </si>
  <si>
    <t>1708016389</t>
  </si>
  <si>
    <t>000000258042696</t>
  </si>
  <si>
    <t>8959300520561491773</t>
  </si>
  <si>
    <t>987844491</t>
  </si>
  <si>
    <t>45668846</t>
  </si>
  <si>
    <t>BLANCA ROSA MORALES JACOME</t>
  </si>
  <si>
    <t>1716656739</t>
  </si>
  <si>
    <t>334090450851488</t>
  </si>
  <si>
    <t>8959300520560349998</t>
  </si>
  <si>
    <t>987844916</t>
  </si>
  <si>
    <t>45722252</t>
  </si>
  <si>
    <t>MIGUEL ANGEL LOOR INTRIAGO</t>
  </si>
  <si>
    <t>1317965018</t>
  </si>
  <si>
    <t>000000239188287</t>
  </si>
  <si>
    <t>8959300320530739018</t>
  </si>
  <si>
    <t>987863115</t>
  </si>
  <si>
    <t>45632708</t>
  </si>
  <si>
    <t>LUIS ENRIQUE TIPAN PINTA</t>
  </si>
  <si>
    <t>1725115289</t>
  </si>
  <si>
    <t>359043081839612</t>
  </si>
  <si>
    <t>8959300120522532151</t>
  </si>
  <si>
    <t>987868496</t>
  </si>
  <si>
    <t>45658378</t>
  </si>
  <si>
    <t>LEIDY VIVIANA JIMENEZ IZQUIERDO</t>
  </si>
  <si>
    <t>0150747780</t>
  </si>
  <si>
    <t>000000260568688</t>
  </si>
  <si>
    <t>8959300120515910703</t>
  </si>
  <si>
    <t>987871762</t>
  </si>
  <si>
    <t>45697189</t>
  </si>
  <si>
    <t>ANDREA MONSERRATH ARIAS BARRERA</t>
  </si>
  <si>
    <t>0105680730</t>
  </si>
  <si>
    <t>000000261954952</t>
  </si>
  <si>
    <t>8959300120522506478</t>
  </si>
  <si>
    <t>987881014</t>
  </si>
  <si>
    <t>45680689</t>
  </si>
  <si>
    <t>JORGE ENRIQUE CORONEL SAITEROS</t>
  </si>
  <si>
    <t>1702969344</t>
  </si>
  <si>
    <t>338500809344122</t>
  </si>
  <si>
    <t>8959300520561493274</t>
  </si>
  <si>
    <t>987886574</t>
  </si>
  <si>
    <t>864053607546722</t>
  </si>
  <si>
    <t>8959300520560352323</t>
  </si>
  <si>
    <t>987909439</t>
  </si>
  <si>
    <t>45693364</t>
  </si>
  <si>
    <t>HUGO SMELIN BELTRAN RUILOVA</t>
  </si>
  <si>
    <t>1707104970</t>
  </si>
  <si>
    <t>455505153686249</t>
  </si>
  <si>
    <t>8959300520561490783</t>
  </si>
  <si>
    <t>987916055</t>
  </si>
  <si>
    <t>45642785</t>
  </si>
  <si>
    <t>SEGUNDO LANDULFO FRUTOS MEDINA</t>
  </si>
  <si>
    <t>1801442078</t>
  </si>
  <si>
    <t>539984157703500</t>
  </si>
  <si>
    <t>8959300120522531260</t>
  </si>
  <si>
    <t>987916497</t>
  </si>
  <si>
    <t>45711502</t>
  </si>
  <si>
    <t>RUTH ELIZABETH SALINAS CAIMINAGUA</t>
  </si>
  <si>
    <t>0701275539</t>
  </si>
  <si>
    <t>356795951446751</t>
  </si>
  <si>
    <t>8959300520560320890</t>
  </si>
  <si>
    <t>987921909</t>
  </si>
  <si>
    <t>45688897</t>
  </si>
  <si>
    <t>MARCO PATRICIO JACOME ANCHITIPAN</t>
  </si>
  <si>
    <t>1711786796</t>
  </si>
  <si>
    <t>459600943918170</t>
  </si>
  <si>
    <t>8959300520561486393</t>
  </si>
  <si>
    <t>987934136</t>
  </si>
  <si>
    <t>45465631</t>
  </si>
  <si>
    <t>LESLY NICOL ESPINOZA MARTINEZ</t>
  </si>
  <si>
    <t>1726852195</t>
  </si>
  <si>
    <t>914721134603287</t>
  </si>
  <si>
    <t>8959300120522530841</t>
  </si>
  <si>
    <t>987944853</t>
  </si>
  <si>
    <t>45652473</t>
  </si>
  <si>
    <t>ANABEL STEFANIA MUÑOZ REYES</t>
  </si>
  <si>
    <t>1752122844</t>
  </si>
  <si>
    <t>864048063480366</t>
  </si>
  <si>
    <t>8959300520560350129</t>
  </si>
  <si>
    <t>987951501</t>
  </si>
  <si>
    <t>45710655</t>
  </si>
  <si>
    <t>JENNY ALEXANDRA ARBOLEDA JIMENEZ</t>
  </si>
  <si>
    <t>1714026406</t>
  </si>
  <si>
    <t>300520525397158</t>
  </si>
  <si>
    <t>8959300520561486807</t>
  </si>
  <si>
    <t>987951744</t>
  </si>
  <si>
    <t>39689727</t>
  </si>
  <si>
    <t>CARMEN SUJEY ARELLANO GASTIABUR</t>
  </si>
  <si>
    <t>0703755223</t>
  </si>
  <si>
    <t>444607080457944</t>
  </si>
  <si>
    <t>8959300520560319850</t>
  </si>
  <si>
    <t>987960224</t>
  </si>
  <si>
    <t>45715145</t>
  </si>
  <si>
    <t>RAUL RODRIGO GUAMAN QUINATOA</t>
  </si>
  <si>
    <t>0200781920</t>
  </si>
  <si>
    <t>100298159075620</t>
  </si>
  <si>
    <t>8959300520561491526</t>
  </si>
  <si>
    <t>987964620</t>
  </si>
  <si>
    <t>45668266</t>
  </si>
  <si>
    <t>SANDRA PAULINA MORAN COBEÑA</t>
  </si>
  <si>
    <t>0750889982</t>
  </si>
  <si>
    <t>864331068690159</t>
  </si>
  <si>
    <t>8959300520560319991</t>
  </si>
  <si>
    <t>987971475</t>
  </si>
  <si>
    <t>44479040</t>
  </si>
  <si>
    <t>CASIMIRA ANDRANGO QUISHPE</t>
  </si>
  <si>
    <t>1706965520</t>
  </si>
  <si>
    <t>011851006557147</t>
  </si>
  <si>
    <t>8959300120522532698</t>
  </si>
  <si>
    <t>987973623</t>
  </si>
  <si>
    <t>45625970</t>
  </si>
  <si>
    <t>MARIA DELIA REA LUMBI</t>
  </si>
  <si>
    <t>0201952983</t>
  </si>
  <si>
    <t>358302550479768</t>
  </si>
  <si>
    <t>8959300120522534173</t>
  </si>
  <si>
    <t>987992243</t>
  </si>
  <si>
    <t>45717609</t>
  </si>
  <si>
    <t>JOSUA RICARDO CALDERON GUAMAN</t>
  </si>
  <si>
    <t>1751278035</t>
  </si>
  <si>
    <t>300520525444497</t>
  </si>
  <si>
    <t>8959300520561492086</t>
  </si>
  <si>
    <t>987994634</t>
  </si>
  <si>
    <t>45688171</t>
  </si>
  <si>
    <t>LUIS ENRIQUE MARTINEZ MARTINEZ</t>
  </si>
  <si>
    <t>0103578183</t>
  </si>
  <si>
    <t>358810072891096</t>
  </si>
  <si>
    <t>8959300520560325501</t>
  </si>
  <si>
    <t>987996981</t>
  </si>
  <si>
    <t>45646586</t>
  </si>
  <si>
    <t>PATRICIA ANGELA AREVALO TENEN</t>
  </si>
  <si>
    <t>0102214376</t>
  </si>
  <si>
    <t>106606225417887</t>
  </si>
  <si>
    <t>8959300120522631896</t>
  </si>
  <si>
    <t>987999900</t>
  </si>
  <si>
    <t>45320726</t>
  </si>
  <si>
    <t>EDGAR VICENTE PALACIOS TENESACA</t>
  </si>
  <si>
    <t>0102686490</t>
  </si>
  <si>
    <t>527846443326897</t>
  </si>
  <si>
    <t>8959300420533361925</t>
  </si>
  <si>
    <t>988159857</t>
  </si>
  <si>
    <t>45692694</t>
  </si>
  <si>
    <t>WILMA PATRICIA CAIZA COLLAGUAZO</t>
  </si>
  <si>
    <t>1712191392</t>
  </si>
  <si>
    <t>532526676451694</t>
  </si>
  <si>
    <t>8959300520560350806</t>
  </si>
  <si>
    <t>988211110</t>
  </si>
  <si>
    <t>45654199</t>
  </si>
  <si>
    <t>PRISCILA DE SOUZA SANTOS</t>
  </si>
  <si>
    <t>1758825218</t>
  </si>
  <si>
    <t>P0188</t>
  </si>
  <si>
    <t>PREVIOPAGO PLAN MOVISTAR PLATINU</t>
  </si>
  <si>
    <t>CUMBAYA</t>
  </si>
  <si>
    <t>440203726541301</t>
  </si>
  <si>
    <t>8959300120522533506</t>
  </si>
  <si>
    <t>988471463</t>
  </si>
  <si>
    <t>45658600</t>
  </si>
  <si>
    <t>MAYRA CRISTINA CABRERA DURAN</t>
  </si>
  <si>
    <t>0105155600</t>
  </si>
  <si>
    <t>356795951395735</t>
  </si>
  <si>
    <t>8959300120521054611</t>
  </si>
  <si>
    <t>988993494</t>
  </si>
  <si>
    <t>45623851</t>
  </si>
  <si>
    <t>MARLON RODRIGO BERMEO MALDONADO</t>
  </si>
  <si>
    <t>0105875090</t>
  </si>
  <si>
    <t>502877160868299</t>
  </si>
  <si>
    <t>8959300120521834764</t>
  </si>
  <si>
    <t>989039920</t>
  </si>
  <si>
    <t>12409911</t>
  </si>
  <si>
    <t>FREDDY ARTURO MUÑOZ BRAVO</t>
  </si>
  <si>
    <t>0102087798</t>
  </si>
  <si>
    <t>355269949066387</t>
  </si>
  <si>
    <t>8959300120521052987</t>
  </si>
  <si>
    <t>989069626</t>
  </si>
  <si>
    <t>45646764</t>
  </si>
  <si>
    <t>EDISSON ALBERTO MOROCHO GUACHO</t>
  </si>
  <si>
    <t>0106665797</t>
  </si>
  <si>
    <t>519825036418246</t>
  </si>
  <si>
    <t>8959300520560329040</t>
  </si>
  <si>
    <t>989574274</t>
  </si>
  <si>
    <t>45637810</t>
  </si>
  <si>
    <t>ERIKA PAOLA BELTRAN PINO</t>
  </si>
  <si>
    <t>1716462856</t>
  </si>
  <si>
    <t>533508275966511</t>
  </si>
  <si>
    <t>8959300120521827438</t>
  </si>
  <si>
    <t>990822120</t>
  </si>
  <si>
    <t>45653984</t>
  </si>
  <si>
    <t>JONATHAN ADRIAN VARGAS BUSTE</t>
  </si>
  <si>
    <t>0928513860</t>
  </si>
  <si>
    <t>449209205042654</t>
  </si>
  <si>
    <t>8959300520561494306</t>
  </si>
  <si>
    <t>991054125</t>
  </si>
  <si>
    <t>45684151</t>
  </si>
  <si>
    <t>QUERUBIN ZAMBRANO RICARDO</t>
  </si>
  <si>
    <t>0700483316</t>
  </si>
  <si>
    <t>986078570050546</t>
  </si>
  <si>
    <t>8959300520560320262</t>
  </si>
  <si>
    <t>991254030</t>
  </si>
  <si>
    <t>45623027</t>
  </si>
  <si>
    <t>SILVIO SALVADOR CASTRO GAETE</t>
  </si>
  <si>
    <t>0101995819</t>
  </si>
  <si>
    <t>521381416384406</t>
  </si>
  <si>
    <t>8959300120521054082</t>
  </si>
  <si>
    <t>991364660</t>
  </si>
  <si>
    <t>45686362</t>
  </si>
  <si>
    <t>JAYNE PERKINS REBECCA</t>
  </si>
  <si>
    <t>1759513524</t>
  </si>
  <si>
    <t>441687220613575</t>
  </si>
  <si>
    <t>8959300520560430723</t>
  </si>
  <si>
    <t>991386803</t>
  </si>
  <si>
    <t>45695318</t>
  </si>
  <si>
    <t>RICARDO TOBIAS GUAMAN BRITO</t>
  </si>
  <si>
    <t>0101239549</t>
  </si>
  <si>
    <t>989783550111955</t>
  </si>
  <si>
    <t>8959300120518446663</t>
  </si>
  <si>
    <t>991407122</t>
  </si>
  <si>
    <t>45617326</t>
  </si>
  <si>
    <t>Cristhian Godoy Cahuana</t>
  </si>
  <si>
    <t>0705083491</t>
  </si>
  <si>
    <t>SANTA ROSA DE EL ORO</t>
  </si>
  <si>
    <t>353652044340884</t>
  </si>
  <si>
    <t>8959300120522636895</t>
  </si>
  <si>
    <t>991481114</t>
  </si>
  <si>
    <t>45644887</t>
  </si>
  <si>
    <t>VICTOR JULIO TIAMARCA IMBAQUINGO</t>
  </si>
  <si>
    <t>1001001187</t>
  </si>
  <si>
    <t>301680340898753</t>
  </si>
  <si>
    <t>8959300120522531583</t>
  </si>
  <si>
    <t>991768890</t>
  </si>
  <si>
    <t>45661442</t>
  </si>
  <si>
    <t>LUIS LEONARDO CABRERA CARPIO</t>
  </si>
  <si>
    <t>0103691721</t>
  </si>
  <si>
    <t>356275034033454</t>
  </si>
  <si>
    <t>8959300320527759151</t>
  </si>
  <si>
    <t>991949518</t>
  </si>
  <si>
    <t>45650608</t>
  </si>
  <si>
    <t>JUAN ANDRES JURADO RACINES</t>
  </si>
  <si>
    <t>1716077019</t>
  </si>
  <si>
    <t>103712368885501</t>
  </si>
  <si>
    <t>8959300120522533514</t>
  </si>
  <si>
    <t>991977101</t>
  </si>
  <si>
    <t>45643053</t>
  </si>
  <si>
    <t>EDGAR RICARDO PEREZ ROSALES</t>
  </si>
  <si>
    <t>0103576914</t>
  </si>
  <si>
    <t>864732364597586</t>
  </si>
  <si>
    <t>8959300520540003541</t>
  </si>
  <si>
    <t>992213597</t>
  </si>
  <si>
    <t>45659090</t>
  </si>
  <si>
    <t>SERGIO RICARDO FARIAS SOTOMAYOR</t>
  </si>
  <si>
    <t>0701952814</t>
  </si>
  <si>
    <t>987301658371447</t>
  </si>
  <si>
    <t>8959300520560319702</t>
  </si>
  <si>
    <t>992510945</t>
  </si>
  <si>
    <t>41590429</t>
  </si>
  <si>
    <t>JUAN CARLOS FARINANGO MERA</t>
  </si>
  <si>
    <t>1708762073</t>
  </si>
  <si>
    <t>355108340297045</t>
  </si>
  <si>
    <t>8959300120521826810</t>
  </si>
  <si>
    <t>992514026</t>
  </si>
  <si>
    <t>45712646</t>
  </si>
  <si>
    <t>GABRIEL ALEXANDER BORJA ALBAN</t>
  </si>
  <si>
    <t>1716959208</t>
  </si>
  <si>
    <t>351954053888593</t>
  </si>
  <si>
    <t>8959300520561486872</t>
  </si>
  <si>
    <t>992515640</t>
  </si>
  <si>
    <t>45692668</t>
  </si>
  <si>
    <t>MARIO MANUEL VACA ZARRIA</t>
  </si>
  <si>
    <t>1721791372</t>
  </si>
  <si>
    <t>352661073599956</t>
  </si>
  <si>
    <t>8959300520540927855</t>
  </si>
  <si>
    <t>992517464</t>
  </si>
  <si>
    <t>45639714</t>
  </si>
  <si>
    <t>JESSICA ESPERANZA QUINTE ALCOSER</t>
  </si>
  <si>
    <t>1750377663</t>
  </si>
  <si>
    <t>012017007184351</t>
  </si>
  <si>
    <t>8959300120522531146</t>
  </si>
  <si>
    <t>992524100</t>
  </si>
  <si>
    <t>45618031</t>
  </si>
  <si>
    <t>JEFFERSON FABRICIO PUJOTA TIPAN</t>
  </si>
  <si>
    <t>1723547657</t>
  </si>
  <si>
    <t>494516665236608</t>
  </si>
  <si>
    <t>8959300120522529116</t>
  </si>
  <si>
    <t>992530373</t>
  </si>
  <si>
    <t>45646201</t>
  </si>
  <si>
    <t>SOLON DOUGLAS COLEMAN III</t>
  </si>
  <si>
    <t>0152508537</t>
  </si>
  <si>
    <t>502788500623338</t>
  </si>
  <si>
    <t>8959300120521835381</t>
  </si>
  <si>
    <t>992544781</t>
  </si>
  <si>
    <t>45594967</t>
  </si>
  <si>
    <t>CIRO RICARDO CHAVEZ CASTRO</t>
  </si>
  <si>
    <t>1708241755</t>
  </si>
  <si>
    <t>910370377526344</t>
  </si>
  <si>
    <t>8959300120522536558</t>
  </si>
  <si>
    <t>992547219</t>
  </si>
  <si>
    <t>45636774</t>
  </si>
  <si>
    <t>GOBERTH ENRIQUE LALANGUI CABRERA</t>
  </si>
  <si>
    <t>0701999773</t>
  </si>
  <si>
    <t>863181028603987</t>
  </si>
  <si>
    <t>8959300120522637364</t>
  </si>
  <si>
    <t>992554370</t>
  </si>
  <si>
    <t>45661525</t>
  </si>
  <si>
    <t>MARIA DE LOURDES OSEJOS TIPANTIZA</t>
  </si>
  <si>
    <t>1750625756</t>
  </si>
  <si>
    <t>000000253330880</t>
  </si>
  <si>
    <t>8959300520561493548</t>
  </si>
  <si>
    <t>992556297</t>
  </si>
  <si>
    <t>45623966</t>
  </si>
  <si>
    <t>MARIANA LUCIA PAREDES SERRANO</t>
  </si>
  <si>
    <t>1712698990</t>
  </si>
  <si>
    <t>357470073010963</t>
  </si>
  <si>
    <t>8959300120522529124</t>
  </si>
  <si>
    <t>992557542</t>
  </si>
  <si>
    <t>45717371</t>
  </si>
  <si>
    <t>NELSON TIPANTUÑA ZAMBRANO</t>
  </si>
  <si>
    <t>1707812127</t>
  </si>
  <si>
    <t>448358076807173</t>
  </si>
  <si>
    <t>8959300520561491914</t>
  </si>
  <si>
    <t>992557827</t>
  </si>
  <si>
    <t>45665142</t>
  </si>
  <si>
    <t>CHRISTIAN ESTEBAN SAMANIEGO MONTENEGRO</t>
  </si>
  <si>
    <t>1722303417</t>
  </si>
  <si>
    <t>357988058200622</t>
  </si>
  <si>
    <t>8959300520561493969</t>
  </si>
  <si>
    <t>992563285</t>
  </si>
  <si>
    <t>45320806</t>
  </si>
  <si>
    <t>STEEVEN XAVIER PEÑALOZA GUILLEN</t>
  </si>
  <si>
    <t>0105483986</t>
  </si>
  <si>
    <t>331931305114056</t>
  </si>
  <si>
    <t>8959300120525777852</t>
  </si>
  <si>
    <t>992564118</t>
  </si>
  <si>
    <t>45634156</t>
  </si>
  <si>
    <t>PAUL SEBASTIAN SOLIS GALLARDO</t>
  </si>
  <si>
    <t>1722076955</t>
  </si>
  <si>
    <t>995592981836516</t>
  </si>
  <si>
    <t>8959300120525778934</t>
  </si>
  <si>
    <t>992574735</t>
  </si>
  <si>
    <t>353981764964874</t>
  </si>
  <si>
    <t>8959300120525777720</t>
  </si>
  <si>
    <t>LTE IPHONE 14 PLUS 128GB NEGRO CH32462</t>
  </si>
  <si>
    <t>992578018</t>
  </si>
  <si>
    <t>45706641</t>
  </si>
  <si>
    <t>ROLANDO XAVIER SANCHEZ RIVERA</t>
  </si>
  <si>
    <t>1720749025</t>
  </si>
  <si>
    <t>000000263336737</t>
  </si>
  <si>
    <t>8959300520560352141</t>
  </si>
  <si>
    <t>992601561</t>
  </si>
  <si>
    <t>522558790128199</t>
  </si>
  <si>
    <t>8959300120521836991</t>
  </si>
  <si>
    <t>992627206</t>
  </si>
  <si>
    <t>30676283</t>
  </si>
  <si>
    <t>WILMER VINICIO CHILUISA TITUAÑA</t>
  </si>
  <si>
    <t>1712653912</t>
  </si>
  <si>
    <t>448835091915909</t>
  </si>
  <si>
    <t>8959300120522533266</t>
  </si>
  <si>
    <t>992640438</t>
  </si>
  <si>
    <t>45633326</t>
  </si>
  <si>
    <t>JOE NICOLAS GASPAR CATOTA GASPAR CATOTA</t>
  </si>
  <si>
    <t>1725023178</t>
  </si>
  <si>
    <t>000000251284717</t>
  </si>
  <si>
    <t>8959300120521826687</t>
  </si>
  <si>
    <t>992642480</t>
  </si>
  <si>
    <t>45636620</t>
  </si>
  <si>
    <t>JAIR ALEXANDER IBARRA JATIVA</t>
  </si>
  <si>
    <t>0401576145</t>
  </si>
  <si>
    <t>865279028131377</t>
  </si>
  <si>
    <t>8959300120521827586</t>
  </si>
  <si>
    <t>992651047</t>
  </si>
  <si>
    <t>41346609</t>
  </si>
  <si>
    <t>DIEGO VINICIO PULAMARIN ESPINOSA</t>
  </si>
  <si>
    <t>1712233442</t>
  </si>
  <si>
    <t>357321213142283</t>
  </si>
  <si>
    <t>8959300120516718626</t>
  </si>
  <si>
    <t>LTE NOKIA C21 AZUL CH30269</t>
  </si>
  <si>
    <t>992655167</t>
  </si>
  <si>
    <t>45629179</t>
  </si>
  <si>
    <t>JERSON HERNAN GUEVARA GOMEZ</t>
  </si>
  <si>
    <t>1724816275</t>
  </si>
  <si>
    <t>300223434748005</t>
  </si>
  <si>
    <t>8959300120521826851</t>
  </si>
  <si>
    <t>992666666</t>
  </si>
  <si>
    <t>45711885</t>
  </si>
  <si>
    <t>GUILLERMO REINALDO TENESACA AGUILAR</t>
  </si>
  <si>
    <t>0702348749</t>
  </si>
  <si>
    <t>354259040630117</t>
  </si>
  <si>
    <t>8959300520560320874</t>
  </si>
  <si>
    <t>992688501</t>
  </si>
  <si>
    <t>45684767</t>
  </si>
  <si>
    <t>VICTORIA DEL CARMEN REINO NIOLA</t>
  </si>
  <si>
    <t>0101483311</t>
  </si>
  <si>
    <t>302269320591320</t>
  </si>
  <si>
    <t>8959300520560326483</t>
  </si>
  <si>
    <t>992693512</t>
  </si>
  <si>
    <t>45688512</t>
  </si>
  <si>
    <t>MONICA INES IDROVO SANCHEZ</t>
  </si>
  <si>
    <t>0101885804</t>
  </si>
  <si>
    <t>010737008564499</t>
  </si>
  <si>
    <t>8959300120525754497</t>
  </si>
  <si>
    <t>992696040</t>
  </si>
  <si>
    <t>45658377</t>
  </si>
  <si>
    <t>ALBERTO SANTIAGO JARA INGA</t>
  </si>
  <si>
    <t>0107043549</t>
  </si>
  <si>
    <t>016193581326795</t>
  </si>
  <si>
    <t>8959300120522506106</t>
  </si>
  <si>
    <t>992705111</t>
  </si>
  <si>
    <t>45672498</t>
  </si>
  <si>
    <t>HEIDY MARIBEL TEJADA CHAVEZ</t>
  </si>
  <si>
    <t>1719962498</t>
  </si>
  <si>
    <t>358360045862501</t>
  </si>
  <si>
    <t>8959300520561489868</t>
  </si>
  <si>
    <t>992736154</t>
  </si>
  <si>
    <t>45672972</t>
  </si>
  <si>
    <t>CESAR  GUSTAVO MUÑOZ TOSCANO</t>
  </si>
  <si>
    <t>1707719348</t>
  </si>
  <si>
    <t>867259025183975</t>
  </si>
  <si>
    <t>8959300620514134502</t>
  </si>
  <si>
    <t>992748467</t>
  </si>
  <si>
    <t>45668909</t>
  </si>
  <si>
    <t>GINA ESTEFANIA TUQUERRES OYAGATA</t>
  </si>
  <si>
    <t>1751597756</t>
  </si>
  <si>
    <t>498735868755380</t>
  </si>
  <si>
    <t>8959300520560350327</t>
  </si>
  <si>
    <t>992752751</t>
  </si>
  <si>
    <t>45668504</t>
  </si>
  <si>
    <t>JUAN DIEGO RODRIGUEZ LANFRANCO</t>
  </si>
  <si>
    <t>1715734040</t>
  </si>
  <si>
    <t>309837004010321</t>
  </si>
  <si>
    <t>8959300120522533399</t>
  </si>
  <si>
    <t>992754738</t>
  </si>
  <si>
    <t>45661730</t>
  </si>
  <si>
    <t>DANIEL PATRICIO TAPIA CHICAIZA</t>
  </si>
  <si>
    <t>1721639167</t>
  </si>
  <si>
    <t>105493213113823</t>
  </si>
  <si>
    <t>8959300520561493571</t>
  </si>
  <si>
    <t>992758105</t>
  </si>
  <si>
    <t>43660130</t>
  </si>
  <si>
    <t>JUAN ALBERTO RAMON CHAVEZ</t>
  </si>
  <si>
    <t>0703910877</t>
  </si>
  <si>
    <t>497651670197326</t>
  </si>
  <si>
    <t>8959300120522637018</t>
  </si>
  <si>
    <t>992768759</t>
  </si>
  <si>
    <t>45673928</t>
  </si>
  <si>
    <t>FAVIO ALEXANDER REAL ALCIVAR</t>
  </si>
  <si>
    <t>1725008492</t>
  </si>
  <si>
    <t>000000232482422</t>
  </si>
  <si>
    <t>8959300420544568625</t>
  </si>
  <si>
    <t>NUEVOS INDIVIDUALES</t>
  </si>
  <si>
    <t>992771181</t>
  </si>
  <si>
    <t>45620323</t>
  </si>
  <si>
    <t>JHOAN NICOLAS ESCOBAR BECERRA</t>
  </si>
  <si>
    <t>0965959992</t>
  </si>
  <si>
    <t>108074099122893</t>
  </si>
  <si>
    <t>8959300120522637042</t>
  </si>
  <si>
    <t>992774560</t>
  </si>
  <si>
    <t>45647050</t>
  </si>
  <si>
    <t>WASHINGTON MARCELO YANEZ CADENA</t>
  </si>
  <si>
    <t>1700690249</t>
  </si>
  <si>
    <t>501668183404795</t>
  </si>
  <si>
    <t>8959300320533305304</t>
  </si>
  <si>
    <t>992779441</t>
  </si>
  <si>
    <t>45628257</t>
  </si>
  <si>
    <t>SONIA ELIZABETH GUERRERO PEREZ</t>
  </si>
  <si>
    <t>1717721466</t>
  </si>
  <si>
    <t>000000264933524</t>
  </si>
  <si>
    <t>8959300120521827180</t>
  </si>
  <si>
    <t>992780305</t>
  </si>
  <si>
    <t>45709956</t>
  </si>
  <si>
    <t>EMILY MICHELLE YEPEZ CORRAL</t>
  </si>
  <si>
    <t>1716029085</t>
  </si>
  <si>
    <t>351067003089301</t>
  </si>
  <si>
    <t>8959300520560352091</t>
  </si>
  <si>
    <t>992795223</t>
  </si>
  <si>
    <t>45680965</t>
  </si>
  <si>
    <t>FATIMA ARACELY CHASIQUIZA CHAQUINGA</t>
  </si>
  <si>
    <t>1726404732</t>
  </si>
  <si>
    <t>000000191853332</t>
  </si>
  <si>
    <t>8959300520561493290</t>
  </si>
  <si>
    <t>992797905</t>
  </si>
  <si>
    <t>45618831</t>
  </si>
  <si>
    <t>HECTOR GONZALO VALDIVIEZO GORDILLO</t>
  </si>
  <si>
    <t>1701070565</t>
  </si>
  <si>
    <t>356118002031565</t>
  </si>
  <si>
    <t>8959300120522530536</t>
  </si>
  <si>
    <t>992804393</t>
  </si>
  <si>
    <t>45722634</t>
  </si>
  <si>
    <t>JORGE ANDRES LARA TOCAGON</t>
  </si>
  <si>
    <t>1725406209</t>
  </si>
  <si>
    <t>509892215266889</t>
  </si>
  <si>
    <t>8959300520561484935</t>
  </si>
  <si>
    <t>992807224</t>
  </si>
  <si>
    <t>45676421</t>
  </si>
  <si>
    <t>LADY VANESSA TOVAR MOLINA</t>
  </si>
  <si>
    <t>0502380397</t>
  </si>
  <si>
    <t>000000192963122</t>
  </si>
  <si>
    <t>8959300520561492771</t>
  </si>
  <si>
    <t>992815366</t>
  </si>
  <si>
    <t>45632148</t>
  </si>
  <si>
    <t>HIPOLITO REYES RAMIREZ</t>
  </si>
  <si>
    <t>1707489900</t>
  </si>
  <si>
    <t>355321060614246</t>
  </si>
  <si>
    <t>8959300120522534348</t>
  </si>
  <si>
    <t>992819789</t>
  </si>
  <si>
    <t>45619950</t>
  </si>
  <si>
    <t>FANY ALICIA DEL ROSARIO AUQUILLA VEGA</t>
  </si>
  <si>
    <t>0102158938</t>
  </si>
  <si>
    <t>000000263744492</t>
  </si>
  <si>
    <t>8959300120521835282</t>
  </si>
  <si>
    <t>992822098</t>
  </si>
  <si>
    <t>45665413</t>
  </si>
  <si>
    <t>ARIANA GISELLA PALOMINO VACA PALOMINO VACA</t>
  </si>
  <si>
    <t>0750437014</t>
  </si>
  <si>
    <t>499003500760220</t>
  </si>
  <si>
    <t>8959300520560319801</t>
  </si>
  <si>
    <t>992832444</t>
  </si>
  <si>
    <t>45625417</t>
  </si>
  <si>
    <t>NAOMI CAMILA QUINTERO SALAZAR</t>
  </si>
  <si>
    <t>1755348370</t>
  </si>
  <si>
    <t>000000224968347</t>
  </si>
  <si>
    <t>8959300120522531955</t>
  </si>
  <si>
    <t>992837912</t>
  </si>
  <si>
    <t>45645997</t>
  </si>
  <si>
    <t>SEGUNDO PEDRO MANOBANDA CHILENO</t>
  </si>
  <si>
    <t>0201336468</t>
  </si>
  <si>
    <t>010112357783399</t>
  </si>
  <si>
    <t>8959300520560350483</t>
  </si>
  <si>
    <t>992846274</t>
  </si>
  <si>
    <t>45716375</t>
  </si>
  <si>
    <t>LEONARDO SANTIAGO CASTILLO ALTAMIRANO</t>
  </si>
  <si>
    <t>1715083927</t>
  </si>
  <si>
    <t>000000016440158</t>
  </si>
  <si>
    <t>8959300520523020165</t>
  </si>
  <si>
    <t>992846931</t>
  </si>
  <si>
    <t>45617851</t>
  </si>
  <si>
    <t>FLORINDA AZUCENA GUERRERO NAVARRETE</t>
  </si>
  <si>
    <t>1706497698</t>
  </si>
  <si>
    <t>000000227820271</t>
  </si>
  <si>
    <t>8959300120522529090</t>
  </si>
  <si>
    <t>992848705</t>
  </si>
  <si>
    <t>45667252</t>
  </si>
  <si>
    <t>SEGUNDO SEBASTIAN TUMIPAMBA SAQUISILI</t>
  </si>
  <si>
    <t>1704737699</t>
  </si>
  <si>
    <t>353029065114862</t>
  </si>
  <si>
    <t>8959300120522632803</t>
  </si>
  <si>
    <t>992851058</t>
  </si>
  <si>
    <t>45657652</t>
  </si>
  <si>
    <t>AIDA CECILIA ARIAS ACOSTA</t>
  </si>
  <si>
    <t>1703569853</t>
  </si>
  <si>
    <t>536943212314706</t>
  </si>
  <si>
    <t>8959300120522632340</t>
  </si>
  <si>
    <t>992851488</t>
  </si>
  <si>
    <t>45645650</t>
  </si>
  <si>
    <t>CRHISTIAN EMILIO IÑIGUEZ ALULIMA</t>
  </si>
  <si>
    <t>1724298979</t>
  </si>
  <si>
    <t>000000260338652</t>
  </si>
  <si>
    <t>8959300520557957050</t>
  </si>
  <si>
    <t>992864514</t>
  </si>
  <si>
    <t>45637864</t>
  </si>
  <si>
    <t>CESAR ALEJANDRO PINO JARAMILLO</t>
  </si>
  <si>
    <t>0600602999</t>
  </si>
  <si>
    <t>PUERTO BAQUERIZO MORENO</t>
  </si>
  <si>
    <t>000000262970536</t>
  </si>
  <si>
    <t>8959300120519020376</t>
  </si>
  <si>
    <t>992873352</t>
  </si>
  <si>
    <t>45518448</t>
  </si>
  <si>
    <t>MAIFREDES JOSUE ARIAS COROZO</t>
  </si>
  <si>
    <t>0804063915</t>
  </si>
  <si>
    <t>000000249393463</t>
  </si>
  <si>
    <t>8959300120521828725</t>
  </si>
  <si>
    <t>992882844</t>
  </si>
  <si>
    <t>45717832</t>
  </si>
  <si>
    <t>MARIA MARTHA MEJIA PADILLA</t>
  </si>
  <si>
    <t>1702754258</t>
  </si>
  <si>
    <t>446653191953817</t>
  </si>
  <si>
    <t>8959300520561492094</t>
  </si>
  <si>
    <t>992891011</t>
  </si>
  <si>
    <t>45661002</t>
  </si>
  <si>
    <t>JONATHAN ISRAEL ROJAS TORRES</t>
  </si>
  <si>
    <t>1104494636</t>
  </si>
  <si>
    <t>997916362965313</t>
  </si>
  <si>
    <t>8959300520561494439</t>
  </si>
  <si>
    <t>992897516</t>
  </si>
  <si>
    <t>45692532</t>
  </si>
  <si>
    <t>RICHARD SAUL HARO FERNANDEZ</t>
  </si>
  <si>
    <t>1724484017</t>
  </si>
  <si>
    <t>512148229507007</t>
  </si>
  <si>
    <t>8959300520561490619</t>
  </si>
  <si>
    <t>992910886</t>
  </si>
  <si>
    <t>45627755</t>
  </si>
  <si>
    <t>JUAN MIGUEL ROCHA ROBAYO</t>
  </si>
  <si>
    <t>0501840383</t>
  </si>
  <si>
    <t>351967057548864</t>
  </si>
  <si>
    <t>8959300120522631862</t>
  </si>
  <si>
    <t>992917266</t>
  </si>
  <si>
    <t>45681841</t>
  </si>
  <si>
    <t>DIEGO ARMANDO MULLO GUAÑA</t>
  </si>
  <si>
    <t>1721626917</t>
  </si>
  <si>
    <t>013097071557640</t>
  </si>
  <si>
    <t>8959300520560351093</t>
  </si>
  <si>
    <t>992921808</t>
  </si>
  <si>
    <t>911234929478314</t>
  </si>
  <si>
    <t>8959300520560352349</t>
  </si>
  <si>
    <t>992923377</t>
  </si>
  <si>
    <t>43151773</t>
  </si>
  <si>
    <t>PATRICIA DEL PILAR MADRID QUINONEZ</t>
  </si>
  <si>
    <t>0101306363</t>
  </si>
  <si>
    <t>331928104784113</t>
  </si>
  <si>
    <t>8959300520560328927</t>
  </si>
  <si>
    <t>992939525</t>
  </si>
  <si>
    <t>45695716</t>
  </si>
  <si>
    <t>DIANA CAROLINA CANGO SONGOR</t>
  </si>
  <si>
    <t>1105398026</t>
  </si>
  <si>
    <t>000000225352327</t>
  </si>
  <si>
    <t>8959300420557836166</t>
  </si>
  <si>
    <t>992947958</t>
  </si>
  <si>
    <t>45639338</t>
  </si>
  <si>
    <t>SEGUNDO PEDRO QUINTANCHALA CHALACAN</t>
  </si>
  <si>
    <t>0400978268</t>
  </si>
  <si>
    <t>357321213143943</t>
  </si>
  <si>
    <t>8959300120521827511</t>
  </si>
  <si>
    <t>992957694</t>
  </si>
  <si>
    <t>45640182</t>
  </si>
  <si>
    <t>ALEXANDRA FERNANDA FAZ ANDRADE</t>
  </si>
  <si>
    <t>1721811303</t>
  </si>
  <si>
    <t>000000207153701</t>
  </si>
  <si>
    <t>8959300120522531161</t>
  </si>
  <si>
    <t>992958839</t>
  </si>
  <si>
    <t>45715268</t>
  </si>
  <si>
    <t>PEDRO XAVIER JARA QUINTUÑA</t>
  </si>
  <si>
    <t>0102396884</t>
  </si>
  <si>
    <t>863763181517896</t>
  </si>
  <si>
    <t>8959300120522507021</t>
  </si>
  <si>
    <t>992972528</t>
  </si>
  <si>
    <t>45649554</t>
  </si>
  <si>
    <t>JULIO OSWALDO ROMAN JARRIN</t>
  </si>
  <si>
    <t>1704087632</t>
  </si>
  <si>
    <t>498382967585713</t>
  </si>
  <si>
    <t>8959300120522632571</t>
  </si>
  <si>
    <t>992972947</t>
  </si>
  <si>
    <t>45638908</t>
  </si>
  <si>
    <t>ALEXANDRA ACOSTA MONICA</t>
  </si>
  <si>
    <t>1709802738</t>
  </si>
  <si>
    <t>359552070365777</t>
  </si>
  <si>
    <t>8959300120522531914</t>
  </si>
  <si>
    <t>992988533</t>
  </si>
  <si>
    <t>45697782</t>
  </si>
  <si>
    <t>ADOLFO JOSE TRUJILLO CAÑAVERAL</t>
  </si>
  <si>
    <t>1712812518</t>
  </si>
  <si>
    <t>446653199286566</t>
  </si>
  <si>
    <t>8959300520561491195</t>
  </si>
  <si>
    <t>993018533</t>
  </si>
  <si>
    <t>13696773</t>
  </si>
  <si>
    <t>CESAR FERNANDO MUÑOZ ALVARADO</t>
  </si>
  <si>
    <t>1705077558</t>
  </si>
  <si>
    <t>359336031618155</t>
  </si>
  <si>
    <t>8959300520561485577</t>
  </si>
  <si>
    <t>993080987</t>
  </si>
  <si>
    <t>45610414</t>
  </si>
  <si>
    <t>MARIA EUGENIA JARRIN GUAMBAÑA</t>
  </si>
  <si>
    <t>0104073903</t>
  </si>
  <si>
    <t>RICAURTE DE AZUAY</t>
  </si>
  <si>
    <t>545812871770079</t>
  </si>
  <si>
    <t>8959300120521837486</t>
  </si>
  <si>
    <t>993437021</t>
  </si>
  <si>
    <t>301570228951867</t>
  </si>
  <si>
    <t>8959300120522505959</t>
  </si>
  <si>
    <t>993769789</t>
  </si>
  <si>
    <t>33448284</t>
  </si>
  <si>
    <t>GISELA CLARA DIAZ AVALOS</t>
  </si>
  <si>
    <t>1713646071</t>
  </si>
  <si>
    <t>537321465963918</t>
  </si>
  <si>
    <t>8959300120522532656</t>
  </si>
  <si>
    <t>994073017</t>
  </si>
  <si>
    <t>45694871</t>
  </si>
  <si>
    <t>LUIS AGUSTIN ALVAREZ BRITO</t>
  </si>
  <si>
    <t>0101398477</t>
  </si>
  <si>
    <t>350150206230566</t>
  </si>
  <si>
    <t>8959300420501068296</t>
  </si>
  <si>
    <t>994142719</t>
  </si>
  <si>
    <t>45670827</t>
  </si>
  <si>
    <t>JORGE MANUEL LEAL AGUILERA</t>
  </si>
  <si>
    <t>1707205785</t>
  </si>
  <si>
    <t>354519100731026</t>
  </si>
  <si>
    <t>8959300520555583130</t>
  </si>
  <si>
    <t>994830424</t>
  </si>
  <si>
    <t>45671974</t>
  </si>
  <si>
    <t>CAMILLE SARAHI SALGADO SANTAMARIA</t>
  </si>
  <si>
    <t>1750395236</t>
  </si>
  <si>
    <t>354049116287094</t>
  </si>
  <si>
    <t>8959300120522632761</t>
  </si>
  <si>
    <t>995001147</t>
  </si>
  <si>
    <t>45624962</t>
  </si>
  <si>
    <t>CRISTHIAN ROBERTO SALAZAR AIGAJE</t>
  </si>
  <si>
    <t>1726744392</t>
  </si>
  <si>
    <t>861965051452896</t>
  </si>
  <si>
    <t>8959300120522533258</t>
  </si>
  <si>
    <t>LTE HUAWEI NOVA 9 SE NEGRO CH31637</t>
  </si>
  <si>
    <t>995009146</t>
  </si>
  <si>
    <t>45619588</t>
  </si>
  <si>
    <t>CESAR ZAPATA JULIO</t>
  </si>
  <si>
    <t>1705256533</t>
  </si>
  <si>
    <t>351846013573002</t>
  </si>
  <si>
    <t>8959300120521827040</t>
  </si>
  <si>
    <t>995020919</t>
  </si>
  <si>
    <t>358628041167244</t>
  </si>
  <si>
    <t>8959300120522636887</t>
  </si>
  <si>
    <t>995021204</t>
  </si>
  <si>
    <t>45718418</t>
  </si>
  <si>
    <t>ANDREA LUCIA PROAÑO ALARCON</t>
  </si>
  <si>
    <t>1724340623</t>
  </si>
  <si>
    <t>513916540546337</t>
  </si>
  <si>
    <t>8959300520561486971</t>
  </si>
  <si>
    <t>995033455</t>
  </si>
  <si>
    <t>45622314</t>
  </si>
  <si>
    <t>LUIS GILBERTO CALLE RODAS</t>
  </si>
  <si>
    <t>1707328769</t>
  </si>
  <si>
    <t>353750065299367</t>
  </si>
  <si>
    <t>8959300620514265728</t>
  </si>
  <si>
    <t>995041350</t>
  </si>
  <si>
    <t>45268418</t>
  </si>
  <si>
    <t>JANNETH GUADALUPE APUNTE MINA</t>
  </si>
  <si>
    <t>1711596674</t>
  </si>
  <si>
    <t>359803012019711</t>
  </si>
  <si>
    <t>8959300420501271809</t>
  </si>
  <si>
    <t>995049714</t>
  </si>
  <si>
    <t>45524627</t>
  </si>
  <si>
    <t>FRANKLIN RODRIGO CHASILUISA ILLESCAS</t>
  </si>
  <si>
    <t>1718936071</t>
  </si>
  <si>
    <t>505576823110399</t>
  </si>
  <si>
    <t>8959300120519904686</t>
  </si>
  <si>
    <t>995059124</t>
  </si>
  <si>
    <t>45624681</t>
  </si>
  <si>
    <t>WILLIAM EFRAIN ALVARADO OCHOA</t>
  </si>
  <si>
    <t>0704306547</t>
  </si>
  <si>
    <t>549843339162183</t>
  </si>
  <si>
    <t>8959300120522636986</t>
  </si>
  <si>
    <t>995082390</t>
  </si>
  <si>
    <t>45669248</t>
  </si>
  <si>
    <t>JORMAN ENRIQUE VERA ALCIVAR</t>
  </si>
  <si>
    <t>1750795864</t>
  </si>
  <si>
    <t>449416186732191</t>
  </si>
  <si>
    <t>8959300520561490338</t>
  </si>
  <si>
    <t>995083060</t>
  </si>
  <si>
    <t>45643008</t>
  </si>
  <si>
    <t>ANGELA YOLANDA ZURITA ZURITA</t>
  </si>
  <si>
    <t>1700484940</t>
  </si>
  <si>
    <t>540324681373867</t>
  </si>
  <si>
    <t>8959300120522531286</t>
  </si>
  <si>
    <t>995083585</t>
  </si>
  <si>
    <t>45638012</t>
  </si>
  <si>
    <t>PAOLA DEL ROSARIO ORELLANA CARDENAS</t>
  </si>
  <si>
    <t>0104510888</t>
  </si>
  <si>
    <t>333959879515059</t>
  </si>
  <si>
    <t>8959300120521834814</t>
  </si>
  <si>
    <t>995084040</t>
  </si>
  <si>
    <t>44786928</t>
  </si>
  <si>
    <t>CLEOPATRA VERONICA MARTINEZ NOLIVOS</t>
  </si>
  <si>
    <t>1711113629</t>
  </si>
  <si>
    <t>869396021938537</t>
  </si>
  <si>
    <t>8959300120512320526</t>
  </si>
  <si>
    <t>995094039</t>
  </si>
  <si>
    <t>39041277</t>
  </si>
  <si>
    <t>FRANKLIN EDISON CAZAR FLORES</t>
  </si>
  <si>
    <t>1706490404</t>
  </si>
  <si>
    <t>423640740236353</t>
  </si>
  <si>
    <t>8959300520560350996</t>
  </si>
  <si>
    <t>995098665</t>
  </si>
  <si>
    <t>37846403</t>
  </si>
  <si>
    <t>XIMENA ELIZABETH TOCTO IÑAMAGUA</t>
  </si>
  <si>
    <t>0105830566</t>
  </si>
  <si>
    <t>000000215879776</t>
  </si>
  <si>
    <t>8959300520540070896</t>
  </si>
  <si>
    <t>995103157</t>
  </si>
  <si>
    <t>24795680</t>
  </si>
  <si>
    <t>RENE BOLIVAR TOLA GALAN</t>
  </si>
  <si>
    <t>0101827798</t>
  </si>
  <si>
    <t>497042582176329</t>
  </si>
  <si>
    <t>8959300520555832495</t>
  </si>
  <si>
    <t>995107621</t>
  </si>
  <si>
    <t>45676947</t>
  </si>
  <si>
    <t>NINFA NATHALIA CHARIGUAMAN PEÑA</t>
  </si>
  <si>
    <t>1753835956</t>
  </si>
  <si>
    <t>548828875267596</t>
  </si>
  <si>
    <t>8959300520561492821</t>
  </si>
  <si>
    <t>995130020</t>
  </si>
  <si>
    <t>45664295</t>
  </si>
  <si>
    <t>VICTOR FERNANDO RAMOS IZA</t>
  </si>
  <si>
    <t>1713126199</t>
  </si>
  <si>
    <t>355939047301130</t>
  </si>
  <si>
    <t>8959300120522632910</t>
  </si>
  <si>
    <t>995131650</t>
  </si>
  <si>
    <t>45704038</t>
  </si>
  <si>
    <t>JANIO ALEXANDER CORNEJO GAVILANEZ</t>
  </si>
  <si>
    <t>1754038444</t>
  </si>
  <si>
    <t>000000247718810</t>
  </si>
  <si>
    <t>8959300520561486591</t>
  </si>
  <si>
    <t>995152380</t>
  </si>
  <si>
    <t>45709978</t>
  </si>
  <si>
    <t>CARLOS ARTURO VIVAR BANDA</t>
  </si>
  <si>
    <t>0100911247</t>
  </si>
  <si>
    <t>011769908977769</t>
  </si>
  <si>
    <t>8959300420536085414</t>
  </si>
  <si>
    <t>995155907</t>
  </si>
  <si>
    <t>45618243</t>
  </si>
  <si>
    <t>WALTHER EFRAIN ATABALLO ENDARA</t>
  </si>
  <si>
    <t>0503343758</t>
  </si>
  <si>
    <t>011222004560170</t>
  </si>
  <si>
    <t>8959300120522529058</t>
  </si>
  <si>
    <t>995168033</t>
  </si>
  <si>
    <t>45657317</t>
  </si>
  <si>
    <t>MARIA BRIGIDA GUALOTUÑA ZARAGOSI</t>
  </si>
  <si>
    <t>1700728197</t>
  </si>
  <si>
    <t>535124646833881</t>
  </si>
  <si>
    <t>8959300520561494140</t>
  </si>
  <si>
    <t>995169430</t>
  </si>
  <si>
    <t>45646579</t>
  </si>
  <si>
    <t>SANDRA XIMENA QUISHPE CAIZA</t>
  </si>
  <si>
    <t>1720288636</t>
  </si>
  <si>
    <t>000000250950862</t>
  </si>
  <si>
    <t>8959300120522530825</t>
  </si>
  <si>
    <t>995169444</t>
  </si>
  <si>
    <t>45637510</t>
  </si>
  <si>
    <t>DIANA ESTEFANIA NAVARRETE LOPEZ</t>
  </si>
  <si>
    <t>1728871573</t>
  </si>
  <si>
    <t>000000195074190</t>
  </si>
  <si>
    <t>8959300420527188102</t>
  </si>
  <si>
    <t>995170346</t>
  </si>
  <si>
    <t>358565040751851</t>
  </si>
  <si>
    <t>8959300520508678839</t>
  </si>
  <si>
    <t>995171469</t>
  </si>
  <si>
    <t>45618296</t>
  </si>
  <si>
    <t>SONIA PATRICIA CAIZA ALCOSER</t>
  </si>
  <si>
    <t>0604020305</t>
  </si>
  <si>
    <t>000000247365315</t>
  </si>
  <si>
    <t>8959300120522529041</t>
  </si>
  <si>
    <t>995171612</t>
  </si>
  <si>
    <t>45629663</t>
  </si>
  <si>
    <t>CHRISTIAN STIV CARDENAS CALERO</t>
  </si>
  <si>
    <t>1751614049</t>
  </si>
  <si>
    <t>300520526461235</t>
  </si>
  <si>
    <t>8959300120522533936</t>
  </si>
  <si>
    <t>995176339</t>
  </si>
  <si>
    <t>24493463</t>
  </si>
  <si>
    <t>LUPE MELANIA CAMPOVERDE MACERO</t>
  </si>
  <si>
    <t>0104870571</t>
  </si>
  <si>
    <t>000000218919629</t>
  </si>
  <si>
    <t>8959300420531457667</t>
  </si>
  <si>
    <t>995176631</t>
  </si>
  <si>
    <t>45691547</t>
  </si>
  <si>
    <t>CAROLINE MICHELLE REICHLIN</t>
  </si>
  <si>
    <t>X5542984</t>
  </si>
  <si>
    <t>334855440493777</t>
  </si>
  <si>
    <t>8959300120522633553</t>
  </si>
  <si>
    <t>995178815</t>
  </si>
  <si>
    <t>45638855</t>
  </si>
  <si>
    <t>RONALD JOSUE HERRERA AIMACAÑA</t>
  </si>
  <si>
    <t>1753573375</t>
  </si>
  <si>
    <t>504731589806851</t>
  </si>
  <si>
    <t>8959300120522531625</t>
  </si>
  <si>
    <t>995181043</t>
  </si>
  <si>
    <t>45712781</t>
  </si>
  <si>
    <t>MAYRA ALEXANDRA PILLIZA MALLIQUINGA</t>
  </si>
  <si>
    <t>1721710281</t>
  </si>
  <si>
    <t>981922682353410</t>
  </si>
  <si>
    <t>8959300520561491575</t>
  </si>
  <si>
    <t>995186497</t>
  </si>
  <si>
    <t>45628462</t>
  </si>
  <si>
    <t>ALAN SEBASTIAN MEDINA RODRIGUEZ</t>
  </si>
  <si>
    <t>1724626088</t>
  </si>
  <si>
    <t>000000251622122</t>
  </si>
  <si>
    <t>8959300420551707686</t>
  </si>
  <si>
    <t>995186973</t>
  </si>
  <si>
    <t>45658692</t>
  </si>
  <si>
    <t>STALIN ISMAEL CHILES CRUZ</t>
  </si>
  <si>
    <t>1722872874</t>
  </si>
  <si>
    <t>866732025160343</t>
  </si>
  <si>
    <t>8959300120522633090</t>
  </si>
  <si>
    <t>995188563</t>
  </si>
  <si>
    <t>45690490</t>
  </si>
  <si>
    <t>ALEXANDRA DEL PILAR GALLARDO RODRIGUEZ</t>
  </si>
  <si>
    <t>1713832267</t>
  </si>
  <si>
    <t>000000236772471</t>
  </si>
  <si>
    <t>8959300120522633504</t>
  </si>
  <si>
    <t>995189474</t>
  </si>
  <si>
    <t>45661909</t>
  </si>
  <si>
    <t>HELEN LILIBETH VILLAVICENCIO BALDA</t>
  </si>
  <si>
    <t>1350604250</t>
  </si>
  <si>
    <t>995991551733279</t>
  </si>
  <si>
    <t>8959300120522505983</t>
  </si>
  <si>
    <t>995189938</t>
  </si>
  <si>
    <t>45624970</t>
  </si>
  <si>
    <t>DANNA BRIGITTE LOPEZ ZURITA</t>
  </si>
  <si>
    <t>1850158153</t>
  </si>
  <si>
    <t>459077407082555</t>
  </si>
  <si>
    <t>8959300120525775211</t>
  </si>
  <si>
    <t>995196769</t>
  </si>
  <si>
    <t>45713433</t>
  </si>
  <si>
    <t>ANGEL XAVIER ANAGUMBLA CARUA</t>
  </si>
  <si>
    <t>1722878384</t>
  </si>
  <si>
    <t>353842197623919</t>
  </si>
  <si>
    <t>8959300520561486740</t>
  </si>
  <si>
    <t>LTE SAMSUNG A53 5G NEGRO CH31615</t>
  </si>
  <si>
    <t>995205897</t>
  </si>
  <si>
    <t>45630860</t>
  </si>
  <si>
    <t>BYRON LEONARDO MEJIA MOYA</t>
  </si>
  <si>
    <t>1713696001</t>
  </si>
  <si>
    <t>332185674919947</t>
  </si>
  <si>
    <t>8959300120522534561</t>
  </si>
  <si>
    <t>995222903</t>
  </si>
  <si>
    <t>43822348</t>
  </si>
  <si>
    <t>AMILCAR GEOVANNY RUIZ VALENCIA</t>
  </si>
  <si>
    <t>1721752804</t>
  </si>
  <si>
    <t>010320185619640</t>
  </si>
  <si>
    <t>8959300120522632621</t>
  </si>
  <si>
    <t>995223505</t>
  </si>
  <si>
    <t>44383068</t>
  </si>
  <si>
    <t>LINA ANDREA ANDI GREFA</t>
  </si>
  <si>
    <t>1500865678</t>
  </si>
  <si>
    <t>863577881223492</t>
  </si>
  <si>
    <t>8959300120522531435</t>
  </si>
  <si>
    <t>995226897</t>
  </si>
  <si>
    <t>45692065</t>
  </si>
  <si>
    <t>ALEX AARON AREVALO HIDALGO</t>
  </si>
  <si>
    <t>2350835076</t>
  </si>
  <si>
    <t>337032943199239</t>
  </si>
  <si>
    <t>8959300520561490601</t>
  </si>
  <si>
    <t>995228934</t>
  </si>
  <si>
    <t>45685408</t>
  </si>
  <si>
    <t>SEBASTIAN ANDRES GUTIERREZ VELA</t>
  </si>
  <si>
    <t>1720169521</t>
  </si>
  <si>
    <t>012756008304894</t>
  </si>
  <si>
    <t>8959300320516833405</t>
  </si>
  <si>
    <t>995230519</t>
  </si>
  <si>
    <t>513539454792851</t>
  </si>
  <si>
    <t>8959300120522506304</t>
  </si>
  <si>
    <t>995236292</t>
  </si>
  <si>
    <t>45671027</t>
  </si>
  <si>
    <t>WILMA ANDREA CARVAJAL LANDAZURI</t>
  </si>
  <si>
    <t>1719033100</t>
  </si>
  <si>
    <t>000000193793437</t>
  </si>
  <si>
    <t>8959300520560349766</t>
  </si>
  <si>
    <t>995242832</t>
  </si>
  <si>
    <t>45636873</t>
  </si>
  <si>
    <t>EDUARDO VICENTE                        ROJAS ARIAS ROJAS ARIAS</t>
  </si>
  <si>
    <t>0700772460</t>
  </si>
  <si>
    <t>000000258876424</t>
  </si>
  <si>
    <t>8959300420547020020</t>
  </si>
  <si>
    <t>995251196</t>
  </si>
  <si>
    <t>45722951</t>
  </si>
  <si>
    <t>WILMER ADRIAN ORTIZ ESPINOZA</t>
  </si>
  <si>
    <t>1709169559</t>
  </si>
  <si>
    <t>500834171816819</t>
  </si>
  <si>
    <t>8959300520561484992</t>
  </si>
  <si>
    <t>995255134</t>
  </si>
  <si>
    <t>28891868</t>
  </si>
  <si>
    <t>PAOLA ELIZABETH JAMA RIVERA</t>
  </si>
  <si>
    <t>1712868213</t>
  </si>
  <si>
    <t>P0187</t>
  </si>
  <si>
    <t>PLAN MOVISTAR PLATINUM PLUS.</t>
  </si>
  <si>
    <t>864143729468556</t>
  </si>
  <si>
    <t>8959300520560351036</t>
  </si>
  <si>
    <t>995256985</t>
  </si>
  <si>
    <t>352375053335873</t>
  </si>
  <si>
    <t>8959300620513316027</t>
  </si>
  <si>
    <t>995273571</t>
  </si>
  <si>
    <t>44492153</t>
  </si>
  <si>
    <t>MARIA BELEN MUÑOZ BACO</t>
  </si>
  <si>
    <t>0922970041</t>
  </si>
  <si>
    <t>452422300142816</t>
  </si>
  <si>
    <t>8959300520561494397</t>
  </si>
  <si>
    <t>995276844</t>
  </si>
  <si>
    <t>19633168</t>
  </si>
  <si>
    <t>BOLIVAR FABIAN QUITO BETANCOURT</t>
  </si>
  <si>
    <t>0102611027</t>
  </si>
  <si>
    <t>355108340298910</t>
  </si>
  <si>
    <t>8959300120522506031</t>
  </si>
  <si>
    <t>995276856</t>
  </si>
  <si>
    <t>45653946</t>
  </si>
  <si>
    <t>RUDY YARLYN MALES TAMBACO</t>
  </si>
  <si>
    <t>1004964589</t>
  </si>
  <si>
    <t>GUAYLLABAMBA</t>
  </si>
  <si>
    <t>504010029502507</t>
  </si>
  <si>
    <t>8959300520560350830</t>
  </si>
  <si>
    <t>995280258</t>
  </si>
  <si>
    <t>45691657</t>
  </si>
  <si>
    <t>LUIS ALFONSO CATOTA CATOTA</t>
  </si>
  <si>
    <t>0501866974</t>
  </si>
  <si>
    <t>012045002915271</t>
  </si>
  <si>
    <t>8959300520561490585</t>
  </si>
  <si>
    <t>995282694</t>
  </si>
  <si>
    <t>45698536</t>
  </si>
  <si>
    <t>NIURKA LIZBETH SALAZAR TOAPANTA</t>
  </si>
  <si>
    <t>1729040012</t>
  </si>
  <si>
    <t>354833752395851</t>
  </si>
  <si>
    <t>8959300520560349592</t>
  </si>
  <si>
    <t>995292631</t>
  </si>
  <si>
    <t>45617371</t>
  </si>
  <si>
    <t>BRYAN FABIAN MALDONADO DIAZ</t>
  </si>
  <si>
    <t>0956147052</t>
  </si>
  <si>
    <t>547943522140079</t>
  </si>
  <si>
    <t>8959300120522636911</t>
  </si>
  <si>
    <t>995295225</t>
  </si>
  <si>
    <t>45645854</t>
  </si>
  <si>
    <t>MARIA MARGARITA SARABINO TARCO</t>
  </si>
  <si>
    <t>1708133937</t>
  </si>
  <si>
    <t>011980745480004</t>
  </si>
  <si>
    <t>8959300520560350418</t>
  </si>
  <si>
    <t>995297108</t>
  </si>
  <si>
    <t>45636754</t>
  </si>
  <si>
    <t>XIOMARA NOEMI SAQUICELA CORREA</t>
  </si>
  <si>
    <t>0704761493</t>
  </si>
  <si>
    <t>353842194946651</t>
  </si>
  <si>
    <t>8959300120522637372</t>
  </si>
  <si>
    <t>995299836</t>
  </si>
  <si>
    <t>45637495</t>
  </si>
  <si>
    <t>ELIZABETH MORENO MARCIA</t>
  </si>
  <si>
    <t>1706535638</t>
  </si>
  <si>
    <t>865666049065032</t>
  </si>
  <si>
    <t>8959300120522531849</t>
  </si>
  <si>
    <t>995308585</t>
  </si>
  <si>
    <t>45717104</t>
  </si>
  <si>
    <t>VINICIO FERNANDO CALALA DEFAZ</t>
  </si>
  <si>
    <t>1713763389</t>
  </si>
  <si>
    <t>012829005621766</t>
  </si>
  <si>
    <t>8959300520561491872</t>
  </si>
  <si>
    <t>995311610</t>
  </si>
  <si>
    <t>45677277</t>
  </si>
  <si>
    <t>JORDAN STIVEN YEPEZ GUIZ</t>
  </si>
  <si>
    <t>0401946793</t>
  </si>
  <si>
    <t>869113064474282</t>
  </si>
  <si>
    <t>8959300520560351028</t>
  </si>
  <si>
    <t>995326108</t>
  </si>
  <si>
    <t>42310073</t>
  </si>
  <si>
    <t>SANTOS WILMER CORREA ROBLES</t>
  </si>
  <si>
    <t>1101461208</t>
  </si>
  <si>
    <t>000000243516077</t>
  </si>
  <si>
    <t>8959300520561493647</t>
  </si>
  <si>
    <t>995341806</t>
  </si>
  <si>
    <t>45649300</t>
  </si>
  <si>
    <t>JULIO CESAR ARIAS AYORA</t>
  </si>
  <si>
    <t>0102768470</t>
  </si>
  <si>
    <t>457987232418224</t>
  </si>
  <si>
    <t>8959300520560329495</t>
  </si>
  <si>
    <t>995342016</t>
  </si>
  <si>
    <t>45698580</t>
  </si>
  <si>
    <t>JEFFERSON ROBERTO VILLACRES TENEZACA</t>
  </si>
  <si>
    <t>1755143607</t>
  </si>
  <si>
    <t>000000254226368</t>
  </si>
  <si>
    <t>8959300420552235869</t>
  </si>
  <si>
    <t>995344329</t>
  </si>
  <si>
    <t>45653381</t>
  </si>
  <si>
    <t>PASIONARIA DEL ROCIO BENALCAZAR RODRIGUEZ</t>
  </si>
  <si>
    <t>1705377479</t>
  </si>
  <si>
    <t>442014149417393</t>
  </si>
  <si>
    <t>8959300120522631730</t>
  </si>
  <si>
    <t>995352210</t>
  </si>
  <si>
    <t>45677454</t>
  </si>
  <si>
    <t>LUIS GUSTAVO OTO HERRERA</t>
  </si>
  <si>
    <t>0502540099</t>
  </si>
  <si>
    <t>867775001968311</t>
  </si>
  <si>
    <t>8959300520561492920</t>
  </si>
  <si>
    <t>995365153</t>
  </si>
  <si>
    <t>45696473</t>
  </si>
  <si>
    <t>JACOB EFRAIN PASTOR PAZ</t>
  </si>
  <si>
    <t>1713476149</t>
  </si>
  <si>
    <t>352808373245430</t>
  </si>
  <si>
    <t>8959300520560350939</t>
  </si>
  <si>
    <t>995368310</t>
  </si>
  <si>
    <t>45720698</t>
  </si>
  <si>
    <t>MARTHA DOLORES SALGUERO ABATA</t>
  </si>
  <si>
    <t>0500471685</t>
  </si>
  <si>
    <t>011415000541455</t>
  </si>
  <si>
    <t>8959300520561492219</t>
  </si>
  <si>
    <t>995368528</t>
  </si>
  <si>
    <t>45668133</t>
  </si>
  <si>
    <t>NANCY YOLANDA CHUQUIGUANGA MENDEZ</t>
  </si>
  <si>
    <t>0104146931</t>
  </si>
  <si>
    <t>000000222204505</t>
  </si>
  <si>
    <t>8959300520560328505</t>
  </si>
  <si>
    <t>995369421</t>
  </si>
  <si>
    <t>45646421</t>
  </si>
  <si>
    <t>LUIS JESUS MUENALA SARANSIG</t>
  </si>
  <si>
    <t>1003303961</t>
  </si>
  <si>
    <t>000000253621924</t>
  </si>
  <si>
    <t>8959300120522632522</t>
  </si>
  <si>
    <t>995375356</t>
  </si>
  <si>
    <t>103211524657276</t>
  </si>
  <si>
    <t>8959300120521827156</t>
  </si>
  <si>
    <t>995384899</t>
  </si>
  <si>
    <t>45661456</t>
  </si>
  <si>
    <t>ROBERT DAVID BINFORD</t>
  </si>
  <si>
    <t>C15182456</t>
  </si>
  <si>
    <t>542295489461245</t>
  </si>
  <si>
    <t>8959300120522505942</t>
  </si>
  <si>
    <t>995385122</t>
  </si>
  <si>
    <t>45670623</t>
  </si>
  <si>
    <t>JUAN PABLO LLIVICHUZCA PAUTA</t>
  </si>
  <si>
    <t>0103051017</t>
  </si>
  <si>
    <t>011942008478216</t>
  </si>
  <si>
    <t>8959300120522632712</t>
  </si>
  <si>
    <t>995387221</t>
  </si>
  <si>
    <t>45642725</t>
  </si>
  <si>
    <t>GUSTAVO CRUZ .</t>
  </si>
  <si>
    <t>1700645243</t>
  </si>
  <si>
    <t>490535622134619</t>
  </si>
  <si>
    <t>8959300120522531252</t>
  </si>
  <si>
    <t>995391840</t>
  </si>
  <si>
    <t>45686150</t>
  </si>
  <si>
    <t>KEVIN MARCELO GOMEZ POSSO</t>
  </si>
  <si>
    <t>1754658951</t>
  </si>
  <si>
    <t>356543345333743</t>
  </si>
  <si>
    <t>8959300520560351325</t>
  </si>
  <si>
    <t>995404800</t>
  </si>
  <si>
    <t>45655111</t>
  </si>
  <si>
    <t>KATHERINE MICHELLE CANCHIGNIA GUANOTUÑA</t>
  </si>
  <si>
    <t>1725170102</t>
  </si>
  <si>
    <t>865909047001645</t>
  </si>
  <si>
    <t>8959300520561491369</t>
  </si>
  <si>
    <t>995408825</t>
  </si>
  <si>
    <t>45695145</t>
  </si>
  <si>
    <t>DAVID EDUARDO SANCHEZ HIDROVO</t>
  </si>
  <si>
    <t>1753145729</t>
  </si>
  <si>
    <t>445952246968783</t>
  </si>
  <si>
    <t>8959300120522633611</t>
  </si>
  <si>
    <t>995411452</t>
  </si>
  <si>
    <t>45706202</t>
  </si>
  <si>
    <t>RICHARD SANTIAGO MOLINA NARVAEZ</t>
  </si>
  <si>
    <t>1726979543</t>
  </si>
  <si>
    <t>014274003661324</t>
  </si>
  <si>
    <t>8959300520560352190</t>
  </si>
  <si>
    <t>995424366</t>
  </si>
  <si>
    <t>45625069</t>
  </si>
  <si>
    <t>FREDDY LIVINGSTONE JARA COLOMA</t>
  </si>
  <si>
    <t>1721871232</t>
  </si>
  <si>
    <t>454308241663481</t>
  </si>
  <si>
    <t>8959300120522533290</t>
  </si>
  <si>
    <t>995442641</t>
  </si>
  <si>
    <t>45698391</t>
  </si>
  <si>
    <t>MIGUEL ANGEL TACO JAYA</t>
  </si>
  <si>
    <t>1728956838</t>
  </si>
  <si>
    <t>861242759158898</t>
  </si>
  <si>
    <t>8959300520561490825</t>
  </si>
  <si>
    <t>995444063</t>
  </si>
  <si>
    <t>44344230</t>
  </si>
  <si>
    <t>CESAR AURELIO MORENO ALVAREZ</t>
  </si>
  <si>
    <t>0963440326</t>
  </si>
  <si>
    <t>104671316546038</t>
  </si>
  <si>
    <t>8959300520560349717</t>
  </si>
  <si>
    <t>995462984</t>
  </si>
  <si>
    <t>45711326</t>
  </si>
  <si>
    <t>CESAR JONNATHAN ALVAREZ MAINATO</t>
  </si>
  <si>
    <t>0350071536</t>
  </si>
  <si>
    <t>000000180138661</t>
  </si>
  <si>
    <t>8959300520560325857</t>
  </si>
  <si>
    <t>995467965</t>
  </si>
  <si>
    <t>45645042</t>
  </si>
  <si>
    <t>GILBERTO JOSE JAYANA VASQUEZ</t>
  </si>
  <si>
    <t>1709995029</t>
  </si>
  <si>
    <t>449209201209596</t>
  </si>
  <si>
    <t>8959300520560350228</t>
  </si>
  <si>
    <t>995471300</t>
  </si>
  <si>
    <t>45692639</t>
  </si>
  <si>
    <t>JENIFFER LISSET PARRA ZAPATA</t>
  </si>
  <si>
    <t>1725907263</t>
  </si>
  <si>
    <t>000000246236483</t>
  </si>
  <si>
    <t>8959300520550320439</t>
  </si>
  <si>
    <t>995473356</t>
  </si>
  <si>
    <t>45651865</t>
  </si>
  <si>
    <t>BLANCA VILMA PERALTA MORA</t>
  </si>
  <si>
    <t>0700441025</t>
  </si>
  <si>
    <t>860942055275137</t>
  </si>
  <si>
    <t>8959300520560319629</t>
  </si>
  <si>
    <t>995475527</t>
  </si>
  <si>
    <t>45691310</t>
  </si>
  <si>
    <t>MARIA ESPERANZA CUSTODIO ALMACHE</t>
  </si>
  <si>
    <t>1700695651</t>
  </si>
  <si>
    <t>011869005066464</t>
  </si>
  <si>
    <t>8959300520561490940</t>
  </si>
  <si>
    <t>995477990</t>
  </si>
  <si>
    <t>45646521</t>
  </si>
  <si>
    <t>DOLORES ELISA CUMBAL HERRERA</t>
  </si>
  <si>
    <t>1710983519</t>
  </si>
  <si>
    <t>502275476541587</t>
  </si>
  <si>
    <t>8959300520560350319</t>
  </si>
  <si>
    <t>995498601</t>
  </si>
  <si>
    <t>45706887</t>
  </si>
  <si>
    <t>440037617760608</t>
  </si>
  <si>
    <t>8959300520561490379</t>
  </si>
  <si>
    <t>995499282</t>
  </si>
  <si>
    <t>45629580</t>
  </si>
  <si>
    <t>MARIO XAVIER CASTRO LOPEZ</t>
  </si>
  <si>
    <t>0105179212</t>
  </si>
  <si>
    <t>353111063263337</t>
  </si>
  <si>
    <t>8959300120525777498</t>
  </si>
  <si>
    <t>995503314</t>
  </si>
  <si>
    <t>45665398</t>
  </si>
  <si>
    <t>KAREN LIZBETH BARROS LOPEZ</t>
  </si>
  <si>
    <t>1752283836</t>
  </si>
  <si>
    <t>000000259891984</t>
  </si>
  <si>
    <t>8959300520561493902</t>
  </si>
  <si>
    <t>995503564</t>
  </si>
  <si>
    <t>45711132</t>
  </si>
  <si>
    <t>DIANA LUCIA MOSQUERA SALAZAR</t>
  </si>
  <si>
    <t>1720471125</t>
  </si>
  <si>
    <t>PUERTO QUITO</t>
  </si>
  <si>
    <t>980418200754925</t>
  </si>
  <si>
    <t>8959300120519905170</t>
  </si>
  <si>
    <t>995503790</t>
  </si>
  <si>
    <t>014958745048010</t>
  </si>
  <si>
    <t>8959300120522534108</t>
  </si>
  <si>
    <t>995525708</t>
  </si>
  <si>
    <t>45716712</t>
  </si>
  <si>
    <t>ADRIANA VICTORIA CHAUCA ANDRADE</t>
  </si>
  <si>
    <t>1725141152</t>
  </si>
  <si>
    <t>000000255010704</t>
  </si>
  <si>
    <t>8959300420550094060</t>
  </si>
  <si>
    <t>995542259</t>
  </si>
  <si>
    <t>45672645</t>
  </si>
  <si>
    <t>DAYANA SALOME DEFAZ AGUILAR DEFAZ AGUILAR</t>
  </si>
  <si>
    <t>1753182458</t>
  </si>
  <si>
    <t>355247571363348</t>
  </si>
  <si>
    <t>8959300520560350574</t>
  </si>
  <si>
    <t>995547102</t>
  </si>
  <si>
    <t>45650229</t>
  </si>
  <si>
    <t>ANDREA RAQUEL SANCHEZ HERNANDEZ</t>
  </si>
  <si>
    <t>0706586393</t>
  </si>
  <si>
    <t>530210297998142</t>
  </si>
  <si>
    <t>8959300520560319538</t>
  </si>
  <si>
    <t>995550898</t>
  </si>
  <si>
    <t>45637645</t>
  </si>
  <si>
    <t>BEATRIZ URSULINA VITERI AGUIRRE</t>
  </si>
  <si>
    <t>0101306769</t>
  </si>
  <si>
    <t>543687788718797</t>
  </si>
  <si>
    <t>8959300120521834871</t>
  </si>
  <si>
    <t>995552954</t>
  </si>
  <si>
    <t>45617868</t>
  </si>
  <si>
    <t>GERMAN IDILBERTO GUERRERO VILLACIS</t>
  </si>
  <si>
    <t>1700561838</t>
  </si>
  <si>
    <t>104169883478826</t>
  </si>
  <si>
    <t>8959300120522629981</t>
  </si>
  <si>
    <t>995564370</t>
  </si>
  <si>
    <t>28783082</t>
  </si>
  <si>
    <t>RUTH ELIZABETH ESTRELLA GARCIA</t>
  </si>
  <si>
    <t>1707423107</t>
  </si>
  <si>
    <t>334074566033116</t>
  </si>
  <si>
    <t>8959300120521827214</t>
  </si>
  <si>
    <t>995570981</t>
  </si>
  <si>
    <t>45705686</t>
  </si>
  <si>
    <t>CRISTIAN GEOVANNY SATIAN CAMBAY</t>
  </si>
  <si>
    <t>1722335583</t>
  </si>
  <si>
    <t>540297940563520</t>
  </si>
  <si>
    <t>8959300520560349550</t>
  </si>
  <si>
    <t>995574440</t>
  </si>
  <si>
    <t>45702348</t>
  </si>
  <si>
    <t>MIGUEL ANGEL LOGACHO POTOSI</t>
  </si>
  <si>
    <t>1711694099</t>
  </si>
  <si>
    <t>450937378110660</t>
  </si>
  <si>
    <t>8959300520561491278</t>
  </si>
  <si>
    <t>995578706</t>
  </si>
  <si>
    <t>45698890</t>
  </si>
  <si>
    <t>MARIA ERCILIA NACIMBA GUAMAN</t>
  </si>
  <si>
    <t>0500865613</t>
  </si>
  <si>
    <t>305259207452818</t>
  </si>
  <si>
    <t>8959300520560350871</t>
  </si>
  <si>
    <t>995585919</t>
  </si>
  <si>
    <t>45671041</t>
  </si>
  <si>
    <t>MARCO VINICIO CHERRES GUAMAN</t>
  </si>
  <si>
    <t>0101077386</t>
  </si>
  <si>
    <t>995574900352882</t>
  </si>
  <si>
    <t>8959300520560329271</t>
  </si>
  <si>
    <t>995590827</t>
  </si>
  <si>
    <t>45689874</t>
  </si>
  <si>
    <t>EDISON ALEXANDER NAVARRETE SOLORZANO</t>
  </si>
  <si>
    <t>2200044143</t>
  </si>
  <si>
    <t>000000258062207</t>
  </si>
  <si>
    <t>8959300420554890844</t>
  </si>
  <si>
    <t>995595466</t>
  </si>
  <si>
    <t>013401002230220</t>
  </si>
  <si>
    <t>8959300500639057376</t>
  </si>
  <si>
    <t>995597124</t>
  </si>
  <si>
    <t>45676570</t>
  </si>
  <si>
    <t>ALEX FRANCISCO GUAMANI BETANCOURT</t>
  </si>
  <si>
    <t>1750038679</t>
  </si>
  <si>
    <t>000000239995822</t>
  </si>
  <si>
    <t>8959300520560350731</t>
  </si>
  <si>
    <t>995598012</t>
  </si>
  <si>
    <t>45622853</t>
  </si>
  <si>
    <t>WENDY KATHERINE AMAGUA ANDINO</t>
  </si>
  <si>
    <t>1726772344</t>
  </si>
  <si>
    <t>355785073838507</t>
  </si>
  <si>
    <t>8959300120522532862</t>
  </si>
  <si>
    <t>995605181</t>
  </si>
  <si>
    <t>543939459303775</t>
  </si>
  <si>
    <t>8959300120521827339</t>
  </si>
  <si>
    <t>995612056</t>
  </si>
  <si>
    <t>45717939</t>
  </si>
  <si>
    <t>ESTEBAN PATRICIO JACOME REINA</t>
  </si>
  <si>
    <t>1719088484</t>
  </si>
  <si>
    <t>863332908810305</t>
  </si>
  <si>
    <t>8959300520560352299</t>
  </si>
  <si>
    <t>995616877</t>
  </si>
  <si>
    <t>45636952</t>
  </si>
  <si>
    <t>LUISA MARIELA AGUILAR CAJAMARCA</t>
  </si>
  <si>
    <t>0703609545</t>
  </si>
  <si>
    <t>355378001066654</t>
  </si>
  <si>
    <t>8959300120522637422</t>
  </si>
  <si>
    <t>995623830</t>
  </si>
  <si>
    <t>45691418</t>
  </si>
  <si>
    <t>HERNAN MATEO VILLACIS VINTIMILLA</t>
  </si>
  <si>
    <t>0105369144</t>
  </si>
  <si>
    <t>359087060259482</t>
  </si>
  <si>
    <t>8959300120522506296</t>
  </si>
  <si>
    <t>995633493</t>
  </si>
  <si>
    <t>45628445</t>
  </si>
  <si>
    <t>LILIANA PRIETO BERNARDI</t>
  </si>
  <si>
    <t>1719400051</t>
  </si>
  <si>
    <t>016908067350591</t>
  </si>
  <si>
    <t>8959300120521827198</t>
  </si>
  <si>
    <t>995634373</t>
  </si>
  <si>
    <t>45661378</t>
  </si>
  <si>
    <t>MARCO RATMIR GRANDA BEKALDIEVA</t>
  </si>
  <si>
    <t>1719815589</t>
  </si>
  <si>
    <t>307738868641197</t>
  </si>
  <si>
    <t>8959300520561493555</t>
  </si>
  <si>
    <t>995641984</t>
  </si>
  <si>
    <t>45697063</t>
  </si>
  <si>
    <t>MIRIAN ESTHELA COBO BELTRAN COBO BELTRAN</t>
  </si>
  <si>
    <t>1704591559</t>
  </si>
  <si>
    <t>000000264595141</t>
  </si>
  <si>
    <t>8959300420551420611</t>
  </si>
  <si>
    <t>995641993</t>
  </si>
  <si>
    <t>45682623</t>
  </si>
  <si>
    <t>JULIA ELIZABETH MENDOZA HERRERA</t>
  </si>
  <si>
    <t>1103906077</t>
  </si>
  <si>
    <t>997167085853200</t>
  </si>
  <si>
    <t>8959300320534955834</t>
  </si>
  <si>
    <t>995643990</t>
  </si>
  <si>
    <t>13948067</t>
  </si>
  <si>
    <t>MILTON RENE LAVANDA HIDALGO</t>
  </si>
  <si>
    <t>0703330381</t>
  </si>
  <si>
    <t>300620520242969</t>
  </si>
  <si>
    <t>8959300320526744469</t>
  </si>
  <si>
    <t>995646186</t>
  </si>
  <si>
    <t>45703130</t>
  </si>
  <si>
    <t>MARIA ANGELA FRANCO PAZ</t>
  </si>
  <si>
    <t>1716182876</t>
  </si>
  <si>
    <t>512441518978272</t>
  </si>
  <si>
    <t>8959300520561486021</t>
  </si>
  <si>
    <t>995648819</t>
  </si>
  <si>
    <t>527080199358306</t>
  </si>
  <si>
    <t>8959300520560349543</t>
  </si>
  <si>
    <t>995660223</t>
  </si>
  <si>
    <t>45709385</t>
  </si>
  <si>
    <t>LUIS OSWALDO GUAMAN FAJARDO</t>
  </si>
  <si>
    <t>1718788654</t>
  </si>
  <si>
    <t>351934052266520</t>
  </si>
  <si>
    <t>8959300520560352224</t>
  </si>
  <si>
    <t>995668219</t>
  </si>
  <si>
    <t>45671813</t>
  </si>
  <si>
    <t>NELLY MARGARITA DUEÑAS ALUME</t>
  </si>
  <si>
    <t>1708743776</t>
  </si>
  <si>
    <t>000000240133694</t>
  </si>
  <si>
    <t>8959300520546908248</t>
  </si>
  <si>
    <t>995669617</t>
  </si>
  <si>
    <t>45692849</t>
  </si>
  <si>
    <t>MARIA LUCILA GONZALEZ PINAN</t>
  </si>
  <si>
    <t>1709861312</t>
  </si>
  <si>
    <t>519174318847156</t>
  </si>
  <si>
    <t>8959300520560350251</t>
  </si>
  <si>
    <t>995670737</t>
  </si>
  <si>
    <t>45671307</t>
  </si>
  <si>
    <t>STALIN MARCELO CIFUENTES MERIZALDE</t>
  </si>
  <si>
    <t>1722493465</t>
  </si>
  <si>
    <t>359062096495319</t>
  </si>
  <si>
    <t>8959300520560349808</t>
  </si>
  <si>
    <t>995676441</t>
  </si>
  <si>
    <t>43887107</t>
  </si>
  <si>
    <t>JOSE PEDRO CUCHIGUANGO CUCHIGUANGO</t>
  </si>
  <si>
    <t>1002575437</t>
  </si>
  <si>
    <t>000000249623216</t>
  </si>
  <si>
    <t>8959300520560349691</t>
  </si>
  <si>
    <t>995714170</t>
  </si>
  <si>
    <t>000000232337972</t>
  </si>
  <si>
    <t>8959300420545104602</t>
  </si>
  <si>
    <t>995723475</t>
  </si>
  <si>
    <t>45697268</t>
  </si>
  <si>
    <t>VICTOR EDUARDO CHAVEZ ARIAS</t>
  </si>
  <si>
    <t>1705619979</t>
  </si>
  <si>
    <t>510928268153520</t>
  </si>
  <si>
    <t>8959300520561491120</t>
  </si>
  <si>
    <t>995726625</t>
  </si>
  <si>
    <t>45658407</t>
  </si>
  <si>
    <t>CESAR GERMANICO DILLON MEDINA</t>
  </si>
  <si>
    <t>1706465588</t>
  </si>
  <si>
    <t>535550415321346</t>
  </si>
  <si>
    <t>8959300120522632357</t>
  </si>
  <si>
    <t>995727234</t>
  </si>
  <si>
    <t>45690381</t>
  </si>
  <si>
    <t>KATY LILIANA TAPIA TOCTO</t>
  </si>
  <si>
    <t>0702632159</t>
  </si>
  <si>
    <t>P0168</t>
  </si>
  <si>
    <t>PLAN MOVISTAR STARTER PLUS FS.</t>
  </si>
  <si>
    <t>359803011901943</t>
  </si>
  <si>
    <t>8959300520560320320</t>
  </si>
  <si>
    <t>995728633</t>
  </si>
  <si>
    <t>45658558</t>
  </si>
  <si>
    <t>CHRISTIAN PATRICIO ANDRADE RIVADENEIRA</t>
  </si>
  <si>
    <t>1716560220</t>
  </si>
  <si>
    <t>000000264586173</t>
  </si>
  <si>
    <t>8959300120516309137</t>
  </si>
  <si>
    <t>995733467</t>
  </si>
  <si>
    <t>45565143</t>
  </si>
  <si>
    <t>DARWIN MIGUEL ROSALES JACOME</t>
  </si>
  <si>
    <t>0501672950</t>
  </si>
  <si>
    <t>453993238635070</t>
  </si>
  <si>
    <t>8959300120525757375</t>
  </si>
  <si>
    <t>995738684</t>
  </si>
  <si>
    <t>45695630</t>
  </si>
  <si>
    <t>EVELYN MELISSA DOMINGUEZ SISALIMA</t>
  </si>
  <si>
    <t>0107041824</t>
  </si>
  <si>
    <t>983572575341572</t>
  </si>
  <si>
    <t>8959300120521832123</t>
  </si>
  <si>
    <t>995754834</t>
  </si>
  <si>
    <t>39920905</t>
  </si>
  <si>
    <t>AMADEO ISRAEL AVILA QUINTEROS</t>
  </si>
  <si>
    <t>0102777158</t>
  </si>
  <si>
    <t>332077608935141</t>
  </si>
  <si>
    <t>8959300120522506668</t>
  </si>
  <si>
    <t>995760305</t>
  </si>
  <si>
    <t>45660980</t>
  </si>
  <si>
    <t>DIEGO VICENTE BERMEO REYES</t>
  </si>
  <si>
    <t>0705216638</t>
  </si>
  <si>
    <t>354186385276166</t>
  </si>
  <si>
    <t>8959300520560319819</t>
  </si>
  <si>
    <t>995760358</t>
  </si>
  <si>
    <t>45638591</t>
  </si>
  <si>
    <t>GAIL ANNETTE BROWN</t>
  </si>
  <si>
    <t>0151027364</t>
  </si>
  <si>
    <t>545401594897581</t>
  </si>
  <si>
    <t>8959300120521054264</t>
  </si>
  <si>
    <t>995770157</t>
  </si>
  <si>
    <t>45639275</t>
  </si>
  <si>
    <t>MELANY ELIZABETH ARAUZ SANTILLAN</t>
  </si>
  <si>
    <t>1726003229</t>
  </si>
  <si>
    <t>353058055832654</t>
  </si>
  <si>
    <t>8959300120522532599</t>
  </si>
  <si>
    <t>995781125</t>
  </si>
  <si>
    <t>45691508</t>
  </si>
  <si>
    <t>LUIS VICENTE GOMEZ BALLADARES</t>
  </si>
  <si>
    <t>0908148885</t>
  </si>
  <si>
    <t>526073571957291</t>
  </si>
  <si>
    <t>8959300120522633546</t>
  </si>
  <si>
    <t>995784356</t>
  </si>
  <si>
    <t>45643921</t>
  </si>
  <si>
    <t>CARDENAS MOSQUERA WILLAM ALEJANDRO 709181018</t>
  </si>
  <si>
    <t>1709181018</t>
  </si>
  <si>
    <t>010347480381279</t>
  </si>
  <si>
    <t>8959300520560350343</t>
  </si>
  <si>
    <t>995786756</t>
  </si>
  <si>
    <t>45652393</t>
  </si>
  <si>
    <t>CARLA FERNANDA PAREDES SILVA</t>
  </si>
  <si>
    <t>1724250731</t>
  </si>
  <si>
    <t>353088030577264</t>
  </si>
  <si>
    <t>8959300120522531070</t>
  </si>
  <si>
    <t>995787808</t>
  </si>
  <si>
    <t>45642316</t>
  </si>
  <si>
    <t>MAYURI DANIELA DIAZ RIERA</t>
  </si>
  <si>
    <t>1753428315</t>
  </si>
  <si>
    <t>000000261240675</t>
  </si>
  <si>
    <t>8959300120516423110</t>
  </si>
  <si>
    <t>995791064</t>
  </si>
  <si>
    <t>45653988</t>
  </si>
  <si>
    <t>MARTHA MERCEDES GONZALEZ CAJILEMA</t>
  </si>
  <si>
    <t>1500118706</t>
  </si>
  <si>
    <t>356404022146140</t>
  </si>
  <si>
    <t>8959300120522531054</t>
  </si>
  <si>
    <t>995806966</t>
  </si>
  <si>
    <t>45627455</t>
  </si>
  <si>
    <t>AUGUSTO JOEL CASTILLO CORREA</t>
  </si>
  <si>
    <t>1725010431</t>
  </si>
  <si>
    <t>300620504355498</t>
  </si>
  <si>
    <t>8959300520561486468</t>
  </si>
  <si>
    <t>995807790</t>
  </si>
  <si>
    <t>45627957</t>
  </si>
  <si>
    <t>MARIA PESANTEZ ANA</t>
  </si>
  <si>
    <t>0100680180</t>
  </si>
  <si>
    <t>012453007605402</t>
  </si>
  <si>
    <t>8959300500643009330</t>
  </si>
  <si>
    <t>995813435</t>
  </si>
  <si>
    <t>45666760</t>
  </si>
  <si>
    <t>JOEL AMABLE BARBA QUIRIDUMBAY</t>
  </si>
  <si>
    <t>1755043245</t>
  </si>
  <si>
    <t>000000217558311</t>
  </si>
  <si>
    <t>8959300520560349857</t>
  </si>
  <si>
    <t>995814173</t>
  </si>
  <si>
    <t>45710783</t>
  </si>
  <si>
    <t>JORGE BOLIVAR JARA GARCIA</t>
  </si>
  <si>
    <t>0702775826</t>
  </si>
  <si>
    <t>505654774001063</t>
  </si>
  <si>
    <t>8959300120522506734</t>
  </si>
  <si>
    <t>995815960</t>
  </si>
  <si>
    <t>45696594</t>
  </si>
  <si>
    <t>DAVID ARNULFO ACOSTA FONSECA</t>
  </si>
  <si>
    <t>0501217814</t>
  </si>
  <si>
    <t>493165858302735</t>
  </si>
  <si>
    <t>8959300120519904876</t>
  </si>
  <si>
    <t>995820889</t>
  </si>
  <si>
    <t>45684709</t>
  </si>
  <si>
    <t>LUIS OCTAVIO ARIAS GUZMAN</t>
  </si>
  <si>
    <t>1705511325</t>
  </si>
  <si>
    <t>330092672728381</t>
  </si>
  <si>
    <t>8959300520561486153</t>
  </si>
  <si>
    <t>995825435</t>
  </si>
  <si>
    <t>42575636</t>
  </si>
  <si>
    <t>VICTOR ALEXANDER PILCO GARCIA</t>
  </si>
  <si>
    <t>1722886171</t>
  </si>
  <si>
    <t>332185677335836</t>
  </si>
  <si>
    <t>8959300120522534389</t>
  </si>
  <si>
    <t>995829724</t>
  </si>
  <si>
    <t>8462665</t>
  </si>
  <si>
    <t>CRISTINA DE LOS ANGELES GARCIA ARAGON</t>
  </si>
  <si>
    <t>1707945448</t>
  </si>
  <si>
    <t>917644580586904</t>
  </si>
  <si>
    <t>8959300120522531880</t>
  </si>
  <si>
    <t>995831426</t>
  </si>
  <si>
    <t>45710612</t>
  </si>
  <si>
    <t>522829841808166</t>
  </si>
  <si>
    <t>8959300520561486799</t>
  </si>
  <si>
    <t>995845209</t>
  </si>
  <si>
    <t>526741892255773</t>
  </si>
  <si>
    <t>8959300120522506288</t>
  </si>
  <si>
    <t>995857141</t>
  </si>
  <si>
    <t>45625910</t>
  </si>
  <si>
    <t>SALOMON LLANO TOAQUIZA</t>
  </si>
  <si>
    <t>1710041482</t>
  </si>
  <si>
    <t>SAN JUAN DE PASTOCALLE</t>
  </si>
  <si>
    <t>524161792139351</t>
  </si>
  <si>
    <t>8959300120521829954</t>
  </si>
  <si>
    <t>995865286</t>
  </si>
  <si>
    <t>45637644</t>
  </si>
  <si>
    <t>ERICKA VANESSA GONZALEZ HERAZO</t>
  </si>
  <si>
    <t>0706458270</t>
  </si>
  <si>
    <t>500609573940965</t>
  </si>
  <si>
    <t>8959300120522637448</t>
  </si>
  <si>
    <t>995870823</t>
  </si>
  <si>
    <t>45709727</t>
  </si>
  <si>
    <t>SILVANA VANESSA NARVAEZ CHIMARRO</t>
  </si>
  <si>
    <t>1750045286</t>
  </si>
  <si>
    <t>998173377915466</t>
  </si>
  <si>
    <t>8959300120519905121</t>
  </si>
  <si>
    <t>995878577</t>
  </si>
  <si>
    <t>45617386</t>
  </si>
  <si>
    <t>ROSA MERCEDES ANDRADE GOMEZ</t>
  </si>
  <si>
    <t>0906636030</t>
  </si>
  <si>
    <t>356236047375175</t>
  </si>
  <si>
    <t>8959300601204390497</t>
  </si>
  <si>
    <t>995905327</t>
  </si>
  <si>
    <t>332974673038134</t>
  </si>
  <si>
    <t>8959300120522530858</t>
  </si>
  <si>
    <t>995907296</t>
  </si>
  <si>
    <t>45657631</t>
  </si>
  <si>
    <t>LUIS ANIBAL ANDRADE NAVAS</t>
  </si>
  <si>
    <t>1000557353</t>
  </si>
  <si>
    <t>013525241221051</t>
  </si>
  <si>
    <t>8959300520560377270</t>
  </si>
  <si>
    <t>995908576</t>
  </si>
  <si>
    <t>45681779</t>
  </si>
  <si>
    <t>MARIA ALEXANDRA FLORES JIMA</t>
  </si>
  <si>
    <t>1723367437</t>
  </si>
  <si>
    <t>895185420044668</t>
  </si>
  <si>
    <t>8959300520561493381</t>
  </si>
  <si>
    <t>995920398</t>
  </si>
  <si>
    <t>45715314</t>
  </si>
  <si>
    <t>ANGEL ANIBAL JACOME GUACHAMIN</t>
  </si>
  <si>
    <t>1708895519</t>
  </si>
  <si>
    <t>000000264208026</t>
  </si>
  <si>
    <t>8959300520561491625</t>
  </si>
  <si>
    <t>995927640</t>
  </si>
  <si>
    <t>45668721</t>
  </si>
  <si>
    <t>ANDRES GUAPI BETUN</t>
  </si>
  <si>
    <t>0601608342</t>
  </si>
  <si>
    <t>456982195497597</t>
  </si>
  <si>
    <t>8959300520560350277</t>
  </si>
  <si>
    <t>995940930</t>
  </si>
  <si>
    <t>45698234</t>
  </si>
  <si>
    <t>JHONNY SAUL ARREAGA SAQUICELA</t>
  </si>
  <si>
    <t>0705352011</t>
  </si>
  <si>
    <t>359276809529152</t>
  </si>
  <si>
    <t>8959300520560320494</t>
  </si>
  <si>
    <t>995945919</t>
  </si>
  <si>
    <t>45637696</t>
  </si>
  <si>
    <t>EDI JOSE GALLEGOS MACAS</t>
  </si>
  <si>
    <t>0704313774</t>
  </si>
  <si>
    <t>541295682378734</t>
  </si>
  <si>
    <t>8959300120522637398</t>
  </si>
  <si>
    <t>995946602</t>
  </si>
  <si>
    <t>45656878</t>
  </si>
  <si>
    <t>DE LOS ANGELES SAQUICARAY MARIA</t>
  </si>
  <si>
    <t>0101540615</t>
  </si>
  <si>
    <t>PUYO</t>
  </si>
  <si>
    <t>860834995819613</t>
  </si>
  <si>
    <t>8959300120521054561</t>
  </si>
  <si>
    <t>995956620</t>
  </si>
  <si>
    <t>45639013</t>
  </si>
  <si>
    <t>JEAN CARLOS TAMAYO NIEVES</t>
  </si>
  <si>
    <t>0803445618</t>
  </si>
  <si>
    <t>493522784130343</t>
  </si>
  <si>
    <t>8959300120522532532</t>
  </si>
  <si>
    <t>995968456</t>
  </si>
  <si>
    <t>45684776</t>
  </si>
  <si>
    <t>MARIA FERNANDA SALGUERO PICON</t>
  </si>
  <si>
    <t>0104581178</t>
  </si>
  <si>
    <t>353092050463199</t>
  </si>
  <si>
    <t>8959300120522506585</t>
  </si>
  <si>
    <t>995971268</t>
  </si>
  <si>
    <t>41028601</t>
  </si>
  <si>
    <t>ALEX JAVIER GUERRERO CARRERA</t>
  </si>
  <si>
    <t>1750884932</t>
  </si>
  <si>
    <t>106840647395161</t>
  </si>
  <si>
    <t>8959300120522533472</t>
  </si>
  <si>
    <t>995979522</t>
  </si>
  <si>
    <t>45697490</t>
  </si>
  <si>
    <t>ANA LUCIA LOPEZ LLERENA</t>
  </si>
  <si>
    <t>1713019873</t>
  </si>
  <si>
    <t>507270822265820</t>
  </si>
  <si>
    <t>8959300520561485841</t>
  </si>
  <si>
    <t>995988606</t>
  </si>
  <si>
    <t>45682477</t>
  </si>
  <si>
    <t>FERNANDO ISRAEL QUINDE SIGUA</t>
  </si>
  <si>
    <t>0105539290</t>
  </si>
  <si>
    <t>000000262085244</t>
  </si>
  <si>
    <t>8959300120522506577</t>
  </si>
  <si>
    <t>996713385</t>
  </si>
  <si>
    <t>22045104</t>
  </si>
  <si>
    <t>OLVER ROQUE BRAVO VENEGAS</t>
  </si>
  <si>
    <t>1708516628</t>
  </si>
  <si>
    <t>351968076584161</t>
  </si>
  <si>
    <t>8959300400529656637</t>
  </si>
  <si>
    <t>996853777</t>
  </si>
  <si>
    <t>45637241</t>
  </si>
  <si>
    <t>EDWIN LEONARDO UYAGUARI ZHAGUI</t>
  </si>
  <si>
    <t>0106789324</t>
  </si>
  <si>
    <t>523029026693371</t>
  </si>
  <si>
    <t>8959300120521054108</t>
  </si>
  <si>
    <t>997046165</t>
  </si>
  <si>
    <t>45668839</t>
  </si>
  <si>
    <t>ISIDRO CLEMENTE HERRERA ZAMBRANO</t>
  </si>
  <si>
    <t>0802367292</t>
  </si>
  <si>
    <t>354760058444556</t>
  </si>
  <si>
    <t>8959300520560349618</t>
  </si>
  <si>
    <t>997071313</t>
  </si>
  <si>
    <t>45623103</t>
  </si>
  <si>
    <t>DIEGO GUILLERMO FERNANDEZ FERNANDEZ</t>
  </si>
  <si>
    <t>0102277225</t>
  </si>
  <si>
    <t>861226499102894</t>
  </si>
  <si>
    <t>8959300620520570376</t>
  </si>
  <si>
    <t>997323844</t>
  </si>
  <si>
    <t>45615095</t>
  </si>
  <si>
    <t>LUIS GERMAN VENEGAS BUSTILLOS</t>
  </si>
  <si>
    <t>1703689164</t>
  </si>
  <si>
    <t>356795951097653</t>
  </si>
  <si>
    <t>8959300120522530585</t>
  </si>
  <si>
    <t>997697764</t>
  </si>
  <si>
    <t>45645353</t>
  </si>
  <si>
    <t>FRANCISCO AURELIANO CONTRERAS DOMINGUEZ</t>
  </si>
  <si>
    <t>0101247674</t>
  </si>
  <si>
    <t>339179407781222</t>
  </si>
  <si>
    <t>8959300420557797772</t>
  </si>
  <si>
    <t>997720880</t>
  </si>
  <si>
    <t>45712213</t>
  </si>
  <si>
    <t>GUADALUPE DEL CARMEN GRANDA TORRES</t>
  </si>
  <si>
    <t>0100972215</t>
  </si>
  <si>
    <t>520052909080998</t>
  </si>
  <si>
    <t>8959300320515211991</t>
  </si>
  <si>
    <t>997987862</t>
  </si>
  <si>
    <t>45684141</t>
  </si>
  <si>
    <t>WILSON MAURICIO MARIN GONZALEZ</t>
  </si>
  <si>
    <t>0704357565</t>
  </si>
  <si>
    <t>309939782646670</t>
  </si>
  <si>
    <t>8959300520560319637</t>
  </si>
  <si>
    <t>998012919</t>
  </si>
  <si>
    <t>43405842</t>
  </si>
  <si>
    <t>MARIA CRISTINA ANDRADE BURBANO</t>
  </si>
  <si>
    <t>0104092895</t>
  </si>
  <si>
    <t>106564291509568</t>
  </si>
  <si>
    <t>8959300120521835159</t>
  </si>
  <si>
    <t>998033062</t>
  </si>
  <si>
    <t>45704091</t>
  </si>
  <si>
    <t>CARLOS HERNAN ZAMORA ORDOÑEZ</t>
  </si>
  <si>
    <t>0101436293</t>
  </si>
  <si>
    <t>996817482255257</t>
  </si>
  <si>
    <t>8959300120522506833</t>
  </si>
  <si>
    <t>998033145</t>
  </si>
  <si>
    <t>45637042</t>
  </si>
  <si>
    <t>VICTOR GABRIEL PEREZ CADENA</t>
  </si>
  <si>
    <t>0400726345</t>
  </si>
  <si>
    <t>011388007972702</t>
  </si>
  <si>
    <t>8959300120521827545</t>
  </si>
  <si>
    <t>998035874</t>
  </si>
  <si>
    <t>45688688</t>
  </si>
  <si>
    <t>LUIYE JAVIER CASTAÑEDA CASTAÑEDA</t>
  </si>
  <si>
    <t>086244819</t>
  </si>
  <si>
    <t>444057082799671</t>
  </si>
  <si>
    <t>8959300120522506155</t>
  </si>
  <si>
    <t>998045388</t>
  </si>
  <si>
    <t>45671949</t>
  </si>
  <si>
    <t>DIEGO MAURICIO YANDUN LAGOS</t>
  </si>
  <si>
    <t>1721107801</t>
  </si>
  <si>
    <t>354541015437903</t>
  </si>
  <si>
    <t>8959300520560350509</t>
  </si>
  <si>
    <t>998061446</t>
  </si>
  <si>
    <t>45675875</t>
  </si>
  <si>
    <t>NELSON MARCELO MAYORGA OÑA</t>
  </si>
  <si>
    <t>1718944778</t>
  </si>
  <si>
    <t>440159594455950</t>
  </si>
  <si>
    <t>8959300520561492656</t>
  </si>
  <si>
    <t>998062780</t>
  </si>
  <si>
    <t>45624456</t>
  </si>
  <si>
    <t>RUTH YOLANDA GADVAY GADVAY</t>
  </si>
  <si>
    <t>0603150376</t>
  </si>
  <si>
    <t>000000240112565</t>
  </si>
  <si>
    <t>8959300120522528894</t>
  </si>
  <si>
    <t>998075517</t>
  </si>
  <si>
    <t>45625402</t>
  </si>
  <si>
    <t>MANUEL JESUS SEGUNDO ROMERO CHIMBORAZO</t>
  </si>
  <si>
    <t>0300422698</t>
  </si>
  <si>
    <t>452589021392092</t>
  </si>
  <si>
    <t>8959300120521053704</t>
  </si>
  <si>
    <t>998082222</t>
  </si>
  <si>
    <t>40159333</t>
  </si>
  <si>
    <t>FRANCISCO JAVIER ESCALANTE PALACIO</t>
  </si>
  <si>
    <t>1711083269</t>
  </si>
  <si>
    <t>454857796887754</t>
  </si>
  <si>
    <t>8959300520561485916</t>
  </si>
  <si>
    <t>998085176</t>
  </si>
  <si>
    <t>45632526</t>
  </si>
  <si>
    <t>MYRIAM ANGELICA FLORES QUELAL</t>
  </si>
  <si>
    <t>1721165700</t>
  </si>
  <si>
    <t>355108340318833</t>
  </si>
  <si>
    <t>8959300120522534132</t>
  </si>
  <si>
    <t>998086680</t>
  </si>
  <si>
    <t>45667611</t>
  </si>
  <si>
    <t>DANIELA CRISTINA VANEGAS TACURI</t>
  </si>
  <si>
    <t>0105732085</t>
  </si>
  <si>
    <t>918554225215026</t>
  </si>
  <si>
    <t>8959300420509768012</t>
  </si>
  <si>
    <t>998094270</t>
  </si>
  <si>
    <t>45618674</t>
  </si>
  <si>
    <t>GEMA LISBETH PESANTEZ FRANCO</t>
  </si>
  <si>
    <t>1311306433</t>
  </si>
  <si>
    <t>522460486715613</t>
  </si>
  <si>
    <t>8959300120521053936</t>
  </si>
  <si>
    <t>998097763</t>
  </si>
  <si>
    <t>45705754</t>
  </si>
  <si>
    <t>GUILLERMO ISIDRO CISNEROS JARAMILLO</t>
  </si>
  <si>
    <t>1700094426</t>
  </si>
  <si>
    <t>359675691075101</t>
  </si>
  <si>
    <t>8959300120519905113</t>
  </si>
  <si>
    <t>LTE IPHONE 14 128GB NEGRO CH32408</t>
  </si>
  <si>
    <t>998098508</t>
  </si>
  <si>
    <t>45672374</t>
  </si>
  <si>
    <t>JEFFERSON GEOVANNY AREVALO CHIGUANO</t>
  </si>
  <si>
    <t>1722539630</t>
  </si>
  <si>
    <t>000000016941510</t>
  </si>
  <si>
    <t>8959300520561489728</t>
  </si>
  <si>
    <t>998102188</t>
  </si>
  <si>
    <t>501604859703236</t>
  </si>
  <si>
    <t>8959300520561494256</t>
  </si>
  <si>
    <t>998107608</t>
  </si>
  <si>
    <t>45715113</t>
  </si>
  <si>
    <t>CRISTIAN ALEXANDER LOPEZ GUZMAN</t>
  </si>
  <si>
    <t>1723726970</t>
  </si>
  <si>
    <t>000000220968861</t>
  </si>
  <si>
    <t>8959300520561491518</t>
  </si>
  <si>
    <t>998116830</t>
  </si>
  <si>
    <t>43427849</t>
  </si>
  <si>
    <t>DANNY MARCELO CANTUÑA ARMAS</t>
  </si>
  <si>
    <t>1717295099</t>
  </si>
  <si>
    <t>864331066174925</t>
  </si>
  <si>
    <t>8959300120522633579</t>
  </si>
  <si>
    <t>LTE HONOR X8 AZUL CH31653</t>
  </si>
  <si>
    <t>998117485</t>
  </si>
  <si>
    <t>45661437</t>
  </si>
  <si>
    <t>EKATERINA GRANDA</t>
  </si>
  <si>
    <t>754960872</t>
  </si>
  <si>
    <t>106232523477547</t>
  </si>
  <si>
    <t>8959300520561493506</t>
  </si>
  <si>
    <t>998121799</t>
  </si>
  <si>
    <t>45712110</t>
  </si>
  <si>
    <t>JORGE FERNANDO ANCHUNDIA REINOSO</t>
  </si>
  <si>
    <t>0104626908</t>
  </si>
  <si>
    <t>000000264294356</t>
  </si>
  <si>
    <t>8959300120522506981</t>
  </si>
  <si>
    <t>998126587</t>
  </si>
  <si>
    <t>45618193</t>
  </si>
  <si>
    <t>FRANKLIN MARCELO CALAPAQUI CHISAGUANO</t>
  </si>
  <si>
    <t>1727557561</t>
  </si>
  <si>
    <t>454139448452182</t>
  </si>
  <si>
    <t>8959300120522529801</t>
  </si>
  <si>
    <t>998128881</t>
  </si>
  <si>
    <t>45681142</t>
  </si>
  <si>
    <t>MAGALY LIZETH GUANOQUIZA PACHACAMA</t>
  </si>
  <si>
    <t>1726233008</t>
  </si>
  <si>
    <t>000000197430739</t>
  </si>
  <si>
    <t>8959300520561493035</t>
  </si>
  <si>
    <t>998150207</t>
  </si>
  <si>
    <t>45637685</t>
  </si>
  <si>
    <t>FULGENCIO QUISHPE AYALA</t>
  </si>
  <si>
    <t>0501817498</t>
  </si>
  <si>
    <t>999318861113792</t>
  </si>
  <si>
    <t>8959300120519905824</t>
  </si>
  <si>
    <t>998154855</t>
  </si>
  <si>
    <t>45658715</t>
  </si>
  <si>
    <t>YADIRA ESPERANZA ARROBO VICENTE</t>
  </si>
  <si>
    <t>0704893403</t>
  </si>
  <si>
    <t>502973864248407</t>
  </si>
  <si>
    <t>8959300520559103935</t>
  </si>
  <si>
    <t>998159467</t>
  </si>
  <si>
    <t>45698834</t>
  </si>
  <si>
    <t>ROSA INES DUCHI DUY</t>
  </si>
  <si>
    <t>0301843132</t>
  </si>
  <si>
    <t>357302045835781</t>
  </si>
  <si>
    <t>8959300520520456008</t>
  </si>
  <si>
    <t>998165690</t>
  </si>
  <si>
    <t>45643286</t>
  </si>
  <si>
    <t>LIBIA JOSEFINA BERMEO CAMPOVERDE</t>
  </si>
  <si>
    <t>1400144166</t>
  </si>
  <si>
    <t>493655610042934</t>
  </si>
  <si>
    <t>8959300120521054355</t>
  </si>
  <si>
    <t>998168630</t>
  </si>
  <si>
    <t>45698224</t>
  </si>
  <si>
    <t>PATRICIO VICENTE ASCARIBAY CARRION</t>
  </si>
  <si>
    <t>0103828182</t>
  </si>
  <si>
    <t>000000236672143</t>
  </si>
  <si>
    <t>8959300520560326178</t>
  </si>
  <si>
    <t>998168688</t>
  </si>
  <si>
    <t>45689695</t>
  </si>
  <si>
    <t>JOSE MAXIMILIANO MORA CULCAY</t>
  </si>
  <si>
    <t>0107643306</t>
  </si>
  <si>
    <t>446923209253934</t>
  </si>
  <si>
    <t>8959300120522506171</t>
  </si>
  <si>
    <t>998168767</t>
  </si>
  <si>
    <t>45642625</t>
  </si>
  <si>
    <t>AIDA MONICA PILATAXI CAÑAREJO</t>
  </si>
  <si>
    <t>1717417099</t>
  </si>
  <si>
    <t>354729084033568</t>
  </si>
  <si>
    <t>8959300120522631995</t>
  </si>
  <si>
    <t>998194347</t>
  </si>
  <si>
    <t>45712073</t>
  </si>
  <si>
    <t>MARIA ISABEL ARIAS MENA</t>
  </si>
  <si>
    <t>1715106603</t>
  </si>
  <si>
    <t>000000263268609</t>
  </si>
  <si>
    <t>8959300520561487490</t>
  </si>
  <si>
    <t>998198391</t>
  </si>
  <si>
    <t>45716172</t>
  </si>
  <si>
    <t>OMAR GABRIEL PULUPA JARAMILLO PULUPA JARAMILLO</t>
  </si>
  <si>
    <t>1719502880</t>
  </si>
  <si>
    <t>500602659667248</t>
  </si>
  <si>
    <t>8959300520561491740</t>
  </si>
  <si>
    <t>998204481</t>
  </si>
  <si>
    <t>981247528380678</t>
  </si>
  <si>
    <t>8959300520560350335</t>
  </si>
  <si>
    <t>998213266</t>
  </si>
  <si>
    <t>45638195</t>
  </si>
  <si>
    <t>307756302887846</t>
  </si>
  <si>
    <t>8959300120525807360</t>
  </si>
  <si>
    <t>998221082</t>
  </si>
  <si>
    <t>45683354</t>
  </si>
  <si>
    <t>ROCIO DEL PILAR DACTO VACA</t>
  </si>
  <si>
    <t>1707130892</t>
  </si>
  <si>
    <t>011734002982990</t>
  </si>
  <si>
    <t>8959300520561486062</t>
  </si>
  <si>
    <t>998226815</t>
  </si>
  <si>
    <t>45704410</t>
  </si>
  <si>
    <t>MERCEDES JESSENIA REYES MENDEZ</t>
  </si>
  <si>
    <t>0920886173</t>
  </si>
  <si>
    <t>994451172281035</t>
  </si>
  <si>
    <t>8959300520560352067</t>
  </si>
  <si>
    <t>998231708</t>
  </si>
  <si>
    <t>45645728</t>
  </si>
  <si>
    <t>CRISTIAN JAVIER CRUZ ROMERO</t>
  </si>
  <si>
    <t>1720019478</t>
  </si>
  <si>
    <t>012025527508769</t>
  </si>
  <si>
    <t>8959300120522530668</t>
  </si>
  <si>
    <t>998232899</t>
  </si>
  <si>
    <t>45619820</t>
  </si>
  <si>
    <t>CARLOS VICENTE ESPINOZA VALAREZO</t>
  </si>
  <si>
    <t>0702147315</t>
  </si>
  <si>
    <t>866440023436430</t>
  </si>
  <si>
    <t>8959300320503012492</t>
  </si>
  <si>
    <t>998233032</t>
  </si>
  <si>
    <t>45630726</t>
  </si>
  <si>
    <t>JONATHAN ALBERTO GARCIA SANDOVAL</t>
  </si>
  <si>
    <t>1761276730</t>
  </si>
  <si>
    <t>352394852370932</t>
  </si>
  <si>
    <t>8959300120521826752</t>
  </si>
  <si>
    <t>998244819</t>
  </si>
  <si>
    <t>45645962</t>
  </si>
  <si>
    <t>MAURICIO ANTONIO ESCOBAR CAÑIZARES</t>
  </si>
  <si>
    <t>1709426884</t>
  </si>
  <si>
    <t>547026448325048</t>
  </si>
  <si>
    <t>8959300520560350293</t>
  </si>
  <si>
    <t>998247214</t>
  </si>
  <si>
    <t>45359776</t>
  </si>
  <si>
    <t>MARTHA CECILIA LUNA CALLE</t>
  </si>
  <si>
    <t>1704830122</t>
  </si>
  <si>
    <t>997623390509036</t>
  </si>
  <si>
    <t>8959300120519904629</t>
  </si>
  <si>
    <t>998249548</t>
  </si>
  <si>
    <t>011907004001155</t>
  </si>
  <si>
    <t>8959300320515094371</t>
  </si>
  <si>
    <t>998249839</t>
  </si>
  <si>
    <t>45715194</t>
  </si>
  <si>
    <t>CLAUDIA BETSABE OLIVO FLORES</t>
  </si>
  <si>
    <t>1726080474</t>
  </si>
  <si>
    <t>000000214976607</t>
  </si>
  <si>
    <t>8959300520560351648</t>
  </si>
  <si>
    <t>998250291</t>
  </si>
  <si>
    <t>30298375</t>
  </si>
  <si>
    <t>LUIS ALFONSO CHANGOTASIG LIDIOMA</t>
  </si>
  <si>
    <t>1712722279</t>
  </si>
  <si>
    <t>000000193531571</t>
  </si>
  <si>
    <t>8959300420528522408</t>
  </si>
  <si>
    <t>998254976</t>
  </si>
  <si>
    <t>355742033419746</t>
  </si>
  <si>
    <t>8959300120522533084</t>
  </si>
  <si>
    <t>998265533</t>
  </si>
  <si>
    <t>45692805</t>
  </si>
  <si>
    <t>SOFIA BELEN SAGÑAY MORILLO</t>
  </si>
  <si>
    <t>1718925629</t>
  </si>
  <si>
    <t>000000263783375</t>
  </si>
  <si>
    <t>8959300520561490742</t>
  </si>
  <si>
    <t>998267093</t>
  </si>
  <si>
    <t>45618950</t>
  </si>
  <si>
    <t>JARITZA VIVIANA ORTIZ BARCIA</t>
  </si>
  <si>
    <t>0805162690</t>
  </si>
  <si>
    <t>985025076790670</t>
  </si>
  <si>
    <t>8959300120522528829</t>
  </si>
  <si>
    <t>998278173</t>
  </si>
  <si>
    <t>45653123</t>
  </si>
  <si>
    <t>CRUZ YANIRA LOOR RODRIGUEZ</t>
  </si>
  <si>
    <t>1718145095</t>
  </si>
  <si>
    <t>520014891203590</t>
  </si>
  <si>
    <t>8959300120522531104</t>
  </si>
  <si>
    <t>998290598</t>
  </si>
  <si>
    <t>45659037</t>
  </si>
  <si>
    <t>TANIA JAHAIRA RIVERA PARRALES</t>
  </si>
  <si>
    <t>1305058974</t>
  </si>
  <si>
    <t>000000244155412</t>
  </si>
  <si>
    <t>8959300320536588716</t>
  </si>
  <si>
    <t>998292953</t>
  </si>
  <si>
    <t>45652391</t>
  </si>
  <si>
    <t>MONICA ALEXANDRA YEPEZ MADRUÑERO</t>
  </si>
  <si>
    <t>1713338620</t>
  </si>
  <si>
    <t>513180681109294</t>
  </si>
  <si>
    <t>8959300120522632217</t>
  </si>
  <si>
    <t>998298470</t>
  </si>
  <si>
    <t>45715308</t>
  </si>
  <si>
    <t>LUIS ALFONSO PAEZ NARANJO</t>
  </si>
  <si>
    <t>1703764264</t>
  </si>
  <si>
    <t>998060341818241</t>
  </si>
  <si>
    <t>8959300520561491633</t>
  </si>
  <si>
    <t>998300218</t>
  </si>
  <si>
    <t>45668262</t>
  </si>
  <si>
    <t>FRANCIA ELITA TULCAN CORAL</t>
  </si>
  <si>
    <t>0401107891</t>
  </si>
  <si>
    <t>000000265581066</t>
  </si>
  <si>
    <t>8959300520560349832</t>
  </si>
  <si>
    <t>998301971</t>
  </si>
  <si>
    <t>45639176</t>
  </si>
  <si>
    <t>NANCY VIVIANA CORONADO MONTERO</t>
  </si>
  <si>
    <t>0702774506</t>
  </si>
  <si>
    <t>998081598155012</t>
  </si>
  <si>
    <t>8959300120522637521</t>
  </si>
  <si>
    <t>998316075</t>
  </si>
  <si>
    <t>45716989</t>
  </si>
  <si>
    <t>JESSICA ESTEFANIA SALAVARRIA MOREIRA</t>
  </si>
  <si>
    <t>1725595720</t>
  </si>
  <si>
    <t>545857720294037</t>
  </si>
  <si>
    <t>8959300520560351770</t>
  </si>
  <si>
    <t>998341033</t>
  </si>
  <si>
    <t>45668153</t>
  </si>
  <si>
    <t>FRANKLIN GIOVANNY CHAFLA VASQUEZ</t>
  </si>
  <si>
    <t>1724254196</t>
  </si>
  <si>
    <t>987362233463000</t>
  </si>
  <si>
    <t>8959300520561490163</t>
  </si>
  <si>
    <t>998343386</t>
  </si>
  <si>
    <t>45637464</t>
  </si>
  <si>
    <t>MICHELLE VIVIANA BALSECA TANDAZO</t>
  </si>
  <si>
    <t>1721890448</t>
  </si>
  <si>
    <t>000000260409578</t>
  </si>
  <si>
    <t>8959300120515232132</t>
  </si>
  <si>
    <t>998354564</t>
  </si>
  <si>
    <t>45715619</t>
  </si>
  <si>
    <t>KLEBER NEPTALI LICTA TOAQUIZA</t>
  </si>
  <si>
    <t>0504555483</t>
  </si>
  <si>
    <t>000000238673321</t>
  </si>
  <si>
    <t>8959300520557831925</t>
  </si>
  <si>
    <t>998356019</t>
  </si>
  <si>
    <t>45667755</t>
  </si>
  <si>
    <t>ERIKA MARISOL DELEG TADAY</t>
  </si>
  <si>
    <t>0107221228</t>
  </si>
  <si>
    <t>355200051455050</t>
  </si>
  <si>
    <t>8959300520560329230</t>
  </si>
  <si>
    <t>998363656</t>
  </si>
  <si>
    <t>45710090</t>
  </si>
  <si>
    <t>DARWIN EDUARDO REINOSO IBARRA</t>
  </si>
  <si>
    <t>1720168838</t>
  </si>
  <si>
    <t>000000190217018</t>
  </si>
  <si>
    <t>8959300520561486765</t>
  </si>
  <si>
    <t>998367023</t>
  </si>
  <si>
    <t>45654022</t>
  </si>
  <si>
    <t>DIEGO FERNANDO QUEZADA JIMENEZ</t>
  </si>
  <si>
    <t>0705012615</t>
  </si>
  <si>
    <t>308394504642584</t>
  </si>
  <si>
    <t>8959300520560319744</t>
  </si>
  <si>
    <t>998378962</t>
  </si>
  <si>
    <t>45682887</t>
  </si>
  <si>
    <t>EDGAR VINICIO TOAPANTA MORENO</t>
  </si>
  <si>
    <t>1720844412</t>
  </si>
  <si>
    <t>331441255506111</t>
  </si>
  <si>
    <t>8959300520561493407</t>
  </si>
  <si>
    <t>998413556</t>
  </si>
  <si>
    <t>45661759</t>
  </si>
  <si>
    <t>MARIA FRANCISCA CHICAIZA GUAMAN</t>
  </si>
  <si>
    <t>0300849312</t>
  </si>
  <si>
    <t>000000228009114</t>
  </si>
  <si>
    <t>8959300320525489736</t>
  </si>
  <si>
    <t>998424166</t>
  </si>
  <si>
    <t>45629514</t>
  </si>
  <si>
    <t>MILTON IVAN TADAY TADAY TADAY TADAY</t>
  </si>
  <si>
    <t>1726827908</t>
  </si>
  <si>
    <t>000000247146442</t>
  </si>
  <si>
    <t>8959300120522534017</t>
  </si>
  <si>
    <t>998438749</t>
  </si>
  <si>
    <t>45710383</t>
  </si>
  <si>
    <t>EDDY GUSTAVO TACO ATUPAÑA</t>
  </si>
  <si>
    <t>0550410146</t>
  </si>
  <si>
    <t>000000203686316</t>
  </si>
  <si>
    <t>8959300520561486773</t>
  </si>
  <si>
    <t>998446047</t>
  </si>
  <si>
    <t>45618408</t>
  </si>
  <si>
    <t>331747146754656</t>
  </si>
  <si>
    <t>8959300120522636903</t>
  </si>
  <si>
    <t>998448129</t>
  </si>
  <si>
    <t>45645240</t>
  </si>
  <si>
    <t>ZOILA JOHANNA CAJAMARCA PILLACELA</t>
  </si>
  <si>
    <t>0106942600</t>
  </si>
  <si>
    <t>000000259802528</t>
  </si>
  <si>
    <t>8959300120521835472</t>
  </si>
  <si>
    <t>998456827</t>
  </si>
  <si>
    <t>45617570</t>
  </si>
  <si>
    <t>LUIS ALFONSO YANES TAIPE</t>
  </si>
  <si>
    <t>1704891645</t>
  </si>
  <si>
    <t>532729332010744</t>
  </si>
  <si>
    <t>8959300120522529793</t>
  </si>
  <si>
    <t>998460155</t>
  </si>
  <si>
    <t>45688929</t>
  </si>
  <si>
    <t>GERLY GIRALDO SANCHEZ</t>
  </si>
  <si>
    <t>1761445780</t>
  </si>
  <si>
    <t>000000260431432</t>
  </si>
  <si>
    <t>8959300520561493209</t>
  </si>
  <si>
    <t>998463655</t>
  </si>
  <si>
    <t>45698356</t>
  </si>
  <si>
    <t>GLADYS ESPERANZA QUIZHPI MERCHAN</t>
  </si>
  <si>
    <t>0101300184</t>
  </si>
  <si>
    <t>011388004412819</t>
  </si>
  <si>
    <t>8959300620521524000</t>
  </si>
  <si>
    <t>998464754</t>
  </si>
  <si>
    <t>45617787</t>
  </si>
  <si>
    <t>JULIA ELIZABETH TREJO HIDALGO</t>
  </si>
  <si>
    <t>0800137994</t>
  </si>
  <si>
    <t>356045061955808</t>
  </si>
  <si>
    <t>8959300120519905436</t>
  </si>
  <si>
    <t>998471860</t>
  </si>
  <si>
    <t>45721337</t>
  </si>
  <si>
    <t>510326732287851</t>
  </si>
  <si>
    <t>8959300520561492433</t>
  </si>
  <si>
    <t>998477265</t>
  </si>
  <si>
    <t>45643509</t>
  </si>
  <si>
    <t>WILLIAMS FERNANDO MENDOZA SUQUILLO</t>
  </si>
  <si>
    <t>1714144688</t>
  </si>
  <si>
    <t>300520516609249</t>
  </si>
  <si>
    <t>8959300120522531377</t>
  </si>
  <si>
    <t>998499414</t>
  </si>
  <si>
    <t>45703432</t>
  </si>
  <si>
    <t>SELENE DAYANNA PILATASIG BALLESTEROS</t>
  </si>
  <si>
    <t>1719158782</t>
  </si>
  <si>
    <t>000000224490482</t>
  </si>
  <si>
    <t>8959300520561486625</t>
  </si>
  <si>
    <t>998509114</t>
  </si>
  <si>
    <t>45681785</t>
  </si>
  <si>
    <t>JORGE ANIBAL IZA TOAPANTA</t>
  </si>
  <si>
    <t>1704210572</t>
  </si>
  <si>
    <t>352423011861232</t>
  </si>
  <si>
    <t>8959300320535879967</t>
  </si>
  <si>
    <t>998510304</t>
  </si>
  <si>
    <t>45697503</t>
  </si>
  <si>
    <t>353180110839183</t>
  </si>
  <si>
    <t>8959300520560320593</t>
  </si>
  <si>
    <t>998514741</t>
  </si>
  <si>
    <t>45628420</t>
  </si>
  <si>
    <t>GENESIS DAYANA GUAMAN CHAPACA</t>
  </si>
  <si>
    <t>1753739638</t>
  </si>
  <si>
    <t>102593928085118</t>
  </si>
  <si>
    <t>8959300120522533076</t>
  </si>
  <si>
    <t>998521455</t>
  </si>
  <si>
    <t>45681156</t>
  </si>
  <si>
    <t>MANUEL ALEJANDRO ALVAREZ ALVAREZ</t>
  </si>
  <si>
    <t>0100966605</t>
  </si>
  <si>
    <t>300500617300567</t>
  </si>
  <si>
    <t>8959300120522505686</t>
  </si>
  <si>
    <t>998540397</t>
  </si>
  <si>
    <t>14084444</t>
  </si>
  <si>
    <t>BLANCA LUCIA RODRIGUEZ ATIENCIE</t>
  </si>
  <si>
    <t>0101513943</t>
  </si>
  <si>
    <t>000000232199869</t>
  </si>
  <si>
    <t>8959300520560326418</t>
  </si>
  <si>
    <t>998541357</t>
  </si>
  <si>
    <t>013777636640276</t>
  </si>
  <si>
    <t>8959300120525757490</t>
  </si>
  <si>
    <t>998542156</t>
  </si>
  <si>
    <t>45637492</t>
  </si>
  <si>
    <t>MARIA ROSA HERLINDA TACURI CHAMBA</t>
  </si>
  <si>
    <t>0102328051</t>
  </si>
  <si>
    <t>000000238990345</t>
  </si>
  <si>
    <t>8959300320531431441</t>
  </si>
  <si>
    <t>998549624</t>
  </si>
  <si>
    <t>45690362</t>
  </si>
  <si>
    <t>FRANKLIN WLADIMIR SALGUERO CRUZ</t>
  </si>
  <si>
    <t>1707859847</t>
  </si>
  <si>
    <t>543945555849025</t>
  </si>
  <si>
    <t>8959300520561493167</t>
  </si>
  <si>
    <t>998550415</t>
  </si>
  <si>
    <t>28119573</t>
  </si>
  <si>
    <t>JUAN CARLOS FAJARDO PEÑALOZA</t>
  </si>
  <si>
    <t>0104474176</t>
  </si>
  <si>
    <t>440125611374789</t>
  </si>
  <si>
    <t>8959300120521053688</t>
  </si>
  <si>
    <t>998560891</t>
  </si>
  <si>
    <t>45696256</t>
  </si>
  <si>
    <t>SILVIA MARGARITA DEL CORRAL MORA</t>
  </si>
  <si>
    <t>1705225215</t>
  </si>
  <si>
    <t>012064000988628</t>
  </si>
  <si>
    <t>8959300320503853184</t>
  </si>
  <si>
    <t>998562696</t>
  </si>
  <si>
    <t>45625850</t>
  </si>
  <si>
    <t>FRANKLIN EDUARDO QUINATOA PAUCAR</t>
  </si>
  <si>
    <t>1713908935</t>
  </si>
  <si>
    <t>915355029694181</t>
  </si>
  <si>
    <t>8959300120522533365</t>
  </si>
  <si>
    <t>998563499</t>
  </si>
  <si>
    <t>45684873</t>
  </si>
  <si>
    <t>OSWALDO JAVIER MOROCHO PEREZ</t>
  </si>
  <si>
    <t>1717099459</t>
  </si>
  <si>
    <t>454593018104963</t>
  </si>
  <si>
    <t>8959300120522633280</t>
  </si>
  <si>
    <t>998570429</t>
  </si>
  <si>
    <t>45717576</t>
  </si>
  <si>
    <t>ORVIC JOEL LIQUINCHANA TITO</t>
  </si>
  <si>
    <t>1722196100</t>
  </si>
  <si>
    <t>352119066055528</t>
  </si>
  <si>
    <t>8959300520561492060</t>
  </si>
  <si>
    <t>998571250</t>
  </si>
  <si>
    <t>45695718</t>
  </si>
  <si>
    <t>PABLO EFRAIN VINTIMILLA GONZALEZ</t>
  </si>
  <si>
    <t>0102133592</t>
  </si>
  <si>
    <t>919392989265807</t>
  </si>
  <si>
    <t>8959300120522506254</t>
  </si>
  <si>
    <t>998584368</t>
  </si>
  <si>
    <t>45494668</t>
  </si>
  <si>
    <t>CHRISTIAN JAVIER JAIME VERA</t>
  </si>
  <si>
    <t>1717601775</t>
  </si>
  <si>
    <t>455427373279509</t>
  </si>
  <si>
    <t>8959300520561494066</t>
  </si>
  <si>
    <t>998585388</t>
  </si>
  <si>
    <t>45683291</t>
  </si>
  <si>
    <t>KLEVER ANTONIO ZAMBRANO MUÑOZ</t>
  </si>
  <si>
    <t>0801279373</t>
  </si>
  <si>
    <t>011388000124723</t>
  </si>
  <si>
    <t>8959300520561493316</t>
  </si>
  <si>
    <t>998590739</t>
  </si>
  <si>
    <t>45654631</t>
  </si>
  <si>
    <t>ANGEL FABIAN QUEZADA CUMBICOS</t>
  </si>
  <si>
    <t>1715244792</t>
  </si>
  <si>
    <t>355108340318650</t>
  </si>
  <si>
    <t>8959300520561494207</t>
  </si>
  <si>
    <t>998601913</t>
  </si>
  <si>
    <t>43919208</t>
  </si>
  <si>
    <t>GUADALUPE PATRICIA TOMALO TOAPANTA</t>
  </si>
  <si>
    <t>1712468550</t>
  </si>
  <si>
    <t>351502081668071</t>
  </si>
  <si>
    <t>8959300520513958275</t>
  </si>
  <si>
    <t>998634732</t>
  </si>
  <si>
    <t>45690985</t>
  </si>
  <si>
    <t>ANGELICA LORENA AYALA PILCOREMA AYALA PILCOREMA</t>
  </si>
  <si>
    <t>0703559427</t>
  </si>
  <si>
    <t>000000227706165</t>
  </si>
  <si>
    <t>8959300520560320395</t>
  </si>
  <si>
    <t>998637441</t>
  </si>
  <si>
    <t>45715517</t>
  </si>
  <si>
    <t>LENIN  STALIN SALAZAR QUISHPE</t>
  </si>
  <si>
    <t>1726099474</t>
  </si>
  <si>
    <t>000000239220643</t>
  </si>
  <si>
    <t>8959300520561491641</t>
  </si>
  <si>
    <t>998638518</t>
  </si>
  <si>
    <t>45692716</t>
  </si>
  <si>
    <t>MERY JOHANNA PERUGACHI SANDOVAL</t>
  </si>
  <si>
    <t>1004681092</t>
  </si>
  <si>
    <t>108374590411385</t>
  </si>
  <si>
    <t>8959300520560349535</t>
  </si>
  <si>
    <t>998638542</t>
  </si>
  <si>
    <t>42597185</t>
  </si>
  <si>
    <t>MARTIN GENESIS MELISSA MALDONADO SAN</t>
  </si>
  <si>
    <t>1752227825</t>
  </si>
  <si>
    <t>540738631957596</t>
  </si>
  <si>
    <t>8959300120522637174</t>
  </si>
  <si>
    <t>998642420</t>
  </si>
  <si>
    <t>45702838</t>
  </si>
  <si>
    <t>MALORYE BRIGETTE ACOSTA ANDRADE</t>
  </si>
  <si>
    <t>0104483953</t>
  </si>
  <si>
    <t>351526065653122</t>
  </si>
  <si>
    <t>8959300520560326061</t>
  </si>
  <si>
    <t>998643723</t>
  </si>
  <si>
    <t>45695678</t>
  </si>
  <si>
    <t>MANUEL ESTUARDO BRAVO CALDERON</t>
  </si>
  <si>
    <t>0102137460</t>
  </si>
  <si>
    <t>910773030873864</t>
  </si>
  <si>
    <t>8959300120522507054</t>
  </si>
  <si>
    <t>998645377</t>
  </si>
  <si>
    <t>45623243</t>
  </si>
  <si>
    <t>JUAN JACOBO LEON DELEG</t>
  </si>
  <si>
    <t>0106663701</t>
  </si>
  <si>
    <t>865954063596243</t>
  </si>
  <si>
    <t>8959300520560328687</t>
  </si>
  <si>
    <t>LTE XIAOMI REDMI NOTE 11S NEGRO CH31649</t>
  </si>
  <si>
    <t>998647478</t>
  </si>
  <si>
    <t>45681349</t>
  </si>
  <si>
    <t>POLIVIO GUALLPA QUITO</t>
  </si>
  <si>
    <t>0100748391</t>
  </si>
  <si>
    <t>330855239211772</t>
  </si>
  <si>
    <t>8959300420553229051</t>
  </si>
  <si>
    <t>998677890</t>
  </si>
  <si>
    <t>011644177713452</t>
  </si>
  <si>
    <t>8959300520560352273</t>
  </si>
  <si>
    <t>998683169</t>
  </si>
  <si>
    <t>45684498</t>
  </si>
  <si>
    <t>OSCAR OSWALDO VALENZUELA AGUIRRE</t>
  </si>
  <si>
    <t>1713411500</t>
  </si>
  <si>
    <t>514442400360916</t>
  </si>
  <si>
    <t>8959300120522633256</t>
  </si>
  <si>
    <t>998684900</t>
  </si>
  <si>
    <t>27503333</t>
  </si>
  <si>
    <t>RICHARD WILLIAM CHILLOGALLI TORRES</t>
  </si>
  <si>
    <t>0704203447</t>
  </si>
  <si>
    <t>442813976469058</t>
  </si>
  <si>
    <t>8959300520560319645</t>
  </si>
  <si>
    <t>998689656</t>
  </si>
  <si>
    <t>45702252</t>
  </si>
  <si>
    <t>GIOVANNY ISAAC FAJARDO TOLEDO</t>
  </si>
  <si>
    <t>0102564267</t>
  </si>
  <si>
    <t>000000235982188</t>
  </si>
  <si>
    <t>8959300520560326095</t>
  </si>
  <si>
    <t>998733137</t>
  </si>
  <si>
    <t>45622586</t>
  </si>
  <si>
    <t>BERTHA ARGENTINA IGLESIAS VELEZ</t>
  </si>
  <si>
    <t>0100176122</t>
  </si>
  <si>
    <t>992902543183252</t>
  </si>
  <si>
    <t>8959300120521054009</t>
  </si>
  <si>
    <t>998735739</t>
  </si>
  <si>
    <t>45721574</t>
  </si>
  <si>
    <t>BRITHANY SAMANTHA BENITEZ VALLADARES</t>
  </si>
  <si>
    <t>1727260414</t>
  </si>
  <si>
    <t>000000229616032</t>
  </si>
  <si>
    <t>8959300520561492342</t>
  </si>
  <si>
    <t>998739137</t>
  </si>
  <si>
    <t>41849818</t>
  </si>
  <si>
    <t>JOSE HERNAN GUATEMAL TIPANLUISA</t>
  </si>
  <si>
    <t>1719288878</t>
  </si>
  <si>
    <t>000000260654371</t>
  </si>
  <si>
    <t>8959300120516499268</t>
  </si>
  <si>
    <t>998745143</t>
  </si>
  <si>
    <t>45692466</t>
  </si>
  <si>
    <t>JENNY ROCIO SALTOS CHIMBORAZO</t>
  </si>
  <si>
    <t>1713795571</t>
  </si>
  <si>
    <t>867264030889657</t>
  </si>
  <si>
    <t>8959300520560350798</t>
  </si>
  <si>
    <t>998753786</t>
  </si>
  <si>
    <t>45704430</t>
  </si>
  <si>
    <t>CARMEN ROCIO ESPINOZA GUAMAN</t>
  </si>
  <si>
    <t>0105323075</t>
  </si>
  <si>
    <t>532363974305970</t>
  </si>
  <si>
    <t>8959300520560325972</t>
  </si>
  <si>
    <t>998761631</t>
  </si>
  <si>
    <t>45697744</t>
  </si>
  <si>
    <t>WILSON GUILLERMO FARINANGO IMBAQUINGO</t>
  </si>
  <si>
    <t>1708011687</t>
  </si>
  <si>
    <t>869113065818867</t>
  </si>
  <si>
    <t>8959300120519904942</t>
  </si>
  <si>
    <t>998765116</t>
  </si>
  <si>
    <t>45682061</t>
  </si>
  <si>
    <t>KARLA GABRIELA FUENTES VITERI</t>
  </si>
  <si>
    <t>1717646531</t>
  </si>
  <si>
    <t>530012613887805</t>
  </si>
  <si>
    <t>8959300520560351119</t>
  </si>
  <si>
    <t>998765374</t>
  </si>
  <si>
    <t>45645756</t>
  </si>
  <si>
    <t>JULIO ENRIQUE NUÑEZ SAA</t>
  </si>
  <si>
    <t>0600050934</t>
  </si>
  <si>
    <t>358127037324885</t>
  </si>
  <si>
    <t>8959300120521054462</t>
  </si>
  <si>
    <t>998770633</t>
  </si>
  <si>
    <t>45702564</t>
  </si>
  <si>
    <t>NANCI BEATRIZ ULLAURI SOLANO</t>
  </si>
  <si>
    <t>0701434706</t>
  </si>
  <si>
    <t>520689364478579</t>
  </si>
  <si>
    <t>8959300520560326087</t>
  </si>
  <si>
    <t>998771789</t>
  </si>
  <si>
    <t>24670963</t>
  </si>
  <si>
    <t>000000226059806</t>
  </si>
  <si>
    <t>8959300320524511092</t>
  </si>
  <si>
    <t>998776872</t>
  </si>
  <si>
    <t>45715696</t>
  </si>
  <si>
    <t>ORLANDO CHILUISA VILLACIS</t>
  </si>
  <si>
    <t>0501019434</t>
  </si>
  <si>
    <t>594218368738555</t>
  </si>
  <si>
    <t>8959300520561491690</t>
  </si>
  <si>
    <t>998779870</t>
  </si>
  <si>
    <t>540208727640639</t>
  </si>
  <si>
    <t>8959300120522637356</t>
  </si>
  <si>
    <t>998823374</t>
  </si>
  <si>
    <t>45670954</t>
  </si>
  <si>
    <t>WILLIAM PATRICIO SAGÑAY PILCO</t>
  </si>
  <si>
    <t>1717429649</t>
  </si>
  <si>
    <t>000000211804109</t>
  </si>
  <si>
    <t>8959300520560349774</t>
  </si>
  <si>
    <t>998826665</t>
  </si>
  <si>
    <t>45686261</t>
  </si>
  <si>
    <t>ELIZABETH GOMEZ RESTREPO</t>
  </si>
  <si>
    <t>0915500250</t>
  </si>
  <si>
    <t>522657598665749</t>
  </si>
  <si>
    <t>8959300520561486443</t>
  </si>
  <si>
    <t>998829961</t>
  </si>
  <si>
    <t>45639840</t>
  </si>
  <si>
    <t>ANTHONNY SANTIAGO PANGOL SANTOS</t>
  </si>
  <si>
    <t>0106828353</t>
  </si>
  <si>
    <t>AZOGUES</t>
  </si>
  <si>
    <t>521224806859290</t>
  </si>
  <si>
    <t>8959300120521054306</t>
  </si>
  <si>
    <t>998838945</t>
  </si>
  <si>
    <t>45659205</t>
  </si>
  <si>
    <t>LUIS KLEBER ALCOSER SANGA</t>
  </si>
  <si>
    <t>1723386718</t>
  </si>
  <si>
    <t>000000247637697</t>
  </si>
  <si>
    <t>8959300520561493860</t>
  </si>
  <si>
    <t>998840415</t>
  </si>
  <si>
    <t>45627334</t>
  </si>
  <si>
    <t>RODOLFO CONSTANTINO LOPEZ RAMOS</t>
  </si>
  <si>
    <t>1703318160</t>
  </si>
  <si>
    <t>865172021644324</t>
  </si>
  <si>
    <t>8959300120522533183</t>
  </si>
  <si>
    <t>998856911</t>
  </si>
  <si>
    <t>37948769</t>
  </si>
  <si>
    <t>NORMA ELIZABETH SEGURA GAIBOR</t>
  </si>
  <si>
    <t>1713564498</t>
  </si>
  <si>
    <t>358751057442457</t>
  </si>
  <si>
    <t>8959300520561492953</t>
  </si>
  <si>
    <t>998863513</t>
  </si>
  <si>
    <t>45715819</t>
  </si>
  <si>
    <t>JAIME ENRIQUE TADAY TADAY</t>
  </si>
  <si>
    <t>0107429425</t>
  </si>
  <si>
    <t>353842194257315</t>
  </si>
  <si>
    <t>8959300520560325956</t>
  </si>
  <si>
    <t>998868075</t>
  </si>
  <si>
    <t>45632791</t>
  </si>
  <si>
    <t>DAVID ERICK HERRERA BETANCOURT</t>
  </si>
  <si>
    <t>1718894338</t>
  </si>
  <si>
    <t>866225030446492</t>
  </si>
  <si>
    <t>8959300120525777738</t>
  </si>
  <si>
    <t>998868821</t>
  </si>
  <si>
    <t>45665035</t>
  </si>
  <si>
    <t>LUIS GILBERTO MALDONADO QUIMBIULCO</t>
  </si>
  <si>
    <t>1703290930</t>
  </si>
  <si>
    <t>011320003279899</t>
  </si>
  <si>
    <t>8959300620504406464</t>
  </si>
  <si>
    <t>998871771</t>
  </si>
  <si>
    <t>45623254</t>
  </si>
  <si>
    <t>LUIS OSWALDO TUQUERRES ESPIN</t>
  </si>
  <si>
    <t>1754517561</t>
  </si>
  <si>
    <t>547547355834599</t>
  </si>
  <si>
    <t>8959300120522532789</t>
  </si>
  <si>
    <t>998875552</t>
  </si>
  <si>
    <t>35048009</t>
  </si>
  <si>
    <t>ESTEBAN ANDRES LARA QUEVEDO</t>
  </si>
  <si>
    <t>0105996698</t>
  </si>
  <si>
    <t>013172001624206</t>
  </si>
  <si>
    <t>8959300520503875307</t>
  </si>
  <si>
    <t>998880518</t>
  </si>
  <si>
    <t>45633933</t>
  </si>
  <si>
    <t>JOSELIN SUGGEY PANTOJAS BRAVO</t>
  </si>
  <si>
    <t>1759885864</t>
  </si>
  <si>
    <t>454581853660785</t>
  </si>
  <si>
    <t>8959300320519989576</t>
  </si>
  <si>
    <t>998883866</t>
  </si>
  <si>
    <t>45649780</t>
  </si>
  <si>
    <t>IRENE NATIVIDAD ORELLANA CAAMAÑO</t>
  </si>
  <si>
    <t>0704180181</t>
  </si>
  <si>
    <t>864050068734482</t>
  </si>
  <si>
    <t>8959300520560319595</t>
  </si>
  <si>
    <t>998894315</t>
  </si>
  <si>
    <t>45625571</t>
  </si>
  <si>
    <t>ALFONSO VACAS LUIS</t>
  </si>
  <si>
    <t>1704345055</t>
  </si>
  <si>
    <t>351084950653922</t>
  </si>
  <si>
    <t>8959300120522533324</t>
  </si>
  <si>
    <t>998920062</t>
  </si>
  <si>
    <t>45710614</t>
  </si>
  <si>
    <t>JULIA GUILLERMINA ZHISPON MOROCHO</t>
  </si>
  <si>
    <t>0104197579</t>
  </si>
  <si>
    <t>000000247367436</t>
  </si>
  <si>
    <t>8959300320528950023</t>
  </si>
  <si>
    <t>998924419</t>
  </si>
  <si>
    <t>357183085184276</t>
  </si>
  <si>
    <t>8959300520560350301</t>
  </si>
  <si>
    <t>998926032</t>
  </si>
  <si>
    <t>45709346</t>
  </si>
  <si>
    <t>DAYANARA DEL CARMEN MORQUECHO GUAMAN</t>
  </si>
  <si>
    <t>0350305033</t>
  </si>
  <si>
    <t>100029551601766</t>
  </si>
  <si>
    <t>8959300520560325824</t>
  </si>
  <si>
    <t>998942411</t>
  </si>
  <si>
    <t>45681796</t>
  </si>
  <si>
    <t>ROSA ELENA GARCIA DELGADO</t>
  </si>
  <si>
    <t>0102982543</t>
  </si>
  <si>
    <t>100756918726197</t>
  </si>
  <si>
    <t>8959300520560326392</t>
  </si>
  <si>
    <t>998943789</t>
  </si>
  <si>
    <t>982197570113585</t>
  </si>
  <si>
    <t>8959300520560329164</t>
  </si>
  <si>
    <t>998953157</t>
  </si>
  <si>
    <t>45632495</t>
  </si>
  <si>
    <t>NICOLAS SEBASTIAN HIDALGO RAMIREZ</t>
  </si>
  <si>
    <t>1723421614</t>
  </si>
  <si>
    <t>999774247373189</t>
  </si>
  <si>
    <t>8959300120521826794</t>
  </si>
  <si>
    <t>998962591</t>
  </si>
  <si>
    <t>45638636</t>
  </si>
  <si>
    <t>AMILCAR HOMERO ORTEGA BELALCAZAR</t>
  </si>
  <si>
    <t>0400487351</t>
  </si>
  <si>
    <t>020260616515199</t>
  </si>
  <si>
    <t>8959300420552824159</t>
  </si>
  <si>
    <t>998974250</t>
  </si>
  <si>
    <t>45697382</t>
  </si>
  <si>
    <t>522417164243128</t>
  </si>
  <si>
    <t>8959300120522533712</t>
  </si>
  <si>
    <t>998985718</t>
  </si>
  <si>
    <t>45629585</t>
  </si>
  <si>
    <t>CARMEN AMERICA GUAMBIANGO ALPUSIG</t>
  </si>
  <si>
    <t>1712494440</t>
  </si>
  <si>
    <t>352286990938366</t>
  </si>
  <si>
    <t>8959300120522533977</t>
  </si>
  <si>
    <t>LTE SAMSUNG A03 CORE COBRE CH31095</t>
  </si>
  <si>
    <t>998990441</t>
  </si>
  <si>
    <t>45711822</t>
  </si>
  <si>
    <t>MERCY GEOVANNA SIMBAÑA GRANIZO</t>
  </si>
  <si>
    <t>1720344678</t>
  </si>
  <si>
    <t>000000185101979</t>
  </si>
  <si>
    <t>8959300520561487466</t>
  </si>
  <si>
    <t>998994515</t>
  </si>
  <si>
    <t>45684365</t>
  </si>
  <si>
    <t>HERMAN DANILO IÑAGUAZO CAIMINAGUA</t>
  </si>
  <si>
    <t>0703140517</t>
  </si>
  <si>
    <t>493148733015011</t>
  </si>
  <si>
    <t>8959300520561486112</t>
  </si>
  <si>
    <t>998994656</t>
  </si>
  <si>
    <t>41866097</t>
  </si>
  <si>
    <t>MARIA ISABEL VIVAR CAMPOZANO</t>
  </si>
  <si>
    <t>1304874652</t>
  </si>
  <si>
    <t>911977684777664</t>
  </si>
  <si>
    <t>8959300520560352117</t>
  </si>
  <si>
    <t>999004636</t>
  </si>
  <si>
    <t>45637270</t>
  </si>
  <si>
    <t>RUBEN JOSELITO GARCIA GARCIA</t>
  </si>
  <si>
    <t>0201043692</t>
  </si>
  <si>
    <t>358823007045498</t>
  </si>
  <si>
    <t>8959300120522531815</t>
  </si>
  <si>
    <t>999008845</t>
  </si>
  <si>
    <t>45644471</t>
  </si>
  <si>
    <t>NELSON ADRIAN ALTAMIRANO ESPINOZA</t>
  </si>
  <si>
    <t>0301808291</t>
  </si>
  <si>
    <t>BIBLIAN</t>
  </si>
  <si>
    <t>302874980537628</t>
  </si>
  <si>
    <t>8959300120521835498</t>
  </si>
  <si>
    <t>999021843</t>
  </si>
  <si>
    <t>45654778</t>
  </si>
  <si>
    <t>ELOISA ROSARIO HEREDIA JIMENEZ</t>
  </si>
  <si>
    <t>1700220633</t>
  </si>
  <si>
    <t>354341049172380</t>
  </si>
  <si>
    <t>8959300520561494199</t>
  </si>
  <si>
    <t>999037969</t>
  </si>
  <si>
    <t>540288147858995</t>
  </si>
  <si>
    <t>8959300520561485742</t>
  </si>
  <si>
    <t>999042556</t>
  </si>
  <si>
    <t>45659322</t>
  </si>
  <si>
    <t>DANNY MAURICIO ANDRADE BONILLA</t>
  </si>
  <si>
    <t>1707759005</t>
  </si>
  <si>
    <t>108149096087966</t>
  </si>
  <si>
    <t>8959300520561485866</t>
  </si>
  <si>
    <t>999045043</t>
  </si>
  <si>
    <t>45634292</t>
  </si>
  <si>
    <t>CARLOS EDUARDO ORDOÑEZ JUNA</t>
  </si>
  <si>
    <t>1721654505</t>
  </si>
  <si>
    <t>300520506889587</t>
  </si>
  <si>
    <t>8959300120522532425</t>
  </si>
  <si>
    <t>999045330</t>
  </si>
  <si>
    <t>45638879</t>
  </si>
  <si>
    <t>OSCAR MARCELO SIBRI MENDEZ</t>
  </si>
  <si>
    <t>0104064803</t>
  </si>
  <si>
    <t>000000201161544</t>
  </si>
  <si>
    <t>8959300120521835167</t>
  </si>
  <si>
    <t>999053822</t>
  </si>
  <si>
    <t>351988252510111</t>
  </si>
  <si>
    <t>8959300520561485627</t>
  </si>
  <si>
    <t>999055246</t>
  </si>
  <si>
    <t>013116072893216</t>
  </si>
  <si>
    <t>8959300120522533100</t>
  </si>
  <si>
    <t>999059955</t>
  </si>
  <si>
    <t>45684912</t>
  </si>
  <si>
    <t>JOSE MAURICIO HEREDIA MOLINEROS</t>
  </si>
  <si>
    <t>1714430970</t>
  </si>
  <si>
    <t>000000238377576</t>
  </si>
  <si>
    <t>8959300520560351275</t>
  </si>
  <si>
    <t>999062294</t>
  </si>
  <si>
    <t>45633060</t>
  </si>
  <si>
    <t>CHRISTIAN EMILIO ANDRANGO HURTADO</t>
  </si>
  <si>
    <t>1719516427</t>
  </si>
  <si>
    <t>355200058475457</t>
  </si>
  <si>
    <t>8959300120522532227</t>
  </si>
  <si>
    <t>999063538</t>
  </si>
  <si>
    <t>865625187377443</t>
  </si>
  <si>
    <t>8959300120522533092</t>
  </si>
  <si>
    <t>999069658</t>
  </si>
  <si>
    <t>45633469</t>
  </si>
  <si>
    <t>LISBETH ESTEFANIA QUINAPALLO MOSQUERA</t>
  </si>
  <si>
    <t>1726161175</t>
  </si>
  <si>
    <t>500376814893235</t>
  </si>
  <si>
    <t>8959300120522532250</t>
  </si>
  <si>
    <t>999071836</t>
  </si>
  <si>
    <t>454815465786558</t>
  </si>
  <si>
    <t>8959300520561485544</t>
  </si>
  <si>
    <t>999074562</t>
  </si>
  <si>
    <t>45640313</t>
  </si>
  <si>
    <t>DIEGO FERNANDO CARDENAS SHUGULI</t>
  </si>
  <si>
    <t>1719632414</t>
  </si>
  <si>
    <t>018344197599097</t>
  </si>
  <si>
    <t>8959300120522531195</t>
  </si>
  <si>
    <t>999086157</t>
  </si>
  <si>
    <t>45646460</t>
  </si>
  <si>
    <t>LISBETH TATIANA VILLA TORRES</t>
  </si>
  <si>
    <t>1751714500</t>
  </si>
  <si>
    <t>000000200280170</t>
  </si>
  <si>
    <t>8959300120522632530</t>
  </si>
  <si>
    <t>999088840</t>
  </si>
  <si>
    <t>44126803</t>
  </si>
  <si>
    <t>ANDREA JACQUELINE TORAL JARA</t>
  </si>
  <si>
    <t>1723173538</t>
  </si>
  <si>
    <t>490535628376784</t>
  </si>
  <si>
    <t>8959300520561493878</t>
  </si>
  <si>
    <t>999203355</t>
  </si>
  <si>
    <t>41401166</t>
  </si>
  <si>
    <t>SAMANTA ALEXANDRA AMAGUAYO SANCHEZ</t>
  </si>
  <si>
    <t>0603752171</t>
  </si>
  <si>
    <t>RIOBAMBA</t>
  </si>
  <si>
    <t>995425811295282</t>
  </si>
  <si>
    <t>8959300520561487300</t>
  </si>
  <si>
    <t>999209371</t>
  </si>
  <si>
    <t>45646408</t>
  </si>
  <si>
    <t>GLORIA MERCEDES PEREZ DEL SALTO</t>
  </si>
  <si>
    <t>1702921303</t>
  </si>
  <si>
    <t>105199760413280</t>
  </si>
  <si>
    <t>8959300120522531112</t>
  </si>
  <si>
    <t>999220235</t>
  </si>
  <si>
    <t>45636788</t>
  </si>
  <si>
    <t>FAUSTO JESUS IÑAMAGUA PACHECO</t>
  </si>
  <si>
    <t>0100246230</t>
  </si>
  <si>
    <t>531746142667852</t>
  </si>
  <si>
    <t>8959300120521834954</t>
  </si>
  <si>
    <t>999221639</t>
  </si>
  <si>
    <t>45647518</t>
  </si>
  <si>
    <t>502621834157204</t>
  </si>
  <si>
    <t>8959300120522533423</t>
  </si>
  <si>
    <t>999222776</t>
  </si>
  <si>
    <t>45623342</t>
  </si>
  <si>
    <t>EDGAR EFRAIN LUMBI LUMBI</t>
  </si>
  <si>
    <t>1750179648</t>
  </si>
  <si>
    <t>350061732252562</t>
  </si>
  <si>
    <t>8959300120522631680</t>
  </si>
  <si>
    <t>999225553</t>
  </si>
  <si>
    <t>45633403</t>
  </si>
  <si>
    <t>CARINA ALEXANDRA VILLARREAL CARRERA</t>
  </si>
  <si>
    <t>1714784426</t>
  </si>
  <si>
    <t>303223982424261</t>
  </si>
  <si>
    <t>8959300120522532276</t>
  </si>
  <si>
    <t>999226370</t>
  </si>
  <si>
    <t>45695924</t>
  </si>
  <si>
    <t>JUAN CARLOS AYALA LOPEZ</t>
  </si>
  <si>
    <t>1712135597</t>
  </si>
  <si>
    <t>990211162491083</t>
  </si>
  <si>
    <t>8959300120521832180</t>
  </si>
  <si>
    <t>999230256</t>
  </si>
  <si>
    <t>45647621</t>
  </si>
  <si>
    <t>350289232537352</t>
  </si>
  <si>
    <t>8959300120522532714</t>
  </si>
  <si>
    <t>999239967</t>
  </si>
  <si>
    <t>454272175456702</t>
  </si>
  <si>
    <t>8959300520561485502</t>
  </si>
  <si>
    <t>999244551</t>
  </si>
  <si>
    <t>45711674</t>
  </si>
  <si>
    <t>LUIS GERMAN BARROS JACOME</t>
  </si>
  <si>
    <t>0104378914</t>
  </si>
  <si>
    <t>985354240306928</t>
  </si>
  <si>
    <t>8959300520560325782</t>
  </si>
  <si>
    <t>999246796</t>
  </si>
  <si>
    <t>866249282241849</t>
  </si>
  <si>
    <t>8959300520561485619</t>
  </si>
  <si>
    <t>999246989</t>
  </si>
  <si>
    <t>45657219</t>
  </si>
  <si>
    <t>EDISON FERNANDO MEJIA PAILLACHO</t>
  </si>
  <si>
    <t>1724400963</t>
  </si>
  <si>
    <t>TULCAN</t>
  </si>
  <si>
    <t>543296229314891</t>
  </si>
  <si>
    <t>8959300120522632332</t>
  </si>
  <si>
    <t>999247276</t>
  </si>
  <si>
    <t>38550521</t>
  </si>
  <si>
    <t>NEYNER BEATRIZ GARCES ALBAN</t>
  </si>
  <si>
    <t>1703101988</t>
  </si>
  <si>
    <t>514819680152727</t>
  </si>
  <si>
    <t>8959300120522632159</t>
  </si>
  <si>
    <t>999259190</t>
  </si>
  <si>
    <t>45681411</t>
  </si>
  <si>
    <t>DAVID ALEJANDRO GUANOPATIN ACARO</t>
  </si>
  <si>
    <t>1600586653</t>
  </si>
  <si>
    <t>000000211747555</t>
  </si>
  <si>
    <t>8959300520561493365</t>
  </si>
  <si>
    <t>999261783</t>
  </si>
  <si>
    <t>45667797</t>
  </si>
  <si>
    <t>ROSARIO AVELINA DIAZ ESTRELLA</t>
  </si>
  <si>
    <t>1702600626</t>
  </si>
  <si>
    <t>862605569340352</t>
  </si>
  <si>
    <t>8959300120522533449</t>
  </si>
  <si>
    <t>999262597</t>
  </si>
  <si>
    <t>541192834662380</t>
  </si>
  <si>
    <t>8959300520561485536</t>
  </si>
  <si>
    <t>999265700</t>
  </si>
  <si>
    <t>458953039320129</t>
  </si>
  <si>
    <t>8959300120522533720</t>
  </si>
  <si>
    <t>999270592</t>
  </si>
  <si>
    <t>45644084</t>
  </si>
  <si>
    <t>MARIO PULLOTASIG LLANGO</t>
  </si>
  <si>
    <t>0502200819</t>
  </si>
  <si>
    <t>869895010481631</t>
  </si>
  <si>
    <t>8959300320528092586</t>
  </si>
  <si>
    <t>999272499</t>
  </si>
  <si>
    <t>43736057</t>
  </si>
  <si>
    <t>MARIO HERNAN CALUÑA NINABANDA</t>
  </si>
  <si>
    <t>0202128393</t>
  </si>
  <si>
    <t>351526061886809</t>
  </si>
  <si>
    <t>8959300520561492540</t>
  </si>
  <si>
    <t>999281227</t>
  </si>
  <si>
    <t>45667773</t>
  </si>
  <si>
    <t>RUBEN DARIO MIELES REYES</t>
  </si>
  <si>
    <t>1316488798</t>
  </si>
  <si>
    <t>000000227308939</t>
  </si>
  <si>
    <t>8959300120522533530</t>
  </si>
  <si>
    <t>999298152</t>
  </si>
  <si>
    <t>40586241</t>
  </si>
  <si>
    <t>OSCAR GIOVANNY GOMEZ LLUMIQUINGA</t>
  </si>
  <si>
    <t>1713396602</t>
  </si>
  <si>
    <t>SANTA CLARA</t>
  </si>
  <si>
    <t>000000246322218</t>
  </si>
  <si>
    <t>8959300520560352125</t>
  </si>
  <si>
    <t>999358521</t>
  </si>
  <si>
    <t>359595052347545</t>
  </si>
  <si>
    <t>8959300120522531559</t>
  </si>
  <si>
    <t>999423157</t>
  </si>
  <si>
    <t>45583109</t>
  </si>
  <si>
    <t>ANDREA VERONICA VASQUEZ MOSCOSO</t>
  </si>
  <si>
    <t>0103802070</t>
  </si>
  <si>
    <t>524803811310816</t>
  </si>
  <si>
    <t>8959300120521053597</t>
  </si>
  <si>
    <t>999702578</t>
  </si>
  <si>
    <t>44604977</t>
  </si>
  <si>
    <t>EDISON PABLO TOAPANTA ALCARRAZ</t>
  </si>
  <si>
    <t>1717446155</t>
  </si>
  <si>
    <t>538593075547138</t>
  </si>
  <si>
    <t>8959300120522528860</t>
  </si>
  <si>
    <t>999719923</t>
  </si>
  <si>
    <t>45618104</t>
  </si>
  <si>
    <t>MARIA ELENA  AMANCHA CHILUISA</t>
  </si>
  <si>
    <t>1801392380</t>
  </si>
  <si>
    <t>447196487743095</t>
  </si>
  <si>
    <t>8959300120522629973</t>
  </si>
  <si>
    <t>999721435</t>
  </si>
  <si>
    <t>34801113</t>
  </si>
  <si>
    <t>WILSON IVAN NARVAEZ VELEZ</t>
  </si>
  <si>
    <t>0104518139</t>
  </si>
  <si>
    <t>356342483809584</t>
  </si>
  <si>
    <t>8959300120521834699</t>
  </si>
  <si>
    <t>999722524</t>
  </si>
  <si>
    <t>45639445</t>
  </si>
  <si>
    <t>CAROLINA ELIZABETH BENENAULA ROMERO</t>
  </si>
  <si>
    <t>0705041101</t>
  </si>
  <si>
    <t>000000216797381</t>
  </si>
  <si>
    <t>8959300320518377948</t>
  </si>
  <si>
    <t>999724123</t>
  </si>
  <si>
    <t>45666544</t>
  </si>
  <si>
    <t>ROBERTO FRANCISCO CEDEÑO CHIRIBOGA</t>
  </si>
  <si>
    <t>1710252162</t>
  </si>
  <si>
    <t>P0184</t>
  </si>
  <si>
    <t>PLAN MOVISTAR GOLD PLUS FS.</t>
  </si>
  <si>
    <t>512254619474285</t>
  </si>
  <si>
    <t>8959300120522632795</t>
  </si>
  <si>
    <t>999735335</t>
  </si>
  <si>
    <t>45630601</t>
  </si>
  <si>
    <t>CIELO RENATA CASTRO ESPINEL</t>
  </si>
  <si>
    <t>1711575827</t>
  </si>
  <si>
    <t>353771092700953</t>
  </si>
  <si>
    <t>8959300120522534595</t>
  </si>
  <si>
    <t>999746193</t>
  </si>
  <si>
    <t>45659020</t>
  </si>
  <si>
    <t>MARIA ELSA LANCHIMBA CONDOR</t>
  </si>
  <si>
    <t>1711777761</t>
  </si>
  <si>
    <t>000000232511550</t>
  </si>
  <si>
    <t>8959300520560432257</t>
  </si>
  <si>
    <t>999747476</t>
  </si>
  <si>
    <t>45649595</t>
  </si>
  <si>
    <t>GALO IVAN RUIZ ANDRADE</t>
  </si>
  <si>
    <t>1703083905</t>
  </si>
  <si>
    <t>351846012994126</t>
  </si>
  <si>
    <t>8959300120522530775</t>
  </si>
  <si>
    <t>999763657</t>
  </si>
  <si>
    <t>45637041</t>
  </si>
  <si>
    <t>RODRIGO SANTIAGO PEREZ CAMPOS</t>
  </si>
  <si>
    <t>1712347424</t>
  </si>
  <si>
    <t>862643045809534</t>
  </si>
  <si>
    <t>8959300120522531344</t>
  </si>
  <si>
    <t>999772152</t>
  </si>
  <si>
    <t>45661724</t>
  </si>
  <si>
    <t>XIMENA ORTIZ</t>
  </si>
  <si>
    <t>1706538004</t>
  </si>
  <si>
    <t>913534103933028</t>
  </si>
  <si>
    <t>8959300120525776292</t>
  </si>
  <si>
    <t>999777766</t>
  </si>
  <si>
    <t>45066196</t>
  </si>
  <si>
    <t>SEGUNDO LUIS SANGUÑA SINGO</t>
  </si>
  <si>
    <t>1706857974</t>
  </si>
  <si>
    <t>539675465783248</t>
  </si>
  <si>
    <t>8959300420547631826</t>
  </si>
  <si>
    <t>999787192</t>
  </si>
  <si>
    <t>45704236</t>
  </si>
  <si>
    <t>BRITHANY SAMANTHA MORA GUAMAN</t>
  </si>
  <si>
    <t>1753704459</t>
  </si>
  <si>
    <t>000000256923459</t>
  </si>
  <si>
    <t>8959300520561486559</t>
  </si>
  <si>
    <t>999795676</t>
  </si>
  <si>
    <t>35214472</t>
  </si>
  <si>
    <t>525490207697029</t>
  </si>
  <si>
    <t>8959300120522532854</t>
  </si>
  <si>
    <t>999796526</t>
  </si>
  <si>
    <t>107294729122524</t>
  </si>
  <si>
    <t>8959300120522533704</t>
  </si>
  <si>
    <t>999801702</t>
  </si>
  <si>
    <t>45716305</t>
  </si>
  <si>
    <t>LOURDES TANIA BERMEO SUCONOTA</t>
  </si>
  <si>
    <t>0706738721</t>
  </si>
  <si>
    <t>108186738382496</t>
  </si>
  <si>
    <t>8959300520560321013</t>
  </si>
  <si>
    <t>999803739</t>
  </si>
  <si>
    <t>45618817</t>
  </si>
  <si>
    <t>MARCO GUILLERMO SANCHEZ FLORES</t>
  </si>
  <si>
    <t>0602630584</t>
  </si>
  <si>
    <t>358540100262743</t>
  </si>
  <si>
    <t>8959300120522528845</t>
  </si>
  <si>
    <t>999822795</t>
  </si>
  <si>
    <t>45696088</t>
  </si>
  <si>
    <t>GUIDO HERNAN JACOME VIERA</t>
  </si>
  <si>
    <t>1722060611</t>
  </si>
  <si>
    <t>000000227926425</t>
  </si>
  <si>
    <t>8959300520560351457</t>
  </si>
  <si>
    <t>999836026</t>
  </si>
  <si>
    <t>44916977</t>
  </si>
  <si>
    <t>MARIA JOSE CARPIO PACHECO</t>
  </si>
  <si>
    <t>0104597992</t>
  </si>
  <si>
    <t>525343535713002</t>
  </si>
  <si>
    <t>8959300120525774404</t>
  </si>
  <si>
    <t>999837559</t>
  </si>
  <si>
    <t>45637990</t>
  </si>
  <si>
    <t>CARLOS SEBASTIAN VARGAS QUISHPE</t>
  </si>
  <si>
    <t>1726628595</t>
  </si>
  <si>
    <t>PREVIOPAGO PLAN MOVISTAR SILVER PLUS FS.</t>
  </si>
  <si>
    <t>000000198128209</t>
  </si>
  <si>
    <t>8959300120522532045</t>
  </si>
  <si>
    <t>999839751</t>
  </si>
  <si>
    <t>41474015</t>
  </si>
  <si>
    <t>MIGUEL ANGEL ASTUDILLO CUMBE</t>
  </si>
  <si>
    <t>0101574838</t>
  </si>
  <si>
    <t>441370155175957</t>
  </si>
  <si>
    <t>8959300120521837007</t>
  </si>
  <si>
    <t>999846255</t>
  </si>
  <si>
    <t>45652176</t>
  </si>
  <si>
    <t>NELSON FABIAN CHACHA ESTRADA</t>
  </si>
  <si>
    <t>0603470832</t>
  </si>
  <si>
    <t>000000264117854</t>
  </si>
  <si>
    <t>8959300520561494462</t>
  </si>
  <si>
    <t>999878671</t>
  </si>
  <si>
    <t>45670933</t>
  </si>
  <si>
    <t>JENNIFFER NATALY QUITO PERALTA</t>
  </si>
  <si>
    <t>0106842685</t>
  </si>
  <si>
    <t>523700179061075</t>
  </si>
  <si>
    <t>8959300520560329420</t>
  </si>
  <si>
    <t>999881922</t>
  </si>
  <si>
    <t>45640257</t>
  </si>
  <si>
    <t>FRANKLIN ALEXANDER PEREZ GABELA</t>
  </si>
  <si>
    <t>1713144804</t>
  </si>
  <si>
    <t>993731103028105</t>
  </si>
  <si>
    <t>8959300120522531179</t>
  </si>
  <si>
    <t>999882849</t>
  </si>
  <si>
    <t>45684414</t>
  </si>
  <si>
    <t>LUIS FERNANDO YAGUANA JAYA</t>
  </si>
  <si>
    <t>0705255933</t>
  </si>
  <si>
    <t>355411076938380</t>
  </si>
  <si>
    <t>8959300120522506510</t>
  </si>
  <si>
    <t>999883109</t>
  </si>
  <si>
    <t>45658663</t>
  </si>
  <si>
    <t>NESTOR RAMIRO CAHUASQUI CHINCHIN</t>
  </si>
  <si>
    <t>1712870821</t>
  </si>
  <si>
    <t>354815054541332</t>
  </si>
  <si>
    <t>8959300120522632365</t>
  </si>
  <si>
    <t>999886486</t>
  </si>
  <si>
    <t>45642497</t>
  </si>
  <si>
    <t>MARTHA LORENA MANTILLA GILER</t>
  </si>
  <si>
    <t>1712442936</t>
  </si>
  <si>
    <t>544853266037725</t>
  </si>
  <si>
    <t>8959300120522531229</t>
  </si>
  <si>
    <t>999891148</t>
  </si>
  <si>
    <t>45688513</t>
  </si>
  <si>
    <t>JONATHAN DAVID TERAN GUERRERO</t>
  </si>
  <si>
    <t>0750713208</t>
  </si>
  <si>
    <t>359694275281142</t>
  </si>
  <si>
    <t>8959300520560320031</t>
  </si>
  <si>
    <t>999902186</t>
  </si>
  <si>
    <t>45629994</t>
  </si>
  <si>
    <t>WILLIAM ANDRES LESCANO MOLINA</t>
  </si>
  <si>
    <t>1723599237</t>
  </si>
  <si>
    <t>537316820484279</t>
  </si>
  <si>
    <t>8959300120522533894</t>
  </si>
  <si>
    <t>999903120</t>
  </si>
  <si>
    <t>45658722</t>
  </si>
  <si>
    <t>MILTON GERMANICO VASCO VASCONEZ</t>
  </si>
  <si>
    <t>1801919232</t>
  </si>
  <si>
    <t>359359004480908</t>
  </si>
  <si>
    <t>8959300320527059701</t>
  </si>
  <si>
    <t>999915138</t>
  </si>
  <si>
    <t>45695926</t>
  </si>
  <si>
    <t>FABIAN TORRES ALBARO</t>
  </si>
  <si>
    <t>1707137483</t>
  </si>
  <si>
    <t>443204735971254</t>
  </si>
  <si>
    <t>8959300120522633405</t>
  </si>
  <si>
    <t>999917749</t>
  </si>
  <si>
    <t>45683093</t>
  </si>
  <si>
    <t>GRACIELA GALINDO MARIA</t>
  </si>
  <si>
    <t>1702994110</t>
  </si>
  <si>
    <t>534818704791060</t>
  </si>
  <si>
    <t>8959300120522633199</t>
  </si>
  <si>
    <t>999919081</t>
  </si>
  <si>
    <t>45618202</t>
  </si>
  <si>
    <t>JORGE PAULINO JIMENEZ MONTERO</t>
  </si>
  <si>
    <t>0100109743</t>
  </si>
  <si>
    <t>528161453772900</t>
  </si>
  <si>
    <t>8959300120522629965</t>
  </si>
  <si>
    <t>999919636</t>
  </si>
  <si>
    <t>45696033</t>
  </si>
  <si>
    <t>JOSE AMILCAR CHICAIZA CORO</t>
  </si>
  <si>
    <t>1713938064</t>
  </si>
  <si>
    <t>302999784644278</t>
  </si>
  <si>
    <t>8959300120522533688</t>
  </si>
  <si>
    <t>999921296</t>
  </si>
  <si>
    <t>45718453</t>
  </si>
  <si>
    <t>ESTEFANIA CAROLINA VELASQUEZ PRADO</t>
  </si>
  <si>
    <t>1724732175</t>
  </si>
  <si>
    <t>000000244171427</t>
  </si>
  <si>
    <t>8959300520561491807</t>
  </si>
  <si>
    <t>999931169</t>
  </si>
  <si>
    <t>45042168</t>
  </si>
  <si>
    <t>524258871095924</t>
  </si>
  <si>
    <t>8959300120522629940</t>
  </si>
  <si>
    <t>999931616</t>
  </si>
  <si>
    <t>45682912</t>
  </si>
  <si>
    <t>JHEMELIN CRISTINA NAEKAT MASHIANDA</t>
  </si>
  <si>
    <t>1401324585</t>
  </si>
  <si>
    <t>493966393795980</t>
  </si>
  <si>
    <t>8959300120522633181</t>
  </si>
  <si>
    <t>999938985</t>
  </si>
  <si>
    <t>45715644</t>
  </si>
  <si>
    <t>SYLVIA JEANNETH VIMOS GUAILACELA</t>
  </si>
  <si>
    <t>1715580294</t>
  </si>
  <si>
    <t>355189062036571</t>
  </si>
  <si>
    <t>8959300520561491682</t>
  </si>
  <si>
    <t>999955042</t>
  </si>
  <si>
    <t>45681254</t>
  </si>
  <si>
    <t>LUIS ALBERTO CHANGO RIVERA</t>
  </si>
  <si>
    <t>1709503099</t>
  </si>
  <si>
    <t>508938131855007</t>
  </si>
  <si>
    <t>8959300520561493332</t>
  </si>
  <si>
    <t>999956851</t>
  </si>
  <si>
    <t>45653204</t>
  </si>
  <si>
    <t>GALUTH GONZALEZ GAIBOR</t>
  </si>
  <si>
    <t>0200060408</t>
  </si>
  <si>
    <t>520014890821947</t>
  </si>
  <si>
    <t>8959300520560350087</t>
  </si>
  <si>
    <t>999961930</t>
  </si>
  <si>
    <t>45681361</t>
  </si>
  <si>
    <t>JHON PETHER FRANCO SANTI</t>
  </si>
  <si>
    <t>1726859158</t>
  </si>
  <si>
    <t>000000260380449</t>
  </si>
  <si>
    <t>8959300520561493068</t>
  </si>
  <si>
    <t>999968872</t>
  </si>
  <si>
    <t>43290682</t>
  </si>
  <si>
    <t>FANY BELLERMINA JIRON JIMENEZ</t>
  </si>
  <si>
    <t>1103267884</t>
  </si>
  <si>
    <t>332905212870371</t>
  </si>
  <si>
    <t>8959300520561486633</t>
  </si>
  <si>
    <t>999971200</t>
  </si>
  <si>
    <t>45702503</t>
  </si>
  <si>
    <t>LAURO ORLANDO DAVALOS ANDRADE</t>
  </si>
  <si>
    <t>1704172418</t>
  </si>
  <si>
    <t>522947052376705</t>
  </si>
  <si>
    <t>8959300120519904637</t>
  </si>
  <si>
    <t>999975205</t>
  </si>
  <si>
    <t>45717863</t>
  </si>
  <si>
    <t>BLANCA VERONICA TOAQUIZA TOAQUIZA</t>
  </si>
  <si>
    <t>0503407843</t>
  </si>
  <si>
    <t>000000231255308</t>
  </si>
  <si>
    <t>8959300520561492102</t>
  </si>
  <si>
    <t>999985801</t>
  </si>
  <si>
    <t>45638201</t>
  </si>
  <si>
    <t>BLANCA AZUCENA LLUMIGUSIN PADILLA</t>
  </si>
  <si>
    <t>1709341315</t>
  </si>
  <si>
    <t>000000224975151</t>
  </si>
  <si>
    <t>8959300120522532029</t>
  </si>
  <si>
    <t>999988092</t>
  </si>
  <si>
    <t>45701536</t>
  </si>
  <si>
    <t>GLADYS MAGDALENA TUTILLO ORTEGA</t>
  </si>
  <si>
    <t>1702730837</t>
  </si>
  <si>
    <t>510318578833864</t>
  </si>
  <si>
    <t>8959300420557528714</t>
  </si>
  <si>
    <t>FECHA_CARGA</t>
  </si>
  <si>
    <t>TELEFONO</t>
  </si>
  <si>
    <t>NUMERO_ABONADO</t>
  </si>
  <si>
    <t>NUMERO_ORDEN</t>
  </si>
  <si>
    <t>PROVINCIA</t>
  </si>
  <si>
    <t>DESCRIPCION_PLAN_ACTUAL</t>
  </si>
  <si>
    <t>CATEGORIA_PLAN_ACTUAL</t>
  </si>
  <si>
    <t>TARIFA_BASICA_ACTUAL</t>
  </si>
  <si>
    <t>TARIFA_PLAN_ACTUAL_OV</t>
  </si>
  <si>
    <t>USU_APLICA_OV_PLAN_ACT</t>
  </si>
  <si>
    <t>FECHA_APLICA_OV_PLAN_ACT</t>
  </si>
  <si>
    <t>DESCUENTO_TARIFA_PLAN_ACT</t>
  </si>
  <si>
    <t>DESCRIPCION_DESCUETO_PLAN_ACT</t>
  </si>
  <si>
    <t>FECHA_INICIO_DESCUENTO_PLAN_ACT</t>
  </si>
  <si>
    <t>FECHA_FIN_DESCUENTO_PLAN_ACT</t>
  </si>
  <si>
    <t>USU_APLICA_DESCUENTO_PLAN_ACT</t>
  </si>
  <si>
    <t>TARIFA_FINAL_PLAN_ACT</t>
  </si>
  <si>
    <t>COMERCIAL_ACTUAL</t>
  </si>
  <si>
    <t>COD_PLAN_ACTIVO</t>
  </si>
  <si>
    <t>DESCRIPCION_PLAN_ANTERIOR</t>
  </si>
  <si>
    <t>CATEGORIA_PLAN_ANTERIOR</t>
  </si>
  <si>
    <t>TARIFA_BASICA_ANTERIOR</t>
  </si>
  <si>
    <t>FECHA_INICIO_PLAN_ANTERIOR</t>
  </si>
  <si>
    <t>TARIFA_OV_PLAN_ANT</t>
  </si>
  <si>
    <t>USU_APLICA_OV_PLAN_ANT</t>
  </si>
  <si>
    <t>FECHA_APLICA_OV_PLAN_ANT</t>
  </si>
  <si>
    <t>DESCUENTO_TARIFA_PLAN_ANT</t>
  </si>
  <si>
    <t>DESCRIPCION_DESCUETO_PLAN_ANT</t>
  </si>
  <si>
    <t>FECHA_INICIO_DESCUENTO_PLAN_ANT</t>
  </si>
  <si>
    <t>FECHA_FIN_DESCUENTO_PLAN_ANT</t>
  </si>
  <si>
    <t>USU_APLICA_DESCUENTO_PLAN_ANT</t>
  </si>
  <si>
    <t>TARIFA_FINAL_PLAN_ANT</t>
  </si>
  <si>
    <t>COMERCIAL_ANTERIOR</t>
  </si>
  <si>
    <t>FECHA_CAMBIO_PLAN</t>
  </si>
  <si>
    <t>DOMAIN_LOGIN_OW</t>
  </si>
  <si>
    <t>NOMBRE_USUARIO_OW</t>
  </si>
  <si>
    <t>DOMAIN_LOGIN_SUB</t>
  </si>
  <si>
    <t>NOMBRE_USUARIO_SUB</t>
  </si>
  <si>
    <t>CANAL</t>
  </si>
  <si>
    <t>SUB_CANAL</t>
  </si>
  <si>
    <t>OFICINA</t>
  </si>
  <si>
    <t>CAMPANIA</t>
  </si>
  <si>
    <t>NOM_DISTRIBUIDOR</t>
  </si>
  <si>
    <t>CIUDAD_DISTRIBUIDOR</t>
  </si>
  <si>
    <t>PROVINCIA_DISTRIBUIDOR</t>
  </si>
  <si>
    <t>REGION_DISTRIBUIDOR</t>
  </si>
  <si>
    <t>DELTA_TARIFA</t>
  </si>
  <si>
    <t>DELTA_FINAL</t>
  </si>
  <si>
    <t>CP_CRUCE_PARQUE</t>
  </si>
  <si>
    <t>CP_NC</t>
  </si>
  <si>
    <t>NOM_PLAZA</t>
  </si>
  <si>
    <t>CODIGO_PLAZA</t>
  </si>
  <si>
    <t>NUEVO_SUBCANAL</t>
  </si>
  <si>
    <t>REGION</t>
  </si>
  <si>
    <t>DIF_TARIFAS</t>
  </si>
  <si>
    <t>TIPO_MOVIMIENTO_FINAL</t>
  </si>
  <si>
    <t>DIF_TARIFAS_OV</t>
  </si>
  <si>
    <t>TIPO_MOVIMIENTO_OV_FINAL</t>
  </si>
  <si>
    <t>DIF_TARIFAS_DESCT</t>
  </si>
  <si>
    <t>TIPO_MOVIMIENTO_DESCT_FINAL</t>
  </si>
  <si>
    <t>TIPO_MOVIMIENTO_OV_FINAL_2</t>
  </si>
  <si>
    <t>CRUCE_CONTROLNET</t>
  </si>
  <si>
    <t>RETENCION BI</t>
  </si>
  <si>
    <t>PLANES ADULTO MAYOR</t>
  </si>
  <si>
    <t>939805727</t>
  </si>
  <si>
    <t>62809318</t>
  </si>
  <si>
    <t>0503790008</t>
  </si>
  <si>
    <t>AZUAY</t>
  </si>
  <si>
    <t>FRANQUICIA</t>
  </si>
  <si>
    <t>CANAL PRESENCIAL</t>
  </si>
  <si>
    <t>UPSELL</t>
  </si>
  <si>
    <t>SALINDCUECAV1020</t>
  </si>
  <si>
    <t>958615807</t>
  </si>
  <si>
    <t>59499191</t>
  </si>
  <si>
    <t>1753113156</t>
  </si>
  <si>
    <t>PICHINCHA</t>
  </si>
  <si>
    <t>SALINDQUICAV1019</t>
  </si>
  <si>
    <t>958617594</t>
  </si>
  <si>
    <t>50321173</t>
  </si>
  <si>
    <t>1711438513</t>
  </si>
  <si>
    <t>MISMA_TARIFA</t>
  </si>
  <si>
    <t>958647504</t>
  </si>
  <si>
    <t>62008520</t>
  </si>
  <si>
    <t>NAE105139</t>
  </si>
  <si>
    <t>SALESLAND MACHALA (GALARZA RODRIGO)</t>
  </si>
  <si>
    <t>EL ORO</t>
  </si>
  <si>
    <t>SALINDMACCAV1125</t>
  </si>
  <si>
    <t>958726904</t>
  </si>
  <si>
    <t>62730801</t>
  </si>
  <si>
    <t>1754479994</t>
  </si>
  <si>
    <t>958734758</t>
  </si>
  <si>
    <t>55459592</t>
  </si>
  <si>
    <t>1704862844</t>
  </si>
  <si>
    <t>P0088</t>
  </si>
  <si>
    <t>MOVISTAR EMPRESAS IRON</t>
  </si>
  <si>
    <t>958745974</t>
  </si>
  <si>
    <t>34733074</t>
  </si>
  <si>
    <t>097584081</t>
  </si>
  <si>
    <t>P0060</t>
  </si>
  <si>
    <t>PLAN MOVISTAR $12.99 TELEVENTAS</t>
  </si>
  <si>
    <t>internal</t>
  </si>
  <si>
    <t>958893169</t>
  </si>
  <si>
    <t>55211567</t>
  </si>
  <si>
    <t>0920902475</t>
  </si>
  <si>
    <t>GUAYAS</t>
  </si>
  <si>
    <t>P0189</t>
  </si>
  <si>
    <t>PLAN MOVISTAR DIAMOND PLUS.</t>
  </si>
  <si>
    <t>P0179</t>
  </si>
  <si>
    <t>PLAN MOVISTAR SILVER PLUS.</t>
  </si>
  <si>
    <t>958894917</t>
  </si>
  <si>
    <t>58452825</t>
  </si>
  <si>
    <t>1713039384</t>
  </si>
  <si>
    <t>P0061</t>
  </si>
  <si>
    <t>PREVIOPAGO PLAN MOVISTAR BASIC</t>
  </si>
  <si>
    <t>SALINDQUICAV1020</t>
  </si>
  <si>
    <t>960115247</t>
  </si>
  <si>
    <t>62546828</t>
  </si>
  <si>
    <t>0704933555</t>
  </si>
  <si>
    <t>MANABI</t>
  </si>
  <si>
    <t>962526602</t>
  </si>
  <si>
    <t>62764100</t>
  </si>
  <si>
    <t>1760819928</t>
  </si>
  <si>
    <t>UZ</t>
  </si>
  <si>
    <t>FULL MEGAS DIAMOND</t>
  </si>
  <si>
    <t>SALINDCUECAV1021</t>
  </si>
  <si>
    <t>962618230</t>
  </si>
  <si>
    <t>57896103</t>
  </si>
  <si>
    <t>1704053543</t>
  </si>
  <si>
    <t>P0138</t>
  </si>
  <si>
    <t>PREVIOPAGO PLAN MOVISTAR BRONZE PLUS</t>
  </si>
  <si>
    <t>POSICIONAMIENTO</t>
  </si>
  <si>
    <t>962672635</t>
  </si>
  <si>
    <t>58595988</t>
  </si>
  <si>
    <t>0105878318</t>
  </si>
  <si>
    <t>P0066</t>
  </si>
  <si>
    <t>PREVIOPAGO PLAN MOVISTAR BRONZE TEL</t>
  </si>
  <si>
    <t>962723322</t>
  </si>
  <si>
    <t>58484523</t>
  </si>
  <si>
    <t>0701113961</t>
  </si>
  <si>
    <t>962803846</t>
  </si>
  <si>
    <t>61477616</t>
  </si>
  <si>
    <t>0200444461</t>
  </si>
  <si>
    <t>For Rules - Postpaid Plans DESCUENTO 50% ADULTO MAYOR CDR</t>
  </si>
  <si>
    <t>NAE107386</t>
  </si>
  <si>
    <t>DOWNSELL</t>
  </si>
  <si>
    <t>962805966</t>
  </si>
  <si>
    <t>57535053</t>
  </si>
  <si>
    <t>0104679675</t>
  </si>
  <si>
    <t>962899889</t>
  </si>
  <si>
    <t>62750819</t>
  </si>
  <si>
    <t>0705202943</t>
  </si>
  <si>
    <t>962914340</t>
  </si>
  <si>
    <t>62046768</t>
  </si>
  <si>
    <t>1761225380</t>
  </si>
  <si>
    <t>962934143</t>
  </si>
  <si>
    <t>62416502</t>
  </si>
  <si>
    <t>1726185695</t>
  </si>
  <si>
    <t>962958368</t>
  </si>
  <si>
    <t>62117228</t>
  </si>
  <si>
    <t>1708853047</t>
  </si>
  <si>
    <t>COTOPAXI</t>
  </si>
  <si>
    <t>963033429</t>
  </si>
  <si>
    <t>59728105</t>
  </si>
  <si>
    <t>CICLO ANTICIPADO TITANIUM</t>
  </si>
  <si>
    <t>1722549118</t>
  </si>
  <si>
    <t>P0134</t>
  </si>
  <si>
    <t>PREVIOPAGO PLAN MOVISTAR BASIC PLUS</t>
  </si>
  <si>
    <t>963039308</t>
  </si>
  <si>
    <t>61212274</t>
  </si>
  <si>
    <t>0500544663</t>
  </si>
  <si>
    <t>963077248</t>
  </si>
  <si>
    <t>62453526</t>
  </si>
  <si>
    <t>0750075608</t>
  </si>
  <si>
    <t>963828724</t>
  </si>
  <si>
    <t>59777449</t>
  </si>
  <si>
    <t>1701290270</t>
  </si>
  <si>
    <t>PREVIOPAGO PLAN MOVISTAR PLATINUM PLUS.</t>
  </si>
  <si>
    <t>P0142</t>
  </si>
  <si>
    <t>PREVIOPAGO PLAN MOVISTAR SILVER PLUS</t>
  </si>
  <si>
    <t>968874057</t>
  </si>
  <si>
    <t>60982755</t>
  </si>
  <si>
    <t>0706474632</t>
  </si>
  <si>
    <t>969091137</t>
  </si>
  <si>
    <t>60556255</t>
  </si>
  <si>
    <t>0100734839</t>
  </si>
  <si>
    <t>P0132</t>
  </si>
  <si>
    <t>PLAN MOVISTAR BASIC PLUS</t>
  </si>
  <si>
    <t>969096177</t>
  </si>
  <si>
    <t>58826858</t>
  </si>
  <si>
    <t>1717992398</t>
  </si>
  <si>
    <t>978830257</t>
  </si>
  <si>
    <t>59359249</t>
  </si>
  <si>
    <t>1754430351</t>
  </si>
  <si>
    <t>P0062</t>
  </si>
  <si>
    <t>PREVIOPAGO PLAN MOVISTAR BASIC TEL</t>
  </si>
  <si>
    <t>979038337</t>
  </si>
  <si>
    <t>62836843</t>
  </si>
  <si>
    <t>1725686404</t>
  </si>
  <si>
    <t>979161248</t>
  </si>
  <si>
    <t>50621745</t>
  </si>
  <si>
    <t>1802996767</t>
  </si>
  <si>
    <t>979208411</t>
  </si>
  <si>
    <t>62260495</t>
  </si>
  <si>
    <t>1726642844</t>
  </si>
  <si>
    <t>979314711</t>
  </si>
  <si>
    <t>61232373</t>
  </si>
  <si>
    <t>CICLO ANTICIPADO MASIVO MIGRADO</t>
  </si>
  <si>
    <t>0704299429</t>
  </si>
  <si>
    <t>979394222</t>
  </si>
  <si>
    <t>62822689</t>
  </si>
  <si>
    <t>0501802318</t>
  </si>
  <si>
    <t>980674379</t>
  </si>
  <si>
    <t>58914239</t>
  </si>
  <si>
    <t>1704112687</t>
  </si>
  <si>
    <t>P0063</t>
  </si>
  <si>
    <t>PLAN MOVISTAR BRONZE</t>
  </si>
  <si>
    <t>982503992</t>
  </si>
  <si>
    <t>61329479</t>
  </si>
  <si>
    <t>1706461132</t>
  </si>
  <si>
    <t>983005796</t>
  </si>
  <si>
    <t>60418925</t>
  </si>
  <si>
    <t>0704421338</t>
  </si>
  <si>
    <t>P0130</t>
  </si>
  <si>
    <t>PREVIOPAGO PLAN MOVISTAR STARTER PLUS</t>
  </si>
  <si>
    <t>983040374</t>
  </si>
  <si>
    <t>60108103</t>
  </si>
  <si>
    <t>1717162893</t>
  </si>
  <si>
    <t>P0131</t>
  </si>
  <si>
    <t>PREVIOPAGO PLAN MOVISTAR STARTER PLUS FS</t>
  </si>
  <si>
    <t>983132699</t>
  </si>
  <si>
    <t>61767990</t>
  </si>
  <si>
    <t>1710905207</t>
  </si>
  <si>
    <t>983139672</t>
  </si>
  <si>
    <t>61740999</t>
  </si>
  <si>
    <t>0105253314</t>
  </si>
  <si>
    <t>983241471</t>
  </si>
  <si>
    <t>62876668</t>
  </si>
  <si>
    <t>1720547056</t>
  </si>
  <si>
    <t>983389641</t>
  </si>
  <si>
    <t>39218013</t>
  </si>
  <si>
    <t>1707757348</t>
  </si>
  <si>
    <t>1E</t>
  </si>
  <si>
    <t>Plan Smart $15 Zonas Control...</t>
  </si>
  <si>
    <t>983401463</t>
  </si>
  <si>
    <t>54366416</t>
  </si>
  <si>
    <t>1720931409</t>
  </si>
  <si>
    <t>P0194</t>
  </si>
  <si>
    <t>MOVISTAR EMPRESAS SILVER PLUS</t>
  </si>
  <si>
    <t>983543481</t>
  </si>
  <si>
    <t>37598496</t>
  </si>
  <si>
    <t>1715480339</t>
  </si>
  <si>
    <t>P0067</t>
  </si>
  <si>
    <t>PLAN MOVISTAR $24.99</t>
  </si>
  <si>
    <t>983732241</t>
  </si>
  <si>
    <t>36929872</t>
  </si>
  <si>
    <t>0502104946</t>
  </si>
  <si>
    <t>983750440</t>
  </si>
  <si>
    <t>62366545</t>
  </si>
  <si>
    <t>LOS RIOS</t>
  </si>
  <si>
    <t>983754983</t>
  </si>
  <si>
    <t>59363896</t>
  </si>
  <si>
    <t>1705242889</t>
  </si>
  <si>
    <t>983845103</t>
  </si>
  <si>
    <t>34304823</t>
  </si>
  <si>
    <t>1707638290</t>
  </si>
  <si>
    <t>P0105</t>
  </si>
  <si>
    <t>PLAN MOVISTAR $9.99</t>
  </si>
  <si>
    <t>983850299</t>
  </si>
  <si>
    <t>60092653</t>
  </si>
  <si>
    <t>983858583</t>
  </si>
  <si>
    <t>61882537</t>
  </si>
  <si>
    <t>1752389872</t>
  </si>
  <si>
    <t>983875084</t>
  </si>
  <si>
    <t>61430411</t>
  </si>
  <si>
    <t>1704760485</t>
  </si>
  <si>
    <t>PREVIOPAGO PLAN MOVISTAR DIAMOND PLUS.</t>
  </si>
  <si>
    <t>983882764</t>
  </si>
  <si>
    <t>59950890</t>
  </si>
  <si>
    <t>0105829915</t>
  </si>
  <si>
    <t>983884812</t>
  </si>
  <si>
    <t>58792703</t>
  </si>
  <si>
    <t>0702766353</t>
  </si>
  <si>
    <t>983896816</t>
  </si>
  <si>
    <t>38940417</t>
  </si>
  <si>
    <t>1103365746</t>
  </si>
  <si>
    <t>P0109</t>
  </si>
  <si>
    <t>PLAN MOVISTAR $19.99</t>
  </si>
  <si>
    <t>983970662</t>
  </si>
  <si>
    <t>60360654</t>
  </si>
  <si>
    <t>1759397373</t>
  </si>
  <si>
    <t>983995071</t>
  </si>
  <si>
    <t>61384652</t>
  </si>
  <si>
    <t>0102517240</t>
  </si>
  <si>
    <t>984072176</t>
  </si>
  <si>
    <t>27451144</t>
  </si>
  <si>
    <t>1705687562</t>
  </si>
  <si>
    <t>984087372</t>
  </si>
  <si>
    <t>62881704</t>
  </si>
  <si>
    <t>984094042</t>
  </si>
  <si>
    <t>50856073</t>
  </si>
  <si>
    <t>1717327892</t>
  </si>
  <si>
    <t>984118358</t>
  </si>
  <si>
    <t>56614646</t>
  </si>
  <si>
    <t>984129713</t>
  </si>
  <si>
    <t>62563679</t>
  </si>
  <si>
    <t>0706634375</t>
  </si>
  <si>
    <t>984140163</t>
  </si>
  <si>
    <t>50855757</t>
  </si>
  <si>
    <t>984196927</t>
  </si>
  <si>
    <t>36605164</t>
  </si>
  <si>
    <t>1714545546</t>
  </si>
  <si>
    <t>Descuento 40% Tarifa Plan x 6M</t>
  </si>
  <si>
    <t>984247609</t>
  </si>
  <si>
    <t>33814971</t>
  </si>
  <si>
    <t>1709856726</t>
  </si>
  <si>
    <t>PLAN MOVISTAR STARTER</t>
  </si>
  <si>
    <t>984273070</t>
  </si>
  <si>
    <t>59892967</t>
  </si>
  <si>
    <t>1710114610</t>
  </si>
  <si>
    <t>P0136</t>
  </si>
  <si>
    <t>PLAN MOVISTAR BRONZE PLUS</t>
  </si>
  <si>
    <t>984329515</t>
  </si>
  <si>
    <t>62753168</t>
  </si>
  <si>
    <t>1600900599</t>
  </si>
  <si>
    <t>MORONA SANTIAGO</t>
  </si>
  <si>
    <t>984354919</t>
  </si>
  <si>
    <t>59688882</t>
  </si>
  <si>
    <t>1721097275</t>
  </si>
  <si>
    <t>984355688</t>
  </si>
  <si>
    <t>59591648</t>
  </si>
  <si>
    <t>1712950359</t>
  </si>
  <si>
    <t>984371912</t>
  </si>
  <si>
    <t>62765094</t>
  </si>
  <si>
    <t>1718516675</t>
  </si>
  <si>
    <t>984409116</t>
  </si>
  <si>
    <t>60340650</t>
  </si>
  <si>
    <t>0102256674</t>
  </si>
  <si>
    <t>NAE104145</t>
  </si>
  <si>
    <t>SALESLAND CUENCA REMIGIO (HHOYOS LOURDES)</t>
  </si>
  <si>
    <t>984414627</t>
  </si>
  <si>
    <t>61808294</t>
  </si>
  <si>
    <t>0905773800</t>
  </si>
  <si>
    <t>984455279</t>
  </si>
  <si>
    <t>35283421</t>
  </si>
  <si>
    <t>984463964</t>
  </si>
  <si>
    <t>54373740</t>
  </si>
  <si>
    <t>0104517990</t>
  </si>
  <si>
    <t>P0007</t>
  </si>
  <si>
    <t>PREVIOPAGO $15 ZONAS CONTROL</t>
  </si>
  <si>
    <t>984466015</t>
  </si>
  <si>
    <t>61458435</t>
  </si>
  <si>
    <t>1702222223</t>
  </si>
  <si>
    <t>984487821</t>
  </si>
  <si>
    <t>10952036</t>
  </si>
  <si>
    <t>0102146859</t>
  </si>
  <si>
    <t>Descuento 20% Tarifa Plan x 3M</t>
  </si>
  <si>
    <t>984498511</t>
  </si>
  <si>
    <t>62873514</t>
  </si>
  <si>
    <t>1801961226</t>
  </si>
  <si>
    <t>984551081</t>
  </si>
  <si>
    <t>57636767</t>
  </si>
  <si>
    <t>0704742808</t>
  </si>
  <si>
    <t>P0108</t>
  </si>
  <si>
    <t>PREVIOPAGO PLAN MOVISTAR STARTER TEL</t>
  </si>
  <si>
    <t>984594760</t>
  </si>
  <si>
    <t>57468114</t>
  </si>
  <si>
    <t>1719511659</t>
  </si>
  <si>
    <t>984650632</t>
  </si>
  <si>
    <t>33156748</t>
  </si>
  <si>
    <t>1721988838</t>
  </si>
  <si>
    <t>PLAN MOVISTAR $16.99</t>
  </si>
  <si>
    <t>984655342</t>
  </si>
  <si>
    <t>39518560</t>
  </si>
  <si>
    <t>984679258</t>
  </si>
  <si>
    <t>61592004</t>
  </si>
  <si>
    <t>1703779015</t>
  </si>
  <si>
    <t>984785948</t>
  </si>
  <si>
    <t>19195303</t>
  </si>
  <si>
    <t>1715688717</t>
  </si>
  <si>
    <t>PLAN FUSIÓN IRON PLUS</t>
  </si>
  <si>
    <t>984828495</t>
  </si>
  <si>
    <t>62660223</t>
  </si>
  <si>
    <t>0500455811</t>
  </si>
  <si>
    <t>984837766</t>
  </si>
  <si>
    <t>54078058</t>
  </si>
  <si>
    <t>1715150148</t>
  </si>
  <si>
    <t>984859318</t>
  </si>
  <si>
    <t>58957332</t>
  </si>
  <si>
    <t>0101615060</t>
  </si>
  <si>
    <t>984876935</t>
  </si>
  <si>
    <t>60398869</t>
  </si>
  <si>
    <t>984915138</t>
  </si>
  <si>
    <t>49665243</t>
  </si>
  <si>
    <t>984967912</t>
  </si>
  <si>
    <t>16707893</t>
  </si>
  <si>
    <t>1706723812</t>
  </si>
  <si>
    <t>P0128</t>
  </si>
  <si>
    <t>PLAN MOVISTAR STARTER PLUS</t>
  </si>
  <si>
    <t>984999938</t>
  </si>
  <si>
    <t>62873559</t>
  </si>
  <si>
    <t>1716298128</t>
  </si>
  <si>
    <t>985524757</t>
  </si>
  <si>
    <t>59491037</t>
  </si>
  <si>
    <t>1707179451</t>
  </si>
  <si>
    <t>986165557</t>
  </si>
  <si>
    <t>60910881</t>
  </si>
  <si>
    <t>1724167828</t>
  </si>
  <si>
    <t>P0140</t>
  </si>
  <si>
    <t>PLAN MOVISTAR SILVER PLUS</t>
  </si>
  <si>
    <t>986220810</t>
  </si>
  <si>
    <t>58864456</t>
  </si>
  <si>
    <t>1715208862</t>
  </si>
  <si>
    <t>986650481</t>
  </si>
  <si>
    <t>32963670</t>
  </si>
  <si>
    <t>1705245379</t>
  </si>
  <si>
    <t>986916550</t>
  </si>
  <si>
    <t>60047528</t>
  </si>
  <si>
    <t>1714770037</t>
  </si>
  <si>
    <t>P0139</t>
  </si>
  <si>
    <t>PREVIOPAGO PLAN MOVISTAR BRONZE PLUS FS</t>
  </si>
  <si>
    <t>987020583</t>
  </si>
  <si>
    <t>62898914</t>
  </si>
  <si>
    <t>1726244617</t>
  </si>
  <si>
    <t>987027551</t>
  </si>
  <si>
    <t>55593223</t>
  </si>
  <si>
    <t>987055083</t>
  </si>
  <si>
    <t>52551662</t>
  </si>
  <si>
    <t>987078091</t>
  </si>
  <si>
    <t>61486311</t>
  </si>
  <si>
    <t>0500815717</t>
  </si>
  <si>
    <t>987171924</t>
  </si>
  <si>
    <t>26904326</t>
  </si>
  <si>
    <t>1000734747</t>
  </si>
  <si>
    <t>987189301</t>
  </si>
  <si>
    <t>30947849</t>
  </si>
  <si>
    <t>0501172910</t>
  </si>
  <si>
    <t>987198477</t>
  </si>
  <si>
    <t>62664015</t>
  </si>
  <si>
    <t>NAE108382</t>
  </si>
  <si>
    <t>AE SALESLAND AMERICA (NIAMA MARIA)</t>
  </si>
  <si>
    <t>987209376</t>
  </si>
  <si>
    <t>8775016</t>
  </si>
  <si>
    <t>P0071</t>
  </si>
  <si>
    <t>PLAN MOVISTAR $29.99</t>
  </si>
  <si>
    <t>987302744</t>
  </si>
  <si>
    <t>39473879</t>
  </si>
  <si>
    <t>0916490600</t>
  </si>
  <si>
    <t>P0158</t>
  </si>
  <si>
    <t>PLAN MOVISTAR BASIC PLUS R FS</t>
  </si>
  <si>
    <t>987314242</t>
  </si>
  <si>
    <t>58098267</t>
  </si>
  <si>
    <t>0105062566</t>
  </si>
  <si>
    <t>CHIMBORAZO</t>
  </si>
  <si>
    <t>987361730</t>
  </si>
  <si>
    <t>62808451</t>
  </si>
  <si>
    <t>1716292063</t>
  </si>
  <si>
    <t>987411170</t>
  </si>
  <si>
    <t>56819958</t>
  </si>
  <si>
    <t>1759280991</t>
  </si>
  <si>
    <t>987413732</t>
  </si>
  <si>
    <t>58499878</t>
  </si>
  <si>
    <t>0101776649</t>
  </si>
  <si>
    <t>987440528</t>
  </si>
  <si>
    <t>58723159</t>
  </si>
  <si>
    <t>1719110759</t>
  </si>
  <si>
    <t>P0107</t>
  </si>
  <si>
    <t>987466046</t>
  </si>
  <si>
    <t>62232391</t>
  </si>
  <si>
    <t>1711220242</t>
  </si>
  <si>
    <t>987540811</t>
  </si>
  <si>
    <t>60301500</t>
  </si>
  <si>
    <t>1725065435</t>
  </si>
  <si>
    <t>987572376</t>
  </si>
  <si>
    <t>62758976</t>
  </si>
  <si>
    <t>1711386381</t>
  </si>
  <si>
    <t>987572870</t>
  </si>
  <si>
    <t>37712098</t>
  </si>
  <si>
    <t>0103766531</t>
  </si>
  <si>
    <t>P0157</t>
  </si>
  <si>
    <t>PLAN MOVISTAR STARTER PLUS R FS</t>
  </si>
  <si>
    <t>987603411</t>
  </si>
  <si>
    <t>62815340</t>
  </si>
  <si>
    <t>1720985868</t>
  </si>
  <si>
    <t>987668513</t>
  </si>
  <si>
    <t>62722693</t>
  </si>
  <si>
    <t>1703302321</t>
  </si>
  <si>
    <t>987692863</t>
  </si>
  <si>
    <t>62695893</t>
  </si>
  <si>
    <t>1723186431</t>
  </si>
  <si>
    <t>987733561</t>
  </si>
  <si>
    <t>21824707</t>
  </si>
  <si>
    <t>1710498948</t>
  </si>
  <si>
    <t>P0090</t>
  </si>
  <si>
    <t>PLAN FUSIÓN SILVER PLUS</t>
  </si>
  <si>
    <t>987736142</t>
  </si>
  <si>
    <t>62754534</t>
  </si>
  <si>
    <t>0502526627</t>
  </si>
  <si>
    <t>987740883</t>
  </si>
  <si>
    <t>58287664</t>
  </si>
  <si>
    <t>987831146</t>
  </si>
  <si>
    <t>62905588</t>
  </si>
  <si>
    <t>1720033107</t>
  </si>
  <si>
    <t>987849382</t>
  </si>
  <si>
    <t>57455203</t>
  </si>
  <si>
    <t>0101599082</t>
  </si>
  <si>
    <t>P0077</t>
  </si>
  <si>
    <t>PREVIOPAGO PLAN MOVISTAR $49.99</t>
  </si>
  <si>
    <t>987863440</t>
  </si>
  <si>
    <t>60590043</t>
  </si>
  <si>
    <t>0102507175</t>
  </si>
  <si>
    <t>P0123</t>
  </si>
  <si>
    <t>PLAN MOVISTAR CONEXIÓN</t>
  </si>
  <si>
    <t>987919176</t>
  </si>
  <si>
    <t>34532333</t>
  </si>
  <si>
    <t>0103312971</t>
  </si>
  <si>
    <t>PLAN MOVISTAR GOLD</t>
  </si>
  <si>
    <t>987923908</t>
  </si>
  <si>
    <t>62609660</t>
  </si>
  <si>
    <t>1709429581</t>
  </si>
  <si>
    <t>P0152</t>
  </si>
  <si>
    <t>MOVISTAR EMPRESAS IRON FS</t>
  </si>
  <si>
    <t>987944237</t>
  </si>
  <si>
    <t>59467048</t>
  </si>
  <si>
    <t>0300598059</t>
  </si>
  <si>
    <t>CAÑAR</t>
  </si>
  <si>
    <t>P0065</t>
  </si>
  <si>
    <t>987953116</t>
  </si>
  <si>
    <t>21201122</t>
  </si>
  <si>
    <t>1705295176</t>
  </si>
  <si>
    <t>987954934</t>
  </si>
  <si>
    <t>61753472</t>
  </si>
  <si>
    <t>MASIVO MIGRADO</t>
  </si>
  <si>
    <t>1755862370</t>
  </si>
  <si>
    <t>987980346</t>
  </si>
  <si>
    <t>60600246</t>
  </si>
  <si>
    <t>1717598567</t>
  </si>
  <si>
    <t>988049165</t>
  </si>
  <si>
    <t>62659022</t>
  </si>
  <si>
    <t>0102153160</t>
  </si>
  <si>
    <t>988991446</t>
  </si>
  <si>
    <t>57041687</t>
  </si>
  <si>
    <t>0101945459</t>
  </si>
  <si>
    <t>PREVIOPAGO PLAN MOVISTAR $16.99</t>
  </si>
  <si>
    <t>991209319</t>
  </si>
  <si>
    <t>36458321</t>
  </si>
  <si>
    <t>0602207243</t>
  </si>
  <si>
    <t>991616240</t>
  </si>
  <si>
    <t>60469846</t>
  </si>
  <si>
    <t>0703600353</t>
  </si>
  <si>
    <t>MOVISTAR EMPRESAS SILVER</t>
  </si>
  <si>
    <t>NAE104491</t>
  </si>
  <si>
    <t>SALESLAND CUENCA CENTRO (FEICAN MARIA)</t>
  </si>
  <si>
    <t>992519300</t>
  </si>
  <si>
    <t>62217256</t>
  </si>
  <si>
    <t>1721432969</t>
  </si>
  <si>
    <t>992541198</t>
  </si>
  <si>
    <t>58778912</t>
  </si>
  <si>
    <t>0401032701</t>
  </si>
  <si>
    <t>992556908</t>
  </si>
  <si>
    <t>62295804</t>
  </si>
  <si>
    <t>0931076178</t>
  </si>
  <si>
    <t>992746990</t>
  </si>
  <si>
    <t>62864686</t>
  </si>
  <si>
    <t>1716086721</t>
  </si>
  <si>
    <t>992850099</t>
  </si>
  <si>
    <t>24305645</t>
  </si>
  <si>
    <t>1704128238</t>
  </si>
  <si>
    <t>992863026</t>
  </si>
  <si>
    <t>61030545</t>
  </si>
  <si>
    <t>1701012286</t>
  </si>
  <si>
    <t>992925255</t>
  </si>
  <si>
    <t>53329098</t>
  </si>
  <si>
    <t>1710550334</t>
  </si>
  <si>
    <t>992944084</t>
  </si>
  <si>
    <t>30184074</t>
  </si>
  <si>
    <t>1726475849</t>
  </si>
  <si>
    <t>992950432</t>
  </si>
  <si>
    <t>35103889</t>
  </si>
  <si>
    <t>0300304862</t>
  </si>
  <si>
    <t>993191311</t>
  </si>
  <si>
    <t>57813243</t>
  </si>
  <si>
    <t>0702576109</t>
  </si>
  <si>
    <t>993584516</t>
  </si>
  <si>
    <t>57552691</t>
  </si>
  <si>
    <t>1707438816</t>
  </si>
  <si>
    <t>995001731</t>
  </si>
  <si>
    <t>60694085</t>
  </si>
  <si>
    <t>0501297279</t>
  </si>
  <si>
    <t>995005894</t>
  </si>
  <si>
    <t>58542420</t>
  </si>
  <si>
    <t>1715009518</t>
  </si>
  <si>
    <t>PLAN MOVISTAR PLATINUM</t>
  </si>
  <si>
    <t>995011438</t>
  </si>
  <si>
    <t>58140263</t>
  </si>
  <si>
    <t>0104394838</t>
  </si>
  <si>
    <t>PREVIOPAGO PLAN MOVISTAR $12.99</t>
  </si>
  <si>
    <t>995018616</t>
  </si>
  <si>
    <t>54899563</t>
  </si>
  <si>
    <t>0501377790</t>
  </si>
  <si>
    <t>995032726</t>
  </si>
  <si>
    <t>59549770</t>
  </si>
  <si>
    <t>1001041373</t>
  </si>
  <si>
    <t>995036564</t>
  </si>
  <si>
    <t>61748032</t>
  </si>
  <si>
    <t>0501872907</t>
  </si>
  <si>
    <t>995047610</t>
  </si>
  <si>
    <t>18091797</t>
  </si>
  <si>
    <t>0101697258</t>
  </si>
  <si>
    <t>JP</t>
  </si>
  <si>
    <t>PLAN TOTAL 8.</t>
  </si>
  <si>
    <t>995048537</t>
  </si>
  <si>
    <t>54924249</t>
  </si>
  <si>
    <t>1722627625</t>
  </si>
  <si>
    <t>P0148</t>
  </si>
  <si>
    <t>PLAN MOVISTAR PLATINUM PLUS</t>
  </si>
  <si>
    <t>995079178</t>
  </si>
  <si>
    <t>60719666</t>
  </si>
  <si>
    <t>1707139075</t>
  </si>
  <si>
    <t>995083537</t>
  </si>
  <si>
    <t>62094527</t>
  </si>
  <si>
    <t>0106839244</t>
  </si>
  <si>
    <t>995091377</t>
  </si>
  <si>
    <t>7678832</t>
  </si>
  <si>
    <t>1704150265</t>
  </si>
  <si>
    <t>995100197</t>
  </si>
  <si>
    <t>55469510</t>
  </si>
  <si>
    <t>0100949486</t>
  </si>
  <si>
    <t>995138965</t>
  </si>
  <si>
    <t>50892732</t>
  </si>
  <si>
    <t>0105501118</t>
  </si>
  <si>
    <t>995146993</t>
  </si>
  <si>
    <t>59325701</t>
  </si>
  <si>
    <t>1720443348</t>
  </si>
  <si>
    <t>P0069</t>
  </si>
  <si>
    <t>PREVIOPAGO PLAN MOVISTAR GOLD</t>
  </si>
  <si>
    <t>995158746</t>
  </si>
  <si>
    <t>60667821</t>
  </si>
  <si>
    <t>1706382650</t>
  </si>
  <si>
    <t>995207162</t>
  </si>
  <si>
    <t>58485839</t>
  </si>
  <si>
    <t>1716986276</t>
  </si>
  <si>
    <t>995210799</t>
  </si>
  <si>
    <t>59547133</t>
  </si>
  <si>
    <t>0102660859</t>
  </si>
  <si>
    <t>995231185</t>
  </si>
  <si>
    <t>54641092</t>
  </si>
  <si>
    <t>1711220176</t>
  </si>
  <si>
    <t>995291321</t>
  </si>
  <si>
    <t>62790953</t>
  </si>
  <si>
    <t>1712615770</t>
  </si>
  <si>
    <t>995320527</t>
  </si>
  <si>
    <t>33871206</t>
  </si>
  <si>
    <t>1704715281</t>
  </si>
  <si>
    <t>P0129</t>
  </si>
  <si>
    <t>PLAN MOVISTAR STARTER PLUS FS</t>
  </si>
  <si>
    <t>995345672</t>
  </si>
  <si>
    <t>34396010</t>
  </si>
  <si>
    <t>1711405710</t>
  </si>
  <si>
    <t>995366648</t>
  </si>
  <si>
    <t>62859533</t>
  </si>
  <si>
    <t>1727163089</t>
  </si>
  <si>
    <t>SANTO DOMINGO DE LOS TSACHILAS</t>
  </si>
  <si>
    <t>995390223</t>
  </si>
  <si>
    <t>62870036</t>
  </si>
  <si>
    <t>1708981483</t>
  </si>
  <si>
    <t>995401243</t>
  </si>
  <si>
    <t>55209752</t>
  </si>
  <si>
    <t>1805224712</t>
  </si>
  <si>
    <t>PREVIOPAGO PLAN MOVISTAR $24.99</t>
  </si>
  <si>
    <t>995447670</t>
  </si>
  <si>
    <t>62786804</t>
  </si>
  <si>
    <t>1712705241</t>
  </si>
  <si>
    <t>995474578</t>
  </si>
  <si>
    <t>62793264</t>
  </si>
  <si>
    <t>0602528226</t>
  </si>
  <si>
    <t>995509875</t>
  </si>
  <si>
    <t>52645580</t>
  </si>
  <si>
    <t>0703334904</t>
  </si>
  <si>
    <t>995531188</t>
  </si>
  <si>
    <t>62772911</t>
  </si>
  <si>
    <t>1722911169</t>
  </si>
  <si>
    <t>995542784</t>
  </si>
  <si>
    <t>60150758</t>
  </si>
  <si>
    <t>995616406</t>
  </si>
  <si>
    <t>35649205</t>
  </si>
  <si>
    <t>1707781405</t>
  </si>
  <si>
    <t>P0059</t>
  </si>
  <si>
    <t>PLAN MOVISTAR BASIC</t>
  </si>
  <si>
    <t>995617726</t>
  </si>
  <si>
    <t>61698218</t>
  </si>
  <si>
    <t>0104442629</t>
  </si>
  <si>
    <t>995619903</t>
  </si>
  <si>
    <t>60913260</t>
  </si>
  <si>
    <t>995638499</t>
  </si>
  <si>
    <t>32972013</t>
  </si>
  <si>
    <t>995745578</t>
  </si>
  <si>
    <t>60377047</t>
  </si>
  <si>
    <t>0504187394</t>
  </si>
  <si>
    <t>P0135</t>
  </si>
  <si>
    <t>PREVIOPAGO PLAN MOVISTAR BASIC PLUS FS</t>
  </si>
  <si>
    <t>995777592</t>
  </si>
  <si>
    <t>33136325</t>
  </si>
  <si>
    <t>1714417043</t>
  </si>
  <si>
    <t>995804195</t>
  </si>
  <si>
    <t>62609579</t>
  </si>
  <si>
    <t>995836959</t>
  </si>
  <si>
    <t>62569394</t>
  </si>
  <si>
    <t>0105679278</t>
  </si>
  <si>
    <t>995957304</t>
  </si>
  <si>
    <t>58146492</t>
  </si>
  <si>
    <t>1717679847</t>
  </si>
  <si>
    <t>996214924</t>
  </si>
  <si>
    <t>61297256</t>
  </si>
  <si>
    <t>1716950462</t>
  </si>
  <si>
    <t>996603809</t>
  </si>
  <si>
    <t>24010877</t>
  </si>
  <si>
    <t>1709988115</t>
  </si>
  <si>
    <t>P0144</t>
  </si>
  <si>
    <t>PLAN MOVISTAR GOLD PLUS</t>
  </si>
  <si>
    <t>997467269</t>
  </si>
  <si>
    <t>53555913</t>
  </si>
  <si>
    <t>1715937593</t>
  </si>
  <si>
    <t>998000088</t>
  </si>
  <si>
    <t>59653497</t>
  </si>
  <si>
    <t>1701216903</t>
  </si>
  <si>
    <t>998008084</t>
  </si>
  <si>
    <t>59479879</t>
  </si>
  <si>
    <t>1705148730</t>
  </si>
  <si>
    <t>998030128</t>
  </si>
  <si>
    <t>31961976</t>
  </si>
  <si>
    <t>1304467192</t>
  </si>
  <si>
    <t>998102917</t>
  </si>
  <si>
    <t>61084038</t>
  </si>
  <si>
    <t>1716363435</t>
  </si>
  <si>
    <t>998123679</t>
  </si>
  <si>
    <t>56302392</t>
  </si>
  <si>
    <t>1705826079</t>
  </si>
  <si>
    <t>998134186</t>
  </si>
  <si>
    <t>57981231</t>
  </si>
  <si>
    <t>1709214496</t>
  </si>
  <si>
    <t>PREVIOPAGO PLAN MOVISTAR $9.99</t>
  </si>
  <si>
    <t>998157210</t>
  </si>
  <si>
    <t>59510089</t>
  </si>
  <si>
    <t>1718265109</t>
  </si>
  <si>
    <t>998173887</t>
  </si>
  <si>
    <t>59406106</t>
  </si>
  <si>
    <t>1719892927</t>
  </si>
  <si>
    <t>IMBABURA</t>
  </si>
  <si>
    <t>998175321</t>
  </si>
  <si>
    <t>34392730</t>
  </si>
  <si>
    <t>0501756506</t>
  </si>
  <si>
    <t>998177412</t>
  </si>
  <si>
    <t>62718821</t>
  </si>
  <si>
    <t>998191105</t>
  </si>
  <si>
    <t>61677081</t>
  </si>
  <si>
    <t>1720662855</t>
  </si>
  <si>
    <t>998206212</t>
  </si>
  <si>
    <t>61274927</t>
  </si>
  <si>
    <t>0927739433</t>
  </si>
  <si>
    <t>998208180</t>
  </si>
  <si>
    <t>61295417</t>
  </si>
  <si>
    <t>1704299955</t>
  </si>
  <si>
    <t>998221281</t>
  </si>
  <si>
    <t>52575552</t>
  </si>
  <si>
    <t>0201289451</t>
  </si>
  <si>
    <t>P0106</t>
  </si>
  <si>
    <t>PLAN MOVISTAR $9.99 TELEVENTAS</t>
  </si>
  <si>
    <t>998244296</t>
  </si>
  <si>
    <t>62840571</t>
  </si>
  <si>
    <t>1726794355</t>
  </si>
  <si>
    <t>998248207</t>
  </si>
  <si>
    <t>16695845</t>
  </si>
  <si>
    <t>0101852788</t>
  </si>
  <si>
    <t>998265078</t>
  </si>
  <si>
    <t>10291127</t>
  </si>
  <si>
    <t>0101674497</t>
  </si>
  <si>
    <t>PLAN MOVISTAR SILVER</t>
  </si>
  <si>
    <t>998329604</t>
  </si>
  <si>
    <t>8916714</t>
  </si>
  <si>
    <t>1704233079</t>
  </si>
  <si>
    <t>998329730</t>
  </si>
  <si>
    <t>59941597</t>
  </si>
  <si>
    <t>1753841384</t>
  </si>
  <si>
    <t>998331011</t>
  </si>
  <si>
    <t>62709607</t>
  </si>
  <si>
    <t>0706576915</t>
  </si>
  <si>
    <t>998335509</t>
  </si>
  <si>
    <t>60625695</t>
  </si>
  <si>
    <t>1715740708</t>
  </si>
  <si>
    <t>998340817</t>
  </si>
  <si>
    <t>35358237</t>
  </si>
  <si>
    <t>998389490</t>
  </si>
  <si>
    <t>57899211</t>
  </si>
  <si>
    <t>1704452604</t>
  </si>
  <si>
    <t>998390333</t>
  </si>
  <si>
    <t>62785604</t>
  </si>
  <si>
    <t>1703391936</t>
  </si>
  <si>
    <t>998399874</t>
  </si>
  <si>
    <t>61316912</t>
  </si>
  <si>
    <t>1719026765</t>
  </si>
  <si>
    <t>998434908</t>
  </si>
  <si>
    <t>39167319</t>
  </si>
  <si>
    <t>1715735369</t>
  </si>
  <si>
    <t>998559201</t>
  </si>
  <si>
    <t>37038429</t>
  </si>
  <si>
    <t>1706612551</t>
  </si>
  <si>
    <t>5B</t>
  </si>
  <si>
    <t>Plan Smart $6..</t>
  </si>
  <si>
    <t>998565233</t>
  </si>
  <si>
    <t>59670587</t>
  </si>
  <si>
    <t>0102532983</t>
  </si>
  <si>
    <t>998617784</t>
  </si>
  <si>
    <t>52954206</t>
  </si>
  <si>
    <t>1708472905</t>
  </si>
  <si>
    <t>998638004</t>
  </si>
  <si>
    <t>62369775</t>
  </si>
  <si>
    <t>0704439454</t>
  </si>
  <si>
    <t>ZAMORA CHINCHIPE</t>
  </si>
  <si>
    <t>998640536</t>
  </si>
  <si>
    <t>60748221</t>
  </si>
  <si>
    <t>1708256480</t>
  </si>
  <si>
    <t>998647984</t>
  </si>
  <si>
    <t>61585553</t>
  </si>
  <si>
    <t>998657950</t>
  </si>
  <si>
    <t>60077453</t>
  </si>
  <si>
    <t>0701886061</t>
  </si>
  <si>
    <t>998680496</t>
  </si>
  <si>
    <t>62838144</t>
  </si>
  <si>
    <t>1704186996</t>
  </si>
  <si>
    <t>998696183</t>
  </si>
  <si>
    <t>51662226</t>
  </si>
  <si>
    <t>1708482672</t>
  </si>
  <si>
    <t>998698063</t>
  </si>
  <si>
    <t>60987824</t>
  </si>
  <si>
    <t>1704256419</t>
  </si>
  <si>
    <t>998744918</t>
  </si>
  <si>
    <t>39161127</t>
  </si>
  <si>
    <t>998824007</t>
  </si>
  <si>
    <t>60377080</t>
  </si>
  <si>
    <t>998870099</t>
  </si>
  <si>
    <t>62924354</t>
  </si>
  <si>
    <t>0103798096</t>
  </si>
  <si>
    <t>Descuento 10% Tarifa Plan x 3M</t>
  </si>
  <si>
    <t>NAE107519</t>
  </si>
  <si>
    <t>998882444</t>
  </si>
  <si>
    <t>62914493</t>
  </si>
  <si>
    <t>998913441</t>
  </si>
  <si>
    <t>60556253</t>
  </si>
  <si>
    <t>998956553</t>
  </si>
  <si>
    <t>49693427</t>
  </si>
  <si>
    <t>998962125</t>
  </si>
  <si>
    <t>23246823</t>
  </si>
  <si>
    <t>0105728695</t>
  </si>
  <si>
    <t>P0028</t>
  </si>
  <si>
    <t>PLAN MOVISTAR $11.99.</t>
  </si>
  <si>
    <t>998980879</t>
  </si>
  <si>
    <t>61059336</t>
  </si>
  <si>
    <t>1721713848</t>
  </si>
  <si>
    <t>999005438</t>
  </si>
  <si>
    <t>25735968</t>
  </si>
  <si>
    <t>1714042379</t>
  </si>
  <si>
    <t>P0094</t>
  </si>
  <si>
    <t>MOVISTAR EMPRESAS PLATINUM</t>
  </si>
  <si>
    <t>999019685</t>
  </si>
  <si>
    <t>15226256</t>
  </si>
  <si>
    <t>1002220935</t>
  </si>
  <si>
    <t>999022984</t>
  </si>
  <si>
    <t>52406840</t>
  </si>
  <si>
    <t>999042461</t>
  </si>
  <si>
    <t>61029211</t>
  </si>
  <si>
    <t>0501526859</t>
  </si>
  <si>
    <t>999048031</t>
  </si>
  <si>
    <t>62777653</t>
  </si>
  <si>
    <t>1000393734</t>
  </si>
  <si>
    <t>999053956</t>
  </si>
  <si>
    <t>62599354</t>
  </si>
  <si>
    <t>1753113370</t>
  </si>
  <si>
    <t>999059832</t>
  </si>
  <si>
    <t>58042952</t>
  </si>
  <si>
    <t>0104048939</t>
  </si>
  <si>
    <t>999088622</t>
  </si>
  <si>
    <t>62207260</t>
  </si>
  <si>
    <t>0103130696</t>
  </si>
  <si>
    <t>999205752</t>
  </si>
  <si>
    <t>35461408</t>
  </si>
  <si>
    <t>0300011756</t>
  </si>
  <si>
    <t>999214247</t>
  </si>
  <si>
    <t>15433207</t>
  </si>
  <si>
    <t>0701143299</t>
  </si>
  <si>
    <t>999263391</t>
  </si>
  <si>
    <t>60184147</t>
  </si>
  <si>
    <t>0151850815</t>
  </si>
  <si>
    <t>999270799</t>
  </si>
  <si>
    <t>62508882</t>
  </si>
  <si>
    <t>999739781</t>
  </si>
  <si>
    <t>27130181</t>
  </si>
  <si>
    <t>1712290053</t>
  </si>
  <si>
    <t>999747892</t>
  </si>
  <si>
    <t>62111158</t>
  </si>
  <si>
    <t>0100663269</t>
  </si>
  <si>
    <t>999762427</t>
  </si>
  <si>
    <t>62411540</t>
  </si>
  <si>
    <t>1752964419</t>
  </si>
  <si>
    <t>999775468</t>
  </si>
  <si>
    <t>62022581</t>
  </si>
  <si>
    <t>1751547843</t>
  </si>
  <si>
    <t>999783281</t>
  </si>
  <si>
    <t>52008030</t>
  </si>
  <si>
    <t>1712581741</t>
  </si>
  <si>
    <t>999784494</t>
  </si>
  <si>
    <t>58314874</t>
  </si>
  <si>
    <t>999816033</t>
  </si>
  <si>
    <t>59646958</t>
  </si>
  <si>
    <t>1708250715</t>
  </si>
  <si>
    <t>999869502</t>
  </si>
  <si>
    <t>62750399</t>
  </si>
  <si>
    <t>1717188534</t>
  </si>
  <si>
    <t>999872913</t>
  </si>
  <si>
    <t>59207975</t>
  </si>
  <si>
    <t>1705402376</t>
  </si>
  <si>
    <t>999907227</t>
  </si>
  <si>
    <t>58126409</t>
  </si>
  <si>
    <t>1706016324</t>
  </si>
  <si>
    <t>999918667</t>
  </si>
  <si>
    <t>62563631</t>
  </si>
  <si>
    <t>999929515</t>
  </si>
  <si>
    <t>32972015</t>
  </si>
  <si>
    <t>999949028</t>
  </si>
  <si>
    <t>62040993</t>
  </si>
  <si>
    <t>0700181589</t>
  </si>
  <si>
    <t>SANTA ELENA</t>
  </si>
  <si>
    <t>999965215</t>
  </si>
  <si>
    <t>58300602</t>
  </si>
  <si>
    <t>999986694</t>
  </si>
  <si>
    <t>56393491</t>
  </si>
  <si>
    <t>1758013682</t>
  </si>
  <si>
    <t>anterior</t>
  </si>
  <si>
    <t>actural</t>
  </si>
  <si>
    <t>full iron</t>
  </si>
  <si>
    <t>full gold</t>
  </si>
  <si>
    <t>full dimond</t>
  </si>
  <si>
    <t>FECHA</t>
  </si>
  <si>
    <t>DIF. TARIFAS</t>
  </si>
  <si>
    <t>C. COMISIÓN TME</t>
  </si>
  <si>
    <t>TIPO DE MOVIMIENTO SLSL</t>
  </si>
  <si>
    <t>NUM_FACTURA</t>
  </si>
  <si>
    <t>NUM_FACTURA_RELACIONADA</t>
  </si>
  <si>
    <t>NOMBRE_CLIENTE</t>
  </si>
  <si>
    <t>IDENTIFICACION_CLIENTE</t>
  </si>
  <si>
    <t>TIPO_CARGO</t>
  </si>
  <si>
    <t>SEGMENTACION_SMARTS</t>
  </si>
  <si>
    <t>FABRICANTE</t>
  </si>
  <si>
    <t>MODELO_GUIA_COMERCIAL</t>
  </si>
  <si>
    <t>GAMA_EQUIPO</t>
  </si>
  <si>
    <t>CLASIFICACION_TERMINAL</t>
  </si>
  <si>
    <t>CODIGO_DA</t>
  </si>
  <si>
    <t>RAZON_SOCIAL</t>
  </si>
  <si>
    <t>FUENTE_CANAL</t>
  </si>
  <si>
    <t>NUM_ABONADO</t>
  </si>
  <si>
    <t>MOVIMIENTO</t>
  </si>
  <si>
    <t>COSTO_UNITARIO</t>
  </si>
  <si>
    <t>FUENTE_COSTO</t>
  </si>
  <si>
    <t>COSTO_TOTAL</t>
  </si>
  <si>
    <t>DESPACHO</t>
  </si>
  <si>
    <t>PLAN_NOMBRE</t>
  </si>
  <si>
    <t>BRANCH</t>
  </si>
  <si>
    <t>CANAL_NC</t>
  </si>
  <si>
    <t>USUARIO_FINAL</t>
  </si>
  <si>
    <t>NOMBRE_USUARIO_FINAL</t>
  </si>
  <si>
    <t>CUOTAS_FINANCIADAS</t>
  </si>
  <si>
    <t>OFICINA_USUARIO</t>
  </si>
  <si>
    <t>DISTRIBUIDOR_USUARIO</t>
  </si>
  <si>
    <t>CODIGO_ARTICULO</t>
  </si>
  <si>
    <t>NOMBRE_ARTICULO</t>
  </si>
  <si>
    <t>NOTA_CREDITO_MASIVA</t>
  </si>
  <si>
    <t>PRECIO_BASE</t>
  </si>
  <si>
    <t>PRECIO_CON_OVERRIDE</t>
  </si>
  <si>
    <t>MRC_OV_CREATED_BY</t>
  </si>
  <si>
    <t>FECHA_OVERRIDE</t>
  </si>
  <si>
    <t>forma_pago_factura</t>
  </si>
  <si>
    <t>CUOTA_INICIAL</t>
  </si>
  <si>
    <t>tarjeta_banco</t>
  </si>
  <si>
    <t>cuotas</t>
  </si>
  <si>
    <t>tarjeta_banco2</t>
  </si>
  <si>
    <t>cuotas2</t>
  </si>
  <si>
    <t>Mes_Factura</t>
  </si>
  <si>
    <t>Anio_Factura</t>
  </si>
  <si>
    <t>NUM_FACTURA_VALIDADA</t>
  </si>
  <si>
    <t>CANTIDAD_VALIDADA</t>
  </si>
  <si>
    <t>MONTO_VALIDADO</t>
  </si>
  <si>
    <t>COD_DISTRIBUIDOR</t>
  </si>
  <si>
    <t>NOMBRE_DISTRIBUIDOR</t>
  </si>
  <si>
    <t>COD_PLAZA</t>
  </si>
  <si>
    <t>REGION_FIN</t>
  </si>
  <si>
    <t>FORMAS DE PAGO</t>
  </si>
  <si>
    <t>FINANCIAMIENTO_TERCEROS</t>
  </si>
  <si>
    <t>TIPO_VENTA_2</t>
  </si>
  <si>
    <t>TIPO ALTA COMISIONES</t>
  </si>
  <si>
    <t>COMISIONES TERMINALES</t>
  </si>
  <si>
    <t>COMISIONES RENOVACIONES</t>
  </si>
  <si>
    <t>COMISIONES BONO</t>
  </si>
  <si>
    <t>COMISION TOTAL</t>
  </si>
  <si>
    <t>PROY. COM. TERMINALES</t>
  </si>
  <si>
    <t>PROY. COM. RENOV.</t>
  </si>
  <si>
    <t>PROY. COM. 2%</t>
  </si>
  <si>
    <t>PROY. COM. TOTAL</t>
  </si>
  <si>
    <t>969034307</t>
  </si>
  <si>
    <t>048333-003843568</t>
  </si>
  <si>
    <t>CENTRO CORPORATIVO EKOPARK</t>
  </si>
  <si>
    <t>43086537</t>
  </si>
  <si>
    <t>CRUZ MARGOT BARONA RODRIGUEZ</t>
  </si>
  <si>
    <t>1700941089</t>
  </si>
  <si>
    <t>866184060681223</t>
  </si>
  <si>
    <t>CARGO</t>
  </si>
  <si>
    <t>SMARTPHONE 4G</t>
  </si>
  <si>
    <t>HONOR</t>
  </si>
  <si>
    <t>HONOR X8</t>
  </si>
  <si>
    <t>MEDIA</t>
  </si>
  <si>
    <t>CAVS FRANQUICIA</t>
  </si>
  <si>
    <t>60169752</t>
  </si>
  <si>
    <t>RENOVACION</t>
  </si>
  <si>
    <t>COSTOS_AM</t>
  </si>
  <si>
    <t>Distribuidor a Cliente Final</t>
  </si>
  <si>
    <t>162435</t>
  </si>
  <si>
    <t>LTE HONOR X8 SILVER</t>
  </si>
  <si>
    <t>SALINDQUICAV10202</t>
  </si>
  <si>
    <t>12 (DOCE MESES)</t>
  </si>
  <si>
    <t>FINANCIAMIENTO PROPIO</t>
  </si>
  <si>
    <t>FINANCIADO DIRECTO</t>
  </si>
  <si>
    <t>987810748</t>
  </si>
  <si>
    <t>048333-003843572</t>
  </si>
  <si>
    <t>357321213159782</t>
  </si>
  <si>
    <t>NOKIA</t>
  </si>
  <si>
    <t>NOKIA C21</t>
  </si>
  <si>
    <t>BAJA</t>
  </si>
  <si>
    <t>60526424</t>
  </si>
  <si>
    <t>162473</t>
  </si>
  <si>
    <t>LTE NOKIA C21 AZUL</t>
  </si>
  <si>
    <t>VISA PICHINCHA</t>
  </si>
  <si>
    <t>06</t>
  </si>
  <si>
    <t>SALINDQUICAV10198</t>
  </si>
  <si>
    <t>TARJETAS</t>
  </si>
  <si>
    <t>983900828</t>
  </si>
  <si>
    <t>048333-003843597</t>
  </si>
  <si>
    <t>37964725</t>
  </si>
  <si>
    <t>JOSE ARTURO GONZALEZ VALVERDE</t>
  </si>
  <si>
    <t>1703672129</t>
  </si>
  <si>
    <t>359694275282033</t>
  </si>
  <si>
    <t>MOTOROLA</t>
  </si>
  <si>
    <t>MOTO G22</t>
  </si>
  <si>
    <t>MEDIA BAJA</t>
  </si>
  <si>
    <t>50048274</t>
  </si>
  <si>
    <t>162428</t>
  </si>
  <si>
    <t>LTE MOTO G22 NEGRO</t>
  </si>
  <si>
    <t>SALINDQUICAV10204</t>
  </si>
  <si>
    <t>SOHO</t>
  </si>
  <si>
    <t>981901958</t>
  </si>
  <si>
    <t>048333-003843968</t>
  </si>
  <si>
    <t>44594723</t>
  </si>
  <si>
    <t>MARCELO PASTUÑA PILATASIG</t>
  </si>
  <si>
    <t>0502022387001</t>
  </si>
  <si>
    <t>866184060681975</t>
  </si>
  <si>
    <t>62048782</t>
  </si>
  <si>
    <t>4V</t>
  </si>
  <si>
    <t>MOVISTAR EMPRESAS TV</t>
  </si>
  <si>
    <t>6 (SEIS MESES)</t>
  </si>
  <si>
    <t>984257530</t>
  </si>
  <si>
    <t>048333-003844084</t>
  </si>
  <si>
    <t>43382261</t>
  </si>
  <si>
    <t>NORMA CECILIA VIVAS ORELLANA</t>
  </si>
  <si>
    <t>1716131295</t>
  </si>
  <si>
    <t>LTE HONOR X6 SILVER CH32307</t>
  </si>
  <si>
    <t>862800061010047</t>
  </si>
  <si>
    <t>HONOR X6</t>
  </si>
  <si>
    <t>60501041</t>
  </si>
  <si>
    <t>162494</t>
  </si>
  <si>
    <t>LTE HONOR X6 SILVER</t>
  </si>
  <si>
    <t>983116317</t>
  </si>
  <si>
    <t>048333-003844093</t>
  </si>
  <si>
    <t>40808519</t>
  </si>
  <si>
    <t>JAIRO GERONIMO CONTRERAS GOMEZ</t>
  </si>
  <si>
    <t>0705189736</t>
  </si>
  <si>
    <t>351084952902129</t>
  </si>
  <si>
    <t>SAMSUNG</t>
  </si>
  <si>
    <t>SAMSUNG A03</t>
  </si>
  <si>
    <t>56996980</t>
  </si>
  <si>
    <t>162391</t>
  </si>
  <si>
    <t>LTE SAMSUNG A03 AZUL</t>
  </si>
  <si>
    <t>SALINDMACCAV11258</t>
  </si>
  <si>
    <t>979367806</t>
  </si>
  <si>
    <t>048333-003844149</t>
  </si>
  <si>
    <t>34952980</t>
  </si>
  <si>
    <t>LUIS ANIBAL ASIMBAYA PASTRANO</t>
  </si>
  <si>
    <t>1710310614</t>
  </si>
  <si>
    <t>LTE SAMSUNG Z FLIP 4 AZUL CH32204</t>
  </si>
  <si>
    <t>358975993100354</t>
  </si>
  <si>
    <t>SAMSUNG Z FLIP 4</t>
  </si>
  <si>
    <t>PREMIUM</t>
  </si>
  <si>
    <t>38778601</t>
  </si>
  <si>
    <t>162484</t>
  </si>
  <si>
    <t>LTE SAMSUNG Z FLIP 4 AZUL</t>
  </si>
  <si>
    <t>VISA BANCO RUMIÑAHUI</t>
  </si>
  <si>
    <t>12</t>
  </si>
  <si>
    <t>048333-003844213</t>
  </si>
  <si>
    <t>45126159</t>
  </si>
  <si>
    <t>SANTIAGO ANDRES NARVAEZ BORJA</t>
  </si>
  <si>
    <t>1716769532</t>
  </si>
  <si>
    <t>864048063379667</t>
  </si>
  <si>
    <t>XIAOMI</t>
  </si>
  <si>
    <t>XIAOMI REDMI NOTE 11</t>
  </si>
  <si>
    <t>162455</t>
  </si>
  <si>
    <t>LTE XIAOMI REDMI NOTE 11 AZUL</t>
  </si>
  <si>
    <t>CORRIENTE</t>
  </si>
  <si>
    <t>983399616</t>
  </si>
  <si>
    <t>048333-003844602</t>
  </si>
  <si>
    <t>351084952902202</t>
  </si>
  <si>
    <t>60808667</t>
  </si>
  <si>
    <t>998300613</t>
  </si>
  <si>
    <t>048333-003844647</t>
  </si>
  <si>
    <t>25852082</t>
  </si>
  <si>
    <t>ANITA JUDITH ESPINOSA VILLARREAL</t>
  </si>
  <si>
    <t>1702015866</t>
  </si>
  <si>
    <t>866184060677270</t>
  </si>
  <si>
    <t>25503591</t>
  </si>
  <si>
    <t>998733798</t>
  </si>
  <si>
    <t>048333-003844813</t>
  </si>
  <si>
    <t>40353353</t>
  </si>
  <si>
    <t>LUIS ENRIQUE LUDEÑA LUDEÑA</t>
  </si>
  <si>
    <t>1102419866</t>
  </si>
  <si>
    <t>359694275284856</t>
  </si>
  <si>
    <t>55910659</t>
  </si>
  <si>
    <t>962926951</t>
  </si>
  <si>
    <t>048333-003844841</t>
  </si>
  <si>
    <t>25105503</t>
  </si>
  <si>
    <t>DIANA ELIZABETH CHUVA BRITO</t>
  </si>
  <si>
    <t>0105989321</t>
  </si>
  <si>
    <t>353842195019888</t>
  </si>
  <si>
    <t>SAMSUNG A53 5G</t>
  </si>
  <si>
    <t>ALTA</t>
  </si>
  <si>
    <t>56520715</t>
  </si>
  <si>
    <t>7E</t>
  </si>
  <si>
    <t>PREPAGO TODO EN UNO</t>
  </si>
  <si>
    <t>162413</t>
  </si>
  <si>
    <t>LTE SAMSUNG A53 5G AZUL</t>
  </si>
  <si>
    <t>SALINDCUECAV10218</t>
  </si>
  <si>
    <t>995550394</t>
  </si>
  <si>
    <t>048333-003844855</t>
  </si>
  <si>
    <t>45620560</t>
  </si>
  <si>
    <t>BAYRON ROLANDO VERA PERUGACHI</t>
  </si>
  <si>
    <t>1003419239</t>
  </si>
  <si>
    <t>866184060681421</t>
  </si>
  <si>
    <t>62943219</t>
  </si>
  <si>
    <t>999812852</t>
  </si>
  <si>
    <t>048333-003845083</t>
  </si>
  <si>
    <t>45621224</t>
  </si>
  <si>
    <t>EDISON MIGUEL VALENCIA GORDON</t>
  </si>
  <si>
    <t>1714072962001</t>
  </si>
  <si>
    <t>866184060684169</t>
  </si>
  <si>
    <t>62944082</t>
  </si>
  <si>
    <t>COSTA</t>
  </si>
  <si>
    <t>995753619</t>
  </si>
  <si>
    <t>048333-003845312</t>
  </si>
  <si>
    <t>41174448</t>
  </si>
  <si>
    <t>GEOCONDA ROXANA MENDOZA GARCIA</t>
  </si>
  <si>
    <t>0704935394</t>
  </si>
  <si>
    <t>LTE SAMSUNG A13 AZUL CH31676</t>
  </si>
  <si>
    <t>352460882852833</t>
  </si>
  <si>
    <t>SAMSUNG A13</t>
  </si>
  <si>
    <t>57800226</t>
  </si>
  <si>
    <t>162445</t>
  </si>
  <si>
    <t>LTE SAMSUNG A13 AZUL</t>
  </si>
  <si>
    <t>983768555</t>
  </si>
  <si>
    <t>048333-003845661</t>
  </si>
  <si>
    <t>41511025</t>
  </si>
  <si>
    <t>CLEMENCIA EMERITA HERNANDEZ SIAVICHAY</t>
  </si>
  <si>
    <t>0101651362</t>
  </si>
  <si>
    <t>353842195595416</t>
  </si>
  <si>
    <t>58449601</t>
  </si>
  <si>
    <t>MASTERCARD PACIFICO</t>
  </si>
  <si>
    <t>SALINDCUECAV10200</t>
  </si>
  <si>
    <t>960094054</t>
  </si>
  <si>
    <t>048333-003845717</t>
  </si>
  <si>
    <t>42186437</t>
  </si>
  <si>
    <t>CATHERINE XIMENA MINDA CALLE</t>
  </si>
  <si>
    <t>1723945653001</t>
  </si>
  <si>
    <t>359694275281704</t>
  </si>
  <si>
    <t>59171013</t>
  </si>
  <si>
    <t>048333-003845868</t>
  </si>
  <si>
    <t>62946508</t>
  </si>
  <si>
    <t>CONTRATO</t>
  </si>
  <si>
    <t>999909239</t>
  </si>
  <si>
    <t>048333-003845871</t>
  </si>
  <si>
    <t>359694275283940</t>
  </si>
  <si>
    <t>58156858</t>
  </si>
  <si>
    <t>986477600</t>
  </si>
  <si>
    <t>048333-003845994</t>
  </si>
  <si>
    <t>43872778</t>
  </si>
  <si>
    <t>JULIO RAUL TORRES BONILLA</t>
  </si>
  <si>
    <t>1802003192</t>
  </si>
  <si>
    <t>866184060682973</t>
  </si>
  <si>
    <t>61062609</t>
  </si>
  <si>
    <t>984408778</t>
  </si>
  <si>
    <t>048333-003846051</t>
  </si>
  <si>
    <t>44609103</t>
  </si>
  <si>
    <t>DANIELA JHOANA GUTIERREZ HIDALGO</t>
  </si>
  <si>
    <t>1722788013</t>
  </si>
  <si>
    <t>864469068301045</t>
  </si>
  <si>
    <t>61858555</t>
  </si>
  <si>
    <t>MASTERCARD PICHINCHA</t>
  </si>
  <si>
    <t>01</t>
  </si>
  <si>
    <t>987962292</t>
  </si>
  <si>
    <t>048333-003846156</t>
  </si>
  <si>
    <t>42664138</t>
  </si>
  <si>
    <t>DIANA MAGALY KWON MORAL</t>
  </si>
  <si>
    <t>0914065339</t>
  </si>
  <si>
    <t>LTE XIAOMI REDMI 10A 64GB SILVER CH31958</t>
  </si>
  <si>
    <t>863696062672903</t>
  </si>
  <si>
    <t>XIAOMI REDMI 10A</t>
  </si>
  <si>
    <t>59695240</t>
  </si>
  <si>
    <t>162489</t>
  </si>
  <si>
    <t>LTE XIAOMI REDMI 10A 64GB SILVER</t>
  </si>
  <si>
    <t>999946918</t>
  </si>
  <si>
    <t>048333-003846169</t>
  </si>
  <si>
    <t>39922420</t>
  </si>
  <si>
    <t>RICARDO PATRICIO CAÑAR BENAVIDES</t>
  </si>
  <si>
    <t>1718651001</t>
  </si>
  <si>
    <t>868214061217020</t>
  </si>
  <si>
    <t>XIAOMI 12 LITE</t>
  </si>
  <si>
    <t>54852529</t>
  </si>
  <si>
    <t>162513</t>
  </si>
  <si>
    <t>LTE XIAOMI 12 LITE NEGRO</t>
  </si>
  <si>
    <t>048333-003846228</t>
  </si>
  <si>
    <t>35436752</t>
  </si>
  <si>
    <t>ANGEL EDUARDO ALVARADO ZAMBRANO</t>
  </si>
  <si>
    <t>LTE HUAWEI NOVA Y70 NEGRO CH31663</t>
  </si>
  <si>
    <t>866887052406348</t>
  </si>
  <si>
    <t>HUAWEI</t>
  </si>
  <si>
    <t>HUAWEI NOVA Y70</t>
  </si>
  <si>
    <t>162469</t>
  </si>
  <si>
    <t>LTE HUAWEI NOVA Y70 NEGRO</t>
  </si>
  <si>
    <t>048333-003846495</t>
  </si>
  <si>
    <t>HUAWEI NOVA 9 SE</t>
  </si>
  <si>
    <t>62948207</t>
  </si>
  <si>
    <t>162467</t>
  </si>
  <si>
    <t>LTE HUAWEI NOVA 9 SE NEGRO</t>
  </si>
  <si>
    <t>048333-003846568</t>
  </si>
  <si>
    <t>34984917</t>
  </si>
  <si>
    <t>CECILIA VERONICA SAMANIEGO SANCHEZ</t>
  </si>
  <si>
    <t>2100257365</t>
  </si>
  <si>
    <t>866184060672396</t>
  </si>
  <si>
    <t>BANCO SOLIDARIO ALIA</t>
  </si>
  <si>
    <t>998123574</t>
  </si>
  <si>
    <t>048333-003846608</t>
  </si>
  <si>
    <t>43112032</t>
  </si>
  <si>
    <t>VERONICA ELIZABETH CABRERA CASTRO</t>
  </si>
  <si>
    <t>0107311482</t>
  </si>
  <si>
    <t>354379559470125</t>
  </si>
  <si>
    <t>60196808</t>
  </si>
  <si>
    <t>048333-003846860</t>
  </si>
  <si>
    <t>45625953</t>
  </si>
  <si>
    <t>LUIS GONZALO ARCOS PARRA</t>
  </si>
  <si>
    <t>1706748819001</t>
  </si>
  <si>
    <t>356795951334510</t>
  </si>
  <si>
    <t>SAMSUNG A23</t>
  </si>
  <si>
    <t>NEGOCIOS INDIRECTOS</t>
  </si>
  <si>
    <t>PERIMETRO B2B</t>
  </si>
  <si>
    <t>162410</t>
  </si>
  <si>
    <t>LTE SAMSUNG A23 NEGRO</t>
  </si>
  <si>
    <t>DISCOVER</t>
  </si>
  <si>
    <t>OTROS CANALES</t>
  </si>
  <si>
    <t>NACIONAL</t>
  </si>
  <si>
    <t>048333-003846956</t>
  </si>
  <si>
    <t>62949538</t>
  </si>
  <si>
    <t>998653054</t>
  </si>
  <si>
    <t>048333-003847006</t>
  </si>
  <si>
    <t>866184060682916</t>
  </si>
  <si>
    <t>62943955</t>
  </si>
  <si>
    <t>987708297</t>
  </si>
  <si>
    <t>048333-003847146</t>
  </si>
  <si>
    <t>42385129</t>
  </si>
  <si>
    <t>VICTOR MANUEL EUGENIO ORTIZ QUITO</t>
  </si>
  <si>
    <t>1703995157</t>
  </si>
  <si>
    <t>355108340300567</t>
  </si>
  <si>
    <t>NOKIA G21</t>
  </si>
  <si>
    <t>59392386</t>
  </si>
  <si>
    <t>162466</t>
  </si>
  <si>
    <t>LTE NOKIA G21 AZUL</t>
  </si>
  <si>
    <t>048333-003847267</t>
  </si>
  <si>
    <t>APPLE</t>
  </si>
  <si>
    <t>IPHONE 14 PLUS 128GB</t>
  </si>
  <si>
    <t>62950997</t>
  </si>
  <si>
    <t>162499</t>
  </si>
  <si>
    <t>LTE IPHONE 14 PLUS 128GB NEGRO</t>
  </si>
  <si>
    <t>048333-003847284</t>
  </si>
  <si>
    <t>27586478</t>
  </si>
  <si>
    <t>MARCO FERNANDO BRITO TELLO</t>
  </si>
  <si>
    <t>356795951175590</t>
  </si>
  <si>
    <t>987469909</t>
  </si>
  <si>
    <t>048333-003847366</t>
  </si>
  <si>
    <t>29770027</t>
  </si>
  <si>
    <t>JOSE ROBERTO ANDRADE GARCIA</t>
  </si>
  <si>
    <t>1707866503</t>
  </si>
  <si>
    <t>350068480082968</t>
  </si>
  <si>
    <t>31178816</t>
  </si>
  <si>
    <t>048333-003847381</t>
  </si>
  <si>
    <t>NOKIA C2 2E</t>
  </si>
  <si>
    <t>62951234</t>
  </si>
  <si>
    <t>162475</t>
  </si>
  <si>
    <t>LTE NOKIA C2 2E AZUL</t>
  </si>
  <si>
    <t>998396959</t>
  </si>
  <si>
    <t>048333-003847385</t>
  </si>
  <si>
    <t>45627993</t>
  </si>
  <si>
    <t>MARIA SOL CALERO REVELO</t>
  </si>
  <si>
    <t>0201602489</t>
  </si>
  <si>
    <t>358975993399006</t>
  </si>
  <si>
    <t>62951298</t>
  </si>
  <si>
    <t>DINERS</t>
  </si>
  <si>
    <t>03</t>
  </si>
  <si>
    <t>998840057</t>
  </si>
  <si>
    <t>048333-003847532</t>
  </si>
  <si>
    <t>40756154</t>
  </si>
  <si>
    <t>JULIO BENITO LITA CUELLAR</t>
  </si>
  <si>
    <t>1003517958</t>
  </si>
  <si>
    <t>869113065768245</t>
  </si>
  <si>
    <t>61502173</t>
  </si>
  <si>
    <t>987830778</t>
  </si>
  <si>
    <t>048333-003847601</t>
  </si>
  <si>
    <t>40975600</t>
  </si>
  <si>
    <t>ANDRES EDUARDO CALVOPIÑA GRANDA</t>
  </si>
  <si>
    <t>1715610414</t>
  </si>
  <si>
    <t>LTE IPHONE 14 128GB AZUL CH32408</t>
  </si>
  <si>
    <t>353514356290786</t>
  </si>
  <si>
    <t>IPHONE 14 128GB</t>
  </si>
  <si>
    <t>57397633</t>
  </si>
  <si>
    <t>P0149</t>
  </si>
  <si>
    <t>PREVIOPAGO PLAN MOVISTAR PLATINUM PLUS</t>
  </si>
  <si>
    <t>162496</t>
  </si>
  <si>
    <t>LTE IPHONE 14 128GB AZUL</t>
  </si>
  <si>
    <t>MASTERCARD PRODUBANCO</t>
  </si>
  <si>
    <t>048333-003847634</t>
  </si>
  <si>
    <t>42618510</t>
  </si>
  <si>
    <t>JAVIER FRANCISCO RICAURTE RODRIGUEZ</t>
  </si>
  <si>
    <t>358975993098780</t>
  </si>
  <si>
    <t>992527916</t>
  </si>
  <si>
    <t>048333-003847664</t>
  </si>
  <si>
    <t>45590666</t>
  </si>
  <si>
    <t>TREACE ABIGAIL ZAVALA TAPIA</t>
  </si>
  <si>
    <t>1600498503</t>
  </si>
  <si>
    <t>868214060806328</t>
  </si>
  <si>
    <t>62910848</t>
  </si>
  <si>
    <t>048333-003847676</t>
  </si>
  <si>
    <t>27847569</t>
  </si>
  <si>
    <t>CRISTIAN PAUL ZURITA VACA</t>
  </si>
  <si>
    <t>1722973938</t>
  </si>
  <si>
    <t>LTE IPHONE 14 256GB AZUL CH32408</t>
  </si>
  <si>
    <t>353514357421935</t>
  </si>
  <si>
    <t>IPHONE 14 256GB</t>
  </si>
  <si>
    <t>162498</t>
  </si>
  <si>
    <t>LTE IPHONE 14 256GB AZUL</t>
  </si>
  <si>
    <t>AMERICAN EXPRESS BANCO GUAYAQU</t>
  </si>
  <si>
    <t>979093495</t>
  </si>
  <si>
    <t>048333-003847893</t>
  </si>
  <si>
    <t>43351037</t>
  </si>
  <si>
    <t>EDISON HERNAN QUINATOA AUQUILLAS</t>
  </si>
  <si>
    <t>1718840323</t>
  </si>
  <si>
    <t>355108340304056</t>
  </si>
  <si>
    <t>60467978</t>
  </si>
  <si>
    <t>18 (DIECIOCHO MESES)</t>
  </si>
  <si>
    <t>048333-003848025</t>
  </si>
  <si>
    <t>SAMSUNG A03 CORE</t>
  </si>
  <si>
    <t>62952992</t>
  </si>
  <si>
    <t>162491</t>
  </si>
  <si>
    <t>LTE SAMSUNG A03 CORE COBRE</t>
  </si>
  <si>
    <t>984039882</t>
  </si>
  <si>
    <t>048333-003848060</t>
  </si>
  <si>
    <t>27058374</t>
  </si>
  <si>
    <t>SHIRLEY DAYANA USHIÑA CARRANZA</t>
  </si>
  <si>
    <t>1725377160</t>
  </si>
  <si>
    <t>356795951374441</t>
  </si>
  <si>
    <t>59164281</t>
  </si>
  <si>
    <t>995368594</t>
  </si>
  <si>
    <t>048333-003848086</t>
  </si>
  <si>
    <t>43813857</t>
  </si>
  <si>
    <t>GERARDO SAUL JACOME JACOME</t>
  </si>
  <si>
    <t>1703101053</t>
  </si>
  <si>
    <t>353906800017924</t>
  </si>
  <si>
    <t>60980618</t>
  </si>
  <si>
    <t>987734049</t>
  </si>
  <si>
    <t>048333-003848110</t>
  </si>
  <si>
    <t>34889216</t>
  </si>
  <si>
    <t>MARTHA ESTELA MEDINA CALDERON</t>
  </si>
  <si>
    <t>1704549599</t>
  </si>
  <si>
    <t>355108340301912</t>
  </si>
  <si>
    <t>52459027</t>
  </si>
  <si>
    <t>048333-003848183</t>
  </si>
  <si>
    <t>62953663</t>
  </si>
  <si>
    <t>983346035</t>
  </si>
  <si>
    <t>048333-003848250</t>
  </si>
  <si>
    <t>42959256</t>
  </si>
  <si>
    <t>ALISON NAYELI QUINDIGALLI TIPAN</t>
  </si>
  <si>
    <t>1752320729</t>
  </si>
  <si>
    <t>863837059714924</t>
  </si>
  <si>
    <t>XIAOMI REDMI NOTE 11S</t>
  </si>
  <si>
    <t>60030053</t>
  </si>
  <si>
    <t>162480</t>
  </si>
  <si>
    <t>LTE XIAOMI REDMI NOTE 11S NEGRO</t>
  </si>
  <si>
    <t>048333-003848279</t>
  </si>
  <si>
    <t>42402638</t>
  </si>
  <si>
    <t>ERICK GABRIEL MERA LARA</t>
  </si>
  <si>
    <t>1722203161</t>
  </si>
  <si>
    <t>355108340301813</t>
  </si>
  <si>
    <t>MASTERCARD COOP POLICIA NACION</t>
  </si>
  <si>
    <t>962921280</t>
  </si>
  <si>
    <t>048333-003848416</t>
  </si>
  <si>
    <t>40370118</t>
  </si>
  <si>
    <t>FABIO ALFONSO BERRU TINIZARAY</t>
  </si>
  <si>
    <t>1713545398</t>
  </si>
  <si>
    <t>LTE MOTO G60S AZUL CH30842</t>
  </si>
  <si>
    <t>354911551819139</t>
  </si>
  <si>
    <t>MOTO G60S</t>
  </si>
  <si>
    <t>62954977</t>
  </si>
  <si>
    <t>162401</t>
  </si>
  <si>
    <t>LTE MOTO G60S AZUL</t>
  </si>
  <si>
    <t>958683249</t>
  </si>
  <si>
    <t>048333-003848458</t>
  </si>
  <si>
    <t>41363554</t>
  </si>
  <si>
    <t>HECTOR BRUNO AGUALSACA LARA</t>
  </si>
  <si>
    <t>1755133442</t>
  </si>
  <si>
    <t>353568691451685</t>
  </si>
  <si>
    <t>58238665</t>
  </si>
  <si>
    <t>162409</t>
  </si>
  <si>
    <t>LTE SAMSUNG A23 AZUL</t>
  </si>
  <si>
    <t>984251546</t>
  </si>
  <si>
    <t>048333-003848503</t>
  </si>
  <si>
    <t>864050068830827</t>
  </si>
  <si>
    <t>XIAOMI REDMI 10C</t>
  </si>
  <si>
    <t>13284840</t>
  </si>
  <si>
    <t>162477</t>
  </si>
  <si>
    <t>LTE XIAOMI REDMI 10C 128GB GRIS</t>
  </si>
  <si>
    <t>998079679</t>
  </si>
  <si>
    <t>048333-003848595</t>
  </si>
  <si>
    <t>38865312</t>
  </si>
  <si>
    <t>CHRISTIAN ANIBAL LARA LASTRA</t>
  </si>
  <si>
    <t>1711809515</t>
  </si>
  <si>
    <t>355108340319575</t>
  </si>
  <si>
    <t>62955647</t>
  </si>
  <si>
    <t>995277842</t>
  </si>
  <si>
    <t>048333-003848641</t>
  </si>
  <si>
    <t>31670909</t>
  </si>
  <si>
    <t>CECILIA GUADALUPE BORJA GUAMAN</t>
  </si>
  <si>
    <t>1713659009</t>
  </si>
  <si>
    <t>356795951172092</t>
  </si>
  <si>
    <t>34063822</t>
  </si>
  <si>
    <t>992501852</t>
  </si>
  <si>
    <t>048333-003848668</t>
  </si>
  <si>
    <t>31141269</t>
  </si>
  <si>
    <t>MARTHA GEORGINA ALVAREZ SOTOMAYOR</t>
  </si>
  <si>
    <t>0601207756</t>
  </si>
  <si>
    <t>355108340305970</t>
  </si>
  <si>
    <t>23230913</t>
  </si>
  <si>
    <t>048333-003848680</t>
  </si>
  <si>
    <t>62955915</t>
  </si>
  <si>
    <t>962667434</t>
  </si>
  <si>
    <t>048333-003848715</t>
  </si>
  <si>
    <t>22913859</t>
  </si>
  <si>
    <t>NELSON RODRIGO ORTEGA CALVOPIÑA</t>
  </si>
  <si>
    <t>1719597112</t>
  </si>
  <si>
    <t>355108340319831</t>
  </si>
  <si>
    <t>62956134</t>
  </si>
  <si>
    <t>048333-003848757</t>
  </si>
  <si>
    <t>62956297</t>
  </si>
  <si>
    <t>987379304</t>
  </si>
  <si>
    <t>048333-003848911</t>
  </si>
  <si>
    <t>44706073</t>
  </si>
  <si>
    <t>MICHELLE ESTEFANIA ROCHE CHILLAGANA</t>
  </si>
  <si>
    <t>1727453761</t>
  </si>
  <si>
    <t>LTE XIAOMI REDMI NOTE 11S AZUL CH31649</t>
  </si>
  <si>
    <t>865954062608841</t>
  </si>
  <si>
    <t>61965107</t>
  </si>
  <si>
    <t>162481</t>
  </si>
  <si>
    <t>LTE XIAOMI REDMI NOTE 11S AZUL</t>
  </si>
  <si>
    <t>995622596</t>
  </si>
  <si>
    <t>048333-003849047</t>
  </si>
  <si>
    <t>38591752</t>
  </si>
  <si>
    <t>RENE RAFAEL GUANOLUISA LEMA</t>
  </si>
  <si>
    <t>356795951214555</t>
  </si>
  <si>
    <t>51594402</t>
  </si>
  <si>
    <t>VISA BANCO BOLIVARIANO</t>
  </si>
  <si>
    <t>992814390</t>
  </si>
  <si>
    <t>048333-003849051</t>
  </si>
  <si>
    <t>45634084</t>
  </si>
  <si>
    <t>GIOVANNY FERNANDO CARRERA MORALES</t>
  </si>
  <si>
    <t>1721073805</t>
  </si>
  <si>
    <t>LTE SAMSUNG S20 FE 5G AZUL CH30100</t>
  </si>
  <si>
    <t>355180120678074</t>
  </si>
  <si>
    <t>SAMSUNG S20 FE 5G</t>
  </si>
  <si>
    <t>62957376</t>
  </si>
  <si>
    <t>162448</t>
  </si>
  <si>
    <t>LTE SAMSUNG S20 FE 5G AZUL</t>
  </si>
  <si>
    <t>999017785</t>
  </si>
  <si>
    <t>048333-003849098</t>
  </si>
  <si>
    <t>45634242</t>
  </si>
  <si>
    <t>ERICSON GEOVANNY GARCIA GARCIA</t>
  </si>
  <si>
    <t>1724298474</t>
  </si>
  <si>
    <t>LTE SAMSUNG S20 FE 5G VERDE CH30100</t>
  </si>
  <si>
    <t>355180120244646</t>
  </si>
  <si>
    <t>62957570</t>
  </si>
  <si>
    <t>162449</t>
  </si>
  <si>
    <t>LTE SAMSUNG S20 FE 5G VERDE</t>
  </si>
  <si>
    <t>048333-003849113</t>
  </si>
  <si>
    <t>45634305</t>
  </si>
  <si>
    <t>SANDRA DANIELA ARANA LOZADA</t>
  </si>
  <si>
    <t>1724963689</t>
  </si>
  <si>
    <t>863837054626586</t>
  </si>
  <si>
    <t>VISA CASH PACIFICO</t>
  </si>
  <si>
    <t>982591565</t>
  </si>
  <si>
    <t>048333-003849308</t>
  </si>
  <si>
    <t>42731680</t>
  </si>
  <si>
    <t>FABIAN RODRIGO BURNEO ORDOÑEZ</t>
  </si>
  <si>
    <t>1104673031</t>
  </si>
  <si>
    <t>864048069863904</t>
  </si>
  <si>
    <t>59780495</t>
  </si>
  <si>
    <t>998879297</t>
  </si>
  <si>
    <t>048333-003849321</t>
  </si>
  <si>
    <t>39300134</t>
  </si>
  <si>
    <t>PEREIRA AGUIRRE DIEGO LIZARDO PEREIRA AGUIRR</t>
  </si>
  <si>
    <t>0704738897</t>
  </si>
  <si>
    <t>869113065757024</t>
  </si>
  <si>
    <t>53220460</t>
  </si>
  <si>
    <t>987040127</t>
  </si>
  <si>
    <t>048333-003849367</t>
  </si>
  <si>
    <t>25690625</t>
  </si>
  <si>
    <t>ROSA MERCEDES LEON PALOMEQUE</t>
  </si>
  <si>
    <t>0101774594</t>
  </si>
  <si>
    <t>356795950946900</t>
  </si>
  <si>
    <t>30669795</t>
  </si>
  <si>
    <t>048333-003849458</t>
  </si>
  <si>
    <t>39318658</t>
  </si>
  <si>
    <t>JOSE OSWALDO TOMALO CHIQUITO</t>
  </si>
  <si>
    <t>1703684710</t>
  </si>
  <si>
    <t>355108340320151</t>
  </si>
  <si>
    <t>048333-003849461</t>
  </si>
  <si>
    <t>41647218</t>
  </si>
  <si>
    <t>CARLOS RAUL QUIZHPI PAUTE</t>
  </si>
  <si>
    <t>355180120681870</t>
  </si>
  <si>
    <t>987326208</t>
  </si>
  <si>
    <t>048333-003849507</t>
  </si>
  <si>
    <t>352286990939844</t>
  </si>
  <si>
    <t>61824157</t>
  </si>
  <si>
    <t>995904463</t>
  </si>
  <si>
    <t>048333-003849511</t>
  </si>
  <si>
    <t>45636519</t>
  </si>
  <si>
    <t>ROMMEL XAVIER UNTUÑA PUMA</t>
  </si>
  <si>
    <t>1722469317</t>
  </si>
  <si>
    <t>354911551774417</t>
  </si>
  <si>
    <t>62959977</t>
  </si>
  <si>
    <t>992519286</t>
  </si>
  <si>
    <t>048333-003849568</t>
  </si>
  <si>
    <t>30617061</t>
  </si>
  <si>
    <t>ROSA ELVIRA ROMERO CAMPAÑA</t>
  </si>
  <si>
    <t>1712471133</t>
  </si>
  <si>
    <t>355108340306879</t>
  </si>
  <si>
    <t>62960103</t>
  </si>
  <si>
    <t>048333-003849665</t>
  </si>
  <si>
    <t>62960319</t>
  </si>
  <si>
    <t>VISA BCO INTERNACIONAL</t>
  </si>
  <si>
    <t>979209354</t>
  </si>
  <si>
    <t>048333-003849798</t>
  </si>
  <si>
    <t>29835633</t>
  </si>
  <si>
    <t>EDELMYS BELL BARRIENTOS</t>
  </si>
  <si>
    <t>1755306063</t>
  </si>
  <si>
    <t>358975993100339</t>
  </si>
  <si>
    <t>28177270</t>
  </si>
  <si>
    <t>979187812</t>
  </si>
  <si>
    <t>048333-003849834</t>
  </si>
  <si>
    <t>40241382</t>
  </si>
  <si>
    <t>PAOLA GABRIELA SANCHEZ ARIAS</t>
  </si>
  <si>
    <t>1721706370</t>
  </si>
  <si>
    <t>869113065918824</t>
  </si>
  <si>
    <t>55659566</t>
  </si>
  <si>
    <t>979086046</t>
  </si>
  <si>
    <t>048333-003849879</t>
  </si>
  <si>
    <t>20149481</t>
  </si>
  <si>
    <t>ANA LUCIA MOINA ARTEAGA</t>
  </si>
  <si>
    <t>1714442603</t>
  </si>
  <si>
    <t>356795951154140</t>
  </si>
  <si>
    <t>62960792</t>
  </si>
  <si>
    <t>999281381</t>
  </si>
  <si>
    <t>048333-003850012</t>
  </si>
  <si>
    <t>13788590</t>
  </si>
  <si>
    <t>LUIS FRANCISCO CALLE CALLE</t>
  </si>
  <si>
    <t>0101226231</t>
  </si>
  <si>
    <t>356795950865613</t>
  </si>
  <si>
    <t>59847436</t>
  </si>
  <si>
    <t>048333-003850343</t>
  </si>
  <si>
    <t>26050399</t>
  </si>
  <si>
    <t>LUIS MIGUEL ASIMBAYA VELA</t>
  </si>
  <si>
    <t>869113065789589</t>
  </si>
  <si>
    <t>VISA PRODUBANCO</t>
  </si>
  <si>
    <t>987845807</t>
  </si>
  <si>
    <t>048333-003850424</t>
  </si>
  <si>
    <t>34380108</t>
  </si>
  <si>
    <t>JOSE MIGUEL ATUPAÑA ILBIS</t>
  </si>
  <si>
    <t>1709306862</t>
  </si>
  <si>
    <t>356795951296313</t>
  </si>
  <si>
    <t>62962037</t>
  </si>
  <si>
    <t>958979362</t>
  </si>
  <si>
    <t>048333-003850504</t>
  </si>
  <si>
    <t>45465384</t>
  </si>
  <si>
    <t>WILMER DAVID AMAGUA TOPON</t>
  </si>
  <si>
    <t>1718094368</t>
  </si>
  <si>
    <t>355108340320144</t>
  </si>
  <si>
    <t>62774949</t>
  </si>
  <si>
    <t>048333-003850575</t>
  </si>
  <si>
    <t>38194551</t>
  </si>
  <si>
    <t xml:space="preserve"> GAIL ANNETTE BROWN</t>
  </si>
  <si>
    <t>359694275282371</t>
  </si>
  <si>
    <t>998611013</t>
  </si>
  <si>
    <t>048333-003850763</t>
  </si>
  <si>
    <t>41136473</t>
  </si>
  <si>
    <t>ABRAHAN JESUS BRITO GONZALEZ</t>
  </si>
  <si>
    <t>0152042636</t>
  </si>
  <si>
    <t>LTE SAMSUNG S21 FE VERDE CH31083</t>
  </si>
  <si>
    <t>352755852507857</t>
  </si>
  <si>
    <t>SAMSUNG S21 FE</t>
  </si>
  <si>
    <t>57723700</t>
  </si>
  <si>
    <t>162403</t>
  </si>
  <si>
    <t>LTE SAMSUNG S21 FE VERDE</t>
  </si>
  <si>
    <t>986188154</t>
  </si>
  <si>
    <t>048333-003850809</t>
  </si>
  <si>
    <t>38764346</t>
  </si>
  <si>
    <t>CARLOS AUGUSTO MIRANDA PAREJA</t>
  </si>
  <si>
    <t>1203903313001</t>
  </si>
  <si>
    <t>869113065696347</t>
  </si>
  <si>
    <t>51891620</t>
  </si>
  <si>
    <t>P0092</t>
  </si>
  <si>
    <t>PLAN FUSIÓN GOLD PLUS</t>
  </si>
  <si>
    <t>998720899</t>
  </si>
  <si>
    <t>048333-003850837</t>
  </si>
  <si>
    <t>40315584</t>
  </si>
  <si>
    <t>VALERIA VIVIANA HERAS HERAS</t>
  </si>
  <si>
    <t>0106286289</t>
  </si>
  <si>
    <t>353568693030131</t>
  </si>
  <si>
    <t>62962961</t>
  </si>
  <si>
    <t>VISA COOP JEP</t>
  </si>
  <si>
    <t>048333-003850858</t>
  </si>
  <si>
    <t>62962928</t>
  </si>
  <si>
    <t>958734811</t>
  </si>
  <si>
    <t>048333-003850953</t>
  </si>
  <si>
    <t>32732543</t>
  </si>
  <si>
    <t>GERMANIA LUCIA MENDEZ TANA</t>
  </si>
  <si>
    <t>0401502984</t>
  </si>
  <si>
    <t>865954063548681</t>
  </si>
  <si>
    <t>35560406</t>
  </si>
  <si>
    <t>048333-003850970</t>
  </si>
  <si>
    <t>42640157</t>
  </si>
  <si>
    <t>MARIANA DE JESUS AVILA CALDAS</t>
  </si>
  <si>
    <t>355108340382169</t>
  </si>
  <si>
    <t>984476675</t>
  </si>
  <si>
    <t>048333-003850987</t>
  </si>
  <si>
    <t>43932215</t>
  </si>
  <si>
    <t>CHRISTIAN SEBASTIAN MORA BRAVO</t>
  </si>
  <si>
    <t>0107234411</t>
  </si>
  <si>
    <t>353514359858951</t>
  </si>
  <si>
    <t>61109292</t>
  </si>
  <si>
    <t>995644613</t>
  </si>
  <si>
    <t>048333-003851040</t>
  </si>
  <si>
    <t>45639853</t>
  </si>
  <si>
    <t>JOSE ANTONIO BERRU PORRAS</t>
  </si>
  <si>
    <t>0701765851</t>
  </si>
  <si>
    <t>353514357171696</t>
  </si>
  <si>
    <t>62963434</t>
  </si>
  <si>
    <t>VISA MACHALA</t>
  </si>
  <si>
    <t>960175525</t>
  </si>
  <si>
    <t>048333-003851059</t>
  </si>
  <si>
    <t>42646547</t>
  </si>
  <si>
    <t>IVAN ANIBAL RODRIGUEZ PACHECO</t>
  </si>
  <si>
    <t>1711660256</t>
  </si>
  <si>
    <t>LTE SAMSUNG S22 5G ULTRA VERDE CH31506</t>
  </si>
  <si>
    <t>351338912737912</t>
  </si>
  <si>
    <t>SAMSUNG S22 5G ULTRA</t>
  </si>
  <si>
    <t>59692257</t>
  </si>
  <si>
    <t>162422</t>
  </si>
  <si>
    <t>LTE SAMSUNG S22 5G ULTRA VERDE</t>
  </si>
  <si>
    <t>995206412</t>
  </si>
  <si>
    <t>048333-003851070</t>
  </si>
  <si>
    <t>43376071</t>
  </si>
  <si>
    <t>JEFFERSON ELIAN SANMARTIN SANMARTIN</t>
  </si>
  <si>
    <t>1754387502</t>
  </si>
  <si>
    <t>864331068689276</t>
  </si>
  <si>
    <t>60494118</t>
  </si>
  <si>
    <t>999248244</t>
  </si>
  <si>
    <t>048333-003851104</t>
  </si>
  <si>
    <t>12196105</t>
  </si>
  <si>
    <t>SANDRA ELENA TOMALA VEINTIMILLA</t>
  </si>
  <si>
    <t>1718877390</t>
  </si>
  <si>
    <t>353842195553324</t>
  </si>
  <si>
    <t>62963622</t>
  </si>
  <si>
    <t>162414</t>
  </si>
  <si>
    <t>LTE SAMSUNG A53 5G NEGRO</t>
  </si>
  <si>
    <t>048333-003851479</t>
  </si>
  <si>
    <t>39206012</t>
  </si>
  <si>
    <t>SARA LESLIE JORDAN</t>
  </si>
  <si>
    <t>0151724192</t>
  </si>
  <si>
    <t>355108340299488</t>
  </si>
  <si>
    <t>979093699</t>
  </si>
  <si>
    <t>048333-003851640</t>
  </si>
  <si>
    <t>41845597</t>
  </si>
  <si>
    <t>JESUS CLEMENTE SALAZAR MORA</t>
  </si>
  <si>
    <t>1711249621</t>
  </si>
  <si>
    <t>869551050400672</t>
  </si>
  <si>
    <t>REALME</t>
  </si>
  <si>
    <t>REALME 9i</t>
  </si>
  <si>
    <t>58808104</t>
  </si>
  <si>
    <t>162465</t>
  </si>
  <si>
    <t>LTE REALME 9I 128GB NEGRO</t>
  </si>
  <si>
    <t>POR ADELANTADO PARA RESIDENCIAL</t>
  </si>
  <si>
    <t>999214928</t>
  </si>
  <si>
    <t>048333-003851736</t>
  </si>
  <si>
    <t>39850872</t>
  </si>
  <si>
    <t>351084952902541</t>
  </si>
  <si>
    <t>54889834</t>
  </si>
  <si>
    <t>987376230</t>
  </si>
  <si>
    <t>048333-003851774</t>
  </si>
  <si>
    <t>45642701</t>
  </si>
  <si>
    <t xml:space="preserve"> CESAR PATRICIO MONTESDEOCA AVALOS</t>
  </si>
  <si>
    <t>1709774697001</t>
  </si>
  <si>
    <t>866184060682403</t>
  </si>
  <si>
    <t>62966854</t>
  </si>
  <si>
    <t>24</t>
  </si>
  <si>
    <t>987536844</t>
  </si>
  <si>
    <t>866184060683153</t>
  </si>
  <si>
    <t>62966856</t>
  </si>
  <si>
    <t>984730117</t>
  </si>
  <si>
    <t>353842195572498</t>
  </si>
  <si>
    <t>62966855</t>
  </si>
  <si>
    <t>969089003</t>
  </si>
  <si>
    <t>353842194941256</t>
  </si>
  <si>
    <t>62966858</t>
  </si>
  <si>
    <t>987859128</t>
  </si>
  <si>
    <t>353842195553472</t>
  </si>
  <si>
    <t>62966860</t>
  </si>
  <si>
    <t>993787955</t>
  </si>
  <si>
    <t>048333-003851828</t>
  </si>
  <si>
    <t>22225415</t>
  </si>
  <si>
    <t>MARTHA MONICA BUENO MEDINA</t>
  </si>
  <si>
    <t>0916497456</t>
  </si>
  <si>
    <t>355108340298993</t>
  </si>
  <si>
    <t>32504590</t>
  </si>
  <si>
    <t>048333-003852002</t>
  </si>
  <si>
    <t>23858529</t>
  </si>
  <si>
    <t>NELSON FLORES</t>
  </si>
  <si>
    <t>869113065737521</t>
  </si>
  <si>
    <t>987873092</t>
  </si>
  <si>
    <t>048333-003852022</t>
  </si>
  <si>
    <t>42537652</t>
  </si>
  <si>
    <t>LESLY EDITH GUALOTO LOACHAMIN</t>
  </si>
  <si>
    <t>1718585183001</t>
  </si>
  <si>
    <t>356795951448971</t>
  </si>
  <si>
    <t>59558350</t>
  </si>
  <si>
    <t>P0086</t>
  </si>
  <si>
    <t>MOVISTAR EMPRESAS PLUS</t>
  </si>
  <si>
    <t>985560812</t>
  </si>
  <si>
    <t>048333-003852098</t>
  </si>
  <si>
    <t>32654253</t>
  </si>
  <si>
    <t>JUAN JOSE ANGEL LLUMITAXI LLUMITAXI</t>
  </si>
  <si>
    <t>0200914240001</t>
  </si>
  <si>
    <t>352286990938382</t>
  </si>
  <si>
    <t>35435230</t>
  </si>
  <si>
    <t>MICROEMPRESAS</t>
  </si>
  <si>
    <t>987582252</t>
  </si>
  <si>
    <t>048333-003852119</t>
  </si>
  <si>
    <t>27541990</t>
  </si>
  <si>
    <t>DISTRIBUIDORA CARRANZA &amp; AGUILAR CIA. LTDA. .</t>
  </si>
  <si>
    <t>1792159636001</t>
  </si>
  <si>
    <t>866184060682387</t>
  </si>
  <si>
    <t>27890579</t>
  </si>
  <si>
    <t>984875727</t>
  </si>
  <si>
    <t>048333-003852133</t>
  </si>
  <si>
    <t>42251202</t>
  </si>
  <si>
    <t>GEOVANNY FABRICIO TERAN BEDOYA</t>
  </si>
  <si>
    <t>1717646739</t>
  </si>
  <si>
    <t>869113065741424</t>
  </si>
  <si>
    <t>59244227</t>
  </si>
  <si>
    <t>969986502</t>
  </si>
  <si>
    <t>048333-003852199</t>
  </si>
  <si>
    <t>40240268</t>
  </si>
  <si>
    <t>RICHARD EDISON BENITEZ ANGAMARCA</t>
  </si>
  <si>
    <t>1711384600001</t>
  </si>
  <si>
    <t>352286990937608</t>
  </si>
  <si>
    <t>55674297</t>
  </si>
  <si>
    <t>999934074</t>
  </si>
  <si>
    <t>048333-003852681</t>
  </si>
  <si>
    <t>41793231</t>
  </si>
  <si>
    <t>WILLIAM VINICIO ALULEMA TAMAYO</t>
  </si>
  <si>
    <t>1715484851</t>
  </si>
  <si>
    <t>359694275281712</t>
  </si>
  <si>
    <t>58752655</t>
  </si>
  <si>
    <t>958746682</t>
  </si>
  <si>
    <t>048333-003852852</t>
  </si>
  <si>
    <t>42852257</t>
  </si>
  <si>
    <t>JAIME BOLIVAR CORONADO MONTERO</t>
  </si>
  <si>
    <t>0702774498</t>
  </si>
  <si>
    <t>353514358180134</t>
  </si>
  <si>
    <t>59910987</t>
  </si>
  <si>
    <t>VISA BANCO DEL AUSTRO</t>
  </si>
  <si>
    <t>995460577</t>
  </si>
  <si>
    <t>048333-003852952</t>
  </si>
  <si>
    <t>43377560</t>
  </si>
  <si>
    <t>0700984941001</t>
  </si>
  <si>
    <t>869113065859663</t>
  </si>
  <si>
    <t>60495663</t>
  </si>
  <si>
    <t>987436543</t>
  </si>
  <si>
    <t>048333-003852986</t>
  </si>
  <si>
    <t>29783402</t>
  </si>
  <si>
    <t>BYRON ULISES CORDOVA SILVA</t>
  </si>
  <si>
    <t>0200972339</t>
  </si>
  <si>
    <t>869113065867187</t>
  </si>
  <si>
    <t>26060003</t>
  </si>
  <si>
    <t>960544455</t>
  </si>
  <si>
    <t>048333-003853125</t>
  </si>
  <si>
    <t>41833492</t>
  </si>
  <si>
    <t>ERICK FIDEL CASTILLO MONTECE</t>
  </si>
  <si>
    <t>1207603422</t>
  </si>
  <si>
    <t>866184060678732</t>
  </si>
  <si>
    <t>58823765</t>
  </si>
  <si>
    <t>048333-003853127</t>
  </si>
  <si>
    <t>29089780</t>
  </si>
  <si>
    <t>VILMER DAVID GUACHAMIN SOCASI</t>
  </si>
  <si>
    <t>865954061272086</t>
  </si>
  <si>
    <t>048333-003853129</t>
  </si>
  <si>
    <t>62970357</t>
  </si>
  <si>
    <t>995169822</t>
  </si>
  <si>
    <t>048333-003853165</t>
  </si>
  <si>
    <t>41833343</t>
  </si>
  <si>
    <t>359694275283395</t>
  </si>
  <si>
    <t>62970497</t>
  </si>
  <si>
    <t>998141916</t>
  </si>
  <si>
    <t>048333-003853214</t>
  </si>
  <si>
    <t>39571468</t>
  </si>
  <si>
    <t>FERNANDO AURELIO QUINTERO SALAMEA</t>
  </si>
  <si>
    <t>0100758507</t>
  </si>
  <si>
    <t>355108340298209</t>
  </si>
  <si>
    <t>62970606</t>
  </si>
  <si>
    <t>999242866</t>
  </si>
  <si>
    <t>048333-003853685</t>
  </si>
  <si>
    <t>41434176</t>
  </si>
  <si>
    <t>356795951175137</t>
  </si>
  <si>
    <t>58338423</t>
  </si>
  <si>
    <t>MASTERCARD MACHALA</t>
  </si>
  <si>
    <t>048333-003853789</t>
  </si>
  <si>
    <t>62974050</t>
  </si>
  <si>
    <t>999892097</t>
  </si>
  <si>
    <t>048333-003853858</t>
  </si>
  <si>
    <t>40839411</t>
  </si>
  <si>
    <t>JORGE ENRIQUE SALINAS MELO</t>
  </si>
  <si>
    <t>1702712652</t>
  </si>
  <si>
    <t>864050068813088</t>
  </si>
  <si>
    <t>57072218</t>
  </si>
  <si>
    <t>P0073</t>
  </si>
  <si>
    <t>PREVIOPAGO PLAN MOVISTAR PLATINUM</t>
  </si>
  <si>
    <t>993532473</t>
  </si>
  <si>
    <t>048333-003853924</t>
  </si>
  <si>
    <t>39866775</t>
  </si>
  <si>
    <t>MIGUEL ANGEL AREVALO MERCHAN</t>
  </si>
  <si>
    <t>0101212249</t>
  </si>
  <si>
    <t>353568693029026</t>
  </si>
  <si>
    <t>54705720</t>
  </si>
  <si>
    <t>992508412</t>
  </si>
  <si>
    <t>048333-003854120</t>
  </si>
  <si>
    <t>22159587</t>
  </si>
  <si>
    <t>BERTHA LEONOR CASTILLO ORTIZ</t>
  </si>
  <si>
    <t>0100722529</t>
  </si>
  <si>
    <t>356795951371462</t>
  </si>
  <si>
    <t>12608902</t>
  </si>
  <si>
    <t>048333-003854255</t>
  </si>
  <si>
    <t xml:space="preserve"> ELMO DAYTON FLORES VELEZ</t>
  </si>
  <si>
    <t>1308615861001</t>
  </si>
  <si>
    <t>62974556</t>
  </si>
  <si>
    <t>048333-003854325</t>
  </si>
  <si>
    <t>REALME C21Y</t>
  </si>
  <si>
    <t>62975541</t>
  </si>
  <si>
    <t>162361</t>
  </si>
  <si>
    <t>LTE REALME C21Y AZUL</t>
  </si>
  <si>
    <t>048333-003854423</t>
  </si>
  <si>
    <t>42952487</t>
  </si>
  <si>
    <t>MERCEDES BELEN RODRIGUEZ QUINATOA</t>
  </si>
  <si>
    <t>0604459933</t>
  </si>
  <si>
    <t>353842195565161</t>
  </si>
  <si>
    <t>048333-003854428</t>
  </si>
  <si>
    <t>62975870</t>
  </si>
  <si>
    <t>997425175</t>
  </si>
  <si>
    <t>048333-003854435</t>
  </si>
  <si>
    <t>38466442</t>
  </si>
  <si>
    <t>ALEX ARNULFO REVELO GER</t>
  </si>
  <si>
    <t>0401575485</t>
  </si>
  <si>
    <t>359694275331129</t>
  </si>
  <si>
    <t>51143654</t>
  </si>
  <si>
    <t>048333-003854440</t>
  </si>
  <si>
    <t>62975902</t>
  </si>
  <si>
    <t>959220236</t>
  </si>
  <si>
    <t>048333-003854454</t>
  </si>
  <si>
    <t>39284669</t>
  </si>
  <si>
    <t>FRANCISCO XAVIER LLERENA GOMEZ</t>
  </si>
  <si>
    <t>0103767059001</t>
  </si>
  <si>
    <t>353981764829978</t>
  </si>
  <si>
    <t>53320446</t>
  </si>
  <si>
    <t>MOVISTAR EMPRESAS GOLD</t>
  </si>
  <si>
    <t>048333-003854469</t>
  </si>
  <si>
    <t>39849152</t>
  </si>
  <si>
    <t>MARCO AUGUSTO VACA VELASQUEZ</t>
  </si>
  <si>
    <t>1709179459</t>
  </si>
  <si>
    <t>356795951372692</t>
  </si>
  <si>
    <t>998921071</t>
  </si>
  <si>
    <t>048333-003854530</t>
  </si>
  <si>
    <t>12736739</t>
  </si>
  <si>
    <t>CENTRO PARA LA CAPACITACION Y LA PREVENCION DE LAS ENFERMEDADES DE LA MUJER ECUATORIANA</t>
  </si>
  <si>
    <t>1792168910001</t>
  </si>
  <si>
    <t>353514356602576</t>
  </si>
  <si>
    <t>35709408</t>
  </si>
  <si>
    <t>048333-003854554</t>
  </si>
  <si>
    <t>62976148</t>
  </si>
  <si>
    <t>048333-003854590</t>
  </si>
  <si>
    <t>353842194939623</t>
  </si>
  <si>
    <t>62976086</t>
  </si>
  <si>
    <t>048333-003854612</t>
  </si>
  <si>
    <t>995873677</t>
  </si>
  <si>
    <t>048333-003854650</t>
  </si>
  <si>
    <t>45653286</t>
  </si>
  <si>
    <t>CESAR AUGUSTO GALARRAGA ROMERO</t>
  </si>
  <si>
    <t>1705546511</t>
  </si>
  <si>
    <t>353842195595242</t>
  </si>
  <si>
    <t>62976405</t>
  </si>
  <si>
    <t>048333-003854653</t>
  </si>
  <si>
    <t>43820161</t>
  </si>
  <si>
    <t>MARIA ELENA BALSECA CADENA</t>
  </si>
  <si>
    <t>352286990937772</t>
  </si>
  <si>
    <t>995872066</t>
  </si>
  <si>
    <t>048333-003854667</t>
  </si>
  <si>
    <t>44636042</t>
  </si>
  <si>
    <t>JHERAR FERNANDO CASTRO TOLEDO</t>
  </si>
  <si>
    <t>0102110319</t>
  </si>
  <si>
    <t>355180120686069</t>
  </si>
  <si>
    <t>61889489</t>
  </si>
  <si>
    <t>987858146</t>
  </si>
  <si>
    <t>048333-003854913</t>
  </si>
  <si>
    <t>34932588</t>
  </si>
  <si>
    <t>LORENA CRISTINA TOAPANTA QUISHPE</t>
  </si>
  <si>
    <t>1721598777</t>
  </si>
  <si>
    <t>869113065779929</t>
  </si>
  <si>
    <t>38735619</t>
  </si>
  <si>
    <t>992564320</t>
  </si>
  <si>
    <t>048333-003854915</t>
  </si>
  <si>
    <t>27965250</t>
  </si>
  <si>
    <t>JANNET MARLENE DE LOS ANGELES QUEZADA ESPINOZA</t>
  </si>
  <si>
    <t>0101989705</t>
  </si>
  <si>
    <t>356795951296768</t>
  </si>
  <si>
    <t>60689529</t>
  </si>
  <si>
    <t>048333-003855022</t>
  </si>
  <si>
    <t>42465497</t>
  </si>
  <si>
    <t>ALBA MIREYA CASTRO CASTRO</t>
  </si>
  <si>
    <t>359694275281134</t>
  </si>
  <si>
    <t>983464323</t>
  </si>
  <si>
    <t>048333-003855068</t>
  </si>
  <si>
    <t>39633897</t>
  </si>
  <si>
    <t>EDGAR MANUEL NIETO CORTEZ</t>
  </si>
  <si>
    <t>1704470226</t>
  </si>
  <si>
    <t>351084957812034</t>
  </si>
  <si>
    <t>54116903</t>
  </si>
  <si>
    <t>995440664</t>
  </si>
  <si>
    <t>048333-003855080</t>
  </si>
  <si>
    <t>44796504</t>
  </si>
  <si>
    <t>VERONICA DEL ROSARIO SANCHEZ MEDINA</t>
  </si>
  <si>
    <t>0401307269</t>
  </si>
  <si>
    <t>355108340297078</t>
  </si>
  <si>
    <t>62061771</t>
  </si>
  <si>
    <t>984404967</t>
  </si>
  <si>
    <t>048333-003855082</t>
  </si>
  <si>
    <t>41600408</t>
  </si>
  <si>
    <t>866184060682635</t>
  </si>
  <si>
    <t>58546049</t>
  </si>
  <si>
    <t>048333-003855125</t>
  </si>
  <si>
    <t>62977827</t>
  </si>
  <si>
    <t>048333-003855145</t>
  </si>
  <si>
    <t>62974413</t>
  </si>
  <si>
    <t>961438674</t>
  </si>
  <si>
    <t>048333-003855841</t>
  </si>
  <si>
    <t>42659265</t>
  </si>
  <si>
    <t>ARMANDO WILFRIDO BARREIRO TAPIA</t>
  </si>
  <si>
    <t>1200103693</t>
  </si>
  <si>
    <t>359694275282660</t>
  </si>
  <si>
    <t>59693139</t>
  </si>
  <si>
    <t>979070084</t>
  </si>
  <si>
    <t>048333-003855889</t>
  </si>
  <si>
    <t>42719290</t>
  </si>
  <si>
    <t>DARIO FERNANDO GUTIERREZ MEDIAVILLA</t>
  </si>
  <si>
    <t>1600532285</t>
  </si>
  <si>
    <t>862800060951613</t>
  </si>
  <si>
    <t>59762575</t>
  </si>
  <si>
    <t>983908594</t>
  </si>
  <si>
    <t>048333-003855948</t>
  </si>
  <si>
    <t>45007091</t>
  </si>
  <si>
    <t>352286990939000</t>
  </si>
  <si>
    <t>62916250</t>
  </si>
  <si>
    <t>048333-003855998</t>
  </si>
  <si>
    <t>62981483</t>
  </si>
  <si>
    <t>995661955</t>
  </si>
  <si>
    <t>048333-003856553</t>
  </si>
  <si>
    <t>19295074</t>
  </si>
  <si>
    <t>LIGIA MERCEDES CHIMBORAZO ZHININ</t>
  </si>
  <si>
    <t>0104664081</t>
  </si>
  <si>
    <t>869113065821465</t>
  </si>
  <si>
    <t>18661562</t>
  </si>
  <si>
    <t>958803885</t>
  </si>
  <si>
    <t>048333-003856644</t>
  </si>
  <si>
    <t>35201252</t>
  </si>
  <si>
    <t>MARIA FERNANDA VELASCO MEJIA</t>
  </si>
  <si>
    <t>1722728142</t>
  </si>
  <si>
    <t>866184060682825</t>
  </si>
  <si>
    <t>39143896</t>
  </si>
  <si>
    <t>995531745</t>
  </si>
  <si>
    <t>048333-003856753</t>
  </si>
  <si>
    <t>38666059</t>
  </si>
  <si>
    <t>JOHN FERNANDO GONZALEZ URGILES</t>
  </si>
  <si>
    <t>0301590865</t>
  </si>
  <si>
    <t>865954063540100</t>
  </si>
  <si>
    <t>57969109</t>
  </si>
  <si>
    <t>MASTERCARD BCO INTERNACIONAL</t>
  </si>
  <si>
    <t>987896440</t>
  </si>
  <si>
    <t>048333-003856789</t>
  </si>
  <si>
    <t>45492814</t>
  </si>
  <si>
    <t>ANDREA SOLEDAD OTERO YEPEZ</t>
  </si>
  <si>
    <t>1719360685</t>
  </si>
  <si>
    <t>359694275287024</t>
  </si>
  <si>
    <t>62806606</t>
  </si>
  <si>
    <t>958750772</t>
  </si>
  <si>
    <t>048333-003856928</t>
  </si>
  <si>
    <t>45661376</t>
  </si>
  <si>
    <t>MARCO STEVEN MOSQUERA SARMIENTO</t>
  </si>
  <si>
    <t>1751538263</t>
  </si>
  <si>
    <t>355108340217787</t>
  </si>
  <si>
    <t>62984260</t>
  </si>
  <si>
    <t>980573170</t>
  </si>
  <si>
    <t>048333-003856955</t>
  </si>
  <si>
    <t>869113065936388</t>
  </si>
  <si>
    <t>54287386</t>
  </si>
  <si>
    <t>048333-003856986</t>
  </si>
  <si>
    <t>45599129</t>
  </si>
  <si>
    <t>CARLOS RAMIRO OBANDO OBANDO</t>
  </si>
  <si>
    <t>0400798773001</t>
  </si>
  <si>
    <t>353981764724989</t>
  </si>
  <si>
    <t>998422824</t>
  </si>
  <si>
    <t>048333-003856990</t>
  </si>
  <si>
    <t>45661481</t>
  </si>
  <si>
    <t>ERIKA ANDREA RIOS TERAN</t>
  </si>
  <si>
    <t>1723908222001</t>
  </si>
  <si>
    <t>864048063381622</t>
  </si>
  <si>
    <t>62984418</t>
  </si>
  <si>
    <t>048333-003857020</t>
  </si>
  <si>
    <t>LTE IPHONE 13 PRO 256GB NEGRO CH30863</t>
  </si>
  <si>
    <t>350302398149589</t>
  </si>
  <si>
    <t>IPHONE 13 PRO 256GB</t>
  </si>
  <si>
    <t>162354</t>
  </si>
  <si>
    <t>LTE IPHONE 13 PRO 256GB NEGRO</t>
  </si>
  <si>
    <t>048333-003857027</t>
  </si>
  <si>
    <t>62984493</t>
  </si>
  <si>
    <t>958926281</t>
  </si>
  <si>
    <t>048333-003857038</t>
  </si>
  <si>
    <t>30051248</t>
  </si>
  <si>
    <t>EDUARDO FERRER ALEMAN</t>
  </si>
  <si>
    <t>1756594410</t>
  </si>
  <si>
    <t>353514357228975</t>
  </si>
  <si>
    <t>29328101</t>
  </si>
  <si>
    <t>979283332</t>
  </si>
  <si>
    <t>048333-003857067</t>
  </si>
  <si>
    <t>45661259</t>
  </si>
  <si>
    <t>MARIUXI DEL PILAR CARRION GALARZA</t>
  </si>
  <si>
    <t>0704262641</t>
  </si>
  <si>
    <t>356795951381420</t>
  </si>
  <si>
    <t>62984195</t>
  </si>
  <si>
    <t>962843181</t>
  </si>
  <si>
    <t>048333-003857081</t>
  </si>
  <si>
    <t>45101494</t>
  </si>
  <si>
    <t>SONIA SABINA BALDA VALENCIA</t>
  </si>
  <si>
    <t>0921862611</t>
  </si>
  <si>
    <t>866184060681066</t>
  </si>
  <si>
    <t>62381029</t>
  </si>
  <si>
    <t>048333-003857104</t>
  </si>
  <si>
    <t>45661849</t>
  </si>
  <si>
    <t>352755852600868</t>
  </si>
  <si>
    <t>963000141</t>
  </si>
  <si>
    <t>048333-003857198</t>
  </si>
  <si>
    <t>45385860</t>
  </si>
  <si>
    <t>ALISON CAROLINA MARTINEZ VIERA</t>
  </si>
  <si>
    <t>1725882904</t>
  </si>
  <si>
    <t>352755852301350</t>
  </si>
  <si>
    <t>62690770</t>
  </si>
  <si>
    <t>999046895</t>
  </si>
  <si>
    <t>048333-003857674</t>
  </si>
  <si>
    <t>30745894</t>
  </si>
  <si>
    <t>NATALY PATRICIA YANEZ MURIEL</t>
  </si>
  <si>
    <t>1716730005</t>
  </si>
  <si>
    <t>355180120282968</t>
  </si>
  <si>
    <t>50989547</t>
  </si>
  <si>
    <t>987250284</t>
  </si>
  <si>
    <t>048333-003857728</t>
  </si>
  <si>
    <t>42057284</t>
  </si>
  <si>
    <t>JOSE CHICAIZA TOAPANTA</t>
  </si>
  <si>
    <t>1705621827</t>
  </si>
  <si>
    <t>357321213173742</t>
  </si>
  <si>
    <t>59033371</t>
  </si>
  <si>
    <t>998562051</t>
  </si>
  <si>
    <t>048333-003857752</t>
  </si>
  <si>
    <t>43497398</t>
  </si>
  <si>
    <t>SEGUNDO RUPERTO CORDOVA ORDOÑEZ</t>
  </si>
  <si>
    <t>1703086676</t>
  </si>
  <si>
    <t>356795951374037</t>
  </si>
  <si>
    <t>60628226</t>
  </si>
  <si>
    <t>958850636</t>
  </si>
  <si>
    <t>048333-003857876</t>
  </si>
  <si>
    <t>864050068809128</t>
  </si>
  <si>
    <t>61095014</t>
  </si>
  <si>
    <t>979384008</t>
  </si>
  <si>
    <t>048333-003857900</t>
  </si>
  <si>
    <t>22460527</t>
  </si>
  <si>
    <t>FILIO MARINO CUENCA CALDERON</t>
  </si>
  <si>
    <t>0700964935</t>
  </si>
  <si>
    <t>353842194893275</t>
  </si>
  <si>
    <t>61563660</t>
  </si>
  <si>
    <t>999159183</t>
  </si>
  <si>
    <t>048333-003847524</t>
  </si>
  <si>
    <t>44680769</t>
  </si>
  <si>
    <t>HUGO FERNANDO PALACIOS ESCANDON</t>
  </si>
  <si>
    <t>0102656261001</t>
  </si>
  <si>
    <t>LTE SAMSUNG A13 NEGRO CH31676</t>
  </si>
  <si>
    <t>350068480543902</t>
  </si>
  <si>
    <t>61941678</t>
  </si>
  <si>
    <t>162444</t>
  </si>
  <si>
    <t>LTE SAMSUNG A13 NEGRO</t>
  </si>
  <si>
    <t>999912254</t>
  </si>
  <si>
    <t>048333-003858041</t>
  </si>
  <si>
    <t>40022519</t>
  </si>
  <si>
    <t>HENRY AUGUSTO BORJA GALLEGOS</t>
  </si>
  <si>
    <t>1712244100</t>
  </si>
  <si>
    <t>359694275330345</t>
  </si>
  <si>
    <t>55113464</t>
  </si>
  <si>
    <t>048333-003858516</t>
  </si>
  <si>
    <t>62989760</t>
  </si>
  <si>
    <t>048333-003858774</t>
  </si>
  <si>
    <t>34212255</t>
  </si>
  <si>
    <t>NARCIZA MARITZA BLACIO TITUANA</t>
  </si>
  <si>
    <t>0704049659</t>
  </si>
  <si>
    <t>350302398845319</t>
  </si>
  <si>
    <t>984275073</t>
  </si>
  <si>
    <t>048333-003858793</t>
  </si>
  <si>
    <t>45664970</t>
  </si>
  <si>
    <t>PABLO ANDRES PEÑAFIEL MUÑOZ</t>
  </si>
  <si>
    <t>0105267173</t>
  </si>
  <si>
    <t>355108340318940</t>
  </si>
  <si>
    <t>62990822</t>
  </si>
  <si>
    <t>048333-003858809</t>
  </si>
  <si>
    <t>62939638</t>
  </si>
  <si>
    <t>979370668</t>
  </si>
  <si>
    <t>048333-003858824</t>
  </si>
  <si>
    <t>30414849</t>
  </si>
  <si>
    <t>SANTOS SEBASTIANA SAAVEDRA FARFAN</t>
  </si>
  <si>
    <t>0701591273</t>
  </si>
  <si>
    <t>353842192168571</t>
  </si>
  <si>
    <t>32266490</t>
  </si>
  <si>
    <t>995418084</t>
  </si>
  <si>
    <t>048333-003858843</t>
  </si>
  <si>
    <t>28891137</t>
  </si>
  <si>
    <t>JAIRO MARCELO VIZCAINO HUERTAS</t>
  </si>
  <si>
    <t>0401463690</t>
  </si>
  <si>
    <t>353842194256697</t>
  </si>
  <si>
    <t>29889268</t>
  </si>
  <si>
    <t>048333-003858680</t>
  </si>
  <si>
    <t>7260888</t>
  </si>
  <si>
    <t>353842194901185</t>
  </si>
  <si>
    <t>26482715</t>
  </si>
  <si>
    <t>979208567</t>
  </si>
  <si>
    <t>048333-003858885</t>
  </si>
  <si>
    <t>28931259</t>
  </si>
  <si>
    <t>MARTITA CECIBEL BRAVO CORREA</t>
  </si>
  <si>
    <t>0701855397</t>
  </si>
  <si>
    <t>864050069259026</t>
  </si>
  <si>
    <t>29956106</t>
  </si>
  <si>
    <t>048333-003858918</t>
  </si>
  <si>
    <t>MODEM</t>
  </si>
  <si>
    <t>HUAWEI E5576-508 ROUTER MIFI</t>
  </si>
  <si>
    <t>62991193</t>
  </si>
  <si>
    <t>162482</t>
  </si>
  <si>
    <t>LTE HUAWEI E5576-508 MIFI</t>
  </si>
  <si>
    <t>999755957</t>
  </si>
  <si>
    <t>048333-003858958</t>
  </si>
  <si>
    <t>43734095</t>
  </si>
  <si>
    <t>FRANKLIN LEONARDO GUASHIMA MOROCHO</t>
  </si>
  <si>
    <t>0104748355</t>
  </si>
  <si>
    <t>359694275330527</t>
  </si>
  <si>
    <t>60891311</t>
  </si>
  <si>
    <t>048333-003859037</t>
  </si>
  <si>
    <t>62991544</t>
  </si>
  <si>
    <t>979219581</t>
  </si>
  <si>
    <t>048333-003859062</t>
  </si>
  <si>
    <t>45668389</t>
  </si>
  <si>
    <t>LUIS GONZALO NARVAEZ PINEDA</t>
  </si>
  <si>
    <t>1703065191</t>
  </si>
  <si>
    <t>LTE SAMSUNG A33 5G NEGRO CH31627</t>
  </si>
  <si>
    <t>352429892848370</t>
  </si>
  <si>
    <t>SAMSUNG A33</t>
  </si>
  <si>
    <t>62991615</t>
  </si>
  <si>
    <t>162412</t>
  </si>
  <si>
    <t>LTE SAMSUNG A33 5G NEGRO</t>
  </si>
  <si>
    <t>048333-003859102</t>
  </si>
  <si>
    <t>45668563</t>
  </si>
  <si>
    <t>EDGAR JAVIER MAILA CHUMANIA</t>
  </si>
  <si>
    <t>1716435316</t>
  </si>
  <si>
    <t>355108340300682</t>
  </si>
  <si>
    <t>999711914</t>
  </si>
  <si>
    <t>048333-003859170</t>
  </si>
  <si>
    <t>43225462</t>
  </si>
  <si>
    <t>GLADYS AUREOLA VILLAGRAN MONCAYO</t>
  </si>
  <si>
    <t>0300331030</t>
  </si>
  <si>
    <t>LTE SAMSUNG A23 BLANCO CH31686</t>
  </si>
  <si>
    <t>353568691477136</t>
  </si>
  <si>
    <t>60326791</t>
  </si>
  <si>
    <t>162446</t>
  </si>
  <si>
    <t>LTE SAMSUNG A23 BLANCO</t>
  </si>
  <si>
    <t>048333-003859219</t>
  </si>
  <si>
    <t>39837842</t>
  </si>
  <si>
    <t>MAYRA ALEXANDRA COYAGO COYAGO</t>
  </si>
  <si>
    <t>1721485397</t>
  </si>
  <si>
    <t>352429892583472</t>
  </si>
  <si>
    <t>987679064</t>
  </si>
  <si>
    <t>048333-003859228</t>
  </si>
  <si>
    <t>45669088</t>
  </si>
  <si>
    <t>MARIA DE LOS ANGELES ALVAREZ GONZALEZ</t>
  </si>
  <si>
    <t>1709604738001</t>
  </si>
  <si>
    <t>LTE SAMSUNG A33 5G AZUL CH31627</t>
  </si>
  <si>
    <t>352429893122775</t>
  </si>
  <si>
    <t>62992318</t>
  </si>
  <si>
    <t>162411</t>
  </si>
  <si>
    <t>LTE SAMSUNG A33 5G AZUL</t>
  </si>
  <si>
    <t>048333-003859361</t>
  </si>
  <si>
    <t>62993737</t>
  </si>
  <si>
    <t>995190622</t>
  </si>
  <si>
    <t>048333-003859391</t>
  </si>
  <si>
    <t>38612059</t>
  </si>
  <si>
    <t>FERNANDO ESTEBAN ANZIETA CALLE</t>
  </si>
  <si>
    <t>0104229422</t>
  </si>
  <si>
    <t>355108340319955</t>
  </si>
  <si>
    <t>51496945</t>
  </si>
  <si>
    <t>999223839</t>
  </si>
  <si>
    <t>048333-003859506</t>
  </si>
  <si>
    <t>40616622</t>
  </si>
  <si>
    <t>ROMEL ADRIAN AGUILAR AGUILAR</t>
  </si>
  <si>
    <t>0702774027</t>
  </si>
  <si>
    <t>355108340304767</t>
  </si>
  <si>
    <t>56525850</t>
  </si>
  <si>
    <t>987584636</t>
  </si>
  <si>
    <t>048333-003859557</t>
  </si>
  <si>
    <t>45671046</t>
  </si>
  <si>
    <t>LUIS ANTONIO MALDONADO RAMIREZ</t>
  </si>
  <si>
    <t>0703878611</t>
  </si>
  <si>
    <t>351338912483087</t>
  </si>
  <si>
    <t>62994348</t>
  </si>
  <si>
    <t>979197408</t>
  </si>
  <si>
    <t>048333-003859589</t>
  </si>
  <si>
    <t>38115165</t>
  </si>
  <si>
    <t>WISTONG ATTILIO SANTILLAN AVILA</t>
  </si>
  <si>
    <t>1202786909</t>
  </si>
  <si>
    <t>356795951169577</t>
  </si>
  <si>
    <t>50379279</t>
  </si>
  <si>
    <t>987631865</t>
  </si>
  <si>
    <t>048333-003859610</t>
  </si>
  <si>
    <t>45478284</t>
  </si>
  <si>
    <t>ROCANA MOLINA DENIS ALEXANDER</t>
  </si>
  <si>
    <t>1311467979001</t>
  </si>
  <si>
    <t>861267061002005</t>
  </si>
  <si>
    <t>62790692</t>
  </si>
  <si>
    <t>048333-003859651</t>
  </si>
  <si>
    <t>26965935</t>
  </si>
  <si>
    <t>353842194256325</t>
  </si>
  <si>
    <t>987234957</t>
  </si>
  <si>
    <t>048333-003859657</t>
  </si>
  <si>
    <t>14252221</t>
  </si>
  <si>
    <t>HUGO WILFRIDO AGUILAR RAMBAY</t>
  </si>
  <si>
    <t>0704001601</t>
  </si>
  <si>
    <t>356795951301212</t>
  </si>
  <si>
    <t>15648563</t>
  </si>
  <si>
    <t>987993207</t>
  </si>
  <si>
    <t>048333-003859732</t>
  </si>
  <si>
    <t>45420431</t>
  </si>
  <si>
    <t>RAMONA JANETH CUSME GARCIA CUSME GARCIA</t>
  </si>
  <si>
    <t>1205748161</t>
  </si>
  <si>
    <t>359694275283981</t>
  </si>
  <si>
    <t>62728211</t>
  </si>
  <si>
    <t>992692678</t>
  </si>
  <si>
    <t>048333-003859907</t>
  </si>
  <si>
    <t>352429892573168</t>
  </si>
  <si>
    <t>60703085</t>
  </si>
  <si>
    <t>983838955</t>
  </si>
  <si>
    <t>048333-003859918</t>
  </si>
  <si>
    <t>38801509</t>
  </si>
  <si>
    <t>GABRIELA ROCIO DELGADO PILLAJO DELGADO PILLAJO</t>
  </si>
  <si>
    <t>1722626544</t>
  </si>
  <si>
    <t>356795951335236</t>
  </si>
  <si>
    <t>51949698</t>
  </si>
  <si>
    <t>MASTERCARD BOLIVARIANO</t>
  </si>
  <si>
    <t>983017653</t>
  </si>
  <si>
    <t>048333-003859975</t>
  </si>
  <si>
    <t>41372274</t>
  </si>
  <si>
    <t>KARINA MARIBEL QUISILEMA VELASCO</t>
  </si>
  <si>
    <t>1721063905</t>
  </si>
  <si>
    <t>355108340319765</t>
  </si>
  <si>
    <t>58210914</t>
  </si>
  <si>
    <t>048333-003860077</t>
  </si>
  <si>
    <t>41800740</t>
  </si>
  <si>
    <t>PAULINA JOSSETH CHAVEZ IDROBO</t>
  </si>
  <si>
    <t>359694275282231</t>
  </si>
  <si>
    <t>983100271</t>
  </si>
  <si>
    <t>048333-003860139</t>
  </si>
  <si>
    <t>43451359</t>
  </si>
  <si>
    <t>JORGE JAVIER CUSTODIO ARAUJO</t>
  </si>
  <si>
    <t>1715523575</t>
  </si>
  <si>
    <t>350979735201262</t>
  </si>
  <si>
    <t>60574531</t>
  </si>
  <si>
    <t>987876935</t>
  </si>
  <si>
    <t>048333-003860166</t>
  </si>
  <si>
    <t>19082309</t>
  </si>
  <si>
    <t>XIMENA SORAYDA MARTINEZ TIRADO</t>
  </si>
  <si>
    <t>1711684132</t>
  </si>
  <si>
    <t>355108340319310</t>
  </si>
  <si>
    <t>57970007</t>
  </si>
  <si>
    <t>984502493</t>
  </si>
  <si>
    <t>048333-003860208</t>
  </si>
  <si>
    <t>12597221</t>
  </si>
  <si>
    <t>LENIN PATRICIO CARDENAS CEDILLO</t>
  </si>
  <si>
    <t>1714150560</t>
  </si>
  <si>
    <t>359694275281944</t>
  </si>
  <si>
    <t>12864332</t>
  </si>
  <si>
    <t>987894760</t>
  </si>
  <si>
    <t>048333-003860222</t>
  </si>
  <si>
    <t>45009870</t>
  </si>
  <si>
    <t>JACQUELINE ELIZABETH MARTINEZ TIRADO</t>
  </si>
  <si>
    <t>1711684124</t>
  </si>
  <si>
    <t>355108340319724</t>
  </si>
  <si>
    <t>62292351</t>
  </si>
  <si>
    <t>998394472</t>
  </si>
  <si>
    <t>048333-003860267</t>
  </si>
  <si>
    <t>16120645</t>
  </si>
  <si>
    <t>JORGE PATRICIO CELA SACOTO</t>
  </si>
  <si>
    <t>1708526270</t>
  </si>
  <si>
    <t>355108340299025</t>
  </si>
  <si>
    <t>17474585</t>
  </si>
  <si>
    <t>962629764</t>
  </si>
  <si>
    <t>048333-003860298</t>
  </si>
  <si>
    <t>45479387</t>
  </si>
  <si>
    <t>CAMILA FERNANDA ANDACHI AIMACAÑA</t>
  </si>
  <si>
    <t>1751480979</t>
  </si>
  <si>
    <t>864331068690480</t>
  </si>
  <si>
    <t>62791818</t>
  </si>
  <si>
    <t>048333-003860299</t>
  </si>
  <si>
    <t>45673427</t>
  </si>
  <si>
    <t>866184060683211</t>
  </si>
  <si>
    <t>984855601</t>
  </si>
  <si>
    <t>048333-003860425</t>
  </si>
  <si>
    <t>22891755</t>
  </si>
  <si>
    <t>KARINA ALEXANDRA FLORES GOMEZ</t>
  </si>
  <si>
    <t>1723476105</t>
  </si>
  <si>
    <t>354911551802598</t>
  </si>
  <si>
    <t>62997526</t>
  </si>
  <si>
    <t>048333-003860714</t>
  </si>
  <si>
    <t>62999684</t>
  </si>
  <si>
    <t>998437188</t>
  </si>
  <si>
    <t>048333-003860778</t>
  </si>
  <si>
    <t>40058775</t>
  </si>
  <si>
    <t>KELVIN LEONARDO PROAÑO MUÑOZ</t>
  </si>
  <si>
    <t>1726289539</t>
  </si>
  <si>
    <t>352429893056916</t>
  </si>
  <si>
    <t>62999953</t>
  </si>
  <si>
    <t>987641834</t>
  </si>
  <si>
    <t>048333-003860819</t>
  </si>
  <si>
    <t>45676660</t>
  </si>
  <si>
    <t>GEANINA ELIZABETH GUACHAMIN SIMBAÑA</t>
  </si>
  <si>
    <t>1713262242</t>
  </si>
  <si>
    <t>869113065751027</t>
  </si>
  <si>
    <t>63000104</t>
  </si>
  <si>
    <t>984783693</t>
  </si>
  <si>
    <t>048333-003860826</t>
  </si>
  <si>
    <t>25058586</t>
  </si>
  <si>
    <t>JUAN VICTOR PAILLACHO LEMA</t>
  </si>
  <si>
    <t>1716970213</t>
  </si>
  <si>
    <t>LTE HONOR X6 NEGRO CH32307</t>
  </si>
  <si>
    <t>862800060811940</t>
  </si>
  <si>
    <t>24478410</t>
  </si>
  <si>
    <t>162492</t>
  </si>
  <si>
    <t>LTE HONOR X6 NEGRO</t>
  </si>
  <si>
    <t>988890312</t>
  </si>
  <si>
    <t>048333-003860869</t>
  </si>
  <si>
    <t>28432866</t>
  </si>
  <si>
    <t>EDDY LEONARDO CASTILLO TINOCO</t>
  </si>
  <si>
    <t>1103977300</t>
  </si>
  <si>
    <t>353842194791537</t>
  </si>
  <si>
    <t>29451306</t>
  </si>
  <si>
    <t>983756238</t>
  </si>
  <si>
    <t>048333-003860974</t>
  </si>
  <si>
    <t>44268186</t>
  </si>
  <si>
    <t>JUAN GABRIEL REINOSO TAPIA</t>
  </si>
  <si>
    <t>0502530587</t>
  </si>
  <si>
    <t>353842194899090</t>
  </si>
  <si>
    <t>61483807</t>
  </si>
  <si>
    <t>048333-003860978</t>
  </si>
  <si>
    <t>63000707</t>
  </si>
  <si>
    <t>983990233</t>
  </si>
  <si>
    <t>048333-003861089</t>
  </si>
  <si>
    <t>45677651</t>
  </si>
  <si>
    <t>JORGE ADALBERTO DOMINGUEZ ZAMBRANO</t>
  </si>
  <si>
    <t>1304699794</t>
  </si>
  <si>
    <t>356795951220586</t>
  </si>
  <si>
    <t>63001180</t>
  </si>
  <si>
    <t>048333-003861104</t>
  </si>
  <si>
    <t>45677839</t>
  </si>
  <si>
    <t>ALEJANDRO NAPOLEON VERDEZOTO FREIRE</t>
  </si>
  <si>
    <t>1714940564</t>
  </si>
  <si>
    <t>356795951373328</t>
  </si>
  <si>
    <t>995984090</t>
  </si>
  <si>
    <t>048333-003861127</t>
  </si>
  <si>
    <t>44559436</t>
  </si>
  <si>
    <t>355108340315961</t>
  </si>
  <si>
    <t>61804180</t>
  </si>
  <si>
    <t>983355231</t>
  </si>
  <si>
    <t>048333-003861145</t>
  </si>
  <si>
    <t>38497093</t>
  </si>
  <si>
    <t>CESAR DAVID JACOME TOBAR</t>
  </si>
  <si>
    <t>1724493000</t>
  </si>
  <si>
    <t>355108340298969</t>
  </si>
  <si>
    <t>51285663</t>
  </si>
  <si>
    <t>979236287</t>
  </si>
  <si>
    <t>048333-003861205</t>
  </si>
  <si>
    <t>44954054</t>
  </si>
  <si>
    <t>LIZARDO HOMERO RAMOS MINIGUANO</t>
  </si>
  <si>
    <t>1802241354</t>
  </si>
  <si>
    <t>869113065777584</t>
  </si>
  <si>
    <t>62232089</t>
  </si>
  <si>
    <t>987092497</t>
  </si>
  <si>
    <t>048333-003861223</t>
  </si>
  <si>
    <t>38951397</t>
  </si>
  <si>
    <t>JORGE EFRAIN CRUZ RUIZ</t>
  </si>
  <si>
    <t>1708713209</t>
  </si>
  <si>
    <t>863837056637144</t>
  </si>
  <si>
    <t>52322904</t>
  </si>
  <si>
    <t>984482367</t>
  </si>
  <si>
    <t>048333-003861673</t>
  </si>
  <si>
    <t>16716405</t>
  </si>
  <si>
    <t>PATRICIO EFRAIN ANALUISA PACHECO</t>
  </si>
  <si>
    <t>1708763352</t>
  </si>
  <si>
    <t>356795951104723</t>
  </si>
  <si>
    <t>56642500</t>
  </si>
  <si>
    <t>987430905</t>
  </si>
  <si>
    <t>048333-003861923</t>
  </si>
  <si>
    <t>23121320</t>
  </si>
  <si>
    <t>ALFREDO AUGUSTO ARTEAGA TRUJILLO</t>
  </si>
  <si>
    <t>1706724737</t>
  </si>
  <si>
    <t>863837054464327</t>
  </si>
  <si>
    <t>20334357</t>
  </si>
  <si>
    <t>P0075</t>
  </si>
  <si>
    <t>PLAN MOVISTAR DIAMOND</t>
  </si>
  <si>
    <t>992719803</t>
  </si>
  <si>
    <t>048333-003862090</t>
  </si>
  <si>
    <t>11220580</t>
  </si>
  <si>
    <t>CARLOS HUMBERTO PEREZ PEREZ .</t>
  </si>
  <si>
    <t>1700106006</t>
  </si>
  <si>
    <t>359694275328059</t>
  </si>
  <si>
    <t>6537352</t>
  </si>
  <si>
    <t>048333-003862258</t>
  </si>
  <si>
    <t>TERESA DEL CARMEN CEVALLOS ALVAREZ</t>
  </si>
  <si>
    <t>1713921888001</t>
  </si>
  <si>
    <t>63005901</t>
  </si>
  <si>
    <t>995494901</t>
  </si>
  <si>
    <t>048333-003862271</t>
  </si>
  <si>
    <t>12372188</t>
  </si>
  <si>
    <t>WILSON ERNESTO JIBAJA RIBADENEIRA</t>
  </si>
  <si>
    <t>0201240314</t>
  </si>
  <si>
    <t>356795951298376</t>
  </si>
  <si>
    <t>63005929</t>
  </si>
  <si>
    <t>984883380</t>
  </si>
  <si>
    <t>048333-003862335</t>
  </si>
  <si>
    <t>862800060815396</t>
  </si>
  <si>
    <t>60990465</t>
  </si>
  <si>
    <t>962805357</t>
  </si>
  <si>
    <t>048333-003862415</t>
  </si>
  <si>
    <t>43538970</t>
  </si>
  <si>
    <t>RONAL DANIEL BARRE SOLORZANO</t>
  </si>
  <si>
    <t>1724995806</t>
  </si>
  <si>
    <t>869551050318411</t>
  </si>
  <si>
    <t>60673492</t>
  </si>
  <si>
    <t>984011885</t>
  </si>
  <si>
    <t>048333-003862498</t>
  </si>
  <si>
    <t>38610323</t>
  </si>
  <si>
    <t>EDISON PAUL LIMA NAZATE</t>
  </si>
  <si>
    <t>863837054681920</t>
  </si>
  <si>
    <t>51490812</t>
  </si>
  <si>
    <t>048333-003862512</t>
  </si>
  <si>
    <t>63006621</t>
  </si>
  <si>
    <t>995940864</t>
  </si>
  <si>
    <t>048333-003862585</t>
  </si>
  <si>
    <t>26189882</t>
  </si>
  <si>
    <t>CRISTINA SALOME MOROCHO BUENO</t>
  </si>
  <si>
    <t>0105212419</t>
  </si>
  <si>
    <t>356795951300958</t>
  </si>
  <si>
    <t>25989604</t>
  </si>
  <si>
    <t>992588346</t>
  </si>
  <si>
    <t>048333-003862774</t>
  </si>
  <si>
    <t>42624632</t>
  </si>
  <si>
    <t>MARCOS LEONCIO CUESTA CUESTA</t>
  </si>
  <si>
    <t>0102114782</t>
  </si>
  <si>
    <t>869113065718927</t>
  </si>
  <si>
    <t>59652477</t>
  </si>
  <si>
    <t>995357679</t>
  </si>
  <si>
    <t>048333-003862898</t>
  </si>
  <si>
    <t>45683825</t>
  </si>
  <si>
    <t>FEDERICO DIEGO BAQUERO VASQUEZ</t>
  </si>
  <si>
    <t>1707148936</t>
  </si>
  <si>
    <t>355108340320920</t>
  </si>
  <si>
    <t>63007707</t>
  </si>
  <si>
    <t>983023038</t>
  </si>
  <si>
    <t>355108340318544</t>
  </si>
  <si>
    <t>63007705</t>
  </si>
  <si>
    <t>998359106</t>
  </si>
  <si>
    <t>048333-003863147</t>
  </si>
  <si>
    <t>43362386</t>
  </si>
  <si>
    <t>HASAN YEGIN</t>
  </si>
  <si>
    <t>1721915336</t>
  </si>
  <si>
    <t>351338912483343</t>
  </si>
  <si>
    <t>60480068</t>
  </si>
  <si>
    <t>998687171</t>
  </si>
  <si>
    <t>048333-003863183</t>
  </si>
  <si>
    <t>23409889</t>
  </si>
  <si>
    <t>353842194946727</t>
  </si>
  <si>
    <t>63008531</t>
  </si>
  <si>
    <t>992704932</t>
  </si>
  <si>
    <t>048333-003863187</t>
  </si>
  <si>
    <t>41329987</t>
  </si>
  <si>
    <t>866184060682197</t>
  </si>
  <si>
    <t>58124316</t>
  </si>
  <si>
    <t>983700811</t>
  </si>
  <si>
    <t>048333-003863208</t>
  </si>
  <si>
    <t>34962976</t>
  </si>
  <si>
    <t>MAURICIO LIROY PAZMIÑO ARPI</t>
  </si>
  <si>
    <t>0106543929</t>
  </si>
  <si>
    <t>355108340319336</t>
  </si>
  <si>
    <t>63008581</t>
  </si>
  <si>
    <t>999854521</t>
  </si>
  <si>
    <t>048333-003863250</t>
  </si>
  <si>
    <t>38746663</t>
  </si>
  <si>
    <t>JUAN CARLOS MENDOZA MOREIRA</t>
  </si>
  <si>
    <t>1307759728</t>
  </si>
  <si>
    <t>356795951333983</t>
  </si>
  <si>
    <t>61456273</t>
  </si>
  <si>
    <t>987129244</t>
  </si>
  <si>
    <t>048333-003863261</t>
  </si>
  <si>
    <t>45684777</t>
  </si>
  <si>
    <t>MARIA ELENA PUNINA BANDA</t>
  </si>
  <si>
    <t>1802568350</t>
  </si>
  <si>
    <t>862800062999636</t>
  </si>
  <si>
    <t>63008692</t>
  </si>
  <si>
    <t>983398471</t>
  </si>
  <si>
    <t>048333-003863272</t>
  </si>
  <si>
    <t>34257703</t>
  </si>
  <si>
    <t>FREDDY DANIEL ALOMIA ACOSTA</t>
  </si>
  <si>
    <t>1712741352</t>
  </si>
  <si>
    <t>355108340320052</t>
  </si>
  <si>
    <t>37821790</t>
  </si>
  <si>
    <t>048333-003863374</t>
  </si>
  <si>
    <t>63008662</t>
  </si>
  <si>
    <t>048333-003863375</t>
  </si>
  <si>
    <t>63008840</t>
  </si>
  <si>
    <t>983937677</t>
  </si>
  <si>
    <t>048333-003863418</t>
  </si>
  <si>
    <t>41135166</t>
  </si>
  <si>
    <t>GUILLERMO ENRIQUE CANTUÑA LOGACHO</t>
  </si>
  <si>
    <t>1715197057</t>
  </si>
  <si>
    <t>359694275284310</t>
  </si>
  <si>
    <t>60833100</t>
  </si>
  <si>
    <t>984659611</t>
  </si>
  <si>
    <t>048333-003863726</t>
  </si>
  <si>
    <t>7605846</t>
  </si>
  <si>
    <t>PEDRO ESTEBAN ORDOÑEZ CORDERO</t>
  </si>
  <si>
    <t>1707713663</t>
  </si>
  <si>
    <t>LTE SAMSUNG S22 5G PLUS NEGRO CH31508</t>
  </si>
  <si>
    <t>355705442991449</t>
  </si>
  <si>
    <t>SAMSUNG S22 5G PLUS</t>
  </si>
  <si>
    <t>7953870</t>
  </si>
  <si>
    <t>162419</t>
  </si>
  <si>
    <t>LTE SAMSUNG S22 5G PLUS NEGRO</t>
  </si>
  <si>
    <t>987430334</t>
  </si>
  <si>
    <t>048333-003863731</t>
  </si>
  <si>
    <t>7485990</t>
  </si>
  <si>
    <t>AMPARITO ANGELES PINEIDA QUISUPANGUI</t>
  </si>
  <si>
    <t>1716155914</t>
  </si>
  <si>
    <t>864331068939606</t>
  </si>
  <si>
    <t>27267972</t>
  </si>
  <si>
    <t>162434</t>
  </si>
  <si>
    <t>LTE HONOR X8 AZUL</t>
  </si>
  <si>
    <t>995958735</t>
  </si>
  <si>
    <t>048333-003863942</t>
  </si>
  <si>
    <t>21467997</t>
  </si>
  <si>
    <t>JORGE FABRICIO TARQUI LOPEZ</t>
  </si>
  <si>
    <t>0102734613</t>
  </si>
  <si>
    <t>LTE XIAOMI REDMI 10A 64GB AZUL CH31958</t>
  </si>
  <si>
    <t>863696065360829</t>
  </si>
  <si>
    <t>57963303</t>
  </si>
  <si>
    <t>162490</t>
  </si>
  <si>
    <t>LTE XIAOMI REDMI 10A 64GB AZUL</t>
  </si>
  <si>
    <t>995277055</t>
  </si>
  <si>
    <t>048333-003864122</t>
  </si>
  <si>
    <t>39092334</t>
  </si>
  <si>
    <t>353842194887384</t>
  </si>
  <si>
    <t>52680488</t>
  </si>
  <si>
    <t>048333-003864251</t>
  </si>
  <si>
    <t>63012681</t>
  </si>
  <si>
    <t>984538305</t>
  </si>
  <si>
    <t>048333-003864284</t>
  </si>
  <si>
    <t>355108340319294</t>
  </si>
  <si>
    <t>15485197</t>
  </si>
  <si>
    <t>996223518</t>
  </si>
  <si>
    <t>048333-003864301</t>
  </si>
  <si>
    <t>40590736</t>
  </si>
  <si>
    <t>JHONNY AGUSTIN VELEZ RAMIREZ</t>
  </si>
  <si>
    <t>1311023368</t>
  </si>
  <si>
    <t>869113065774888</t>
  </si>
  <si>
    <t>56467840</t>
  </si>
  <si>
    <t>995679849</t>
  </si>
  <si>
    <t>048333-003864410</t>
  </si>
  <si>
    <t>14525234</t>
  </si>
  <si>
    <t>KAREN ISABEL PALACIOS CASTRO</t>
  </si>
  <si>
    <t>0106086812</t>
  </si>
  <si>
    <t>869113065772361</t>
  </si>
  <si>
    <t>23346126</t>
  </si>
  <si>
    <t>048333-003864471</t>
  </si>
  <si>
    <t>34128321</t>
  </si>
  <si>
    <t>LUIS TEODORO ROMERO SUAREZ</t>
  </si>
  <si>
    <t>866184060682551</t>
  </si>
  <si>
    <t>999244525</t>
  </si>
  <si>
    <t>048333-003864509</t>
  </si>
  <si>
    <t>28716508</t>
  </si>
  <si>
    <t>FAUSTO GUSTAVO MACHADO CEVALLOS</t>
  </si>
  <si>
    <t>0601126428</t>
  </si>
  <si>
    <t>LTE SN IPHONE XS 256GB SILVER CH28271</t>
  </si>
  <si>
    <t>357235095362647</t>
  </si>
  <si>
    <t>IPHONE XS 256 GB</t>
  </si>
  <si>
    <t>8017194</t>
  </si>
  <si>
    <t>162460</t>
  </si>
  <si>
    <t>LTE SN IPHONE XS 256GB SILVER</t>
  </si>
  <si>
    <t>992872238</t>
  </si>
  <si>
    <t>048333-003864617</t>
  </si>
  <si>
    <t>38201041</t>
  </si>
  <si>
    <t>ANGEL EDUARDO GUEVARA GAIBOR GUEVARA GAIBOR</t>
  </si>
  <si>
    <t>1720856606</t>
  </si>
  <si>
    <t>359694275281753</t>
  </si>
  <si>
    <t>50565124</t>
  </si>
  <si>
    <t>VISA BANCO DE GUAYAQUIL</t>
  </si>
  <si>
    <t>958994976</t>
  </si>
  <si>
    <t>048333-003864708</t>
  </si>
  <si>
    <t>29683577</t>
  </si>
  <si>
    <t>MANUEL MESIAS PAREDES ALARCON</t>
  </si>
  <si>
    <t>1700256504</t>
  </si>
  <si>
    <t>353842195018708</t>
  </si>
  <si>
    <t>31058106</t>
  </si>
  <si>
    <t>048333-003864739</t>
  </si>
  <si>
    <t>31826558</t>
  </si>
  <si>
    <t>MYRIAN CATALINA LUCERO TAIPE</t>
  </si>
  <si>
    <t>355108340318437</t>
  </si>
  <si>
    <t>995652813</t>
  </si>
  <si>
    <t>048333-003864811</t>
  </si>
  <si>
    <t>44467908</t>
  </si>
  <si>
    <t>ENMA MARGARITA IBAÑEZ ECHEVERRIA</t>
  </si>
  <si>
    <t>0700982077</t>
  </si>
  <si>
    <t>359862149210486</t>
  </si>
  <si>
    <t>61702148</t>
  </si>
  <si>
    <t>162495</t>
  </si>
  <si>
    <t>LTE IPHONE 14 128GB NEGRO</t>
  </si>
  <si>
    <t>995156686</t>
  </si>
  <si>
    <t>048333-003864828</t>
  </si>
  <si>
    <t>34166995</t>
  </si>
  <si>
    <t>DIEGO ARMANDO CAPA DIAZ</t>
  </si>
  <si>
    <t>1718275306</t>
  </si>
  <si>
    <t>353842195677321</t>
  </si>
  <si>
    <t>49808709</t>
  </si>
  <si>
    <t>983121422</t>
  </si>
  <si>
    <t>048333-003864843</t>
  </si>
  <si>
    <t>42692796</t>
  </si>
  <si>
    <t>MAYRA GABRIELA INDACOCHEA MOREIRA</t>
  </si>
  <si>
    <t>1311670135001</t>
  </si>
  <si>
    <t>LTE IPHONE 14 256GB NEGRO CH32408</t>
  </si>
  <si>
    <t>358330276607305</t>
  </si>
  <si>
    <t>61280409</t>
  </si>
  <si>
    <t>162497</t>
  </si>
  <si>
    <t>LTE IPHONE 14 256GB NEGRO</t>
  </si>
  <si>
    <t>959602942</t>
  </si>
  <si>
    <t>048333-003864918</t>
  </si>
  <si>
    <t>40632934</t>
  </si>
  <si>
    <t>WILSON FABIAN CORDERO GULA</t>
  </si>
  <si>
    <t>0101030948001</t>
  </si>
  <si>
    <t>352908911014957</t>
  </si>
  <si>
    <t>SAMSUNG Z FOLD 4</t>
  </si>
  <si>
    <t>60342412</t>
  </si>
  <si>
    <t>162486</t>
  </si>
  <si>
    <t>LTE SAMSUNG Z FOLD 4 NEGRO</t>
  </si>
  <si>
    <t>992784194</t>
  </si>
  <si>
    <t>048333-003865281</t>
  </si>
  <si>
    <t>45691209</t>
  </si>
  <si>
    <t>LAURO BOLIVAR QUITO RIERA</t>
  </si>
  <si>
    <t>0100317858</t>
  </si>
  <si>
    <t>359694275287008</t>
  </si>
  <si>
    <t>63015872</t>
  </si>
  <si>
    <t>962805512</t>
  </si>
  <si>
    <t>048333-003865302</t>
  </si>
  <si>
    <t>38804565</t>
  </si>
  <si>
    <t>353906800016207</t>
  </si>
  <si>
    <t>55872510</t>
  </si>
  <si>
    <t>992717835</t>
  </si>
  <si>
    <t>048333-003865405</t>
  </si>
  <si>
    <t>41675716</t>
  </si>
  <si>
    <t>CARLOTA ELENA RIOS GARZON</t>
  </si>
  <si>
    <t>1706332218</t>
  </si>
  <si>
    <t>869113065922628</t>
  </si>
  <si>
    <t>58625838</t>
  </si>
  <si>
    <t>09</t>
  </si>
  <si>
    <t>979346062</t>
  </si>
  <si>
    <t>048333-003865430</t>
  </si>
  <si>
    <t>34504416</t>
  </si>
  <si>
    <t>BERNARDO JOSE VEGA CRESPO</t>
  </si>
  <si>
    <t>0102146917</t>
  </si>
  <si>
    <t>353842195553399</t>
  </si>
  <si>
    <t>63016255</t>
  </si>
  <si>
    <t>VISA MUTUALISTA AZUAY</t>
  </si>
  <si>
    <t>987620225</t>
  </si>
  <si>
    <t>048333-003865454</t>
  </si>
  <si>
    <t>40686920</t>
  </si>
  <si>
    <t>AARON JOSUE SANJINEZ VEINTIMILLA</t>
  </si>
  <si>
    <t>0706676822</t>
  </si>
  <si>
    <t>864331068688765</t>
  </si>
  <si>
    <t>63016289</t>
  </si>
  <si>
    <t>979127180</t>
  </si>
  <si>
    <t>048333-003865507</t>
  </si>
  <si>
    <t>27847695</t>
  </si>
  <si>
    <t>SANDRA GABRIELA CHIRIBOGA URQUIZA</t>
  </si>
  <si>
    <t>1717990772</t>
  </si>
  <si>
    <t>359694275282199</t>
  </si>
  <si>
    <t>28347315</t>
  </si>
  <si>
    <t>987793046</t>
  </si>
  <si>
    <t>048333-003865695</t>
  </si>
  <si>
    <t>44342240</t>
  </si>
  <si>
    <t>CAMILA STHEFANY BACUILIMA DURAN</t>
  </si>
  <si>
    <t>0107066607</t>
  </si>
  <si>
    <t>354911551806979</t>
  </si>
  <si>
    <t>61564134</t>
  </si>
  <si>
    <t>979328868</t>
  </si>
  <si>
    <t>048333-003865707</t>
  </si>
  <si>
    <t>45692266</t>
  </si>
  <si>
    <t>MARIA DE LAS MERCEDES PASTOR MALDONADO</t>
  </si>
  <si>
    <t>1702489806</t>
  </si>
  <si>
    <t>356795951302137</t>
  </si>
  <si>
    <t>63016852</t>
  </si>
  <si>
    <t>995165792</t>
  </si>
  <si>
    <t>048333-003865733</t>
  </si>
  <si>
    <t>866184060683419</t>
  </si>
  <si>
    <t>60548688</t>
  </si>
  <si>
    <t>048333-003865735</t>
  </si>
  <si>
    <t>63017074</t>
  </si>
  <si>
    <t>992584329</t>
  </si>
  <si>
    <t>048333-003865780</t>
  </si>
  <si>
    <t>39739232</t>
  </si>
  <si>
    <t>JOSE SEBASTIAN TONATO GUALPA</t>
  </si>
  <si>
    <t>1718833906</t>
  </si>
  <si>
    <t>356795951176580</t>
  </si>
  <si>
    <t>54391329</t>
  </si>
  <si>
    <t>998711973</t>
  </si>
  <si>
    <t>048333-003865801</t>
  </si>
  <si>
    <t>39813668</t>
  </si>
  <si>
    <t>MARIO ALBERTO VACA HERRERA</t>
  </si>
  <si>
    <t>1700609546</t>
  </si>
  <si>
    <t>865954062583143</t>
  </si>
  <si>
    <t>54584590</t>
  </si>
  <si>
    <t>048333-003865900</t>
  </si>
  <si>
    <t>35179874</t>
  </si>
  <si>
    <t>MONICA ALEXANDRA PINCAY EGAS</t>
  </si>
  <si>
    <t>1310211303</t>
  </si>
  <si>
    <t>869113065767643</t>
  </si>
  <si>
    <t>987843420</t>
  </si>
  <si>
    <t>048333-003865908</t>
  </si>
  <si>
    <t>45692874</t>
  </si>
  <si>
    <t>STEPHANIE DANIELA HEREDIA LOOR</t>
  </si>
  <si>
    <t>1721236550</t>
  </si>
  <si>
    <t>358330276409835</t>
  </si>
  <si>
    <t>63017652</t>
  </si>
  <si>
    <t>979393245</t>
  </si>
  <si>
    <t>358330275685435</t>
  </si>
  <si>
    <t>63017651</t>
  </si>
  <si>
    <t>979083955</t>
  </si>
  <si>
    <t>048333-003865938</t>
  </si>
  <si>
    <t>43636397</t>
  </si>
  <si>
    <t>MARIA ESTHER UNAUCHO PILLO</t>
  </si>
  <si>
    <t>0201744588</t>
  </si>
  <si>
    <t>866184060672198</t>
  </si>
  <si>
    <t>61844365</t>
  </si>
  <si>
    <t>983909686</t>
  </si>
  <si>
    <t>048333-003866554</t>
  </si>
  <si>
    <t>14626366</t>
  </si>
  <si>
    <t>FRANKLIN ORLANDO DELEG GUARTAN</t>
  </si>
  <si>
    <t>0103451191</t>
  </si>
  <si>
    <t>359694275282009</t>
  </si>
  <si>
    <t>30334099</t>
  </si>
  <si>
    <t>987157509</t>
  </si>
  <si>
    <t>048333-003866649</t>
  </si>
  <si>
    <t>45023121</t>
  </si>
  <si>
    <t>353568691492101</t>
  </si>
  <si>
    <t>62306482</t>
  </si>
  <si>
    <t>962667516</t>
  </si>
  <si>
    <t>048333-003866685</t>
  </si>
  <si>
    <t>40452954</t>
  </si>
  <si>
    <t>RUBEN DARIO REYES LOAIZA</t>
  </si>
  <si>
    <t>0701265860001</t>
  </si>
  <si>
    <t>359694275282157</t>
  </si>
  <si>
    <t>56154217</t>
  </si>
  <si>
    <t>999210357</t>
  </si>
  <si>
    <t>048333-003866790</t>
  </si>
  <si>
    <t>24113353</t>
  </si>
  <si>
    <t>MILTON FERNANDO BUSTAMANTE VALLEJO</t>
  </si>
  <si>
    <t>1722433552</t>
  </si>
  <si>
    <t>865954061249860</t>
  </si>
  <si>
    <t>23192323</t>
  </si>
  <si>
    <t>048333-003866824</t>
  </si>
  <si>
    <t>42720570</t>
  </si>
  <si>
    <t>JAIME OSWALDO VALENCIA BOADA</t>
  </si>
  <si>
    <t>355108340306804</t>
  </si>
  <si>
    <t>979235874</t>
  </si>
  <si>
    <t>048333-003866827</t>
  </si>
  <si>
    <t>43478172</t>
  </si>
  <si>
    <t>357321213159881</t>
  </si>
  <si>
    <t>60603656</t>
  </si>
  <si>
    <t>048333-003866903</t>
  </si>
  <si>
    <t>45696704</t>
  </si>
  <si>
    <t>MAURICIO CRISTOBAL VINCES CHECA</t>
  </si>
  <si>
    <t>1713975389001</t>
  </si>
  <si>
    <t>869113065872203</t>
  </si>
  <si>
    <t>995880346</t>
  </si>
  <si>
    <t>048333-003867105</t>
  </si>
  <si>
    <t>41547744</t>
  </si>
  <si>
    <t>352429893051008</t>
  </si>
  <si>
    <t>63022254</t>
  </si>
  <si>
    <t>995480324</t>
  </si>
  <si>
    <t>353881481273288</t>
  </si>
  <si>
    <t>63022255</t>
  </si>
  <si>
    <t>992939766</t>
  </si>
  <si>
    <t>356795951172993</t>
  </si>
  <si>
    <t>63022253</t>
  </si>
  <si>
    <t>962957957</t>
  </si>
  <si>
    <t>048333-003867420</t>
  </si>
  <si>
    <t>43523597</t>
  </si>
  <si>
    <t>JOSE SERVELEON AVILA AJILA</t>
  </si>
  <si>
    <t>0704602283</t>
  </si>
  <si>
    <t>864331068943152</t>
  </si>
  <si>
    <t>60656925</t>
  </si>
  <si>
    <t>OTROS</t>
  </si>
  <si>
    <t>987763038</t>
  </si>
  <si>
    <t>048333-003867445</t>
  </si>
  <si>
    <t>43614109</t>
  </si>
  <si>
    <t>SONIA ELIZABETH PUSAY TORRES</t>
  </si>
  <si>
    <t>1723654065</t>
  </si>
  <si>
    <t>359694275284641</t>
  </si>
  <si>
    <t>60756257</t>
  </si>
  <si>
    <t>048333-003867507</t>
  </si>
  <si>
    <t>63023160</t>
  </si>
  <si>
    <t>983427273</t>
  </si>
  <si>
    <t>048333-003867508</t>
  </si>
  <si>
    <t>31141458</t>
  </si>
  <si>
    <t>RAMIRO ERNESTO SALAS ESCOBAR</t>
  </si>
  <si>
    <t>1706760020</t>
  </si>
  <si>
    <t>861267062053601</t>
  </si>
  <si>
    <t>21871774</t>
  </si>
  <si>
    <t>995362474</t>
  </si>
  <si>
    <t>048333-003867513</t>
  </si>
  <si>
    <t>42934372</t>
  </si>
  <si>
    <t>JEFFERSON ALEXANDER AGUAYO TAMAYO</t>
  </si>
  <si>
    <t>1717351801</t>
  </si>
  <si>
    <t>356795951217251</t>
  </si>
  <si>
    <t>60004385</t>
  </si>
  <si>
    <t>984871623</t>
  </si>
  <si>
    <t>048333-003867514</t>
  </si>
  <si>
    <t>41334332</t>
  </si>
  <si>
    <t>ALEX XAVIER ANALUISA QUISPE</t>
  </si>
  <si>
    <t>1726472705</t>
  </si>
  <si>
    <t>LTE XIAOMI POCO X3 PRO 256GB NEGRO CH162373</t>
  </si>
  <si>
    <t>860793050147205</t>
  </si>
  <si>
    <t>XIAOMI POCO X3 PRO 256GB</t>
  </si>
  <si>
    <t>58132720</t>
  </si>
  <si>
    <t>162373</t>
  </si>
  <si>
    <t>LTE XIAOMI POCO X3 PRO 256GB NEGRO</t>
  </si>
  <si>
    <t>962911975</t>
  </si>
  <si>
    <t>048333-003867575</t>
  </si>
  <si>
    <t>43419799</t>
  </si>
  <si>
    <t>KENNIA VERONICA ORTEGA MACHUCA</t>
  </si>
  <si>
    <t>0703183061</t>
  </si>
  <si>
    <t>865954060770726</t>
  </si>
  <si>
    <t>60540421</t>
  </si>
  <si>
    <t>984394459</t>
  </si>
  <si>
    <t>048333-003867759</t>
  </si>
  <si>
    <t>39822240</t>
  </si>
  <si>
    <t>KARINA SALOME FAJARDO MERCHAN</t>
  </si>
  <si>
    <t>0103496394</t>
  </si>
  <si>
    <t>353842195553480</t>
  </si>
  <si>
    <t>55652965</t>
  </si>
  <si>
    <t>P0146</t>
  </si>
  <si>
    <t>PREVIOPAGO PLAN MOVISTAR GOLD PLUS</t>
  </si>
  <si>
    <t>983914834</t>
  </si>
  <si>
    <t>048333-003867765</t>
  </si>
  <si>
    <t>42397247</t>
  </si>
  <si>
    <t>ORLY MARINA MONTERO BRITO</t>
  </si>
  <si>
    <t>0102250388</t>
  </si>
  <si>
    <t>359694275330048</t>
  </si>
  <si>
    <t>59532001</t>
  </si>
  <si>
    <t>987412034</t>
  </si>
  <si>
    <t>048333-003867872</t>
  </si>
  <si>
    <t>29135524</t>
  </si>
  <si>
    <t>0104079918001</t>
  </si>
  <si>
    <t>861267062046605</t>
  </si>
  <si>
    <t>12468984</t>
  </si>
  <si>
    <t>984121928</t>
  </si>
  <si>
    <t>048333-003867888</t>
  </si>
  <si>
    <t>39815517</t>
  </si>
  <si>
    <t>XIMENA ALEXANDRA BALDEON MAYORGA</t>
  </si>
  <si>
    <t>1717538720</t>
  </si>
  <si>
    <t>359675691331942</t>
  </si>
  <si>
    <t>54588068</t>
  </si>
  <si>
    <t>048333-003867926</t>
  </si>
  <si>
    <t>63024381</t>
  </si>
  <si>
    <t>987563080</t>
  </si>
  <si>
    <t>048333-003867940</t>
  </si>
  <si>
    <t>45699222</t>
  </si>
  <si>
    <t>JUAN JOSE VALENCIA BERNAL</t>
  </si>
  <si>
    <t>1726900093</t>
  </si>
  <si>
    <t>350654419439732</t>
  </si>
  <si>
    <t>63024598</t>
  </si>
  <si>
    <t>984871145</t>
  </si>
  <si>
    <t>048333-003867950</t>
  </si>
  <si>
    <t>40687084</t>
  </si>
  <si>
    <t>OSWALDO PATRICIO VALENCIA CONTRERAS</t>
  </si>
  <si>
    <t>1706792627</t>
  </si>
  <si>
    <t>866184061857335</t>
  </si>
  <si>
    <t>56687962</t>
  </si>
  <si>
    <t>984850333</t>
  </si>
  <si>
    <t>048333-003868018</t>
  </si>
  <si>
    <t>41275116</t>
  </si>
  <si>
    <t>LUIS FERNANDO FIALLOS MEDINA</t>
  </si>
  <si>
    <t>1704149788</t>
  </si>
  <si>
    <t>869113065737802</t>
  </si>
  <si>
    <t>58009632</t>
  </si>
  <si>
    <t>048333-003868264</t>
  </si>
  <si>
    <t>44842765</t>
  </si>
  <si>
    <t>NELITH CRISTINA VELEZ CRESPO</t>
  </si>
  <si>
    <t>1702225283</t>
  </si>
  <si>
    <t>351084957811234</t>
  </si>
  <si>
    <t>984473434</t>
  </si>
  <si>
    <t>048333-003868299</t>
  </si>
  <si>
    <t>21442006</t>
  </si>
  <si>
    <t>CARLOS ALBERTO NARANJO LARREA</t>
  </si>
  <si>
    <t>0601155880</t>
  </si>
  <si>
    <t>351338912759171</t>
  </si>
  <si>
    <t>20039811</t>
  </si>
  <si>
    <t>959975324</t>
  </si>
  <si>
    <t>048333-003868311</t>
  </si>
  <si>
    <t>42325050</t>
  </si>
  <si>
    <t>MARIA INES JOSEFINA FLANDOLI.</t>
  </si>
  <si>
    <t>0101661114</t>
  </si>
  <si>
    <t>356795951296693</t>
  </si>
  <si>
    <t>59483785</t>
  </si>
  <si>
    <t>994504050</t>
  </si>
  <si>
    <t>048333-003868539</t>
  </si>
  <si>
    <t>41230843</t>
  </si>
  <si>
    <t>ECUACUBICA ASESORIA INMOBILIARIA CIA LTDA</t>
  </si>
  <si>
    <t>1792563658001</t>
  </si>
  <si>
    <t>866184060672164</t>
  </si>
  <si>
    <t>59339538</t>
  </si>
  <si>
    <t>990957314</t>
  </si>
  <si>
    <t>048333-003868650</t>
  </si>
  <si>
    <t>40529734</t>
  </si>
  <si>
    <t>JORDY FABIAN TENORIO VILLAFUERTE</t>
  </si>
  <si>
    <t>1207674175</t>
  </si>
  <si>
    <t>359694275330717</t>
  </si>
  <si>
    <t>62763593</t>
  </si>
  <si>
    <t>979818375</t>
  </si>
  <si>
    <t>048333-003868709</t>
  </si>
  <si>
    <t>39931482</t>
  </si>
  <si>
    <t>EDWIN ARTURO TAPIA TOAPANTA</t>
  </si>
  <si>
    <t>0501198378</t>
  </si>
  <si>
    <t>353842192685350</t>
  </si>
  <si>
    <t>54878272</t>
  </si>
  <si>
    <t>999941752</t>
  </si>
  <si>
    <t>048333-003868716</t>
  </si>
  <si>
    <t>12607944</t>
  </si>
  <si>
    <t>MARIO EDUARDO CABRERA URGILES</t>
  </si>
  <si>
    <t>0300642501001</t>
  </si>
  <si>
    <t>356795951176002</t>
  </si>
  <si>
    <t>54303853</t>
  </si>
  <si>
    <t>048333-003868732</t>
  </si>
  <si>
    <t>355108340317223</t>
  </si>
  <si>
    <t>995802982</t>
  </si>
  <si>
    <t>048333-003868827</t>
  </si>
  <si>
    <t>12763964</t>
  </si>
  <si>
    <t>MARIA DEL ROSARIO ALVAREZ HERRERA</t>
  </si>
  <si>
    <t>1700792755</t>
  </si>
  <si>
    <t>359694275283833</t>
  </si>
  <si>
    <t>13941722</t>
  </si>
  <si>
    <t>PLAN MOVISTAR $12.99</t>
  </si>
  <si>
    <t>999982598</t>
  </si>
  <si>
    <t>048333-003868855</t>
  </si>
  <si>
    <t>38150770</t>
  </si>
  <si>
    <t>DIEGO ELOY MUÑOZ CAMPOS</t>
  </si>
  <si>
    <t>0102017191</t>
  </si>
  <si>
    <t>357321213139107</t>
  </si>
  <si>
    <t>50457853</t>
  </si>
  <si>
    <t>995436362</t>
  </si>
  <si>
    <t>048333-003868895</t>
  </si>
  <si>
    <t>26361521</t>
  </si>
  <si>
    <t>PABLO PANTALEON HERRERA ORDOÑEZ</t>
  </si>
  <si>
    <t>1702643949</t>
  </si>
  <si>
    <t>356795951300784</t>
  </si>
  <si>
    <t>26176417</t>
  </si>
  <si>
    <t>995566634</t>
  </si>
  <si>
    <t>048333-003869073</t>
  </si>
  <si>
    <t>43528081</t>
  </si>
  <si>
    <t>KEVIN DAVID CAMPOVERDE ZAMORA</t>
  </si>
  <si>
    <t>0104398664</t>
  </si>
  <si>
    <t>358330276458063</t>
  </si>
  <si>
    <t>60662000</t>
  </si>
  <si>
    <t>048333-003869115</t>
  </si>
  <si>
    <t>63029226</t>
  </si>
  <si>
    <t>981571390</t>
  </si>
  <si>
    <t>048333-003869338</t>
  </si>
  <si>
    <t>41456210</t>
  </si>
  <si>
    <t>HENRY JAVIER HARO GUACOLLANTES</t>
  </si>
  <si>
    <t>1722590815</t>
  </si>
  <si>
    <t>353842195675622</t>
  </si>
  <si>
    <t>58401352</t>
  </si>
  <si>
    <t>969099127</t>
  </si>
  <si>
    <t>048333-003869428</t>
  </si>
  <si>
    <t>43223277</t>
  </si>
  <si>
    <t>JUAN CARLOS BOCON ZARUMA</t>
  </si>
  <si>
    <t>1717949257</t>
  </si>
  <si>
    <t>359694275283486</t>
  </si>
  <si>
    <t>60324444</t>
  </si>
  <si>
    <t>979048970</t>
  </si>
  <si>
    <t>048333-003869430</t>
  </si>
  <si>
    <t>27156004</t>
  </si>
  <si>
    <t>MERCEDES DEL ROSARIO CISNEROS ONTANEDA</t>
  </si>
  <si>
    <t>1704080520</t>
  </si>
  <si>
    <t>359862148584162</t>
  </si>
  <si>
    <t>38955389</t>
  </si>
  <si>
    <t>983491285</t>
  </si>
  <si>
    <t>048333-003869458</t>
  </si>
  <si>
    <t>41232204</t>
  </si>
  <si>
    <t>LISSETH YOSSELIN ROMERO VILLEGAS</t>
  </si>
  <si>
    <t>1759658550001</t>
  </si>
  <si>
    <t>863837059709569</t>
  </si>
  <si>
    <t>57918636</t>
  </si>
  <si>
    <t>983094246</t>
  </si>
  <si>
    <t>048333-003869605</t>
  </si>
  <si>
    <t>45397688</t>
  </si>
  <si>
    <t>GLORIA REBECA ZHININ CABRERA</t>
  </si>
  <si>
    <t>0703646661</t>
  </si>
  <si>
    <t>356795951302327</t>
  </si>
  <si>
    <t>62703528</t>
  </si>
  <si>
    <t>987175791</t>
  </si>
  <si>
    <t>048333-003869676</t>
  </si>
  <si>
    <t>38014905</t>
  </si>
  <si>
    <t>CESAR MARCELO VAZQUEZ SERRANO</t>
  </si>
  <si>
    <t>0101412773</t>
  </si>
  <si>
    <t>359694275328307</t>
  </si>
  <si>
    <t>50159285</t>
  </si>
  <si>
    <t>984796938</t>
  </si>
  <si>
    <t>048333-003869765</t>
  </si>
  <si>
    <t>40629530</t>
  </si>
  <si>
    <t>VALERIA KAROLINA ORTIZ ONCE</t>
  </si>
  <si>
    <t>1400959258</t>
  </si>
  <si>
    <t>352429892571691</t>
  </si>
  <si>
    <t>56563755</t>
  </si>
  <si>
    <t>048333-003869785</t>
  </si>
  <si>
    <t>63031543</t>
  </si>
  <si>
    <t>987028366</t>
  </si>
  <si>
    <t>048333-003869823</t>
  </si>
  <si>
    <t>28694771</t>
  </si>
  <si>
    <t>CAMARA DE INDUSTRIAS PRODUCCION Y EMPLEO</t>
  </si>
  <si>
    <t>0190120473001</t>
  </si>
  <si>
    <t>353842195021173</t>
  </si>
  <si>
    <t>63031669</t>
  </si>
  <si>
    <t>048333-003869828</t>
  </si>
  <si>
    <t>63031559</t>
  </si>
  <si>
    <t>048333-003869887</t>
  </si>
  <si>
    <t>63031674</t>
  </si>
  <si>
    <t>998235046</t>
  </si>
  <si>
    <t>048333-003869954</t>
  </si>
  <si>
    <t>353842195020308</t>
  </si>
  <si>
    <t>56457106</t>
  </si>
  <si>
    <t>P0151</t>
  </si>
  <si>
    <t>PREVIOPAGO PLAN MOVISTAR DIAMOND PLUS</t>
  </si>
  <si>
    <t>983245193</t>
  </si>
  <si>
    <t>048333-003870007</t>
  </si>
  <si>
    <t>42162341</t>
  </si>
  <si>
    <t>PABLO MAURICIO VERGARA VARGAS</t>
  </si>
  <si>
    <t>1718349028</t>
  </si>
  <si>
    <t>355108340299199</t>
  </si>
  <si>
    <t>59145793</t>
  </si>
  <si>
    <t>992631919</t>
  </si>
  <si>
    <t>048333-003870032</t>
  </si>
  <si>
    <t>41794399</t>
  </si>
  <si>
    <t>KARLA VANESSA TOALA VIVAR</t>
  </si>
  <si>
    <t>1725027815</t>
  </si>
  <si>
    <t>866184061858036</t>
  </si>
  <si>
    <t>58753807</t>
  </si>
  <si>
    <t>984983089</t>
  </si>
  <si>
    <t>048333-003870151</t>
  </si>
  <si>
    <t>26874087</t>
  </si>
  <si>
    <t>JORGE RAMIRO ANDAGUA JAYA</t>
  </si>
  <si>
    <t>1714629076</t>
  </si>
  <si>
    <t>352177398815316</t>
  </si>
  <si>
    <t>26944636</t>
  </si>
  <si>
    <t>962910636</t>
  </si>
  <si>
    <t>048333-003870176</t>
  </si>
  <si>
    <t>36642268</t>
  </si>
  <si>
    <t>JANNETH JESENIA LIGÑA QUISHPE</t>
  </si>
  <si>
    <t>1715615678</t>
  </si>
  <si>
    <t>359694275289459</t>
  </si>
  <si>
    <t>63033191</t>
  </si>
  <si>
    <t>998262299</t>
  </si>
  <si>
    <t>048333-003870377</t>
  </si>
  <si>
    <t>32525671</t>
  </si>
  <si>
    <t>LUIS ENRIQUE ORTIZ CUN</t>
  </si>
  <si>
    <t>0702138009</t>
  </si>
  <si>
    <t>359694275284443</t>
  </si>
  <si>
    <t>35246719</t>
  </si>
  <si>
    <t>959240862</t>
  </si>
  <si>
    <t>048333-003870439</t>
  </si>
  <si>
    <t>43009835</t>
  </si>
  <si>
    <t>JAIME BOLIVAR FAREZ GUACHICHULLCA</t>
  </si>
  <si>
    <t>0102063757001</t>
  </si>
  <si>
    <t>352755852597593</t>
  </si>
  <si>
    <t>60091566</t>
  </si>
  <si>
    <t>984268940</t>
  </si>
  <si>
    <t>048333-003870576</t>
  </si>
  <si>
    <t>23073572</t>
  </si>
  <si>
    <t>CATALINA ELIANOR SIGUENZA INGAVELEZ</t>
  </si>
  <si>
    <t>0301166039</t>
  </si>
  <si>
    <t>356795951374128</t>
  </si>
  <si>
    <t>21878421</t>
  </si>
  <si>
    <t>992942604</t>
  </si>
  <si>
    <t>048333-003870818</t>
  </si>
  <si>
    <t>15882172</t>
  </si>
  <si>
    <t>355108340299892</t>
  </si>
  <si>
    <t>17256642</t>
  </si>
  <si>
    <t>987687605</t>
  </si>
  <si>
    <t>048333-003870851</t>
  </si>
  <si>
    <t>33345348</t>
  </si>
  <si>
    <t>PIEDAD DEL CONSUELO CARRERA RODRIGUEZ</t>
  </si>
  <si>
    <t>1710081611</t>
  </si>
  <si>
    <t>LTE HONOR X7 AZUL CH31707</t>
  </si>
  <si>
    <t>869937054140499</t>
  </si>
  <si>
    <t>HONOR X7</t>
  </si>
  <si>
    <t>36418144</t>
  </si>
  <si>
    <t>162437</t>
  </si>
  <si>
    <t>LTE HONOR X7 AZUL</t>
  </si>
  <si>
    <t>984127416</t>
  </si>
  <si>
    <t>048333-003870892</t>
  </si>
  <si>
    <t>30648052</t>
  </si>
  <si>
    <t>KEVIN GEOVANNY CHULDE ASCARIBAY</t>
  </si>
  <si>
    <t>0106528144</t>
  </si>
  <si>
    <t>351338912482931</t>
  </si>
  <si>
    <t>32623257</t>
  </si>
  <si>
    <t>983726792</t>
  </si>
  <si>
    <t>048333-003871012</t>
  </si>
  <si>
    <t>44224887</t>
  </si>
  <si>
    <t>LUIS OVIDIO OJEDA HERRERA OJEDA HERRERA</t>
  </si>
  <si>
    <t>1706887047</t>
  </si>
  <si>
    <t>869937054132165</t>
  </si>
  <si>
    <t>61437301</t>
  </si>
  <si>
    <t>980238171</t>
  </si>
  <si>
    <t>048333-003871089</t>
  </si>
  <si>
    <t>39645625</t>
  </si>
  <si>
    <t>FERNANDO PATRICIO ILLESCAS LLAPA</t>
  </si>
  <si>
    <t>0103014825</t>
  </si>
  <si>
    <t>869113065709306</t>
  </si>
  <si>
    <t>54201159</t>
  </si>
  <si>
    <t>962650785</t>
  </si>
  <si>
    <t>048333-003871184</t>
  </si>
  <si>
    <t>41206240</t>
  </si>
  <si>
    <t>GEOVANNY XAVIER ARIAS ORELLANA</t>
  </si>
  <si>
    <t>0103047395</t>
  </si>
  <si>
    <t>356795951397285</t>
  </si>
  <si>
    <t>57861751</t>
  </si>
  <si>
    <t>963838210</t>
  </si>
  <si>
    <t>048333-003871536</t>
  </si>
  <si>
    <t>45010388</t>
  </si>
  <si>
    <t>MARIA JOSE REVELO MOSQUERA</t>
  </si>
  <si>
    <t>1720404803</t>
  </si>
  <si>
    <t>866184060682981</t>
  </si>
  <si>
    <t>62317988</t>
  </si>
  <si>
    <t>987263470</t>
  </si>
  <si>
    <t>048333-003871566</t>
  </si>
  <si>
    <t>25578162</t>
  </si>
  <si>
    <t>MARGARITA ELENA TORRES LLANO</t>
  </si>
  <si>
    <t>1500608094</t>
  </si>
  <si>
    <t>355108340298928</t>
  </si>
  <si>
    <t>25196858</t>
  </si>
  <si>
    <t>048333-003871597</t>
  </si>
  <si>
    <t>63038171</t>
  </si>
  <si>
    <t>048333-003871631</t>
  </si>
  <si>
    <t>63037807</t>
  </si>
  <si>
    <t>048333-003871657</t>
  </si>
  <si>
    <t>63038268</t>
  </si>
  <si>
    <t>048333-003871700</t>
  </si>
  <si>
    <t>63038042</t>
  </si>
  <si>
    <t>992929767</t>
  </si>
  <si>
    <t>048333-003871752</t>
  </si>
  <si>
    <t>42061879</t>
  </si>
  <si>
    <t>ANDREA ESTEFANIA CATAÑA NARANJO</t>
  </si>
  <si>
    <t>1723605190</t>
  </si>
  <si>
    <t>359862147394183</t>
  </si>
  <si>
    <t>59038693</t>
  </si>
  <si>
    <t>998849670</t>
  </si>
  <si>
    <t>048333-003871797</t>
  </si>
  <si>
    <t>45496159</t>
  </si>
  <si>
    <t>AIT APPLE AIRPODS 3RD GEN</t>
  </si>
  <si>
    <t>139999372440039</t>
  </si>
  <si>
    <t>APPLE AIRPODS 3RD GEN</t>
  </si>
  <si>
    <t>62809905</t>
  </si>
  <si>
    <t>NAE104676</t>
  </si>
  <si>
    <t>SALESLAND CONDADO (MENA MARIA)</t>
  </si>
  <si>
    <t>162518</t>
  </si>
  <si>
    <t>994507069</t>
  </si>
  <si>
    <t>048333-003871831</t>
  </si>
  <si>
    <t>32405600</t>
  </si>
  <si>
    <t>JUAN JOSE SARMIENTO RAMOS</t>
  </si>
  <si>
    <t>0101671378</t>
  </si>
  <si>
    <t>359694275330659</t>
  </si>
  <si>
    <t>57385334</t>
  </si>
  <si>
    <t>048333-003871865</t>
  </si>
  <si>
    <t>NOKIA G10</t>
  </si>
  <si>
    <t>63038690</t>
  </si>
  <si>
    <t>162340</t>
  </si>
  <si>
    <t>LTE NOKIA G10 AZUL</t>
  </si>
  <si>
    <t>979200063</t>
  </si>
  <si>
    <t>048333-003872056</t>
  </si>
  <si>
    <t>44728633</t>
  </si>
  <si>
    <t>LUIS DANILO MINAS GUASCAL</t>
  </si>
  <si>
    <t>1714350368</t>
  </si>
  <si>
    <t>355108340301326</t>
  </si>
  <si>
    <t>61989178</t>
  </si>
  <si>
    <t>048333-003872072</t>
  </si>
  <si>
    <t>45713279</t>
  </si>
  <si>
    <t>DAYANA LIZETH MAÑAY CARRILLO</t>
  </si>
  <si>
    <t>1754367660</t>
  </si>
  <si>
    <t>353842197669920</t>
  </si>
  <si>
    <t>998377717</t>
  </si>
  <si>
    <t>048333-003872083</t>
  </si>
  <si>
    <t>22539594</t>
  </si>
  <si>
    <t>MAYRA KARLA ZAMORA PELAEZ</t>
  </si>
  <si>
    <t>0704167691</t>
  </si>
  <si>
    <t>866184061818600</t>
  </si>
  <si>
    <t>21252352</t>
  </si>
  <si>
    <t>048333-003872139</t>
  </si>
  <si>
    <t>63039886</t>
  </si>
  <si>
    <t>048333-003872163</t>
  </si>
  <si>
    <t>41863267</t>
  </si>
  <si>
    <t>SANTIAGO NICOLAS LOBATO RUIZ</t>
  </si>
  <si>
    <t>359694275281654</t>
  </si>
  <si>
    <t>048333-003872193</t>
  </si>
  <si>
    <t>45713789</t>
  </si>
  <si>
    <t>OSWALDO DAVID LEDESMA CHAVEZ</t>
  </si>
  <si>
    <t>0201804671</t>
  </si>
  <si>
    <t>357321213166746</t>
  </si>
  <si>
    <t>357321213139065</t>
  </si>
  <si>
    <t>987027814</t>
  </si>
  <si>
    <t>048333-003872287</t>
  </si>
  <si>
    <t>41738501</t>
  </si>
  <si>
    <t>LUIS ALVIN YANGORA SAANT</t>
  </si>
  <si>
    <t>1401122377</t>
  </si>
  <si>
    <t>868214061212062</t>
  </si>
  <si>
    <t>61122190</t>
  </si>
  <si>
    <t>999056256</t>
  </si>
  <si>
    <t>048333-003872382</t>
  </si>
  <si>
    <t>38168522</t>
  </si>
  <si>
    <t>CLAUDIO FERNANDO JARA RIVERA</t>
  </si>
  <si>
    <t>0102275047</t>
  </si>
  <si>
    <t>350331801516803</t>
  </si>
  <si>
    <t>50497331</t>
  </si>
  <si>
    <t>987432564</t>
  </si>
  <si>
    <t>048333-003872405</t>
  </si>
  <si>
    <t>45715257</t>
  </si>
  <si>
    <t>GALO FERNANDO ALARCON MONSALVE</t>
  </si>
  <si>
    <t>1713144960</t>
  </si>
  <si>
    <t>353842195066145</t>
  </si>
  <si>
    <t>63041865</t>
  </si>
  <si>
    <t>999905889</t>
  </si>
  <si>
    <t>048333-003872460</t>
  </si>
  <si>
    <t>41588320</t>
  </si>
  <si>
    <t>ELIZABETH STEFANIA ARIAS SAA</t>
  </si>
  <si>
    <t>1721593745</t>
  </si>
  <si>
    <t>355108340309444</t>
  </si>
  <si>
    <t>58566984</t>
  </si>
  <si>
    <t>984325585</t>
  </si>
  <si>
    <t>048333-003872526</t>
  </si>
  <si>
    <t>43850850</t>
  </si>
  <si>
    <t>SERVIO JAIME FUELAGAN IPIAL</t>
  </si>
  <si>
    <t>1758903650</t>
  </si>
  <si>
    <t>354379559491113</t>
  </si>
  <si>
    <t>61021430</t>
  </si>
  <si>
    <t>048333-003872690</t>
  </si>
  <si>
    <t>63042649</t>
  </si>
  <si>
    <t>998019497</t>
  </si>
  <si>
    <t>048333-003872831</t>
  </si>
  <si>
    <t>39710882</t>
  </si>
  <si>
    <t>WALTER EDMUNDO PACHECO PUENTE</t>
  </si>
  <si>
    <t>1714544952001</t>
  </si>
  <si>
    <t>869937054132546</t>
  </si>
  <si>
    <t>54339301</t>
  </si>
  <si>
    <t>979372921</t>
  </si>
  <si>
    <t>048333-003872860</t>
  </si>
  <si>
    <t>32356605</t>
  </si>
  <si>
    <t>ZOILA LILIAN FREIRE ERAZO</t>
  </si>
  <si>
    <t>1709901597</t>
  </si>
  <si>
    <t>353981764901389</t>
  </si>
  <si>
    <t>34424362</t>
  </si>
  <si>
    <t>048333-003872915</t>
  </si>
  <si>
    <t>34540036</t>
  </si>
  <si>
    <t>MARCO VINICIO TAMAYO ESPIN</t>
  </si>
  <si>
    <t>1704104882</t>
  </si>
  <si>
    <t>355108340299181</t>
  </si>
  <si>
    <t>984247084</t>
  </si>
  <si>
    <t>048333-003873032</t>
  </si>
  <si>
    <t>42119032</t>
  </si>
  <si>
    <t>JUAN CARLOS CACHIPUENDO CUALCHI</t>
  </si>
  <si>
    <t>1713238028</t>
  </si>
  <si>
    <t>352286990938416</t>
  </si>
  <si>
    <t>59101025</t>
  </si>
  <si>
    <t>048333-003873036</t>
  </si>
  <si>
    <t>44019241</t>
  </si>
  <si>
    <t>LUIS ALFREDO GARZON AGUIRRE</t>
  </si>
  <si>
    <t>866184060681561</t>
  </si>
  <si>
    <t>987996441</t>
  </si>
  <si>
    <t>048333-003873226</t>
  </si>
  <si>
    <t>41685003</t>
  </si>
  <si>
    <t>MARIA MERCEDES VIVERO GORDILLO</t>
  </si>
  <si>
    <t>1001007390</t>
  </si>
  <si>
    <t>869113065751266</t>
  </si>
  <si>
    <t>58635292</t>
  </si>
  <si>
    <t>048333-003873314</t>
  </si>
  <si>
    <t>15970313</t>
  </si>
  <si>
    <t>FANNY FABIOLA ALMAGRO RUIZ</t>
  </si>
  <si>
    <t>355108340320169</t>
  </si>
  <si>
    <t>048333-003873355</t>
  </si>
  <si>
    <t>32553580</t>
  </si>
  <si>
    <t>VILMA JANETH OLOVACHA CHIPANTIZA</t>
  </si>
  <si>
    <t>1803133337</t>
  </si>
  <si>
    <t>358742571274773</t>
  </si>
  <si>
    <t>969063350</t>
  </si>
  <si>
    <t>048333-003873388</t>
  </si>
  <si>
    <t>862800060812880</t>
  </si>
  <si>
    <t>31960734</t>
  </si>
  <si>
    <t>999737891</t>
  </si>
  <si>
    <t>048333-003873465</t>
  </si>
  <si>
    <t>39356411</t>
  </si>
  <si>
    <t>DELIA ALBERTINA DAGUA VARGAS</t>
  </si>
  <si>
    <t>1600773541</t>
  </si>
  <si>
    <t>359694275330170</t>
  </si>
  <si>
    <t>54899548</t>
  </si>
  <si>
    <t>048333-003873469</t>
  </si>
  <si>
    <t>869113065613680</t>
  </si>
  <si>
    <t>958634259</t>
  </si>
  <si>
    <t>048333-003873580</t>
  </si>
  <si>
    <t>38183961</t>
  </si>
  <si>
    <t>Luis Alberto Viteri Espin</t>
  </si>
  <si>
    <t>0931052260</t>
  </si>
  <si>
    <t>866184061821869</t>
  </si>
  <si>
    <t>50534183</t>
  </si>
  <si>
    <t>995640603</t>
  </si>
  <si>
    <t>048333-003873600</t>
  </si>
  <si>
    <t>34186813</t>
  </si>
  <si>
    <t>JORGE ANIBAL DEFAZ TOAPANTA</t>
  </si>
  <si>
    <t>0502560980</t>
  </si>
  <si>
    <t>355108340318270</t>
  </si>
  <si>
    <t>56412508</t>
  </si>
  <si>
    <t>987057148</t>
  </si>
  <si>
    <t>048333-003873692</t>
  </si>
  <si>
    <t>32295031</t>
  </si>
  <si>
    <t>LIGIA ELENA YASELGA YACELGA</t>
  </si>
  <si>
    <t>1003298104</t>
  </si>
  <si>
    <t>356795950574207</t>
  </si>
  <si>
    <t>56895696</t>
  </si>
  <si>
    <t>962982989</t>
  </si>
  <si>
    <t>048333-003873701</t>
  </si>
  <si>
    <t>43201513</t>
  </si>
  <si>
    <t>JIMMY WILFRIDO GALLEGOS AYALA</t>
  </si>
  <si>
    <t>1718349820</t>
  </si>
  <si>
    <t>350302398157848</t>
  </si>
  <si>
    <t>60297890</t>
  </si>
  <si>
    <t>998391230</t>
  </si>
  <si>
    <t>048333-003874002</t>
  </si>
  <si>
    <t>41077879</t>
  </si>
  <si>
    <t>CONSUELO GUADALUPE ESPINOSA MORALES</t>
  </si>
  <si>
    <t>1702898923</t>
  </si>
  <si>
    <t>358330275362217</t>
  </si>
  <si>
    <t>57603645</t>
  </si>
  <si>
    <t>983342729</t>
  </si>
  <si>
    <t>048333-003874017</t>
  </si>
  <si>
    <t>44217656</t>
  </si>
  <si>
    <t>KATHERINE LIZBETH MEDINA PALMA</t>
  </si>
  <si>
    <t>1753806015</t>
  </si>
  <si>
    <t>359694275329602</t>
  </si>
  <si>
    <t>61429383</t>
  </si>
  <si>
    <t>987153002</t>
  </si>
  <si>
    <t>048333-003874018</t>
  </si>
  <si>
    <t>34023549</t>
  </si>
  <si>
    <t>RODOLFO GEOVANNI CATAGÑA TUSA</t>
  </si>
  <si>
    <t>1714361753</t>
  </si>
  <si>
    <t>354911551724495</t>
  </si>
  <si>
    <t>37695373</t>
  </si>
  <si>
    <t>983868722</t>
  </si>
  <si>
    <t>048333-003874039</t>
  </si>
  <si>
    <t>27347208</t>
  </si>
  <si>
    <t>MARIA ELENA JAGUACO BONIFA</t>
  </si>
  <si>
    <t>1717130395</t>
  </si>
  <si>
    <t>359694275284401</t>
  </si>
  <si>
    <t>27654465</t>
  </si>
  <si>
    <t>999808681</t>
  </si>
  <si>
    <t>048333-003874069</t>
  </si>
  <si>
    <t>27914087</t>
  </si>
  <si>
    <t>ALEXANDRA ERNESTINA GUERRA TORRES</t>
  </si>
  <si>
    <t>1712151602</t>
  </si>
  <si>
    <t>359675692711738</t>
  </si>
  <si>
    <t>28443562</t>
  </si>
  <si>
    <t>983413384</t>
  </si>
  <si>
    <t>048333-003874170</t>
  </si>
  <si>
    <t>45721707</t>
  </si>
  <si>
    <t>DIANA ALEXANDRA TASHIGUANO MOROCHO</t>
  </si>
  <si>
    <t>1716219611</t>
  </si>
  <si>
    <t>355108340301300</t>
  </si>
  <si>
    <t>63048621</t>
  </si>
  <si>
    <t>984660278</t>
  </si>
  <si>
    <t>048333-003874192</t>
  </si>
  <si>
    <t>41930102</t>
  </si>
  <si>
    <t>MARCO VINICIO SOCASI SANGOQUIZA</t>
  </si>
  <si>
    <t>1713561106</t>
  </si>
  <si>
    <t>865954061383727</t>
  </si>
  <si>
    <t>58903020</t>
  </si>
  <si>
    <t>998236155</t>
  </si>
  <si>
    <t>048333-003874243</t>
  </si>
  <si>
    <t>42273518</t>
  </si>
  <si>
    <t>MARCO RODOLFO FREIRE SOLIS</t>
  </si>
  <si>
    <t>1706347463</t>
  </si>
  <si>
    <t>351084957811697</t>
  </si>
  <si>
    <t>59269042</t>
  </si>
  <si>
    <t>048333-003874247</t>
  </si>
  <si>
    <t>23780950</t>
  </si>
  <si>
    <t>VICTORIA NARCISA RAMOS CALVOPIÑA</t>
  </si>
  <si>
    <t>1719395293</t>
  </si>
  <si>
    <t>359694275287131</t>
  </si>
  <si>
    <t>048333-003874535</t>
  </si>
  <si>
    <t>42689618</t>
  </si>
  <si>
    <t>MONICA VIVIANA DIAZ GUANOLUISA</t>
  </si>
  <si>
    <t>354911551806672</t>
  </si>
  <si>
    <t>999954438</t>
  </si>
  <si>
    <t>048333-003874460</t>
  </si>
  <si>
    <t>45377268</t>
  </si>
  <si>
    <t>PAUL HERNAN REINOSO ORTEGA</t>
  </si>
  <si>
    <t>1713233151</t>
  </si>
  <si>
    <t>869113065697980</t>
  </si>
  <si>
    <t>62682010</t>
  </si>
  <si>
    <t>998084777</t>
  </si>
  <si>
    <t>048333-003874550</t>
  </si>
  <si>
    <t>45308663</t>
  </si>
  <si>
    <t>CARMEN XIMENA DE JESUS SANCHEZ</t>
  </si>
  <si>
    <t>1718272295</t>
  </si>
  <si>
    <t>353842190617561</t>
  </si>
  <si>
    <t>63050066</t>
  </si>
  <si>
    <t>995725918</t>
  </si>
  <si>
    <t>NOTA DE CREDITO</t>
  </si>
  <si>
    <t>056332-000189326</t>
  </si>
  <si>
    <t>048333-003757216</t>
  </si>
  <si>
    <t>45332694</t>
  </si>
  <si>
    <t>GRACIELA BEATRIZ ROMERO CAIZA</t>
  </si>
  <si>
    <t>1600120925</t>
  </si>
  <si>
    <t>355108340392168</t>
  </si>
  <si>
    <t>62635667</t>
  </si>
  <si>
    <t>PORTAL COMERCIAL</t>
  </si>
  <si>
    <t>958634699</t>
  </si>
  <si>
    <t>170331-000007792</t>
  </si>
  <si>
    <t>048333-003794088</t>
  </si>
  <si>
    <t>15518619</t>
  </si>
  <si>
    <t>JUAN CARLOS PEREZ SALAS</t>
  </si>
  <si>
    <t>1717723090</t>
  </si>
  <si>
    <t>355108340391400</t>
  </si>
  <si>
    <t>57791470</t>
  </si>
  <si>
    <t>CAVS QUICENTRO</t>
  </si>
  <si>
    <t>983305064</t>
  </si>
  <si>
    <t>056332-000188150</t>
  </si>
  <si>
    <t>048333-003821412</t>
  </si>
  <si>
    <t>38076024</t>
  </si>
  <si>
    <t>RENNE PATRICIO MERA MIRANDA</t>
  </si>
  <si>
    <t>1709025637</t>
  </si>
  <si>
    <t>351338912444261</t>
  </si>
  <si>
    <t>55897297</t>
  </si>
  <si>
    <t>996172246</t>
  </si>
  <si>
    <t>056332-000188189</t>
  </si>
  <si>
    <t>048333-003838750</t>
  </si>
  <si>
    <t>30021236</t>
  </si>
  <si>
    <t>353514358068578</t>
  </si>
  <si>
    <t>31495293</t>
  </si>
  <si>
    <t>995983301</t>
  </si>
  <si>
    <t>048333-003861002</t>
  </si>
  <si>
    <t>34110777</t>
  </si>
  <si>
    <t>JENNY PATRICIA ALMEIDA PERUGACHI</t>
  </si>
  <si>
    <t>1718590530</t>
  </si>
  <si>
    <t>356795951169890</t>
  </si>
  <si>
    <t>35305742</t>
  </si>
  <si>
    <t>999974675</t>
  </si>
  <si>
    <t>048333-003866414</t>
  </si>
  <si>
    <t>31883442</t>
  </si>
  <si>
    <t>MANUEL PILA REQUEIRO</t>
  </si>
  <si>
    <t>0107091811</t>
  </si>
  <si>
    <t>865954062572500</t>
  </si>
  <si>
    <t>34376440</t>
  </si>
  <si>
    <t>048333-003844651</t>
  </si>
  <si>
    <t>42070743</t>
  </si>
  <si>
    <t>PAYJOY ECUADOR S.A.S</t>
  </si>
  <si>
    <t>1793087353001</t>
  </si>
  <si>
    <t>357321213171886</t>
  </si>
  <si>
    <t>62942679</t>
  </si>
  <si>
    <t>PAYJOY</t>
  </si>
  <si>
    <t>FINANCIAMIENTO PAYJOY</t>
  </si>
  <si>
    <t>048333-003844782</t>
  </si>
  <si>
    <t>352177399166909</t>
  </si>
  <si>
    <t>62943000</t>
  </si>
  <si>
    <t>048333-003844889</t>
  </si>
  <si>
    <t>350068480541484</t>
  </si>
  <si>
    <t>62943323</t>
  </si>
  <si>
    <t>048333-003845035</t>
  </si>
  <si>
    <t>351084952901329</t>
  </si>
  <si>
    <t>62943893</t>
  </si>
  <si>
    <t>048333-003846780</t>
  </si>
  <si>
    <t>358742571307516</t>
  </si>
  <si>
    <t>62948907</t>
  </si>
  <si>
    <t>048333-003847375</t>
  </si>
  <si>
    <t>356795951139992</t>
  </si>
  <si>
    <t>62951274</t>
  </si>
  <si>
    <t>048333-003847568</t>
  </si>
  <si>
    <t>354379559476585</t>
  </si>
  <si>
    <t>62951772</t>
  </si>
  <si>
    <t>048333-003847764</t>
  </si>
  <si>
    <t>866184060680522</t>
  </si>
  <si>
    <t>62952344</t>
  </si>
  <si>
    <t>048333-003847849</t>
  </si>
  <si>
    <t>359694275282538</t>
  </si>
  <si>
    <t>62952594</t>
  </si>
  <si>
    <t>048333-003847936</t>
  </si>
  <si>
    <t>356795951300255</t>
  </si>
  <si>
    <t>62952810</t>
  </si>
  <si>
    <t>048333-003848865</t>
  </si>
  <si>
    <t>864331068689342</t>
  </si>
  <si>
    <t>62956681</t>
  </si>
  <si>
    <t>048333-003850275</t>
  </si>
  <si>
    <t>350068480693574</t>
  </si>
  <si>
    <t>62961699</t>
  </si>
  <si>
    <t>048333-003850501</t>
  </si>
  <si>
    <t>862800063002117</t>
  </si>
  <si>
    <t>62962217</t>
  </si>
  <si>
    <t>048333-003850536</t>
  </si>
  <si>
    <t>866184060684235</t>
  </si>
  <si>
    <t>62962326</t>
  </si>
  <si>
    <t>048333-003850976</t>
  </si>
  <si>
    <t>356795951172050</t>
  </si>
  <si>
    <t>62963286</t>
  </si>
  <si>
    <t>987056913</t>
  </si>
  <si>
    <t>048333-003851711</t>
  </si>
  <si>
    <t>45483883</t>
  </si>
  <si>
    <t>359694275286984</t>
  </si>
  <si>
    <t>62796814</t>
  </si>
  <si>
    <t>048333-003851739</t>
  </si>
  <si>
    <t>356795951217467</t>
  </si>
  <si>
    <t>048333-003852118</t>
  </si>
  <si>
    <t>352286990938259</t>
  </si>
  <si>
    <t>62967810</t>
  </si>
  <si>
    <t>048333-003852202</t>
  </si>
  <si>
    <t>862800061028569</t>
  </si>
  <si>
    <t>62968160</t>
  </si>
  <si>
    <t>048333-003852238</t>
  </si>
  <si>
    <t>866184060701898</t>
  </si>
  <si>
    <t>62968263</t>
  </si>
  <si>
    <t>048333-003852249</t>
  </si>
  <si>
    <t>866184060680563</t>
  </si>
  <si>
    <t>62968311</t>
  </si>
  <si>
    <t>048333-003853132</t>
  </si>
  <si>
    <t>864050068827286</t>
  </si>
  <si>
    <t>62970371</t>
  </si>
  <si>
    <t>048333-003853201</t>
  </si>
  <si>
    <t>866184060680340</t>
  </si>
  <si>
    <t>048333-003854106</t>
  </si>
  <si>
    <t>352286990939281</t>
  </si>
  <si>
    <t>62974951</t>
  </si>
  <si>
    <t>048333-003855596</t>
  </si>
  <si>
    <t>866184060684466</t>
  </si>
  <si>
    <t>62980612</t>
  </si>
  <si>
    <t>048333-003855678</t>
  </si>
  <si>
    <t>LTE SAMSUNG A03 CORE NEGRO CH31095</t>
  </si>
  <si>
    <t>352286991152504</t>
  </si>
  <si>
    <t>62980797</t>
  </si>
  <si>
    <t>162388</t>
  </si>
  <si>
    <t>LTE SAMSUNG A03 CORE NEGRO</t>
  </si>
  <si>
    <t>048333-003856507</t>
  </si>
  <si>
    <t>862800061026506</t>
  </si>
  <si>
    <t>62983024</t>
  </si>
  <si>
    <t>048333-003856749</t>
  </si>
  <si>
    <t>354379559470281</t>
  </si>
  <si>
    <t>62983700</t>
  </si>
  <si>
    <t>048333-003856829</t>
  </si>
  <si>
    <t>352460882782550</t>
  </si>
  <si>
    <t>62983928</t>
  </si>
  <si>
    <t>048333-003858030</t>
  </si>
  <si>
    <t>351084957811259</t>
  </si>
  <si>
    <t>62988532</t>
  </si>
  <si>
    <t>048333-003858458</t>
  </si>
  <si>
    <t>869937052010652</t>
  </si>
  <si>
    <t>62989767</t>
  </si>
  <si>
    <t>048333-003859098</t>
  </si>
  <si>
    <t>358742571307854</t>
  </si>
  <si>
    <t>62991766</t>
  </si>
  <si>
    <t>048333-003859184</t>
  </si>
  <si>
    <t>LTE HONOR X8 NEGRO CH31653</t>
  </si>
  <si>
    <t>864331067611164</t>
  </si>
  <si>
    <t>62992129</t>
  </si>
  <si>
    <t>162433</t>
  </si>
  <si>
    <t>LTE HONOR X8 NEGRO</t>
  </si>
  <si>
    <t>048333-003860088</t>
  </si>
  <si>
    <t>866184060683583</t>
  </si>
  <si>
    <t>62996078</t>
  </si>
  <si>
    <t>048333-003861547</t>
  </si>
  <si>
    <t>351084957812760</t>
  </si>
  <si>
    <t>63004011</t>
  </si>
  <si>
    <t>048333-003862057</t>
  </si>
  <si>
    <t>LTE HONOR X7 NEGRO CH31707</t>
  </si>
  <si>
    <t>869937054623874</t>
  </si>
  <si>
    <t>63005335</t>
  </si>
  <si>
    <t>162436</t>
  </si>
  <si>
    <t>LTE HONOR X7 NEGRO</t>
  </si>
  <si>
    <t>048333-003862342</t>
  </si>
  <si>
    <t>864050069292944</t>
  </si>
  <si>
    <t>63006118</t>
  </si>
  <si>
    <t>048333-003862510</t>
  </si>
  <si>
    <t>357321213174484</t>
  </si>
  <si>
    <t>63006607</t>
  </si>
  <si>
    <t>048333-003863377</t>
  </si>
  <si>
    <t>352286991151282</t>
  </si>
  <si>
    <t>63008975</t>
  </si>
  <si>
    <t>048333-003864278</t>
  </si>
  <si>
    <t>357321213173908</t>
  </si>
  <si>
    <t>63013146</t>
  </si>
  <si>
    <t>048333-003864359</t>
  </si>
  <si>
    <t>352286990939257</t>
  </si>
  <si>
    <t>63013587</t>
  </si>
  <si>
    <t>048333-003864772</t>
  </si>
  <si>
    <t>351084957811093</t>
  </si>
  <si>
    <t>63014553</t>
  </si>
  <si>
    <t>048333-003866609</t>
  </si>
  <si>
    <t>357321213143323</t>
  </si>
  <si>
    <t>63021048</t>
  </si>
  <si>
    <t>048333-003867127</t>
  </si>
  <si>
    <t>359694275290697</t>
  </si>
  <si>
    <t>63022301</t>
  </si>
  <si>
    <t>048333-003867202</t>
  </si>
  <si>
    <t>351084957811770</t>
  </si>
  <si>
    <t>63022524</t>
  </si>
  <si>
    <t>048333-003868279</t>
  </si>
  <si>
    <t>352286990937749</t>
  </si>
  <si>
    <t>63027122</t>
  </si>
  <si>
    <t>048333-003869427</t>
  </si>
  <si>
    <t>357321213172082</t>
  </si>
  <si>
    <t>63030189</t>
  </si>
  <si>
    <t>048333-003869852</t>
  </si>
  <si>
    <t>357321213160327</t>
  </si>
  <si>
    <t>63031771</t>
  </si>
  <si>
    <t>048333-003870919</t>
  </si>
  <si>
    <t>357321213139503</t>
  </si>
  <si>
    <t>63036390</t>
  </si>
  <si>
    <t>048333-003871014</t>
  </si>
  <si>
    <t>352460882788854</t>
  </si>
  <si>
    <t>63036698</t>
  </si>
  <si>
    <t>048333-003871956</t>
  </si>
  <si>
    <t>357321213172405</t>
  </si>
  <si>
    <t>63039209</t>
  </si>
  <si>
    <t>048333-003872032</t>
  </si>
  <si>
    <t>356795951297931</t>
  </si>
  <si>
    <t>63039533</t>
  </si>
  <si>
    <t>048333-003872854</t>
  </si>
  <si>
    <t>352286991373548</t>
  </si>
  <si>
    <t>ESTADO ABONADO</t>
  </si>
  <si>
    <t>FECHA ALTA ABONADO</t>
  </si>
  <si>
    <t>FECHA BAJA ABONADO</t>
  </si>
  <si>
    <t>SUBSEGMENTO</t>
  </si>
  <si>
    <t>CODIGO PLAN</t>
  </si>
  <si>
    <t>DESCRIPCION  PLAN</t>
  </si>
  <si>
    <t>TARIFA BASICA PLAN</t>
  </si>
  <si>
    <t>SLO CONTRATADO</t>
  </si>
  <si>
    <t>DESCRIPCION SLO</t>
  </si>
  <si>
    <t>TARIFA SLO</t>
  </si>
  <si>
    <t>ESTADO SLO</t>
  </si>
  <si>
    <t>FECHA ACTIVACION SLO</t>
  </si>
  <si>
    <t>USUARIO ACTIVACION</t>
  </si>
  <si>
    <t>FECHA PROCESO</t>
  </si>
  <si>
    <t>USUARIO ACTIVACION BONO</t>
  </si>
  <si>
    <t>CANAL COMERCIAL</t>
  </si>
  <si>
    <t>NOMBRE DISTRIBUIDOR</t>
  </si>
  <si>
    <t>NOMBRE PLAZA</t>
  </si>
  <si>
    <t>REGION FINAL</t>
  </si>
  <si>
    <t>TARIFA</t>
  </si>
  <si>
    <t>SS1366</t>
  </si>
  <si>
    <t>PP PAQUETE LLAMADAS ILIMITADAS.</t>
  </si>
  <si>
    <t>ACTIVO</t>
  </si>
  <si>
    <t>958642364</t>
  </si>
  <si>
    <t>SS1367</t>
  </si>
  <si>
    <t>PREVIOPAGO MEGAPACK 3000 MEGAS MES.</t>
  </si>
  <si>
    <t>962961872</t>
  </si>
  <si>
    <t>SS0956</t>
  </si>
  <si>
    <t>MEGAPACK 3000 MEGAS FM MES</t>
  </si>
  <si>
    <t>SS1373</t>
  </si>
  <si>
    <t>PREVIOPAGO MEGAPACK 6000 MEGAS MES.</t>
  </si>
  <si>
    <t>979059159</t>
  </si>
  <si>
    <t>SS0957</t>
  </si>
  <si>
    <t>MEGAPACK 6000 MEGAS FM MES</t>
  </si>
  <si>
    <t>982257438</t>
  </si>
  <si>
    <t>983400019</t>
  </si>
  <si>
    <t>SS1365</t>
  </si>
  <si>
    <t>PAQUETE LLAMADAS ILIMITADAS.</t>
  </si>
  <si>
    <t>983532659</t>
  </si>
  <si>
    <t>984011998</t>
  </si>
  <si>
    <t>984414248</t>
  </si>
  <si>
    <t>987219295</t>
  </si>
  <si>
    <t>987281386</t>
  </si>
  <si>
    <t>P0210</t>
  </si>
  <si>
    <t>PREVIOPAGO PLAN MOVISTAR LIGHT</t>
  </si>
  <si>
    <t>987485317</t>
  </si>
  <si>
    <t>989899126</t>
  </si>
  <si>
    <t>991230006</t>
  </si>
  <si>
    <t>992679415</t>
  </si>
  <si>
    <t>993948537</t>
  </si>
  <si>
    <t>995579386</t>
  </si>
  <si>
    <t>998392782</t>
  </si>
  <si>
    <t>998406170</t>
  </si>
  <si>
    <t>998547228</t>
  </si>
  <si>
    <t>999059873</t>
  </si>
  <si>
    <t>999263151</t>
  </si>
  <si>
    <t>999920967</t>
  </si>
  <si>
    <t>FECHA DESACTIVACION SLO</t>
  </si>
  <si>
    <t>USUARIO DESACTIVACION</t>
  </si>
  <si>
    <t>CANAL COMERCIAL DESACTIVACION</t>
  </si>
  <si>
    <t>TIEMPO ACTIVADO MINUTOS</t>
  </si>
  <si>
    <t>NOM_USUARIO</t>
  </si>
  <si>
    <t>CANAL COMERCIAL ACTIVACION</t>
  </si>
  <si>
    <t>CIUDAD</t>
  </si>
  <si>
    <t>ASISTENCIA</t>
  </si>
  <si>
    <t>UPSS+</t>
  </si>
  <si>
    <t>SEGURIDAD DIGITAL</t>
  </si>
  <si>
    <t>TARIFA ASISTENCIA</t>
  </si>
  <si>
    <t>SS0509</t>
  </si>
  <si>
    <t>PREVIOPAGO COBERTURA UPSS PLUS GOLD</t>
  </si>
  <si>
    <t>JAIRO STEFANO ROSERO CAICEDO</t>
  </si>
  <si>
    <t>SS0994</t>
  </si>
  <si>
    <t>PREVIOPAGO COBERTURA UPSS PLUS SILVE</t>
  </si>
  <si>
    <t>JULIAN ENRIQUE SALVATIERRA GUERRA</t>
  </si>
  <si>
    <t>SS0508</t>
  </si>
  <si>
    <t>COBERTURA UPSS PLUS GOLD</t>
  </si>
  <si>
    <t>JESSICA GABRIELA RODRIGUEZ QUITO</t>
  </si>
  <si>
    <t>JHOSMERY MICHELE ROJAS VEGA</t>
  </si>
  <si>
    <t>PREVIOPAGO PLAN MOVISTAR $16.99 TELEVENTAS</t>
  </si>
  <si>
    <t>DIANA CATALINA  PATIÑO URGILES</t>
  </si>
  <si>
    <t>Tipo transacción</t>
  </si>
  <si>
    <t>Fecha</t>
  </si>
  <si>
    <t>MIN</t>
  </si>
  <si>
    <t>Nombre de paquete</t>
  </si>
  <si>
    <t>Ejecutivo</t>
  </si>
  <si>
    <t>linea_negocio</t>
  </si>
  <si>
    <t>segmento</t>
  </si>
  <si>
    <t>sub_segmento</t>
  </si>
  <si>
    <t>TIENDAS</t>
  </si>
  <si>
    <t>EJECUTIVOS</t>
  </si>
  <si>
    <t>ACTIVACION</t>
  </si>
  <si>
    <t>979148776</t>
  </si>
  <si>
    <t>TV_PLUS</t>
  </si>
  <si>
    <t>HUGO ADRIAN GUACHAMIN CAZA</t>
  </si>
  <si>
    <t>984017193</t>
  </si>
  <si>
    <t>998980486</t>
  </si>
  <si>
    <t>TV_PLUS_ANUAL</t>
  </si>
  <si>
    <t>MARIA DEL PILAR TENORIO AJILA</t>
  </si>
  <si>
    <t>NOMBRE_PLAN</t>
  </si>
  <si>
    <t>ICC</t>
  </si>
  <si>
    <t>SEGMENTO_FIN</t>
  </si>
  <si>
    <t>IND_COMERCIAL</t>
  </si>
  <si>
    <t>COD_CATEGORIA</t>
  </si>
  <si>
    <t>DISTRIBUIDOR</t>
  </si>
  <si>
    <t>DOCUMENTO_CUENTA</t>
  </si>
  <si>
    <t>ALTA_MES</t>
  </si>
  <si>
    <t>COD_DA</t>
  </si>
  <si>
    <t>PROVINCIA_ALTAMIRA</t>
  </si>
  <si>
    <t>CIUDAD_ALTAMIRA</t>
  </si>
  <si>
    <t>PROVINCIA_IVR</t>
  </si>
  <si>
    <t>CIUDAD_ZONI</t>
  </si>
  <si>
    <t>FUENTE</t>
  </si>
  <si>
    <t>OPERADORA_ORIGEN</t>
  </si>
  <si>
    <t>EJECUTIVO_ASIGNADO_PTR</t>
  </si>
  <si>
    <t>AREA_PTR</t>
  </si>
  <si>
    <t>CODIGO_VENDEDOR_DA_PTR</t>
  </si>
  <si>
    <t>JEFATURA_PTR</t>
  </si>
  <si>
    <t>TIPO_CLIENTE</t>
  </si>
  <si>
    <t>NOM_EMAIL</t>
  </si>
  <si>
    <t>PROVINCIA_MS</t>
  </si>
  <si>
    <t>OVERWRITE</t>
  </si>
  <si>
    <t>DESCUENTO</t>
  </si>
  <si>
    <t>CODIGO_USUARIO</t>
  </si>
  <si>
    <t>orden</t>
  </si>
  <si>
    <t>MARCA</t>
  </si>
  <si>
    <t>REGION_PC</t>
  </si>
  <si>
    <t>CAN_COM_F</t>
  </si>
  <si>
    <t>ALTA_REC</t>
  </si>
  <si>
    <t>TIPO FIN</t>
  </si>
  <si>
    <t>999934073</t>
  </si>
  <si>
    <t>63023360</t>
  </si>
  <si>
    <t>45252670</t>
  </si>
  <si>
    <t>AIDA DEL PILAR JACOME PAZMIÑO</t>
  </si>
  <si>
    <t>1707235196</t>
  </si>
  <si>
    <t>546908215429452</t>
  </si>
  <si>
    <t>8959300520561491179</t>
  </si>
  <si>
    <t>NOLION</t>
  </si>
  <si>
    <t>SALESLAND ECUADOR S.A.S.</t>
  </si>
  <si>
    <t>JONATHAN HERNAN CORDOVA GAIBOR</t>
  </si>
  <si>
    <t>JANUS</t>
  </si>
  <si>
    <t>EXISTENTE</t>
  </si>
  <si>
    <t>NOTIENE@telefonica.com</t>
  </si>
  <si>
    <t>NO DEFINIDO</t>
  </si>
  <si>
    <t>0849769033</t>
  </si>
  <si>
    <t>TELEFONICA</t>
  </si>
  <si>
    <t>NO_APLICA</t>
  </si>
  <si>
    <t>999919892</t>
  </si>
  <si>
    <t>62999092</t>
  </si>
  <si>
    <t>306815711762874</t>
  </si>
  <si>
    <t>8959300120522531831</t>
  </si>
  <si>
    <t>NUEVOS PREPAGO</t>
  </si>
  <si>
    <t>ALBERT ANTHONY VALBUENA SANCHEZ</t>
  </si>
  <si>
    <t>PAYITO715ANGELL@YAHOO.ES</t>
  </si>
  <si>
    <t>0848462957</t>
  </si>
  <si>
    <t>999903430</t>
  </si>
  <si>
    <t>63044959</t>
  </si>
  <si>
    <t>42915710</t>
  </si>
  <si>
    <t>GERMANIA GABRIELA GAVILANES GONZAGA</t>
  </si>
  <si>
    <t>1723689624</t>
  </si>
  <si>
    <t>866474154875470</t>
  </si>
  <si>
    <t>8959300520561491963</t>
  </si>
  <si>
    <t>MARIA JOSE SALAS PARRA</t>
  </si>
  <si>
    <t>NUEVO</t>
  </si>
  <si>
    <t>0850983567</t>
  </si>
  <si>
    <t>999878374</t>
  </si>
  <si>
    <t>63000073</t>
  </si>
  <si>
    <t>42830123</t>
  </si>
  <si>
    <t>CLARA YOLANDA LLUMILUISA GUANOLUISA</t>
  </si>
  <si>
    <t>1708770423</t>
  </si>
  <si>
    <t>351153207570187</t>
  </si>
  <si>
    <t>8959300520561492797</t>
  </si>
  <si>
    <t>DAYANNA CAROLINA MEDINA LAPO</t>
  </si>
  <si>
    <t>0848509910</t>
  </si>
  <si>
    <t>999867995</t>
  </si>
  <si>
    <t>62955542</t>
  </si>
  <si>
    <t>17718323</t>
  </si>
  <si>
    <t>VICTORIA BASTIDAS CARMEN</t>
  </si>
  <si>
    <t>1700657487</t>
  </si>
  <si>
    <t>304793928918203</t>
  </si>
  <si>
    <t>8959300120522534397</t>
  </si>
  <si>
    <t>0846047708</t>
  </si>
  <si>
    <t>999860429</t>
  </si>
  <si>
    <t>63055067</t>
  </si>
  <si>
    <t>43047647</t>
  </si>
  <si>
    <t>MONICA JEANNETH VILCASANA YUGCHA</t>
  </si>
  <si>
    <t>1715953079</t>
  </si>
  <si>
    <t>300983203292341</t>
  </si>
  <si>
    <t>8959300520561485338</t>
  </si>
  <si>
    <t>nvilcasa1510@gmail.com</t>
  </si>
  <si>
    <t>0851501676</t>
  </si>
  <si>
    <t>999827849</t>
  </si>
  <si>
    <t>63029001</t>
  </si>
  <si>
    <t>43155886</t>
  </si>
  <si>
    <t>CHRISTOPHER ALEXANDER VEGA ARIAS</t>
  </si>
  <si>
    <t>1725446916</t>
  </si>
  <si>
    <t>520618575357660</t>
  </si>
  <si>
    <t>8959300520561486617</t>
  </si>
  <si>
    <t>KATHERINE ALEJANDRA CRUZ MONTUFAR</t>
  </si>
  <si>
    <t>0850088637</t>
  </si>
  <si>
    <t>999818445</t>
  </si>
  <si>
    <t>62952981</t>
  </si>
  <si>
    <t>45629659</t>
  </si>
  <si>
    <t>BRITISH KRISTEN KRISTEN</t>
  </si>
  <si>
    <t>128200985</t>
  </si>
  <si>
    <t>503234455170776</t>
  </si>
  <si>
    <t>8959300120522533969</t>
  </si>
  <si>
    <t xml:space="preserve"> JONATHAN FABIAN LOAYZA AGUILAR</t>
  </si>
  <si>
    <t>LOQUILLA99@GMAIL.COM</t>
  </si>
  <si>
    <t>0845911079</t>
  </si>
  <si>
    <t>999815553</t>
  </si>
  <si>
    <t>63024935</t>
  </si>
  <si>
    <t>45699608</t>
  </si>
  <si>
    <t>CRISTIAN DAMIAN AÑARUMBA ASHCA</t>
  </si>
  <si>
    <t>0503366825</t>
  </si>
  <si>
    <t>339650519043990</t>
  </si>
  <si>
    <t>8959300520561491328</t>
  </si>
  <si>
    <t>ALEX DANILO CHICAIZA TOAPANTA</t>
  </si>
  <si>
    <t>DF@HOTMAIL.COM</t>
  </si>
  <si>
    <t>0849860125</t>
  </si>
  <si>
    <t>999778921</t>
  </si>
  <si>
    <t>62951916</t>
  </si>
  <si>
    <t>40438698</t>
  </si>
  <si>
    <t>JOSE LEANDRO CRIOLLO ALDAZ</t>
  </si>
  <si>
    <t>1724188444</t>
  </si>
  <si>
    <t>336609362324249</t>
  </si>
  <si>
    <t>8959300120522534330</t>
  </si>
  <si>
    <t>0845858807</t>
  </si>
  <si>
    <t>999768917</t>
  </si>
  <si>
    <t>62997180</t>
  </si>
  <si>
    <t>45183101</t>
  </si>
  <si>
    <t>ILIANA MARCIA GREFA RIVADENEYRA</t>
  </si>
  <si>
    <t>1500483357</t>
  </si>
  <si>
    <t>501793747727331</t>
  </si>
  <si>
    <t>8959300520561492581</t>
  </si>
  <si>
    <t>ale.gug@hotmail.com</t>
  </si>
  <si>
    <t>0848371293</t>
  </si>
  <si>
    <t>999094347</t>
  </si>
  <si>
    <t>62978048</t>
  </si>
  <si>
    <t>45654856</t>
  </si>
  <si>
    <t>SILVIA PATRICIA LINARES</t>
  </si>
  <si>
    <t>F4967463</t>
  </si>
  <si>
    <t>450778529807907</t>
  </si>
  <si>
    <t>8959300120522533373</t>
  </si>
  <si>
    <t>ANGY DAYANA VINUEZA VELASCO</t>
  </si>
  <si>
    <t>silvia123@gmail.com</t>
  </si>
  <si>
    <t>0847287320</t>
  </si>
  <si>
    <t>999056744</t>
  </si>
  <si>
    <t>62982401</t>
  </si>
  <si>
    <t>45016267</t>
  </si>
  <si>
    <t>MONICA DEL CARMEN ANDRADE CHAVEZ</t>
  </si>
  <si>
    <t>1714919972</t>
  </si>
  <si>
    <t>100331548555596</t>
  </si>
  <si>
    <t>8959300120522530932</t>
  </si>
  <si>
    <t>LAURA XIOMARA ESPINOZA MARTINEZ</t>
  </si>
  <si>
    <t>NENA-NAYA@HOTMAIL.COM</t>
  </si>
  <si>
    <t>0847531806</t>
  </si>
  <si>
    <t>999027741</t>
  </si>
  <si>
    <t>63007014</t>
  </si>
  <si>
    <t>20246723</t>
  </si>
  <si>
    <t>493480005426737</t>
  </si>
  <si>
    <t>8959300520561493084</t>
  </si>
  <si>
    <t>kleverzambrano776@gmail.com</t>
  </si>
  <si>
    <t>0848880953</t>
  </si>
  <si>
    <t>999002972</t>
  </si>
  <si>
    <t>62947689</t>
  </si>
  <si>
    <t>45624556</t>
  </si>
  <si>
    <t>ASRAR AHMED .</t>
  </si>
  <si>
    <t>1759687815</t>
  </si>
  <si>
    <t>501660584767805</t>
  </si>
  <si>
    <t>8959300120522528902</t>
  </si>
  <si>
    <t>AHMEDASRAR039@gmail.com</t>
  </si>
  <si>
    <t>0845594171</t>
  </si>
  <si>
    <t>998952540</t>
  </si>
  <si>
    <t>62988917</t>
  </si>
  <si>
    <t>45665605</t>
  </si>
  <si>
    <t>KARINA LILIANA ALOMOTO LIMA</t>
  </si>
  <si>
    <t>1714967567</t>
  </si>
  <si>
    <t>980130460067407</t>
  </si>
  <si>
    <t>8959300520561489934</t>
  </si>
  <si>
    <t>YESSENIA KATHERINE CHAVEZ VASQUEZ</t>
  </si>
  <si>
    <t>0847931731</t>
  </si>
  <si>
    <t>998894699</t>
  </si>
  <si>
    <t>62966475</t>
  </si>
  <si>
    <t>45642671</t>
  </si>
  <si>
    <t>ANDREA CAROLINA GUAMAN LIZANO</t>
  </si>
  <si>
    <t>1727366039</t>
  </si>
  <si>
    <t>534504551237643</t>
  </si>
  <si>
    <t>8959300120522531245</t>
  </si>
  <si>
    <t>feg@hotmail.com</t>
  </si>
  <si>
    <t>0846631116</t>
  </si>
  <si>
    <t>998889865</t>
  </si>
  <si>
    <t>63037546</t>
  </si>
  <si>
    <t>44678943</t>
  </si>
  <si>
    <t>PATRICIO VICENTE DIAZ MASAQUIZA</t>
  </si>
  <si>
    <t>1713746400</t>
  </si>
  <si>
    <t>333500863695224</t>
  </si>
  <si>
    <t>8959300520561486831</t>
  </si>
  <si>
    <t>X@TELEFONICA.COM.EC</t>
  </si>
  <si>
    <t>0850575756</t>
  </si>
  <si>
    <t>998888117</t>
  </si>
  <si>
    <t>62951705</t>
  </si>
  <si>
    <t>34329043</t>
  </si>
  <si>
    <t>MARIANA VICENTA BETANCOURT CAÑAR</t>
  </si>
  <si>
    <t>1102503396</t>
  </si>
  <si>
    <t>456866639601320</t>
  </si>
  <si>
    <t>8959300120522534256</t>
  </si>
  <si>
    <t>0845847299</t>
  </si>
  <si>
    <t>998871068</t>
  </si>
  <si>
    <t>62952024</t>
  </si>
  <si>
    <t>45628710</t>
  </si>
  <si>
    <t>PATRICIA VICTORIA GUANDINANGO FARINANGO</t>
  </si>
  <si>
    <t>1755993753</t>
  </si>
  <si>
    <t>495944262789747</t>
  </si>
  <si>
    <t>8959300120522533860</t>
  </si>
  <si>
    <t>guandinangopatricia@gmail.com</t>
  </si>
  <si>
    <t>0845862068</t>
  </si>
  <si>
    <t>998846995</t>
  </si>
  <si>
    <t>62960475</t>
  </si>
  <si>
    <t>28113986</t>
  </si>
  <si>
    <t>EDISON JAVIER TAPIA MOSQUERA</t>
  </si>
  <si>
    <t>1710734185</t>
  </si>
  <si>
    <t>982892732187630</t>
  </si>
  <si>
    <t>8959300120522531732</t>
  </si>
  <si>
    <t>edisonjtapia@hotmail.com</t>
  </si>
  <si>
    <t>0846304203</t>
  </si>
  <si>
    <t>998845275</t>
  </si>
  <si>
    <t>63008101</t>
  </si>
  <si>
    <t>35406684</t>
  </si>
  <si>
    <t>VERONICA ALEXANDRA CHISAGUANO CAILLAGUA</t>
  </si>
  <si>
    <t>1722759188</t>
  </si>
  <si>
    <t>532064498664096</t>
  </si>
  <si>
    <t>8959300520561486120</t>
  </si>
  <si>
    <t>MICHAEL ALEXANDER ORELLANA CARRERA</t>
  </si>
  <si>
    <t>0848935550</t>
  </si>
  <si>
    <t>998811549</t>
  </si>
  <si>
    <t>63049638</t>
  </si>
  <si>
    <t>45722724</t>
  </si>
  <si>
    <t>HUGO RODRIGO RAZA ALULEMA</t>
  </si>
  <si>
    <t>1710204569</t>
  </si>
  <si>
    <t>530662127538185</t>
  </si>
  <si>
    <t>8959300520561484984</t>
  </si>
  <si>
    <t>notienecorreo@gmail.com</t>
  </si>
  <si>
    <t>0851210611</t>
  </si>
  <si>
    <t>998806904</t>
  </si>
  <si>
    <t>62989683</t>
  </si>
  <si>
    <t>19454477</t>
  </si>
  <si>
    <t>JORGE DE LA CRUZ ESTEVEZ</t>
  </si>
  <si>
    <t>1000643633</t>
  </si>
  <si>
    <t>447184546639298</t>
  </si>
  <si>
    <t>8959300520561490072</t>
  </si>
  <si>
    <t>0847979681</t>
  </si>
  <si>
    <t>998761692</t>
  </si>
  <si>
    <t>62999355</t>
  </si>
  <si>
    <t>41039144</t>
  </si>
  <si>
    <t>BRAYAN GUILLERMO VALIENTE TIPAN</t>
  </si>
  <si>
    <t>1751274174</t>
  </si>
  <si>
    <t>507294580885124</t>
  </si>
  <si>
    <t>8959300520561492672</t>
  </si>
  <si>
    <t>bryan27@gmail.com</t>
  </si>
  <si>
    <t>0848476707</t>
  </si>
  <si>
    <t>998760757</t>
  </si>
  <si>
    <t>63048487</t>
  </si>
  <si>
    <t>45721578</t>
  </si>
  <si>
    <t>MIGUEL ALEJANDRO PEÑAFIEL NUÑEZ</t>
  </si>
  <si>
    <t>1717544280</t>
  </si>
  <si>
    <t>988073642776861</t>
  </si>
  <si>
    <t>8959300520561492367</t>
  </si>
  <si>
    <t>mike27@gmail.com</t>
  </si>
  <si>
    <t>0851158780</t>
  </si>
  <si>
    <t>998756554</t>
  </si>
  <si>
    <t>63004142</t>
  </si>
  <si>
    <t>45680494</t>
  </si>
  <si>
    <t>DAYANARA ELIZABETH UBIDIA CHALA</t>
  </si>
  <si>
    <t>1755877824</t>
  </si>
  <si>
    <t>331884473749593</t>
  </si>
  <si>
    <t>8959300520561493258</t>
  </si>
  <si>
    <t>dayana12@gmail.com</t>
  </si>
  <si>
    <t>0848714163</t>
  </si>
  <si>
    <t>998693026</t>
  </si>
  <si>
    <t>63035867</t>
  </si>
  <si>
    <t>45692172</t>
  </si>
  <si>
    <t>IGNACIO ARELLANO QUIÑONES</t>
  </si>
  <si>
    <t>1716496078</t>
  </si>
  <si>
    <t>998557775436234</t>
  </si>
  <si>
    <t>8959300520561485890</t>
  </si>
  <si>
    <t>NATALIE MENDEZ ORTEGA</t>
  </si>
  <si>
    <t>ignacioarellano20@gmail.com</t>
  </si>
  <si>
    <t>0850471515</t>
  </si>
  <si>
    <t>998639218</t>
  </si>
  <si>
    <t>63048369</t>
  </si>
  <si>
    <t>28909573</t>
  </si>
  <si>
    <t>MARIA ANGELICA GUAMAN CUCHIPE</t>
  </si>
  <si>
    <t>1714021498</t>
  </si>
  <si>
    <t>528316837111197</t>
  </si>
  <si>
    <t>8959300520561492409</t>
  </si>
  <si>
    <t>GENNESIS CAROLINA GUAIGUA REINOSO</t>
  </si>
  <si>
    <t>0851153941</t>
  </si>
  <si>
    <t>998582100</t>
  </si>
  <si>
    <t>63000063</t>
  </si>
  <si>
    <t>39141222</t>
  </si>
  <si>
    <t>IRENE BELEN TOAQUIZA ALTAMIRANO</t>
  </si>
  <si>
    <t>1752335107</t>
  </si>
  <si>
    <t>357428666632395</t>
  </si>
  <si>
    <t>8959300520561492805</t>
  </si>
  <si>
    <t>belenire67@gmail.com.ec</t>
  </si>
  <si>
    <t>0848509168</t>
  </si>
  <si>
    <t>998472205</t>
  </si>
  <si>
    <t>62992226</t>
  </si>
  <si>
    <t>45669001</t>
  </si>
  <si>
    <t>DANIEL ANDRES GRANJA PLAZA</t>
  </si>
  <si>
    <t>1713214359</t>
  </si>
  <si>
    <t>517071961216790</t>
  </si>
  <si>
    <t>8959300120522533597</t>
  </si>
  <si>
    <t>CRISTIAN FABIAN GUEVARA MAZA</t>
  </si>
  <si>
    <t>danielagranjap@hotmail.com</t>
  </si>
  <si>
    <t>0848116970</t>
  </si>
  <si>
    <t>998444024</t>
  </si>
  <si>
    <t>62975831</t>
  </si>
  <si>
    <t>44731185</t>
  </si>
  <si>
    <t>DEJANEIRA STEFANIA BAEZ IZA</t>
  </si>
  <si>
    <t>1752820512</t>
  </si>
  <si>
    <t>447742529100834</t>
  </si>
  <si>
    <t>8959300520561494447</t>
  </si>
  <si>
    <t>0847172565</t>
  </si>
  <si>
    <t>8959300520561492888</t>
  </si>
  <si>
    <t>kelvin14@hotmail.com</t>
  </si>
  <si>
    <t>0848502269</t>
  </si>
  <si>
    <t>998419172</t>
  </si>
  <si>
    <t>62957097</t>
  </si>
  <si>
    <t>45633812</t>
  </si>
  <si>
    <t>BRITANY ANAHI TONATO FLORES</t>
  </si>
  <si>
    <t>1751089564</t>
  </si>
  <si>
    <t>303390237584189</t>
  </si>
  <si>
    <t>8959300120522532342</t>
  </si>
  <si>
    <t>bri04flores@hotmail.com</t>
  </si>
  <si>
    <t>0846126229</t>
  </si>
  <si>
    <t>998404582</t>
  </si>
  <si>
    <t>62997179</t>
  </si>
  <si>
    <t>440910077456687</t>
  </si>
  <si>
    <t>8959300520561492565</t>
  </si>
  <si>
    <t>998241121</t>
  </si>
  <si>
    <t>62991291</t>
  </si>
  <si>
    <t>40057545</t>
  </si>
  <si>
    <t>VILMA EDITA GUTIERREZ DE DAVALOS</t>
  </si>
  <si>
    <t>c0914521</t>
  </si>
  <si>
    <t>990593327721367</t>
  </si>
  <si>
    <t>8959300120522533696</t>
  </si>
  <si>
    <t>vegutierrezb@yahoo.com</t>
  </si>
  <si>
    <t>0848071640</t>
  </si>
  <si>
    <t>998231466</t>
  </si>
  <si>
    <t>62991120</t>
  </si>
  <si>
    <t>44779555</t>
  </si>
  <si>
    <t>ERICK PAUL CRUZ DE LA CRUZ</t>
  </si>
  <si>
    <t>1725981425</t>
  </si>
  <si>
    <t>307372087970664</t>
  </si>
  <si>
    <t>8959300520561490429</t>
  </si>
  <si>
    <t>0848062773</t>
  </si>
  <si>
    <t>998213541</t>
  </si>
  <si>
    <t>62977338</t>
  </si>
  <si>
    <t>45654177</t>
  </si>
  <si>
    <t>BRYAN ALEXANDER LOPEZ DIAZ</t>
  </si>
  <si>
    <t>1726486325</t>
  </si>
  <si>
    <t>541353216776251</t>
  </si>
  <si>
    <t>8959300520561494280</t>
  </si>
  <si>
    <t>sdsc@hotmail.com</t>
  </si>
  <si>
    <t>0847253335</t>
  </si>
  <si>
    <t>8959300520561485023</t>
  </si>
  <si>
    <t>XIMECDJS@HOTMAIL.COM</t>
  </si>
  <si>
    <t>0851227415</t>
  </si>
  <si>
    <t>998008634</t>
  </si>
  <si>
    <t>63037579</t>
  </si>
  <si>
    <t>44734910</t>
  </si>
  <si>
    <t>PAMELA MARIBEL LLUMIQUINGA CAZA</t>
  </si>
  <si>
    <t>1719418038</t>
  </si>
  <si>
    <t>442600114627055</t>
  </si>
  <si>
    <t>8959300520561486849</t>
  </si>
  <si>
    <t>MELANNIE_EC@HOTMAIL.COM</t>
  </si>
  <si>
    <t>0850581224</t>
  </si>
  <si>
    <t>995954459</t>
  </si>
  <si>
    <t>63043049</t>
  </si>
  <si>
    <t>41428979</t>
  </si>
  <si>
    <t>YOLANDA PILAR GARCIA TRUJILLO</t>
  </si>
  <si>
    <t>1715550818</t>
  </si>
  <si>
    <t>493641238900182</t>
  </si>
  <si>
    <t>8959300520561487235</t>
  </si>
  <si>
    <t>YOLIV86@YAHOO.COM</t>
  </si>
  <si>
    <t>0850901583</t>
  </si>
  <si>
    <t>995943788</t>
  </si>
  <si>
    <t>63055068</t>
  </si>
  <si>
    <t>981364157015796</t>
  </si>
  <si>
    <t>8959300520561485320</t>
  </si>
  <si>
    <t>995917875</t>
  </si>
  <si>
    <t>63032042</t>
  </si>
  <si>
    <t>40260787</t>
  </si>
  <si>
    <t>DIANA CAROLINA REA CALERO</t>
  </si>
  <si>
    <t>1726626334</t>
  </si>
  <si>
    <t>104238764829058</t>
  </si>
  <si>
    <t>8959300520561486708</t>
  </si>
  <si>
    <t>0850268379</t>
  </si>
  <si>
    <t>8959300120522532466</t>
  </si>
  <si>
    <t>chaveztito2018@gmail.com</t>
  </si>
  <si>
    <t>0846272716</t>
  </si>
  <si>
    <t>995889200</t>
  </si>
  <si>
    <t>62978137</t>
  </si>
  <si>
    <t>45654944</t>
  </si>
  <si>
    <t>LYSSETTE MEZA GUERRERO</t>
  </si>
  <si>
    <t>120626456</t>
  </si>
  <si>
    <t>998098888169305</t>
  </si>
  <si>
    <t>8959300520561494181</t>
  </si>
  <si>
    <t>llyssette.meza.guerrero@gmail.com</t>
  </si>
  <si>
    <t>0847289587</t>
  </si>
  <si>
    <t>8959300120522531039</t>
  </si>
  <si>
    <t>CESAR_GALARRAGA50@HOTMAIL.COM</t>
  </si>
  <si>
    <t>0847215151</t>
  </si>
  <si>
    <t>995861743</t>
  </si>
  <si>
    <t>62995971</t>
  </si>
  <si>
    <t>45672674</t>
  </si>
  <si>
    <t>LIZETH MELANIA GREFA CHIMBO GREFA CHIMBO</t>
  </si>
  <si>
    <t>2200267165</t>
  </si>
  <si>
    <t>331565289204218</t>
  </si>
  <si>
    <t>8959300520561489678</t>
  </si>
  <si>
    <t>LGREFA990@GMAIL.COM</t>
  </si>
  <si>
    <t>0848324602</t>
  </si>
  <si>
    <t>995811134</t>
  </si>
  <si>
    <t>63049303</t>
  </si>
  <si>
    <t>41718440</t>
  </si>
  <si>
    <t>MARIA PAULINA DIAZ SUAREZ</t>
  </si>
  <si>
    <t>1714338843</t>
  </si>
  <si>
    <t>335933864706385</t>
  </si>
  <si>
    <t>8959300520561487029</t>
  </si>
  <si>
    <t>MPDIAZS@gmail.com</t>
  </si>
  <si>
    <t>0851195144</t>
  </si>
  <si>
    <t>995798572</t>
  </si>
  <si>
    <t>63057799</t>
  </si>
  <si>
    <t>35262983</t>
  </si>
  <si>
    <t>FERNANDA ELIZABETH GARCIA PALLO</t>
  </si>
  <si>
    <t>1720350030</t>
  </si>
  <si>
    <t>982971421369541</t>
  </si>
  <si>
    <t>8959300520561484539</t>
  </si>
  <si>
    <t>NOTIENE@TELEFONICA.COM</t>
  </si>
  <si>
    <t>0851659750</t>
  </si>
  <si>
    <t>995737298</t>
  </si>
  <si>
    <t>62947478</t>
  </si>
  <si>
    <t>45624366</t>
  </si>
  <si>
    <t>CARLA ELIZABETH PAUCAR JIMENEZ</t>
  </si>
  <si>
    <t>1720548674001</t>
  </si>
  <si>
    <t>441687374701754</t>
  </si>
  <si>
    <t>8959300120522528779</t>
  </si>
  <si>
    <t>notiene@gmail.com</t>
  </si>
  <si>
    <t>0845584178</t>
  </si>
  <si>
    <t>8959300120522533647</t>
  </si>
  <si>
    <t>marcomosquera2607@gmail.com</t>
  </si>
  <si>
    <t>0847625428</t>
  </si>
  <si>
    <t>995599937</t>
  </si>
  <si>
    <t>62942021</t>
  </si>
  <si>
    <t>45619384</t>
  </si>
  <si>
    <t>DYLAN ISSAC LOPEZ PUENTE</t>
  </si>
  <si>
    <t>1723047666</t>
  </si>
  <si>
    <t>302954611283253</t>
  </si>
  <si>
    <t>8959300120522528738</t>
  </si>
  <si>
    <t>dylanlopez@gmail.com</t>
  </si>
  <si>
    <t>0845227594</t>
  </si>
  <si>
    <t>995547813</t>
  </si>
  <si>
    <t>62976502</t>
  </si>
  <si>
    <t>45651643</t>
  </si>
  <si>
    <t>DANIEL URBANO SALTOS CASTRO</t>
  </si>
  <si>
    <t>1304415928</t>
  </si>
  <si>
    <t>522169150180992</t>
  </si>
  <si>
    <t>8959300520561494488</t>
  </si>
  <si>
    <t>0847219751</t>
  </si>
  <si>
    <t>995493633</t>
  </si>
  <si>
    <t>62974210</t>
  </si>
  <si>
    <t>43243207</t>
  </si>
  <si>
    <t>MARIA ELIZABETH PORTILLA RUIZ</t>
  </si>
  <si>
    <t>1003725403</t>
  </si>
  <si>
    <t>307241004448726</t>
  </si>
  <si>
    <t>8959300120522530957</t>
  </si>
  <si>
    <t>0847050349</t>
  </si>
  <si>
    <t>995455830</t>
  </si>
  <si>
    <t>63044232</t>
  </si>
  <si>
    <t>41932934</t>
  </si>
  <si>
    <t>HENRY DAVID MORA SANCHEZ</t>
  </si>
  <si>
    <t>1720378304</t>
  </si>
  <si>
    <t>993925204801275</t>
  </si>
  <si>
    <t>8959300520561492029</t>
  </si>
  <si>
    <t>DAVIDMORA_92@HOTMAIL.COM</t>
  </si>
  <si>
    <t>0850954842</t>
  </si>
  <si>
    <t>995379649</t>
  </si>
  <si>
    <t>62970646</t>
  </si>
  <si>
    <t>40856036</t>
  </si>
  <si>
    <t>454906613022572</t>
  </si>
  <si>
    <t>8959300120522530700</t>
  </si>
  <si>
    <t>DAVIDGUACHAMIN2@GMAIL.COM</t>
  </si>
  <si>
    <t>0846878384</t>
  </si>
  <si>
    <t>995377705</t>
  </si>
  <si>
    <t>62968358</t>
  </si>
  <si>
    <t>42365064</t>
  </si>
  <si>
    <t>CLODOMIRO MENESES ORTEGA</t>
  </si>
  <si>
    <t>1701939710</t>
  </si>
  <si>
    <t>303999274718888</t>
  </si>
  <si>
    <t>8959300120522531450</t>
  </si>
  <si>
    <t>LUIS EDUARDO VARGAS REYES</t>
  </si>
  <si>
    <t>clodmen40@hotmail.com</t>
  </si>
  <si>
    <t>0846732385</t>
  </si>
  <si>
    <t>995319470</t>
  </si>
  <si>
    <t>63028375</t>
  </si>
  <si>
    <t>45019162</t>
  </si>
  <si>
    <t>FRANKLIN WASHINGTON HUACA CARLOSAMA</t>
  </si>
  <si>
    <t>1711996205</t>
  </si>
  <si>
    <t>985605341579493</t>
  </si>
  <si>
    <t>8959300520561491211</t>
  </si>
  <si>
    <t>0850050852</t>
  </si>
  <si>
    <t>958755639</t>
  </si>
  <si>
    <t>62941545</t>
  </si>
  <si>
    <t>45618914</t>
  </si>
  <si>
    <t>BRANDON GUILLERMO NAULA UGSHA</t>
  </si>
  <si>
    <t>1753051125</t>
  </si>
  <si>
    <t>984439074853383</t>
  </si>
  <si>
    <t>8959300120522528837</t>
  </si>
  <si>
    <t>brandon007naula@gmai.com</t>
  </si>
  <si>
    <t>0845198048</t>
  </si>
  <si>
    <t>995288217</t>
  </si>
  <si>
    <t>62961036</t>
  </si>
  <si>
    <t>44734491</t>
  </si>
  <si>
    <t>LUIS ALCIVAR TUPIZA MUELA</t>
  </si>
  <si>
    <t>1722555636</t>
  </si>
  <si>
    <t>014349851249537</t>
  </si>
  <si>
    <t>8959300120522531765</t>
  </si>
  <si>
    <t>0846335291</t>
  </si>
  <si>
    <t>995272635</t>
  </si>
  <si>
    <t>62960813</t>
  </si>
  <si>
    <t>25740075</t>
  </si>
  <si>
    <t>MIGUEL BOLIVAR ESPINOZA BARZALLO</t>
  </si>
  <si>
    <t>1707512396</t>
  </si>
  <si>
    <t>982585860123464</t>
  </si>
  <si>
    <t>8959300120522531781</t>
  </si>
  <si>
    <t>0846321554</t>
  </si>
  <si>
    <t>995208791</t>
  </si>
  <si>
    <t>63057148</t>
  </si>
  <si>
    <t>35432710</t>
  </si>
  <si>
    <t>EDWIN IVAN MONTENEGRO MOLINA</t>
  </si>
  <si>
    <t>1706735022</t>
  </si>
  <si>
    <t>339753308659511</t>
  </si>
  <si>
    <t>8959300520561484596</t>
  </si>
  <si>
    <t>SANDRACECI69@hotmail.com</t>
  </si>
  <si>
    <t>0851628135</t>
  </si>
  <si>
    <t>995161619</t>
  </si>
  <si>
    <t>62973984</t>
  </si>
  <si>
    <t>43357040</t>
  </si>
  <si>
    <t>RANGEL CARLOS MARTINEZ</t>
  </si>
  <si>
    <t>1726147893</t>
  </si>
  <si>
    <t>992855727000496</t>
  </si>
  <si>
    <t>8959300120522530759</t>
  </si>
  <si>
    <t>NOTIENE@TELEFONICA.COM.EC</t>
  </si>
  <si>
    <t>0847033786</t>
  </si>
  <si>
    <t>992985164</t>
  </si>
  <si>
    <t>63050064</t>
  </si>
  <si>
    <t>42967841</t>
  </si>
  <si>
    <t>ISAAC EMANUEL SANTILLAN TRUJILLO</t>
  </si>
  <si>
    <t>0650160229</t>
  </si>
  <si>
    <t>494125327739296</t>
  </si>
  <si>
    <t>8959300520561485049</t>
  </si>
  <si>
    <t>NICOLAS MATIAS CONDO GARCIA</t>
  </si>
  <si>
    <t>iscca@gamilc.om</t>
  </si>
  <si>
    <t>0851226680</t>
  </si>
  <si>
    <t>992982855</t>
  </si>
  <si>
    <t>62937581</t>
  </si>
  <si>
    <t>43573090</t>
  </si>
  <si>
    <t>535229297955014</t>
  </si>
  <si>
    <t>8959300120522529207</t>
  </si>
  <si>
    <t>shariananahi.6@gmail.com</t>
  </si>
  <si>
    <t>0844964376</t>
  </si>
  <si>
    <t>992943936</t>
  </si>
  <si>
    <t>63009717</t>
  </si>
  <si>
    <t>45685820</t>
  </si>
  <si>
    <t>CHRISTOPHER XAVIER MUGUICHA QUITIO</t>
  </si>
  <si>
    <t>1723382329</t>
  </si>
  <si>
    <t>917145625811653</t>
  </si>
  <si>
    <t>8959300520561486229</t>
  </si>
  <si>
    <t>muguichacris@gmaial.com</t>
  </si>
  <si>
    <t>0849012682</t>
  </si>
  <si>
    <t>992928954</t>
  </si>
  <si>
    <t>63050044</t>
  </si>
  <si>
    <t>23533030</t>
  </si>
  <si>
    <t>CARLOS ARTURO ZURITA FLORES</t>
  </si>
  <si>
    <t>1712692944</t>
  </si>
  <si>
    <t>509825763114812</t>
  </si>
  <si>
    <t>8959300520561487136</t>
  </si>
  <si>
    <t>charlesz1975@hotmail.com</t>
  </si>
  <si>
    <t>0851228396</t>
  </si>
  <si>
    <t>992891106</t>
  </si>
  <si>
    <t>62942056</t>
  </si>
  <si>
    <t>45619416</t>
  </si>
  <si>
    <t>WINTHON NOE ANDAGOYA FLORES</t>
  </si>
  <si>
    <t>1724601552</t>
  </si>
  <si>
    <t>520939555200153</t>
  </si>
  <si>
    <t>8959300120522528712</t>
  </si>
  <si>
    <t>WILTHON_1993@HOTMAIL.COM</t>
  </si>
  <si>
    <t>0845234313</t>
  </si>
  <si>
    <t>992801402</t>
  </si>
  <si>
    <t>62996649</t>
  </si>
  <si>
    <t>19998017</t>
  </si>
  <si>
    <t>JENNY ELIZABETH JACHO CALDERON</t>
  </si>
  <si>
    <t>1713014874</t>
  </si>
  <si>
    <t>330191929937827</t>
  </si>
  <si>
    <t>8959300520561492508</t>
  </si>
  <si>
    <t>JEJC616@GMAIL.COM</t>
  </si>
  <si>
    <t>0848351251</t>
  </si>
  <si>
    <t>992784573</t>
  </si>
  <si>
    <t>63023326</t>
  </si>
  <si>
    <t>45698001</t>
  </si>
  <si>
    <t>JOHAN ALEXANDER AGUILAR GUERRA</t>
  </si>
  <si>
    <t>1752881662</t>
  </si>
  <si>
    <t>990769057408777</t>
  </si>
  <si>
    <t>8959300520561491070</t>
  </si>
  <si>
    <t>ef@hotmail.com</t>
  </si>
  <si>
    <t>0849766567</t>
  </si>
  <si>
    <t>992775754</t>
  </si>
  <si>
    <t>63008129</t>
  </si>
  <si>
    <t>42489839</t>
  </si>
  <si>
    <t>MANUEL ALEJANDRO SANCHEZ CABRERA</t>
  </si>
  <si>
    <t>E915615</t>
  </si>
  <si>
    <t>451044235930221</t>
  </si>
  <si>
    <t>8959300520561485676</t>
  </si>
  <si>
    <t>MARIBEL LOZADA REYES</t>
  </si>
  <si>
    <t>MANUELJOVI@GMAIL.COM</t>
  </si>
  <si>
    <t>0848935631</t>
  </si>
  <si>
    <t>992716793</t>
  </si>
  <si>
    <t>63058044</t>
  </si>
  <si>
    <t>30946095</t>
  </si>
  <si>
    <t>ALEXIS SHUVER RUALES MORALES</t>
  </si>
  <si>
    <t>1718313420</t>
  </si>
  <si>
    <t>523164710042435</t>
  </si>
  <si>
    <t>8959300520561484547</t>
  </si>
  <si>
    <t>0851669622</t>
  </si>
  <si>
    <t>992706396</t>
  </si>
  <si>
    <t>63000502</t>
  </si>
  <si>
    <t>45677140</t>
  </si>
  <si>
    <t>NELSON BOLIVAR YEPEZ BASTIDAS</t>
  </si>
  <si>
    <t>1704367935</t>
  </si>
  <si>
    <t>449867962711991</t>
  </si>
  <si>
    <t>8959300520561492995</t>
  </si>
  <si>
    <t>HYG_INGENIERIA_ELECTRICA@HOTMAIL.COM</t>
  </si>
  <si>
    <t>0848528285</t>
  </si>
  <si>
    <t>992688565</t>
  </si>
  <si>
    <t>62976550</t>
  </si>
  <si>
    <t>43730774</t>
  </si>
  <si>
    <t>ANGEL SEGUNDO MANZANO ANGULO</t>
  </si>
  <si>
    <t>1715677900</t>
  </si>
  <si>
    <t>496407041929223</t>
  </si>
  <si>
    <t>8959300520561494231</t>
  </si>
  <si>
    <t>angel_sa1979@hotmail.com</t>
  </si>
  <si>
    <t>0847215905</t>
  </si>
  <si>
    <t>992684751</t>
  </si>
  <si>
    <t>63048640</t>
  </si>
  <si>
    <t>45721729</t>
  </si>
  <si>
    <t>ISABEL CECILIA ILAQUICHE CHUGCHILAN</t>
  </si>
  <si>
    <t>0504004946</t>
  </si>
  <si>
    <t>494903838760906</t>
  </si>
  <si>
    <t>8959300520561492292</t>
  </si>
  <si>
    <t>iIsabel2744@gmil.com</t>
  </si>
  <si>
    <t>0851164659</t>
  </si>
  <si>
    <t>992646905</t>
  </si>
  <si>
    <t>62995343</t>
  </si>
  <si>
    <t>45672007</t>
  </si>
  <si>
    <t>EDWIN DANIEL FERNANDEZ SANTOS</t>
  </si>
  <si>
    <t>1206909051</t>
  </si>
  <si>
    <t>912576541744898</t>
  </si>
  <si>
    <t>8959300520561489918</t>
  </si>
  <si>
    <t>GSD@GMAIL.COM</t>
  </si>
  <si>
    <t>0848292877</t>
  </si>
  <si>
    <t>992624979</t>
  </si>
  <si>
    <t>63005890</t>
  </si>
  <si>
    <t>45682146</t>
  </si>
  <si>
    <t>MARIA EDUARDA VIVANCO BENAVIDES</t>
  </si>
  <si>
    <t>1727365858</t>
  </si>
  <si>
    <t>910673179390367</t>
  </si>
  <si>
    <t>8959300520561485601</t>
  </si>
  <si>
    <t>EDUVIVANCOVENA@HOTMAIL.COM</t>
  </si>
  <si>
    <t>0848811359</t>
  </si>
  <si>
    <t>992608531</t>
  </si>
  <si>
    <t>63014095</t>
  </si>
  <si>
    <t>45689580</t>
  </si>
  <si>
    <t>ROCIO DEL CARMEN ROBLES HERRERA</t>
  </si>
  <si>
    <t>1715794002</t>
  </si>
  <si>
    <t>864816485566446</t>
  </si>
  <si>
    <t>8959300520561486344</t>
  </si>
  <si>
    <t>costos@grupo-nu.com</t>
  </si>
  <si>
    <t>0849243028</t>
  </si>
  <si>
    <t>992583145</t>
  </si>
  <si>
    <t>62989511</t>
  </si>
  <si>
    <t>35008940</t>
  </si>
  <si>
    <t>LISETH ESTEFANIA BARBA HERRERA</t>
  </si>
  <si>
    <t>1719887745</t>
  </si>
  <si>
    <t>011562252045212</t>
  </si>
  <si>
    <t>8959300520561490007</t>
  </si>
  <si>
    <t>0847953412</t>
  </si>
  <si>
    <t>958775436</t>
  </si>
  <si>
    <t>63032041</t>
  </si>
  <si>
    <t>860431268117971</t>
  </si>
  <si>
    <t>8959300520561486690</t>
  </si>
  <si>
    <t>958778087</t>
  </si>
  <si>
    <t>63013720</t>
  </si>
  <si>
    <t>23800991</t>
  </si>
  <si>
    <t>LUIS PATRICIO OTAÑEZ VEINTIMILLA</t>
  </si>
  <si>
    <t>0502237134</t>
  </si>
  <si>
    <t>016866423904933</t>
  </si>
  <si>
    <t>8959300520561486377</t>
  </si>
  <si>
    <t>0849221041</t>
  </si>
  <si>
    <t>987967377</t>
  </si>
  <si>
    <t>63007423</t>
  </si>
  <si>
    <t>45683612</t>
  </si>
  <si>
    <t>WASHINGTON ROBERTO CAJAHUISHCA CHILUISA</t>
  </si>
  <si>
    <t>1710455278</t>
  </si>
  <si>
    <t>538744127136194</t>
  </si>
  <si>
    <t>8959300520561486088</t>
  </si>
  <si>
    <t>dwf@hotmail.com</t>
  </si>
  <si>
    <t>0848904961</t>
  </si>
  <si>
    <t>987851882</t>
  </si>
  <si>
    <t>62970959</t>
  </si>
  <si>
    <t>13365198</t>
  </si>
  <si>
    <t>GUILLERMO STALIN CALVOPIÑA MALDONADO</t>
  </si>
  <si>
    <t>1709684391</t>
  </si>
  <si>
    <t>534510657363605</t>
  </si>
  <si>
    <t>8959300120522530916</t>
  </si>
  <si>
    <t>NOTIENE@MOVISTAR.COM</t>
  </si>
  <si>
    <t>0846896157</t>
  </si>
  <si>
    <t>8959300120522531963</t>
  </si>
  <si>
    <t>0846394234</t>
  </si>
  <si>
    <t>987830385</t>
  </si>
  <si>
    <t>62998921</t>
  </si>
  <si>
    <t>9389290</t>
  </si>
  <si>
    <t>JORGE ARMANDO ARROYO CHIMARRO</t>
  </si>
  <si>
    <t>1716213390</t>
  </si>
  <si>
    <t>912009921459648</t>
  </si>
  <si>
    <t>8959300520561489827</t>
  </si>
  <si>
    <t>JORGEARROYO777@HOTMAIL.COM</t>
  </si>
  <si>
    <t>0848456058</t>
  </si>
  <si>
    <t>987777114</t>
  </si>
  <si>
    <t>62966985</t>
  </si>
  <si>
    <t>45637006</t>
  </si>
  <si>
    <t>JENNIFER PAULINA GONZALEZ GONZALEZ</t>
  </si>
  <si>
    <t>0302516596</t>
  </si>
  <si>
    <t>333163014933711</t>
  </si>
  <si>
    <t>8959300120522531336</t>
  </si>
  <si>
    <t>jg6975186@gmail.com</t>
  </si>
  <si>
    <t>0846659753</t>
  </si>
  <si>
    <t>987762767</t>
  </si>
  <si>
    <t>63023200</t>
  </si>
  <si>
    <t>45697901</t>
  </si>
  <si>
    <t>MARTHA CECILIA CUEVA ORTEGA</t>
  </si>
  <si>
    <t>1715516561</t>
  </si>
  <si>
    <t>102627841872994</t>
  </si>
  <si>
    <t>8959300520561491054</t>
  </si>
  <si>
    <t>sdf@hotmail.com</t>
  </si>
  <si>
    <t>0849757854</t>
  </si>
  <si>
    <t>987756681</t>
  </si>
  <si>
    <t>63050110</t>
  </si>
  <si>
    <t>45723190</t>
  </si>
  <si>
    <t>ANA CRISTINA ALVARADO POLO</t>
  </si>
  <si>
    <t>0103761201</t>
  </si>
  <si>
    <t>862844191964970</t>
  </si>
  <si>
    <t>8959300520561487128</t>
  </si>
  <si>
    <t>CALVARADO@AABLEGAL.EC</t>
  </si>
  <si>
    <t>0851230000</t>
  </si>
  <si>
    <t>987755351</t>
  </si>
  <si>
    <t>63007403</t>
  </si>
  <si>
    <t>28884650</t>
  </si>
  <si>
    <t>HUGO ANGELO VALDIVIESO SIMBA</t>
  </si>
  <si>
    <t>1709213639</t>
  </si>
  <si>
    <t>538519427164710</t>
  </si>
  <si>
    <t>8959300520561486096</t>
  </si>
  <si>
    <t>0848898040</t>
  </si>
  <si>
    <t>958786414</t>
  </si>
  <si>
    <t>63017394</t>
  </si>
  <si>
    <t>42579910</t>
  </si>
  <si>
    <t>DAVID BLADIMIR SIMBA PANILUISA</t>
  </si>
  <si>
    <t>1713707329</t>
  </si>
  <si>
    <t>531213854225700</t>
  </si>
  <si>
    <t>8959300520561490726</t>
  </si>
  <si>
    <t>0849429604</t>
  </si>
  <si>
    <t>987747253</t>
  </si>
  <si>
    <t>63037462</t>
  </si>
  <si>
    <t>20421434</t>
  </si>
  <si>
    <t>AURELIO LEMA LEON</t>
  </si>
  <si>
    <t>1705257390</t>
  </si>
  <si>
    <t>526962452431568</t>
  </si>
  <si>
    <t>8959300520561486815</t>
  </si>
  <si>
    <t>0850574316</t>
  </si>
  <si>
    <t>958789343</t>
  </si>
  <si>
    <t>63017400</t>
  </si>
  <si>
    <t>44294987</t>
  </si>
  <si>
    <t>EDUARDO FABIAN MEJIA RODRIGUEZ</t>
  </si>
  <si>
    <t>1708707359</t>
  </si>
  <si>
    <t>984875195852673</t>
  </si>
  <si>
    <t>8959300520561490684</t>
  </si>
  <si>
    <t>edu_mejia@yahoo.com</t>
  </si>
  <si>
    <t>0849431670</t>
  </si>
  <si>
    <t>987714176</t>
  </si>
  <si>
    <t>63048183</t>
  </si>
  <si>
    <t>32065495</t>
  </si>
  <si>
    <t>985541757357308</t>
  </si>
  <si>
    <t>8959300520561492458</t>
  </si>
  <si>
    <t>mariaelena82@gmail.com</t>
  </si>
  <si>
    <t>0851146123</t>
  </si>
  <si>
    <t>987700076</t>
  </si>
  <si>
    <t>62942887</t>
  </si>
  <si>
    <t>33111302</t>
  </si>
  <si>
    <t>MARIA PIEDAD TOAPANTA GARCIA</t>
  </si>
  <si>
    <t>0503331811</t>
  </si>
  <si>
    <t>524074449602095</t>
  </si>
  <si>
    <t>8959300120522528951</t>
  </si>
  <si>
    <t>0845288658</t>
  </si>
  <si>
    <t>8959300120522533464</t>
  </si>
  <si>
    <t>mariangelesalvarezg@gmail.com</t>
  </si>
  <si>
    <t>0848123111</t>
  </si>
  <si>
    <t>987598484</t>
  </si>
  <si>
    <t>63048429</t>
  </si>
  <si>
    <t>39547946</t>
  </si>
  <si>
    <t>LUIS ALBERTO ENDARA LUZURIAGA</t>
  </si>
  <si>
    <t>0603236373</t>
  </si>
  <si>
    <t>457158784821385</t>
  </si>
  <si>
    <t>8959300520561492383</t>
  </si>
  <si>
    <t>0851155978</t>
  </si>
  <si>
    <t>987586867</t>
  </si>
  <si>
    <t>62946544</t>
  </si>
  <si>
    <t>45623495</t>
  </si>
  <si>
    <t>LUIS YORDAN ALMAGRO AGUILAR</t>
  </si>
  <si>
    <t>1725195638</t>
  </si>
  <si>
    <t>TAMBILLO</t>
  </si>
  <si>
    <t>354338673582843</t>
  </si>
  <si>
    <t>8959300120522532755</t>
  </si>
  <si>
    <t>jordna611@gmail.com</t>
  </si>
  <si>
    <t>0845533072</t>
  </si>
  <si>
    <t>987561615</t>
  </si>
  <si>
    <t>63047798</t>
  </si>
  <si>
    <t>34381041</t>
  </si>
  <si>
    <t>MARIA HILDA MAISINCHO FARINANGO</t>
  </si>
  <si>
    <t>1712868064</t>
  </si>
  <si>
    <t>861326962756067</t>
  </si>
  <si>
    <t>8959300520561487342</t>
  </si>
  <si>
    <t>MARIAHILDA1712@HOTMAIL.COM</t>
  </si>
  <si>
    <t>0851129996</t>
  </si>
  <si>
    <t>987541654</t>
  </si>
  <si>
    <t>63028234</t>
  </si>
  <si>
    <t>42637264</t>
  </si>
  <si>
    <t>ROBERTO HENRY DIAZ PISCO</t>
  </si>
  <si>
    <t>1706752761</t>
  </si>
  <si>
    <t>990681010334463</t>
  </si>
  <si>
    <t>8959300520561491252</t>
  </si>
  <si>
    <t>notiene@telefonica.com</t>
  </si>
  <si>
    <t>0850038521</t>
  </si>
  <si>
    <t>987491012</t>
  </si>
  <si>
    <t>63028118</t>
  </si>
  <si>
    <t>38668646</t>
  </si>
  <si>
    <t>GLADYS CECILIA SANCHEZ QUINTEROS</t>
  </si>
  <si>
    <t>1702880046</t>
  </si>
  <si>
    <t>864502270810146</t>
  </si>
  <si>
    <t>8959300520561491260</t>
  </si>
  <si>
    <t>TATY_VALE@HOTMAIL.ES</t>
  </si>
  <si>
    <t>0850031789</t>
  </si>
  <si>
    <t>987486546</t>
  </si>
  <si>
    <t>63030163</t>
  </si>
  <si>
    <t>19613827</t>
  </si>
  <si>
    <t>GABRIELA ALEJANDRA CALERO PANDO</t>
  </si>
  <si>
    <t>1720291812</t>
  </si>
  <si>
    <t>103719636967573</t>
  </si>
  <si>
    <t>8959300520561486534</t>
  </si>
  <si>
    <t>0850151942</t>
  </si>
  <si>
    <t>987414606</t>
  </si>
  <si>
    <t>62994577</t>
  </si>
  <si>
    <t>42485904</t>
  </si>
  <si>
    <t>JAQUELINE GRACIELA VELASQUEZ ROMERO</t>
  </si>
  <si>
    <t>1714508643</t>
  </si>
  <si>
    <t>010754551956279</t>
  </si>
  <si>
    <t>8959300520561490486</t>
  </si>
  <si>
    <t>JAKEV181@GMAIL.COM</t>
  </si>
  <si>
    <t>0848253458</t>
  </si>
  <si>
    <t>987351394</t>
  </si>
  <si>
    <t>62984117</t>
  </si>
  <si>
    <t>45456312</t>
  </si>
  <si>
    <t>GERARDO PATRICIO BETANCOURT ROJAS</t>
  </si>
  <si>
    <t>1709349292</t>
  </si>
  <si>
    <t>506819377837978</t>
  </si>
  <si>
    <t>8959300520561493530</t>
  </si>
  <si>
    <t>0847622211</t>
  </si>
  <si>
    <t>987317579</t>
  </si>
  <si>
    <t>62976192</t>
  </si>
  <si>
    <t>44573614</t>
  </si>
  <si>
    <t>IVAN ALEJANDRO REYES LAGLA</t>
  </si>
  <si>
    <t>1719591370</t>
  </si>
  <si>
    <t>013305004541965</t>
  </si>
  <si>
    <t>8959300520561494371</t>
  </si>
  <si>
    <t>0847197849</t>
  </si>
  <si>
    <t>987280579</t>
  </si>
  <si>
    <t>62976496</t>
  </si>
  <si>
    <t>45653389</t>
  </si>
  <si>
    <t>MARIA MERCEDES RIOFRIO CORREA</t>
  </si>
  <si>
    <t>1714555446</t>
  </si>
  <si>
    <t>301505627627890</t>
  </si>
  <si>
    <t>8959300120522532680</t>
  </si>
  <si>
    <t>mmriofrioc92@gmail.com</t>
  </si>
  <si>
    <t>0847219960</t>
  </si>
  <si>
    <t>987262133</t>
  </si>
  <si>
    <t>62948573</t>
  </si>
  <si>
    <t>43292024</t>
  </si>
  <si>
    <t>ENMA SUSANA SALAZAR PALLO</t>
  </si>
  <si>
    <t>0924795925</t>
  </si>
  <si>
    <t>104743168527802</t>
  </si>
  <si>
    <t>8959300120522533225</t>
  </si>
  <si>
    <t>SUSANAFLAYER64@HOTMAIL.COM</t>
  </si>
  <si>
    <t>0845646621</t>
  </si>
  <si>
    <t>987160632</t>
  </si>
  <si>
    <t>63000268</t>
  </si>
  <si>
    <t>39320896</t>
  </si>
  <si>
    <t>HUGO FABIAN ALMACHI VILCA</t>
  </si>
  <si>
    <t>1724978885</t>
  </si>
  <si>
    <t>354332606000734</t>
  </si>
  <si>
    <t>8959300520561487268</t>
  </si>
  <si>
    <t>LUIS EDUARDO CORDOVA BRUCIL</t>
  </si>
  <si>
    <t>HUGOLIGA007@GMAIL.COM</t>
  </si>
  <si>
    <t>0848517015</t>
  </si>
  <si>
    <t>958815214</t>
  </si>
  <si>
    <t>62961411</t>
  </si>
  <si>
    <t>45637951</t>
  </si>
  <si>
    <t>DILAN JOSUE PILLIZA GUACHO</t>
  </si>
  <si>
    <t>1755573159</t>
  </si>
  <si>
    <t>996111727697402</t>
  </si>
  <si>
    <t>8959300120522532086</t>
  </si>
  <si>
    <t>dilan.josue.pg@hotmail.com</t>
  </si>
  <si>
    <t>0846360577</t>
  </si>
  <si>
    <t>8959300520561486005</t>
  </si>
  <si>
    <t>pablirodriguec@gmail.com</t>
  </si>
  <si>
    <t>0848962942</t>
  </si>
  <si>
    <t>987115463</t>
  </si>
  <si>
    <t>63000473</t>
  </si>
  <si>
    <t>17894969</t>
  </si>
  <si>
    <t>CARLOS RAMIRO MALDONADO PICHUCHO</t>
  </si>
  <si>
    <t>1723540678</t>
  </si>
  <si>
    <t>332551779502070</t>
  </si>
  <si>
    <t>8959300520561492961</t>
  </si>
  <si>
    <t>ramiromaldonado@telefonica.com</t>
  </si>
  <si>
    <t>0848528215</t>
  </si>
  <si>
    <t>984964017</t>
  </si>
  <si>
    <t>62975949</t>
  </si>
  <si>
    <t>45652665</t>
  </si>
  <si>
    <t>ANTONIO MAURICIO ACHIG VELA</t>
  </si>
  <si>
    <t>1711760254</t>
  </si>
  <si>
    <t>442177890187166</t>
  </si>
  <si>
    <t>8959300520561494421</t>
  </si>
  <si>
    <t>0847179625</t>
  </si>
  <si>
    <t>984950269</t>
  </si>
  <si>
    <t>63044212</t>
  </si>
  <si>
    <t>45717440</t>
  </si>
  <si>
    <t>MATILDE CONCEPCION NUÑEZ ZAVALA</t>
  </si>
  <si>
    <t>0201224425</t>
  </si>
  <si>
    <t>541581386678465</t>
  </si>
  <si>
    <t>8959300520561491948</t>
  </si>
  <si>
    <t>matildeloquilla@gmail.com</t>
  </si>
  <si>
    <t>0850952776</t>
  </si>
  <si>
    <t>958818167</t>
  </si>
  <si>
    <t>62953777</t>
  </si>
  <si>
    <t>45630435</t>
  </si>
  <si>
    <t>EDISON DANILO CAIZA MONTATIXE</t>
  </si>
  <si>
    <t>1720533320</t>
  </si>
  <si>
    <t>305801070790467</t>
  </si>
  <si>
    <t>8959300120522533886</t>
  </si>
  <si>
    <t>edynad_ldu@yahoo.es</t>
  </si>
  <si>
    <t>0845944103</t>
  </si>
  <si>
    <t>984935542</t>
  </si>
  <si>
    <t>62976101</t>
  </si>
  <si>
    <t>45652862</t>
  </si>
  <si>
    <t>BRITHANY NICOLE CEVALLOS ERAZO</t>
  </si>
  <si>
    <t>1754032686</t>
  </si>
  <si>
    <t>992915924971228</t>
  </si>
  <si>
    <t>8959300520561494496</t>
  </si>
  <si>
    <t>loquilla69@gmail.com</t>
  </si>
  <si>
    <t>0847192605</t>
  </si>
  <si>
    <t>958820286</t>
  </si>
  <si>
    <t>62961904</t>
  </si>
  <si>
    <t>45595735</t>
  </si>
  <si>
    <t>LADY DEL CISNE KUN ZAMBRANO</t>
  </si>
  <si>
    <t>0704215466</t>
  </si>
  <si>
    <t>352905171075868</t>
  </si>
  <si>
    <t>8959300120522531971</t>
  </si>
  <si>
    <t>0846387881</t>
  </si>
  <si>
    <t>984889804</t>
  </si>
  <si>
    <t>63007023</t>
  </si>
  <si>
    <t>40408251</t>
  </si>
  <si>
    <t>MELANIE SOLANGE MUSO CHICAIZA</t>
  </si>
  <si>
    <t>1752031821</t>
  </si>
  <si>
    <t>306795168294268</t>
  </si>
  <si>
    <t>8959300520561493498</t>
  </si>
  <si>
    <t>0848878591</t>
  </si>
  <si>
    <t>958821209</t>
  </si>
  <si>
    <t>62976355</t>
  </si>
  <si>
    <t>28737708</t>
  </si>
  <si>
    <t>KATHERINE MARITZA TONATO CHUCHIMBE</t>
  </si>
  <si>
    <t>1724571326</t>
  </si>
  <si>
    <t>991534948463194</t>
  </si>
  <si>
    <t>8959300520561494405</t>
  </si>
  <si>
    <t>0847209457</t>
  </si>
  <si>
    <t>984815423</t>
  </si>
  <si>
    <t>62994712</t>
  </si>
  <si>
    <t>18747245</t>
  </si>
  <si>
    <t>503460713951497</t>
  </si>
  <si>
    <t>8959300520561489777</t>
  </si>
  <si>
    <t>sandykatha74@yahoo.es</t>
  </si>
  <si>
    <t>0848261221</t>
  </si>
  <si>
    <t>958821305</t>
  </si>
  <si>
    <t>62961243</t>
  </si>
  <si>
    <t>45637798</t>
  </si>
  <si>
    <t>LAURA MERCEDES MORENO TAPIA</t>
  </si>
  <si>
    <t>1711388049001</t>
  </si>
  <si>
    <t>330842716299678</t>
  </si>
  <si>
    <t>8959300120522532102</t>
  </si>
  <si>
    <t>lauramercedesmoreno98@gmail.com</t>
  </si>
  <si>
    <t>0846347446</t>
  </si>
  <si>
    <t>958823578</t>
  </si>
  <si>
    <t>62970267</t>
  </si>
  <si>
    <t>45646459</t>
  </si>
  <si>
    <t>LANDY DAVID OÑATE CHUNLLO</t>
  </si>
  <si>
    <t>1750991083</t>
  </si>
  <si>
    <t>017793229158762</t>
  </si>
  <si>
    <t>8959300120522530809</t>
  </si>
  <si>
    <t>diogenes_orozco@hotmail.com</t>
  </si>
  <si>
    <t>0846860705</t>
  </si>
  <si>
    <t>984746610</t>
  </si>
  <si>
    <t>63038238</t>
  </si>
  <si>
    <t>45642627</t>
  </si>
  <si>
    <t>GIOSUE STEFANO ANDRADE CARRERA</t>
  </si>
  <si>
    <t>1722969621</t>
  </si>
  <si>
    <t>450616044611372</t>
  </si>
  <si>
    <t>8959300520561486930</t>
  </si>
  <si>
    <t>0850622423</t>
  </si>
  <si>
    <t>984732654</t>
  </si>
  <si>
    <t>62995344</t>
  </si>
  <si>
    <t>985074652485958</t>
  </si>
  <si>
    <t>8959300520561489595</t>
  </si>
  <si>
    <t>984680838</t>
  </si>
  <si>
    <t>63049343</t>
  </si>
  <si>
    <t>43869288</t>
  </si>
  <si>
    <t>MARIA EUGENIA SUAREZ HIDALGO</t>
  </si>
  <si>
    <t>1713288304</t>
  </si>
  <si>
    <t>507139172550463</t>
  </si>
  <si>
    <t>8959300520561492243</t>
  </si>
  <si>
    <t>0851198437</t>
  </si>
  <si>
    <t>984613008</t>
  </si>
  <si>
    <t>62964137</t>
  </si>
  <si>
    <t>42310547</t>
  </si>
  <si>
    <t>EDWIN ALEXANDER CACUANGO VALENZUELA</t>
  </si>
  <si>
    <t>1726291881</t>
  </si>
  <si>
    <t>538820895884676</t>
  </si>
  <si>
    <t>8959300120522531203</t>
  </si>
  <si>
    <t>0846502562</t>
  </si>
  <si>
    <t>984555090</t>
  </si>
  <si>
    <t>62961642</t>
  </si>
  <si>
    <t>45638179</t>
  </si>
  <si>
    <t>ANDREA CAROLINA MEDINA DELGADO</t>
  </si>
  <si>
    <t>1721330890</t>
  </si>
  <si>
    <t>491221813546080</t>
  </si>
  <si>
    <t>8959300120522532037</t>
  </si>
  <si>
    <t>bbsita@gmail.com</t>
  </si>
  <si>
    <t>0846370982</t>
  </si>
  <si>
    <t>984499949</t>
  </si>
  <si>
    <t>63004437</t>
  </si>
  <si>
    <t>45680776</t>
  </si>
  <si>
    <t>JOSE RAFAEL TROYA PINTHUS</t>
  </si>
  <si>
    <t>1703077048</t>
  </si>
  <si>
    <t>981557084706094</t>
  </si>
  <si>
    <t>8959300120522532730</t>
  </si>
  <si>
    <t>rtroya@incaflowers.com</t>
  </si>
  <si>
    <t>0848730634</t>
  </si>
  <si>
    <t>984470747</t>
  </si>
  <si>
    <t>63053863</t>
  </si>
  <si>
    <t>42052812</t>
  </si>
  <si>
    <t>LUIS GONZALO PILATASIG QUISHPE</t>
  </si>
  <si>
    <t>0501524771</t>
  </si>
  <si>
    <t>913772339533184</t>
  </si>
  <si>
    <t>8959300520561485304</t>
  </si>
  <si>
    <t>0851437978</t>
  </si>
  <si>
    <t>984463078</t>
  </si>
  <si>
    <t>62946104</t>
  </si>
  <si>
    <t>41200400</t>
  </si>
  <si>
    <t>STEEVEN DAVID GUANGASIG YANCHAGUANO</t>
  </si>
  <si>
    <t>1725571655</t>
  </si>
  <si>
    <t>918339828408909</t>
  </si>
  <si>
    <t>8959300120522532813</t>
  </si>
  <si>
    <t>DAVIDCORPION_2000@hotmail.com</t>
  </si>
  <si>
    <t>0845504849</t>
  </si>
  <si>
    <t>984441720</t>
  </si>
  <si>
    <t>63048755</t>
  </si>
  <si>
    <t>43546753</t>
  </si>
  <si>
    <t>BRYAN ANDRES RODRIGUEZ GUTIERREZ</t>
  </si>
  <si>
    <t>0503789083</t>
  </si>
  <si>
    <t>LLOA</t>
  </si>
  <si>
    <t>517711518078462</t>
  </si>
  <si>
    <t>8959300520561487094</t>
  </si>
  <si>
    <t>bryanchan77go@gmail.com</t>
  </si>
  <si>
    <t>0851170335</t>
  </si>
  <si>
    <t>984411445</t>
  </si>
  <si>
    <t>63028233</t>
  </si>
  <si>
    <t>455732899461600</t>
  </si>
  <si>
    <t>8959300520561491245</t>
  </si>
  <si>
    <t>984359051</t>
  </si>
  <si>
    <t>63048437</t>
  </si>
  <si>
    <t>45721466</t>
  </si>
  <si>
    <t>KENNDRA DOMENIKA PICO COELLO</t>
  </si>
  <si>
    <t>1752783280</t>
  </si>
  <si>
    <t>534784484608207</t>
  </si>
  <si>
    <t>8959300520561492466</t>
  </si>
  <si>
    <t>KENNDRADOMENIKAVICO2014@GMAIL.COM</t>
  </si>
  <si>
    <t>0851153733</t>
  </si>
  <si>
    <t>984346241</t>
  </si>
  <si>
    <t>62995221</t>
  </si>
  <si>
    <t>45671931</t>
  </si>
  <si>
    <t>GUVENCIO ARTURO CHICA GARCIA</t>
  </si>
  <si>
    <t>1307143188</t>
  </si>
  <si>
    <t>869355517635627</t>
  </si>
  <si>
    <t>8959300520561489611</t>
  </si>
  <si>
    <t>0848285829</t>
  </si>
  <si>
    <t>984281297</t>
  </si>
  <si>
    <t>63054395</t>
  </si>
  <si>
    <t>45727315</t>
  </si>
  <si>
    <t>EDWIN DANIEL QUISPE VILLA</t>
  </si>
  <si>
    <t>1726043084</t>
  </si>
  <si>
    <t>302350207446356</t>
  </si>
  <si>
    <t>8959300520561485361</t>
  </si>
  <si>
    <t>EDWIN-VILLA05@HOTMAIL.ES</t>
  </si>
  <si>
    <t>0851466008</t>
  </si>
  <si>
    <t>984239554</t>
  </si>
  <si>
    <t>62941460</t>
  </si>
  <si>
    <t>42319450</t>
  </si>
  <si>
    <t>HECTOR HUGO CHAMBA CAJAMARCA</t>
  </si>
  <si>
    <t>1102657275</t>
  </si>
  <si>
    <t>538927149717881</t>
  </si>
  <si>
    <t>8959300120522528852</t>
  </si>
  <si>
    <t>0845195724</t>
  </si>
  <si>
    <t>984237509</t>
  </si>
  <si>
    <t>63017748</t>
  </si>
  <si>
    <t>45155567</t>
  </si>
  <si>
    <t>RUBEN ALBERTO ALDAZ TOPON</t>
  </si>
  <si>
    <t>1705087052</t>
  </si>
  <si>
    <t>499376892271364</t>
  </si>
  <si>
    <t>8959300520561485817</t>
  </si>
  <si>
    <t>0849442609</t>
  </si>
  <si>
    <t>984211577</t>
  </si>
  <si>
    <t>63056437</t>
  </si>
  <si>
    <t>45729357</t>
  </si>
  <si>
    <t>MIGUEL ANGEL LOPEZ RODRIGUEZ</t>
  </si>
  <si>
    <t>1002593703</t>
  </si>
  <si>
    <t>524159660916553</t>
  </si>
  <si>
    <t>8959300520561487011</t>
  </si>
  <si>
    <t>miguellopez@gmail.com</t>
  </si>
  <si>
    <t>0851585540</t>
  </si>
  <si>
    <t>984181098</t>
  </si>
  <si>
    <t>62994576</t>
  </si>
  <si>
    <t>866248857604738</t>
  </si>
  <si>
    <t>8959300520561490478</t>
  </si>
  <si>
    <t>984167559</t>
  </si>
  <si>
    <t>62962977</t>
  </si>
  <si>
    <t>44450521</t>
  </si>
  <si>
    <t>MARIA CRISTINA BAZAN GUTIERREZ</t>
  </si>
  <si>
    <t>1709594285</t>
  </si>
  <si>
    <t>501361988424933</t>
  </si>
  <si>
    <t>8959300120522531898</t>
  </si>
  <si>
    <t>cbazanster36@gmail.com</t>
  </si>
  <si>
    <t>0846444771</t>
  </si>
  <si>
    <t>984140431</t>
  </si>
  <si>
    <t>63055550</t>
  </si>
  <si>
    <t>45728423</t>
  </si>
  <si>
    <t>GABRIEL ALEJANDRO MARIÑO MERIZALDE</t>
  </si>
  <si>
    <t>1716766306</t>
  </si>
  <si>
    <t>015963136687326</t>
  </si>
  <si>
    <t>8959300520561487425</t>
  </si>
  <si>
    <t>alejo23icco@outlook.com</t>
  </si>
  <si>
    <t>0851529897</t>
  </si>
  <si>
    <t>958840987</t>
  </si>
  <si>
    <t>63048200</t>
  </si>
  <si>
    <t>12469145</t>
  </si>
  <si>
    <t>VACA AGUIAR EDISON PATRICIO .</t>
  </si>
  <si>
    <t>1709350803</t>
  </si>
  <si>
    <t>990104682272564</t>
  </si>
  <si>
    <t>8959300520561492441</t>
  </si>
  <si>
    <t>0851146382</t>
  </si>
  <si>
    <t>958841778</t>
  </si>
  <si>
    <t>62962784</t>
  </si>
  <si>
    <t>41277394</t>
  </si>
  <si>
    <t>ARIADNE DAMAR MEJIA REVELO</t>
  </si>
  <si>
    <t>1754941803</t>
  </si>
  <si>
    <t>453645169431784</t>
  </si>
  <si>
    <t>8959300120522532565</t>
  </si>
  <si>
    <t>0846433857</t>
  </si>
  <si>
    <t>984007949</t>
  </si>
  <si>
    <t>62968787</t>
  </si>
  <si>
    <t>43053597</t>
  </si>
  <si>
    <t>JENNIFER MARGARITA YANEZ CACERES</t>
  </si>
  <si>
    <t>1722709472</t>
  </si>
  <si>
    <t>AMAZONAS (ROSARIO DE CUYES)</t>
  </si>
  <si>
    <t>458225776186181</t>
  </si>
  <si>
    <t>8959300120522531526</t>
  </si>
  <si>
    <t>jennifer12@gmail.com</t>
  </si>
  <si>
    <t>0846758346</t>
  </si>
  <si>
    <t>8959300120522533456</t>
  </si>
  <si>
    <t>noha1295@gmail.com</t>
  </si>
  <si>
    <t>0848552796</t>
  </si>
  <si>
    <t>983979839</t>
  </si>
  <si>
    <t>63045676</t>
  </si>
  <si>
    <t>45393700</t>
  </si>
  <si>
    <t>308060870131557</t>
  </si>
  <si>
    <t>8959300520561491989</t>
  </si>
  <si>
    <t>estefania20@gmail.com</t>
  </si>
  <si>
    <t>0851011732</t>
  </si>
  <si>
    <t>983980184</t>
  </si>
  <si>
    <t>63048510</t>
  </si>
  <si>
    <t>455054175477717</t>
  </si>
  <si>
    <t>8959300520561492318</t>
  </si>
  <si>
    <t>0851161320</t>
  </si>
  <si>
    <t>983941682</t>
  </si>
  <si>
    <t>63047700</t>
  </si>
  <si>
    <t>40497548</t>
  </si>
  <si>
    <t>MODESTO SEBASTIAN ESPINOZA SALINAS</t>
  </si>
  <si>
    <t>1712852050</t>
  </si>
  <si>
    <t>334737578410692</t>
  </si>
  <si>
    <t>8959300520561492227</t>
  </si>
  <si>
    <t>0851125705</t>
  </si>
  <si>
    <t>983867962</t>
  </si>
  <si>
    <t>62991818</t>
  </si>
  <si>
    <t>43850143</t>
  </si>
  <si>
    <t>SEGUNDO JOSE MARIA ESPINOSA PISUÑA</t>
  </si>
  <si>
    <t>1704489721</t>
  </si>
  <si>
    <t>529038726613005</t>
  </si>
  <si>
    <t>8959300120522533563</t>
  </si>
  <si>
    <t>abigail_espinosa1409@hotmail.com</t>
  </si>
  <si>
    <t>0848101479</t>
  </si>
  <si>
    <t>983858725</t>
  </si>
  <si>
    <t>62956582</t>
  </si>
  <si>
    <t>45633269</t>
  </si>
  <si>
    <t>BYRON RODRIGO GERMAN CAMPOS</t>
  </si>
  <si>
    <t>0502840648</t>
  </si>
  <si>
    <t>332198787888834</t>
  </si>
  <si>
    <t>8959300120522532235</t>
  </si>
  <si>
    <t>byrongerman@gmail.com</t>
  </si>
  <si>
    <t>0846096183</t>
  </si>
  <si>
    <t>983835126</t>
  </si>
  <si>
    <t>62990962</t>
  </si>
  <si>
    <t>41843384</t>
  </si>
  <si>
    <t>SERGIO ALONSO ESCOBAR MONCAYO</t>
  </si>
  <si>
    <t>1717431983</t>
  </si>
  <si>
    <t>533029523616865</t>
  </si>
  <si>
    <t>8959300120522533555</t>
  </si>
  <si>
    <t>NAE105952</t>
  </si>
  <si>
    <t>SALESLAND RECREO (HERMOSA SHARON)</t>
  </si>
  <si>
    <t>SHARON MICHELLE HERMOSA ALBAN</t>
  </si>
  <si>
    <t>srgioescobar20@gmail.com</t>
  </si>
  <si>
    <t>0848047685</t>
  </si>
  <si>
    <t>983829381</t>
  </si>
  <si>
    <t>63014498</t>
  </si>
  <si>
    <t>44230855</t>
  </si>
  <si>
    <t>019087449384094</t>
  </si>
  <si>
    <t>8959300520561491187</t>
  </si>
  <si>
    <t>olgaendara@hotmail.com</t>
  </si>
  <si>
    <t>0849019754</t>
  </si>
  <si>
    <t>983800353</t>
  </si>
  <si>
    <t>62995560</t>
  </si>
  <si>
    <t>45672280</t>
  </si>
  <si>
    <t>ANA LUCIA LASSO NARANJO</t>
  </si>
  <si>
    <t>1713835567</t>
  </si>
  <si>
    <t>521695294733222</t>
  </si>
  <si>
    <t>8959300520561489926</t>
  </si>
  <si>
    <t>anitalasso@gmail.com</t>
  </si>
  <si>
    <t>0848302309</t>
  </si>
  <si>
    <t>983740977</t>
  </si>
  <si>
    <t>63037545</t>
  </si>
  <si>
    <t>300536824498190</t>
  </si>
  <si>
    <t>8959300520561486823</t>
  </si>
  <si>
    <t>983364208</t>
  </si>
  <si>
    <t>62951809</t>
  </si>
  <si>
    <t>43033577</t>
  </si>
  <si>
    <t>ROBERTH EDISON SALTOS SOLEDISPA</t>
  </si>
  <si>
    <t>1307746394</t>
  </si>
  <si>
    <t>338476728146809</t>
  </si>
  <si>
    <t>8959300120522534264</t>
  </si>
  <si>
    <t>0845854291</t>
  </si>
  <si>
    <t>983213311</t>
  </si>
  <si>
    <t>62961903</t>
  </si>
  <si>
    <t>444067227317743</t>
  </si>
  <si>
    <t>8959300120522531989</t>
  </si>
  <si>
    <t>983171291</t>
  </si>
  <si>
    <t>63028376</t>
  </si>
  <si>
    <t>501807748837186</t>
  </si>
  <si>
    <t>8959300520561490999</t>
  </si>
  <si>
    <t>983153428</t>
  </si>
  <si>
    <t>63016427</t>
  </si>
  <si>
    <t>45691768</t>
  </si>
  <si>
    <t>NATHALY DANIELA PAVON SIERRA</t>
  </si>
  <si>
    <t>1727270074</t>
  </si>
  <si>
    <t>354168645942563</t>
  </si>
  <si>
    <t>8959300520561485874</t>
  </si>
  <si>
    <t>DANIELAPAVONSIERRA@HOTMAIL.COM</t>
  </si>
  <si>
    <t>0849380915</t>
  </si>
  <si>
    <t>983134714</t>
  </si>
  <si>
    <t>63057041</t>
  </si>
  <si>
    <t>32675813</t>
  </si>
  <si>
    <t>EDISON GEOVANNY SARZOSA VIRACOCHA</t>
  </si>
  <si>
    <t>0502966153</t>
  </si>
  <si>
    <t>MACHACHI</t>
  </si>
  <si>
    <t>868995540066885</t>
  </si>
  <si>
    <t>8959300520561484604</t>
  </si>
  <si>
    <t>EDISONVIRACOCHA1983@gmail.com</t>
  </si>
  <si>
    <t>0851623810</t>
  </si>
  <si>
    <t>983101292</t>
  </si>
  <si>
    <t>63000844</t>
  </si>
  <si>
    <t>20249988</t>
  </si>
  <si>
    <t>SANDRA XIMENA TAPIA ILLESCAS</t>
  </si>
  <si>
    <t>1718720103</t>
  </si>
  <si>
    <t>015430646458580</t>
  </si>
  <si>
    <t>8959300520561493001</t>
  </si>
  <si>
    <t>0848544862</t>
  </si>
  <si>
    <t>983096399</t>
  </si>
  <si>
    <t>63049219</t>
  </si>
  <si>
    <t>11667733</t>
  </si>
  <si>
    <t>MAIGUA LUZMILA MUENALA .</t>
  </si>
  <si>
    <t>1711419869</t>
  </si>
  <si>
    <t>357249359179498</t>
  </si>
  <si>
    <t>8959300520561484901</t>
  </si>
  <si>
    <t>LUZMILAMUENALA@gmail.com</t>
  </si>
  <si>
    <t>0851193440</t>
  </si>
  <si>
    <t>983034583</t>
  </si>
  <si>
    <t>62984470</t>
  </si>
  <si>
    <t>45661611</t>
  </si>
  <si>
    <t>MARCELO ENRIQUE CHICAIZA RUIZ</t>
  </si>
  <si>
    <t>1710367044</t>
  </si>
  <si>
    <t>454617125434805</t>
  </si>
  <si>
    <t>8959300520561493597</t>
  </si>
  <si>
    <t>SDC@HOTMAIL.COM</t>
  </si>
  <si>
    <t>0847642317</t>
  </si>
  <si>
    <t>983027934</t>
  </si>
  <si>
    <t>62971180</t>
  </si>
  <si>
    <t>34440845</t>
  </si>
  <si>
    <t>MAYRA JANETH SUNTASIG VARGAS</t>
  </si>
  <si>
    <t>1717622581</t>
  </si>
  <si>
    <t>541855209096232</t>
  </si>
  <si>
    <t>8959300120522530924</t>
  </si>
  <si>
    <t>MSUNTASIG_EC82@YAHOO.COM</t>
  </si>
  <si>
    <t>0846901872</t>
  </si>
  <si>
    <t>979369549</t>
  </si>
  <si>
    <t>62940912</t>
  </si>
  <si>
    <t>33350731</t>
  </si>
  <si>
    <t>JAIME ROBERTO CASTILLO CAJAMARCA</t>
  </si>
  <si>
    <t>1720279544</t>
  </si>
  <si>
    <t>106326536708656</t>
  </si>
  <si>
    <t>8959300120522529033</t>
  </si>
  <si>
    <t>SAMIR-ROBER@HOTMAIL.COM</t>
  </si>
  <si>
    <t>0845157858</t>
  </si>
  <si>
    <t>979359916</t>
  </si>
  <si>
    <t>63027448</t>
  </si>
  <si>
    <t>45701831</t>
  </si>
  <si>
    <t>BYRON VINICIO AMORES LLUMIQUINGA</t>
  </si>
  <si>
    <t>1713463451</t>
  </si>
  <si>
    <t>996998059639758</t>
  </si>
  <si>
    <t>8959300520561491294</t>
  </si>
  <si>
    <t>byronamores@gmail.com</t>
  </si>
  <si>
    <t>0849993422</t>
  </si>
  <si>
    <t>979351253</t>
  </si>
  <si>
    <t>62996676</t>
  </si>
  <si>
    <t>45673342</t>
  </si>
  <si>
    <t>JOHN MARLON SAENZ NIETO</t>
  </si>
  <si>
    <t>AU770496</t>
  </si>
  <si>
    <t>491300371286014</t>
  </si>
  <si>
    <t>8959300520561492516</t>
  </si>
  <si>
    <t>JHONMA.SN@OUTLOOK.COM</t>
  </si>
  <si>
    <t>0848351708</t>
  </si>
  <si>
    <t>8959300520561490395</t>
  </si>
  <si>
    <t>donitofa@hotmail.com</t>
  </si>
  <si>
    <t>0849408266</t>
  </si>
  <si>
    <t>979296954</t>
  </si>
  <si>
    <t>63021047</t>
  </si>
  <si>
    <t>45695961</t>
  </si>
  <si>
    <t>JESSICA MARILU MANOBANDA CIFUENTES</t>
  </si>
  <si>
    <t>1751575919</t>
  </si>
  <si>
    <t>911271972750884</t>
  </si>
  <si>
    <t>8959300520561491047</t>
  </si>
  <si>
    <t>0849616416</t>
  </si>
  <si>
    <t>979288534</t>
  </si>
  <si>
    <t>62969065</t>
  </si>
  <si>
    <t>40766241</t>
  </si>
  <si>
    <t>ESTEFANIA NICOLE MORAN MENDEZ</t>
  </si>
  <si>
    <t>1723460695</t>
  </si>
  <si>
    <t>016935579795518</t>
  </si>
  <si>
    <t>8959300120522531609</t>
  </si>
  <si>
    <t>estefaskarlet14@hotmail.com</t>
  </si>
  <si>
    <t>0846775712</t>
  </si>
  <si>
    <t>958880020</t>
  </si>
  <si>
    <t>63053867</t>
  </si>
  <si>
    <t>41709391</t>
  </si>
  <si>
    <t>JULIANA HURTADO LOPEZ</t>
  </si>
  <si>
    <t>1720898954</t>
  </si>
  <si>
    <t>443875309576759</t>
  </si>
  <si>
    <t>8959300520561486997</t>
  </si>
  <si>
    <t>juliana.hurtado@outloo.com</t>
  </si>
  <si>
    <t>0851429135</t>
  </si>
  <si>
    <t>979261340</t>
  </si>
  <si>
    <t>63045677</t>
  </si>
  <si>
    <t>531567190237780</t>
  </si>
  <si>
    <t>8959300520561492078</t>
  </si>
  <si>
    <t>979178049</t>
  </si>
  <si>
    <t>63024642</t>
  </si>
  <si>
    <t>44409370</t>
  </si>
  <si>
    <t>862092703931786</t>
  </si>
  <si>
    <t>8959300520561491385</t>
  </si>
  <si>
    <t>brithanysamito@gmail.com</t>
  </si>
  <si>
    <t>0849842479</t>
  </si>
  <si>
    <t>979112227</t>
  </si>
  <si>
    <t>62975666</t>
  </si>
  <si>
    <t>21723617</t>
  </si>
  <si>
    <t>GALO PATRICIO EGAS CELI</t>
  </si>
  <si>
    <t>1711575942</t>
  </si>
  <si>
    <t>100850635067512</t>
  </si>
  <si>
    <t>8959300520561494454</t>
  </si>
  <si>
    <t>PATRICIOEGASCELI@HOTMAIL.COM</t>
  </si>
  <si>
    <t>0847160047</t>
  </si>
  <si>
    <t>979080806</t>
  </si>
  <si>
    <t>62969788</t>
  </si>
  <si>
    <t>45645927</t>
  </si>
  <si>
    <t>SOLANDA GERMANIA CHAVEZ OROZCO</t>
  </si>
  <si>
    <t>1711772879</t>
  </si>
  <si>
    <t>336547590863051</t>
  </si>
  <si>
    <t>8959300120522530684</t>
  </si>
  <si>
    <t>SOLNADA@HOTMAIL.COM</t>
  </si>
  <si>
    <t>0846825814</t>
  </si>
  <si>
    <t>979037553</t>
  </si>
  <si>
    <t>63047699</t>
  </si>
  <si>
    <t>332133425524764</t>
  </si>
  <si>
    <t>8959300520561492185</t>
  </si>
  <si>
    <t>979014147</t>
  </si>
  <si>
    <t>63053493</t>
  </si>
  <si>
    <t>45726457</t>
  </si>
  <si>
    <t>DAVID ALEJANDRO DIAZ SALCEDO</t>
  </si>
  <si>
    <t>1750919993</t>
  </si>
  <si>
    <t>517567429534518</t>
  </si>
  <si>
    <t>8959300520561485262</t>
  </si>
  <si>
    <t>david20@gmail.com</t>
  </si>
  <si>
    <t>0851415927</t>
  </si>
  <si>
    <t>979010219</t>
  </si>
  <si>
    <t>63036642</t>
  </si>
  <si>
    <t>40067500</t>
  </si>
  <si>
    <t>KERLEY VINICIO CHAVEZ SIERRA</t>
  </si>
  <si>
    <t>1707618326</t>
  </si>
  <si>
    <t>359368544861014</t>
  </si>
  <si>
    <t>8959300520561485593</t>
  </si>
  <si>
    <t>kellych.fl93@hotmail.com</t>
  </si>
  <si>
    <t>0850522678</t>
  </si>
  <si>
    <t>969064686</t>
  </si>
  <si>
    <t>63049607</t>
  </si>
  <si>
    <t>45722692</t>
  </si>
  <si>
    <t>ESTEBAN ALEXANDER MONTES MARTINEZ</t>
  </si>
  <si>
    <t>1727061861</t>
  </si>
  <si>
    <t>104184557506018</t>
  </si>
  <si>
    <t>8959300520561484976</t>
  </si>
  <si>
    <t>esteban12@gmail.com</t>
  </si>
  <si>
    <t>0851208214</t>
  </si>
  <si>
    <t>969052470</t>
  </si>
  <si>
    <t>63021202</t>
  </si>
  <si>
    <t>43473281</t>
  </si>
  <si>
    <t>ALONSO DIAZ TAIPICAÑA</t>
  </si>
  <si>
    <t>1716712763</t>
  </si>
  <si>
    <t>910298514094738</t>
  </si>
  <si>
    <t>8959300520561491484</t>
  </si>
  <si>
    <t>0849630987</t>
  </si>
  <si>
    <t>963039144</t>
  </si>
  <si>
    <t>63030843</t>
  </si>
  <si>
    <t>30242700</t>
  </si>
  <si>
    <t>EDWIN EFRAIN OSORIO VEINTIMILLA</t>
  </si>
  <si>
    <t>1715994362</t>
  </si>
  <si>
    <t>535252079468956</t>
  </si>
  <si>
    <t>8959300520561486500</t>
  </si>
  <si>
    <t>0850194268</t>
  </si>
  <si>
    <t>963035698</t>
  </si>
  <si>
    <t>63048718</t>
  </si>
  <si>
    <t>44211207</t>
  </si>
  <si>
    <t>LENIN JAIR ALBUJA BARBERAN</t>
  </si>
  <si>
    <t>1726744475</t>
  </si>
  <si>
    <t>351255022737519</t>
  </si>
  <si>
    <t>8959300520561492276</t>
  </si>
  <si>
    <t>leninjairalbuja1209@gmail.com</t>
  </si>
  <si>
    <t>0851167476</t>
  </si>
  <si>
    <t>962996195</t>
  </si>
  <si>
    <t>62952126</t>
  </si>
  <si>
    <t>44963087</t>
  </si>
  <si>
    <t>ROBERTO ALEJANDRO AGUALONGO GUEVARA</t>
  </si>
  <si>
    <t>1752177913</t>
  </si>
  <si>
    <t>016837614075676</t>
  </si>
  <si>
    <t>8959300120522533829</t>
  </si>
  <si>
    <t>0845868951</t>
  </si>
  <si>
    <t>962990693</t>
  </si>
  <si>
    <t>63048688</t>
  </si>
  <si>
    <t>45721770</t>
  </si>
  <si>
    <t>CONSUELITO DEL PILAR CEVALLOS ROMERO</t>
  </si>
  <si>
    <t>1714140264</t>
  </si>
  <si>
    <t>527860006152517</t>
  </si>
  <si>
    <t>8959300520561492284</t>
  </si>
  <si>
    <t>notiene12@gmail.com</t>
  </si>
  <si>
    <t>0851168683</t>
  </si>
  <si>
    <t>962972969</t>
  </si>
  <si>
    <t>63000135</t>
  </si>
  <si>
    <t>45676719</t>
  </si>
  <si>
    <t>VICENTE NICOLAS LOYOLA DE LA TORRE</t>
  </si>
  <si>
    <t>0917643314</t>
  </si>
  <si>
    <t>301994954081188</t>
  </si>
  <si>
    <t>8959300120522533589</t>
  </si>
  <si>
    <t>VNICOLASLOYOLA@GMAIL.COM</t>
  </si>
  <si>
    <t>0848508910</t>
  </si>
  <si>
    <t>962973277</t>
  </si>
  <si>
    <t>62951419</t>
  </si>
  <si>
    <t>29397311</t>
  </si>
  <si>
    <t>MONICA DEL CARMEN LESCANO CHIGUANO</t>
  </si>
  <si>
    <t>1718623901</t>
  </si>
  <si>
    <t>013139213757751</t>
  </si>
  <si>
    <t>8959300120522534454</t>
  </si>
  <si>
    <t>0845830121</t>
  </si>
  <si>
    <t>962967123</t>
  </si>
  <si>
    <t>63043274</t>
  </si>
  <si>
    <t>45716601</t>
  </si>
  <si>
    <t>MANUEL ENRIQUE GUACAPIÑA QUINALUISA</t>
  </si>
  <si>
    <t>1727844860</t>
  </si>
  <si>
    <t>358759371606244</t>
  </si>
  <si>
    <t>8959300520561491799</t>
  </si>
  <si>
    <t>ENRIQUE123GQ@GAMILC.OM</t>
  </si>
  <si>
    <t>0850912106</t>
  </si>
  <si>
    <t>962943215</t>
  </si>
  <si>
    <t>63053492</t>
  </si>
  <si>
    <t>446195424279974</t>
  </si>
  <si>
    <t>8959300520561485254</t>
  </si>
  <si>
    <t>962663466</t>
  </si>
  <si>
    <t>62945401</t>
  </si>
  <si>
    <t>45259036</t>
  </si>
  <si>
    <t>ROSA ELENA DIAZ ARIAS</t>
  </si>
  <si>
    <t>1711176477</t>
  </si>
  <si>
    <t>352171591574671</t>
  </si>
  <si>
    <t>8959300120522532938</t>
  </si>
  <si>
    <t>rosaelenadiaz12@hotmail.com</t>
  </si>
  <si>
    <t>0845460213</t>
  </si>
  <si>
    <t>962662867</t>
  </si>
  <si>
    <t>63016227</t>
  </si>
  <si>
    <t>42437524</t>
  </si>
  <si>
    <t>ANA CECILIA MINIGUANO CHISAGUANO</t>
  </si>
  <si>
    <t>1716278062</t>
  </si>
  <si>
    <t>860053760720084</t>
  </si>
  <si>
    <t>8959300520561490593</t>
  </si>
  <si>
    <t>0849374064</t>
  </si>
  <si>
    <t>962655972</t>
  </si>
  <si>
    <t>62995483</t>
  </si>
  <si>
    <t>40665717</t>
  </si>
  <si>
    <t>528204275860097</t>
  </si>
  <si>
    <t>8959300520561489629</t>
  </si>
  <si>
    <t>0848300706</t>
  </si>
  <si>
    <t>962615260</t>
  </si>
  <si>
    <t>63043052</t>
  </si>
  <si>
    <t>915208890973681</t>
  </si>
  <si>
    <t>8959300520561487052</t>
  </si>
  <si>
    <t>0850901582</t>
  </si>
  <si>
    <t>962591513</t>
  </si>
  <si>
    <t>63006971</t>
  </si>
  <si>
    <t>34085020</t>
  </si>
  <si>
    <t>CRISTIAN MAURICIO QUINALUISA VALENZUELA</t>
  </si>
  <si>
    <t>1720971736</t>
  </si>
  <si>
    <t>865086962510924</t>
  </si>
  <si>
    <t>8959300520561493472</t>
  </si>
  <si>
    <t>crisquinalusa@gmail.com</t>
  </si>
  <si>
    <t>0848877662</t>
  </si>
  <si>
    <t>960416100</t>
  </si>
  <si>
    <t>63018965</t>
  </si>
  <si>
    <t>524334670959014</t>
  </si>
  <si>
    <t>8959300520561489900</t>
  </si>
  <si>
    <t>0848288722</t>
  </si>
  <si>
    <t>958970361</t>
  </si>
  <si>
    <t>63045032</t>
  </si>
  <si>
    <t>43326959</t>
  </si>
  <si>
    <t>GIANNA MARIA PEROTTI COELLO</t>
  </si>
  <si>
    <t>1705375754</t>
  </si>
  <si>
    <t>445596495598534</t>
  </si>
  <si>
    <t>8959300520561487292</t>
  </si>
  <si>
    <t>proveedoresmeci@gmail.com</t>
  </si>
  <si>
    <t>0850985180</t>
  </si>
  <si>
    <t>958962101</t>
  </si>
  <si>
    <t>63049988</t>
  </si>
  <si>
    <t>44394044</t>
  </si>
  <si>
    <t>MARJORIE FERNANDA ZAMBRANO PALACIOS</t>
  </si>
  <si>
    <t>1723752695</t>
  </si>
  <si>
    <t>918620663197065</t>
  </si>
  <si>
    <t>8959300520561485007</t>
  </si>
  <si>
    <t>MARJORIEZAMPA@HOTMAIL.COM</t>
  </si>
  <si>
    <t>0851222010</t>
  </si>
  <si>
    <t>958941848</t>
  </si>
  <si>
    <t>63040261</t>
  </si>
  <si>
    <t>38127799</t>
  </si>
  <si>
    <t>MARIA BERTHA GUERRERO ORDOÑEZ GUERRERO ORDOÑEZ</t>
  </si>
  <si>
    <t>1709869372</t>
  </si>
  <si>
    <t>301094434309208</t>
  </si>
  <si>
    <t>8959300520561491609</t>
  </si>
  <si>
    <t>MARIABERTHA@GMAIL.COM</t>
  </si>
  <si>
    <t>0850736781</t>
  </si>
  <si>
    <t>939877050</t>
  </si>
  <si>
    <t>62944522</t>
  </si>
  <si>
    <t>45608903</t>
  </si>
  <si>
    <t>ALINSON SAMANTA CARRION AGUILAR</t>
  </si>
  <si>
    <t>0750142135</t>
  </si>
  <si>
    <t>352488987208593</t>
  </si>
  <si>
    <t>8959300120521837429</t>
  </si>
  <si>
    <t>ANDREA GABRIELA LUNA JACHO</t>
  </si>
  <si>
    <t>SAMY_C95@HOTMAIL.CON</t>
  </si>
  <si>
    <t>0844606949</t>
  </si>
  <si>
    <t>999925371</t>
  </si>
  <si>
    <t>62987678</t>
  </si>
  <si>
    <t>45664568</t>
  </si>
  <si>
    <t>MARIA DOLORES SAMANIEGO SAMANIEGO</t>
  </si>
  <si>
    <t>0101458891</t>
  </si>
  <si>
    <t>500179737930708</t>
  </si>
  <si>
    <t>8959300520560328653</t>
  </si>
  <si>
    <t>samaniego_lolita@outlook.com</t>
  </si>
  <si>
    <t>0847843519</t>
  </si>
  <si>
    <t>999867794</t>
  </si>
  <si>
    <t>62960099</t>
  </si>
  <si>
    <t>45260288</t>
  </si>
  <si>
    <t>UBALDINA BRITO DURAN</t>
  </si>
  <si>
    <t>0102310687</t>
  </si>
  <si>
    <t>495498552887448</t>
  </si>
  <si>
    <t>8959300120521834962</t>
  </si>
  <si>
    <t>JORGE VINICIO CALLE CHACA</t>
  </si>
  <si>
    <t>diani2410@hotmail.com</t>
  </si>
  <si>
    <t>0846282585</t>
  </si>
  <si>
    <t>999867123</t>
  </si>
  <si>
    <t>63038078</t>
  </si>
  <si>
    <t>43409236</t>
  </si>
  <si>
    <t>MATEO JOSUE PEREZ GUAMAN</t>
  </si>
  <si>
    <t>0150048130</t>
  </si>
  <si>
    <t>496204283238607</t>
  </si>
  <si>
    <t>8959300520560325865</t>
  </si>
  <si>
    <t>0850609801</t>
  </si>
  <si>
    <t>999707629</t>
  </si>
  <si>
    <t>62983765</t>
  </si>
  <si>
    <t>33523042</t>
  </si>
  <si>
    <t>JESUS ISAAC ARMIJOS MERINO</t>
  </si>
  <si>
    <t>0106659493</t>
  </si>
  <si>
    <t>105794708011624</t>
  </si>
  <si>
    <t>8959300520560328745</t>
  </si>
  <si>
    <t>ROMAN NICOLAS VALLEJO DELEG</t>
  </si>
  <si>
    <t>armijosjesusisaac@gmail.com</t>
  </si>
  <si>
    <t>0847605756</t>
  </si>
  <si>
    <t>999299697</t>
  </si>
  <si>
    <t>62942582</t>
  </si>
  <si>
    <t>45619930</t>
  </si>
  <si>
    <t>MARIA DE LOS ANGELES GALLEGO DEL SOL</t>
  </si>
  <si>
    <t>M328228</t>
  </si>
  <si>
    <t>995704810683338</t>
  </si>
  <si>
    <t>8959300120521837064</t>
  </si>
  <si>
    <t>MKAANG@HOTMAIL.ES</t>
  </si>
  <si>
    <t>0845265955</t>
  </si>
  <si>
    <t>999033343</t>
  </si>
  <si>
    <t>62984391</t>
  </si>
  <si>
    <t>45661512</t>
  </si>
  <si>
    <t>RICARDO RAMON CARCHIPULLA CHIMBO</t>
  </si>
  <si>
    <t>0106288418</t>
  </si>
  <si>
    <t>013581347285243</t>
  </si>
  <si>
    <t>8959300520560328679</t>
  </si>
  <si>
    <t>chicocacho1234@hotmail.com</t>
  </si>
  <si>
    <t>0847635285</t>
  </si>
  <si>
    <t>999000977</t>
  </si>
  <si>
    <t>63035230</t>
  </si>
  <si>
    <t>22180386</t>
  </si>
  <si>
    <t>492835929803884</t>
  </si>
  <si>
    <t>8959300520560325600</t>
  </si>
  <si>
    <t>fernando.jararivera@hotmail.com</t>
  </si>
  <si>
    <t>0850435931</t>
  </si>
  <si>
    <t>999002056</t>
  </si>
  <si>
    <t>63021319</t>
  </si>
  <si>
    <t>38030359</t>
  </si>
  <si>
    <t>JAIME MANUEL TAPIA CHACON</t>
  </si>
  <si>
    <t>0300845690</t>
  </si>
  <si>
    <t>304825783053005</t>
  </si>
  <si>
    <t>8959300520560326269</t>
  </si>
  <si>
    <t>jaimetapia278@gmail.com</t>
  </si>
  <si>
    <t>0849639823</t>
  </si>
  <si>
    <t>998885298</t>
  </si>
  <si>
    <t>63014486</t>
  </si>
  <si>
    <t>37892334</t>
  </si>
  <si>
    <t>HENRY FABIAN FAICAN YASCARIBAY</t>
  </si>
  <si>
    <t>0150657740</t>
  </si>
  <si>
    <t>502444120418796</t>
  </si>
  <si>
    <t>8959300520560325543</t>
  </si>
  <si>
    <t>PAOLA YESSENIA GONZALEZ ALVARRACIN</t>
  </si>
  <si>
    <t>0849266927</t>
  </si>
  <si>
    <t>8959300520560326491</t>
  </si>
  <si>
    <t>SUCAJANETH@HOTMAIL.COM</t>
  </si>
  <si>
    <t>0848948483</t>
  </si>
  <si>
    <t>998577597</t>
  </si>
  <si>
    <t>62951669</t>
  </si>
  <si>
    <t>45628247</t>
  </si>
  <si>
    <t>WILMER GONZALO GUTIERREZ GARCIA</t>
  </si>
  <si>
    <t>0104814140</t>
  </si>
  <si>
    <t>917170988278795</t>
  </si>
  <si>
    <t>8959300120521835050</t>
  </si>
  <si>
    <t>wil_gut_84@hotmail.es</t>
  </si>
  <si>
    <t>0845844248</t>
  </si>
  <si>
    <t>998297729</t>
  </si>
  <si>
    <t>63057538</t>
  </si>
  <si>
    <t>45730484</t>
  </si>
  <si>
    <t>JULIA DOLORES RIERA RIERA</t>
  </si>
  <si>
    <t>0101948180</t>
  </si>
  <si>
    <t>507278599992443</t>
  </si>
  <si>
    <t>8959300520560299185</t>
  </si>
  <si>
    <t>CHRISTIAN EDUARDO ANDRADE CANDO</t>
  </si>
  <si>
    <t>juliariera@gmail.com</t>
  </si>
  <si>
    <t>0851643950</t>
  </si>
  <si>
    <t>958719432</t>
  </si>
  <si>
    <t>62987580</t>
  </si>
  <si>
    <t>45664472</t>
  </si>
  <si>
    <t>PASCAL JAKUB SCHREIBER</t>
  </si>
  <si>
    <t>C4VTFL5HG</t>
  </si>
  <si>
    <t>504967220000195</t>
  </si>
  <si>
    <t>8959300520560328661</t>
  </si>
  <si>
    <t>PASCALSCH12@GMAIL.COM</t>
  </si>
  <si>
    <t>CARCHI</t>
  </si>
  <si>
    <t>0847833148</t>
  </si>
  <si>
    <t>998198577</t>
  </si>
  <si>
    <t>62951562</t>
  </si>
  <si>
    <t>015941154612624</t>
  </si>
  <si>
    <t>8959300120521835084</t>
  </si>
  <si>
    <t>0845839074</t>
  </si>
  <si>
    <t>996921551</t>
  </si>
  <si>
    <t>62939119</t>
  </si>
  <si>
    <t>45604698</t>
  </si>
  <si>
    <t>SANTIAGO FELIPE LUNA ROMERO</t>
  </si>
  <si>
    <t>0302241617</t>
  </si>
  <si>
    <t>508103736517078</t>
  </si>
  <si>
    <t>8959300120521052870</t>
  </si>
  <si>
    <t>notiene@movistar.com.ec</t>
  </si>
  <si>
    <t>0844381530</t>
  </si>
  <si>
    <t>995911925</t>
  </si>
  <si>
    <t>62994248</t>
  </si>
  <si>
    <t>21528626</t>
  </si>
  <si>
    <t>DIANA ALEXANDRA CAJAMARCA CARDENAS</t>
  </si>
  <si>
    <t>0104409248</t>
  </si>
  <si>
    <t>456209096042615</t>
  </si>
  <si>
    <t>8959300520560329297</t>
  </si>
  <si>
    <t>0848235682</t>
  </si>
  <si>
    <t>995823296</t>
  </si>
  <si>
    <t>62941051</t>
  </si>
  <si>
    <t>34292585</t>
  </si>
  <si>
    <t>KATHLEEN INEZ RODAS ALBAN</t>
  </si>
  <si>
    <t>1754433702</t>
  </si>
  <si>
    <t>525434710614535</t>
  </si>
  <si>
    <t>8959300120521837072</t>
  </si>
  <si>
    <t>ltsmith352@yahoo.com</t>
  </si>
  <si>
    <t>0845167758</t>
  </si>
  <si>
    <t>995770367</t>
  </si>
  <si>
    <t>63006262</t>
  </si>
  <si>
    <t>45682501</t>
  </si>
  <si>
    <t>SARA SOFIA ULLOA ZEAS</t>
  </si>
  <si>
    <t>0105883169</t>
  </si>
  <si>
    <t>503886983140470</t>
  </si>
  <si>
    <t>8959300520560328646</t>
  </si>
  <si>
    <t>SARAULLOA88@GMAIL.COM</t>
  </si>
  <si>
    <t>0848838088</t>
  </si>
  <si>
    <t>995759994</t>
  </si>
  <si>
    <t>63021432</t>
  </si>
  <si>
    <t>45696302</t>
  </si>
  <si>
    <t>FAUSTO RAMIRO BERMEO COYAGO</t>
  </si>
  <si>
    <t>0103437117</t>
  </si>
  <si>
    <t>508989378182175</t>
  </si>
  <si>
    <t>8959300520560326277</t>
  </si>
  <si>
    <t>FASTORAMIRO@GMAIL.COM</t>
  </si>
  <si>
    <t>0849646386</t>
  </si>
  <si>
    <t>958743552</t>
  </si>
  <si>
    <t>62969668</t>
  </si>
  <si>
    <t>45645809</t>
  </si>
  <si>
    <t>JONNATHAN PATRICIO AVILES CAAMAÑO</t>
  </si>
  <si>
    <t>0106725567</t>
  </si>
  <si>
    <t>917930072744774</t>
  </si>
  <si>
    <t>8959300120521835373</t>
  </si>
  <si>
    <t>VAGRUPOLEGAL@GMAIL.COM</t>
  </si>
  <si>
    <t>0846817439</t>
  </si>
  <si>
    <t>995639747</t>
  </si>
  <si>
    <t>62946643</t>
  </si>
  <si>
    <t>28486843</t>
  </si>
  <si>
    <t>BLANCA NORMA GOMEZ GOMEZ</t>
  </si>
  <si>
    <t>0301086815</t>
  </si>
  <si>
    <t>508769078858344</t>
  </si>
  <si>
    <t>8959300120521835118</t>
  </si>
  <si>
    <t>PALOMABLANCA666@HOTMAIL.COM</t>
  </si>
  <si>
    <t>0845536483</t>
  </si>
  <si>
    <t>995288136</t>
  </si>
  <si>
    <t>62994047</t>
  </si>
  <si>
    <t>32051503</t>
  </si>
  <si>
    <t>TANIA XIMENA CAJAMARCA CARDENAS</t>
  </si>
  <si>
    <t>0107209728</t>
  </si>
  <si>
    <t>994912488245238</t>
  </si>
  <si>
    <t>8959300520560329446</t>
  </si>
  <si>
    <t>0848226721</t>
  </si>
  <si>
    <t>995218509</t>
  </si>
  <si>
    <t>63006787</t>
  </si>
  <si>
    <t>40661684</t>
  </si>
  <si>
    <t>VICTOR FELIPE VALLEJO ULLAURI</t>
  </si>
  <si>
    <t>0105675086</t>
  </si>
  <si>
    <t>997611653806959</t>
  </si>
  <si>
    <t>8959300520560329024</t>
  </si>
  <si>
    <t>FELIPEVU@OUTLOOK.COM</t>
  </si>
  <si>
    <t>0848856993</t>
  </si>
  <si>
    <t>8959300120521835407</t>
  </si>
  <si>
    <t>ericsito_10@hotmail.com</t>
  </si>
  <si>
    <t>0846868724</t>
  </si>
  <si>
    <t>958759018</t>
  </si>
  <si>
    <t>62988164</t>
  </si>
  <si>
    <t>30182905</t>
  </si>
  <si>
    <t>108738614784193</t>
  </si>
  <si>
    <t>8959300520560329107</t>
  </si>
  <si>
    <t>MANUEL.PILA@YAHOO.ES</t>
  </si>
  <si>
    <t>0847880262</t>
  </si>
  <si>
    <t>995000732</t>
  </si>
  <si>
    <t>63016892</t>
  </si>
  <si>
    <t>20346145</t>
  </si>
  <si>
    <t>DIANA GABRIELA CARDENAS CADME</t>
  </si>
  <si>
    <t>0105735310</t>
  </si>
  <si>
    <t>106279591710887</t>
  </si>
  <si>
    <t>8959300520560326319</t>
  </si>
  <si>
    <t>0849408394</t>
  </si>
  <si>
    <t>994703612</t>
  </si>
  <si>
    <t>62965288</t>
  </si>
  <si>
    <t>45624648</t>
  </si>
  <si>
    <t>DENISE MICHELLE PERALTA CHUISACA</t>
  </si>
  <si>
    <t>0107395766</t>
  </si>
  <si>
    <t>868673069527765</t>
  </si>
  <si>
    <t>8959300120522715541</t>
  </si>
  <si>
    <t>MICHUPERALTA83@GMAIL.COM</t>
  </si>
  <si>
    <t>0845638705</t>
  </si>
  <si>
    <t>992983442</t>
  </si>
  <si>
    <t>62965330</t>
  </si>
  <si>
    <t>20254085</t>
  </si>
  <si>
    <t>BLANCA MARGARITA CALLE BRAVO</t>
  </si>
  <si>
    <t>0102139698</t>
  </si>
  <si>
    <t>543757714010559</t>
  </si>
  <si>
    <t>8959300120521834756</t>
  </si>
  <si>
    <t>0845555928</t>
  </si>
  <si>
    <t>992762489</t>
  </si>
  <si>
    <t>62951554</t>
  </si>
  <si>
    <t>45542195</t>
  </si>
  <si>
    <t>EMILIA ANTONIA CALLE MOYANO</t>
  </si>
  <si>
    <t>0106391188</t>
  </si>
  <si>
    <t>015162718337232</t>
  </si>
  <si>
    <t>8959300120521835076</t>
  </si>
  <si>
    <t>0845837350</t>
  </si>
  <si>
    <t>992664397</t>
  </si>
  <si>
    <t>62942506</t>
  </si>
  <si>
    <t>499772953776988</t>
  </si>
  <si>
    <t>8959300120521835308</t>
  </si>
  <si>
    <t>0845262134</t>
  </si>
  <si>
    <t>992597388</t>
  </si>
  <si>
    <t>63036370</t>
  </si>
  <si>
    <t>45710113</t>
  </si>
  <si>
    <t>LIZARDO GERMAN MOROCHO JARA</t>
  </si>
  <si>
    <t>0103088779</t>
  </si>
  <si>
    <t>861698536493637</t>
  </si>
  <si>
    <t>8959300520560325667</t>
  </si>
  <si>
    <t>NICODOME_1@HOTMAIL.COM</t>
  </si>
  <si>
    <t>0850502373</t>
  </si>
  <si>
    <t>992594957</t>
  </si>
  <si>
    <t>62994222</t>
  </si>
  <si>
    <t>29072989</t>
  </si>
  <si>
    <t>PATRICIO FELIPE LOJA VELASQUEZ</t>
  </si>
  <si>
    <t>0103982401</t>
  </si>
  <si>
    <t>491610052332907</t>
  </si>
  <si>
    <t>8959300520560329305</t>
  </si>
  <si>
    <t>0848233687</t>
  </si>
  <si>
    <t>992556357</t>
  </si>
  <si>
    <t>62969512</t>
  </si>
  <si>
    <t>43458508</t>
  </si>
  <si>
    <t>ANA MARIA ROBALINO JARAMILLO</t>
  </si>
  <si>
    <t>0101995744</t>
  </si>
  <si>
    <t>506917744015722</t>
  </si>
  <si>
    <t>8959300120521835357</t>
  </si>
  <si>
    <t>anamariarovalino@hotmail.com</t>
  </si>
  <si>
    <t>0846809225</t>
  </si>
  <si>
    <t>992555776</t>
  </si>
  <si>
    <t>62939095</t>
  </si>
  <si>
    <t>40680942</t>
  </si>
  <si>
    <t>ASTRID CAROLINA ZARUMA MORA</t>
  </si>
  <si>
    <t>0706574522</t>
  </si>
  <si>
    <t>530201813709667</t>
  </si>
  <si>
    <t>8959300120521836652</t>
  </si>
  <si>
    <t>0844403234</t>
  </si>
  <si>
    <t>988240756</t>
  </si>
  <si>
    <t>62939071</t>
  </si>
  <si>
    <t>44981417</t>
  </si>
  <si>
    <t>ESTEBAN FERNANDO CRIOLLO CHICA</t>
  </si>
  <si>
    <t>0105256804</t>
  </si>
  <si>
    <t>523108175078939</t>
  </si>
  <si>
    <t>8959300120521837197</t>
  </si>
  <si>
    <t>0844320007</t>
  </si>
  <si>
    <t>987926502</t>
  </si>
  <si>
    <t>62942507</t>
  </si>
  <si>
    <t>548837015448990</t>
  </si>
  <si>
    <t>8959300120521835290</t>
  </si>
  <si>
    <t>987926228</t>
  </si>
  <si>
    <t>63042322</t>
  </si>
  <si>
    <t>43873230</t>
  </si>
  <si>
    <t>EFRAIN CRISTIAN PUCHI ARPI</t>
  </si>
  <si>
    <t>0103620381</t>
  </si>
  <si>
    <t>451689752979413</t>
  </si>
  <si>
    <t>8959300520560325980</t>
  </si>
  <si>
    <t>EFRAINCRISTIAN81@hotmail.com</t>
  </si>
  <si>
    <t>0850859811</t>
  </si>
  <si>
    <t>987720463</t>
  </si>
  <si>
    <t>63012438</t>
  </si>
  <si>
    <t>45638458</t>
  </si>
  <si>
    <t>FREDDY EDMUNDO FARFAN CARRION</t>
  </si>
  <si>
    <t>0102153889</t>
  </si>
  <si>
    <t>541554788654962</t>
  </si>
  <si>
    <t>8959300520560325519</t>
  </si>
  <si>
    <t>0849145641</t>
  </si>
  <si>
    <t>987530734</t>
  </si>
  <si>
    <t>62965915</t>
  </si>
  <si>
    <t>45642108</t>
  </si>
  <si>
    <t>ZAIDA VERONICA OCHOA AREVALO</t>
  </si>
  <si>
    <t>1105084618</t>
  </si>
  <si>
    <t>995792578348640</t>
  </si>
  <si>
    <t>8959300120521835605</t>
  </si>
  <si>
    <t>ZOILAOCHOA@GMAIL.COM</t>
  </si>
  <si>
    <t>0846589846</t>
  </si>
  <si>
    <t>987511883</t>
  </si>
  <si>
    <t>63004523</t>
  </si>
  <si>
    <t>45680866</t>
  </si>
  <si>
    <t>CELIA CAMILA CAJAMARCA VIZÑAY</t>
  </si>
  <si>
    <t>0101997872</t>
  </si>
  <si>
    <t>511756578021957</t>
  </si>
  <si>
    <t>8959300520560328562</t>
  </si>
  <si>
    <t>CELIACAJAMARCA@GMAIL.COM</t>
  </si>
  <si>
    <t>0848729708</t>
  </si>
  <si>
    <t>984907293</t>
  </si>
  <si>
    <t>63053171</t>
  </si>
  <si>
    <t>45726128</t>
  </si>
  <si>
    <t>ALVARO FABIAN MOROCHO LATA</t>
  </si>
  <si>
    <t>0105656177</t>
  </si>
  <si>
    <t>980111946466975</t>
  </si>
  <si>
    <t>8959300520560299441</t>
  </si>
  <si>
    <t>alvaro150425@gmail.com</t>
  </si>
  <si>
    <t>0851402529</t>
  </si>
  <si>
    <t>984748511</t>
  </si>
  <si>
    <t>63021063</t>
  </si>
  <si>
    <t>45331048</t>
  </si>
  <si>
    <t>ESTEBAN XAVIER ZHINGRI ZUMBA</t>
  </si>
  <si>
    <t>0150560787</t>
  </si>
  <si>
    <t>506681431711296</t>
  </si>
  <si>
    <t>8959300520560325618</t>
  </si>
  <si>
    <t>0849621190</t>
  </si>
  <si>
    <t>984721106</t>
  </si>
  <si>
    <t>63015791</t>
  </si>
  <si>
    <t>39027507</t>
  </si>
  <si>
    <t>FANNY MELIDA GAVILANES ESPINOZA</t>
  </si>
  <si>
    <t>0301167268</t>
  </si>
  <si>
    <t>442319243362308</t>
  </si>
  <si>
    <t>8959300520560325634</t>
  </si>
  <si>
    <t>MELIGAVILANES1902@GMAIL.COM</t>
  </si>
  <si>
    <t>0849349914</t>
  </si>
  <si>
    <t>984677046</t>
  </si>
  <si>
    <t>63029260</t>
  </si>
  <si>
    <t>45703514</t>
  </si>
  <si>
    <t>OSCAR SALUSTINO CALI ROJAS</t>
  </si>
  <si>
    <t>0704888007001</t>
  </si>
  <si>
    <t>456291457921959</t>
  </si>
  <si>
    <t>8959300520560326012</t>
  </si>
  <si>
    <t>notengo@gmail.com</t>
  </si>
  <si>
    <t>0850106480</t>
  </si>
  <si>
    <t>984305859</t>
  </si>
  <si>
    <t>63027906</t>
  </si>
  <si>
    <t>43233624</t>
  </si>
  <si>
    <t>MARIA ANGELITA MAZA MAZA</t>
  </si>
  <si>
    <t>0102783495</t>
  </si>
  <si>
    <t>911679349050921</t>
  </si>
  <si>
    <t>8959300520560326103</t>
  </si>
  <si>
    <t>0850019405</t>
  </si>
  <si>
    <t>983810453</t>
  </si>
  <si>
    <t>62960423</t>
  </si>
  <si>
    <t>45636992</t>
  </si>
  <si>
    <t>NORMA ELIZABETH MURILLO SOLIZ</t>
  </si>
  <si>
    <t>0103625489</t>
  </si>
  <si>
    <t>305450443122121</t>
  </si>
  <si>
    <t>8959300120521834921</t>
  </si>
  <si>
    <t>NAOMI9203@GMAIL.COM</t>
  </si>
  <si>
    <t>0846295557</t>
  </si>
  <si>
    <t>983736948</t>
  </si>
  <si>
    <t>62983186</t>
  </si>
  <si>
    <t>45660299</t>
  </si>
  <si>
    <t>ENRIQUE ALBERTO PEREZ BERMEO</t>
  </si>
  <si>
    <t>0100081587</t>
  </si>
  <si>
    <t>458574084365502</t>
  </si>
  <si>
    <t>8959300520560328737</t>
  </si>
  <si>
    <t>torresverasof@hotmail.com</t>
  </si>
  <si>
    <t>0847568423</t>
  </si>
  <si>
    <t>983727162</t>
  </si>
  <si>
    <t>63008209</t>
  </si>
  <si>
    <t>38286032</t>
  </si>
  <si>
    <t>GENIS MARLENE NAZARENO CAICEDO</t>
  </si>
  <si>
    <t>0801189564</t>
  </si>
  <si>
    <t>492510188441979</t>
  </si>
  <si>
    <t>8959300520560329198</t>
  </si>
  <si>
    <t>0848938991</t>
  </si>
  <si>
    <t>983331949</t>
  </si>
  <si>
    <t>63005063</t>
  </si>
  <si>
    <t>42979229</t>
  </si>
  <si>
    <t>EDINSON RODRIGO CULQUI RAMIREZ</t>
  </si>
  <si>
    <t>0705004265</t>
  </si>
  <si>
    <t>980620641788202</t>
  </si>
  <si>
    <t>8959300520560328885</t>
  </si>
  <si>
    <t>0848758107</t>
  </si>
  <si>
    <t>983000811</t>
  </si>
  <si>
    <t>62962457</t>
  </si>
  <si>
    <t>44050150</t>
  </si>
  <si>
    <t>ANGEL WLADIMIR NARVAEZ TORRES</t>
  </si>
  <si>
    <t>0503827958</t>
  </si>
  <si>
    <t>531679366163839</t>
  </si>
  <si>
    <t>8959300120521834798</t>
  </si>
  <si>
    <t>nwa_t@hotmail.com</t>
  </si>
  <si>
    <t>0846413423</t>
  </si>
  <si>
    <t>982618680</t>
  </si>
  <si>
    <t>62965278</t>
  </si>
  <si>
    <t>45622200</t>
  </si>
  <si>
    <t>JOHNNY RAFAEL QUICHIMBO CELI</t>
  </si>
  <si>
    <t>0104302906</t>
  </si>
  <si>
    <t>503438685259636</t>
  </si>
  <si>
    <t>8959300120521835274</t>
  </si>
  <si>
    <t>johnyrafaelquichimbo@hotmail.com</t>
  </si>
  <si>
    <t>0845440332</t>
  </si>
  <si>
    <t>979151730</t>
  </si>
  <si>
    <t>62962966</t>
  </si>
  <si>
    <t>25584453</t>
  </si>
  <si>
    <t>PAUL ANDRES PARDO ENCALADA</t>
  </si>
  <si>
    <t>0104253661</t>
  </si>
  <si>
    <t>458219624432582</t>
  </si>
  <si>
    <t>8959300120521834772</t>
  </si>
  <si>
    <t>0846442978</t>
  </si>
  <si>
    <t>979119083</t>
  </si>
  <si>
    <t>63055401</t>
  </si>
  <si>
    <t>43694455</t>
  </si>
  <si>
    <t>JOSE WILMER MAZA GONZA</t>
  </si>
  <si>
    <t>0104193578</t>
  </si>
  <si>
    <t>442591996480657</t>
  </si>
  <si>
    <t>8959300520560299284</t>
  </si>
  <si>
    <t>notoejene@gmail.com</t>
  </si>
  <si>
    <t>0851520436</t>
  </si>
  <si>
    <t>979073460</t>
  </si>
  <si>
    <t>63042024</t>
  </si>
  <si>
    <t>45715442</t>
  </si>
  <si>
    <t>NATHANIEL TANNER</t>
  </si>
  <si>
    <t>513205148</t>
  </si>
  <si>
    <t>CUMBE</t>
  </si>
  <si>
    <t>535587875130213</t>
  </si>
  <si>
    <t>8959300520560325998</t>
  </si>
  <si>
    <t>n.tanner@gmail.com</t>
  </si>
  <si>
    <t>0850844244</t>
  </si>
  <si>
    <t>963059797</t>
  </si>
  <si>
    <t>62993880</t>
  </si>
  <si>
    <t>10972774</t>
  </si>
  <si>
    <t>RAUL PATRICIO CORONEL BERMEO</t>
  </si>
  <si>
    <t>0101689768</t>
  </si>
  <si>
    <t>508419491467451</t>
  </si>
  <si>
    <t>8959300520560329321</t>
  </si>
  <si>
    <t>RAULCORONEL@LIVE.COM</t>
  </si>
  <si>
    <t>0848214600</t>
  </si>
  <si>
    <t>963053469</t>
  </si>
  <si>
    <t>62947786</t>
  </si>
  <si>
    <t>449865637507414</t>
  </si>
  <si>
    <t>8959300120521834707</t>
  </si>
  <si>
    <t>0845602532</t>
  </si>
  <si>
    <t>963012970</t>
  </si>
  <si>
    <t>63028332</t>
  </si>
  <si>
    <t>27176417</t>
  </si>
  <si>
    <t>CHRISTIAN JOSE SACA OCHOA</t>
  </si>
  <si>
    <t>0105206809</t>
  </si>
  <si>
    <t>302954082921639</t>
  </si>
  <si>
    <t>8959300520560326079</t>
  </si>
  <si>
    <t>CHRIST5590@OUTLOOK.COM</t>
  </si>
  <si>
    <t>0850048290</t>
  </si>
  <si>
    <t>962952418</t>
  </si>
  <si>
    <t>62981213</t>
  </si>
  <si>
    <t>45658405</t>
  </si>
  <si>
    <t>ALAN GREGORY LOCHKOVIC</t>
  </si>
  <si>
    <t>599807492</t>
  </si>
  <si>
    <t>305029895320365</t>
  </si>
  <si>
    <t>8959300520560328976</t>
  </si>
  <si>
    <t>334jj@gmail.com</t>
  </si>
  <si>
    <t>0847472744</t>
  </si>
  <si>
    <t>962901262</t>
  </si>
  <si>
    <t>63036940</t>
  </si>
  <si>
    <t>37865889</t>
  </si>
  <si>
    <t>GALO MAURICIO PULLA CORNEJO</t>
  </si>
  <si>
    <t>0150483493</t>
  </si>
  <si>
    <t>986478932609189</t>
  </si>
  <si>
    <t>8959300520560325808</t>
  </si>
  <si>
    <t>0850542021</t>
  </si>
  <si>
    <t>962859186</t>
  </si>
  <si>
    <t>63036371</t>
  </si>
  <si>
    <t>445675218621334</t>
  </si>
  <si>
    <t>8959300520560325642</t>
  </si>
  <si>
    <t>962670666</t>
  </si>
  <si>
    <t>62994846</t>
  </si>
  <si>
    <t>45671553</t>
  </si>
  <si>
    <t>KAYLA EDITH GUALLPA SERRANO</t>
  </si>
  <si>
    <t>0151613247</t>
  </si>
  <si>
    <t>450577187358132</t>
  </si>
  <si>
    <t>8959300520560329255</t>
  </si>
  <si>
    <t>KAAYLA.GUAALPA@GMAIL.COM</t>
  </si>
  <si>
    <t>0848267842</t>
  </si>
  <si>
    <t>962661949</t>
  </si>
  <si>
    <t>63016376</t>
  </si>
  <si>
    <t>45650382</t>
  </si>
  <si>
    <t>KEVIN PAULINO BRITO DELGADO</t>
  </si>
  <si>
    <t>0104111679</t>
  </si>
  <si>
    <t>544888278238382</t>
  </si>
  <si>
    <t>8959300520560325725</t>
  </si>
  <si>
    <t>0849383610</t>
  </si>
  <si>
    <t>999791721</t>
  </si>
  <si>
    <t>62968690</t>
  </si>
  <si>
    <t>38236341</t>
  </si>
  <si>
    <t>SANDRA LORENA MENDEZ ORELLANA</t>
  </si>
  <si>
    <t>0103477758</t>
  </si>
  <si>
    <t>338520398773622</t>
  </si>
  <si>
    <t>8959300120521054496</t>
  </si>
  <si>
    <t>ANDRES SANTIAGO PATIÑO TAPIA</t>
  </si>
  <si>
    <t>salome7_7@hotmail.com</t>
  </si>
  <si>
    <t>0846755018</t>
  </si>
  <si>
    <t>999284059</t>
  </si>
  <si>
    <t>62983305</t>
  </si>
  <si>
    <t>26166392</t>
  </si>
  <si>
    <t>MANUEL FERNANDO VELEZACA NAULA</t>
  </si>
  <si>
    <t>0103536884</t>
  </si>
  <si>
    <t>999492080087648</t>
  </si>
  <si>
    <t>8959300120522505934</t>
  </si>
  <si>
    <t>DIANA PATRICIA YEPEZ PALOMEQUE</t>
  </si>
  <si>
    <t>velezacaf@hotmail.com</t>
  </si>
  <si>
    <t>0847580209</t>
  </si>
  <si>
    <t>998946700</t>
  </si>
  <si>
    <t>62967956</t>
  </si>
  <si>
    <t>45445875</t>
  </si>
  <si>
    <t>FINNN BASTIAN DOHM</t>
  </si>
  <si>
    <t>X8977756</t>
  </si>
  <si>
    <t>359484864345908</t>
  </si>
  <si>
    <t>8959300120521054421</t>
  </si>
  <si>
    <t>NELLY LILLIANA RAMIREZ RUBIO</t>
  </si>
  <si>
    <t>finn.dohn@gmail.com</t>
  </si>
  <si>
    <t>0846711824</t>
  </si>
  <si>
    <t>SANTA ISABEL</t>
  </si>
  <si>
    <t>8959300120521054207</t>
  </si>
  <si>
    <t>ANA ESTEFANIA OSORIO TEJADA</t>
  </si>
  <si>
    <t>vivi06.1996@gmail.com</t>
  </si>
  <si>
    <t>0846442924</t>
  </si>
  <si>
    <t>998706414</t>
  </si>
  <si>
    <t>62974967</t>
  </si>
  <si>
    <t>45651058</t>
  </si>
  <si>
    <t>JORGE DANILO AYORA PESANTEZ</t>
  </si>
  <si>
    <t>0105255079</t>
  </si>
  <si>
    <t>506630558272541</t>
  </si>
  <si>
    <t>8959300120521054538</t>
  </si>
  <si>
    <t>NAE104153</t>
  </si>
  <si>
    <t>SALESMAN CUENCA CENTRO (LUZARDO BORIS)</t>
  </si>
  <si>
    <t>jorge.danilo@gmail.com</t>
  </si>
  <si>
    <t>0847109670</t>
  </si>
  <si>
    <t>998404508</t>
  </si>
  <si>
    <t>62961767</t>
  </si>
  <si>
    <t>45638242</t>
  </si>
  <si>
    <t>CHRISTOPHER JOHN ROYLANCE</t>
  </si>
  <si>
    <t>GK916098</t>
  </si>
  <si>
    <t>507100394562223</t>
  </si>
  <si>
    <t>8959300120521054223</t>
  </si>
  <si>
    <t>CHRISTOPHER12@HOTMAIL.COM</t>
  </si>
  <si>
    <t>0846376829</t>
  </si>
  <si>
    <t>998351676</t>
  </si>
  <si>
    <t>62989982</t>
  </si>
  <si>
    <t>37862844</t>
  </si>
  <si>
    <t>JIMENA PATRICIA MERCHAN FLORES</t>
  </si>
  <si>
    <t>0101660280</t>
  </si>
  <si>
    <t>995030290523236</t>
  </si>
  <si>
    <t>8959300120522505744</t>
  </si>
  <si>
    <t>ximenamerchan@hotmail.com</t>
  </si>
  <si>
    <t>0847995969</t>
  </si>
  <si>
    <t>998028590</t>
  </si>
  <si>
    <t>62977140</t>
  </si>
  <si>
    <t>42861414</t>
  </si>
  <si>
    <t>NUBE DEL ROCIO ARPI PEÑALOZA</t>
  </si>
  <si>
    <t>0302105788</t>
  </si>
  <si>
    <t>991014052846914</t>
  </si>
  <si>
    <t>8959300120522505769</t>
  </si>
  <si>
    <t>NUBE.ARPIP@UCUENCA.EDU.EC</t>
  </si>
  <si>
    <t>0847246306</t>
  </si>
  <si>
    <t>995959401</t>
  </si>
  <si>
    <t>63015009</t>
  </si>
  <si>
    <t>7814920</t>
  </si>
  <si>
    <t>541305972929029</t>
  </si>
  <si>
    <t>8959300120522506320</t>
  </si>
  <si>
    <t>0849301126</t>
  </si>
  <si>
    <t>995935088</t>
  </si>
  <si>
    <t>62982033</t>
  </si>
  <si>
    <t>40924548</t>
  </si>
  <si>
    <t>JULIO ROMAN GOMEZ VILLA</t>
  </si>
  <si>
    <t>1400364376</t>
  </si>
  <si>
    <t>305550633524513</t>
  </si>
  <si>
    <t>8959300120522505892</t>
  </si>
  <si>
    <t>roman71gomez@gmail.com</t>
  </si>
  <si>
    <t>0847511970</t>
  </si>
  <si>
    <t>995929793</t>
  </si>
  <si>
    <t>63038858</t>
  </si>
  <si>
    <t>45712434</t>
  </si>
  <si>
    <t>ROXANA CHIQUINQUIRA RICO GUERRERO</t>
  </si>
  <si>
    <t>0152158481</t>
  </si>
  <si>
    <t>504591572944758</t>
  </si>
  <si>
    <t>8959300120522506759</t>
  </si>
  <si>
    <t>roxanarixo@gmail.com</t>
  </si>
  <si>
    <t>0850668911</t>
  </si>
  <si>
    <t>995828975</t>
  </si>
  <si>
    <t>63042146</t>
  </si>
  <si>
    <t>41697583</t>
  </si>
  <si>
    <t>FERNANDO EMILIO OCAMPO LEON</t>
  </si>
  <si>
    <t>0930456009</t>
  </si>
  <si>
    <t>490709643115127</t>
  </si>
  <si>
    <t>8959300120522507070</t>
  </si>
  <si>
    <t>fernandoemiocampo@gmail.com</t>
  </si>
  <si>
    <t>0850849032</t>
  </si>
  <si>
    <t>995616126</t>
  </si>
  <si>
    <t>63055235</t>
  </si>
  <si>
    <t>44564505</t>
  </si>
  <si>
    <t>KAREN ALEXANDRA MOROCHO VILLA</t>
  </si>
  <si>
    <t>0105530190</t>
  </si>
  <si>
    <t>501112567015208</t>
  </si>
  <si>
    <t>8959300120522507476</t>
  </si>
  <si>
    <t>0851512518</t>
  </si>
  <si>
    <t>995553966</t>
  </si>
  <si>
    <t>62989983</t>
  </si>
  <si>
    <t>543948991812516</t>
  </si>
  <si>
    <t>8959300120522506064</t>
  </si>
  <si>
    <t>995493063</t>
  </si>
  <si>
    <t>62981834</t>
  </si>
  <si>
    <t>45658970</t>
  </si>
  <si>
    <t>CARLOS EDUARDO VALENCIA VACA</t>
  </si>
  <si>
    <t>1314088996</t>
  </si>
  <si>
    <t>522629046239401</t>
  </si>
  <si>
    <t>8959300120522505900</t>
  </si>
  <si>
    <t>0847503396</t>
  </si>
  <si>
    <t>995479900</t>
  </si>
  <si>
    <t>62948722</t>
  </si>
  <si>
    <t>45625564</t>
  </si>
  <si>
    <t>MARCELA VIVIANA CHAVEZ ALVAREZ</t>
  </si>
  <si>
    <t>0103167441</t>
  </si>
  <si>
    <t>511969476579790</t>
  </si>
  <si>
    <t>8959300120521053670</t>
  </si>
  <si>
    <t>CHACEZ@GMAIL.COM</t>
  </si>
  <si>
    <t>0845654518</t>
  </si>
  <si>
    <t>995393945</t>
  </si>
  <si>
    <t>63004172</t>
  </si>
  <si>
    <t>41085534</t>
  </si>
  <si>
    <t>JUAN PABLO DELGADO PESANTEZ</t>
  </si>
  <si>
    <t>0102156338</t>
  </si>
  <si>
    <t>351581347411567</t>
  </si>
  <si>
    <t>8959300120522505777</t>
  </si>
  <si>
    <t>oreta_30@hotmail.com</t>
  </si>
  <si>
    <t>0848716173</t>
  </si>
  <si>
    <t>995379337</t>
  </si>
  <si>
    <t>62941719</t>
  </si>
  <si>
    <t>45617723</t>
  </si>
  <si>
    <t>ISMAEL ISIDRO REYES CONTENTO</t>
  </si>
  <si>
    <t>1105875817</t>
  </si>
  <si>
    <t>306389311032237</t>
  </si>
  <si>
    <t>8959300120521054017</t>
  </si>
  <si>
    <t>isamelreyes64@gmail.com</t>
  </si>
  <si>
    <t>0845204102</t>
  </si>
  <si>
    <t>8959300120522506205</t>
  </si>
  <si>
    <t>federicbaquero@gmail.com</t>
  </si>
  <si>
    <t>0848910134</t>
  </si>
  <si>
    <t>995342808</t>
  </si>
  <si>
    <t>62948617</t>
  </si>
  <si>
    <t>45625445</t>
  </si>
  <si>
    <t>YDDLEMZIY ANGELIS FERNANDEZ POLANIA</t>
  </si>
  <si>
    <t>0151833787</t>
  </si>
  <si>
    <t>335300104169958</t>
  </si>
  <si>
    <t>8959300120521053696</t>
  </si>
  <si>
    <t>YDDLEMZIYpolania2@gmail.com</t>
  </si>
  <si>
    <t>0845648811</t>
  </si>
  <si>
    <t>995287996</t>
  </si>
  <si>
    <t>62942480</t>
  </si>
  <si>
    <t>35360056</t>
  </si>
  <si>
    <t>ELVIN LIZANDRO ALCIVAR VERA</t>
  </si>
  <si>
    <t>0940840937</t>
  </si>
  <si>
    <t>444120329806533</t>
  </si>
  <si>
    <t>8959300120521053803</t>
  </si>
  <si>
    <t>0845261261</t>
  </si>
  <si>
    <t>995179981</t>
  </si>
  <si>
    <t>63030858</t>
  </si>
  <si>
    <t>39167715</t>
  </si>
  <si>
    <t>DIEGO FERNANDO CORONEL SALAMEA</t>
  </si>
  <si>
    <t>0102184074</t>
  </si>
  <si>
    <t>507167632040759</t>
  </si>
  <si>
    <t>8959300120522506890</t>
  </si>
  <si>
    <t>DIEGO.CORONEL@TELEFONICA.COM</t>
  </si>
  <si>
    <t>0850199886</t>
  </si>
  <si>
    <t>994930435</t>
  </si>
  <si>
    <t>62958521</t>
  </si>
  <si>
    <t>518879790202628</t>
  </si>
  <si>
    <t>8959300120521052631</t>
  </si>
  <si>
    <t>0845113980</t>
  </si>
  <si>
    <t>992902165</t>
  </si>
  <si>
    <t>62948132</t>
  </si>
  <si>
    <t>43728862</t>
  </si>
  <si>
    <t>CHRISTIAN SEBASTIAN IÑIGUEZ ALVARADO</t>
  </si>
  <si>
    <t>0105138960</t>
  </si>
  <si>
    <t>350680685041035</t>
  </si>
  <si>
    <t>8959300120521054066</t>
  </si>
  <si>
    <t>sebasiniguezph@hotmail.com</t>
  </si>
  <si>
    <t>0845620844</t>
  </si>
  <si>
    <t>8959300120522506346</t>
  </si>
  <si>
    <t>lauro.quito@gmail.com</t>
  </si>
  <si>
    <t>0849348613</t>
  </si>
  <si>
    <t>992768326</t>
  </si>
  <si>
    <t>63053593</t>
  </si>
  <si>
    <t>33004517</t>
  </si>
  <si>
    <t>MARIA ISABEL ULLOA CABRERA</t>
  </si>
  <si>
    <t>0101736809</t>
  </si>
  <si>
    <t>542471643675414</t>
  </si>
  <si>
    <t>8959300120522507583</t>
  </si>
  <si>
    <t>CHABISS63@HOTMAIL.COM</t>
  </si>
  <si>
    <t>0851422326</t>
  </si>
  <si>
    <t>992708140</t>
  </si>
  <si>
    <t>63037750</t>
  </si>
  <si>
    <t>44153015</t>
  </si>
  <si>
    <t>517556050633921</t>
  </si>
  <si>
    <t>8959300120522506692</t>
  </si>
  <si>
    <t>patotrelles123@gmail.com</t>
  </si>
  <si>
    <t>0850591078</t>
  </si>
  <si>
    <t>992542540</t>
  </si>
  <si>
    <t>63041704</t>
  </si>
  <si>
    <t>45715125</t>
  </si>
  <si>
    <t>TAMARA MICAELA PEÑA SARMIENTO</t>
  </si>
  <si>
    <t>0105913636</t>
  </si>
  <si>
    <t>108087600598666</t>
  </si>
  <si>
    <t>8959300120522506973</t>
  </si>
  <si>
    <t>TAMIC4@HOTMAIL.COM</t>
  </si>
  <si>
    <t>0850830400</t>
  </si>
  <si>
    <t>989632889</t>
  </si>
  <si>
    <t>62986590</t>
  </si>
  <si>
    <t>45618436</t>
  </si>
  <si>
    <t>FAVIOLA PIEDAD MORA TORRES</t>
  </si>
  <si>
    <t>0102967080</t>
  </si>
  <si>
    <t>910409759608971</t>
  </si>
  <si>
    <t>8959300120521053860</t>
  </si>
  <si>
    <t>faviolamora@gmail.com</t>
  </si>
  <si>
    <t>0847003315</t>
  </si>
  <si>
    <t>988070352</t>
  </si>
  <si>
    <t>63002768</t>
  </si>
  <si>
    <t>40993416</t>
  </si>
  <si>
    <t>STEPHANY LIZBETH JAYA MENDIA</t>
  </si>
  <si>
    <t>0107297095</t>
  </si>
  <si>
    <t>516926006244415</t>
  </si>
  <si>
    <t>8959300120521053886</t>
  </si>
  <si>
    <t>LIZBETHJAYA@GMAIL.COM</t>
  </si>
  <si>
    <t>0845251717</t>
  </si>
  <si>
    <t>987858589</t>
  </si>
  <si>
    <t>62942782</t>
  </si>
  <si>
    <t>41817459</t>
  </si>
  <si>
    <t>JUAN PABLO CHUNI CHUNI</t>
  </si>
  <si>
    <t>0106605868</t>
  </si>
  <si>
    <t>105167252497392</t>
  </si>
  <si>
    <t>8959300120521053787</t>
  </si>
  <si>
    <t>notiene@telefonica.com.ec</t>
  </si>
  <si>
    <t>0845283147</t>
  </si>
  <si>
    <t>987814772</t>
  </si>
  <si>
    <t>63042145</t>
  </si>
  <si>
    <t>451187856660310</t>
  </si>
  <si>
    <t>8959300120522507088</t>
  </si>
  <si>
    <t>987545242</t>
  </si>
  <si>
    <t>62940665</t>
  </si>
  <si>
    <t>45618109</t>
  </si>
  <si>
    <t>CARLOS PATRICIO SANCHEZ MAURAT</t>
  </si>
  <si>
    <t>0102539343</t>
  </si>
  <si>
    <t>501306122188753</t>
  </si>
  <si>
    <t>8959300120521053969</t>
  </si>
  <si>
    <t>CARLOSSANCHEZMAURAD@GMAIL.COM</t>
  </si>
  <si>
    <t>0845139920</t>
  </si>
  <si>
    <t>987475292</t>
  </si>
  <si>
    <t>62940997</t>
  </si>
  <si>
    <t>454959180555516</t>
  </si>
  <si>
    <t>8959300120521053878</t>
  </si>
  <si>
    <t>0845163738</t>
  </si>
  <si>
    <t>987470321</t>
  </si>
  <si>
    <t>62941233</t>
  </si>
  <si>
    <t>42489586</t>
  </si>
  <si>
    <t>PAUL ANDRES FLORES ORTIZ</t>
  </si>
  <si>
    <t>0105385983</t>
  </si>
  <si>
    <t>504852357626188</t>
  </si>
  <si>
    <t>8959300120521053829</t>
  </si>
  <si>
    <t>paulfloresortiz@hotmail.com</t>
  </si>
  <si>
    <t>0845178038</t>
  </si>
  <si>
    <t>987314048</t>
  </si>
  <si>
    <t>62961768</t>
  </si>
  <si>
    <t>108183043710651</t>
  </si>
  <si>
    <t>8959300120521054116</t>
  </si>
  <si>
    <t>987312090</t>
  </si>
  <si>
    <t>63005042</t>
  </si>
  <si>
    <t>32179043</t>
  </si>
  <si>
    <t>LUIS GONZALO CHICA PINTADO</t>
  </si>
  <si>
    <t>0101611762</t>
  </si>
  <si>
    <t>547596206323658</t>
  </si>
  <si>
    <t>8959300120522505629</t>
  </si>
  <si>
    <t>0848759082</t>
  </si>
  <si>
    <t>8959300120522506676</t>
  </si>
  <si>
    <t>DARPOS8864 - DARIO XAVIER CABRERA VITERI PYMES</t>
  </si>
  <si>
    <t>Negocios Indirectos</t>
  </si>
  <si>
    <t>DARPOS8864</t>
  </si>
  <si>
    <t>POZO AGUILAR SANTIAGO PATRICIO</t>
  </si>
  <si>
    <t>tesoreria@cipem.org.ec</t>
  </si>
  <si>
    <t>0850239650</t>
  </si>
  <si>
    <t>984950186</t>
  </si>
  <si>
    <t>63056090</t>
  </si>
  <si>
    <t>37813995</t>
  </si>
  <si>
    <t>JOSE DAVID ALVARADO ESCUDERO</t>
  </si>
  <si>
    <t>0103707816</t>
  </si>
  <si>
    <t>993072421249689</t>
  </si>
  <si>
    <t>8959300120522506643</t>
  </si>
  <si>
    <t>josheal6@hotmail.com</t>
  </si>
  <si>
    <t>0851566957</t>
  </si>
  <si>
    <t>984849859</t>
  </si>
  <si>
    <t>63030588</t>
  </si>
  <si>
    <t>45704827</t>
  </si>
  <si>
    <t>DANIEL FERNANDO PEREZ PAREDES</t>
  </si>
  <si>
    <t>0104565668</t>
  </si>
  <si>
    <t>109593484417005</t>
  </si>
  <si>
    <t>8959300120522506122</t>
  </si>
  <si>
    <t>danielfernandopp@gmail.com</t>
  </si>
  <si>
    <t>0850181920</t>
  </si>
  <si>
    <t>984847535</t>
  </si>
  <si>
    <t>63041705</t>
  </si>
  <si>
    <t>444909539571923</t>
  </si>
  <si>
    <t>8959300120522506965</t>
  </si>
  <si>
    <t>984783019</t>
  </si>
  <si>
    <t>62941717</t>
  </si>
  <si>
    <t>506820505297812</t>
  </si>
  <si>
    <t>8959300120521052623</t>
  </si>
  <si>
    <t>984694840</t>
  </si>
  <si>
    <t>63041856</t>
  </si>
  <si>
    <t>45715006</t>
  </si>
  <si>
    <t>CRISTIAN FERNANDO MIRANDA MOROCHO</t>
  </si>
  <si>
    <t>0104981691</t>
  </si>
  <si>
    <t>019624099586675</t>
  </si>
  <si>
    <t>8959300120522506999</t>
  </si>
  <si>
    <t>FERNANDO7983@LIFE.COM</t>
  </si>
  <si>
    <t>0850821088</t>
  </si>
  <si>
    <t>984650473</t>
  </si>
  <si>
    <t>63037749</t>
  </si>
  <si>
    <t>358400632121877</t>
  </si>
  <si>
    <t>8959300120522506684</t>
  </si>
  <si>
    <t>984564192</t>
  </si>
  <si>
    <t>63030587</t>
  </si>
  <si>
    <t>103546494569930</t>
  </si>
  <si>
    <t>8959300120522506841</t>
  </si>
  <si>
    <t>8959300120522505801</t>
  </si>
  <si>
    <t>pabloarco12@gmail.com</t>
  </si>
  <si>
    <t>0847874147</t>
  </si>
  <si>
    <t>984008064</t>
  </si>
  <si>
    <t>62940387</t>
  </si>
  <si>
    <t>38875362</t>
  </si>
  <si>
    <t>RICK ROJAS RIVAS</t>
  </si>
  <si>
    <t>0105614267</t>
  </si>
  <si>
    <t>457369862854012</t>
  </si>
  <si>
    <t>8959300120521052763</t>
  </si>
  <si>
    <t>RICKRAYMONDROJAS94@GMAIL.COM</t>
  </si>
  <si>
    <t>0845122691</t>
  </si>
  <si>
    <t>983974458</t>
  </si>
  <si>
    <t>63008943</t>
  </si>
  <si>
    <t>45685061</t>
  </si>
  <si>
    <t>MARIA JOSE ESCANDON CUESTA</t>
  </si>
  <si>
    <t>0104230057</t>
  </si>
  <si>
    <t>529484487994764</t>
  </si>
  <si>
    <t>8959300120522506528</t>
  </si>
  <si>
    <t>MAJO-ES@HOTMAIL.COM</t>
  </si>
  <si>
    <t>0848978856</t>
  </si>
  <si>
    <t>983887483</t>
  </si>
  <si>
    <t>63002829</t>
  </si>
  <si>
    <t>011344546642017</t>
  </si>
  <si>
    <t>8959300120522506023</t>
  </si>
  <si>
    <t>0847410918</t>
  </si>
  <si>
    <t>8959300120522506601</t>
  </si>
  <si>
    <t>0848959962</t>
  </si>
  <si>
    <t>983405492</t>
  </si>
  <si>
    <t>63005874</t>
  </si>
  <si>
    <t>44313001</t>
  </si>
  <si>
    <t>HUMBERTO CARLOS PARIS ABREU</t>
  </si>
  <si>
    <t>0152057337</t>
  </si>
  <si>
    <t>015428887188320</t>
  </si>
  <si>
    <t>8959300120522505637</t>
  </si>
  <si>
    <t>HUMBERTOPARISABREU@GMAIL.COM</t>
  </si>
  <si>
    <t>0848813545</t>
  </si>
  <si>
    <t>983333034</t>
  </si>
  <si>
    <t>63007223</t>
  </si>
  <si>
    <t>19698413</t>
  </si>
  <si>
    <t>MERCEDES DEL CARMEN OSORIO QUINTEROS</t>
  </si>
  <si>
    <t>1101367173</t>
  </si>
  <si>
    <t>545525914378490</t>
  </si>
  <si>
    <t>8959300120522505926</t>
  </si>
  <si>
    <t>0848893679</t>
  </si>
  <si>
    <t>958864797</t>
  </si>
  <si>
    <t>62940666</t>
  </si>
  <si>
    <t>502261611961179</t>
  </si>
  <si>
    <t>8959300120521053910</t>
  </si>
  <si>
    <t>983303410</t>
  </si>
  <si>
    <t>62994474</t>
  </si>
  <si>
    <t>45596475</t>
  </si>
  <si>
    <t>ANTHONY ALEXANDER GARCES LOJANO</t>
  </si>
  <si>
    <t>0107186272</t>
  </si>
  <si>
    <t>105419020055519</t>
  </si>
  <si>
    <t>8959300120522505819</t>
  </si>
  <si>
    <t>0848248006</t>
  </si>
  <si>
    <t>983300882</t>
  </si>
  <si>
    <t>63022092</t>
  </si>
  <si>
    <t>45696935</t>
  </si>
  <si>
    <t>CAROL ESTEFANIA MALDONADO AUCANCELA</t>
  </si>
  <si>
    <t>0106289523</t>
  </si>
  <si>
    <t>911685875763407</t>
  </si>
  <si>
    <t>8959300120522506452</t>
  </si>
  <si>
    <t>CRL@GAMIL.COM</t>
  </si>
  <si>
    <t>0849688716</t>
  </si>
  <si>
    <t>983204864</t>
  </si>
  <si>
    <t>63053592</t>
  </si>
  <si>
    <t>869807669350017</t>
  </si>
  <si>
    <t>8959300120522507609</t>
  </si>
  <si>
    <t>983189157</t>
  </si>
  <si>
    <t>62945708</t>
  </si>
  <si>
    <t>37878767</t>
  </si>
  <si>
    <t>EDWIN BAUTISTA LEMA GOMEZ</t>
  </si>
  <si>
    <t>0301965661</t>
  </si>
  <si>
    <t>994650189061815</t>
  </si>
  <si>
    <t>8959300120521054033</t>
  </si>
  <si>
    <t>EDWINLEMA@HOTMAIL.COM</t>
  </si>
  <si>
    <t>0845478462</t>
  </si>
  <si>
    <t>983154872</t>
  </si>
  <si>
    <t>62940528</t>
  </si>
  <si>
    <t>45617981</t>
  </si>
  <si>
    <t>MARTHA JHONY JUMBO ARIADEL</t>
  </si>
  <si>
    <t>0700738966</t>
  </si>
  <si>
    <t>980228416653930</t>
  </si>
  <si>
    <t>8959300120521052672</t>
  </si>
  <si>
    <t>marthajumbo@gmail.com</t>
  </si>
  <si>
    <t>0845128301</t>
  </si>
  <si>
    <t>983146349</t>
  </si>
  <si>
    <t>62963322</t>
  </si>
  <si>
    <t>20219097</t>
  </si>
  <si>
    <t>RAMON ERNESTO SERRANO RODAS</t>
  </si>
  <si>
    <t>0300600137</t>
  </si>
  <si>
    <t>308552926339374</t>
  </si>
  <si>
    <t>8959300120521054272</t>
  </si>
  <si>
    <t>0846463361</t>
  </si>
  <si>
    <t>8959300120522506502</t>
  </si>
  <si>
    <t>8959300120522506338</t>
  </si>
  <si>
    <t>DR.BERNARDOVEGAC@GMAIL.COM</t>
  </si>
  <si>
    <t>0849371011</t>
  </si>
  <si>
    <t>979290445</t>
  </si>
  <si>
    <t>62967498</t>
  </si>
  <si>
    <t>45643673</t>
  </si>
  <si>
    <t>KLEBER PAUL ORTIZ VEGA</t>
  </si>
  <si>
    <t>0104390950</t>
  </si>
  <si>
    <t>108094221952710</t>
  </si>
  <si>
    <t>8959300120521054322</t>
  </si>
  <si>
    <t>kpaulortizvega@yahoo.com</t>
  </si>
  <si>
    <t>0846684752</t>
  </si>
  <si>
    <t>979207659</t>
  </si>
  <si>
    <t>62967010</t>
  </si>
  <si>
    <t>534115662301523</t>
  </si>
  <si>
    <t>8959300120521054314</t>
  </si>
  <si>
    <t>0846661559</t>
  </si>
  <si>
    <t>963192765</t>
  </si>
  <si>
    <t>62944621</t>
  </si>
  <si>
    <t>33317250</t>
  </si>
  <si>
    <t>NARCISA DE JESUS PEREZ NAULA</t>
  </si>
  <si>
    <t>0106068489</t>
  </si>
  <si>
    <t>444497529255426</t>
  </si>
  <si>
    <t>8959300120521874786</t>
  </si>
  <si>
    <t>NARCISA87PE@GMAIL.COM</t>
  </si>
  <si>
    <t>0844670611</t>
  </si>
  <si>
    <t>963048150</t>
  </si>
  <si>
    <t>62940837</t>
  </si>
  <si>
    <t>354541448001656</t>
  </si>
  <si>
    <t>8959300120521052664</t>
  </si>
  <si>
    <t>0845151552</t>
  </si>
  <si>
    <t>962982589</t>
  </si>
  <si>
    <t>62994806</t>
  </si>
  <si>
    <t>26680176</t>
  </si>
  <si>
    <t>DAVID ANDRES OCHOA MAXI</t>
  </si>
  <si>
    <t>0106457021</t>
  </si>
  <si>
    <t>549338357447608</t>
  </si>
  <si>
    <t>8959300120522505710</t>
  </si>
  <si>
    <t>DANDRES12@HOTMAIL.COM</t>
  </si>
  <si>
    <t>0848266410</t>
  </si>
  <si>
    <t>999873716</t>
  </si>
  <si>
    <t>63056781</t>
  </si>
  <si>
    <t>41611029</t>
  </si>
  <si>
    <t>ELBA JANETT DE FATIMA MENENDEZ PAZMIÑO</t>
  </si>
  <si>
    <t>1704282555</t>
  </si>
  <si>
    <t>501270468881050</t>
  </si>
  <si>
    <t>8959300520561613541</t>
  </si>
  <si>
    <t>DIANA CAROLINA CEVALLOS PONCE</t>
  </si>
  <si>
    <t>jamepa54@gmail.com</t>
  </si>
  <si>
    <t>0851608761</t>
  </si>
  <si>
    <t>999854914</t>
  </si>
  <si>
    <t>63043547</t>
  </si>
  <si>
    <t>19351522</t>
  </si>
  <si>
    <t>510637607941251</t>
  </si>
  <si>
    <t>8959300120519905303</t>
  </si>
  <si>
    <t>MONICAPATRICIA.2008@HOTMAIL.COM</t>
  </si>
  <si>
    <t>0850923780</t>
  </si>
  <si>
    <t>998647959</t>
  </si>
  <si>
    <t>63023258</t>
  </si>
  <si>
    <t>42198835</t>
  </si>
  <si>
    <t>984076359344546</t>
  </si>
  <si>
    <t>8959300120519904959</t>
  </si>
  <si>
    <t>wilsonking1@hotmail.com</t>
  </si>
  <si>
    <t>0849749563</t>
  </si>
  <si>
    <t>998533196</t>
  </si>
  <si>
    <t>63053044</t>
  </si>
  <si>
    <t>7949074</t>
  </si>
  <si>
    <t>AMPARITO DEL ROCIO LARCO VELASTEGUI</t>
  </si>
  <si>
    <t>1703450005</t>
  </si>
  <si>
    <t>354659723610148</t>
  </si>
  <si>
    <t>8959300120519905543</t>
  </si>
  <si>
    <t>palitolv@yahoo.com</t>
  </si>
  <si>
    <t>0851378312</t>
  </si>
  <si>
    <t>RIOS TERAN ERIKA ANDREA</t>
  </si>
  <si>
    <t>8959300120522632951</t>
  </si>
  <si>
    <t>erikarios619@gmail.com</t>
  </si>
  <si>
    <t>0847638854</t>
  </si>
  <si>
    <t>8959300120522631854</t>
  </si>
  <si>
    <t>0845823522</t>
  </si>
  <si>
    <t>8959300120519904918</t>
  </si>
  <si>
    <t>njga@gmail.com</t>
  </si>
  <si>
    <t>0849694760</t>
  </si>
  <si>
    <t>8959300120519904900</t>
  </si>
  <si>
    <t>995286469</t>
  </si>
  <si>
    <t>63043109</t>
  </si>
  <si>
    <t>30695897</t>
  </si>
  <si>
    <t>CONOCOTO</t>
  </si>
  <si>
    <t>538772352422005</t>
  </si>
  <si>
    <t>8959300120519905287</t>
  </si>
  <si>
    <t>ZFREIREERAZO@gmail.com</t>
  </si>
  <si>
    <t>0850893903</t>
  </si>
  <si>
    <t>995145858</t>
  </si>
  <si>
    <t>62982781</t>
  </si>
  <si>
    <t>45659926</t>
  </si>
  <si>
    <t>GALO XAVIER BASANTES GUERRERO</t>
  </si>
  <si>
    <t>1724201171</t>
  </si>
  <si>
    <t>499619468496679</t>
  </si>
  <si>
    <t>8959300120522633025</t>
  </si>
  <si>
    <t>galobasantes@gmail.com</t>
  </si>
  <si>
    <t>0847552006</t>
  </si>
  <si>
    <t>8959300120519904926</t>
  </si>
  <si>
    <t>992801261</t>
  </si>
  <si>
    <t>62942349</t>
  </si>
  <si>
    <t>45619729</t>
  </si>
  <si>
    <t>JEANNETH KARINA VASCONEZ MARTINEZ</t>
  </si>
  <si>
    <t>1726985912</t>
  </si>
  <si>
    <t>012507475952297</t>
  </si>
  <si>
    <t>8959300120522629932</t>
  </si>
  <si>
    <t>GABRIEL ANTONIO ORTEGA RUIZ</t>
  </si>
  <si>
    <t>jeannethkarina@gmail.com</t>
  </si>
  <si>
    <t>0845252718</t>
  </si>
  <si>
    <t>992590990</t>
  </si>
  <si>
    <t>62939739</t>
  </si>
  <si>
    <t>23762720</t>
  </si>
  <si>
    <t>MAX SANTIAGO TERAN ORTIZ</t>
  </si>
  <si>
    <t>1707993018</t>
  </si>
  <si>
    <t>IBARRA</t>
  </si>
  <si>
    <t>502846974256603</t>
  </si>
  <si>
    <t>8959300120522630070</t>
  </si>
  <si>
    <t>ANDRES SEBASTIAN GRANDA ESPINOZA</t>
  </si>
  <si>
    <t>MAXTERAN5@YAHOO.COM</t>
  </si>
  <si>
    <t>0845070940</t>
  </si>
  <si>
    <t>987899336</t>
  </si>
  <si>
    <t>63013968</t>
  </si>
  <si>
    <t>45689392</t>
  </si>
  <si>
    <t>107571770667915</t>
  </si>
  <si>
    <t>8959300120522633363</t>
  </si>
  <si>
    <t>fmachado007@hotmail.com</t>
  </si>
  <si>
    <t>0849230718</t>
  </si>
  <si>
    <t>CESAR PATRICIO MONTESDEOCA AVALOS</t>
  </si>
  <si>
    <t>1709774697</t>
  </si>
  <si>
    <t>8959300120522632068</t>
  </si>
  <si>
    <t>TEMPLEX-GLASS@HOTMAIL.COM</t>
  </si>
  <si>
    <t>0846636597</t>
  </si>
  <si>
    <t>987642843</t>
  </si>
  <si>
    <t>63005490</t>
  </si>
  <si>
    <t>45310629</t>
  </si>
  <si>
    <t>ANA LUISA LLERENA VALLEJO</t>
  </si>
  <si>
    <t>1709055584</t>
  </si>
  <si>
    <t>491952257123271</t>
  </si>
  <si>
    <t>8959300120522633140</t>
  </si>
  <si>
    <t>ANAMOVITEL@hotmail.com</t>
  </si>
  <si>
    <t>0848787433</t>
  </si>
  <si>
    <t>987563999</t>
  </si>
  <si>
    <t>62994025</t>
  </si>
  <si>
    <t>45670736</t>
  </si>
  <si>
    <t>MARIA BEATRIZ RIVADENEIRA CUEVA</t>
  </si>
  <si>
    <t>1700581133</t>
  </si>
  <si>
    <t>011543852082797</t>
  </si>
  <si>
    <t>8959300120522632654</t>
  </si>
  <si>
    <t>douglas.munoz@hotmail.com</t>
  </si>
  <si>
    <t>0848225483</t>
  </si>
  <si>
    <t>8959300120522632027</t>
  </si>
  <si>
    <t>987477201</t>
  </si>
  <si>
    <t>63007825</t>
  </si>
  <si>
    <t>45684001</t>
  </si>
  <si>
    <t>JAVIER ANIBAL PARREÑO TENESACA</t>
  </si>
  <si>
    <t>1718541947</t>
  </si>
  <si>
    <t>517305617813505</t>
  </si>
  <si>
    <t>8959300120522633223</t>
  </si>
  <si>
    <t>0848923411</t>
  </si>
  <si>
    <t>987444282</t>
  </si>
  <si>
    <t>62984367</t>
  </si>
  <si>
    <t>45661392</t>
  </si>
  <si>
    <t>358968804144562</t>
  </si>
  <si>
    <t>8959300120522632969</t>
  </si>
  <si>
    <t>franklinfpv@hotmail.com</t>
  </si>
  <si>
    <t>0847635686</t>
  </si>
  <si>
    <t>8959300120522631987</t>
  </si>
  <si>
    <t>987361926</t>
  </si>
  <si>
    <t>63008520</t>
  </si>
  <si>
    <t>39225506</t>
  </si>
  <si>
    <t>HUGO JAIRO HIDALGO SOTO</t>
  </si>
  <si>
    <t>1721307260</t>
  </si>
  <si>
    <t>103685736180781</t>
  </si>
  <si>
    <t>8959300120522633249</t>
  </si>
  <si>
    <t>ESCORJAIRO20000@hotmail.com</t>
  </si>
  <si>
    <t>0848960012</t>
  </si>
  <si>
    <t>987193367</t>
  </si>
  <si>
    <t>63005491</t>
  </si>
  <si>
    <t>995838866760614</t>
  </si>
  <si>
    <t>8959300120522633132</t>
  </si>
  <si>
    <t>984962833</t>
  </si>
  <si>
    <t>62969261</t>
  </si>
  <si>
    <t>39459574</t>
  </si>
  <si>
    <t>STEFANIE ALEXANDRA MUÑOZ GRANJA</t>
  </si>
  <si>
    <t>1719398081</t>
  </si>
  <si>
    <t>FLAVIO ALFARO</t>
  </si>
  <si>
    <t>103233897138528</t>
  </si>
  <si>
    <t>8959300120522632480</t>
  </si>
  <si>
    <t>stefanie_mg2@hotmail.com</t>
  </si>
  <si>
    <t>0846789696</t>
  </si>
  <si>
    <t>984833053</t>
  </si>
  <si>
    <t>62983398</t>
  </si>
  <si>
    <t>41283709</t>
  </si>
  <si>
    <t>ENRIQUE JAVIER PRADO CHAVEZ</t>
  </si>
  <si>
    <t>1711456135</t>
  </si>
  <si>
    <t>350894278583010</t>
  </si>
  <si>
    <t>8959300120522633017</t>
  </si>
  <si>
    <t>enrique1711@gmail.com</t>
  </si>
  <si>
    <t>0847585615</t>
  </si>
  <si>
    <t>984779123</t>
  </si>
  <si>
    <t>63024454</t>
  </si>
  <si>
    <t>39815516</t>
  </si>
  <si>
    <t>500561711004859</t>
  </si>
  <si>
    <t>8959300120519904991</t>
  </si>
  <si>
    <t>xbaldeon@hotmail.com</t>
  </si>
  <si>
    <t>0849831176</t>
  </si>
  <si>
    <t>984741214</t>
  </si>
  <si>
    <t>63027455</t>
  </si>
  <si>
    <t>39191725</t>
  </si>
  <si>
    <t>LUIS GERARDO TOAPANTA PAUCAR</t>
  </si>
  <si>
    <t>1703398774</t>
  </si>
  <si>
    <t>447173699380800</t>
  </si>
  <si>
    <t>8959300120519905063</t>
  </si>
  <si>
    <t>GERARDOTOAPANTA@HOTMAIL.COM</t>
  </si>
  <si>
    <t>0849993229</t>
  </si>
  <si>
    <t>984738879</t>
  </si>
  <si>
    <t>63014905</t>
  </si>
  <si>
    <t>45690324</t>
  </si>
  <si>
    <t>JOSE ALBERTO LEMA TIPANTUÑA</t>
  </si>
  <si>
    <t>1711593283</t>
  </si>
  <si>
    <t>918007141150082</t>
  </si>
  <si>
    <t>8959300120522633488</t>
  </si>
  <si>
    <t>GARAGES-AUTOMATICOS@HOTMAIL.COM</t>
  </si>
  <si>
    <t>0849290735</t>
  </si>
  <si>
    <t>8959300120522631979</t>
  </si>
  <si>
    <t>984398442</t>
  </si>
  <si>
    <t>63057073</t>
  </si>
  <si>
    <t>45730017</t>
  </si>
  <si>
    <t>RONALD FERNANDO PILLAJO QUIJIA</t>
  </si>
  <si>
    <t>1724238140</t>
  </si>
  <si>
    <t>MILAGRO</t>
  </si>
  <si>
    <t>354776516498935</t>
  </si>
  <si>
    <t>8959300520561613616</t>
  </si>
  <si>
    <t>ronalpillajo@gmil.com</t>
  </si>
  <si>
    <t>0851622174</t>
  </si>
  <si>
    <t>984036208</t>
  </si>
  <si>
    <t>63050980</t>
  </si>
  <si>
    <t>45702989</t>
  </si>
  <si>
    <t>ERNESTO WLADIMIR PEREZ NARANJO</t>
  </si>
  <si>
    <t>1709698680</t>
  </si>
  <si>
    <t>997286613012194</t>
  </si>
  <si>
    <t>8959300120519904652</t>
  </si>
  <si>
    <t>ernestowladimirp@gmail.com</t>
  </si>
  <si>
    <t>0850070844</t>
  </si>
  <si>
    <t>983532994</t>
  </si>
  <si>
    <t>62939933</t>
  </si>
  <si>
    <t>26104426</t>
  </si>
  <si>
    <t>JOSE ARMANDO BUSTAMANTE TAPIA</t>
  </si>
  <si>
    <t>0301431524</t>
  </si>
  <si>
    <t>106244375074363</t>
  </si>
  <si>
    <t>8959300120522630047</t>
  </si>
  <si>
    <t>jdonbustatapia@yahoo.com</t>
  </si>
  <si>
    <t>0845085393</t>
  </si>
  <si>
    <t>983488154</t>
  </si>
  <si>
    <t>62989845</t>
  </si>
  <si>
    <t>45666653</t>
  </si>
  <si>
    <t>KEVIN ANDRES VERA ARCOS</t>
  </si>
  <si>
    <t>1723982284</t>
  </si>
  <si>
    <t>549171121425067</t>
  </si>
  <si>
    <t>8959300120522632811</t>
  </si>
  <si>
    <t>KAAVERA@UDLANET.EC</t>
  </si>
  <si>
    <t>0847990695</t>
  </si>
  <si>
    <t>983216008</t>
  </si>
  <si>
    <t>63014711</t>
  </si>
  <si>
    <t>43060596</t>
  </si>
  <si>
    <t>SUMACO</t>
  </si>
  <si>
    <t>NAPO</t>
  </si>
  <si>
    <t>860586702024891</t>
  </si>
  <si>
    <t>8959300120522633496</t>
  </si>
  <si>
    <t>capadiego@hotmail.es</t>
  </si>
  <si>
    <t>0849260511</t>
  </si>
  <si>
    <t>ORIENTE</t>
  </si>
  <si>
    <t>983156789</t>
  </si>
  <si>
    <t>63037531</t>
  </si>
  <si>
    <t>44506710</t>
  </si>
  <si>
    <t>ELVIA INES PADILLA HEREDIA</t>
  </si>
  <si>
    <t>1708137599</t>
  </si>
  <si>
    <t>981887483803444</t>
  </si>
  <si>
    <t>8959300120519905154</t>
  </si>
  <si>
    <t>elvi.padilla@hotmail.com</t>
  </si>
  <si>
    <t>0850573540</t>
  </si>
  <si>
    <t>983000500</t>
  </si>
  <si>
    <t>63008177</t>
  </si>
  <si>
    <t>20619806</t>
  </si>
  <si>
    <t>EDUARDO FAVIO PIEDRA RAMIREZ</t>
  </si>
  <si>
    <t>1708975436</t>
  </si>
  <si>
    <t>510428773163296</t>
  </si>
  <si>
    <t>8959300120522633231</t>
  </si>
  <si>
    <t>MASIVO RIESGO</t>
  </si>
  <si>
    <t>STONEEDU@YAHOO.COM.AR</t>
  </si>
  <si>
    <t>0848939145</t>
  </si>
  <si>
    <t>979296129</t>
  </si>
  <si>
    <t>63031113</t>
  </si>
  <si>
    <t>20727948</t>
  </si>
  <si>
    <t>ALICIA MARCELA MUÑOZ VASQUEZ</t>
  </si>
  <si>
    <t>1701640698</t>
  </si>
  <si>
    <t>912756519386779</t>
  </si>
  <si>
    <t>8959300120522630393</t>
  </si>
  <si>
    <t>ammv14@hotmail.com</t>
  </si>
  <si>
    <t>0850214461</t>
  </si>
  <si>
    <t>979063814</t>
  </si>
  <si>
    <t>62973742</t>
  </si>
  <si>
    <t>45649530</t>
  </si>
  <si>
    <t>EDILUZ CALDERON AVENDAÑO</t>
  </si>
  <si>
    <t>1761275450</t>
  </si>
  <si>
    <t>508890037172617</t>
  </si>
  <si>
    <t>8959300120522632589</t>
  </si>
  <si>
    <t>ediluz34267@gmail.com</t>
  </si>
  <si>
    <t>0847018965</t>
  </si>
  <si>
    <t>8959300120522631953</t>
  </si>
  <si>
    <t>962697810</t>
  </si>
  <si>
    <t>63016462</t>
  </si>
  <si>
    <t>994335621852092</t>
  </si>
  <si>
    <t>8959300120522633561</t>
  </si>
  <si>
    <t>ERIOSGARZON@HOTMAIL.COM</t>
  </si>
  <si>
    <t>0849390315</t>
  </si>
  <si>
    <t>962655679</t>
  </si>
  <si>
    <t>62966031</t>
  </si>
  <si>
    <t>38013577</t>
  </si>
  <si>
    <t>CARLA MERCEDES ARMIJOS BAREN ARMIJOS BAREN</t>
  </si>
  <si>
    <t>1718289315</t>
  </si>
  <si>
    <t>332060927299951</t>
  </si>
  <si>
    <t>8959300120522631946</t>
  </si>
  <si>
    <t>0846601793</t>
  </si>
  <si>
    <t>8959300120521827008</t>
  </si>
  <si>
    <t>EDWIN MODESTO CASTILLO AGUIRRE</t>
  </si>
  <si>
    <t>ANRCON8446 - ANRASE3 S.A.S. PYMES</t>
  </si>
  <si>
    <t>ANRCON8446</t>
  </si>
  <si>
    <t>BAQUERIZO SURATY MANUEL FERNANDO</t>
  </si>
  <si>
    <t>edyvalencia77@hotmail.com</t>
  </si>
  <si>
    <t>0845348818</t>
  </si>
  <si>
    <t>999790478</t>
  </si>
  <si>
    <t>62970291</t>
  </si>
  <si>
    <t>45646480</t>
  </si>
  <si>
    <t>ADRIAN FERNANDO VARGAS ZAMBRANO</t>
  </si>
  <si>
    <t>1315324473</t>
  </si>
  <si>
    <t>917793336742392</t>
  </si>
  <si>
    <t>8959300520560350194</t>
  </si>
  <si>
    <t>ISAAC VALMORE MELCHIADE ORTIZ</t>
  </si>
  <si>
    <t>adrian@gmail.com</t>
  </si>
  <si>
    <t>0846864050</t>
  </si>
  <si>
    <t>8959300120521827461</t>
  </si>
  <si>
    <t>pamba24@hotmail.com</t>
  </si>
  <si>
    <t>0846475988</t>
  </si>
  <si>
    <t>999061898</t>
  </si>
  <si>
    <t>62963476</t>
  </si>
  <si>
    <t>45639933</t>
  </si>
  <si>
    <t>BRYAN ANDRES HERNANDEZ CARRASCO</t>
  </si>
  <si>
    <t>0804269892</t>
  </si>
  <si>
    <t>910112487646871</t>
  </si>
  <si>
    <t>8959300120521827453</t>
  </si>
  <si>
    <t>andreshernandez002@hotmail.com</t>
  </si>
  <si>
    <t>0846473243</t>
  </si>
  <si>
    <t>999047288</t>
  </si>
  <si>
    <t>62954187</t>
  </si>
  <si>
    <t>39860278</t>
  </si>
  <si>
    <t>JUAN SEBASTIAN LAGUA MORALES</t>
  </si>
  <si>
    <t>1750268664</t>
  </si>
  <si>
    <t>860084013775864</t>
  </si>
  <si>
    <t>8959300120521826778</t>
  </si>
  <si>
    <t>JUAN.LAGUA50@GMAIL.COM</t>
  </si>
  <si>
    <t>0845961975</t>
  </si>
  <si>
    <t>8959300120521826992</t>
  </si>
  <si>
    <t>0845345601</t>
  </si>
  <si>
    <t>998385828</t>
  </si>
  <si>
    <t>62948141</t>
  </si>
  <si>
    <t>45624945</t>
  </si>
  <si>
    <t>MELANIE ROCIO BASANTES GUACHAN</t>
  </si>
  <si>
    <t>1725161820</t>
  </si>
  <si>
    <t>337326175800799</t>
  </si>
  <si>
    <t>8959300120521827362</t>
  </si>
  <si>
    <t>melani89@gmail.com</t>
  </si>
  <si>
    <t>0845618498</t>
  </si>
  <si>
    <t>998345800</t>
  </si>
  <si>
    <t>62940795</t>
  </si>
  <si>
    <t>45618207</t>
  </si>
  <si>
    <t>LUZ NARCISA CHASO VASQUEZ</t>
  </si>
  <si>
    <t>0201264751</t>
  </si>
  <si>
    <t>356455202158255</t>
  </si>
  <si>
    <t>8959300120521827115</t>
  </si>
  <si>
    <t>luz89@gmail.com</t>
  </si>
  <si>
    <t>0845148486</t>
  </si>
  <si>
    <t>998149839</t>
  </si>
  <si>
    <t>63030105</t>
  </si>
  <si>
    <t>43141145</t>
  </si>
  <si>
    <t>DANIEL ALEJANDRO DIAZ CHECA</t>
  </si>
  <si>
    <t>1719926550</t>
  </si>
  <si>
    <t>496095195633251</t>
  </si>
  <si>
    <t>8959300520560352059</t>
  </si>
  <si>
    <t>daniel.alejandro.dzch@gmail.com</t>
  </si>
  <si>
    <t>0850149729</t>
  </si>
  <si>
    <t>8959300520560350178</t>
  </si>
  <si>
    <t>FERNANDO.QUINTERO.SALAMEA@GMAIL.COM</t>
  </si>
  <si>
    <t>0846876290</t>
  </si>
  <si>
    <t>8959300120521826786</t>
  </si>
  <si>
    <t>christianlara1981@gmail.com</t>
  </si>
  <si>
    <t>0846051018</t>
  </si>
  <si>
    <t>995937787</t>
  </si>
  <si>
    <t>63037806</t>
  </si>
  <si>
    <t>45711402</t>
  </si>
  <si>
    <t>DOMENICA DE LOS ANGELES PROAÑO RECALDE</t>
  </si>
  <si>
    <t>1753068707</t>
  </si>
  <si>
    <t>526225981181546</t>
  </si>
  <si>
    <t>8959300520560351556</t>
  </si>
  <si>
    <t>domenica90@gmail.com</t>
  </si>
  <si>
    <t>0850593223</t>
  </si>
  <si>
    <t>995728745</t>
  </si>
  <si>
    <t>62980764</t>
  </si>
  <si>
    <t>44795962</t>
  </si>
  <si>
    <t>PABLO ANDRES CARRERA SOLIZ</t>
  </si>
  <si>
    <t>1722709399</t>
  </si>
  <si>
    <t>869179887167528</t>
  </si>
  <si>
    <t>8959300520560349733</t>
  </si>
  <si>
    <t>ANDRES1991STA@GMAIL.COM</t>
  </si>
  <si>
    <t>0847428328</t>
  </si>
  <si>
    <t>995616880</t>
  </si>
  <si>
    <t>62948717</t>
  </si>
  <si>
    <t>45625525</t>
  </si>
  <si>
    <t>PRISCILA MARICELA CUICHAN TAYO</t>
  </si>
  <si>
    <t>1753699717</t>
  </si>
  <si>
    <t>919982785306175</t>
  </si>
  <si>
    <t>8959300120521827313</t>
  </si>
  <si>
    <t>prisc89@gmail.com</t>
  </si>
  <si>
    <t>0845653285</t>
  </si>
  <si>
    <t>8959300120521827073</t>
  </si>
  <si>
    <t>rolbayver@gmail.com</t>
  </si>
  <si>
    <t>0845304517</t>
  </si>
  <si>
    <t>8959300520560351127</t>
  </si>
  <si>
    <t>WILSONJIBAJA@gmail.com</t>
  </si>
  <si>
    <t>0848810196</t>
  </si>
  <si>
    <t>958753907</t>
  </si>
  <si>
    <t>62942501</t>
  </si>
  <si>
    <t>45619865</t>
  </si>
  <si>
    <t>AURA NOEMY ROMAN SOTO</t>
  </si>
  <si>
    <t>1105776635</t>
  </si>
  <si>
    <t>528244676089011</t>
  </si>
  <si>
    <t>8959300120521827081</t>
  </si>
  <si>
    <t>aurita_1993@hotmail.com</t>
  </si>
  <si>
    <t>0845263574</t>
  </si>
  <si>
    <t>995373331</t>
  </si>
  <si>
    <t>62960584</t>
  </si>
  <si>
    <t>26574585</t>
  </si>
  <si>
    <t>ANA ISABEL NAVAS ALULEMA</t>
  </si>
  <si>
    <t>1716233810</t>
  </si>
  <si>
    <t>017966219606863</t>
  </si>
  <si>
    <t>8959300120521827396</t>
  </si>
  <si>
    <t>tatyquilumba@gmail.com</t>
  </si>
  <si>
    <t>0846309659</t>
  </si>
  <si>
    <t>995073116</t>
  </si>
  <si>
    <t>63049367</t>
  </si>
  <si>
    <t>32792400</t>
  </si>
  <si>
    <t>FERNANDO XAVIER FIGUEROA ORTIZ</t>
  </si>
  <si>
    <t>1705942025</t>
  </si>
  <si>
    <t>862477291225222</t>
  </si>
  <si>
    <t>8959300520560351762</t>
  </si>
  <si>
    <t>FXSOFEHR@HOTMAIL.COM</t>
  </si>
  <si>
    <t>0851199704</t>
  </si>
  <si>
    <t>995028813</t>
  </si>
  <si>
    <t>63058233</t>
  </si>
  <si>
    <t>33522539</t>
  </si>
  <si>
    <t>MARCO VINICIO SALAZAR OCAMPO</t>
  </si>
  <si>
    <t>0201821899</t>
  </si>
  <si>
    <t>869678063888062</t>
  </si>
  <si>
    <t>8959300520560353701</t>
  </si>
  <si>
    <t>0851673529</t>
  </si>
  <si>
    <t>992851994</t>
  </si>
  <si>
    <t>62960496</t>
  </si>
  <si>
    <t>25970545</t>
  </si>
  <si>
    <t>JOSE RUBEN YANEZ CHICAIZA</t>
  </si>
  <si>
    <t>1723285175</t>
  </si>
  <si>
    <t>8959300120521827552</t>
  </si>
  <si>
    <t>0846302468</t>
  </si>
  <si>
    <t>992814605</t>
  </si>
  <si>
    <t>63024041</t>
  </si>
  <si>
    <t>45698714</t>
  </si>
  <si>
    <t>JONATHAN ISMAEL PINO BAQUERO</t>
  </si>
  <si>
    <t>1755655634</t>
  </si>
  <si>
    <t>012125023130579</t>
  </si>
  <si>
    <t>8959300520560352208</t>
  </si>
  <si>
    <t>jona@hmail.com</t>
  </si>
  <si>
    <t>0849811405</t>
  </si>
  <si>
    <t>8959300120521827370</t>
  </si>
  <si>
    <t>carreragiovanny@gmail.com</t>
  </si>
  <si>
    <t>0846140880</t>
  </si>
  <si>
    <t>992591771</t>
  </si>
  <si>
    <t>62940415</t>
  </si>
  <si>
    <t>45617877</t>
  </si>
  <si>
    <t>JENNY VICTORIA CEVALLOS TORRES</t>
  </si>
  <si>
    <t>1724647506</t>
  </si>
  <si>
    <t>532326835645900</t>
  </si>
  <si>
    <t>8959300120521830424</t>
  </si>
  <si>
    <t>JESSICA GABRIELA ROSALES MALDONADO</t>
  </si>
  <si>
    <t>0845122391</t>
  </si>
  <si>
    <t>992575467</t>
  </si>
  <si>
    <t>62975289</t>
  </si>
  <si>
    <t>43339162</t>
  </si>
  <si>
    <t>ALVARO SEBASTIAN CEVALLOS DELGADO</t>
  </si>
  <si>
    <t>1723359046</t>
  </si>
  <si>
    <t>AMAGUANA</t>
  </si>
  <si>
    <t>357637238799413</t>
  </si>
  <si>
    <t>8959300520560350145</t>
  </si>
  <si>
    <t>sebastian.cevallos88@gmail.com</t>
  </si>
  <si>
    <t>0847136652</t>
  </si>
  <si>
    <t>8959300120521827594</t>
  </si>
  <si>
    <t>0846281208</t>
  </si>
  <si>
    <t>8959300520560350822</t>
  </si>
  <si>
    <t>step@hotmail.com</t>
  </si>
  <si>
    <t>0849436933</t>
  </si>
  <si>
    <t>8959300520560350715</t>
  </si>
  <si>
    <t>genasi89@gmail.com</t>
  </si>
  <si>
    <t>0848508152</t>
  </si>
  <si>
    <t>8959300520560352232</t>
  </si>
  <si>
    <t>juanjose@hotmail.com</t>
  </si>
  <si>
    <t>0849840443</t>
  </si>
  <si>
    <t>987508033</t>
  </si>
  <si>
    <t>63047155</t>
  </si>
  <si>
    <t>23674005</t>
  </si>
  <si>
    <t>MIGUEL EDUARDO AREQUIPA SHULCA</t>
  </si>
  <si>
    <t>1715365993</t>
  </si>
  <si>
    <t>105366705507696</t>
  </si>
  <si>
    <t>8959300520560352364</t>
  </si>
  <si>
    <t>0851096383</t>
  </si>
  <si>
    <t>987506621</t>
  </si>
  <si>
    <t>63057572</t>
  </si>
  <si>
    <t>34146356</t>
  </si>
  <si>
    <t>KEVIN RICHARD GUERRERO ARAQUE</t>
  </si>
  <si>
    <t>1725070583</t>
  </si>
  <si>
    <t>542324140039479</t>
  </si>
  <si>
    <t>8959300520560351911</t>
  </si>
  <si>
    <t>0851650352</t>
  </si>
  <si>
    <t>8959300520560351663</t>
  </si>
  <si>
    <t>galoalarcon2005@gmail.com</t>
  </si>
  <si>
    <t>0850836916</t>
  </si>
  <si>
    <t>987355329</t>
  </si>
  <si>
    <t>62996029</t>
  </si>
  <si>
    <t>42084562</t>
  </si>
  <si>
    <t>FANNY MARIA CHUQUITARCO CORRALES</t>
  </si>
  <si>
    <t>1708481450</t>
  </si>
  <si>
    <t>351638485322434</t>
  </si>
  <si>
    <t>8959300520560350582</t>
  </si>
  <si>
    <t>0848324503</t>
  </si>
  <si>
    <t>987310895</t>
  </si>
  <si>
    <t>62997618</t>
  </si>
  <si>
    <t>44256576</t>
  </si>
  <si>
    <t>JOSE LUIS SALAZAR ALVAREZ</t>
  </si>
  <si>
    <t>0603743238</t>
  </si>
  <si>
    <t>543166128196881</t>
  </si>
  <si>
    <t>8959300520560350624</t>
  </si>
  <si>
    <t>ose_87salazar@gmail.com</t>
  </si>
  <si>
    <t>0848387361</t>
  </si>
  <si>
    <t>987274323</t>
  </si>
  <si>
    <t>62976752</t>
  </si>
  <si>
    <t>45642553</t>
  </si>
  <si>
    <t>VICTOR HUGO PILLAJO CELI</t>
  </si>
  <si>
    <t>1724388069</t>
  </si>
  <si>
    <t>334095755067888</t>
  </si>
  <si>
    <t>8959300520560350392</t>
  </si>
  <si>
    <t>vhpillajo16@hotmail.com</t>
  </si>
  <si>
    <t>0847230160</t>
  </si>
  <si>
    <t>987228688</t>
  </si>
  <si>
    <t>62943455</t>
  </si>
  <si>
    <t>37887435</t>
  </si>
  <si>
    <t>VALENTINA URREGO CASTRILLON</t>
  </si>
  <si>
    <t>1757497100</t>
  </si>
  <si>
    <t>444159044349809</t>
  </si>
  <si>
    <t>8959300120521827032</t>
  </si>
  <si>
    <t>VALENTINA.KSTRILLON27@GMAIL.COM</t>
  </si>
  <si>
    <t>0845322163</t>
  </si>
  <si>
    <t>987052905</t>
  </si>
  <si>
    <t>62994898</t>
  </si>
  <si>
    <t>41153019</t>
  </si>
  <si>
    <t>ANDREA SILVANA SERRANO GAIBOR</t>
  </si>
  <si>
    <t>1715618284</t>
  </si>
  <si>
    <t>106892064331195</t>
  </si>
  <si>
    <t>8959300520560349907</t>
  </si>
  <si>
    <t>0848269147</t>
  </si>
  <si>
    <t>987001980</t>
  </si>
  <si>
    <t>63005975</t>
  </si>
  <si>
    <t>44173843</t>
  </si>
  <si>
    <t>986134193671869</t>
  </si>
  <si>
    <t>8959300520560351085</t>
  </si>
  <si>
    <t>JORDYMENDOZA85@HOTMAIL.COM</t>
  </si>
  <si>
    <t>0848815910</t>
  </si>
  <si>
    <t>8959300520560350616</t>
  </si>
  <si>
    <t>0848386035</t>
  </si>
  <si>
    <t>984733613</t>
  </si>
  <si>
    <t>62966805</t>
  </si>
  <si>
    <t>45642998</t>
  </si>
  <si>
    <t>VANESSA NICOLE VALENCIA MIRANDA</t>
  </si>
  <si>
    <t>1721480869</t>
  </si>
  <si>
    <t>502202824726611</t>
  </si>
  <si>
    <t>8959300520560350376</t>
  </si>
  <si>
    <t>nicolevalemiranda@hotmail.com</t>
  </si>
  <si>
    <t>0846649835</t>
  </si>
  <si>
    <t>984695532</t>
  </si>
  <si>
    <t>63016587</t>
  </si>
  <si>
    <t>45691803</t>
  </si>
  <si>
    <t>DIEGO ALEXANDER BASTIDAS SANCHEZ</t>
  </si>
  <si>
    <t>1752549020</t>
  </si>
  <si>
    <t>524284573715874</t>
  </si>
  <si>
    <t>8959300520560350780</t>
  </si>
  <si>
    <t>diegovastidas1998@gmail.com</t>
  </si>
  <si>
    <t>0849393171</t>
  </si>
  <si>
    <t>984133494</t>
  </si>
  <si>
    <t>63014596</t>
  </si>
  <si>
    <t>44188035</t>
  </si>
  <si>
    <t>ANDRES FELIPE YANDUN PERALTA</t>
  </si>
  <si>
    <t>1724556160</t>
  </si>
  <si>
    <t>513658395200012</t>
  </si>
  <si>
    <t>8959300520560351499</t>
  </si>
  <si>
    <t>andres90@gmail.com</t>
  </si>
  <si>
    <t>0849273347</t>
  </si>
  <si>
    <t>984065434</t>
  </si>
  <si>
    <t>63014595</t>
  </si>
  <si>
    <t>516932368307121</t>
  </si>
  <si>
    <t>8959300520560351481</t>
  </si>
  <si>
    <t>984035563</t>
  </si>
  <si>
    <t>62946789</t>
  </si>
  <si>
    <t>33103072</t>
  </si>
  <si>
    <t>529735547579592</t>
  </si>
  <si>
    <t>8959300120521826893</t>
  </si>
  <si>
    <t>DIEGO.MATI@hotmail.com</t>
  </si>
  <si>
    <t>0845545918</t>
  </si>
  <si>
    <t>983739854</t>
  </si>
  <si>
    <t>62963414</t>
  </si>
  <si>
    <t>45639866</t>
  </si>
  <si>
    <t>EVELYN MADELAINE REYES AGUILAR</t>
  </si>
  <si>
    <t>1724830615</t>
  </si>
  <si>
    <t>509097487502199</t>
  </si>
  <si>
    <t>8959300120521827529</t>
  </si>
  <si>
    <t>la.flaca.madelyne@hotmail.com</t>
  </si>
  <si>
    <t>0846468561</t>
  </si>
  <si>
    <t>983481150</t>
  </si>
  <si>
    <t>62963450</t>
  </si>
  <si>
    <t>19796613</t>
  </si>
  <si>
    <t>DAVID ANIBAL MOSQUERA LASTRA</t>
  </si>
  <si>
    <t>1708046758</t>
  </si>
  <si>
    <t>300605994286295</t>
  </si>
  <si>
    <t>8959300120521827479</t>
  </si>
  <si>
    <t>DAVIDMOSQUIERALASTRA@outlook.COM</t>
  </si>
  <si>
    <t>0846471872</t>
  </si>
  <si>
    <t>958862472</t>
  </si>
  <si>
    <t>63054220</t>
  </si>
  <si>
    <t>45331904</t>
  </si>
  <si>
    <t>JOSE MANUEL TASIGUANO CHICAIZA</t>
  </si>
  <si>
    <t>1709038952</t>
  </si>
  <si>
    <t>866184061821612</t>
  </si>
  <si>
    <t>8959300520560351846</t>
  </si>
  <si>
    <t>MANUELTASIGUANO@HOTMAIL.COM</t>
  </si>
  <si>
    <t>0851455738</t>
  </si>
  <si>
    <t>8959300520560352455</t>
  </si>
  <si>
    <t>diana.tashi81@gmail.com</t>
  </si>
  <si>
    <t>0851163488</t>
  </si>
  <si>
    <t>983079560</t>
  </si>
  <si>
    <t>62945658</t>
  </si>
  <si>
    <t>20690173</t>
  </si>
  <si>
    <t>LAURA XIMENA CALDERON RODRIGUEZ</t>
  </si>
  <si>
    <t>1724263544</t>
  </si>
  <si>
    <t>014848572565857</t>
  </si>
  <si>
    <t>8959300120521826935</t>
  </si>
  <si>
    <t>NOTIENE@TELEFONICA.COM.ES</t>
  </si>
  <si>
    <t>TUNGURAHUA</t>
  </si>
  <si>
    <t>0845474741</t>
  </si>
  <si>
    <t>958870259</t>
  </si>
  <si>
    <t>63048490</t>
  </si>
  <si>
    <t>8929209</t>
  </si>
  <si>
    <t>ISRAEL MONTOYA MEZA</t>
  </si>
  <si>
    <t>1718875006</t>
  </si>
  <si>
    <t>522143984106549</t>
  </si>
  <si>
    <t>8959300520560352430</t>
  </si>
  <si>
    <t>0851161300</t>
  </si>
  <si>
    <t>8959300520560350814</t>
  </si>
  <si>
    <t>8959300520560349865</t>
  </si>
  <si>
    <t>luis@gmauil.com</t>
  </si>
  <si>
    <t>0848087338</t>
  </si>
  <si>
    <t>979221196</t>
  </si>
  <si>
    <t>62977006</t>
  </si>
  <si>
    <t>45653844</t>
  </si>
  <si>
    <t>JANET TERESA GROSS</t>
  </si>
  <si>
    <t>592514920</t>
  </si>
  <si>
    <t>108091565038874</t>
  </si>
  <si>
    <t>8959300520560350038</t>
  </si>
  <si>
    <t>TERESAGROSS65@HOTMAIL.COM</t>
  </si>
  <si>
    <t>0847240727</t>
  </si>
  <si>
    <t>979152926</t>
  </si>
  <si>
    <t>63044563</t>
  </si>
  <si>
    <t>39547540</t>
  </si>
  <si>
    <t>DANIEL ALBERTO SALAZAR GRIJALVA</t>
  </si>
  <si>
    <t>1715618441</t>
  </si>
  <si>
    <t>546578949616359</t>
  </si>
  <si>
    <t>8959300520560352265</t>
  </si>
  <si>
    <t>dalsalazarg9@gmail.com</t>
  </si>
  <si>
    <t>0850966895</t>
  </si>
  <si>
    <t>979152385</t>
  </si>
  <si>
    <t>63013646</t>
  </si>
  <si>
    <t>45689170</t>
  </si>
  <si>
    <t>SANTIAGO JAVIER MANRIQUE BAEZ</t>
  </si>
  <si>
    <t>1716566698</t>
  </si>
  <si>
    <t>505792755003458</t>
  </si>
  <si>
    <t>8959300520560351382</t>
  </si>
  <si>
    <t>santiago@gmail.com</t>
  </si>
  <si>
    <t>0849218312</t>
  </si>
  <si>
    <t>979096914</t>
  </si>
  <si>
    <t>63042041</t>
  </si>
  <si>
    <t>41077626</t>
  </si>
  <si>
    <t>MARIA AUGUSTA BALAREZO MOGOLLON</t>
  </si>
  <si>
    <t>1717153108</t>
  </si>
  <si>
    <t>107973423312602</t>
  </si>
  <si>
    <t>8959300520560351713</t>
  </si>
  <si>
    <t>mamb272008@gmail.com</t>
  </si>
  <si>
    <t>0850846463</t>
  </si>
  <si>
    <t>8959300120521827404</t>
  </si>
  <si>
    <t>anymoina@hotmail.com</t>
  </si>
  <si>
    <t>0846320065</t>
  </si>
  <si>
    <t>969038103</t>
  </si>
  <si>
    <t>63047482</t>
  </si>
  <si>
    <t>30296049</t>
  </si>
  <si>
    <t>GUSTAVO XAVIER ALDAZ CHAMBA</t>
  </si>
  <si>
    <t>1725290827</t>
  </si>
  <si>
    <t>515182454600135</t>
  </si>
  <si>
    <t>8959300520560352448</t>
  </si>
  <si>
    <t>gustavoaldaz1996@gmail.com</t>
  </si>
  <si>
    <t>0851114367</t>
  </si>
  <si>
    <t>962983465</t>
  </si>
  <si>
    <t>63016031</t>
  </si>
  <si>
    <t>9980734</t>
  </si>
  <si>
    <t>JENNY MARICELA SANTILLAN LEZANO</t>
  </si>
  <si>
    <t>1718443359</t>
  </si>
  <si>
    <t>332227900229699</t>
  </si>
  <si>
    <t>8959300520560351465</t>
  </si>
  <si>
    <t>chinagany_29@hotmail.com</t>
  </si>
  <si>
    <t>0849362257</t>
  </si>
  <si>
    <t>8959300120521826620</t>
  </si>
  <si>
    <t>carlos@gmail.com</t>
  </si>
  <si>
    <t>0846015578</t>
  </si>
  <si>
    <t>8959300520560352133</t>
  </si>
  <si>
    <t>JANNETH.LIGNA@HOTMAIL.COM</t>
  </si>
  <si>
    <t>0850324310</t>
  </si>
  <si>
    <t>962847721</t>
  </si>
  <si>
    <t>62941379</t>
  </si>
  <si>
    <t>45618738</t>
  </si>
  <si>
    <t>NAZARETH DEL CARMEN RODRIGEUZ ARIAS</t>
  </si>
  <si>
    <t>158612939</t>
  </si>
  <si>
    <t>497224907865501</t>
  </si>
  <si>
    <t>8959300120521827107</t>
  </si>
  <si>
    <t>NASAA789@GMAIL.COM</t>
  </si>
  <si>
    <t>0845190239</t>
  </si>
  <si>
    <t>8959300120521826703</t>
  </si>
  <si>
    <t>0846074225</t>
  </si>
  <si>
    <t>962652586</t>
  </si>
  <si>
    <t>63008783</t>
  </si>
  <si>
    <t>14957287</t>
  </si>
  <si>
    <t>KATIA MAGDALIA MUÑOZ LOZA</t>
  </si>
  <si>
    <t>1707229603</t>
  </si>
  <si>
    <t>523953818330761</t>
  </si>
  <si>
    <t>8959300520560351259</t>
  </si>
  <si>
    <t>NOTIENE@HOTMAIL.COM</t>
  </si>
  <si>
    <t>0848973565</t>
  </si>
  <si>
    <t>962633673</t>
  </si>
  <si>
    <t>63048913</t>
  </si>
  <si>
    <t>45722008</t>
  </si>
  <si>
    <t>EMILIO JOSE VILLACIS MORA</t>
  </si>
  <si>
    <t>1725791253</t>
  </si>
  <si>
    <t>544837154593097</t>
  </si>
  <si>
    <t>8959300520560352497</t>
  </si>
  <si>
    <t>EMILIOJOSE2001@GMAIL.COM</t>
  </si>
  <si>
    <t>0851177510</t>
  </si>
  <si>
    <t>999863471</t>
  </si>
  <si>
    <t>62989814</t>
  </si>
  <si>
    <t>9611584</t>
  </si>
  <si>
    <t>MARIA VICTORIA GAMEZ CORONEL</t>
  </si>
  <si>
    <t>0702706771</t>
  </si>
  <si>
    <t>018248171610046</t>
  </si>
  <si>
    <t>8959300520560320007</t>
  </si>
  <si>
    <t>victoriagamezc@gmail.com</t>
  </si>
  <si>
    <t>0847985673</t>
  </si>
  <si>
    <t>998965863</t>
  </si>
  <si>
    <t>62970580</t>
  </si>
  <si>
    <t>35343397</t>
  </si>
  <si>
    <t>ERIKA JOHANNA DELGADO CEDEÑO</t>
  </si>
  <si>
    <t>1715270508</t>
  </si>
  <si>
    <t>445365765527445</t>
  </si>
  <si>
    <t>8959300520560319512</t>
  </si>
  <si>
    <t>LUIS JOEL SANCHEZ SARITAMA</t>
  </si>
  <si>
    <t>0846877079</t>
  </si>
  <si>
    <t>998810864</t>
  </si>
  <si>
    <t>63008266</t>
  </si>
  <si>
    <t>16395686</t>
  </si>
  <si>
    <t>MARIBEL DEL ROCIO INGA ARIAS</t>
  </si>
  <si>
    <t>0703294587</t>
  </si>
  <si>
    <t>992756739263306</t>
  </si>
  <si>
    <t>8959300520560320197</t>
  </si>
  <si>
    <t>0848945674</t>
  </si>
  <si>
    <t>998680495</t>
  </si>
  <si>
    <t>63031074</t>
  </si>
  <si>
    <t>45705328</t>
  </si>
  <si>
    <t>ALLISON ORNELLA VALDIVIEZO RESABALA</t>
  </si>
  <si>
    <t>0706608916</t>
  </si>
  <si>
    <t>452159301216799</t>
  </si>
  <si>
    <t>8959300520560320734</t>
  </si>
  <si>
    <t>0850212555</t>
  </si>
  <si>
    <t>998028888</t>
  </si>
  <si>
    <t>62945631</t>
  </si>
  <si>
    <t>44490013</t>
  </si>
  <si>
    <t>ELIS SILVIO QUINTERO MINA</t>
  </si>
  <si>
    <t>0700046543</t>
  </si>
  <si>
    <t>010451838792250</t>
  </si>
  <si>
    <t>8959300120522637091</t>
  </si>
  <si>
    <t>ELIS11@GMAIL.COM</t>
  </si>
  <si>
    <t>0845474443</t>
  </si>
  <si>
    <t>997244777</t>
  </si>
  <si>
    <t>62944539</t>
  </si>
  <si>
    <t>45609714</t>
  </si>
  <si>
    <t>FRANCISCO JAVIER FAJARDO PALADINES</t>
  </si>
  <si>
    <t>0703176479</t>
  </si>
  <si>
    <t>524085685214411</t>
  </si>
  <si>
    <t>8959300120522636770</t>
  </si>
  <si>
    <t>franciscofajardopaladines@hotmail.com</t>
  </si>
  <si>
    <t>0844649308</t>
  </si>
  <si>
    <t>995931137</t>
  </si>
  <si>
    <t>63007310</t>
  </si>
  <si>
    <t>45683505</t>
  </si>
  <si>
    <t>JOSUE ALBERTO BARBA ZAMBRANO</t>
  </si>
  <si>
    <t>0706698040</t>
  </si>
  <si>
    <t>862588691924071</t>
  </si>
  <si>
    <t>8959300520560320205</t>
  </si>
  <si>
    <t>0848898764</t>
  </si>
  <si>
    <t>995873710</t>
  </si>
  <si>
    <t>62951701</t>
  </si>
  <si>
    <t>44722194</t>
  </si>
  <si>
    <t>MARIA ANGELICA SUQUILANDA MUTUCHI</t>
  </si>
  <si>
    <t>0701721730</t>
  </si>
  <si>
    <t>527462813560550</t>
  </si>
  <si>
    <t>8959300120522637240</t>
  </si>
  <si>
    <t>0845845835</t>
  </si>
  <si>
    <t>995835456</t>
  </si>
  <si>
    <t>63057373</t>
  </si>
  <si>
    <t>24958319</t>
  </si>
  <si>
    <t>JULIO ALBERTO CHUNCHI SAGUAY</t>
  </si>
  <si>
    <t>0701638868</t>
  </si>
  <si>
    <t>454104783463681</t>
  </si>
  <si>
    <t>8959300520560321211</t>
  </si>
  <si>
    <t>0851637344</t>
  </si>
  <si>
    <t>995644963</t>
  </si>
  <si>
    <t>63031534</t>
  </si>
  <si>
    <t>45705768</t>
  </si>
  <si>
    <t>CARLA ROSALIA BERREZUETA BERREZUETA</t>
  </si>
  <si>
    <t>0706738853</t>
  </si>
  <si>
    <t>862604575020561</t>
  </si>
  <si>
    <t>8959300520560320759</t>
  </si>
  <si>
    <t>LIZBETH KATHERINE GONZAGA YUPANGUI</t>
  </si>
  <si>
    <t>carlaberrezueta@gmail.com</t>
  </si>
  <si>
    <t>0850240098</t>
  </si>
  <si>
    <t>8959300120522637463</t>
  </si>
  <si>
    <t>noinfo@hotmail.com</t>
  </si>
  <si>
    <t>0846465139</t>
  </si>
  <si>
    <t>995630857</t>
  </si>
  <si>
    <t>62942656</t>
  </si>
  <si>
    <t>43448336</t>
  </si>
  <si>
    <t>WILSON FERNANDO FLORES BARZALLO</t>
  </si>
  <si>
    <t>0704273283</t>
  </si>
  <si>
    <t>546500969373448</t>
  </si>
  <si>
    <t>8959300120522636994</t>
  </si>
  <si>
    <t>fernandofloresbarzalo@gmail.com</t>
  </si>
  <si>
    <t>0845269613</t>
  </si>
  <si>
    <t>995248284</t>
  </si>
  <si>
    <t>62987701</t>
  </si>
  <si>
    <t>45664600</t>
  </si>
  <si>
    <t>JHERY STEVEN RIOS GALLEGOS</t>
  </si>
  <si>
    <t>0706392230</t>
  </si>
  <si>
    <t>010984428513173</t>
  </si>
  <si>
    <t>8959300520560319876</t>
  </si>
  <si>
    <t>jhery@gmail.com</t>
  </si>
  <si>
    <t>0847848809</t>
  </si>
  <si>
    <t>995067878</t>
  </si>
  <si>
    <t>63038528</t>
  </si>
  <si>
    <t>45712097</t>
  </si>
  <si>
    <t>MIGUEL ANTONIO MENDOZA GRANDA</t>
  </si>
  <si>
    <t>0704120641</t>
  </si>
  <si>
    <t>509658287858394</t>
  </si>
  <si>
    <t>8959300520560320932</t>
  </si>
  <si>
    <t>sueera@hotmail.com</t>
  </si>
  <si>
    <t>0850647663</t>
  </si>
  <si>
    <t>992999196</t>
  </si>
  <si>
    <t>63005610</t>
  </si>
  <si>
    <t>38259603</t>
  </si>
  <si>
    <t>KLEVER LIVIO BARRERA PALADINEZ</t>
  </si>
  <si>
    <t>0700665029</t>
  </si>
  <si>
    <t>548792175350124</t>
  </si>
  <si>
    <t>8959300520560320114</t>
  </si>
  <si>
    <t>0848796550</t>
  </si>
  <si>
    <t>992512691</t>
  </si>
  <si>
    <t>63013580</t>
  </si>
  <si>
    <t>45218182</t>
  </si>
  <si>
    <t>MIGUEL ANGEL APOLO ORELLANA</t>
  </si>
  <si>
    <t>0703138735</t>
  </si>
  <si>
    <t>540450165249198</t>
  </si>
  <si>
    <t>8959300520560320312</t>
  </si>
  <si>
    <t>miguelapolo1978@gmail.com</t>
  </si>
  <si>
    <t>0849215065</t>
  </si>
  <si>
    <t>987753823</t>
  </si>
  <si>
    <t>62943296</t>
  </si>
  <si>
    <t>45620615</t>
  </si>
  <si>
    <t>910954010579495</t>
  </si>
  <si>
    <t>8959300120522637075</t>
  </si>
  <si>
    <t>jhoanbecerra1996@hotmail.com</t>
  </si>
  <si>
    <t>0845309694</t>
  </si>
  <si>
    <t>8959300520560320445</t>
  </si>
  <si>
    <t>aaron.2018.20@gmail.com</t>
  </si>
  <si>
    <t>0849374431</t>
  </si>
  <si>
    <t>8959300520560319967</t>
  </si>
  <si>
    <t>LUIS11@GMAIL.COM</t>
  </si>
  <si>
    <t>0848241193</t>
  </si>
  <si>
    <t>987212543</t>
  </si>
  <si>
    <t>62946277</t>
  </si>
  <si>
    <t>39762903</t>
  </si>
  <si>
    <t>JORGE ENRIQUE MOLINA SALTOS</t>
  </si>
  <si>
    <t>1312657883</t>
  </si>
  <si>
    <t>517906517068692</t>
  </si>
  <si>
    <t>8959300120522637125</t>
  </si>
  <si>
    <t>0845516988</t>
  </si>
  <si>
    <t>984924884</t>
  </si>
  <si>
    <t>63005375</t>
  </si>
  <si>
    <t>45681620</t>
  </si>
  <si>
    <t>JENNIFFER LILIBETH BRIONES DAVILA</t>
  </si>
  <si>
    <t>0706985116</t>
  </si>
  <si>
    <t>010560669254683</t>
  </si>
  <si>
    <t>8959300520560320130</t>
  </si>
  <si>
    <t>jenniferbriones@hotmail.com</t>
  </si>
  <si>
    <t>0848773129</t>
  </si>
  <si>
    <t>984767389</t>
  </si>
  <si>
    <t>62960034</t>
  </si>
  <si>
    <t>44614177</t>
  </si>
  <si>
    <t>915156014701373</t>
  </si>
  <si>
    <t>8959300120522637166</t>
  </si>
  <si>
    <t>genesismelissamaldonado7@gmail.com</t>
  </si>
  <si>
    <t>0846277843</t>
  </si>
  <si>
    <t>984717628</t>
  </si>
  <si>
    <t>63042430</t>
  </si>
  <si>
    <t>45715781</t>
  </si>
  <si>
    <t>ANDREA FERNANDA BUSTAMANTE MORAN</t>
  </si>
  <si>
    <t>0704173988</t>
  </si>
  <si>
    <t>980502397162552</t>
  </si>
  <si>
    <t>8959300520560321005</t>
  </si>
  <si>
    <t>busta.20.25.23@gmail.com</t>
  </si>
  <si>
    <t>0850865757</t>
  </si>
  <si>
    <t>984232709</t>
  </si>
  <si>
    <t>63012857</t>
  </si>
  <si>
    <t>45688694</t>
  </si>
  <si>
    <t>CARMELA CHAMBA ROJAS</t>
  </si>
  <si>
    <t>1101630430</t>
  </si>
  <si>
    <t>492079895608080</t>
  </si>
  <si>
    <t>8959300520560320304</t>
  </si>
  <si>
    <t>noemireategui@hotmail.com</t>
  </si>
  <si>
    <t>0849178222</t>
  </si>
  <si>
    <t>983897016</t>
  </si>
  <si>
    <t>63027971</t>
  </si>
  <si>
    <t>37835542</t>
  </si>
  <si>
    <t>NANCY EDITH SANCHEZ ZAMBRANO</t>
  </si>
  <si>
    <t>0913943106</t>
  </si>
  <si>
    <t>443329993592086</t>
  </si>
  <si>
    <t>8959300520560320627</t>
  </si>
  <si>
    <t>0850020661</t>
  </si>
  <si>
    <t>979248921</t>
  </si>
  <si>
    <t>63013648</t>
  </si>
  <si>
    <t>38763014</t>
  </si>
  <si>
    <t>987973046177866</t>
  </si>
  <si>
    <t>8959300520560320189</t>
  </si>
  <si>
    <t>palominoariana70@gmail.com</t>
  </si>
  <si>
    <t>0849218723</t>
  </si>
  <si>
    <t>979146028</t>
  </si>
  <si>
    <t>63042431</t>
  </si>
  <si>
    <t>549564067603525</t>
  </si>
  <si>
    <t>8959300520560320981</t>
  </si>
  <si>
    <t>979077888</t>
  </si>
  <si>
    <t>62942657</t>
  </si>
  <si>
    <t>358625710928542</t>
  </si>
  <si>
    <t>8959300120522636960</t>
  </si>
  <si>
    <t>979048490</t>
  </si>
  <si>
    <t>62969718</t>
  </si>
  <si>
    <t>45645853</t>
  </si>
  <si>
    <t>PEDRO RAFAEL ZHUMI ANDRADE</t>
  </si>
  <si>
    <t>0705425205</t>
  </si>
  <si>
    <t>499570230583437</t>
  </si>
  <si>
    <t>8959300120522637570</t>
  </si>
  <si>
    <t>0846824840</t>
  </si>
  <si>
    <t>963086334</t>
  </si>
  <si>
    <t>62960507</t>
  </si>
  <si>
    <t>45637074</t>
  </si>
  <si>
    <t>LUIS ALBERTO BUSTAMANTE ECHEVEL</t>
  </si>
  <si>
    <t>0750118705</t>
  </si>
  <si>
    <t>445054308575877</t>
  </si>
  <si>
    <t>8959300120522637406</t>
  </si>
  <si>
    <t>luis12@gmail.com</t>
  </si>
  <si>
    <t>0846305723</t>
  </si>
  <si>
    <t>962826048</t>
  </si>
  <si>
    <t>62980311</t>
  </si>
  <si>
    <t>38243517</t>
  </si>
  <si>
    <t>525515801974281</t>
  </si>
  <si>
    <t>8959300520560319678</t>
  </si>
  <si>
    <t>MVJIMBO@UTPL.EDU.EC</t>
  </si>
  <si>
    <t>0847398144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</si>
</sst>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[$-409]ddmmmyyyy"/>
    <numFmt numFmtId="165" formatCode="_(&quot;$&quot;* #,##0.00_);_(&quot;$&quot;* \(#,##0.00\);_(&quot;$&quot;* &quot;-&quot;??_);_(@_)"/>
    <numFmt numFmtId="166" formatCode="[$$-409]#,##0.00"/>
    <numFmt numFmtId="167" formatCode="[$-409]dd/mm/yyyy"/>
    <numFmt numFmtId="168" formatCode="[$-409]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1" tint="4.9989318521683403E-2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7" tint="-0.249977111117893"/>
        <bgColor theme="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5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5" borderId="2" xfId="0" applyFill="1" applyBorder="1"/>
    <xf numFmtId="164" fontId="0" fillId="5" borderId="2" xfId="0" applyNumberFormat="1" applyFill="1" applyBorder="1"/>
    <xf numFmtId="44" fontId="0" fillId="5" borderId="2" xfId="1" applyFont="1" applyFill="1" applyBorder="1"/>
    <xf numFmtId="0" fontId="0" fillId="5" borderId="3" xfId="0" applyFill="1" applyBorder="1"/>
    <xf numFmtId="0" fontId="0" fillId="0" borderId="3" xfId="0" applyBorder="1"/>
    <xf numFmtId="44" fontId="0" fillId="0" borderId="3" xfId="1" applyFont="1" applyBorder="1"/>
    <xf numFmtId="0" fontId="0" fillId="6" borderId="0" xfId="0" applyFill="1"/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/>
    <xf numFmtId="44" fontId="0" fillId="0" borderId="2" xfId="1" applyFont="1" applyBorder="1"/>
    <xf numFmtId="14" fontId="0" fillId="0" borderId="2" xfId="0" applyNumberFormat="1" applyBorder="1"/>
    <xf numFmtId="165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" xfId="0" applyNumberFormat="1" applyBorder="1"/>
    <xf numFmtId="16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11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12" borderId="1" xfId="0" applyFont="1" applyFill="1" applyBorder="1"/>
    <xf numFmtId="164" fontId="0" fillId="0" borderId="0" xfId="0" applyNumberFormat="1"/>
    <xf numFmtId="166" fontId="0" fillId="0" borderId="0" xfId="0" applyNumberFormat="1"/>
    <xf numFmtId="4" fontId="0" fillId="0" borderId="0" xfId="0" applyNumberFormat="1"/>
    <xf numFmtId="0" fontId="4" fillId="0" borderId="3" xfId="2" applyBorder="1"/>
    <xf numFmtId="0" fontId="4" fillId="0" borderId="2" xfId="2" applyBorder="1"/>
    <xf numFmtId="164" fontId="4" fillId="0" borderId="2" xfId="2" applyNumberFormat="1" applyBorder="1"/>
    <xf numFmtId="166" fontId="4" fillId="0" borderId="2" xfId="2" applyNumberFormat="1" applyBorder="1"/>
    <xf numFmtId="165" fontId="0" fillId="0" borderId="2" xfId="2" applyNumberFormat="1" applyFont="1" applyBorder="1"/>
    <xf numFmtId="4" fontId="4" fillId="0" borderId="2" xfId="2" applyNumberFormat="1" applyBorder="1"/>
    <xf numFmtId="0" fontId="2" fillId="13" borderId="1" xfId="0" applyFont="1" applyFill="1" applyBorder="1"/>
    <xf numFmtId="0" fontId="2" fillId="7" borderId="5" xfId="0" applyFont="1" applyFill="1" applyBorder="1"/>
    <xf numFmtId="166" fontId="4" fillId="5" borderId="2" xfId="2" applyNumberFormat="1" applyFill="1" applyBorder="1"/>
    <xf numFmtId="166" fontId="0" fillId="5" borderId="2" xfId="0" applyNumberFormat="1" applyFill="1" applyBorder="1"/>
    <xf numFmtId="165" fontId="2" fillId="13" borderId="1" xfId="1" applyNumberFormat="1" applyFont="1" applyFill="1" applyBorder="1"/>
    <xf numFmtId="0" fontId="4" fillId="0" borderId="0" xfId="2"/>
    <xf numFmtId="166" fontId="4" fillId="0" borderId="3" xfId="2" applyNumberFormat="1" applyBorder="1"/>
    <xf numFmtId="166" fontId="4" fillId="0" borderId="4" xfId="2" applyNumberFormat="1" applyBorder="1"/>
    <xf numFmtId="166" fontId="4" fillId="0" borderId="0" xfId="2" applyNumberFormat="1"/>
    <xf numFmtId="14" fontId="2" fillId="7" borderId="3" xfId="0" applyNumberFormat="1" applyFont="1" applyFill="1" applyBorder="1"/>
    <xf numFmtId="0" fontId="2" fillId="7" borderId="3" xfId="0" applyFont="1" applyFill="1" applyBorder="1"/>
    <xf numFmtId="0" fontId="2" fillId="8" borderId="3" xfId="0" applyFont="1" applyFill="1" applyBorder="1"/>
    <xf numFmtId="0" fontId="2" fillId="14" borderId="3" xfId="0" applyFont="1" applyFill="1" applyBorder="1"/>
    <xf numFmtId="0" fontId="2" fillId="15" borderId="3" xfId="0" applyFont="1" applyFill="1" applyBorder="1"/>
    <xf numFmtId="167" fontId="0" fillId="0" borderId="0" xfId="0" applyNumberFormat="1"/>
    <xf numFmtId="1" fontId="0" fillId="0" borderId="0" xfId="0" applyNumberFormat="1"/>
    <xf numFmtId="49" fontId="0" fillId="0" borderId="0" xfId="0" applyNumberFormat="1"/>
    <xf numFmtId="44" fontId="0" fillId="0" borderId="2" xfId="1" applyFont="1" applyFill="1" applyBorder="1"/>
    <xf numFmtId="44" fontId="0" fillId="0" borderId="2" xfId="0" applyNumberFormat="1" applyBorder="1"/>
    <xf numFmtId="44" fontId="0" fillId="0" borderId="0" xfId="0" applyNumberFormat="1"/>
    <xf numFmtId="167" fontId="0" fillId="0" borderId="2" xfId="0" applyNumberFormat="1" applyBorder="1"/>
    <xf numFmtId="1" fontId="0" fillId="0" borderId="2" xfId="0" applyNumberFormat="1" applyBorder="1"/>
    <xf numFmtId="14" fontId="2" fillId="13" borderId="3" xfId="0" applyNumberFormat="1" applyFont="1" applyFill="1" applyBorder="1"/>
    <xf numFmtId="0" fontId="2" fillId="13" borderId="3" xfId="0" applyFont="1" applyFill="1" applyBorder="1"/>
    <xf numFmtId="168" fontId="0" fillId="0" borderId="0" xfId="0" applyNumberFormat="1"/>
    <xf numFmtId="168" fontId="0" fillId="0" borderId="2" xfId="0" applyNumberFormat="1" applyBorder="1"/>
    <xf numFmtId="49" fontId="2" fillId="7" borderId="5" xfId="0" applyNumberFormat="1" applyFont="1" applyFill="1" applyBorder="1"/>
    <xf numFmtId="0" fontId="2" fillId="8" borderId="0" xfId="0" applyFont="1" applyFill="1"/>
    <xf numFmtId="44" fontId="0" fillId="0" borderId="0" xfId="1" applyFont="1"/>
    <xf numFmtId="49" fontId="0" fillId="5" borderId="2" xfId="0" applyNumberFormat="1" applyFill="1" applyBorder="1"/>
    <xf numFmtId="167" fontId="0" fillId="5" borderId="2" xfId="0" applyNumberFormat="1" applyFill="1" applyBorder="1"/>
    <xf numFmtId="168" fontId="0" fillId="5" borderId="2" xfId="0" applyNumberFormat="1" applyFill="1" applyBorder="1"/>
    <xf numFmtId="0" fontId="2" fillId="13" borderId="5" xfId="0" applyFont="1" applyFill="1" applyBorder="1"/>
    <xf numFmtId="0" fontId="2" fillId="7" borderId="0" xfId="0" applyFont="1" applyFill="1"/>
    <xf numFmtId="14" fontId="0" fillId="0" borderId="0" xfId="0" applyNumberFormat="1"/>
    <xf numFmtId="14" fontId="2" fillId="7" borderId="5" xfId="0" applyNumberFormat="1" applyFont="1" applyFill="1" applyBorder="1"/>
    <xf numFmtId="14" fontId="2" fillId="13" borderId="1" xfId="0" applyNumberFormat="1" applyFont="1" applyFill="1" applyBorder="1"/>
  </cellXfs>
  <cellStyles count="3">
    <cellStyle name="Moneda" xfId="1" builtinId="4"/>
    <cellStyle name="Normal" xfId="0" builtinId="0"/>
    <cellStyle name="Normal 3" xfId="2" xr:uid="{A8A304D8-2AE6-4F39-A811-065C68FCFE4E}"/>
  </cellStyles>
  <dxfs count="414"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/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/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1"/>
        </top>
        <bottom style="thin">
          <color theme="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167" formatCode="[$-409]dd/mm/yyyy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[$-409]yyyy\-mm\-dd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7" formatCode="[$-409]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[$-409]ddmmm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9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[$-409]yyyy\-mm\-dd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7" formatCode="[$-409]dd/mm/yyyy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/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/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7" formatCode="[$-409]dd/mm/yyyy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4" formatCode="_ &quot;$&quot;* #,##0.00_ ;_ &quot;$&quot;* \-#,##0.00_ ;_ &quot;$&quot;* &quot;-&quot;??_ ;_ @_ "/>
      <fill>
        <patternFill patternType="none">
          <fgColor indexed="64"/>
          <bgColor auto="1"/>
        </patternFill>
      </fill>
    </dxf>
    <dxf>
      <numFmt numFmtId="34" formatCode="_ &quot;$&quot;* #,##0.00_ ;_ &quot;$&quot;* \-#,##0.00_ ;_ &quot;$&quot;* &quot;-&quot;??_ ;_ @_ "/>
      <fill>
        <patternFill patternType="none">
          <fgColor indexed="64"/>
          <bgColor auto="1"/>
        </patternFill>
      </fill>
    </dxf>
    <dxf>
      <numFmt numFmtId="34" formatCode="_ &quot;$&quot;* #,##0.00_ ;_ &quot;$&quot;* \-#,##0.00_ ;_ &quot;$&quot;* &quot;-&quot;??_ ;_ @_ "/>
      <fill>
        <patternFill patternType="none">
          <fgColor indexed="64"/>
          <bgColor auto="1"/>
        </patternFill>
      </fill>
    </dxf>
    <dxf>
      <numFmt numFmtId="34" formatCode="_ &quot;$&quot;* #,##0.00_ ;_ &quot;$&quot;* \-#,##0.00_ ;_ &quot;$&quot;* &quot;-&quot;??_ ;_ @_ "/>
      <fill>
        <patternFill patternType="none">
          <fgColor indexed="64"/>
          <bgColor auto="1"/>
        </patternFill>
      </fill>
    </dxf>
    <dxf>
      <numFmt numFmtId="34" formatCode="_ &quot;$&quot;* #,##0.00_ ;_ &quot;$&quot;* \-#,##0.00_ ;_ &quot;$&quot;* &quot;-&quot;??_ ;_ @_ 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4" formatCode="_ &quot;$&quot;* #,##0.00_ ;_ &quot;$&quot;* \-#,##0.00_ ;_ &quot;$&quot;* &quot;-&quot;??_ ;_ @_ 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7" formatCode="[$-409]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7" formatCode="[$-409]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6" formatCode="[$$-409]#,##0.00"/>
    </dxf>
    <dxf>
      <numFmt numFmtId="166" formatCode="[$$-409]#,##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[$$-409]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[$$-409]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[$-409]ddmmm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[$$-409]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[$$-409]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[$$-409]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[$$-409]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[$-409]ddmmm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[$-409]ddmmm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[$$-409]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[$$-409]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[$-409]ddmmm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65" formatCode="_(&quot;$&quot;* #,##0.00_);_(&quot;$&quot;* \(#,##0.00\);_(&quot;$&quot;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65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65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numFmt numFmtId="165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4" formatCode="_ &quot;$&quot;* #,##0.00_ ;_ &quot;$&quot;* \-#,##0.00_ ;_ &quot;$&quot;* &quot;-&quot;??_ ;_ @_ 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4" formatCode="_ &quot;$&quot;* #,##0.00_ ;_ &quot;$&quot;* \-#,##0.00_ ;_ &quot;$&quot;* &quot;-&quot;??_ ;_ @_ 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4" formatCode="_ &quot;$&quot;* #,##0.00_ ;_ &quot;$&quot;* \-#,##0.00_ ;_ &quot;$&quot;* &quot;-&quot;??_ ;_ @_ 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/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[$-409]ddmmm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[$-409]ddmmm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[$-409]ddmmm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2jcwMWub37wVdVdjpzhhPpGe07qJCST5\Movistar\2022\Tableros\12%20Tablero%20TM%20Dic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ovistar\2022\Tableros\07%20Tablero%20TM%20Juli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s"/>
      <sheetName val="Resumen TM"/>
      <sheetName val="Resumen SLE"/>
      <sheetName val="Ejecutivo Movistar"/>
      <sheetName val="Especialistas y Jefes"/>
      <sheetName val="Evolutivo Diario Pospago"/>
      <sheetName val="Evolutivo Diario Terminales"/>
      <sheetName val="Evolutivo Diario Cambios Plan"/>
      <sheetName val="Evolutivo Diario Prepago"/>
      <sheetName val="Modabilidad Pospago"/>
      <sheetName val="Evolutivo Diario NCA"/>
      <sheetName val="Gestion NCA"/>
      <sheetName val="Presupuestos"/>
      <sheetName val="Personal Ppto vs Real"/>
      <sheetName val="BDD Cnet"/>
      <sheetName val="Ppto"/>
      <sheetName val="BDD NCA"/>
      <sheetName val="BDD Ingresos"/>
      <sheetName val="Pospago"/>
      <sheetName val="Cambio de Plan"/>
      <sheetName val="Terminales"/>
      <sheetName val="Paq. Llamad. Ilim."/>
      <sheetName val="Seguros"/>
      <sheetName val="MPlay"/>
      <sheetName val="CDF-FOX-HBO"/>
      <sheetName val="Retenciones"/>
      <sheetName val="Prepago"/>
      <sheetName val="NPS"/>
      <sheetName val="Comisiones"/>
      <sheetName val="Cruces"/>
      <sheetName val="12 Tablero TM Diciembre"/>
    </sheetNames>
    <sheetDataSet>
      <sheetData sheetId="0"/>
      <sheetData sheetId="1">
        <row r="20">
          <cell r="AW20">
            <v>0.70916709062428085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NAE</v>
          </cell>
          <cell r="B2" t="str">
            <v>ID SIN COLAS</v>
          </cell>
          <cell r="C2" t="str">
            <v>CARGO</v>
          </cell>
          <cell r="D2" t="str">
            <v>JEFE</v>
          </cell>
          <cell r="E2" t="str">
            <v>ESPECIALISTA</v>
          </cell>
          <cell r="F2" t="str">
            <v>EJECUTIVO</v>
          </cell>
        </row>
        <row r="3">
          <cell r="A3" t="str">
            <v>NAE104187</v>
          </cell>
          <cell r="B3">
            <v>13689423</v>
          </cell>
          <cell r="C3" t="str">
            <v>EJECUTIVO VENTAS Y ATENCION</v>
          </cell>
          <cell r="D3" t="str">
            <v>LOPEZ DIAZ ANGEL ENRIQUE</v>
          </cell>
          <cell r="E3" t="str">
            <v>NIAMA JACOME MARIA GABRIELA</v>
          </cell>
          <cell r="F3" t="str">
            <v>CEVALLOS PONCE DIANA CAROLINA</v>
          </cell>
        </row>
        <row r="4">
          <cell r="A4" t="str">
            <v>NAE110142</v>
          </cell>
          <cell r="C4" t="str">
            <v>EJECUTIVO VENTAS Y ATENCION</v>
          </cell>
          <cell r="D4" t="str">
            <v>LOPEZ DIAZ ANGEL ENRIQUE</v>
          </cell>
          <cell r="E4" t="str">
            <v>NIAMA JACOME MARIA GABRIELA</v>
          </cell>
          <cell r="F4" t="str">
            <v>GRANDA ESPINOZA ANDRES SEBASTIAN</v>
          </cell>
        </row>
        <row r="5">
          <cell r="A5" t="str">
            <v>NAE107916</v>
          </cell>
          <cell r="B5">
            <v>24140645</v>
          </cell>
          <cell r="C5" t="str">
            <v>EJECUTIVO VENTAS Y ATENCION</v>
          </cell>
          <cell r="D5" t="str">
            <v>LOPEZ DIAZ ANGEL ENRIQUE</v>
          </cell>
          <cell r="E5" t="str">
            <v>NIAMA JACOME MARIA GABRIELA</v>
          </cell>
          <cell r="F5" t="str">
            <v>SALVATIERRA GUERRA JULIAN ENRIQUE</v>
          </cell>
        </row>
        <row r="6">
          <cell r="A6" t="str">
            <v>NAE108906</v>
          </cell>
          <cell r="B6">
            <v>25816283</v>
          </cell>
          <cell r="C6" t="str">
            <v>EJECUTIVO VENTAS Y ATENCION</v>
          </cell>
          <cell r="D6" t="str">
            <v>LOPEZ DIAZ ANGEL ENRIQUE</v>
          </cell>
          <cell r="E6" t="str">
            <v>NIAMA JACOME MARIA GABRIELA</v>
          </cell>
          <cell r="F6" t="str">
            <v>ORTEGA RUIZ GABRIEL ANTONIO</v>
          </cell>
        </row>
        <row r="7">
          <cell r="A7" t="str">
            <v>NAE108907</v>
          </cell>
          <cell r="B7">
            <v>25816451</v>
          </cell>
          <cell r="C7" t="str">
            <v>EJECUTIVO VENTAS Y ATENCION</v>
          </cell>
          <cell r="D7" t="str">
            <v>LOPEZ DIAZ ANGEL ENRIQUE</v>
          </cell>
          <cell r="E7" t="str">
            <v>NIAMA JACOME MARIA GABRIELA</v>
          </cell>
          <cell r="F7" t="str">
            <v>ROSERO CAICEDO JAIRO STEFANO</v>
          </cell>
        </row>
        <row r="8">
          <cell r="A8" t="str">
            <v>NAE109092</v>
          </cell>
          <cell r="C8" t="str">
            <v>EJECUTIVO HIBRIDO</v>
          </cell>
          <cell r="D8" t="str">
            <v>LOPEZ DIAZ ANGEL ENRIQUE</v>
          </cell>
          <cell r="E8" t="str">
            <v>NIAMA JACOME MARIA GABRIELA</v>
          </cell>
          <cell r="F8" t="str">
            <v>AMBULUDI ROLDAN GIANELLA GRIMANEZA</v>
          </cell>
        </row>
        <row r="9">
          <cell r="A9" t="str">
            <v>NAE108382</v>
          </cell>
          <cell r="C9" t="str">
            <v>ESPECIALISTA VENTAS Y ATENCION</v>
          </cell>
          <cell r="D9" t="str">
            <v>LOPEZ DIAZ ANGEL ENRIQUE</v>
          </cell>
          <cell r="E9" t="str">
            <v>NIAMA JACOME MARIA GABRIELA</v>
          </cell>
          <cell r="F9" t="str">
            <v>NIAMA JACOME MARIA GABRIELA</v>
          </cell>
        </row>
        <row r="10">
          <cell r="A10" t="str">
            <v>NAE110246</v>
          </cell>
          <cell r="C10" t="str">
            <v>EJECUTIVO HIBRIDO</v>
          </cell>
          <cell r="D10" t="str">
            <v>LOPEZ DIAZ ANGEL ENRIQUE</v>
          </cell>
          <cell r="E10" t="str">
            <v>NIAMA JACOME MARIA GABRIELA</v>
          </cell>
          <cell r="F10" t="str">
            <v>REINO TUFINO PAULTEH KATHERINE</v>
          </cell>
        </row>
        <row r="11">
          <cell r="A11" t="str">
            <v>NAE105912</v>
          </cell>
          <cell r="B11">
            <v>18135749</v>
          </cell>
          <cell r="C11" t="str">
            <v>EJECUTIVO VENTAS Y ATENCION</v>
          </cell>
          <cell r="D11" t="str">
            <v>LOPEZ DIAZ ANGEL ENRIQUE</v>
          </cell>
          <cell r="E11" t="str">
            <v>MENA COBA MARIA SOLEDAD</v>
          </cell>
          <cell r="F11" t="str">
            <v>MELCHIADE ISAAC VALMORE</v>
          </cell>
        </row>
        <row r="12">
          <cell r="A12" t="str">
            <v>NAE104116</v>
          </cell>
          <cell r="B12">
            <v>13403885</v>
          </cell>
          <cell r="C12" t="str">
            <v>EJECUTIVO VENTAS Y ATENCION</v>
          </cell>
          <cell r="D12" t="str">
            <v>LOPEZ DIAZ ANGEL ENRIQUE</v>
          </cell>
          <cell r="E12" t="str">
            <v>MENA COBA MARIA SOLEDAD</v>
          </cell>
          <cell r="F12" t="str">
            <v>CASTILLO AGUIRRE EDWIN MODESTO</v>
          </cell>
        </row>
        <row r="13">
          <cell r="A13" t="str">
            <v>NAE104113</v>
          </cell>
          <cell r="B13">
            <v>13403882</v>
          </cell>
          <cell r="C13" t="str">
            <v>EJECUTIVO VENTAS Y ATENCION</v>
          </cell>
          <cell r="D13" t="str">
            <v>LOPEZ DIAZ ANGEL ENRIQUE</v>
          </cell>
          <cell r="E13" t="str">
            <v>MENA COBA MARIA SOLEDAD</v>
          </cell>
          <cell r="F13" t="str">
            <v>ROSALES MALDONADO JESSICA GABRIELA</v>
          </cell>
        </row>
        <row r="14">
          <cell r="A14" t="str">
            <v>NAE105910</v>
          </cell>
          <cell r="B14">
            <v>18135748</v>
          </cell>
          <cell r="C14" t="str">
            <v>EJECUTIVO VENTAS Y ATENCION</v>
          </cell>
          <cell r="D14" t="str">
            <v>LOPEZ DIAZ ANGEL ENRIQUE</v>
          </cell>
          <cell r="E14" t="str">
            <v>MENA COBA MARIA SOLEDAD</v>
          </cell>
          <cell r="F14" t="str">
            <v>ROJAS VEGA JHOSMERY MICHELE</v>
          </cell>
        </row>
        <row r="15">
          <cell r="A15" t="str">
            <v>NAE108624</v>
          </cell>
          <cell r="B15">
            <v>25210342</v>
          </cell>
          <cell r="C15" t="str">
            <v>EJECUTIVO VENTAS Y ATENCION</v>
          </cell>
          <cell r="D15" t="str">
            <v>LOPEZ DIAZ ANGEL ENRIQUE</v>
          </cell>
          <cell r="E15" t="str">
            <v>MENA COBA MARIA SOLEDAD</v>
          </cell>
          <cell r="F15" t="str">
            <v>GUACHAMIN CAZA HUGO ADRIAN</v>
          </cell>
        </row>
        <row r="16">
          <cell r="A16" t="str">
            <v>NAE109162</v>
          </cell>
          <cell r="B16">
            <v>26612325</v>
          </cell>
          <cell r="C16" t="str">
            <v>EJECUTIVO HIBRIDO</v>
          </cell>
          <cell r="D16" t="str">
            <v>LOPEZ DIAZ ANGEL ENRIQUE</v>
          </cell>
          <cell r="E16" t="str">
            <v>MENA COBA MARIA SOLEDAD</v>
          </cell>
          <cell r="F16" t="str">
            <v>JARAMILLO ESPINOZA KENIA KATRINA</v>
          </cell>
        </row>
        <row r="17">
          <cell r="A17" t="str">
            <v>NAE104676</v>
          </cell>
          <cell r="C17" t="str">
            <v>ESPECIALISTA VENTAS Y ATENCION</v>
          </cell>
          <cell r="D17" t="str">
            <v>LOPEZ DIAZ ANGEL ENRIQUE</v>
          </cell>
          <cell r="E17" t="str">
            <v>MENA COBA MARIA SOLEDAD</v>
          </cell>
          <cell r="F17" t="str">
            <v>MENA COBA MARIA SOLEDAD</v>
          </cell>
        </row>
        <row r="18">
          <cell r="A18" t="str">
            <v>NAE104677</v>
          </cell>
          <cell r="C18" t="str">
            <v>JEFE DE TIENDA</v>
          </cell>
          <cell r="D18" t="str">
            <v>LOPEZ DIAZ ANGEL ENRIQUE</v>
          </cell>
          <cell r="E18" t="str">
            <v>MENA COBA MARIA SOLEDAD</v>
          </cell>
          <cell r="F18" t="str">
            <v>LOPEZ DIAZ ANGEL ENRIQUE</v>
          </cell>
        </row>
        <row r="19">
          <cell r="A19" t="str">
            <v>NAE110245</v>
          </cell>
          <cell r="C19" t="str">
            <v>EJECUTIVO HIBRIDO</v>
          </cell>
          <cell r="D19" t="str">
            <v>LOPEZ DIAZ ANGEL ENRIQUE</v>
          </cell>
          <cell r="E19" t="str">
            <v>MENA COBA MARIA SOLEDAD</v>
          </cell>
          <cell r="F19" t="str">
            <v>PADILLA MALDONADO HENRY LEOPOLDO</v>
          </cell>
        </row>
        <row r="20">
          <cell r="A20" t="str">
            <v>NAE104152</v>
          </cell>
          <cell r="B20">
            <v>11805253</v>
          </cell>
          <cell r="C20" t="str">
            <v>EJECUTIVO VENTAS Y ATENCION</v>
          </cell>
          <cell r="D20" t="str">
            <v>HOYOS MARURY LOURDES ELIZABETH</v>
          </cell>
          <cell r="E20" t="str">
            <v>FEICAN VELEZ MARIA DEL CARMEN</v>
          </cell>
          <cell r="F20" t="str">
            <v>CALLE CHACA JORGE VINICIO</v>
          </cell>
        </row>
        <row r="21">
          <cell r="A21" t="str">
            <v>NAE104868</v>
          </cell>
          <cell r="B21">
            <v>15306682</v>
          </cell>
          <cell r="C21" t="str">
            <v>EJECUTIVO VENTAS Y ATENCION</v>
          </cell>
          <cell r="D21" t="str">
            <v>HOYOS MARURY LOURDES ELIZABETH</v>
          </cell>
          <cell r="E21" t="str">
            <v>FEICAN VELEZ MARIA DEL CARMEN</v>
          </cell>
          <cell r="F21" t="str">
            <v>PATIÑO URGILES DIANA CATALINA</v>
          </cell>
        </row>
        <row r="22">
          <cell r="A22" t="str">
            <v>NAE110295</v>
          </cell>
          <cell r="C22" t="str">
            <v>EJECUTIVO VENTAS Y ATENCION</v>
          </cell>
          <cell r="D22" t="str">
            <v>HOYOS MARURY LOURDES ELIZABETH</v>
          </cell>
          <cell r="E22" t="str">
            <v>FEICAN VELEZ MARIA DEL CARMEN</v>
          </cell>
          <cell r="F22" t="str">
            <v>LUNA JACHO ANDREA GABRIELA</v>
          </cell>
        </row>
        <row r="23">
          <cell r="A23" t="str">
            <v>NAE108606</v>
          </cell>
          <cell r="B23">
            <v>24989270</v>
          </cell>
          <cell r="C23" t="str">
            <v>EJECUTIVO VENTAS Y ATENCION</v>
          </cell>
          <cell r="D23" t="str">
            <v>HOYOS MARURY LOURDES ELIZABETH</v>
          </cell>
          <cell r="E23" t="str">
            <v>LUZARDO CENTENO BORIS PAUL</v>
          </cell>
          <cell r="F23" t="str">
            <v>RAMIREZ RUBIO NELLY LILIANA</v>
          </cell>
        </row>
        <row r="24">
          <cell r="A24" t="str">
            <v>NAE108007</v>
          </cell>
          <cell r="B24">
            <v>23687476</v>
          </cell>
          <cell r="C24" t="str">
            <v>EJECUTIVO VENTAS Y ATENCION</v>
          </cell>
          <cell r="D24" t="str">
            <v>HOYOS MARURY LOURDES ELIZABETH</v>
          </cell>
          <cell r="E24" t="str">
            <v>FEICAN VELEZ MARIA DEL CARMEN</v>
          </cell>
          <cell r="F24" t="str">
            <v>ANDRADE CONDO CHRISTIAN EDUARDO</v>
          </cell>
        </row>
        <row r="25">
          <cell r="A25" t="str">
            <v>NAE108702</v>
          </cell>
          <cell r="B25">
            <v>25283790</v>
          </cell>
          <cell r="C25" t="str">
            <v>EJECUTIVO VENTAS Y ATENCION</v>
          </cell>
          <cell r="D25" t="str">
            <v>HOYOS MARURY LOURDES ELIZABETH</v>
          </cell>
          <cell r="E25" t="str">
            <v>FEICAN VELEZ MARIA DEL CARMEN</v>
          </cell>
          <cell r="F25" t="str">
            <v>GONZALES ALVARRACIN PAOLA YESSENIA</v>
          </cell>
        </row>
        <row r="26">
          <cell r="A26" t="str">
            <v>NAE104491</v>
          </cell>
          <cell r="C26" t="str">
            <v>ESPECIALISTA VENTAS Y ATENCION</v>
          </cell>
          <cell r="D26" t="str">
            <v>HOYOS MARURY LOURDES ELIZABETH</v>
          </cell>
          <cell r="E26" t="str">
            <v>FEICAN VELEZ MARIA DEL CARMEN</v>
          </cell>
          <cell r="F26" t="str">
            <v>FEICAN VELEZ MARIA DEL CARMEN</v>
          </cell>
        </row>
        <row r="27">
          <cell r="A27" t="str">
            <v>NAE107589</v>
          </cell>
          <cell r="B27">
            <v>22513183</v>
          </cell>
          <cell r="C27" t="str">
            <v>EJECUTIVO VENTAS Y ATENCION</v>
          </cell>
          <cell r="D27" t="str">
            <v>HOYOS MARURY LOURDES ELIZABETH</v>
          </cell>
          <cell r="E27" t="str">
            <v>LUZARDO CENTENO BORIS PAUL</v>
          </cell>
          <cell r="F27" t="str">
            <v>PATIÑO TAPIA ANDRES SANTIAGO</v>
          </cell>
        </row>
        <row r="28">
          <cell r="A28" t="str">
            <v>NAE107367</v>
          </cell>
          <cell r="B28">
            <v>21849604</v>
          </cell>
          <cell r="C28" t="str">
            <v>EJECUTIVO VENTAS Y ATENCION</v>
          </cell>
          <cell r="D28" t="str">
            <v>HOYOS MARURY LOURDES ELIZABETH</v>
          </cell>
          <cell r="E28" t="str">
            <v>LUZARDO CENTENO BORIS PAUL</v>
          </cell>
          <cell r="F28" t="str">
            <v>RODRIGUEZ QUITO JESSICA GABRIELA</v>
          </cell>
        </row>
        <row r="29">
          <cell r="A29" t="str">
            <v>NAE105623</v>
          </cell>
          <cell r="B29">
            <v>17479305</v>
          </cell>
          <cell r="C29" t="str">
            <v>EJECUTIVO VENTAS Y ATENCION</v>
          </cell>
          <cell r="D29" t="str">
            <v>HOYOS MARURY LOURDES ELIZABETH</v>
          </cell>
          <cell r="E29" t="str">
            <v>LUZARDO CENTENO BORIS PAUL</v>
          </cell>
          <cell r="F29" t="str">
            <v>YEPEZ PALOMEQUE DIANA PATRICIA</v>
          </cell>
        </row>
        <row r="30">
          <cell r="A30" t="str">
            <v>NAE104140</v>
          </cell>
          <cell r="B30">
            <v>13384886</v>
          </cell>
          <cell r="C30" t="str">
            <v>EJECUTIVO VENTAS Y ATENCION</v>
          </cell>
          <cell r="D30" t="str">
            <v>HOYOS MARURY LOURDES ELIZABETH</v>
          </cell>
          <cell r="E30" t="str">
            <v>FEICAN VELEZ MARIA DEL CARMEN</v>
          </cell>
          <cell r="F30" t="str">
            <v>VALLEJO DELEG ROMAN NICOLAS</v>
          </cell>
        </row>
        <row r="31">
          <cell r="A31" t="str">
            <v>NAE107674</v>
          </cell>
          <cell r="B31">
            <v>11820708</v>
          </cell>
          <cell r="C31" t="str">
            <v>EJECUTIVO VENTAS Y ATENCION</v>
          </cell>
          <cell r="D31" t="str">
            <v>HOYOS MARURY LOURDES ELIZABETH</v>
          </cell>
          <cell r="E31" t="str">
            <v>LUZARDO CENTENO BORIS PAUL</v>
          </cell>
          <cell r="F31" t="str">
            <v>OSORIO TEJADA ANA ESTEFANIA</v>
          </cell>
        </row>
        <row r="32">
          <cell r="A32" t="str">
            <v>NAE104153</v>
          </cell>
          <cell r="C32" t="str">
            <v>ESPECIALISTA VENTAS Y ATENCION</v>
          </cell>
          <cell r="D32" t="str">
            <v>HOYOS MARURY LOURDES ELIZABETH</v>
          </cell>
          <cell r="E32" t="str">
            <v>LUZARDO CENTENO BORIS PAUL</v>
          </cell>
          <cell r="F32" t="str">
            <v>LUZARDO CENTENO BORIS PAUL</v>
          </cell>
        </row>
        <row r="33">
          <cell r="A33" t="str">
            <v>NAE104145</v>
          </cell>
          <cell r="C33" t="str">
            <v>JEFE DE TIENDA</v>
          </cell>
          <cell r="D33" t="str">
            <v>HOYOS MARURY LOURDES ELIZABETH</v>
          </cell>
          <cell r="E33" t="str">
            <v>LUZARDO CENTENO BORIS PAUL</v>
          </cell>
          <cell r="F33" t="str">
            <v>HOYOS MARURY LOURDES ELIZABETH</v>
          </cell>
        </row>
        <row r="34">
          <cell r="A34" t="str">
            <v>NAE107767</v>
          </cell>
          <cell r="B34">
            <v>23028487</v>
          </cell>
          <cell r="C34" t="str">
            <v>EJECUTIVO VENTAS Y ATENCION</v>
          </cell>
          <cell r="D34" t="str">
            <v>HOYOS MARURY LOURDES ELIZABETH</v>
          </cell>
          <cell r="E34" t="str">
            <v>GALARZA PIZARRO RODRIGO IVAN</v>
          </cell>
          <cell r="F34" t="str">
            <v>SANCHEZ SARITAMA JOEL LUIS</v>
          </cell>
        </row>
        <row r="35">
          <cell r="A35" t="str">
            <v>NAE107725</v>
          </cell>
          <cell r="B35">
            <v>23028361</v>
          </cell>
          <cell r="C35" t="str">
            <v>EJECUTIVO VENTAS Y ATENCION</v>
          </cell>
          <cell r="D35" t="str">
            <v>HOYOS MARURY LOURDES ELIZABETH</v>
          </cell>
          <cell r="E35" t="str">
            <v>GALARZA PIZARRO RODRIGO IVAN</v>
          </cell>
          <cell r="F35" t="str">
            <v>GONZAGA YUPANGUI LIZBETH KATHERINE</v>
          </cell>
        </row>
        <row r="36">
          <cell r="A36" t="str">
            <v>NAE107726</v>
          </cell>
          <cell r="B36">
            <v>23028268</v>
          </cell>
          <cell r="C36" t="str">
            <v>EJECUTIVO VENTAS Y ATENCION</v>
          </cell>
          <cell r="D36" t="str">
            <v>HOYOS MARURY LOURDES ELIZABETH</v>
          </cell>
          <cell r="E36" t="str">
            <v>GALARZA PIZARRO RODRIGO IVAN</v>
          </cell>
          <cell r="F36" t="str">
            <v>ARROBO VICENTE YADIRA ESPERANZA</v>
          </cell>
        </row>
        <row r="37">
          <cell r="A37" t="str">
            <v>NAE106956</v>
          </cell>
          <cell r="B37">
            <v>22549800</v>
          </cell>
          <cell r="C37" t="str">
            <v>EJECUTIVO VENTAS Y ATENCION</v>
          </cell>
          <cell r="D37" t="str">
            <v>HOYOS MARURY LOURDES ELIZABETH</v>
          </cell>
          <cell r="E37" t="str">
            <v>GALARZA PIZARRO RODRIGO IVAN</v>
          </cell>
          <cell r="F37" t="str">
            <v>TENORIO MARIA DEL PILAR</v>
          </cell>
        </row>
        <row r="38">
          <cell r="A38" t="str">
            <v>NAE105139</v>
          </cell>
          <cell r="C38" t="str">
            <v>ESPECIALISTA VENTAS Y ATENCION</v>
          </cell>
          <cell r="D38" t="str">
            <v>HOYOS MARURY LOURDES ELIZABETH</v>
          </cell>
          <cell r="E38" t="str">
            <v>GALARZA PIZARRO RODRIGO IVAN</v>
          </cell>
          <cell r="F38" t="str">
            <v>GALARZA PIZARRO RODRIGO IVAN</v>
          </cell>
        </row>
        <row r="39">
          <cell r="A39" t="str">
            <v>NAE110544</v>
          </cell>
          <cell r="C39" t="str">
            <v>EJECUTIVO HIBRIDO</v>
          </cell>
          <cell r="D39" t="str">
            <v>HOYOS MARURY LOURDES ELIZABETH</v>
          </cell>
          <cell r="E39" t="str">
            <v>GALARZA PIZARRO RODRIGO IVAN</v>
          </cell>
          <cell r="F39" t="str">
            <v>ALICIA ROMINA GONZALEZ SANDOYA</v>
          </cell>
        </row>
        <row r="40">
          <cell r="A40" t="str">
            <v>NAE109815</v>
          </cell>
          <cell r="C40" t="str">
            <v>EJECUTIVO VENTAS Y ATENCION</v>
          </cell>
          <cell r="D40" t="str">
            <v>VALLEJO VIVANCO ISRAEL BERTIN</v>
          </cell>
          <cell r="E40" t="str">
            <v>MONTENEGRO MEJIA MARITZA ELOISA</v>
          </cell>
          <cell r="F40" t="str">
            <v>CONDO GARCIA NICOLAS MATIAS</v>
          </cell>
        </row>
        <row r="41">
          <cell r="A41" t="str">
            <v>NAE109816</v>
          </cell>
          <cell r="C41" t="str">
            <v>EJECUTIVO VENTAS Y ATENCION</v>
          </cell>
          <cell r="D41" t="str">
            <v>VALLEJO VIVANCO ISRAEL BERTIN</v>
          </cell>
          <cell r="E41" t="str">
            <v>MONTENEGRO MEJIA MARITZA ELOISA</v>
          </cell>
          <cell r="F41" t="str">
            <v>VALBUENA SANCHEZ ALBERT ANTHONY</v>
          </cell>
        </row>
        <row r="42">
          <cell r="A42" t="str">
            <v>NAE104139</v>
          </cell>
          <cell r="B42">
            <v>13403881</v>
          </cell>
          <cell r="C42" t="str">
            <v>EJECUTIVO VENTAS Y ATENCION</v>
          </cell>
          <cell r="D42" t="str">
            <v>VALLEJO VIVANCO ISRAEL BERTIN</v>
          </cell>
          <cell r="E42" t="str">
            <v>MONTENEGRO MEJIA MARITZA ELOISA</v>
          </cell>
          <cell r="F42" t="str">
            <v>CHICAIZA TOAPANTA ALEX DANILO</v>
          </cell>
        </row>
        <row r="43">
          <cell r="A43" t="str">
            <v>NAE104118</v>
          </cell>
          <cell r="B43">
            <v>13403887</v>
          </cell>
          <cell r="C43" t="str">
            <v>EJECUTIVO VENTAS Y ATENCION</v>
          </cell>
          <cell r="D43" t="str">
            <v>VALLEJO VIVANCO ISRAEL BERTIN</v>
          </cell>
          <cell r="E43" t="str">
            <v>MONTENEGRO MEJIA MARITZA ELOISA</v>
          </cell>
          <cell r="F43" t="str">
            <v>SALAS PARRA MARIA JOSE</v>
          </cell>
        </row>
        <row r="44">
          <cell r="A44" t="str">
            <v>NAE104739</v>
          </cell>
          <cell r="B44">
            <v>14806873</v>
          </cell>
          <cell r="C44" t="str">
            <v>EJECUTIVO VENTAS Y ATENCION</v>
          </cell>
          <cell r="D44" t="str">
            <v>VALLEJO VIVANCO ISRAEL BERTIN</v>
          </cell>
          <cell r="E44" t="str">
            <v>MONTENEGRO MEJIA MARITZA ELOISA</v>
          </cell>
          <cell r="F44" t="str">
            <v>GUEVARA MAZA CRISTIAN FABIAN</v>
          </cell>
        </row>
        <row r="45">
          <cell r="A45" t="str">
            <v>NAE108058</v>
          </cell>
          <cell r="B45">
            <v>23779957</v>
          </cell>
          <cell r="C45" t="str">
            <v>EJECUTIVO VENTAS Y ATENCION</v>
          </cell>
          <cell r="D45" t="str">
            <v>VALLEJO VIVANCO ISRAEL BERTIN</v>
          </cell>
          <cell r="E45" t="str">
            <v>MONTENEGRO MEJIA MARITZA ELOISA</v>
          </cell>
          <cell r="F45" t="str">
            <v>ESPINOZA MARTINES LAURA XIOMARA</v>
          </cell>
        </row>
        <row r="46">
          <cell r="A46" t="str">
            <v>NAE109814</v>
          </cell>
          <cell r="C46" t="str">
            <v>EJECUTIVO VENTAS Y ATENCION</v>
          </cell>
          <cell r="D46" t="str">
            <v>VALLEJO VIVANCO ISRAEL BERTIN</v>
          </cell>
          <cell r="E46" t="str">
            <v>MONTENEGRO MEJIA MARITZA ELOISA</v>
          </cell>
          <cell r="F46" t="str">
            <v>VINUEZA VELASCO ANGY DAYANA</v>
          </cell>
        </row>
        <row r="47">
          <cell r="A47" t="str">
            <v>NAE107986</v>
          </cell>
          <cell r="B47">
            <v>23589024</v>
          </cell>
          <cell r="C47" t="str">
            <v>EJECUTIVO VENTAS Y ATENCION</v>
          </cell>
          <cell r="D47" t="str">
            <v>VALLEJO VIVANCO ISRAEL BERTIN</v>
          </cell>
          <cell r="E47" t="str">
            <v>MONTENEGRO MEJIA MARITZA ELOISA</v>
          </cell>
          <cell r="F47" t="str">
            <v>LOAYZA AGUILAR JONATHAN FABIAN</v>
          </cell>
        </row>
        <row r="48">
          <cell r="A48" t="str">
            <v>NAE109193</v>
          </cell>
          <cell r="B48">
            <v>26853122</v>
          </cell>
          <cell r="C48" t="str">
            <v>EJECUTIVO VENTAS Y ATENCION</v>
          </cell>
          <cell r="D48" t="str">
            <v>VALLEJO VIVANCO ISRAEL BERTIN</v>
          </cell>
          <cell r="E48" t="str">
            <v>MONTENEGRO MEJIA MARITZA ELOISA</v>
          </cell>
          <cell r="F48" t="str">
            <v>CRUZ MONTUFAR KATHERINE ALEJANDRA</v>
          </cell>
        </row>
        <row r="49">
          <cell r="A49" t="str">
            <v>NAE109426</v>
          </cell>
          <cell r="B49">
            <v>28067739</v>
          </cell>
          <cell r="C49" t="str">
            <v>EJECUTIVO VENTAS Y ATENCION</v>
          </cell>
          <cell r="D49" t="str">
            <v>VALLEJO VIVANCO ISRAEL BERTIN</v>
          </cell>
          <cell r="E49" t="str">
            <v>MONTENEGRO MEJIA MARITZA ELOISA</v>
          </cell>
          <cell r="F49" t="str">
            <v>VARGAS REYES LUIS EDUARDO</v>
          </cell>
        </row>
        <row r="50">
          <cell r="A50" t="str">
            <v>NAE109306</v>
          </cell>
          <cell r="B50">
            <v>27300574</v>
          </cell>
          <cell r="C50" t="str">
            <v>EJECUTIVO VENTAS Y ATENCION</v>
          </cell>
          <cell r="D50" t="str">
            <v>VALLEJO VIVANCO ISRAEL BERTIN</v>
          </cell>
          <cell r="E50" t="str">
            <v>MONTENEGRO MEJIA MARITZA ELOISA</v>
          </cell>
          <cell r="F50" t="str">
            <v>GUAIGUA REINOSO GENESIS CAROLINA</v>
          </cell>
        </row>
        <row r="51">
          <cell r="A51" t="str">
            <v>NAE107987</v>
          </cell>
          <cell r="B51">
            <v>24539219</v>
          </cell>
          <cell r="C51" t="str">
            <v>EJECUTIVO HIBRIDO</v>
          </cell>
          <cell r="D51" t="str">
            <v>VALLEJO VIVANCO ISRAEL BERTIN</v>
          </cell>
          <cell r="E51" t="str">
            <v>MONTENEGRO MEJIA MARITZA ELOISA</v>
          </cell>
          <cell r="F51" t="str">
            <v>OTERO YEPEZ ANDREA SOLEDAD</v>
          </cell>
        </row>
        <row r="52">
          <cell r="A52" t="str">
            <v>NAE108908</v>
          </cell>
          <cell r="B52">
            <v>25816512</v>
          </cell>
          <cell r="C52" t="str">
            <v>EJECUTIVO HIBRIDO</v>
          </cell>
          <cell r="D52" t="str">
            <v>VALLEJO VIVANCO ISRAEL BERTIN</v>
          </cell>
          <cell r="E52" t="str">
            <v>MONTENEGRO MEJIA MARITZA ELOISA</v>
          </cell>
          <cell r="F52" t="str">
            <v>CABEZAS LOPEZ ROBERTO ALEJANDRO</v>
          </cell>
        </row>
        <row r="53">
          <cell r="A53" t="str">
            <v>NAE107800</v>
          </cell>
          <cell r="C53" t="str">
            <v>ESPECIALISTA VENTAS Y ATENCION</v>
          </cell>
          <cell r="D53" t="str">
            <v>VALLEJO VIVANCO ISRAEL BERTIN</v>
          </cell>
          <cell r="E53" t="str">
            <v>MONTENEGRO MEJIA MARITZA ELOISA</v>
          </cell>
          <cell r="F53" t="str">
            <v>MONTENEGRO MEJIA MARITZA ELOISA</v>
          </cell>
        </row>
        <row r="54">
          <cell r="A54" t="str">
            <v>NAE108682</v>
          </cell>
          <cell r="C54" t="str">
            <v>JEFE DE TIENDA</v>
          </cell>
          <cell r="D54" t="str">
            <v>VALLEJO VIVANCO ISRAEL BERTIN</v>
          </cell>
          <cell r="E54" t="str">
            <v>MONTENEGRO MEJIA MARITZA ELOISA</v>
          </cell>
          <cell r="F54" t="str">
            <v>VALLEJO VIVANCO ISRAEL BERTIN</v>
          </cell>
        </row>
        <row r="55">
          <cell r="A55" t="str">
            <v>NAE109935</v>
          </cell>
          <cell r="C55" t="str">
            <v>EJECUTIVO VENTAS Y ATENCION</v>
          </cell>
          <cell r="D55" t="str">
            <v>VALLEJO VIVANCO ISRAEL BERTIN</v>
          </cell>
          <cell r="E55" t="str">
            <v>MONTENEGRO MEJIA MARITZA ELOISA</v>
          </cell>
          <cell r="F55" t="str">
            <v>CORDOVA GAIBOR JONATHAN HERNAN</v>
          </cell>
        </row>
        <row r="56">
          <cell r="A56" t="str">
            <v>NAE110429</v>
          </cell>
          <cell r="C56" t="str">
            <v>EJECUTIVO VENTAS Y ATENCION</v>
          </cell>
          <cell r="D56" t="str">
            <v>VALLEJO VIVANCO ISRAEL BERTIN</v>
          </cell>
          <cell r="E56" t="str">
            <v>MONTENEGRO MEJIA MARITZA ELOISA</v>
          </cell>
          <cell r="F56" t="str">
            <v>ORELLANA CARRERA MICHAEL ALEXANDER</v>
          </cell>
        </row>
        <row r="57">
          <cell r="A57" t="str">
            <v>NAE110430</v>
          </cell>
          <cell r="C57" t="str">
            <v>EJECUTIVO VENTAS Y ATENCION</v>
          </cell>
          <cell r="D57" t="str">
            <v>VALLEJO VIVANCO ISRAEL BERTIN</v>
          </cell>
          <cell r="E57" t="str">
            <v>MONTENEGRO MEJIA MARITZA ELOISA</v>
          </cell>
          <cell r="F57" t="str">
            <v>CORDOVA BRUCIL LUIS EDUARDO</v>
          </cell>
        </row>
        <row r="58">
          <cell r="A58" t="str">
            <v>NAE110467</v>
          </cell>
          <cell r="C58" t="str">
            <v>EJECUTIVO VENTAS Y ATENCION</v>
          </cell>
          <cell r="D58" t="str">
            <v>VALLEJO VIVANCO ISRAEL BERTIN</v>
          </cell>
          <cell r="E58" t="str">
            <v>MONTENEGRO MEJIA MARITZA ELOISA</v>
          </cell>
          <cell r="F58" t="str">
            <v>CHAVEZ VASQUEZ YESSENIA KATHERINE</v>
          </cell>
        </row>
        <row r="59">
          <cell r="A59" t="str">
            <v>NAE110468</v>
          </cell>
          <cell r="C59" t="str">
            <v>EJECUTIVO VENTAS Y ATENCION</v>
          </cell>
          <cell r="D59" t="str">
            <v>VALLEJO VIVANCO ISRAEL BERTIN</v>
          </cell>
          <cell r="E59" t="str">
            <v>MONTENEGRO MEJIA MARITZA ELOISA</v>
          </cell>
          <cell r="F59" t="str">
            <v>MEDINA LAPO DAYANNA CAROLINA</v>
          </cell>
        </row>
        <row r="60">
          <cell r="A60" t="str">
            <v>NAE110469</v>
          </cell>
          <cell r="C60" t="str">
            <v>EJECUTIVO VENTAS Y ATENCION</v>
          </cell>
          <cell r="D60" t="str">
            <v>VALLEJO VIVANCO ISRAEL BERTIN</v>
          </cell>
          <cell r="E60" t="str">
            <v>MONTENEGRO MEJIA MARITZA ELOISA</v>
          </cell>
          <cell r="F60" t="str">
            <v>LOZADA REYES BERTHA MARIBEL</v>
          </cell>
        </row>
        <row r="61">
          <cell r="A61" t="str">
            <v>NAE110470</v>
          </cell>
          <cell r="C61" t="str">
            <v>EJECUTIVO VENTAS Y ATENCION</v>
          </cell>
          <cell r="D61" t="str">
            <v>VALLEJO VIVANCO ISRAEL BERTIN</v>
          </cell>
          <cell r="E61" t="str">
            <v>MONTENEGRO MEJIA MARITZA ELOISA</v>
          </cell>
          <cell r="F61" t="str">
            <v>ORTEGA  NATALIE MÉNDEZ</v>
          </cell>
        </row>
      </sheetData>
      <sheetData sheetId="14">
        <row r="1">
          <cell r="CQ1" t="str">
            <v>IDENTIFICACION</v>
          </cell>
          <cell r="CR1" t="str">
            <v>EJECUTIVO</v>
          </cell>
          <cell r="CS1" t="str">
            <v>CONDICION</v>
          </cell>
        </row>
        <row r="2">
          <cell r="CQ2">
            <v>12845294</v>
          </cell>
          <cell r="CR2" t="str">
            <v>GIANELLA AMBULUDI ROLDÁN</v>
          </cell>
          <cell r="CS2" t="str">
            <v>EJECUTIVO HIBRIDO</v>
          </cell>
        </row>
        <row r="3">
          <cell r="CQ3">
            <v>12845706</v>
          </cell>
          <cell r="CR3" t="str">
            <v>Kenia Katrina Jaramillo Espinoza</v>
          </cell>
          <cell r="CS3" t="str">
            <v>EJECUTIVO HIBRIDO</v>
          </cell>
        </row>
        <row r="4">
          <cell r="CQ4">
            <v>12853352</v>
          </cell>
          <cell r="CR4" t="str">
            <v>ALICIA ROMINA GONZALEZ SANDOYA</v>
          </cell>
          <cell r="CS4" t="str">
            <v>EJECUTIVO HIBRIDO</v>
          </cell>
        </row>
        <row r="5">
          <cell r="CQ5">
            <v>12851608</v>
          </cell>
          <cell r="CR5" t="str">
            <v>REINO TUFIÑO PAULETH KATHERINE</v>
          </cell>
          <cell r="CS5" t="str">
            <v>EJECUTIVO HIBRIDO</v>
          </cell>
        </row>
        <row r="6">
          <cell r="CQ6">
            <v>12851610</v>
          </cell>
          <cell r="CS6" t="str">
            <v>EJECUTIVO HIBRIDO</v>
          </cell>
        </row>
        <row r="7">
          <cell r="CQ7">
            <v>12844186</v>
          </cell>
          <cell r="CR7" t="str">
            <v>ROBERTO ALEJANDRO CABEZAS LÓPEZ</v>
          </cell>
          <cell r="CS7" t="str">
            <v>EJECUTIVO HIBRIDO</v>
          </cell>
        </row>
        <row r="8">
          <cell r="CQ8">
            <v>12839426</v>
          </cell>
          <cell r="CR8" t="str">
            <v>OTERO YEPEZ ANDREA SOLEDAD</v>
          </cell>
          <cell r="CS8" t="str">
            <v>EJECUTIVO HIBRIDO</v>
          </cell>
        </row>
      </sheetData>
      <sheetData sheetId="15">
        <row r="4">
          <cell r="M4" t="str">
            <v>PrepagoChip</v>
          </cell>
          <cell r="N4" t="str">
            <v>MetaUpsellTM</v>
          </cell>
          <cell r="Q4" t="str">
            <v>MetaBlindaje</v>
          </cell>
          <cell r="R4" t="str">
            <v>MetaRetencion</v>
          </cell>
          <cell r="AB4" t="str">
            <v>MetaNPS</v>
          </cell>
          <cell r="AD4" t="str">
            <v>MetaPayJoy</v>
          </cell>
          <cell r="AF4" t="str">
            <v>MetaAltaDomTm</v>
          </cell>
          <cell r="AG4" t="str">
            <v>MetaTransferDomTM</v>
          </cell>
          <cell r="AH4" t="str">
            <v>MetaAltaPagoCaja</v>
          </cell>
          <cell r="AI4" t="str">
            <v>MetaTransferPagoCaja</v>
          </cell>
          <cell r="EZ4" t="str">
            <v>MetaRenovacionContado</v>
          </cell>
          <cell r="FA4" t="str">
            <v>MetaRenovacionFinanciado</v>
          </cell>
          <cell r="FB4" t="str">
            <v>MetaContratoContado</v>
          </cell>
          <cell r="FC4" t="str">
            <v>MetaContratoFinanciado</v>
          </cell>
          <cell r="FD4" t="str">
            <v>MetaPrepagoContado</v>
          </cell>
          <cell r="FE4" t="str">
            <v>MetaAccesorios</v>
          </cell>
          <cell r="FN4" t="str">
            <v>MetaPaqIlimitado</v>
          </cell>
          <cell r="FO4" t="str">
            <v>MetaUPPS</v>
          </cell>
          <cell r="FP4" t="str">
            <v>MetaSD</v>
          </cell>
          <cell r="FQ4" t="str">
            <v>MetaSOS</v>
          </cell>
          <cell r="FR4" t="str">
            <v>MetaMplay</v>
          </cell>
          <cell r="FS4" t="str">
            <v>MetaFutbol</v>
          </cell>
          <cell r="FT4" t="str">
            <v>MetaFox</v>
          </cell>
          <cell r="FU4" t="str">
            <v>MetaHBO</v>
          </cell>
        </row>
        <row r="5">
          <cell r="B5" t="str">
            <v>PRESUPUESTO DICIEMBRE 2022 TELEFONICA</v>
          </cell>
          <cell r="CJ5">
            <v>0.3</v>
          </cell>
          <cell r="CV5">
            <v>0.3</v>
          </cell>
          <cell r="EZ5">
            <v>0.50196078431372548</v>
          </cell>
          <cell r="FA5">
            <v>0.2627450980392157</v>
          </cell>
          <cell r="FB5">
            <v>0.15294117647058825</v>
          </cell>
          <cell r="FC5">
            <v>8.2352941176470587E-2</v>
          </cell>
        </row>
        <row r="6">
          <cell r="A6" t="str">
            <v>Tienda</v>
          </cell>
          <cell r="B6" t="str">
            <v>Nombre de Plaza</v>
          </cell>
          <cell r="G6" t="str">
            <v>Altas</v>
          </cell>
          <cell r="H6" t="str">
            <v>%Part. Altas</v>
          </cell>
          <cell r="I6" t="str">
            <v>Transf.</v>
          </cell>
          <cell r="J6" t="str">
            <v>%Part. Transf.</v>
          </cell>
          <cell r="K6" t="str">
            <v>Total Pospago</v>
          </cell>
          <cell r="L6" t="str">
            <v>Portabilidad</v>
          </cell>
          <cell r="M6" t="str">
            <v>Prepago</v>
          </cell>
          <cell r="N6" t="str">
            <v>Cambios de Plan</v>
          </cell>
          <cell r="O6" t="str">
            <v>Prepago con Terminal</v>
          </cell>
          <cell r="P6" t="str">
            <v>Total Terminales (PPCT + POS +REN)</v>
          </cell>
          <cell r="Q6" t="str">
            <v>Blindaje</v>
          </cell>
          <cell r="R6" t="str">
            <v>Retenciones</v>
          </cell>
          <cell r="S6" t="str">
            <v>Paquetes Recurrentes de voz</v>
          </cell>
          <cell r="T6" t="str">
            <v>UPPS+</v>
          </cell>
          <cell r="U6" t="str">
            <v>Seguridad Digital</v>
          </cell>
          <cell r="V6" t="str">
            <v>Asistencia SOS</v>
          </cell>
          <cell r="W6" t="str">
            <v>TVI</v>
          </cell>
          <cell r="X6" t="str">
            <v>Canal del Futbol</v>
          </cell>
          <cell r="Y6" t="str">
            <v>FOX</v>
          </cell>
          <cell r="Z6" t="str">
            <v>HBO</v>
          </cell>
          <cell r="AA6" t="str">
            <v>TOTAL TV</v>
          </cell>
          <cell r="AB6" t="str">
            <v>NPS</v>
          </cell>
          <cell r="AC6" t="str">
            <v>DESCARGA APP MOVISTAR</v>
          </cell>
          <cell r="AD6" t="str">
            <v>META PAYJOY</v>
          </cell>
          <cell r="AF6" t="str">
            <v>Altas Domiciliadas</v>
          </cell>
          <cell r="AG6" t="str">
            <v>Transferencias Domiciliadas</v>
          </cell>
          <cell r="AH6" t="str">
            <v>Altas Pago en Caja</v>
          </cell>
          <cell r="AI6" t="str">
            <v>Trasnferencias Pago en Caja</v>
          </cell>
          <cell r="CJ6" t="str">
            <v>Meta TM Planes $11,42</v>
          </cell>
          <cell r="CV6" t="str">
            <v>Meta TM Planes Televentas</v>
          </cell>
          <cell r="EZ6" t="str">
            <v>Renovacion Contado</v>
          </cell>
          <cell r="FA6" t="str">
            <v>Renovacion Financiado</v>
          </cell>
          <cell r="FB6" t="str">
            <v>Contrato Contado</v>
          </cell>
          <cell r="FC6" t="str">
            <v>Contrato Financiado</v>
          </cell>
          <cell r="FD6" t="str">
            <v>Prepago Contado</v>
          </cell>
          <cell r="FE6" t="str">
            <v>Accesorios</v>
          </cell>
          <cell r="FF6" t="str">
            <v>Total</v>
          </cell>
          <cell r="FN6" t="str">
            <v>PAQUETES RECURRENTES VOZ</v>
          </cell>
          <cell r="FO6" t="str">
            <v>UPSS+</v>
          </cell>
          <cell r="FP6" t="str">
            <v>Seguridad Digital</v>
          </cell>
          <cell r="FQ6" t="str">
            <v>Asistencia SOS</v>
          </cell>
          <cell r="FR6" t="str">
            <v xml:space="preserve">TVI </v>
          </cell>
          <cell r="FS6" t="str">
            <v>Canal del Fútbol</v>
          </cell>
          <cell r="FT6" t="str">
            <v>FOX</v>
          </cell>
          <cell r="FU6" t="str">
            <v>HBO</v>
          </cell>
          <cell r="FV6" t="str">
            <v>Total TV</v>
          </cell>
        </row>
        <row r="7">
          <cell r="A7" t="str">
            <v>TIENDA AMERICA</v>
          </cell>
          <cell r="B7" t="str">
            <v>AE SALESLAND PLAZA DE LAS AMERICAS</v>
          </cell>
          <cell r="G7">
            <v>129.22330097087377</v>
          </cell>
          <cell r="H7">
            <v>0.58737864077669899</v>
          </cell>
          <cell r="I7">
            <v>90.776699029126206</v>
          </cell>
          <cell r="J7">
            <v>0.41262135922330101</v>
          </cell>
          <cell r="K7">
            <v>219.99999999999997</v>
          </cell>
          <cell r="L7">
            <v>16</v>
          </cell>
          <cell r="M7">
            <v>58</v>
          </cell>
          <cell r="N7">
            <v>245</v>
          </cell>
          <cell r="O7">
            <v>0</v>
          </cell>
          <cell r="P7">
            <v>34078.661359326979</v>
          </cell>
          <cell r="Q7">
            <v>3.1084366157892642</v>
          </cell>
          <cell r="R7">
            <v>0.78</v>
          </cell>
          <cell r="S7">
            <v>74.556694854417742</v>
          </cell>
          <cell r="T7">
            <v>3.9644683098835167</v>
          </cell>
          <cell r="U7">
            <v>4.6294001775103544</v>
          </cell>
          <cell r="V7">
            <v>2.7312991401591575</v>
          </cell>
          <cell r="W7">
            <v>0.15287321340362553</v>
          </cell>
          <cell r="X7">
            <v>0.23723075555434608</v>
          </cell>
          <cell r="Y7">
            <v>0</v>
          </cell>
          <cell r="Z7">
            <v>0</v>
          </cell>
          <cell r="AA7">
            <v>0.39010396895797161</v>
          </cell>
          <cell r="AB7">
            <v>0.8</v>
          </cell>
          <cell r="AC7">
            <v>33</v>
          </cell>
          <cell r="AD7">
            <v>360</v>
          </cell>
          <cell r="AF7">
            <v>103</v>
          </cell>
          <cell r="AG7">
            <v>77</v>
          </cell>
          <cell r="AH7">
            <v>26</v>
          </cell>
          <cell r="AI7">
            <v>14</v>
          </cell>
          <cell r="CJ7">
            <v>66</v>
          </cell>
          <cell r="CV7">
            <v>66</v>
          </cell>
          <cell r="EZ7">
            <v>17106.151584289622</v>
          </cell>
          <cell r="FA7">
            <v>8954.0012199015982</v>
          </cell>
          <cell r="FB7">
            <v>5212.0305608382441</v>
          </cell>
          <cell r="FC7">
            <v>2806.477994297516</v>
          </cell>
          <cell r="FD7">
            <v>0</v>
          </cell>
          <cell r="FE7">
            <v>0</v>
          </cell>
          <cell r="FF7">
            <v>34078.661359326979</v>
          </cell>
          <cell r="FN7">
            <v>24.852231618139246</v>
          </cell>
          <cell r="FO7">
            <v>0.79448262723116569</v>
          </cell>
          <cell r="FP7">
            <v>1.6834182463674017</v>
          </cell>
          <cell r="FQ7">
            <v>0.79398230818580162</v>
          </cell>
          <cell r="FR7">
            <v>1.0198346457880288E-2</v>
          </cell>
          <cell r="FS7">
            <v>4.4342197299877775E-2</v>
          </cell>
          <cell r="FT7">
            <v>0</v>
          </cell>
          <cell r="FU7">
            <v>0</v>
          </cell>
          <cell r="FV7">
            <v>5.4540543757758062E-2</v>
          </cell>
        </row>
        <row r="8">
          <cell r="A8" t="str">
            <v>TIENDA CONDADO</v>
          </cell>
          <cell r="B8" t="str">
            <v>AE SALESLAND EL CONDADO</v>
          </cell>
          <cell r="G8">
            <v>170.73786407767</v>
          </cell>
          <cell r="H8">
            <v>0.5173874669020303</v>
          </cell>
          <cell r="I8">
            <v>159.26213592233</v>
          </cell>
          <cell r="J8">
            <v>0.4826125330979697</v>
          </cell>
          <cell r="K8">
            <v>330</v>
          </cell>
          <cell r="L8">
            <v>27</v>
          </cell>
          <cell r="M8">
            <v>103.50516910338219</v>
          </cell>
          <cell r="N8">
            <v>463</v>
          </cell>
          <cell r="O8">
            <v>9806.0529693307362</v>
          </cell>
          <cell r="P8">
            <v>39474.284102896301</v>
          </cell>
          <cell r="Q8">
            <v>1.0361455385964216</v>
          </cell>
          <cell r="R8">
            <v>0.78</v>
          </cell>
          <cell r="S8">
            <v>74.556694854417742</v>
          </cell>
          <cell r="T8">
            <v>57.150014117266707</v>
          </cell>
          <cell r="U8">
            <v>66.735376554685402</v>
          </cell>
          <cell r="V8">
            <v>2.7312991401591575</v>
          </cell>
          <cell r="W8">
            <v>4.6837843445607641</v>
          </cell>
          <cell r="X8">
            <v>7.2683609781922467</v>
          </cell>
          <cell r="Y8">
            <v>0</v>
          </cell>
          <cell r="Z8">
            <v>0</v>
          </cell>
          <cell r="AA8">
            <v>11.952145322753012</v>
          </cell>
          <cell r="AB8">
            <v>0.8</v>
          </cell>
          <cell r="AC8">
            <v>43</v>
          </cell>
          <cell r="AD8">
            <v>2880</v>
          </cell>
          <cell r="AF8">
            <v>137</v>
          </cell>
          <cell r="AG8">
            <v>135</v>
          </cell>
          <cell r="AH8">
            <v>34</v>
          </cell>
          <cell r="AI8">
            <v>24</v>
          </cell>
          <cell r="CJ8">
            <v>99</v>
          </cell>
          <cell r="CV8">
            <v>99</v>
          </cell>
          <cell r="EZ8">
            <v>19814.542608512653</v>
          </cell>
          <cell r="FA8">
            <v>10371.674646643341</v>
          </cell>
          <cell r="FB8">
            <v>6037.2434510311996</v>
          </cell>
          <cell r="FC8">
            <v>3250.8233967091073</v>
          </cell>
          <cell r="FD8">
            <v>9806.0529693307362</v>
          </cell>
          <cell r="FE8">
            <v>0</v>
          </cell>
          <cell r="FF8">
            <v>49280.337072227034</v>
          </cell>
          <cell r="FN8">
            <v>24.852231618139246</v>
          </cell>
          <cell r="FO8">
            <v>11.45290864073481</v>
          </cell>
          <cell r="FP8">
            <v>24.267409656249239</v>
          </cell>
          <cell r="FQ8">
            <v>0.79398230818580162</v>
          </cell>
          <cell r="FR8">
            <v>0.31246059670185217</v>
          </cell>
          <cell r="FS8">
            <v>1.3585721454564947</v>
          </cell>
          <cell r="FT8">
            <v>0</v>
          </cell>
          <cell r="FU8">
            <v>0</v>
          </cell>
          <cell r="FV8">
            <v>1.6710327421583469</v>
          </cell>
        </row>
        <row r="9">
          <cell r="A9" t="str">
            <v>TIENDA CUENCA CENTRO</v>
          </cell>
          <cell r="B9" t="str">
            <v>AE SALESLAND CUENCA CENTRO</v>
          </cell>
          <cell r="G9">
            <v>105.1131221719457</v>
          </cell>
          <cell r="H9">
            <v>0.45701357466063347</v>
          </cell>
          <cell r="I9">
            <v>124.8868778280543</v>
          </cell>
          <cell r="J9">
            <v>0.54298642533936647</v>
          </cell>
          <cell r="K9">
            <v>230</v>
          </cell>
          <cell r="L9">
            <v>16</v>
          </cell>
          <cell r="M9">
            <v>130.28294020932964</v>
          </cell>
          <cell r="N9">
            <v>280</v>
          </cell>
          <cell r="O9">
            <v>8457.0028340254175</v>
          </cell>
          <cell r="P9">
            <v>22619.835793435723</v>
          </cell>
          <cell r="Q9">
            <v>4.1445821543856862</v>
          </cell>
          <cell r="R9">
            <v>0.78</v>
          </cell>
          <cell r="S9">
            <v>67.978162955498505</v>
          </cell>
          <cell r="T9">
            <v>28.975886979981734</v>
          </cell>
          <cell r="U9">
            <v>33.835804915940592</v>
          </cell>
          <cell r="V9">
            <v>2.7312991401591575</v>
          </cell>
          <cell r="W9">
            <v>2.2914329772858961</v>
          </cell>
          <cell r="X9">
            <v>3.5558772161636649</v>
          </cell>
          <cell r="Y9">
            <v>0</v>
          </cell>
          <cell r="Z9">
            <v>0</v>
          </cell>
          <cell r="AA9">
            <v>5.8473101934495606</v>
          </cell>
          <cell r="AB9">
            <v>0.8</v>
          </cell>
          <cell r="AC9">
            <v>27</v>
          </cell>
          <cell r="AD9">
            <v>7200</v>
          </cell>
          <cell r="AF9">
            <v>79</v>
          </cell>
          <cell r="AG9">
            <v>87</v>
          </cell>
          <cell r="AH9">
            <v>26</v>
          </cell>
          <cell r="AI9">
            <v>38</v>
          </cell>
          <cell r="CJ9">
            <v>69</v>
          </cell>
          <cell r="CV9">
            <v>69</v>
          </cell>
          <cell r="EZ9">
            <v>11354.270515920676</v>
          </cell>
          <cell r="FA9">
            <v>5943.2509731772298</v>
          </cell>
          <cell r="FB9">
            <v>3459.5042978195816</v>
          </cell>
          <cell r="FC9">
            <v>1862.8100065182359</v>
          </cell>
          <cell r="FD9">
            <v>8457.0028340254175</v>
          </cell>
          <cell r="FE9">
            <v>0</v>
          </cell>
          <cell r="FF9">
            <v>31076.83862746114</v>
          </cell>
          <cell r="FN9">
            <v>22.659387651832834</v>
          </cell>
          <cell r="FO9">
            <v>5.8067909779522511</v>
          </cell>
          <cell r="FP9">
            <v>12.303929060342034</v>
          </cell>
          <cell r="FQ9">
            <v>0.79398230818580162</v>
          </cell>
          <cell r="FR9">
            <v>0.15286410789098706</v>
          </cell>
          <cell r="FS9">
            <v>0.6646499469464795</v>
          </cell>
          <cell r="FT9">
            <v>0</v>
          </cell>
          <cell r="FU9">
            <v>0</v>
          </cell>
          <cell r="FV9">
            <v>0.81751405483746653</v>
          </cell>
        </row>
        <row r="10">
          <cell r="A10" t="str">
            <v>TIENDA CUENCA REMIGIO</v>
          </cell>
          <cell r="B10" t="str">
            <v>AE SALESLAND CUENCA REMIGIO</v>
          </cell>
          <cell r="G10">
            <v>102.64550264550265</v>
          </cell>
          <cell r="H10">
            <v>0.51322751322751325</v>
          </cell>
          <cell r="I10">
            <v>97.354497354497354</v>
          </cell>
          <cell r="J10">
            <v>0.48677248677248675</v>
          </cell>
          <cell r="K10">
            <v>200</v>
          </cell>
          <cell r="L10">
            <v>21</v>
          </cell>
          <cell r="M10">
            <v>125</v>
          </cell>
          <cell r="N10">
            <v>200</v>
          </cell>
          <cell r="O10">
            <v>4797.2676561459275</v>
          </cell>
          <cell r="P10">
            <v>23453.058205470428</v>
          </cell>
          <cell r="Q10">
            <v>4.1445821543856862</v>
          </cell>
          <cell r="R10">
            <v>0.78</v>
          </cell>
          <cell r="S10">
            <v>67.978162955498505</v>
          </cell>
          <cell r="T10">
            <v>26.077420216732236</v>
          </cell>
          <cell r="U10">
            <v>30.451199087501191</v>
          </cell>
          <cell r="V10">
            <v>2.7312991401591575</v>
          </cell>
          <cell r="W10">
            <v>2.7583811833764593</v>
          </cell>
          <cell r="X10">
            <v>4.2804938659304037</v>
          </cell>
          <cell r="Y10">
            <v>0</v>
          </cell>
          <cell r="Z10">
            <v>0</v>
          </cell>
          <cell r="AA10">
            <v>7.0388750493068635</v>
          </cell>
          <cell r="AB10">
            <v>0.8</v>
          </cell>
          <cell r="AC10">
            <v>30</v>
          </cell>
          <cell r="AD10">
            <v>2880</v>
          </cell>
          <cell r="AF10">
            <v>82</v>
          </cell>
          <cell r="AG10">
            <v>73</v>
          </cell>
          <cell r="AH10">
            <v>21</v>
          </cell>
          <cell r="AI10">
            <v>24</v>
          </cell>
          <cell r="CJ10">
            <v>60</v>
          </cell>
          <cell r="CV10">
            <v>60</v>
          </cell>
          <cell r="EZ10">
            <v>11772.515491373391</v>
          </cell>
          <cell r="FA10">
            <v>6162.17607751576</v>
          </cell>
          <cell r="FB10">
            <v>3586.9383137778304</v>
          </cell>
          <cell r="FC10">
            <v>1931.4283228034469</v>
          </cell>
          <cell r="FD10">
            <v>4797.2676561459275</v>
          </cell>
          <cell r="FE10">
            <v>0</v>
          </cell>
          <cell r="FF10">
            <v>28250.325861616358</v>
          </cell>
          <cell r="FN10">
            <v>22.659387651832834</v>
          </cell>
          <cell r="FO10">
            <v>5.2259359151768008</v>
          </cell>
          <cell r="FP10">
            <v>11.073163304545888</v>
          </cell>
          <cell r="FQ10">
            <v>0.79398230818580162</v>
          </cell>
          <cell r="FR10">
            <v>0.18401475539536086</v>
          </cell>
          <cell r="FS10">
            <v>0.80009231138886061</v>
          </cell>
          <cell r="FT10">
            <v>0</v>
          </cell>
          <cell r="FU10">
            <v>0</v>
          </cell>
          <cell r="FV10">
            <v>0.98410706678422144</v>
          </cell>
        </row>
        <row r="11">
          <cell r="A11" t="str">
            <v>TIENDA RECREO</v>
          </cell>
          <cell r="B11" t="str">
            <v>AE SALESLAND RECREO</v>
          </cell>
          <cell r="G11">
            <v>305.53424657534248</v>
          </cell>
          <cell r="H11">
            <v>0.37260273972602742</v>
          </cell>
          <cell r="I11">
            <v>514.46575342465746</v>
          </cell>
          <cell r="J11">
            <v>0.62739726027397247</v>
          </cell>
          <cell r="K11">
            <v>820</v>
          </cell>
          <cell r="L11">
            <v>18</v>
          </cell>
          <cell r="M11">
            <v>325</v>
          </cell>
          <cell r="N11">
            <v>1126</v>
          </cell>
          <cell r="O11">
            <v>8069.5920902649541</v>
          </cell>
          <cell r="P11">
            <v>58679.984592148932</v>
          </cell>
          <cell r="Q11">
            <v>9.3253098473677944</v>
          </cell>
          <cell r="R11">
            <v>0.78</v>
          </cell>
          <cell r="S11">
            <v>117.34952672161589</v>
          </cell>
          <cell r="T11">
            <v>49.776130694743095</v>
          </cell>
          <cell r="U11">
            <v>58.124724493205193</v>
          </cell>
          <cell r="V11">
            <v>2.7312991401591575</v>
          </cell>
          <cell r="W11">
            <v>3.5237443136265942</v>
          </cell>
          <cell r="X11">
            <v>5.4681949001416266</v>
          </cell>
          <cell r="Y11">
            <v>0</v>
          </cell>
          <cell r="Z11">
            <v>0</v>
          </cell>
          <cell r="AA11">
            <v>8.9919392137682213</v>
          </cell>
          <cell r="AB11">
            <v>0.8</v>
          </cell>
          <cell r="AC11">
            <v>21</v>
          </cell>
          <cell r="AD11">
            <v>5400</v>
          </cell>
          <cell r="AF11">
            <v>244</v>
          </cell>
          <cell r="AG11">
            <v>412</v>
          </cell>
          <cell r="AH11">
            <v>62</v>
          </cell>
          <cell r="AI11">
            <v>102</v>
          </cell>
          <cell r="CJ11">
            <v>246</v>
          </cell>
          <cell r="CV11">
            <v>246</v>
          </cell>
          <cell r="EZ11">
            <v>29455.051089392404</v>
          </cell>
          <cell r="FA11">
            <v>15417.878304603837</v>
          </cell>
          <cell r="FB11">
            <v>8974.5858787992493</v>
          </cell>
          <cell r="FC11">
            <v>4832.4693193534413</v>
          </cell>
          <cell r="FD11">
            <v>8069.5920902649541</v>
          </cell>
          <cell r="FE11">
            <v>0</v>
          </cell>
          <cell r="FF11">
            <v>66749.576682413885</v>
          </cell>
          <cell r="FN11">
            <v>39.116508907205294</v>
          </cell>
          <cell r="FO11">
            <v>9.9751764919324835</v>
          </cell>
          <cell r="FP11">
            <v>21.136263452074616</v>
          </cell>
          <cell r="FQ11">
            <v>0.79398230818580162</v>
          </cell>
          <cell r="FR11">
            <v>0.23507300291037986</v>
          </cell>
          <cell r="FS11">
            <v>1.0220925046993696</v>
          </cell>
          <cell r="FT11">
            <v>0</v>
          </cell>
          <cell r="FU11">
            <v>0</v>
          </cell>
          <cell r="FV11">
            <v>1.2571655076097494</v>
          </cell>
        </row>
        <row r="12">
          <cell r="A12" t="str">
            <v>TIENDA MACHALA</v>
          </cell>
          <cell r="B12" t="str">
            <v>AE SALESLAND MACHALA</v>
          </cell>
          <cell r="G12">
            <v>122.37288135593219</v>
          </cell>
          <cell r="H12">
            <v>0.64406779661016944</v>
          </cell>
          <cell r="I12">
            <v>67.627118644067792</v>
          </cell>
          <cell r="J12">
            <v>0.3559322033898305</v>
          </cell>
          <cell r="K12">
            <v>190</v>
          </cell>
          <cell r="L12">
            <v>15</v>
          </cell>
          <cell r="M12">
            <v>46.355180542498559</v>
          </cell>
          <cell r="N12">
            <v>170</v>
          </cell>
          <cell r="O12">
            <v>6619.043546313168</v>
          </cell>
          <cell r="P12">
            <v>19430.13533024404</v>
          </cell>
          <cell r="Q12">
            <v>3.1084366157892642</v>
          </cell>
          <cell r="R12">
            <v>0.78</v>
          </cell>
          <cell r="S12">
            <v>67.978162955498505</v>
          </cell>
          <cell r="T12">
            <v>57.916534720537669</v>
          </cell>
          <cell r="U12">
            <v>67.630460167285193</v>
          </cell>
          <cell r="V12">
            <v>1.3656495700795788</v>
          </cell>
          <cell r="W12">
            <v>2.914249794186496</v>
          </cell>
          <cell r="X12">
            <v>4.5</v>
          </cell>
          <cell r="Y12">
            <v>0</v>
          </cell>
          <cell r="Z12">
            <v>0</v>
          </cell>
          <cell r="AA12">
            <v>7.414249794186496</v>
          </cell>
          <cell r="AB12">
            <v>0.8</v>
          </cell>
          <cell r="AC12">
            <v>16</v>
          </cell>
          <cell r="AD12">
            <v>9000</v>
          </cell>
          <cell r="AF12">
            <v>86</v>
          </cell>
          <cell r="AG12">
            <v>51</v>
          </cell>
          <cell r="AH12">
            <v>36</v>
          </cell>
          <cell r="AI12">
            <v>17</v>
          </cell>
          <cell r="CJ12">
            <v>57</v>
          </cell>
          <cell r="CV12">
            <v>57</v>
          </cell>
          <cell r="EZ12">
            <v>9753.1659696911265</v>
          </cell>
          <cell r="FA12">
            <v>5105.172812260199</v>
          </cell>
          <cell r="FB12">
            <v>2971.6677563902654</v>
          </cell>
          <cell r="FC12">
            <v>1600.1287919024503</v>
          </cell>
          <cell r="FD12">
            <v>6619.043546313168</v>
          </cell>
          <cell r="FE12">
            <v>0</v>
          </cell>
          <cell r="FF12">
            <v>26049.178876557213</v>
          </cell>
          <cell r="FN12">
            <v>22.659387651832834</v>
          </cell>
          <cell r="FO12">
            <v>11.606519984075685</v>
          </cell>
          <cell r="FP12">
            <v>24.592894606285526</v>
          </cell>
          <cell r="FQ12">
            <v>0.39699115409290081</v>
          </cell>
          <cell r="FR12">
            <v>0.19441292823125389</v>
          </cell>
          <cell r="FS12">
            <v>0.8411214953271029</v>
          </cell>
          <cell r="FT12">
            <v>0</v>
          </cell>
          <cell r="FU12">
            <v>0</v>
          </cell>
          <cell r="FV12">
            <v>1.0355344235583568</v>
          </cell>
        </row>
        <row r="13">
          <cell r="B13" t="str">
            <v>TOTALES</v>
          </cell>
          <cell r="G13">
            <v>935.62691779726686</v>
          </cell>
          <cell r="H13">
            <v>0.47016428030013407</v>
          </cell>
          <cell r="I13">
            <v>1054.3730822027333</v>
          </cell>
          <cell r="J13">
            <v>0.52983571969986598</v>
          </cell>
          <cell r="K13">
            <v>1990</v>
          </cell>
          <cell r="L13">
            <v>113</v>
          </cell>
          <cell r="M13">
            <v>788.14328985521047</v>
          </cell>
          <cell r="N13">
            <v>2484</v>
          </cell>
          <cell r="O13">
            <v>37748.959096080202</v>
          </cell>
          <cell r="P13">
            <v>197735.95938352239</v>
          </cell>
          <cell r="Q13">
            <v>24.867492926314121</v>
          </cell>
          <cell r="R13">
            <v>0.78000000000000014</v>
          </cell>
          <cell r="S13">
            <v>470.39740529694689</v>
          </cell>
          <cell r="T13">
            <v>223.86045503914497</v>
          </cell>
          <cell r="U13">
            <v>261.40696539612793</v>
          </cell>
          <cell r="V13">
            <v>15.022145270875367</v>
          </cell>
          <cell r="W13">
            <v>16.324465826439834</v>
          </cell>
          <cell r="X13">
            <v>25.310157715982289</v>
          </cell>
          <cell r="Y13">
            <v>0</v>
          </cell>
          <cell r="Z13">
            <v>0</v>
          </cell>
          <cell r="AA13">
            <v>41.634623542422126</v>
          </cell>
          <cell r="AB13">
            <v>0.79999999999999993</v>
          </cell>
          <cell r="AC13">
            <v>170</v>
          </cell>
          <cell r="AD13">
            <v>27720</v>
          </cell>
          <cell r="AF13">
            <v>731</v>
          </cell>
          <cell r="AG13">
            <v>835</v>
          </cell>
          <cell r="AH13">
            <v>205</v>
          </cell>
          <cell r="AI13">
            <v>219</v>
          </cell>
          <cell r="CJ13">
            <v>597</v>
          </cell>
          <cell r="CV13">
            <v>597</v>
          </cell>
          <cell r="EZ13">
            <v>99255.697259179869</v>
          </cell>
          <cell r="FA13">
            <v>51954.154034101964</v>
          </cell>
          <cell r="FB13">
            <v>30241.970258656369</v>
          </cell>
          <cell r="FC13">
            <v>16284.137831584198</v>
          </cell>
          <cell r="FD13">
            <v>37748.959096080202</v>
          </cell>
          <cell r="FE13">
            <v>0</v>
          </cell>
          <cell r="FF13">
            <v>235484.91847960261</v>
          </cell>
        </row>
        <row r="15">
          <cell r="M15" t="str">
            <v>PrepagoChip</v>
          </cell>
          <cell r="N15" t="str">
            <v>MetaUpsellTM</v>
          </cell>
          <cell r="Q15" t="str">
            <v>MetaBlindaje</v>
          </cell>
          <cell r="R15" t="str">
            <v>MetaRetencion</v>
          </cell>
          <cell r="AB15" t="str">
            <v>MetaNPS</v>
          </cell>
          <cell r="AF15" t="str">
            <v>MetaAltaDomTm</v>
          </cell>
          <cell r="AG15" t="str">
            <v>MetaTransferDomTM</v>
          </cell>
          <cell r="AH15" t="str">
            <v>MetaAltaPagoCaja</v>
          </cell>
          <cell r="AI15" t="str">
            <v>MetaTransferPagoCaja</v>
          </cell>
          <cell r="AT15" t="str">
            <v>MetaQPOS</v>
          </cell>
          <cell r="BI15" t="str">
            <v>MetaTB</v>
          </cell>
          <cell r="BK15" t="str">
            <v>MetaAltaDom</v>
          </cell>
          <cell r="BL15" t="str">
            <v>MetaTransferDom</v>
          </cell>
          <cell r="CL15" t="str">
            <v>Max11,42</v>
          </cell>
          <cell r="CX15" t="str">
            <v>MaxTele</v>
          </cell>
          <cell r="DH15" t="str">
            <v>MetaCambioPlan</v>
          </cell>
          <cell r="DP15" t="str">
            <v>MetaPrepago</v>
          </cell>
          <cell r="DY15" t="str">
            <v>MetaTerminales</v>
          </cell>
          <cell r="EG15" t="str">
            <v>MetaTerminalesContado</v>
          </cell>
          <cell r="ER15" t="str">
            <v>MetaPayJoy</v>
          </cell>
          <cell r="EZ15" t="str">
            <v>MetaRenovacionContado</v>
          </cell>
          <cell r="FA15" t="str">
            <v>MetaRenovacionFinanciado</v>
          </cell>
          <cell r="FB15" t="str">
            <v>MetaContratoContado</v>
          </cell>
          <cell r="FC15" t="str">
            <v>MetaContratoFinanciado</v>
          </cell>
          <cell r="FD15" t="str">
            <v>MetaPrepagoContado</v>
          </cell>
          <cell r="FE15" t="str">
            <v>MetaAccesorios</v>
          </cell>
          <cell r="FH15" t="str">
            <v>MetaAPP</v>
          </cell>
          <cell r="FK15" t="str">
            <v>MetaGestion</v>
          </cell>
          <cell r="FN15" t="str">
            <v>MetaPaqIlimitado</v>
          </cell>
          <cell r="FO15" t="str">
            <v>MetaUPPS</v>
          </cell>
          <cell r="FP15" t="str">
            <v>MetaSD</v>
          </cell>
          <cell r="FQ15" t="str">
            <v>MetaSOS</v>
          </cell>
          <cell r="FR15" t="str">
            <v>MetaMplay</v>
          </cell>
          <cell r="FS15" t="str">
            <v>MetaFutbol</v>
          </cell>
          <cell r="FT15" t="str">
            <v>MetaFox</v>
          </cell>
          <cell r="FU15" t="str">
            <v>MetaHBO</v>
          </cell>
        </row>
        <row r="16">
          <cell r="B16" t="str">
            <v>PRESUPUESTO DICIEMBRE 2022 SALESLAND</v>
          </cell>
        </row>
        <row r="17">
          <cell r="P17">
            <v>259033.41032756286</v>
          </cell>
          <cell r="S17">
            <v>3</v>
          </cell>
          <cell r="T17">
            <v>4.99</v>
          </cell>
          <cell r="U17">
            <v>2.75</v>
          </cell>
          <cell r="V17">
            <v>3.44</v>
          </cell>
          <cell r="W17">
            <v>14.99</v>
          </cell>
          <cell r="X17">
            <v>5.35</v>
          </cell>
          <cell r="Y17">
            <v>11.5</v>
          </cell>
          <cell r="Z17">
            <v>11.5</v>
          </cell>
          <cell r="AM17">
            <v>0.76666666666666672</v>
          </cell>
          <cell r="AN17">
            <v>0.5</v>
          </cell>
          <cell r="AO17">
            <v>0.8</v>
          </cell>
          <cell r="AP17">
            <v>0.5</v>
          </cell>
          <cell r="AQ17">
            <v>0.6</v>
          </cell>
          <cell r="AT17" t="str">
            <v>Baja Q Total Pospago</v>
          </cell>
          <cell r="BK17" t="str">
            <v>Meta Ejecutivo Antiguo</v>
          </cell>
          <cell r="BO17" t="str">
            <v>Meta Ejecutivo 7D Vacaciones</v>
          </cell>
          <cell r="BS17" t="str">
            <v>Meta Ejecutivo 15D Vacaciones</v>
          </cell>
          <cell r="BW17" t="str">
            <v>Meta Ejecutivo Escala</v>
          </cell>
          <cell r="CA17" t="str">
            <v>Meta Ejecutivo Escala Nuevo</v>
          </cell>
          <cell r="CE17" t="str">
            <v>Meta Ejecutivo Nuevo</v>
          </cell>
          <cell r="EG17">
            <v>0.4</v>
          </cell>
          <cell r="EZ17">
            <v>0.14000000000000001</v>
          </cell>
          <cell r="FA17">
            <v>0.08</v>
          </cell>
          <cell r="FB17">
            <v>7.0000000000000007E-2</v>
          </cell>
          <cell r="FC17">
            <v>0.04</v>
          </cell>
          <cell r="FD17">
            <v>0.06</v>
          </cell>
          <cell r="FE17">
            <v>0.06</v>
          </cell>
        </row>
        <row r="18">
          <cell r="A18" t="str">
            <v>Tienda</v>
          </cell>
          <cell r="B18" t="str">
            <v>Nombre de Plaza</v>
          </cell>
          <cell r="C18" t="str">
            <v>% Altas</v>
          </cell>
          <cell r="D18" t="str">
            <v>%Transf.</v>
          </cell>
          <cell r="E18" t="str">
            <v>%Altas Domiciliadas</v>
          </cell>
          <cell r="F18" t="str">
            <v>%Transf. Domiciliadas</v>
          </cell>
          <cell r="G18" t="str">
            <v>Altas</v>
          </cell>
          <cell r="H18" t="str">
            <v>Altas Domiciliadas</v>
          </cell>
          <cell r="I18" t="str">
            <v>Transferencias</v>
          </cell>
          <cell r="J18" t="str">
            <v>Transferencias Domiciliadas</v>
          </cell>
          <cell r="K18" t="str">
            <v>Total Pospago</v>
          </cell>
          <cell r="L18" t="str">
            <v>Portabilidad</v>
          </cell>
          <cell r="M18" t="str">
            <v>Prepago</v>
          </cell>
          <cell r="N18" t="str">
            <v>Cambios de Plan</v>
          </cell>
          <cell r="O18" t="str">
            <v>Prepago con Terminal</v>
          </cell>
          <cell r="P18" t="str">
            <v>Total Terminales (PPCT + POS +REN)</v>
          </cell>
          <cell r="Q18" t="str">
            <v>Blindaje</v>
          </cell>
          <cell r="R18" t="str">
            <v>Retenciones</v>
          </cell>
          <cell r="S18" t="str">
            <v>Paquetes Recurrentes de voz</v>
          </cell>
          <cell r="T18" t="str">
            <v>UPPS+</v>
          </cell>
          <cell r="U18" t="str">
            <v>Seguridad Digital</v>
          </cell>
          <cell r="V18" t="str">
            <v>Asistencia SOS</v>
          </cell>
          <cell r="W18" t="str">
            <v>TVI</v>
          </cell>
          <cell r="X18" t="str">
            <v>Canal del Futbol</v>
          </cell>
          <cell r="Y18" t="str">
            <v>FOX</v>
          </cell>
          <cell r="Z18" t="str">
            <v>HBO</v>
          </cell>
          <cell r="AA18" t="str">
            <v>TOTAL TV</v>
          </cell>
          <cell r="AB18" t="str">
            <v>NPS</v>
          </cell>
          <cell r="AC18" t="str">
            <v>DESCARGA APP MOVISTAR</v>
          </cell>
          <cell r="AD18" t="str">
            <v>META PAYJOY</v>
          </cell>
          <cell r="AF18" t="str">
            <v>Altas Domiciliadas</v>
          </cell>
          <cell r="AG18" t="str">
            <v>Transferencias Domiciliadas</v>
          </cell>
          <cell r="AH18" t="str">
            <v>Altas Pago en Caja</v>
          </cell>
          <cell r="AI18" t="str">
            <v>Trasnferencias Pago en Caja</v>
          </cell>
          <cell r="AK18" t="str">
            <v>Ejecutivos Tiendas</v>
          </cell>
          <cell r="AL18" t="str">
            <v>Ejecutivo sin Vacaciones</v>
          </cell>
          <cell r="AM18" t="str">
            <v>Ejecutivo 7 Dias Vacaciones</v>
          </cell>
          <cell r="AN18" t="str">
            <v>Ejecutivo 15 Dias Vacaciones</v>
          </cell>
          <cell r="AO18" t="str">
            <v>Ejecutivo Antiguo Tienda Scala</v>
          </cell>
          <cell r="AP18" t="str">
            <v>Ejecutivo Nuevo Tienda Scala</v>
          </cell>
          <cell r="AQ18" t="str">
            <v>Ejecutivo Nuevo Tienda Recreo</v>
          </cell>
          <cell r="AS18" t="str">
            <v>Ppto Ejecutivo Tienda</v>
          </cell>
          <cell r="AT18" t="str">
            <v>Ppto Ejecutivo Sin Vacaciones</v>
          </cell>
          <cell r="AU18" t="str">
            <v>Ppto Ejecutivo 7D Vacaciones</v>
          </cell>
          <cell r="AV18" t="str">
            <v>Ppto Ejecutivo 15D Vacaciones</v>
          </cell>
          <cell r="AW18" t="str">
            <v>Ejecutivo Antiguo Tienda Scala</v>
          </cell>
          <cell r="AX18" t="str">
            <v>Ejecutivo Nuevo Tienda Scala</v>
          </cell>
          <cell r="AY18" t="str">
            <v>Ejecutivo Nuevo Tienda Recreo</v>
          </cell>
          <cell r="BA18" t="str">
            <v>Baja Ejecutivos Q Total Pospago</v>
          </cell>
          <cell r="BC18" t="str">
            <v>Baja Ejecutivos Altas Dom.</v>
          </cell>
          <cell r="BD18" t="str">
            <v>Baja Ejecutivos Transf. Dom.</v>
          </cell>
          <cell r="BE18" t="str">
            <v>% Altas Domiciliadas</v>
          </cell>
          <cell r="BF18" t="str">
            <v>% Transf. Domiciliadas</v>
          </cell>
          <cell r="BG18" t="str">
            <v>% Domiciliado</v>
          </cell>
          <cell r="BI18" t="str">
            <v>Tarifa Basica</v>
          </cell>
          <cell r="BK18" t="str">
            <v>Altas Domiciliadas</v>
          </cell>
          <cell r="BL18" t="str">
            <v>Transferencias Domiciliadas</v>
          </cell>
          <cell r="BM18" t="str">
            <v>Total Domiciliados</v>
          </cell>
          <cell r="BO18" t="str">
            <v>Altas Domiciliadas</v>
          </cell>
          <cell r="BP18" t="str">
            <v>Transferencias Domiciliadas</v>
          </cell>
          <cell r="BQ18" t="str">
            <v>Total Domiciliados</v>
          </cell>
          <cell r="BS18" t="str">
            <v>Altas Domiciliadas</v>
          </cell>
          <cell r="BT18" t="str">
            <v>Transferencias Domiciliadas</v>
          </cell>
          <cell r="BU18" t="str">
            <v>Total Domiciliados</v>
          </cell>
          <cell r="BW18" t="str">
            <v>Altas Domiciliadas</v>
          </cell>
          <cell r="BX18" t="str">
            <v>Transferencias Domiciliadas</v>
          </cell>
          <cell r="BY18" t="str">
            <v>Total Domiciliados</v>
          </cell>
          <cell r="CA18" t="str">
            <v>Altas Domiciliadas</v>
          </cell>
          <cell r="CB18" t="str">
            <v>Transferencias Domiciliadas</v>
          </cell>
          <cell r="CC18" t="str">
            <v>Total Domiciliados</v>
          </cell>
          <cell r="CE18" t="str">
            <v>Altas Domiciliadas</v>
          </cell>
          <cell r="CF18" t="str">
            <v>Transferencias Domiciliadas</v>
          </cell>
          <cell r="CG18" t="str">
            <v>Total Domiciliados</v>
          </cell>
          <cell r="CJ18" t="str">
            <v>Cupo SLE Planes  11,42 Tienda</v>
          </cell>
          <cell r="CK18" t="str">
            <v>Cupo SLE Planes 11,42 Ejecutivo Tienda</v>
          </cell>
          <cell r="CL18" t="str">
            <v>Cupo Final SLE Planes 11,42 Ejecutivo Sin Vac.</v>
          </cell>
          <cell r="CM18" t="str">
            <v>Cupo Final SLE Planes 11,42 Ejecutivo 7D Vac.</v>
          </cell>
          <cell r="CN18" t="str">
            <v>Cupo Final SLE Planes 11,42 Ejecutivo 15D Vac.</v>
          </cell>
          <cell r="CO18" t="str">
            <v>Cupo Final SLE Planes 11,42 Ejecutivo Antig. Scala</v>
          </cell>
          <cell r="CP18" t="str">
            <v>Cupo Final SLE Planes 11,42 Ejecutivo Nuevo Scala</v>
          </cell>
          <cell r="CQ18" t="str">
            <v>Cupo Final SLE Planes 11,42 Ejecutivo Nuevo</v>
          </cell>
          <cell r="CR18" t="str">
            <v>Cupo Final SLE Planes  11,42 Tienda</v>
          </cell>
          <cell r="CS18" t="str">
            <v>Cupo Final Plan  11,42 Hibrido</v>
          </cell>
          <cell r="CT18" t="str">
            <v>Cupo Final Total 11,42</v>
          </cell>
          <cell r="CV18" t="str">
            <v>Cupo  SLE Planes Televentas</v>
          </cell>
          <cell r="CW18" t="str">
            <v>Cupo SLE Planes Tele Ejecutivo</v>
          </cell>
          <cell r="CX18" t="str">
            <v>Cupo Final SLE Planes Tele Ejecutivo</v>
          </cell>
          <cell r="CY18" t="str">
            <v>Cupo Final SLE Planes Tele Ejecutivo 7D Vac.</v>
          </cell>
          <cell r="CZ18" t="str">
            <v>Cupo Final SLE Planes Tele Ejecutivo 15D Vac.</v>
          </cell>
          <cell r="DA18" t="str">
            <v>Cupo Final SLE Planes Tele Ejecutivo Antig. Scala</v>
          </cell>
          <cell r="DB18" t="str">
            <v>Cupo Final SLE Planes Tele Ejecutivo Nuevo Scala</v>
          </cell>
          <cell r="DC18" t="str">
            <v>Cupo Final SLE Planes Tele Ejecutivo Nuevo</v>
          </cell>
          <cell r="DD18" t="str">
            <v>Cupo Final SLE Planes Tele Tienda</v>
          </cell>
          <cell r="DE18" t="str">
            <v>Cupo Final Plan Televenta Hibrido</v>
          </cell>
          <cell r="DF18" t="str">
            <v>Cupo Final Total Televentas</v>
          </cell>
          <cell r="DH18" t="str">
            <v>Cambio de Plan Ejecutivo Antiguo</v>
          </cell>
          <cell r="DI18" t="str">
            <v>Cambio de Plan Ejecutivo 7D Vac.</v>
          </cell>
          <cell r="DJ18" t="str">
            <v>Cambio de Plan Ejecutivo 15D Vac.</v>
          </cell>
          <cell r="DK18" t="str">
            <v>Cambio de Plan Ejecutivo Antig. Scala</v>
          </cell>
          <cell r="DL18" t="str">
            <v>Cambio de Plan Ejecutivo Nuevo Scala</v>
          </cell>
          <cell r="DM18" t="str">
            <v>Cambio de Plan Ejecutivo Nuevo</v>
          </cell>
          <cell r="DN18" t="str">
            <v>Total Cambio de Plan</v>
          </cell>
          <cell r="DP18" t="str">
            <v>Meta Final SLE Prepago Ejecutivo Antiguo</v>
          </cell>
          <cell r="DQ18" t="str">
            <v>Meta Final SLE Prepago Ejecutivo 7 dias</v>
          </cell>
          <cell r="DR18" t="str">
            <v>Meta Final SLE Prepago Ejecutivo 15 dias</v>
          </cell>
          <cell r="DS18" t="str">
            <v>Meta Final SLE Prepago Ejecutivo Antig. Scala</v>
          </cell>
          <cell r="DT18" t="str">
            <v>Meta Final SLE Prepago Ejecutivo Nuevo Scala</v>
          </cell>
          <cell r="DU18" t="str">
            <v>Meta Final SLE Prepago Ejecutivo Nuevo</v>
          </cell>
          <cell r="DV18" t="str">
            <v>Meta Final SLE Prepago</v>
          </cell>
          <cell r="DX18" t="str">
            <v>Meta SLE Terminales Ejecutivo Unitario</v>
          </cell>
          <cell r="DY18" t="str">
            <v>Meta Final SLE Terminales Ejecutivo Antiguo</v>
          </cell>
          <cell r="DZ18" t="str">
            <v>Meta Final SLE Terminales Ejecutivo 7D Vac.</v>
          </cell>
          <cell r="EA18" t="str">
            <v>Meta Final SLE Terminales Ejecutivo 15D Vac.</v>
          </cell>
          <cell r="EB18" t="str">
            <v>Meta Final SLE Terminales Ejecutivo Antig. Scala</v>
          </cell>
          <cell r="EC18" t="str">
            <v>Meta Final SLE Terminales Ejecutivo Nuevo Scala</v>
          </cell>
          <cell r="ED18" t="str">
            <v>Meta Final SLE Terminales Ejecutivo Nuevo</v>
          </cell>
          <cell r="EE18" t="str">
            <v>Meta Final SLE Terminales</v>
          </cell>
          <cell r="EG18" t="str">
            <v>Meta Final SLE Term. Contado Ejecutivo Antiguo</v>
          </cell>
          <cell r="EH18" t="str">
            <v>Meta Final SLE Term. Contado Ejecutivo 7D Vac.</v>
          </cell>
          <cell r="EI18" t="str">
            <v>Meta Final SLE Term. Contado Ejecutivo 15D Vac.</v>
          </cell>
          <cell r="EJ18" t="str">
            <v>Meta Final SLE Term. Contado Ejecutivo Antig. Scala</v>
          </cell>
          <cell r="EK18" t="str">
            <v>Meta Final SLE Term. Contado Ejecutivo Nuevo Scala</v>
          </cell>
          <cell r="EL18" t="str">
            <v>Meta Final SLE Term. Contado Ejecutivo Nuevo</v>
          </cell>
          <cell r="EM18" t="str">
            <v>Meta Final SLE Term. Contado</v>
          </cell>
          <cell r="EO18" t="str">
            <v>Meta PayJoy</v>
          </cell>
          <cell r="EP18" t="str">
            <v>%Part. PayJoy</v>
          </cell>
          <cell r="EQ18" t="str">
            <v>Meta PayJoy SLE</v>
          </cell>
          <cell r="ER18" t="str">
            <v>Meta Final SLE PayJoy Ejecutivo Antiguo</v>
          </cell>
          <cell r="ES18" t="str">
            <v>Meta Final SLE PayJoy Ejecutivo 7 dias</v>
          </cell>
          <cell r="ET18" t="str">
            <v>Meta Final SLE PayJoy Ejecutivo 15 dias</v>
          </cell>
          <cell r="EU18" t="str">
            <v>Meta Final SLE PayJoy Ejecutivo Antig. Scala</v>
          </cell>
          <cell r="EV18" t="str">
            <v>Meta Final SLE PayJoy Ejecutivo Nuevo Scala</v>
          </cell>
          <cell r="EW18" t="str">
            <v>Meta Final SLE PayJoy Ejecutivo Nuevo</v>
          </cell>
          <cell r="EX18" t="str">
            <v>Meta Final SLE PayJoy</v>
          </cell>
          <cell r="EZ18" t="str">
            <v>Renovacion Contado</v>
          </cell>
          <cell r="FA18" t="str">
            <v>Renovacion Financiado</v>
          </cell>
          <cell r="FB18" t="str">
            <v>Contrato Contado</v>
          </cell>
          <cell r="FC18" t="str">
            <v>Contrato Financiado</v>
          </cell>
          <cell r="FD18" t="str">
            <v>Prepago Contado</v>
          </cell>
          <cell r="FE18" t="str">
            <v>Accesorios</v>
          </cell>
          <cell r="FF18" t="str">
            <v>Total</v>
          </cell>
          <cell r="FH18" t="str">
            <v>DESCARGA APP MOVI UNITARIO</v>
          </cell>
          <cell r="FI18" t="str">
            <v>Meta Final Descarga APP</v>
          </cell>
          <cell r="FK18" t="str">
            <v>META GESTION PARQUE</v>
          </cell>
          <cell r="FL18" t="str">
            <v>Meta Final Gestion Parque</v>
          </cell>
          <cell r="FN18" t="str">
            <v>PAQUETES RECURRENTES VOZ</v>
          </cell>
          <cell r="FO18" t="str">
            <v>UPSS+</v>
          </cell>
          <cell r="FP18" t="str">
            <v>Seguridad Digital</v>
          </cell>
          <cell r="FQ18" t="str">
            <v>Asistencia SOS</v>
          </cell>
          <cell r="FR18" t="str">
            <v xml:space="preserve">TVI </v>
          </cell>
          <cell r="FS18" t="str">
            <v>Canal del Fútbol</v>
          </cell>
          <cell r="FT18" t="str">
            <v>FOX</v>
          </cell>
          <cell r="FU18" t="str">
            <v>HBO</v>
          </cell>
          <cell r="FV18" t="str">
            <v>Total TV</v>
          </cell>
        </row>
        <row r="19">
          <cell r="A19" t="str">
            <v>TIENDA AMERICA</v>
          </cell>
          <cell r="B19" t="str">
            <v>AE SALESLAND PLAZA DE LAS AMERICAS</v>
          </cell>
          <cell r="C19">
            <v>0.7</v>
          </cell>
          <cell r="D19">
            <v>0.3</v>
          </cell>
          <cell r="E19">
            <v>0.8</v>
          </cell>
          <cell r="F19">
            <v>0.85</v>
          </cell>
          <cell r="G19">
            <v>170</v>
          </cell>
          <cell r="H19">
            <v>136</v>
          </cell>
          <cell r="I19">
            <v>73</v>
          </cell>
          <cell r="J19">
            <v>63</v>
          </cell>
          <cell r="K19">
            <v>242</v>
          </cell>
          <cell r="L19">
            <v>20</v>
          </cell>
          <cell r="M19">
            <v>62.64</v>
          </cell>
          <cell r="N19">
            <v>269.5</v>
          </cell>
          <cell r="O19">
            <v>0</v>
          </cell>
          <cell r="P19">
            <v>37486.527495259681</v>
          </cell>
          <cell r="Q19">
            <v>3.1084366157892642</v>
          </cell>
          <cell r="R19">
            <v>0.78</v>
          </cell>
          <cell r="S19">
            <v>90</v>
          </cell>
          <cell r="T19">
            <v>49.900000000000006</v>
          </cell>
          <cell r="U19">
            <v>13.75</v>
          </cell>
          <cell r="V19">
            <v>17.2</v>
          </cell>
          <cell r="W19">
            <v>74.95</v>
          </cell>
          <cell r="X19">
            <v>26.75</v>
          </cell>
          <cell r="Y19">
            <v>0</v>
          </cell>
          <cell r="Z19">
            <v>0</v>
          </cell>
          <cell r="AA19">
            <v>101.7</v>
          </cell>
          <cell r="AB19">
            <v>0.8</v>
          </cell>
          <cell r="AC19">
            <v>33</v>
          </cell>
          <cell r="AD19">
            <v>2624.056924668178</v>
          </cell>
          <cell r="AF19">
            <v>134</v>
          </cell>
          <cell r="AG19">
            <v>61</v>
          </cell>
          <cell r="AH19">
            <v>36</v>
          </cell>
          <cell r="AI19">
            <v>12</v>
          </cell>
          <cell r="AK19">
            <v>5</v>
          </cell>
          <cell r="AL19">
            <v>5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S19">
            <v>49</v>
          </cell>
          <cell r="AT19">
            <v>48</v>
          </cell>
          <cell r="AU19">
            <v>38</v>
          </cell>
          <cell r="AV19">
            <v>25</v>
          </cell>
          <cell r="AW19">
            <v>39</v>
          </cell>
          <cell r="AX19">
            <v>25</v>
          </cell>
          <cell r="AY19">
            <v>29</v>
          </cell>
          <cell r="BA19">
            <v>240</v>
          </cell>
          <cell r="BC19">
            <v>134</v>
          </cell>
          <cell r="BD19">
            <v>61</v>
          </cell>
          <cell r="BE19">
            <v>0.55999999999999994</v>
          </cell>
          <cell r="BF19">
            <v>0.255</v>
          </cell>
          <cell r="BG19">
            <v>0.81499999999999995</v>
          </cell>
          <cell r="BI19">
            <v>15.5</v>
          </cell>
          <cell r="BK19">
            <v>26.879999999999995</v>
          </cell>
          <cell r="BL19">
            <v>12.24</v>
          </cell>
          <cell r="BM19">
            <v>39.119999999999997</v>
          </cell>
          <cell r="BO19">
            <v>0</v>
          </cell>
          <cell r="BP19">
            <v>0</v>
          </cell>
          <cell r="BQ19">
            <v>0</v>
          </cell>
          <cell r="BS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C19">
            <v>0</v>
          </cell>
          <cell r="CE19">
            <v>0</v>
          </cell>
          <cell r="CF19">
            <v>0</v>
          </cell>
          <cell r="CG19">
            <v>0</v>
          </cell>
          <cell r="CJ19">
            <v>30</v>
          </cell>
          <cell r="CK19">
            <v>6</v>
          </cell>
          <cell r="CL19">
            <v>6</v>
          </cell>
          <cell r="CM19">
            <v>5</v>
          </cell>
          <cell r="CN19">
            <v>3</v>
          </cell>
          <cell r="CO19">
            <v>5</v>
          </cell>
          <cell r="CP19">
            <v>3</v>
          </cell>
          <cell r="CQ19">
            <v>4</v>
          </cell>
          <cell r="CR19">
            <v>30</v>
          </cell>
          <cell r="CS19">
            <v>8</v>
          </cell>
          <cell r="CT19">
            <v>38</v>
          </cell>
          <cell r="CV19">
            <v>30</v>
          </cell>
          <cell r="CW19">
            <v>6</v>
          </cell>
          <cell r="CX19">
            <v>6</v>
          </cell>
          <cell r="CY19">
            <v>5</v>
          </cell>
          <cell r="CZ19">
            <v>3</v>
          </cell>
          <cell r="DA19">
            <v>5</v>
          </cell>
          <cell r="DB19">
            <v>3</v>
          </cell>
          <cell r="DC19">
            <v>4</v>
          </cell>
          <cell r="DD19">
            <v>30</v>
          </cell>
          <cell r="DE19">
            <v>8</v>
          </cell>
          <cell r="DF19">
            <v>38</v>
          </cell>
          <cell r="DH19">
            <v>53.9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269.5</v>
          </cell>
          <cell r="DP19">
            <v>13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65</v>
          </cell>
          <cell r="DX19">
            <v>7497.3054990519358</v>
          </cell>
          <cell r="DY19">
            <v>7497.3054990519358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37486.527495259681</v>
          </cell>
          <cell r="EG19">
            <v>2998.9221996207743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14994.610998103873</v>
          </cell>
          <cell r="EO19">
            <v>360</v>
          </cell>
          <cell r="EP19">
            <v>7.0000000000000007E-2</v>
          </cell>
          <cell r="EQ19">
            <v>2624.056924668178</v>
          </cell>
          <cell r="ER19">
            <v>524.81138493363562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2624.056924668178</v>
          </cell>
          <cell r="EZ19">
            <v>18816.766742718584</v>
          </cell>
          <cell r="FA19">
            <v>9849.4013418917602</v>
          </cell>
          <cell r="FB19">
            <v>5733.2336169220689</v>
          </cell>
          <cell r="FC19">
            <v>3087.1257937272676</v>
          </cell>
          <cell r="FD19">
            <v>0</v>
          </cell>
          <cell r="FE19">
            <v>0</v>
          </cell>
          <cell r="FF19">
            <v>37486.527495259681</v>
          </cell>
          <cell r="FH19">
            <v>7</v>
          </cell>
          <cell r="FI19">
            <v>35</v>
          </cell>
          <cell r="FK19">
            <v>0</v>
          </cell>
          <cell r="FL19">
            <v>0</v>
          </cell>
          <cell r="FN19">
            <v>6</v>
          </cell>
          <cell r="FO19">
            <v>2</v>
          </cell>
          <cell r="FP19">
            <v>1</v>
          </cell>
          <cell r="FQ19">
            <v>1</v>
          </cell>
          <cell r="FR19">
            <v>1</v>
          </cell>
          <cell r="FS19">
            <v>1</v>
          </cell>
          <cell r="FT19">
            <v>0</v>
          </cell>
          <cell r="FU19">
            <v>0</v>
          </cell>
          <cell r="FV19">
            <v>2</v>
          </cell>
        </row>
        <row r="20">
          <cell r="A20" t="str">
            <v>TIENDA CONDADO</v>
          </cell>
          <cell r="B20" t="str">
            <v>AE SALESLAND EL CONDADO</v>
          </cell>
          <cell r="C20">
            <v>0.6</v>
          </cell>
          <cell r="D20">
            <v>0.4</v>
          </cell>
          <cell r="E20">
            <v>0.8</v>
          </cell>
          <cell r="F20">
            <v>0.85</v>
          </cell>
          <cell r="G20">
            <v>218</v>
          </cell>
          <cell r="H20">
            <v>175</v>
          </cell>
          <cell r="I20">
            <v>146</v>
          </cell>
          <cell r="J20">
            <v>125</v>
          </cell>
          <cell r="K20">
            <v>363.00000000000006</v>
          </cell>
          <cell r="L20">
            <v>20</v>
          </cell>
          <cell r="M20">
            <v>111.78558263165276</v>
          </cell>
          <cell r="N20">
            <v>509.30000000000007</v>
          </cell>
          <cell r="O20">
            <v>10786.65826626381</v>
          </cell>
          <cell r="P20">
            <v>43421.712513185928</v>
          </cell>
          <cell r="Q20">
            <v>1.0361455385964216</v>
          </cell>
          <cell r="R20">
            <v>0.78</v>
          </cell>
          <cell r="S20">
            <v>90</v>
          </cell>
          <cell r="T20">
            <v>74.850000000000009</v>
          </cell>
          <cell r="U20">
            <v>68.75</v>
          </cell>
          <cell r="V20">
            <v>17.2</v>
          </cell>
          <cell r="W20">
            <v>74.95</v>
          </cell>
          <cell r="X20">
            <v>26.75</v>
          </cell>
          <cell r="Y20">
            <v>0</v>
          </cell>
          <cell r="Z20">
            <v>0</v>
          </cell>
          <cell r="AA20">
            <v>101.7</v>
          </cell>
          <cell r="AB20">
            <v>0.8</v>
          </cell>
          <cell r="AC20">
            <v>43</v>
          </cell>
          <cell r="AD20">
            <v>10299.590448095452</v>
          </cell>
          <cell r="AF20">
            <v>146</v>
          </cell>
          <cell r="AG20">
            <v>104</v>
          </cell>
          <cell r="AH20">
            <v>34</v>
          </cell>
          <cell r="AI20">
            <v>45</v>
          </cell>
          <cell r="AK20">
            <v>5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S20">
            <v>61</v>
          </cell>
          <cell r="AT20">
            <v>61</v>
          </cell>
          <cell r="AU20">
            <v>47</v>
          </cell>
          <cell r="AV20">
            <v>31</v>
          </cell>
          <cell r="AW20">
            <v>49</v>
          </cell>
          <cell r="AX20">
            <v>31</v>
          </cell>
          <cell r="AY20">
            <v>37</v>
          </cell>
          <cell r="BA20">
            <v>305</v>
          </cell>
          <cell r="BC20">
            <v>146</v>
          </cell>
          <cell r="BD20">
            <v>104</v>
          </cell>
          <cell r="BE20">
            <v>0.48</v>
          </cell>
          <cell r="BF20">
            <v>0.34</v>
          </cell>
          <cell r="BG20">
            <v>0.82000000000000006</v>
          </cell>
          <cell r="BI20">
            <v>15.5</v>
          </cell>
          <cell r="BK20">
            <v>29.279999999999998</v>
          </cell>
          <cell r="BL20">
            <v>20.740000000000002</v>
          </cell>
          <cell r="BM20">
            <v>50.019999999999996</v>
          </cell>
          <cell r="BO20">
            <v>0</v>
          </cell>
          <cell r="BP20">
            <v>0</v>
          </cell>
          <cell r="BQ20">
            <v>0</v>
          </cell>
          <cell r="BS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C20">
            <v>0</v>
          </cell>
          <cell r="CE20">
            <v>0</v>
          </cell>
          <cell r="CF20">
            <v>0</v>
          </cell>
          <cell r="CG20">
            <v>0</v>
          </cell>
          <cell r="CJ20">
            <v>30</v>
          </cell>
          <cell r="CK20">
            <v>6</v>
          </cell>
          <cell r="CL20">
            <v>6</v>
          </cell>
          <cell r="CM20">
            <v>5</v>
          </cell>
          <cell r="CN20">
            <v>3</v>
          </cell>
          <cell r="CO20">
            <v>5</v>
          </cell>
          <cell r="CP20">
            <v>3</v>
          </cell>
          <cell r="CQ20">
            <v>4</v>
          </cell>
          <cell r="CR20">
            <v>30</v>
          </cell>
          <cell r="CS20">
            <v>8</v>
          </cell>
          <cell r="CT20">
            <v>38</v>
          </cell>
          <cell r="CV20">
            <v>30</v>
          </cell>
          <cell r="CW20">
            <v>6</v>
          </cell>
          <cell r="CX20">
            <v>6</v>
          </cell>
          <cell r="CY20">
            <v>5</v>
          </cell>
          <cell r="CZ20">
            <v>3</v>
          </cell>
          <cell r="DA20">
            <v>5</v>
          </cell>
          <cell r="DB20">
            <v>3</v>
          </cell>
          <cell r="DC20">
            <v>4</v>
          </cell>
          <cell r="DD20">
            <v>30</v>
          </cell>
          <cell r="DE20">
            <v>8</v>
          </cell>
          <cell r="DF20">
            <v>38</v>
          </cell>
          <cell r="DH20">
            <v>101.86000000000001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509.30000000000007</v>
          </cell>
          <cell r="DP20">
            <v>22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110</v>
          </cell>
          <cell r="DX20">
            <v>10841.674155889948</v>
          </cell>
          <cell r="DY20">
            <v>10841.674155889948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54208.370779449746</v>
          </cell>
          <cell r="EG20">
            <v>4336.6696623559792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21683.348311779901</v>
          </cell>
          <cell r="EO20">
            <v>2880</v>
          </cell>
          <cell r="EP20">
            <v>0.19</v>
          </cell>
          <cell r="EQ20">
            <v>10299.590448095452</v>
          </cell>
          <cell r="ER20">
            <v>2059.9180896190906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10299.590448095452</v>
          </cell>
          <cell r="EZ20">
            <v>21795.996869363917</v>
          </cell>
          <cell r="FA20">
            <v>11408.842111307677</v>
          </cell>
          <cell r="FB20">
            <v>6640.9677961343186</v>
          </cell>
          <cell r="FC20">
            <v>3575.9057363800175</v>
          </cell>
          <cell r="FD20">
            <v>10786.65826626381</v>
          </cell>
          <cell r="FE20">
            <v>0</v>
          </cell>
          <cell r="FF20">
            <v>54208.370779449739</v>
          </cell>
          <cell r="FH20">
            <v>9</v>
          </cell>
          <cell r="FI20">
            <v>45</v>
          </cell>
          <cell r="FK20">
            <v>0</v>
          </cell>
          <cell r="FL20">
            <v>0</v>
          </cell>
          <cell r="FN20">
            <v>6</v>
          </cell>
          <cell r="FO20">
            <v>3.0000000000000004</v>
          </cell>
          <cell r="FP20">
            <v>5</v>
          </cell>
          <cell r="FQ20">
            <v>1</v>
          </cell>
          <cell r="FR20">
            <v>1</v>
          </cell>
          <cell r="FS20">
            <v>1</v>
          </cell>
          <cell r="FT20">
            <v>0</v>
          </cell>
          <cell r="FU20">
            <v>0</v>
          </cell>
          <cell r="FV20">
            <v>2</v>
          </cell>
        </row>
        <row r="21">
          <cell r="A21" t="str">
            <v>TIENDA CUENCA CENTRO</v>
          </cell>
          <cell r="B21" t="str">
            <v>AE SALESLAND CUENCA CENTRO</v>
          </cell>
          <cell r="C21">
            <v>0.55000000000000004</v>
          </cell>
          <cell r="D21">
            <v>0.45</v>
          </cell>
          <cell r="E21">
            <v>0.75</v>
          </cell>
          <cell r="F21">
            <v>0.7</v>
          </cell>
          <cell r="G21">
            <v>140</v>
          </cell>
          <cell r="H21">
            <v>105</v>
          </cell>
          <cell r="I21">
            <v>114</v>
          </cell>
          <cell r="J21">
            <v>80</v>
          </cell>
          <cell r="K21">
            <v>253.00000000000003</v>
          </cell>
          <cell r="L21">
            <v>24</v>
          </cell>
          <cell r="M21">
            <v>140.705575426076</v>
          </cell>
          <cell r="N21">
            <v>308</v>
          </cell>
          <cell r="O21">
            <v>9302.70311742796</v>
          </cell>
          <cell r="P21">
            <v>24881.819372779297</v>
          </cell>
          <cell r="Q21">
            <v>4.1445821543856862</v>
          </cell>
          <cell r="R21">
            <v>0.78</v>
          </cell>
          <cell r="S21">
            <v>90</v>
          </cell>
          <cell r="T21">
            <v>59.88</v>
          </cell>
          <cell r="U21">
            <v>66</v>
          </cell>
          <cell r="V21">
            <v>20.64</v>
          </cell>
          <cell r="W21">
            <v>89.94</v>
          </cell>
          <cell r="X21">
            <v>32.099999999999994</v>
          </cell>
          <cell r="Y21">
            <v>0</v>
          </cell>
          <cell r="Z21">
            <v>0</v>
          </cell>
          <cell r="AA21">
            <v>122.03999999999999</v>
          </cell>
          <cell r="AB21">
            <v>0.8</v>
          </cell>
          <cell r="AC21">
            <v>27</v>
          </cell>
          <cell r="AD21">
            <v>10255.356747062177</v>
          </cell>
          <cell r="AF21">
            <v>104</v>
          </cell>
          <cell r="AG21">
            <v>79</v>
          </cell>
          <cell r="AH21">
            <v>36</v>
          </cell>
          <cell r="AI21">
            <v>30</v>
          </cell>
          <cell r="AK21">
            <v>6</v>
          </cell>
          <cell r="AL21">
            <v>5</v>
          </cell>
          <cell r="AM21">
            <v>0</v>
          </cell>
          <cell r="AN21">
            <v>1</v>
          </cell>
          <cell r="AO21">
            <v>0</v>
          </cell>
          <cell r="AP21">
            <v>0</v>
          </cell>
          <cell r="AQ21">
            <v>0</v>
          </cell>
          <cell r="AS21">
            <v>43</v>
          </cell>
          <cell r="AT21">
            <v>46</v>
          </cell>
          <cell r="AU21">
            <v>33</v>
          </cell>
          <cell r="AV21">
            <v>22</v>
          </cell>
          <cell r="AW21">
            <v>34</v>
          </cell>
          <cell r="AX21">
            <v>22</v>
          </cell>
          <cell r="AY21">
            <v>26</v>
          </cell>
          <cell r="BA21">
            <v>252</v>
          </cell>
          <cell r="BC21">
            <v>104</v>
          </cell>
          <cell r="BD21">
            <v>79</v>
          </cell>
          <cell r="BE21">
            <v>0.41250000000000003</v>
          </cell>
          <cell r="BF21">
            <v>0.315</v>
          </cell>
          <cell r="BG21">
            <v>0.72750000000000004</v>
          </cell>
          <cell r="BI21">
            <v>15.5</v>
          </cell>
          <cell r="BK21">
            <v>18.975000000000001</v>
          </cell>
          <cell r="BL21">
            <v>14.49</v>
          </cell>
          <cell r="BM21">
            <v>33.465000000000003</v>
          </cell>
          <cell r="BO21">
            <v>0</v>
          </cell>
          <cell r="BP21">
            <v>0</v>
          </cell>
          <cell r="BQ21">
            <v>0</v>
          </cell>
          <cell r="BS21">
            <v>9.0750000000000011</v>
          </cell>
          <cell r="BT21">
            <v>6.93</v>
          </cell>
          <cell r="BU21">
            <v>16.005000000000003</v>
          </cell>
          <cell r="BW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C21">
            <v>0</v>
          </cell>
          <cell r="CE21">
            <v>0</v>
          </cell>
          <cell r="CF21">
            <v>0</v>
          </cell>
          <cell r="CG21">
            <v>0</v>
          </cell>
          <cell r="CJ21">
            <v>30</v>
          </cell>
          <cell r="CK21">
            <v>5</v>
          </cell>
          <cell r="CL21">
            <v>6</v>
          </cell>
          <cell r="CM21">
            <v>4</v>
          </cell>
          <cell r="CN21">
            <v>3</v>
          </cell>
          <cell r="CO21">
            <v>4</v>
          </cell>
          <cell r="CP21">
            <v>3</v>
          </cell>
          <cell r="CQ21">
            <v>3</v>
          </cell>
          <cell r="CR21">
            <v>33</v>
          </cell>
          <cell r="CS21">
            <v>0</v>
          </cell>
          <cell r="CT21">
            <v>33</v>
          </cell>
          <cell r="CV21">
            <v>30</v>
          </cell>
          <cell r="CW21">
            <v>5</v>
          </cell>
          <cell r="CX21">
            <v>6</v>
          </cell>
          <cell r="CY21">
            <v>4</v>
          </cell>
          <cell r="CZ21">
            <v>3</v>
          </cell>
          <cell r="DA21">
            <v>4</v>
          </cell>
          <cell r="DB21">
            <v>3</v>
          </cell>
          <cell r="DC21">
            <v>3</v>
          </cell>
          <cell r="DD21">
            <v>33</v>
          </cell>
          <cell r="DE21">
            <v>0</v>
          </cell>
          <cell r="DF21">
            <v>33</v>
          </cell>
          <cell r="DH21">
            <v>56</v>
          </cell>
          <cell r="DI21">
            <v>0</v>
          </cell>
          <cell r="DJ21">
            <v>28</v>
          </cell>
          <cell r="DK21">
            <v>0</v>
          </cell>
          <cell r="DL21">
            <v>0</v>
          </cell>
          <cell r="DM21">
            <v>0</v>
          </cell>
          <cell r="DN21">
            <v>308</v>
          </cell>
          <cell r="DP21">
            <v>26</v>
          </cell>
          <cell r="DQ21">
            <v>0</v>
          </cell>
          <cell r="DR21">
            <v>13</v>
          </cell>
          <cell r="DS21">
            <v>0</v>
          </cell>
          <cell r="DT21">
            <v>0</v>
          </cell>
          <cell r="DU21">
            <v>0</v>
          </cell>
          <cell r="DV21">
            <v>143</v>
          </cell>
          <cell r="DX21">
            <v>6215.3677254922286</v>
          </cell>
          <cell r="DY21">
            <v>6215.3677254922286</v>
          </cell>
          <cell r="DZ21">
            <v>0</v>
          </cell>
          <cell r="EA21">
            <v>3107.6838627461143</v>
          </cell>
          <cell r="EB21">
            <v>0</v>
          </cell>
          <cell r="EC21">
            <v>0</v>
          </cell>
          <cell r="ED21">
            <v>0</v>
          </cell>
          <cell r="EE21">
            <v>34184.522490207259</v>
          </cell>
          <cell r="EG21">
            <v>2486.1470901968914</v>
          </cell>
          <cell r="EH21">
            <v>0</v>
          </cell>
          <cell r="EI21">
            <v>1243.0735450984457</v>
          </cell>
          <cell r="EJ21">
            <v>0</v>
          </cell>
          <cell r="EK21">
            <v>0</v>
          </cell>
          <cell r="EL21">
            <v>0</v>
          </cell>
          <cell r="EM21">
            <v>13673.808996082904</v>
          </cell>
          <cell r="EO21">
            <v>7200</v>
          </cell>
          <cell r="EP21">
            <v>0.3</v>
          </cell>
          <cell r="EQ21">
            <v>10255.356747062177</v>
          </cell>
          <cell r="ER21">
            <v>1864.6103176476684</v>
          </cell>
          <cell r="ES21">
            <v>0</v>
          </cell>
          <cell r="ET21">
            <v>932.30515882383418</v>
          </cell>
          <cell r="EU21">
            <v>0</v>
          </cell>
          <cell r="EV21">
            <v>0</v>
          </cell>
          <cell r="EW21">
            <v>0</v>
          </cell>
          <cell r="EX21">
            <v>10255.356747062177</v>
          </cell>
          <cell r="EZ21">
            <v>12489.697567512745</v>
          </cell>
          <cell r="FA21">
            <v>6537.5760704949525</v>
          </cell>
          <cell r="FB21">
            <v>3805.4547276015396</v>
          </cell>
          <cell r="FC21">
            <v>2049.0910071700596</v>
          </cell>
          <cell r="FD21">
            <v>9302.70311742796</v>
          </cell>
          <cell r="FE21">
            <v>0</v>
          </cell>
          <cell r="FF21">
            <v>34184.522490207259</v>
          </cell>
          <cell r="FH21">
            <v>5</v>
          </cell>
          <cell r="FI21">
            <v>30</v>
          </cell>
          <cell r="FK21">
            <v>0</v>
          </cell>
          <cell r="FL21">
            <v>0</v>
          </cell>
          <cell r="FN21">
            <v>5</v>
          </cell>
          <cell r="FO21">
            <v>2</v>
          </cell>
          <cell r="FP21">
            <v>4</v>
          </cell>
          <cell r="FQ21">
            <v>1</v>
          </cell>
          <cell r="FR21">
            <v>1</v>
          </cell>
          <cell r="FS21">
            <v>0.99999999999999989</v>
          </cell>
          <cell r="FT21">
            <v>0</v>
          </cell>
          <cell r="FU21">
            <v>0</v>
          </cell>
          <cell r="FV21">
            <v>2</v>
          </cell>
        </row>
        <row r="22">
          <cell r="A22" t="str">
            <v>TIENDA CUENCA REMIGIO</v>
          </cell>
          <cell r="B22" t="str">
            <v>AE SALESLAND CUENCA REMIGIO</v>
          </cell>
          <cell r="C22">
            <v>0.55000000000000004</v>
          </cell>
          <cell r="D22">
            <v>0.45</v>
          </cell>
          <cell r="E22">
            <v>0.8</v>
          </cell>
          <cell r="F22">
            <v>0.75</v>
          </cell>
          <cell r="G22">
            <v>121</v>
          </cell>
          <cell r="H22">
            <v>97</v>
          </cell>
          <cell r="I22">
            <v>99</v>
          </cell>
          <cell r="J22">
            <v>75</v>
          </cell>
          <cell r="K22">
            <v>220.00000000000003</v>
          </cell>
          <cell r="L22">
            <v>20</v>
          </cell>
          <cell r="M22">
            <v>135</v>
          </cell>
          <cell r="N22">
            <v>220.00000000000003</v>
          </cell>
          <cell r="O22">
            <v>5276.9944217605207</v>
          </cell>
          <cell r="P22">
            <v>25798.364026017472</v>
          </cell>
          <cell r="Q22">
            <v>4.1445821543856862</v>
          </cell>
          <cell r="R22">
            <v>0.78</v>
          </cell>
          <cell r="S22">
            <v>90</v>
          </cell>
          <cell r="T22">
            <v>49.900000000000006</v>
          </cell>
          <cell r="U22">
            <v>55</v>
          </cell>
          <cell r="V22">
            <v>17.2</v>
          </cell>
          <cell r="W22">
            <v>74.95</v>
          </cell>
          <cell r="X22">
            <v>26.75</v>
          </cell>
          <cell r="Y22">
            <v>0</v>
          </cell>
          <cell r="Z22">
            <v>0</v>
          </cell>
          <cell r="AA22">
            <v>101.7</v>
          </cell>
          <cell r="AB22">
            <v>0.8</v>
          </cell>
          <cell r="AC22">
            <v>30</v>
          </cell>
          <cell r="AD22">
            <v>7768.8396119444988</v>
          </cell>
          <cell r="AF22">
            <v>97</v>
          </cell>
          <cell r="AG22">
            <v>74</v>
          </cell>
          <cell r="AH22">
            <v>24</v>
          </cell>
          <cell r="AI22">
            <v>26</v>
          </cell>
          <cell r="AK22">
            <v>5</v>
          </cell>
          <cell r="AL22">
            <v>5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S22">
            <v>44</v>
          </cell>
          <cell r="AT22">
            <v>44</v>
          </cell>
          <cell r="AU22">
            <v>34</v>
          </cell>
          <cell r="AV22">
            <v>22</v>
          </cell>
          <cell r="AW22">
            <v>35</v>
          </cell>
          <cell r="AX22">
            <v>22</v>
          </cell>
          <cell r="AY22">
            <v>26</v>
          </cell>
          <cell r="BA22">
            <v>220</v>
          </cell>
          <cell r="BC22">
            <v>97</v>
          </cell>
          <cell r="BD22">
            <v>74</v>
          </cell>
          <cell r="BE22">
            <v>0.44000000000000006</v>
          </cell>
          <cell r="BF22">
            <v>0.33750000000000002</v>
          </cell>
          <cell r="BG22">
            <v>0.77750000000000008</v>
          </cell>
          <cell r="BI22">
            <v>15.5</v>
          </cell>
          <cell r="BK22">
            <v>19.360000000000003</v>
          </cell>
          <cell r="BL22">
            <v>14.850000000000001</v>
          </cell>
          <cell r="BM22">
            <v>34.210000000000008</v>
          </cell>
          <cell r="BO22">
            <v>0</v>
          </cell>
          <cell r="BP22">
            <v>0</v>
          </cell>
          <cell r="BQ22">
            <v>0</v>
          </cell>
          <cell r="BS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  <cell r="BY22">
            <v>0</v>
          </cell>
          <cell r="CA22">
            <v>0</v>
          </cell>
          <cell r="CB22">
            <v>0</v>
          </cell>
          <cell r="CC22">
            <v>0</v>
          </cell>
          <cell r="CE22">
            <v>0</v>
          </cell>
          <cell r="CF22">
            <v>0</v>
          </cell>
          <cell r="CG22">
            <v>0</v>
          </cell>
          <cell r="CJ22">
            <v>30</v>
          </cell>
          <cell r="CK22">
            <v>6</v>
          </cell>
          <cell r="CL22">
            <v>6</v>
          </cell>
          <cell r="CM22">
            <v>5</v>
          </cell>
          <cell r="CN22">
            <v>3</v>
          </cell>
          <cell r="CO22">
            <v>5</v>
          </cell>
          <cell r="CP22">
            <v>3</v>
          </cell>
          <cell r="CQ22">
            <v>4</v>
          </cell>
          <cell r="CR22">
            <v>30</v>
          </cell>
          <cell r="CS22">
            <v>0</v>
          </cell>
          <cell r="CT22">
            <v>30</v>
          </cell>
          <cell r="CV22">
            <v>30</v>
          </cell>
          <cell r="CW22">
            <v>6</v>
          </cell>
          <cell r="CX22">
            <v>6</v>
          </cell>
          <cell r="CY22">
            <v>5</v>
          </cell>
          <cell r="CZ22">
            <v>3</v>
          </cell>
          <cell r="DA22">
            <v>5</v>
          </cell>
          <cell r="DB22">
            <v>3</v>
          </cell>
          <cell r="DC22">
            <v>4</v>
          </cell>
          <cell r="DD22">
            <v>30</v>
          </cell>
          <cell r="DE22">
            <v>0</v>
          </cell>
          <cell r="DF22">
            <v>30</v>
          </cell>
          <cell r="DH22">
            <v>44.000000000000007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220.00000000000003</v>
          </cell>
          <cell r="DP22">
            <v>27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135</v>
          </cell>
          <cell r="DX22">
            <v>6215.0716895555988</v>
          </cell>
          <cell r="DY22">
            <v>6215.0716895555988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31075.358447777995</v>
          </cell>
          <cell r="EG22">
            <v>2486.0286758222396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12430.143379111199</v>
          </cell>
          <cell r="EO22">
            <v>2880</v>
          </cell>
          <cell r="EP22">
            <v>0.25</v>
          </cell>
          <cell r="EQ22">
            <v>7768.8396119444988</v>
          </cell>
          <cell r="ER22">
            <v>1553.7679223888997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7768.8396119444988</v>
          </cell>
          <cell r="EZ22">
            <v>12949.767040510731</v>
          </cell>
          <cell r="FA22">
            <v>6778.393685267336</v>
          </cell>
          <cell r="FB22">
            <v>3945.6321451556137</v>
          </cell>
          <cell r="FC22">
            <v>2124.5711550837918</v>
          </cell>
          <cell r="FD22">
            <v>5276.9944217605207</v>
          </cell>
          <cell r="FE22">
            <v>0</v>
          </cell>
          <cell r="FF22">
            <v>31075.358447777995</v>
          </cell>
          <cell r="FH22">
            <v>6</v>
          </cell>
          <cell r="FI22">
            <v>30</v>
          </cell>
          <cell r="FK22">
            <v>0</v>
          </cell>
          <cell r="FL22">
            <v>0</v>
          </cell>
          <cell r="FN22">
            <v>6</v>
          </cell>
          <cell r="FO22">
            <v>2</v>
          </cell>
          <cell r="FP22">
            <v>4</v>
          </cell>
          <cell r="FQ22">
            <v>1</v>
          </cell>
          <cell r="FR22">
            <v>1</v>
          </cell>
          <cell r="FS22">
            <v>1</v>
          </cell>
          <cell r="FT22">
            <v>0</v>
          </cell>
          <cell r="FU22">
            <v>0</v>
          </cell>
          <cell r="FV22">
            <v>2</v>
          </cell>
        </row>
        <row r="23">
          <cell r="A23" t="str">
            <v>TIENDA RECREO</v>
          </cell>
          <cell r="B23" t="str">
            <v>AE SALESLAND RECREO</v>
          </cell>
          <cell r="C23">
            <v>0.5</v>
          </cell>
          <cell r="D23">
            <v>0.5</v>
          </cell>
          <cell r="E23">
            <v>0.8</v>
          </cell>
          <cell r="F23">
            <v>0.8</v>
          </cell>
          <cell r="G23">
            <v>451</v>
          </cell>
          <cell r="H23">
            <v>361</v>
          </cell>
          <cell r="I23">
            <v>451</v>
          </cell>
          <cell r="J23">
            <v>361</v>
          </cell>
          <cell r="K23">
            <v>902.00000000000011</v>
          </cell>
          <cell r="L23">
            <v>48</v>
          </cell>
          <cell r="M23">
            <v>351</v>
          </cell>
          <cell r="N23">
            <v>1546.1600000000003</v>
          </cell>
          <cell r="O23">
            <v>8876.5512992914501</v>
          </cell>
          <cell r="P23">
            <v>64547.98305136383</v>
          </cell>
          <cell r="Q23">
            <v>9.3253098473677944</v>
          </cell>
          <cell r="R23">
            <v>0.78</v>
          </cell>
          <cell r="S23">
            <v>270</v>
          </cell>
          <cell r="T23">
            <v>179.64000000000001</v>
          </cell>
          <cell r="U23">
            <v>99</v>
          </cell>
          <cell r="V23">
            <v>61.92</v>
          </cell>
          <cell r="W23">
            <v>269.82</v>
          </cell>
          <cell r="X23">
            <v>96.3</v>
          </cell>
          <cell r="Y23">
            <v>0</v>
          </cell>
          <cell r="Z23">
            <v>0</v>
          </cell>
          <cell r="AA23">
            <v>366.12</v>
          </cell>
          <cell r="AB23">
            <v>0.8</v>
          </cell>
          <cell r="AC23">
            <v>21</v>
          </cell>
          <cell r="AD23">
            <v>10279.434809091739</v>
          </cell>
          <cell r="AF23">
            <v>359</v>
          </cell>
          <cell r="AG23">
            <v>359</v>
          </cell>
          <cell r="AH23">
            <v>92</v>
          </cell>
          <cell r="AI23">
            <v>93</v>
          </cell>
          <cell r="AK23">
            <v>18</v>
          </cell>
          <cell r="AL23">
            <v>10</v>
          </cell>
          <cell r="AM23">
            <v>0</v>
          </cell>
          <cell r="AN23">
            <v>0</v>
          </cell>
          <cell r="AO23">
            <v>2</v>
          </cell>
          <cell r="AP23">
            <v>4</v>
          </cell>
          <cell r="AQ23">
            <v>2</v>
          </cell>
          <cell r="AS23">
            <v>51</v>
          </cell>
          <cell r="AT23">
            <v>65</v>
          </cell>
          <cell r="AU23">
            <v>39</v>
          </cell>
          <cell r="AV23">
            <v>26</v>
          </cell>
          <cell r="AW23">
            <v>41</v>
          </cell>
          <cell r="AX23">
            <v>26</v>
          </cell>
          <cell r="AY23">
            <v>31</v>
          </cell>
          <cell r="BA23">
            <v>898</v>
          </cell>
          <cell r="BC23">
            <v>359</v>
          </cell>
          <cell r="BD23">
            <v>359</v>
          </cell>
          <cell r="BE23">
            <v>0.4</v>
          </cell>
          <cell r="BF23">
            <v>0.4</v>
          </cell>
          <cell r="BG23">
            <v>0.8</v>
          </cell>
          <cell r="BI23">
            <v>15.5</v>
          </cell>
          <cell r="BK23">
            <v>26</v>
          </cell>
          <cell r="BL23">
            <v>26</v>
          </cell>
          <cell r="BM23">
            <v>52</v>
          </cell>
          <cell r="BO23">
            <v>0</v>
          </cell>
          <cell r="BP23">
            <v>0</v>
          </cell>
          <cell r="BQ23">
            <v>0</v>
          </cell>
          <cell r="BS23">
            <v>0</v>
          </cell>
          <cell r="BT23">
            <v>0</v>
          </cell>
          <cell r="BU23">
            <v>0</v>
          </cell>
          <cell r="BW23">
            <v>16.400000000000002</v>
          </cell>
          <cell r="BX23">
            <v>16.400000000000002</v>
          </cell>
          <cell r="BY23">
            <v>32.800000000000004</v>
          </cell>
          <cell r="CA23">
            <v>10.4</v>
          </cell>
          <cell r="CB23">
            <v>10.4</v>
          </cell>
          <cell r="CC23">
            <v>20.8</v>
          </cell>
          <cell r="CE23">
            <v>12.4</v>
          </cell>
          <cell r="CF23">
            <v>12.4</v>
          </cell>
          <cell r="CG23">
            <v>24.8</v>
          </cell>
          <cell r="CJ23">
            <v>60</v>
          </cell>
          <cell r="CK23">
            <v>4</v>
          </cell>
          <cell r="CL23">
            <v>6</v>
          </cell>
          <cell r="CM23">
            <v>4</v>
          </cell>
          <cell r="CN23">
            <v>2</v>
          </cell>
          <cell r="CO23">
            <v>4</v>
          </cell>
          <cell r="CP23">
            <v>2</v>
          </cell>
          <cell r="CQ23">
            <v>3</v>
          </cell>
          <cell r="CR23">
            <v>82</v>
          </cell>
          <cell r="CS23">
            <v>8</v>
          </cell>
          <cell r="CT23">
            <v>90</v>
          </cell>
          <cell r="CV23">
            <v>60</v>
          </cell>
          <cell r="CW23">
            <v>4</v>
          </cell>
          <cell r="CX23">
            <v>6</v>
          </cell>
          <cell r="CY23">
            <v>4</v>
          </cell>
          <cell r="CZ23">
            <v>2</v>
          </cell>
          <cell r="DA23">
            <v>4</v>
          </cell>
          <cell r="DB23">
            <v>2</v>
          </cell>
          <cell r="DC23">
            <v>3</v>
          </cell>
          <cell r="DD23">
            <v>82</v>
          </cell>
          <cell r="DE23">
            <v>8</v>
          </cell>
          <cell r="DF23">
            <v>90</v>
          </cell>
          <cell r="DH23">
            <v>104.4702702702703</v>
          </cell>
          <cell r="DI23">
            <v>0</v>
          </cell>
          <cell r="DJ23">
            <v>0</v>
          </cell>
          <cell r="DK23">
            <v>40</v>
          </cell>
          <cell r="DL23">
            <v>40</v>
          </cell>
          <cell r="DM23">
            <v>62.682162162162179</v>
          </cell>
          <cell r="DN23">
            <v>1410.0670270270273</v>
          </cell>
          <cell r="DP23">
            <v>24</v>
          </cell>
          <cell r="DQ23">
            <v>0</v>
          </cell>
          <cell r="DR23">
            <v>0</v>
          </cell>
          <cell r="DS23">
            <v>19</v>
          </cell>
          <cell r="DT23">
            <v>12</v>
          </cell>
          <cell r="DU23">
            <v>14</v>
          </cell>
          <cell r="DV23">
            <v>354</v>
          </cell>
          <cell r="DX23">
            <v>4961.1171858550861</v>
          </cell>
          <cell r="DY23">
            <v>4961.1171858550861</v>
          </cell>
          <cell r="DZ23">
            <v>0</v>
          </cell>
          <cell r="EA23">
            <v>0</v>
          </cell>
          <cell r="EB23">
            <v>3968.8937486840691</v>
          </cell>
          <cell r="EC23">
            <v>2480.558592927543</v>
          </cell>
          <cell r="ED23">
            <v>2976.6703115130517</v>
          </cell>
          <cell r="EE23">
            <v>73424.534350655274</v>
          </cell>
          <cell r="EG23">
            <v>1984.4468743420346</v>
          </cell>
          <cell r="EH23">
            <v>0</v>
          </cell>
          <cell r="EI23">
            <v>0</v>
          </cell>
          <cell r="EJ23">
            <v>1587.5574994736278</v>
          </cell>
          <cell r="EK23">
            <v>992.22343717101728</v>
          </cell>
          <cell r="EL23">
            <v>1190.6681246052208</v>
          </cell>
          <cell r="EM23">
            <v>29369.813740262111</v>
          </cell>
          <cell r="EO23">
            <v>5400</v>
          </cell>
          <cell r="EP23">
            <v>0.14000000000000001</v>
          </cell>
          <cell r="EQ23">
            <v>10279.434809091739</v>
          </cell>
          <cell r="ER23">
            <v>694.5564060197122</v>
          </cell>
          <cell r="ES23">
            <v>0</v>
          </cell>
          <cell r="ET23">
            <v>0</v>
          </cell>
          <cell r="EU23">
            <v>555.6451248157698</v>
          </cell>
          <cell r="EV23">
            <v>347.2782030098561</v>
          </cell>
          <cell r="EW23">
            <v>416.7338436118273</v>
          </cell>
          <cell r="EX23">
            <v>10279.434809091741</v>
          </cell>
          <cell r="EZ23">
            <v>32400.556198331647</v>
          </cell>
          <cell r="FA23">
            <v>16959.666135064224</v>
          </cell>
          <cell r="FB23">
            <v>9872.0444666791755</v>
          </cell>
          <cell r="FC23">
            <v>5315.7162512887862</v>
          </cell>
          <cell r="FD23">
            <v>8876.5512992914501</v>
          </cell>
          <cell r="FE23">
            <v>0</v>
          </cell>
          <cell r="FF23">
            <v>73424.534350655274</v>
          </cell>
          <cell r="FH23">
            <v>1</v>
          </cell>
          <cell r="FI23">
            <v>18</v>
          </cell>
          <cell r="FK23">
            <v>0</v>
          </cell>
          <cell r="FL23">
            <v>0</v>
          </cell>
          <cell r="FN23">
            <v>5</v>
          </cell>
          <cell r="FO23">
            <v>2</v>
          </cell>
          <cell r="FP23">
            <v>2</v>
          </cell>
          <cell r="FQ23">
            <v>1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2</v>
          </cell>
        </row>
        <row r="24">
          <cell r="A24" t="str">
            <v>TIENDA MACHALA</v>
          </cell>
          <cell r="B24" t="str">
            <v>AE SALESLAND MACHALA</v>
          </cell>
          <cell r="C24">
            <v>0.8</v>
          </cell>
          <cell r="D24">
            <v>0.2</v>
          </cell>
          <cell r="E24">
            <v>0.7</v>
          </cell>
          <cell r="F24">
            <v>0.75</v>
          </cell>
          <cell r="G24">
            <v>168</v>
          </cell>
          <cell r="H24">
            <v>118</v>
          </cell>
          <cell r="I24">
            <v>42</v>
          </cell>
          <cell r="J24">
            <v>32</v>
          </cell>
          <cell r="K24">
            <v>209.00000000000003</v>
          </cell>
          <cell r="L24">
            <v>16</v>
          </cell>
          <cell r="M24">
            <v>50.06359498589844</v>
          </cell>
          <cell r="N24">
            <v>187.00000000000003</v>
          </cell>
          <cell r="O24">
            <v>7280.9479009444849</v>
          </cell>
          <cell r="P24">
            <v>21373.148863268445</v>
          </cell>
          <cell r="Q24">
            <v>3.1084366157892642</v>
          </cell>
          <cell r="R24">
            <v>0.78</v>
          </cell>
          <cell r="S24">
            <v>84</v>
          </cell>
          <cell r="T24">
            <v>39.92</v>
          </cell>
          <cell r="U24">
            <v>55</v>
          </cell>
          <cell r="V24">
            <v>13.76</v>
          </cell>
          <cell r="W24">
            <v>59.96</v>
          </cell>
          <cell r="X24">
            <v>21.4</v>
          </cell>
          <cell r="Y24">
            <v>0</v>
          </cell>
          <cell r="Z24">
            <v>0</v>
          </cell>
          <cell r="AA24">
            <v>81.36</v>
          </cell>
          <cell r="AB24">
            <v>0.8</v>
          </cell>
          <cell r="AC24">
            <v>16</v>
          </cell>
          <cell r="AD24">
            <v>17192.458058527758</v>
          </cell>
          <cell r="AF24">
            <v>116</v>
          </cell>
          <cell r="AG24">
            <v>31</v>
          </cell>
          <cell r="AH24">
            <v>51</v>
          </cell>
          <cell r="AI24">
            <v>11</v>
          </cell>
          <cell r="AK24">
            <v>4</v>
          </cell>
          <cell r="AL24">
            <v>4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S24">
            <v>53</v>
          </cell>
          <cell r="AT24">
            <v>52</v>
          </cell>
          <cell r="AU24">
            <v>41</v>
          </cell>
          <cell r="AV24">
            <v>27</v>
          </cell>
          <cell r="AW24">
            <v>42</v>
          </cell>
          <cell r="AX24">
            <v>27</v>
          </cell>
          <cell r="AY24">
            <v>32</v>
          </cell>
          <cell r="BA24">
            <v>208</v>
          </cell>
          <cell r="BC24">
            <v>116</v>
          </cell>
          <cell r="BD24">
            <v>31</v>
          </cell>
          <cell r="BE24">
            <v>0.55999999999999994</v>
          </cell>
          <cell r="BF24">
            <v>0.15000000000000002</v>
          </cell>
          <cell r="BG24">
            <v>0.71</v>
          </cell>
          <cell r="BI24">
            <v>15.5</v>
          </cell>
          <cell r="BK24">
            <v>29.119999999999997</v>
          </cell>
          <cell r="BL24">
            <v>7.8000000000000007</v>
          </cell>
          <cell r="BM24">
            <v>36.92</v>
          </cell>
          <cell r="BO24">
            <v>0</v>
          </cell>
          <cell r="BP24">
            <v>0</v>
          </cell>
          <cell r="BQ24">
            <v>0</v>
          </cell>
          <cell r="BS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C24">
            <v>0</v>
          </cell>
          <cell r="CE24">
            <v>0</v>
          </cell>
          <cell r="CF24">
            <v>0</v>
          </cell>
          <cell r="CG24">
            <v>0</v>
          </cell>
          <cell r="CJ24">
            <v>30</v>
          </cell>
          <cell r="CK24">
            <v>8</v>
          </cell>
          <cell r="CL24">
            <v>8</v>
          </cell>
          <cell r="CM24">
            <v>7</v>
          </cell>
          <cell r="CN24">
            <v>4</v>
          </cell>
          <cell r="CO24">
            <v>7</v>
          </cell>
          <cell r="CP24">
            <v>4</v>
          </cell>
          <cell r="CQ24">
            <v>5</v>
          </cell>
          <cell r="CR24">
            <v>32</v>
          </cell>
          <cell r="CS24">
            <v>4</v>
          </cell>
          <cell r="CT24">
            <v>36</v>
          </cell>
          <cell r="CV24">
            <v>30</v>
          </cell>
          <cell r="CW24">
            <v>8</v>
          </cell>
          <cell r="CX24">
            <v>8</v>
          </cell>
          <cell r="CY24">
            <v>7</v>
          </cell>
          <cell r="CZ24">
            <v>4</v>
          </cell>
          <cell r="DA24">
            <v>7</v>
          </cell>
          <cell r="DB24">
            <v>4</v>
          </cell>
          <cell r="DC24">
            <v>5</v>
          </cell>
          <cell r="DD24">
            <v>32</v>
          </cell>
          <cell r="DE24">
            <v>4</v>
          </cell>
          <cell r="DF24">
            <v>36</v>
          </cell>
          <cell r="DH24">
            <v>46.750000000000007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187.00000000000003</v>
          </cell>
          <cell r="DP24">
            <v>13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52</v>
          </cell>
          <cell r="DX24">
            <v>7163.5241910532322</v>
          </cell>
          <cell r="DY24">
            <v>7163.5241910532322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28654.096764212929</v>
          </cell>
          <cell r="EG24">
            <v>2865.4096764212932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11461.638705685173</v>
          </cell>
          <cell r="EO24">
            <v>9000</v>
          </cell>
          <cell r="EP24">
            <v>0.6</v>
          </cell>
          <cell r="EQ24">
            <v>17192.458058527758</v>
          </cell>
          <cell r="ER24">
            <v>4298.1145146319395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17192.458058527758</v>
          </cell>
          <cell r="EZ24">
            <v>10728.482566660239</v>
          </cell>
          <cell r="FA24">
            <v>5615.6900934862188</v>
          </cell>
          <cell r="FB24">
            <v>3268.8345320292919</v>
          </cell>
          <cell r="FC24">
            <v>1760.1416710926953</v>
          </cell>
          <cell r="FD24">
            <v>7280.9479009444849</v>
          </cell>
          <cell r="FE24">
            <v>0</v>
          </cell>
          <cell r="FF24">
            <v>28654.096764212929</v>
          </cell>
          <cell r="FH24">
            <v>4</v>
          </cell>
          <cell r="FI24">
            <v>16</v>
          </cell>
          <cell r="FK24">
            <v>0</v>
          </cell>
          <cell r="FL24">
            <v>0</v>
          </cell>
          <cell r="FN24">
            <v>7</v>
          </cell>
          <cell r="FO24">
            <v>2</v>
          </cell>
          <cell r="FP24">
            <v>5</v>
          </cell>
          <cell r="FQ24">
            <v>1</v>
          </cell>
          <cell r="FR24">
            <v>1</v>
          </cell>
          <cell r="FS24">
            <v>1</v>
          </cell>
          <cell r="FT24">
            <v>0</v>
          </cell>
          <cell r="FU24">
            <v>0</v>
          </cell>
          <cell r="FV24">
            <v>2</v>
          </cell>
        </row>
        <row r="25">
          <cell r="B25" t="str">
            <v>TOTALES</v>
          </cell>
          <cell r="C25">
            <v>0.6166666666666667</v>
          </cell>
          <cell r="D25">
            <v>0.3833333333333333</v>
          </cell>
          <cell r="E25">
            <v>0.77500000000000002</v>
          </cell>
          <cell r="F25">
            <v>0.78333333333333333</v>
          </cell>
          <cell r="G25">
            <v>1268</v>
          </cell>
          <cell r="H25">
            <v>992</v>
          </cell>
          <cell r="I25">
            <v>925</v>
          </cell>
          <cell r="J25">
            <v>736</v>
          </cell>
          <cell r="K25">
            <v>2189</v>
          </cell>
          <cell r="L25">
            <v>148</v>
          </cell>
          <cell r="M25">
            <v>851.1947530436272</v>
          </cell>
          <cell r="N25">
            <v>3039.9600000000005</v>
          </cell>
          <cell r="O25">
            <v>41523.85500568823</v>
          </cell>
          <cell r="P25">
            <v>217509.55532187462</v>
          </cell>
          <cell r="Q25">
            <v>24.867492926314121</v>
          </cell>
          <cell r="R25">
            <v>0.78000000000000014</v>
          </cell>
          <cell r="S25">
            <v>714</v>
          </cell>
          <cell r="T25">
            <v>454.09000000000009</v>
          </cell>
          <cell r="U25">
            <v>357.5</v>
          </cell>
          <cell r="V25">
            <v>147.91999999999999</v>
          </cell>
          <cell r="W25">
            <v>644.57000000000005</v>
          </cell>
          <cell r="X25">
            <v>230.04999999999998</v>
          </cell>
          <cell r="Y25">
            <v>0</v>
          </cell>
          <cell r="Z25">
            <v>0</v>
          </cell>
          <cell r="AA25">
            <v>874.62</v>
          </cell>
          <cell r="AB25">
            <v>0.79999999999999993</v>
          </cell>
          <cell r="AC25">
            <v>170</v>
          </cell>
          <cell r="AD25">
            <v>58419.736599389798</v>
          </cell>
          <cell r="AF25">
            <v>956</v>
          </cell>
          <cell r="AG25">
            <v>708</v>
          </cell>
          <cell r="AH25">
            <v>273</v>
          </cell>
          <cell r="AI25">
            <v>217</v>
          </cell>
          <cell r="AK25">
            <v>43</v>
          </cell>
          <cell r="AL25">
            <v>34</v>
          </cell>
          <cell r="AM25">
            <v>0</v>
          </cell>
          <cell r="AN25">
            <v>1</v>
          </cell>
          <cell r="AO25">
            <v>2</v>
          </cell>
          <cell r="AP25">
            <v>4</v>
          </cell>
          <cell r="AQ25">
            <v>2</v>
          </cell>
          <cell r="AS25">
            <v>51</v>
          </cell>
          <cell r="AT25">
            <v>62</v>
          </cell>
          <cell r="AU25">
            <v>40</v>
          </cell>
          <cell r="AV25">
            <v>26</v>
          </cell>
          <cell r="AW25">
            <v>41</v>
          </cell>
          <cell r="AX25">
            <v>26</v>
          </cell>
          <cell r="AY25">
            <v>31</v>
          </cell>
          <cell r="BA25">
            <v>2123</v>
          </cell>
          <cell r="BC25">
            <v>956</v>
          </cell>
          <cell r="BD25">
            <v>708</v>
          </cell>
          <cell r="BE25">
            <v>0.45030617051342442</v>
          </cell>
          <cell r="BF25">
            <v>0.33349034385303816</v>
          </cell>
          <cell r="BG25">
            <v>0.78379651436646258</v>
          </cell>
          <cell r="BI25">
            <v>15.5</v>
          </cell>
          <cell r="CJ25">
            <v>210</v>
          </cell>
          <cell r="CK25">
            <v>35</v>
          </cell>
          <cell r="CL25">
            <v>38</v>
          </cell>
          <cell r="CM25">
            <v>30</v>
          </cell>
          <cell r="CN25">
            <v>18</v>
          </cell>
          <cell r="CO25">
            <v>30</v>
          </cell>
          <cell r="CP25">
            <v>18</v>
          </cell>
          <cell r="CQ25">
            <v>23</v>
          </cell>
          <cell r="CR25">
            <v>237</v>
          </cell>
          <cell r="CS25">
            <v>28</v>
          </cell>
          <cell r="CT25">
            <v>265</v>
          </cell>
          <cell r="CV25">
            <v>210</v>
          </cell>
          <cell r="CW25">
            <v>35</v>
          </cell>
          <cell r="CX25">
            <v>38</v>
          </cell>
          <cell r="CY25">
            <v>30</v>
          </cell>
          <cell r="CZ25">
            <v>18</v>
          </cell>
          <cell r="DA25">
            <v>30</v>
          </cell>
          <cell r="DB25">
            <v>18</v>
          </cell>
          <cell r="DC25">
            <v>23</v>
          </cell>
          <cell r="DD25">
            <v>237</v>
          </cell>
          <cell r="DE25">
            <v>28</v>
          </cell>
          <cell r="DF25">
            <v>265</v>
          </cell>
          <cell r="DN25">
            <v>2903.8670270270277</v>
          </cell>
          <cell r="DV25">
            <v>859</v>
          </cell>
          <cell r="EE25">
            <v>259033.41032756289</v>
          </cell>
          <cell r="EM25">
            <v>103613.36413102516</v>
          </cell>
          <cell r="EO25">
            <v>27720</v>
          </cell>
          <cell r="EQ25">
            <v>58419.736599389798</v>
          </cell>
          <cell r="EX25">
            <v>58419.736599389798</v>
          </cell>
          <cell r="EZ25">
            <v>109181.26698509787</v>
          </cell>
          <cell r="FA25">
            <v>57149.569437512167</v>
          </cell>
          <cell r="FB25">
            <v>33266.167284522009</v>
          </cell>
          <cell r="FC25">
            <v>17912.551614742617</v>
          </cell>
          <cell r="FD25">
            <v>41523.85500568823</v>
          </cell>
          <cell r="FE25">
            <v>0</v>
          </cell>
          <cell r="FF25">
            <v>259033.41032756289</v>
          </cell>
          <cell r="FI25">
            <v>174</v>
          </cell>
          <cell r="FL25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AP3" t="str">
            <v>TIENDA</v>
          </cell>
          <cell r="AQ3" t="str">
            <v>EJECUTIVO</v>
          </cell>
          <cell r="AR3" t="str">
            <v>NAE</v>
          </cell>
          <cell r="AS3" t="str">
            <v>01</v>
          </cell>
          <cell r="AT3" t="str">
            <v>02</v>
          </cell>
          <cell r="AU3" t="str">
            <v>03</v>
          </cell>
          <cell r="AV3" t="str">
            <v>04</v>
          </cell>
          <cell r="AW3" t="str">
            <v>05</v>
          </cell>
          <cell r="AX3" t="str">
            <v>06</v>
          </cell>
          <cell r="AY3" t="str">
            <v>07</v>
          </cell>
          <cell r="AZ3" t="str">
            <v>08</v>
          </cell>
          <cell r="BA3" t="str">
            <v>09</v>
          </cell>
          <cell r="BB3" t="str">
            <v>10</v>
          </cell>
          <cell r="BC3" t="str">
            <v>11</v>
          </cell>
          <cell r="BD3" t="str">
            <v>12</v>
          </cell>
          <cell r="BY3" t="str">
            <v>TOTAL</v>
          </cell>
        </row>
        <row r="4">
          <cell r="AP4" t="str">
            <v>TIENDA AMERICA</v>
          </cell>
          <cell r="AQ4" t="str">
            <v>CEVALLOS PONCE DIANA CAROLINA</v>
          </cell>
          <cell r="AR4" t="str">
            <v>NAE104187</v>
          </cell>
          <cell r="AZ4">
            <v>1</v>
          </cell>
          <cell r="BD4">
            <v>1</v>
          </cell>
          <cell r="BY4">
            <v>1</v>
          </cell>
        </row>
        <row r="5">
          <cell r="AQ5" t="str">
            <v>ORTEGA RUIZ GABRIEL ANTONIO</v>
          </cell>
          <cell r="AR5" t="str">
            <v>NAE108906</v>
          </cell>
          <cell r="AS5">
            <v>1</v>
          </cell>
          <cell r="BY5">
            <v>1</v>
          </cell>
        </row>
        <row r="6">
          <cell r="AQ6" t="str">
            <v>ROSERO CAICEDO JAIRO STEFANO</v>
          </cell>
          <cell r="AR6" t="str">
            <v>NAE108907</v>
          </cell>
          <cell r="AX6">
            <v>1</v>
          </cell>
          <cell r="BY6">
            <v>1</v>
          </cell>
        </row>
        <row r="7">
          <cell r="AQ7" t="str">
            <v>SALVATIERRA GUERRA JULIAN ENRIQUE</v>
          </cell>
          <cell r="AR7" t="str">
            <v>NAE107916</v>
          </cell>
          <cell r="BY7">
            <v>0</v>
          </cell>
        </row>
        <row r="8">
          <cell r="AP8" t="str">
            <v>Total TIENDA AMERICA</v>
          </cell>
          <cell r="AS8">
            <v>1</v>
          </cell>
          <cell r="AX8">
            <v>1</v>
          </cell>
          <cell r="AZ8">
            <v>1</v>
          </cell>
          <cell r="BD8">
            <v>1</v>
          </cell>
          <cell r="BY8">
            <v>1</v>
          </cell>
        </row>
        <row r="9">
          <cell r="AP9" t="str">
            <v>TIENDA CONDADO</v>
          </cell>
          <cell r="AQ9" t="str">
            <v>CASTILLO AGUIRRE EDWIN MODESTO</v>
          </cell>
          <cell r="AR9" t="str">
            <v>NAE104116</v>
          </cell>
          <cell r="AS9">
            <v>1</v>
          </cell>
          <cell r="AT9">
            <v>1</v>
          </cell>
          <cell r="AW9">
            <v>1</v>
          </cell>
          <cell r="AX9">
            <v>1</v>
          </cell>
          <cell r="BC9">
            <v>1</v>
          </cell>
          <cell r="BD9">
            <v>1</v>
          </cell>
          <cell r="BY9">
            <v>1</v>
          </cell>
        </row>
        <row r="10">
          <cell r="AQ10" t="str">
            <v>GUACHAMIN CAZA HUGO ADRIAN</v>
          </cell>
          <cell r="AR10" t="str">
            <v>NAE108624</v>
          </cell>
          <cell r="AU10">
            <v>1</v>
          </cell>
          <cell r="AW10">
            <v>1</v>
          </cell>
          <cell r="AX10">
            <v>1</v>
          </cell>
          <cell r="AY10">
            <v>1</v>
          </cell>
          <cell r="BB10">
            <v>1</v>
          </cell>
          <cell r="BD10">
            <v>1</v>
          </cell>
          <cell r="BY10">
            <v>1</v>
          </cell>
        </row>
        <row r="11">
          <cell r="AQ11" t="str">
            <v>ROSALES MALDONADO JESSICA GABRIELA</v>
          </cell>
          <cell r="AR11" t="str">
            <v>NAE104113</v>
          </cell>
          <cell r="AV11">
            <v>1</v>
          </cell>
          <cell r="BA11">
            <v>1</v>
          </cell>
          <cell r="BD11">
            <v>1</v>
          </cell>
          <cell r="BY11">
            <v>1</v>
          </cell>
        </row>
        <row r="12">
          <cell r="AP12" t="str">
            <v>Total TIENDA CONDADO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Y12">
            <v>1</v>
          </cell>
        </row>
        <row r="13">
          <cell r="AP13" t="str">
            <v>TIENDA CUENCA CENTRO</v>
          </cell>
          <cell r="AQ13" t="str">
            <v>ANDRADE CONDO CHRISTIAN EDUARDO</v>
          </cell>
          <cell r="AR13" t="str">
            <v>NAE108007</v>
          </cell>
          <cell r="AW13">
            <v>1</v>
          </cell>
          <cell r="AX13">
            <v>1</v>
          </cell>
          <cell r="AY13">
            <v>1</v>
          </cell>
          <cell r="AZ13">
            <v>1</v>
          </cell>
          <cell r="BA13">
            <v>1</v>
          </cell>
          <cell r="BD13">
            <v>1</v>
          </cell>
          <cell r="BY13">
            <v>1</v>
          </cell>
        </row>
        <row r="14">
          <cell r="AQ14" t="str">
            <v>CALLE CHACA JORGE VINICIO</v>
          </cell>
          <cell r="AR14" t="str">
            <v>NAE104152</v>
          </cell>
          <cell r="AS14">
            <v>1</v>
          </cell>
          <cell r="AU14">
            <v>1</v>
          </cell>
          <cell r="AY14">
            <v>1</v>
          </cell>
          <cell r="BA14">
            <v>1</v>
          </cell>
          <cell r="BD14">
            <v>1</v>
          </cell>
          <cell r="BY14">
            <v>1</v>
          </cell>
        </row>
        <row r="15">
          <cell r="AQ15" t="str">
            <v>GONZALES ALVARRACIN PAOLA YESSENIA</v>
          </cell>
          <cell r="AR15" t="str">
            <v>NAE108702</v>
          </cell>
          <cell r="AX15">
            <v>1</v>
          </cell>
          <cell r="AY15">
            <v>1</v>
          </cell>
          <cell r="BD15">
            <v>1</v>
          </cell>
          <cell r="BY15">
            <v>1</v>
          </cell>
        </row>
        <row r="16">
          <cell r="AQ16" t="str">
            <v>VALLEJO DELEG ROMAN NICOLAS</v>
          </cell>
          <cell r="AR16" t="str">
            <v>NAE104140</v>
          </cell>
          <cell r="AS16">
            <v>1</v>
          </cell>
          <cell r="AT16">
            <v>0.9</v>
          </cell>
          <cell r="AW16">
            <v>1</v>
          </cell>
          <cell r="AX16">
            <v>0.75</v>
          </cell>
          <cell r="AZ16">
            <v>0.5714285714285714</v>
          </cell>
          <cell r="BA16">
            <v>1</v>
          </cell>
          <cell r="BB16">
            <v>0.75</v>
          </cell>
          <cell r="BD16">
            <v>0.75</v>
          </cell>
          <cell r="BY16">
            <v>0.84017857142857144</v>
          </cell>
        </row>
        <row r="17">
          <cell r="AQ17" t="str">
            <v>LUNA JACHO ANDREA GABRIELA</v>
          </cell>
          <cell r="AR17" t="str">
            <v>NAE110295</v>
          </cell>
          <cell r="AS17">
            <v>1</v>
          </cell>
          <cell r="AX17">
            <v>1</v>
          </cell>
          <cell r="AY17">
            <v>1</v>
          </cell>
          <cell r="BD17">
            <v>0</v>
          </cell>
          <cell r="BY17">
            <v>0.75</v>
          </cell>
        </row>
        <row r="18">
          <cell r="AP18" t="str">
            <v>Total TIENDA CUENCA CENTRO</v>
          </cell>
          <cell r="AS18">
            <v>1</v>
          </cell>
          <cell r="AT18">
            <v>0.9</v>
          </cell>
          <cell r="AU18">
            <v>1</v>
          </cell>
          <cell r="AW18">
            <v>1</v>
          </cell>
          <cell r="AX18">
            <v>0.88888888888888884</v>
          </cell>
          <cell r="AY18">
            <v>1</v>
          </cell>
          <cell r="AZ18">
            <v>0.72727272727272729</v>
          </cell>
          <cell r="BA18">
            <v>1</v>
          </cell>
          <cell r="BB18">
            <v>0.75</v>
          </cell>
          <cell r="BD18">
            <v>0.77777777777777779</v>
          </cell>
          <cell r="BY18">
            <v>0.90439393939393953</v>
          </cell>
        </row>
        <row r="19">
          <cell r="AP19" t="str">
            <v>TIENDA CUENCA REMIGIO</v>
          </cell>
          <cell r="AQ19" t="str">
            <v>OSORIO TEJADA ANA ESTEFANIA</v>
          </cell>
          <cell r="AR19" t="str">
            <v>NAE107674</v>
          </cell>
          <cell r="AS19">
            <v>1</v>
          </cell>
          <cell r="AT19">
            <v>1</v>
          </cell>
          <cell r="AU19">
            <v>1</v>
          </cell>
          <cell r="AW19">
            <v>1</v>
          </cell>
          <cell r="AY19">
            <v>1</v>
          </cell>
          <cell r="AZ19">
            <v>1</v>
          </cell>
          <cell r="BA19">
            <v>1</v>
          </cell>
          <cell r="BD19">
            <v>1</v>
          </cell>
          <cell r="BY19">
            <v>1</v>
          </cell>
        </row>
        <row r="20">
          <cell r="AQ20" t="str">
            <v>PATIÑO TAPIA ANDRES SANTIAGO</v>
          </cell>
          <cell r="AR20" t="str">
            <v>NAE107589</v>
          </cell>
          <cell r="AW20">
            <v>0.5</v>
          </cell>
          <cell r="AX20">
            <v>1</v>
          </cell>
          <cell r="AY20">
            <v>1</v>
          </cell>
          <cell r="BD20">
            <v>1</v>
          </cell>
          <cell r="BY20">
            <v>0.875</v>
          </cell>
        </row>
        <row r="21">
          <cell r="AQ21" t="str">
            <v>RAMIREZ RUBIO NELLY LILIANA</v>
          </cell>
          <cell r="AR21" t="str">
            <v>NAE108606</v>
          </cell>
          <cell r="AS21">
            <v>1</v>
          </cell>
          <cell r="AY21">
            <v>1</v>
          </cell>
          <cell r="BD21">
            <v>1</v>
          </cell>
          <cell r="BY21">
            <v>1</v>
          </cell>
        </row>
        <row r="22">
          <cell r="AQ22" t="str">
            <v>RODRIGUEZ QUITO JESSICA GABRIELA</v>
          </cell>
          <cell r="AR22" t="str">
            <v>NAE107367</v>
          </cell>
          <cell r="AZ22">
            <v>1</v>
          </cell>
          <cell r="BD22">
            <v>1</v>
          </cell>
          <cell r="BY22">
            <v>1</v>
          </cell>
        </row>
        <row r="23">
          <cell r="AQ23" t="str">
            <v>YEPEZ PALOMEQUE DIANA PATRICIA</v>
          </cell>
          <cell r="AR23" t="str">
            <v>NAE105623</v>
          </cell>
          <cell r="AS23">
            <v>1</v>
          </cell>
          <cell r="AT23">
            <v>1</v>
          </cell>
          <cell r="AX23">
            <v>0.75</v>
          </cell>
          <cell r="AY23">
            <v>1</v>
          </cell>
          <cell r="BD23">
            <v>0.5</v>
          </cell>
          <cell r="BY23">
            <v>0.85</v>
          </cell>
        </row>
        <row r="24">
          <cell r="AP24" t="str">
            <v>Total TIENDA CUENCA REMIGIO</v>
          </cell>
          <cell r="AS24">
            <v>1</v>
          </cell>
          <cell r="AT24">
            <v>1</v>
          </cell>
          <cell r="AU24">
            <v>1</v>
          </cell>
          <cell r="AW24">
            <v>0.83333333333333337</v>
          </cell>
          <cell r="AX24">
            <v>0.83333333333333337</v>
          </cell>
          <cell r="AY24">
            <v>1</v>
          </cell>
          <cell r="AZ24">
            <v>1</v>
          </cell>
          <cell r="BA24">
            <v>1</v>
          </cell>
          <cell r="BD24">
            <v>0.81818181818181823</v>
          </cell>
          <cell r="BY24">
            <v>0.94276094276094269</v>
          </cell>
        </row>
        <row r="25">
          <cell r="AP25" t="str">
            <v>TIENDA MACHALA</v>
          </cell>
          <cell r="AQ25" t="str">
            <v>ARROBO VICENTE YADIRA ESPERANZA</v>
          </cell>
          <cell r="AR25" t="str">
            <v>NAE107726</v>
          </cell>
          <cell r="AT25">
            <v>0.5</v>
          </cell>
          <cell r="AU25">
            <v>0.66666666666666663</v>
          </cell>
          <cell r="AW25">
            <v>0.7142857142857143</v>
          </cell>
          <cell r="AX25">
            <v>1</v>
          </cell>
          <cell r="AY25">
            <v>1</v>
          </cell>
          <cell r="AZ25">
            <v>0.5</v>
          </cell>
          <cell r="BA25">
            <v>0.66666666666666663</v>
          </cell>
          <cell r="BY25">
            <v>0.72108843537414979</v>
          </cell>
        </row>
        <row r="26">
          <cell r="AQ26" t="str">
            <v>GONZAGA YUPANGUI LIZBETH KATHERINE</v>
          </cell>
          <cell r="AR26" t="str">
            <v>NAE107725</v>
          </cell>
          <cell r="AS26">
            <v>1</v>
          </cell>
          <cell r="AT26">
            <v>0.75</v>
          </cell>
          <cell r="AW26">
            <v>1</v>
          </cell>
          <cell r="AX26">
            <v>1</v>
          </cell>
          <cell r="AY26">
            <v>0.66666666666666663</v>
          </cell>
          <cell r="AZ26">
            <v>1</v>
          </cell>
          <cell r="BA26">
            <v>0.66666666666666663</v>
          </cell>
          <cell r="BB26">
            <v>1</v>
          </cell>
          <cell r="BD26">
            <v>0</v>
          </cell>
          <cell r="BY26">
            <v>0.78703703703703709</v>
          </cell>
        </row>
        <row r="27">
          <cell r="AQ27" t="str">
            <v>SANCHEZ SARITAMA JOEL LUIS</v>
          </cell>
          <cell r="AR27" t="str">
            <v>NAE107767</v>
          </cell>
          <cell r="AS27">
            <v>0.75</v>
          </cell>
          <cell r="AT27">
            <v>1</v>
          </cell>
          <cell r="AU27">
            <v>0.66666666666666663</v>
          </cell>
          <cell r="AW27">
            <v>1</v>
          </cell>
          <cell r="AX27">
            <v>0</v>
          </cell>
          <cell r="AY27">
            <v>1</v>
          </cell>
          <cell r="AZ27">
            <v>1</v>
          </cell>
          <cell r="BA27">
            <v>0</v>
          </cell>
          <cell r="BD27">
            <v>0</v>
          </cell>
          <cell r="BY27">
            <v>0.60185185185185175</v>
          </cell>
        </row>
        <row r="28">
          <cell r="AQ28" t="str">
            <v>TENORIO MARIA DEL PILAR</v>
          </cell>
          <cell r="AR28" t="str">
            <v>NAE106956</v>
          </cell>
          <cell r="AS28">
            <v>0.8</v>
          </cell>
          <cell r="AT28">
            <v>1</v>
          </cell>
          <cell r="AW28">
            <v>0.8</v>
          </cell>
          <cell r="AX28">
            <v>1</v>
          </cell>
          <cell r="AY28">
            <v>1</v>
          </cell>
          <cell r="AZ28">
            <v>1</v>
          </cell>
          <cell r="BA28">
            <v>0.8</v>
          </cell>
          <cell r="BB28">
            <v>1</v>
          </cell>
          <cell r="BD28">
            <v>0</v>
          </cell>
          <cell r="BY28">
            <v>0.82222222222222219</v>
          </cell>
        </row>
        <row r="29">
          <cell r="AQ29" t="str">
            <v>GALARZA PIZARRO RODRIGO IVAN</v>
          </cell>
          <cell r="AR29" t="str">
            <v>NAE105139</v>
          </cell>
          <cell r="AZ29">
            <v>0</v>
          </cell>
          <cell r="BY29">
            <v>0</v>
          </cell>
        </row>
        <row r="30">
          <cell r="AP30" t="str">
            <v>Total TIENDA MACHALA</v>
          </cell>
          <cell r="AS30">
            <v>0.83333333333333337</v>
          </cell>
          <cell r="AT30">
            <v>0.81818181818181823</v>
          </cell>
          <cell r="AU30">
            <v>0.66666666666666663</v>
          </cell>
          <cell r="AW30">
            <v>0.84210526315789469</v>
          </cell>
          <cell r="AX30">
            <v>0.91666666666666663</v>
          </cell>
          <cell r="AY30">
            <v>0.91666666666666663</v>
          </cell>
          <cell r="AZ30">
            <v>0.75</v>
          </cell>
          <cell r="BA30">
            <v>0.66666666666666663</v>
          </cell>
          <cell r="BB30">
            <v>1</v>
          </cell>
          <cell r="BD30">
            <v>0</v>
          </cell>
          <cell r="BY30">
            <v>0.74102870813397137</v>
          </cell>
        </row>
        <row r="31">
          <cell r="AP31" t="str">
            <v>TIENDA RECREO</v>
          </cell>
          <cell r="AQ31" t="str">
            <v>CHICAIZA TOAPANTA ALEX DANILO</v>
          </cell>
          <cell r="AR31" t="str">
            <v>NAE104139</v>
          </cell>
          <cell r="AZ31">
            <v>1</v>
          </cell>
          <cell r="BD31">
            <v>1</v>
          </cell>
          <cell r="BY31">
            <v>1</v>
          </cell>
        </row>
        <row r="32">
          <cell r="AQ32" t="str">
            <v>ESPINOZA MARTINES LAURA XIOMARA</v>
          </cell>
          <cell r="AR32" t="str">
            <v>NAE108058</v>
          </cell>
          <cell r="AS32">
            <v>0</v>
          </cell>
          <cell r="AZ32">
            <v>1</v>
          </cell>
          <cell r="BY32">
            <v>0.5</v>
          </cell>
        </row>
        <row r="33">
          <cell r="AQ33" t="str">
            <v>GUEVARA MAZA CRISTIAN FABIAN</v>
          </cell>
          <cell r="AR33" t="str">
            <v>NAE104739</v>
          </cell>
          <cell r="BB33">
            <v>1</v>
          </cell>
          <cell r="BC33">
            <v>1</v>
          </cell>
          <cell r="BY33">
            <v>1</v>
          </cell>
        </row>
        <row r="34">
          <cell r="AQ34" t="str">
            <v>SALAS PARRA MARIA JOSE</v>
          </cell>
          <cell r="AR34" t="str">
            <v>NAE104118</v>
          </cell>
          <cell r="AU34">
            <v>0</v>
          </cell>
          <cell r="BY34">
            <v>0</v>
          </cell>
        </row>
        <row r="35">
          <cell r="AQ35" t="str">
            <v>GUAIGUA REINOSO GENESIS CAROLINA</v>
          </cell>
          <cell r="AR35" t="str">
            <v>NAE109306</v>
          </cell>
          <cell r="AW35">
            <v>1</v>
          </cell>
          <cell r="BB35">
            <v>1</v>
          </cell>
          <cell r="BD35">
            <v>1</v>
          </cell>
          <cell r="BY35">
            <v>1</v>
          </cell>
        </row>
        <row r="36">
          <cell r="AQ36" t="str">
            <v>CRUZ MONTUFAR KATHERINE ALEJANDRA</v>
          </cell>
          <cell r="AR36" t="str">
            <v>NAE109193</v>
          </cell>
          <cell r="AS36">
            <v>1</v>
          </cell>
          <cell r="BB36">
            <v>1</v>
          </cell>
          <cell r="BY36">
            <v>1</v>
          </cell>
        </row>
        <row r="37">
          <cell r="AQ37" t="str">
            <v>VINUEZA VELASCO ANGY DAYANA</v>
          </cell>
          <cell r="AR37" t="str">
            <v>NAE109814</v>
          </cell>
          <cell r="AS37">
            <v>1</v>
          </cell>
          <cell r="AT37">
            <v>1</v>
          </cell>
          <cell r="AU37">
            <v>1</v>
          </cell>
          <cell r="BB37">
            <v>1</v>
          </cell>
          <cell r="BY37">
            <v>1</v>
          </cell>
        </row>
        <row r="38">
          <cell r="AQ38" t="str">
            <v>CONDO GARCIA NICOLAS MATIAS</v>
          </cell>
          <cell r="AR38" t="str">
            <v>NAE109815</v>
          </cell>
          <cell r="AS38">
            <v>1</v>
          </cell>
          <cell r="AT38">
            <v>1</v>
          </cell>
          <cell r="AY38">
            <v>1</v>
          </cell>
          <cell r="BB38">
            <v>1</v>
          </cell>
          <cell r="BD38">
            <v>1</v>
          </cell>
          <cell r="BY38">
            <v>1</v>
          </cell>
        </row>
        <row r="39">
          <cell r="AQ39" t="str">
            <v>CHAVEZ VASQUEZ YESSENIA KATHERINE</v>
          </cell>
          <cell r="AR39" t="str">
            <v>NAE110467</v>
          </cell>
          <cell r="AX39">
            <v>1</v>
          </cell>
          <cell r="BY39">
            <v>1</v>
          </cell>
        </row>
        <row r="40">
          <cell r="AQ40" t="str">
            <v>ORTEGA  NATALIE MÉNDEZ</v>
          </cell>
          <cell r="AR40" t="str">
            <v>NAE110470</v>
          </cell>
          <cell r="BY40">
            <v>0</v>
          </cell>
        </row>
        <row r="41">
          <cell r="AP41" t="str">
            <v>Total TIENDA RECREO</v>
          </cell>
          <cell r="AS41">
            <v>0.8571428571428571</v>
          </cell>
          <cell r="AT41">
            <v>1</v>
          </cell>
          <cell r="AU41">
            <v>0.5</v>
          </cell>
          <cell r="AW41">
            <v>1</v>
          </cell>
          <cell r="AX41">
            <v>1</v>
          </cell>
          <cell r="AY41">
            <v>1</v>
          </cell>
          <cell r="AZ41">
            <v>1</v>
          </cell>
          <cell r="BB41">
            <v>1</v>
          </cell>
          <cell r="BC41">
            <v>1</v>
          </cell>
          <cell r="BD41">
            <v>1</v>
          </cell>
          <cell r="BY41">
            <v>0.93571428571428572</v>
          </cell>
        </row>
        <row r="42">
          <cell r="BY42">
            <v>0</v>
          </cell>
        </row>
        <row r="43">
          <cell r="BY43">
            <v>0</v>
          </cell>
        </row>
        <row r="44">
          <cell r="BY44">
            <v>0</v>
          </cell>
        </row>
        <row r="45">
          <cell r="BY45">
            <v>0</v>
          </cell>
        </row>
        <row r="46">
          <cell r="BY46">
            <v>0</v>
          </cell>
        </row>
        <row r="47">
          <cell r="BY47">
            <v>0</v>
          </cell>
        </row>
        <row r="48">
          <cell r="BY48">
            <v>0</v>
          </cell>
        </row>
        <row r="49">
          <cell r="BY49">
            <v>0</v>
          </cell>
        </row>
        <row r="50">
          <cell r="BY50">
            <v>0</v>
          </cell>
        </row>
        <row r="51">
          <cell r="BY51">
            <v>0</v>
          </cell>
        </row>
        <row r="52">
          <cell r="BY52">
            <v>0</v>
          </cell>
        </row>
        <row r="63">
          <cell r="R63" t="str">
            <v>995685400</v>
          </cell>
        </row>
        <row r="64">
          <cell r="R64" t="str">
            <v>981621562</v>
          </cell>
        </row>
        <row r="65">
          <cell r="R65" t="str">
            <v>958761024</v>
          </cell>
        </row>
        <row r="66">
          <cell r="R66" t="str">
            <v>987669445</v>
          </cell>
        </row>
        <row r="67">
          <cell r="R67" t="str">
            <v>984533772</v>
          </cell>
        </row>
        <row r="68">
          <cell r="R68" t="str">
            <v>995339457</v>
          </cell>
        </row>
        <row r="69">
          <cell r="R69" t="str">
            <v>995032726</v>
          </cell>
        </row>
        <row r="70">
          <cell r="R70" t="str">
            <v>995070482</v>
          </cell>
        </row>
        <row r="71">
          <cell r="R71" t="str">
            <v>979052652</v>
          </cell>
        </row>
        <row r="72">
          <cell r="R72" t="str">
            <v>979293199</v>
          </cell>
        </row>
        <row r="73">
          <cell r="R73" t="str">
            <v>984103267</v>
          </cell>
        </row>
        <row r="74">
          <cell r="R74" t="str">
            <v>998827536</v>
          </cell>
        </row>
        <row r="75">
          <cell r="R75" t="str">
            <v>979378477</v>
          </cell>
        </row>
        <row r="76">
          <cell r="R76" t="str">
            <v>985297967</v>
          </cell>
        </row>
        <row r="77">
          <cell r="R77" t="str">
            <v>995655308</v>
          </cell>
        </row>
        <row r="78">
          <cell r="R78" t="str">
            <v>984098765</v>
          </cell>
        </row>
        <row r="79">
          <cell r="R79" t="str">
            <v>983890805</v>
          </cell>
        </row>
        <row r="81">
          <cell r="R81" t="str">
            <v>987451341</v>
          </cell>
        </row>
        <row r="82">
          <cell r="R82" t="str">
            <v>984810554</v>
          </cell>
        </row>
        <row r="83">
          <cell r="R83" t="str">
            <v>987252993</v>
          </cell>
        </row>
        <row r="84">
          <cell r="R84" t="str">
            <v>989984417</v>
          </cell>
        </row>
        <row r="85">
          <cell r="R85" t="str">
            <v>987742136</v>
          </cell>
        </row>
        <row r="86">
          <cell r="R86" t="str">
            <v>998300613</v>
          </cell>
        </row>
        <row r="87">
          <cell r="R87" t="str">
            <v>992925255</v>
          </cell>
        </row>
        <row r="88">
          <cell r="R88" t="str">
            <v>998520509</v>
          </cell>
        </row>
        <row r="89">
          <cell r="R89" t="str">
            <v>983399616</v>
          </cell>
        </row>
        <row r="90">
          <cell r="R90" t="str">
            <v>995272063</v>
          </cell>
        </row>
        <row r="93">
          <cell r="R93" t="str">
            <v>994885707</v>
          </cell>
        </row>
        <row r="94">
          <cell r="R94" t="str">
            <v>984498511</v>
          </cell>
        </row>
        <row r="95">
          <cell r="R95" t="str">
            <v>987473763</v>
          </cell>
        </row>
        <row r="96">
          <cell r="R96" t="str">
            <v>997737550</v>
          </cell>
        </row>
        <row r="97">
          <cell r="R97" t="str">
            <v>992771181</v>
          </cell>
        </row>
        <row r="99">
          <cell r="R99" t="str">
            <v>999073491</v>
          </cell>
        </row>
        <row r="100">
          <cell r="R100" t="str">
            <v>999145842</v>
          </cell>
        </row>
        <row r="102">
          <cell r="R102" t="str">
            <v>984595238</v>
          </cell>
        </row>
        <row r="103">
          <cell r="R103" t="str">
            <v>984700831</v>
          </cell>
        </row>
        <row r="104">
          <cell r="R104" t="str">
            <v>984635178</v>
          </cell>
        </row>
        <row r="105">
          <cell r="R105" t="str">
            <v>996214924</v>
          </cell>
        </row>
        <row r="106">
          <cell r="R106" t="str">
            <v>990991088</v>
          </cell>
        </row>
        <row r="107">
          <cell r="R107" t="str">
            <v>992636421</v>
          </cell>
        </row>
        <row r="108">
          <cell r="R108" t="str">
            <v>995028458</v>
          </cell>
        </row>
        <row r="109">
          <cell r="R109" t="str">
            <v>979048978</v>
          </cell>
        </row>
        <row r="110">
          <cell r="R110" t="str">
            <v>996956524</v>
          </cell>
        </row>
        <row r="111">
          <cell r="R111" t="str">
            <v>992228970</v>
          </cell>
        </row>
        <row r="112">
          <cell r="R112" t="str">
            <v>995231185</v>
          </cell>
        </row>
        <row r="113">
          <cell r="R113" t="str">
            <v>979161248</v>
          </cell>
        </row>
        <row r="114">
          <cell r="R114" t="str">
            <v>986916550</v>
          </cell>
        </row>
        <row r="115">
          <cell r="R115" t="str">
            <v>987281415</v>
          </cell>
        </row>
        <row r="116">
          <cell r="R116" t="str">
            <v>986552385</v>
          </cell>
        </row>
        <row r="117">
          <cell r="R117" t="str">
            <v>987533275</v>
          </cell>
        </row>
        <row r="118">
          <cell r="R118" t="str">
            <v>999909239</v>
          </cell>
        </row>
        <row r="119">
          <cell r="R119" t="str">
            <v>993760276</v>
          </cell>
        </row>
        <row r="120">
          <cell r="R120" t="str">
            <v>988948810</v>
          </cell>
        </row>
        <row r="121">
          <cell r="R121" t="str">
            <v>984745983</v>
          </cell>
        </row>
        <row r="122">
          <cell r="R122" t="str">
            <v>998751799</v>
          </cell>
        </row>
        <row r="123">
          <cell r="R123" t="str">
            <v>996956524</v>
          </cell>
        </row>
        <row r="124">
          <cell r="R124" t="str">
            <v>998980879</v>
          </cell>
        </row>
        <row r="125">
          <cell r="R125" t="str">
            <v>982308120</v>
          </cell>
        </row>
        <row r="127">
          <cell r="R127" t="str">
            <v>958998219</v>
          </cell>
        </row>
        <row r="128">
          <cell r="R128" t="str">
            <v>989584620</v>
          </cell>
        </row>
        <row r="129">
          <cell r="R129" t="str">
            <v>984919779</v>
          </cell>
        </row>
        <row r="131">
          <cell r="R131" t="str">
            <v>995027492</v>
          </cell>
        </row>
        <row r="132">
          <cell r="R132" t="str">
            <v>998973409</v>
          </cell>
        </row>
        <row r="133">
          <cell r="R133" t="str">
            <v>997417223</v>
          </cell>
        </row>
        <row r="134">
          <cell r="R134" t="str">
            <v>991209319</v>
          </cell>
        </row>
        <row r="135">
          <cell r="R135" t="str">
            <v>987754489</v>
          </cell>
        </row>
        <row r="136">
          <cell r="R136" t="str">
            <v>984268231</v>
          </cell>
        </row>
        <row r="137">
          <cell r="R137" t="str">
            <v>969047184</v>
          </cell>
        </row>
        <row r="138">
          <cell r="R138" t="str">
            <v>969073346</v>
          </cell>
        </row>
        <row r="139">
          <cell r="R139" t="str">
            <v>993013418</v>
          </cell>
        </row>
        <row r="140">
          <cell r="R140" t="str">
            <v>983882158</v>
          </cell>
        </row>
        <row r="141">
          <cell r="R141" t="str">
            <v>998417927</v>
          </cell>
        </row>
        <row r="142">
          <cell r="R142" t="str">
            <v>979241442</v>
          </cell>
        </row>
        <row r="143">
          <cell r="R143" t="str">
            <v>987040127</v>
          </cell>
        </row>
        <row r="144">
          <cell r="R144" t="str">
            <v>979200913</v>
          </cell>
        </row>
        <row r="145">
          <cell r="R145" t="str">
            <v>984840048</v>
          </cell>
        </row>
        <row r="146">
          <cell r="R146" t="str">
            <v>987772411</v>
          </cell>
        </row>
        <row r="147">
          <cell r="R147" t="str">
            <v>992617830</v>
          </cell>
        </row>
        <row r="148">
          <cell r="R148" t="str">
            <v>995431238</v>
          </cell>
        </row>
        <row r="150">
          <cell r="R150" t="str">
            <v>998652412</v>
          </cell>
        </row>
        <row r="151">
          <cell r="R151" t="str">
            <v>999212823</v>
          </cell>
        </row>
        <row r="152">
          <cell r="R152" t="str">
            <v>987287222</v>
          </cell>
        </row>
        <row r="153">
          <cell r="R153" t="str">
            <v>987705315</v>
          </cell>
        </row>
        <row r="154">
          <cell r="R154" t="str">
            <v>995153202</v>
          </cell>
        </row>
        <row r="155">
          <cell r="R155" t="str">
            <v>995153202</v>
          </cell>
        </row>
        <row r="156">
          <cell r="R156" t="str">
            <v>981181896</v>
          </cell>
        </row>
        <row r="158">
          <cell r="R158" t="str">
            <v>984129832</v>
          </cell>
        </row>
        <row r="159">
          <cell r="R159" t="str">
            <v>984986266</v>
          </cell>
        </row>
        <row r="160">
          <cell r="R160" t="str">
            <v>999005438</v>
          </cell>
        </row>
        <row r="161">
          <cell r="R161" t="str">
            <v>979148776</v>
          </cell>
        </row>
        <row r="163">
          <cell r="R163" t="str">
            <v>982745787</v>
          </cell>
        </row>
        <row r="164">
          <cell r="R164" t="str">
            <v>999382083</v>
          </cell>
        </row>
        <row r="165">
          <cell r="R165" t="str">
            <v>983595271</v>
          </cell>
        </row>
        <row r="166">
          <cell r="R166" t="str">
            <v>998858486</v>
          </cell>
        </row>
        <row r="167">
          <cell r="R167" t="str">
            <v>987583705</v>
          </cell>
        </row>
        <row r="168">
          <cell r="R168" t="str">
            <v>984343532</v>
          </cell>
        </row>
        <row r="169">
          <cell r="R169" t="str">
            <v>984083771</v>
          </cell>
        </row>
        <row r="170">
          <cell r="R170" t="str">
            <v>992866784</v>
          </cell>
        </row>
        <row r="171">
          <cell r="R171" t="str">
            <v>992616113</v>
          </cell>
        </row>
        <row r="172">
          <cell r="R172" t="str">
            <v>998217350</v>
          </cell>
        </row>
        <row r="175">
          <cell r="R175" t="str">
            <v>984424577</v>
          </cell>
        </row>
        <row r="176">
          <cell r="R176" t="str">
            <v>960175525</v>
          </cell>
        </row>
        <row r="177">
          <cell r="R177" t="str">
            <v>995381856</v>
          </cell>
        </row>
        <row r="178">
          <cell r="R178" t="str">
            <v>999295813</v>
          </cell>
        </row>
        <row r="180">
          <cell r="R180" t="str">
            <v>988391869</v>
          </cell>
        </row>
        <row r="181">
          <cell r="R181" t="str">
            <v>999639244</v>
          </cell>
        </row>
        <row r="182">
          <cell r="R182" t="str">
            <v>983144943</v>
          </cell>
        </row>
        <row r="183">
          <cell r="R183" t="str">
            <v>995449668</v>
          </cell>
        </row>
        <row r="184">
          <cell r="R184" t="str">
            <v>986719496</v>
          </cell>
        </row>
        <row r="185">
          <cell r="R185" t="str">
            <v>998776462</v>
          </cell>
        </row>
        <row r="186">
          <cell r="R186" t="str">
            <v>984488515</v>
          </cell>
        </row>
        <row r="187">
          <cell r="R187" t="str">
            <v>979533928</v>
          </cell>
        </row>
        <row r="190">
          <cell r="R190" t="str">
            <v>969986502</v>
          </cell>
        </row>
        <row r="191">
          <cell r="R191" t="str">
            <v>991644973</v>
          </cell>
        </row>
        <row r="192">
          <cell r="R192" t="str">
            <v>979314711</v>
          </cell>
        </row>
        <row r="193">
          <cell r="R193" t="str">
            <v>998288840</v>
          </cell>
        </row>
        <row r="195">
          <cell r="R195" t="str">
            <v>983149725</v>
          </cell>
        </row>
        <row r="200">
          <cell r="R200" t="str">
            <v>998945868</v>
          </cell>
        </row>
        <row r="201">
          <cell r="R201" t="str">
            <v>958756009</v>
          </cell>
        </row>
        <row r="202">
          <cell r="R202" t="str">
            <v>998687365</v>
          </cell>
        </row>
        <row r="203">
          <cell r="R203" t="str">
            <v>984676764</v>
          </cell>
        </row>
        <row r="204">
          <cell r="R204" t="str">
            <v>991064146</v>
          </cell>
        </row>
        <row r="205">
          <cell r="R205" t="str">
            <v>995823923</v>
          </cell>
        </row>
        <row r="206">
          <cell r="R206" t="str">
            <v>983414709</v>
          </cell>
        </row>
        <row r="207">
          <cell r="R207" t="str">
            <v>998872267</v>
          </cell>
        </row>
        <row r="209">
          <cell r="R209" t="str">
            <v>987590949</v>
          </cell>
        </row>
        <row r="210">
          <cell r="R210" t="str">
            <v>990981395</v>
          </cell>
        </row>
        <row r="213">
          <cell r="R213" t="str">
            <v>987853528</v>
          </cell>
        </row>
        <row r="214">
          <cell r="R214" t="str">
            <v>984158881</v>
          </cell>
        </row>
        <row r="215">
          <cell r="R215" t="str">
            <v>987436543</v>
          </cell>
        </row>
        <row r="217">
          <cell r="R217" t="str">
            <v>993808459</v>
          </cell>
        </row>
        <row r="218">
          <cell r="R218" t="str">
            <v>999248378</v>
          </cell>
        </row>
        <row r="219">
          <cell r="R219" t="str">
            <v>962641325</v>
          </cell>
        </row>
        <row r="220">
          <cell r="R220" t="str">
            <v>995960888</v>
          </cell>
        </row>
        <row r="221">
          <cell r="R221" t="str">
            <v>987185456</v>
          </cell>
        </row>
        <row r="222">
          <cell r="R222" t="str">
            <v>984330415</v>
          </cell>
        </row>
        <row r="223">
          <cell r="R223" t="str">
            <v>979327071</v>
          </cell>
        </row>
        <row r="224">
          <cell r="R224" t="str">
            <v>995079013</v>
          </cell>
        </row>
        <row r="225">
          <cell r="R225" t="str">
            <v>983240490</v>
          </cell>
        </row>
        <row r="226">
          <cell r="R226" t="str">
            <v>962907117</v>
          </cell>
        </row>
        <row r="227">
          <cell r="R227" t="str">
            <v>984383500</v>
          </cell>
        </row>
        <row r="228">
          <cell r="R228" t="str">
            <v>985709589</v>
          </cell>
        </row>
        <row r="230">
          <cell r="R230" t="str">
            <v>994578958</v>
          </cell>
        </row>
        <row r="232">
          <cell r="R232" t="str">
            <v>999258157</v>
          </cell>
        </row>
        <row r="233">
          <cell r="R233" t="str">
            <v>995418808</v>
          </cell>
        </row>
        <row r="234">
          <cell r="R234" t="str">
            <v>987359498</v>
          </cell>
        </row>
        <row r="235">
          <cell r="R235" t="str">
            <v>995731098</v>
          </cell>
        </row>
        <row r="236">
          <cell r="R236" t="str">
            <v>988363614</v>
          </cell>
        </row>
        <row r="237">
          <cell r="R237" t="str">
            <v>983159546</v>
          </cell>
        </row>
        <row r="238">
          <cell r="R238" t="str">
            <v>983316855</v>
          </cell>
        </row>
        <row r="239">
          <cell r="R239" t="str">
            <v>983316842</v>
          </cell>
        </row>
        <row r="240">
          <cell r="R240" t="str">
            <v>999737221</v>
          </cell>
        </row>
        <row r="241">
          <cell r="R241" t="str">
            <v>983288738</v>
          </cell>
        </row>
        <row r="242">
          <cell r="R242" t="str">
            <v>983183989</v>
          </cell>
        </row>
        <row r="243">
          <cell r="R243" t="str">
            <v>992834917</v>
          </cell>
        </row>
        <row r="244">
          <cell r="R244" t="str">
            <v>995827329</v>
          </cell>
        </row>
        <row r="245">
          <cell r="R245" t="str">
            <v>995447670</v>
          </cell>
        </row>
        <row r="246">
          <cell r="R246" t="str">
            <v>995557790</v>
          </cell>
        </row>
        <row r="247">
          <cell r="R247" t="str">
            <v>984918978</v>
          </cell>
        </row>
        <row r="248">
          <cell r="R248" t="str">
            <v>961368579</v>
          </cell>
        </row>
        <row r="249">
          <cell r="R249" t="str">
            <v>995765270</v>
          </cell>
        </row>
        <row r="250">
          <cell r="R250" t="str">
            <v>987292935</v>
          </cell>
        </row>
        <row r="251">
          <cell r="R251" t="str">
            <v>962791672</v>
          </cell>
        </row>
        <row r="252">
          <cell r="R252" t="str">
            <v>998648412</v>
          </cell>
        </row>
        <row r="253">
          <cell r="R253" t="str">
            <v>980888504</v>
          </cell>
        </row>
        <row r="254">
          <cell r="R254" t="str">
            <v>979926747</v>
          </cell>
        </row>
        <row r="255">
          <cell r="R255" t="str">
            <v>998778711</v>
          </cell>
        </row>
        <row r="256">
          <cell r="R256" t="str">
            <v>987189301</v>
          </cell>
        </row>
        <row r="257">
          <cell r="R257" t="str">
            <v>984202212</v>
          </cell>
        </row>
        <row r="258">
          <cell r="R258" t="str">
            <v>984510681</v>
          </cell>
        </row>
        <row r="259">
          <cell r="R259" t="str">
            <v>992756058</v>
          </cell>
        </row>
        <row r="260">
          <cell r="R260" t="str">
            <v>992756058</v>
          </cell>
        </row>
        <row r="261">
          <cell r="R261" t="str">
            <v>984677530</v>
          </cell>
        </row>
        <row r="262">
          <cell r="R262" t="str">
            <v>969152552</v>
          </cell>
        </row>
        <row r="263">
          <cell r="R263" t="str">
            <v>983501794</v>
          </cell>
        </row>
        <row r="264">
          <cell r="R264" t="str">
            <v>998808452</v>
          </cell>
        </row>
        <row r="265">
          <cell r="R265" t="str">
            <v>998173887</v>
          </cell>
        </row>
        <row r="266">
          <cell r="R266" t="str">
            <v>998766648</v>
          </cell>
        </row>
        <row r="267">
          <cell r="R267" t="str">
            <v>984206172</v>
          </cell>
        </row>
        <row r="268">
          <cell r="R268" t="str">
            <v>992254630</v>
          </cell>
        </row>
        <row r="269">
          <cell r="R269" t="str">
            <v>987240741</v>
          </cell>
        </row>
        <row r="270">
          <cell r="R270" t="str">
            <v>995777592</v>
          </cell>
        </row>
        <row r="271">
          <cell r="R271" t="str">
            <v>983896816</v>
          </cell>
        </row>
        <row r="272">
          <cell r="R272" t="str">
            <v>995777592</v>
          </cell>
        </row>
        <row r="273">
          <cell r="R273" t="str">
            <v>995777592</v>
          </cell>
        </row>
        <row r="274">
          <cell r="R274" t="str">
            <v>998340817</v>
          </cell>
        </row>
        <row r="276">
          <cell r="R276" t="str">
            <v>987501650</v>
          </cell>
        </row>
        <row r="277">
          <cell r="R277" t="str">
            <v>983378126</v>
          </cell>
        </row>
        <row r="278">
          <cell r="R278" t="str">
            <v>992893230</v>
          </cell>
        </row>
        <row r="280">
          <cell r="R280" t="str">
            <v>994760375</v>
          </cell>
        </row>
        <row r="282">
          <cell r="R282" t="str">
            <v>995608584</v>
          </cell>
        </row>
        <row r="283">
          <cell r="R283" t="str">
            <v>999057715</v>
          </cell>
        </row>
        <row r="287">
          <cell r="R287" t="str">
            <v>999842710</v>
          </cell>
        </row>
      </sheetData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s"/>
      <sheetName val="Hoja1"/>
      <sheetName val="Ejecutivos Variables Controlnet"/>
      <sheetName val="Especialistas y Jefes"/>
      <sheetName val="PayJoy"/>
      <sheetName val="Analisis Previpago"/>
      <sheetName val="Ejecutivos Terminales"/>
      <sheetName val="Analisis Pospago"/>
      <sheetName val="Evolutivo Diario Terminales"/>
      <sheetName val="Evolutivo Cambio de Plan"/>
      <sheetName val="Evolutivo Diario de Pospago"/>
      <sheetName val="Llamadas Ilimitadas"/>
      <sheetName val="Evolutivo Prepago"/>
      <sheetName val="Portabilidad"/>
      <sheetName val="Presupuestos"/>
      <sheetName val="Evolutivo NCA"/>
      <sheetName val="Resumen"/>
      <sheetName val="Prod. Ejecutivo"/>
      <sheetName val="Personal Presupuesto"/>
      <sheetName val="Base CNET"/>
      <sheetName val="Data Pospago"/>
      <sheetName val="Data Colas"/>
      <sheetName val="Base Ingresos"/>
      <sheetName val="VAR Presupuesto TM"/>
      <sheetName val="DataStock"/>
      <sheetName val="Base Stock"/>
      <sheetName val="Altas BI"/>
      <sheetName val="Upsell BI"/>
      <sheetName val="Terminales BI"/>
      <sheetName val="Paq. Llamadas Ilimitadas"/>
      <sheetName val="MPlay BI"/>
      <sheetName val="Seguros BI"/>
      <sheetName val="CDF FOX HBO"/>
      <sheetName val="Retenciones BI"/>
      <sheetName val="Prepago BI"/>
      <sheetName val="NPS"/>
      <sheetName val="Comisiones"/>
      <sheetName val="Relaciones"/>
      <sheetName val="07 Tablero TM Jul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>
        <row r="1">
          <cell r="A1"/>
          <cell r="B1"/>
          <cell r="C1"/>
          <cell r="D1"/>
          <cell r="E1"/>
          <cell r="F1"/>
          <cell r="G1"/>
          <cell r="H1"/>
          <cell r="I1"/>
          <cell r="J1"/>
          <cell r="K1" t="str">
            <v>IncentivoPospago</v>
          </cell>
          <cell r="L1"/>
          <cell r="M1"/>
          <cell r="N1" t="str">
            <v>PrepagoChip</v>
          </cell>
          <cell r="O1" t="str">
            <v>MetaUpsellTM</v>
          </cell>
          <cell r="P1" t="str">
            <v>PrepagoPorta</v>
          </cell>
          <cell r="Q1"/>
          <cell r="R1"/>
          <cell r="S1"/>
          <cell r="T1"/>
          <cell r="U1" t="str">
            <v>MetaBlindaje</v>
          </cell>
          <cell r="V1" t="str">
            <v>MetaRetencion</v>
          </cell>
          <cell r="W1"/>
          <cell r="X1"/>
          <cell r="Y1"/>
          <cell r="Z1"/>
          <cell r="AA1"/>
          <cell r="AB1"/>
          <cell r="AC1"/>
          <cell r="AD1"/>
          <cell r="AE1" t="str">
            <v>BONOMPLAY</v>
          </cell>
          <cell r="AF1"/>
          <cell r="AG1"/>
          <cell r="AH1" t="str">
            <v>GESTION DE PARQUE</v>
          </cell>
          <cell r="AI1"/>
          <cell r="AJ1" t="str">
            <v>MetaAltaDomTM</v>
          </cell>
          <cell r="AK1" t="str">
            <v>MetaTransferDomTM</v>
          </cell>
          <cell r="AL1" t="str">
            <v>MetaAltaPagoCaja</v>
          </cell>
          <cell r="AM1" t="str">
            <v>MetaTransferPagoCaja</v>
          </cell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  <cell r="BE1"/>
          <cell r="BF1"/>
          <cell r="BG1"/>
          <cell r="BH1"/>
          <cell r="BI1"/>
          <cell r="BJ1"/>
          <cell r="BK1"/>
          <cell r="BL1"/>
          <cell r="BM1"/>
          <cell r="BN1"/>
          <cell r="BO1"/>
          <cell r="BP1"/>
          <cell r="BQ1"/>
          <cell r="BR1"/>
          <cell r="BS1"/>
          <cell r="BT1"/>
          <cell r="BU1"/>
          <cell r="BV1"/>
          <cell r="BW1"/>
          <cell r="BX1"/>
          <cell r="BY1"/>
          <cell r="BZ1"/>
          <cell r="CA1"/>
          <cell r="CB1"/>
          <cell r="CC1"/>
          <cell r="CD1"/>
          <cell r="CE1"/>
          <cell r="CF1"/>
          <cell r="CG1"/>
          <cell r="CH1"/>
          <cell r="CI1"/>
          <cell r="CJ1"/>
          <cell r="CK1"/>
          <cell r="CL1"/>
          <cell r="CM1"/>
          <cell r="CN1"/>
          <cell r="CO1"/>
          <cell r="CP1"/>
          <cell r="CQ1"/>
          <cell r="CR1"/>
          <cell r="CS1"/>
          <cell r="CT1"/>
          <cell r="CU1"/>
          <cell r="CV1"/>
          <cell r="CW1"/>
          <cell r="CX1"/>
          <cell r="CY1"/>
          <cell r="CZ1"/>
          <cell r="DA1"/>
          <cell r="DB1"/>
          <cell r="DC1"/>
          <cell r="DD1"/>
          <cell r="DE1"/>
          <cell r="DF1"/>
          <cell r="DG1"/>
          <cell r="DH1"/>
          <cell r="DI1"/>
          <cell r="DJ1"/>
          <cell r="DK1"/>
          <cell r="DL1"/>
          <cell r="DM1"/>
          <cell r="DN1"/>
          <cell r="DO1"/>
          <cell r="DP1"/>
          <cell r="DQ1" t="str">
            <v>MetaRenovacionContado</v>
          </cell>
          <cell r="DR1" t="str">
            <v>MetaRenovacionFinanciado</v>
          </cell>
          <cell r="DS1" t="str">
            <v>MetaContratoContado</v>
          </cell>
          <cell r="DT1" t="str">
            <v>MetaContratoFinanciado</v>
          </cell>
          <cell r="DU1" t="str">
            <v>MetaPrepagoContado</v>
          </cell>
          <cell r="DV1" t="str">
            <v>MetaAccesorios</v>
          </cell>
          <cell r="DW1"/>
          <cell r="DX1" t="str">
            <v>IncentivoTerminal</v>
          </cell>
          <cell r="DY1"/>
          <cell r="DZ1"/>
          <cell r="EA1"/>
          <cell r="EB1"/>
          <cell r="EC1"/>
          <cell r="ED1"/>
          <cell r="EE1"/>
          <cell r="EF1"/>
          <cell r="EG1" t="str">
            <v>MetaPaqIlimitado</v>
          </cell>
          <cell r="EH1" t="str">
            <v>MetaUPPS</v>
          </cell>
          <cell r="EI1" t="str">
            <v>MetaSOS</v>
          </cell>
          <cell r="EJ1"/>
          <cell r="EK1" t="str">
            <v>MetaMplay</v>
          </cell>
          <cell r="EL1" t="str">
            <v>MetaFutbol</v>
          </cell>
          <cell r="EM1" t="str">
            <v>MetaFox</v>
          </cell>
          <cell r="EN1" t="str">
            <v>MetaHBO</v>
          </cell>
        </row>
        <row r="2">
          <cell r="A2"/>
          <cell r="B2" t="str">
            <v>PRESUPUESTO JULIO  2022 TELEFONICA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  <cell r="BE2"/>
          <cell r="BF2"/>
          <cell r="BG2"/>
          <cell r="BH2"/>
          <cell r="BI2"/>
          <cell r="BJ2"/>
          <cell r="BK2"/>
          <cell r="BL2"/>
          <cell r="BM2"/>
          <cell r="BN2"/>
          <cell r="BO2"/>
          <cell r="BP2"/>
          <cell r="BQ2"/>
          <cell r="BR2"/>
          <cell r="BS2"/>
          <cell r="BT2"/>
          <cell r="BU2"/>
          <cell r="BV2"/>
          <cell r="BW2"/>
          <cell r="BX2">
            <v>0.3</v>
          </cell>
          <cell r="BY2"/>
          <cell r="BZ2"/>
          <cell r="CA2"/>
          <cell r="CB2"/>
          <cell r="CC2"/>
          <cell r="CD2"/>
          <cell r="CE2"/>
          <cell r="CF2"/>
          <cell r="CG2"/>
          <cell r="CH2">
            <v>0.3</v>
          </cell>
          <cell r="CI2"/>
          <cell r="CJ2"/>
          <cell r="CK2"/>
          <cell r="CL2"/>
          <cell r="CM2"/>
          <cell r="CN2"/>
          <cell r="CO2"/>
          <cell r="CP2"/>
          <cell r="CQ2"/>
          <cell r="CR2"/>
          <cell r="CS2"/>
          <cell r="CT2"/>
          <cell r="CU2"/>
          <cell r="CV2"/>
          <cell r="CW2"/>
          <cell r="CX2"/>
          <cell r="CY2"/>
          <cell r="CZ2"/>
          <cell r="DA2"/>
          <cell r="DB2"/>
          <cell r="DC2"/>
          <cell r="DD2"/>
          <cell r="DE2"/>
          <cell r="DF2"/>
          <cell r="DG2"/>
          <cell r="DH2"/>
          <cell r="DI2"/>
          <cell r="DJ2"/>
          <cell r="DK2"/>
          <cell r="DL2"/>
          <cell r="DM2"/>
          <cell r="DN2"/>
          <cell r="DO2"/>
          <cell r="DP2"/>
          <cell r="DQ2">
            <v>0.50196078431372548</v>
          </cell>
          <cell r="DR2">
            <v>0.2627450980392157</v>
          </cell>
          <cell r="DS2">
            <v>0.15294117647058825</v>
          </cell>
          <cell r="DT2">
            <v>8.2352941176470587E-2</v>
          </cell>
          <cell r="DU2"/>
          <cell r="DV2"/>
          <cell r="DW2"/>
          <cell r="DX2"/>
          <cell r="DY2"/>
          <cell r="DZ2"/>
          <cell r="EA2"/>
          <cell r="EB2"/>
          <cell r="EC2"/>
          <cell r="ED2"/>
          <cell r="EE2"/>
          <cell r="EF2"/>
          <cell r="EG2"/>
          <cell r="EH2"/>
          <cell r="EI2"/>
          <cell r="EJ2"/>
          <cell r="EK2"/>
          <cell r="EL2"/>
          <cell r="EM2"/>
          <cell r="EN2"/>
        </row>
        <row r="3">
          <cell r="A3" t="str">
            <v>TIENDA</v>
          </cell>
          <cell r="B3" t="str">
            <v>Nombre de Plaza</v>
          </cell>
          <cell r="C3"/>
          <cell r="D3"/>
          <cell r="E3"/>
          <cell r="F3"/>
          <cell r="G3" t="str">
            <v>ALTAS</v>
          </cell>
          <cell r="H3" t="str">
            <v>% Part. Altas</v>
          </cell>
          <cell r="I3" t="str">
            <v>TRANSF</v>
          </cell>
          <cell r="J3" t="str">
            <v>% Part. Transfer</v>
          </cell>
          <cell r="K3" t="str">
            <v>TOTAL 
POS</v>
          </cell>
          <cell r="L3" t="str">
            <v>DIF.</v>
          </cell>
          <cell r="M3" t="str">
            <v>PORTABILIDAD</v>
          </cell>
          <cell r="N3" t="str">
            <v>PREPAGO 
LO</v>
          </cell>
          <cell r="O3" t="str">
            <v>UPSELL</v>
          </cell>
          <cell r="P3" t="str">
            <v>PREPAGO PORTABILIDAD Promo $3</v>
          </cell>
          <cell r="Q3" t="str">
            <v>PREPAGO
CON TERMINAL</v>
          </cell>
          <cell r="R3" t="str">
            <v>(Q) TERMINALES POS / ACC / TV</v>
          </cell>
          <cell r="S3" t="str">
            <v>(Q) 
RENOVACIONES</v>
          </cell>
          <cell r="T3" t="str">
            <v xml:space="preserve">TOTAL TERMINALES (PPCT + POS + REN) </v>
          </cell>
          <cell r="U3" t="str">
            <v>BLINDAJE</v>
          </cell>
          <cell r="V3" t="str">
            <v>RETENCION</v>
          </cell>
          <cell r="W3" t="str">
            <v>PAQUETES RECURRENTES VOZ</v>
          </cell>
          <cell r="X3" t="str">
            <v>UPPS+</v>
          </cell>
          <cell r="Y3" t="str">
            <v>SEGURIDAD DIGITAL</v>
          </cell>
          <cell r="Z3" t="str">
            <v>Asistencia SOS</v>
          </cell>
          <cell r="AA3" t="str">
            <v xml:space="preserve">TVI </v>
          </cell>
          <cell r="AB3" t="str">
            <v>Canal del Fútbol</v>
          </cell>
          <cell r="AC3" t="str">
            <v xml:space="preserve">FOX </v>
          </cell>
          <cell r="AD3" t="str">
            <v>HBO</v>
          </cell>
          <cell r="AE3" t="str">
            <v>Total TV</v>
          </cell>
          <cell r="AF3" t="str">
            <v>NPS</v>
          </cell>
          <cell r="AG3" t="str">
            <v>DESCARGA APP MOVISTAR</v>
          </cell>
          <cell r="AH3" t="str">
            <v>GESTION DE PARQUE</v>
          </cell>
          <cell r="AI3"/>
          <cell r="AJ3" t="str">
            <v>Altas Dom</v>
          </cell>
          <cell r="AK3" t="str">
            <v>Transfer Dom</v>
          </cell>
          <cell r="AL3" t="str">
            <v>Altas PC</v>
          </cell>
          <cell r="AM3" t="str">
            <v>Trasnfer PC</v>
          </cell>
          <cell r="AN3" t="str">
            <v>META PAYJOY</v>
          </cell>
          <cell r="AO3"/>
          <cell r="AP3"/>
          <cell r="AQ3"/>
          <cell r="AR3"/>
          <cell r="AS3"/>
          <cell r="AT3"/>
          <cell r="AU3"/>
          <cell r="AV3"/>
          <cell r="AW3"/>
          <cell r="AX3"/>
          <cell r="AY3"/>
          <cell r="AZ3"/>
          <cell r="BA3"/>
          <cell r="BB3"/>
          <cell r="BC3"/>
          <cell r="BD3"/>
          <cell r="BE3"/>
          <cell r="BF3"/>
          <cell r="BG3"/>
          <cell r="BH3"/>
          <cell r="BI3"/>
          <cell r="BJ3"/>
          <cell r="BK3"/>
          <cell r="BL3"/>
          <cell r="BM3"/>
          <cell r="BN3"/>
          <cell r="BO3"/>
          <cell r="BP3"/>
          <cell r="BQ3"/>
          <cell r="BR3"/>
          <cell r="BS3"/>
          <cell r="BT3"/>
          <cell r="BU3"/>
          <cell r="BV3"/>
          <cell r="BW3"/>
          <cell r="BX3" t="str">
            <v>Meta TM Planes 11,42</v>
          </cell>
          <cell r="BY3"/>
          <cell r="BZ3"/>
          <cell r="CA3"/>
          <cell r="CB3"/>
          <cell r="CC3"/>
          <cell r="CD3"/>
          <cell r="CE3"/>
          <cell r="CF3"/>
          <cell r="CG3"/>
          <cell r="CH3" t="str">
            <v>Meta TM Planes Televentas</v>
          </cell>
          <cell r="CI3"/>
          <cell r="CJ3"/>
          <cell r="CK3"/>
          <cell r="CL3"/>
          <cell r="CM3"/>
          <cell r="CN3"/>
          <cell r="CO3"/>
          <cell r="CP3"/>
          <cell r="CQ3"/>
          <cell r="CR3"/>
          <cell r="CS3"/>
          <cell r="CT3"/>
          <cell r="CU3"/>
          <cell r="CV3"/>
          <cell r="CW3"/>
          <cell r="CX3"/>
          <cell r="CY3"/>
          <cell r="CZ3"/>
          <cell r="DA3"/>
          <cell r="DB3"/>
          <cell r="DC3"/>
          <cell r="DD3"/>
          <cell r="DE3"/>
          <cell r="DF3"/>
          <cell r="DG3"/>
          <cell r="DH3"/>
          <cell r="DI3"/>
          <cell r="DQ3" t="str">
            <v>Renovacion Contado</v>
          </cell>
          <cell r="DR3" t="str">
            <v>Renovacion Financiado</v>
          </cell>
          <cell r="DS3" t="str">
            <v>Contrato Contado</v>
          </cell>
          <cell r="DT3" t="str">
            <v>Contrato Financiado</v>
          </cell>
          <cell r="DU3" t="str">
            <v>Prepago Contado</v>
          </cell>
          <cell r="DV3" t="str">
            <v>Accesorios</v>
          </cell>
          <cell r="DW3" t="str">
            <v>Television</v>
          </cell>
          <cell r="DX3" t="str">
            <v>Total</v>
          </cell>
          <cell r="EA3"/>
          <cell r="EG3" t="str">
            <v>PAQUETES RECURRENTES VOZ</v>
          </cell>
          <cell r="EH3" t="str">
            <v>UPSS+</v>
          </cell>
          <cell r="EI3" t="str">
            <v>Asistencia SOS</v>
          </cell>
          <cell r="EJ3" t="str">
            <v>Seguridad Digital</v>
          </cell>
          <cell r="EK3" t="str">
            <v xml:space="preserve">TVI </v>
          </cell>
          <cell r="EL3" t="str">
            <v>Canal del Fútbol</v>
          </cell>
          <cell r="EM3" t="str">
            <v>FOX</v>
          </cell>
          <cell r="EN3" t="str">
            <v>HBO</v>
          </cell>
        </row>
        <row r="4">
          <cell r="A4" t="str">
            <v>AMERICA</v>
          </cell>
          <cell r="B4" t="str">
            <v>AE SALESLAND PLAZA DE LAS AMERICAS</v>
          </cell>
          <cell r="C4"/>
          <cell r="D4"/>
          <cell r="E4"/>
          <cell r="F4"/>
          <cell r="G4">
            <v>106.04651162790698</v>
          </cell>
          <cell r="H4">
            <v>0.55813953488372092</v>
          </cell>
          <cell r="I4">
            <v>83.95348837209302</v>
          </cell>
          <cell r="J4">
            <v>0.44186046511627908</v>
          </cell>
          <cell r="K4">
            <v>190</v>
          </cell>
          <cell r="L4">
            <v>0</v>
          </cell>
          <cell r="M4">
            <v>15</v>
          </cell>
          <cell r="N4">
            <v>82.935391913436476</v>
          </cell>
          <cell r="O4">
            <v>200</v>
          </cell>
          <cell r="P4"/>
          <cell r="Q4">
            <v>2800</v>
          </cell>
          <cell r="R4"/>
          <cell r="S4"/>
          <cell r="T4">
            <v>23000</v>
          </cell>
          <cell r="U4">
            <v>5.0167224080267552</v>
          </cell>
          <cell r="V4">
            <v>0.8</v>
          </cell>
          <cell r="W4">
            <v>114.97463334184036</v>
          </cell>
          <cell r="X4">
            <v>35.19020079702458</v>
          </cell>
          <cell r="Y4">
            <v>44.005890275042077</v>
          </cell>
          <cell r="Z4">
            <v>2.8121673003802283</v>
          </cell>
          <cell r="AA4">
            <v>1.1547667613582766</v>
          </cell>
          <cell r="AB4">
            <v>0.90103006888170412</v>
          </cell>
          <cell r="AC4">
            <v>0</v>
          </cell>
          <cell r="AD4">
            <v>0</v>
          </cell>
          <cell r="AE4">
            <v>2.0557968302399807</v>
          </cell>
          <cell r="AF4">
            <v>0.7</v>
          </cell>
          <cell r="AG4">
            <v>30</v>
          </cell>
          <cell r="AH4">
            <v>0</v>
          </cell>
          <cell r="AI4"/>
          <cell r="AJ4">
            <v>80</v>
          </cell>
          <cell r="AK4">
            <v>52</v>
          </cell>
          <cell r="AL4">
            <v>29</v>
          </cell>
          <cell r="AM4">
            <v>29</v>
          </cell>
          <cell r="AN4">
            <v>3100</v>
          </cell>
          <cell r="AO4"/>
          <cell r="AP4"/>
          <cell r="AQ4"/>
          <cell r="AR4"/>
          <cell r="AS4"/>
          <cell r="AY4"/>
          <cell r="AZ4"/>
          <cell r="BA4"/>
          <cell r="BB4"/>
          <cell r="BC4"/>
          <cell r="BD4"/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>
            <v>57</v>
          </cell>
          <cell r="BY4"/>
          <cell r="BZ4"/>
          <cell r="CA4"/>
          <cell r="CB4"/>
          <cell r="CC4"/>
          <cell r="CD4"/>
          <cell r="CE4"/>
          <cell r="CF4"/>
          <cell r="CG4"/>
          <cell r="CH4">
            <v>57</v>
          </cell>
          <cell r="CI4"/>
          <cell r="CJ4"/>
          <cell r="CK4"/>
          <cell r="CL4"/>
          <cell r="CM4"/>
          <cell r="CN4"/>
          <cell r="CO4"/>
          <cell r="CP4"/>
          <cell r="CQ4"/>
          <cell r="CR4"/>
          <cell r="CS4"/>
          <cell r="CT4"/>
          <cell r="CU4"/>
          <cell r="CV4"/>
          <cell r="CW4"/>
          <cell r="CX4"/>
          <cell r="CY4"/>
          <cell r="CZ4"/>
          <cell r="DA4"/>
          <cell r="DB4"/>
          <cell r="DC4"/>
          <cell r="DD4"/>
          <cell r="DE4"/>
          <cell r="DF4"/>
          <cell r="DG4"/>
          <cell r="DH4"/>
          <cell r="DI4"/>
          <cell r="DQ4">
            <v>11545.098039215685</v>
          </cell>
          <cell r="DR4">
            <v>6043.1372549019607</v>
          </cell>
          <cell r="DS4">
            <v>3517.6470588235297</v>
          </cell>
          <cell r="DT4">
            <v>1894.1176470588234</v>
          </cell>
          <cell r="DU4">
            <v>2800</v>
          </cell>
          <cell r="DV4">
            <v>0</v>
          </cell>
          <cell r="DW4">
            <v>0</v>
          </cell>
          <cell r="DX4">
            <v>25800</v>
          </cell>
          <cell r="EA4"/>
          <cell r="EG4">
            <v>38.324877780613456</v>
          </cell>
          <cell r="EH4">
            <v>7.0521444483015188</v>
          </cell>
          <cell r="EI4">
            <v>0.81749049429657805</v>
          </cell>
          <cell r="EJ4">
            <v>16.002141918197118</v>
          </cell>
          <cell r="EK4">
            <v>7.7035807962526792E-2</v>
          </cell>
          <cell r="EL4">
            <v>0.16841683530499144</v>
          </cell>
          <cell r="EM4">
            <v>0</v>
          </cell>
          <cell r="EN4">
            <v>0</v>
          </cell>
        </row>
        <row r="5">
          <cell r="A5" t="str">
            <v>CONDADO</v>
          </cell>
          <cell r="B5" t="str">
            <v>AE SALESLAND EL CONDADO</v>
          </cell>
          <cell r="C5"/>
          <cell r="D5"/>
          <cell r="E5"/>
          <cell r="F5"/>
          <cell r="G5">
            <v>130.03663003663004</v>
          </cell>
          <cell r="H5">
            <v>0.52014652014652019</v>
          </cell>
          <cell r="I5">
            <v>119.96336996336997</v>
          </cell>
          <cell r="J5">
            <v>0.47985347985347987</v>
          </cell>
          <cell r="K5">
            <v>250</v>
          </cell>
          <cell r="L5">
            <v>50</v>
          </cell>
          <cell r="M5">
            <v>20</v>
          </cell>
          <cell r="N5">
            <v>72.568467924256908</v>
          </cell>
          <cell r="O5">
            <v>400</v>
          </cell>
          <cell r="P5"/>
          <cell r="Q5">
            <v>5000</v>
          </cell>
          <cell r="R5"/>
          <cell r="S5"/>
          <cell r="T5">
            <v>31121.250109999997</v>
          </cell>
          <cell r="U5">
            <v>1.6722408026755853</v>
          </cell>
          <cell r="V5">
            <v>0.8</v>
          </cell>
          <cell r="W5">
            <v>114.97463334184036</v>
          </cell>
          <cell r="X5">
            <v>50.34949683294645</v>
          </cell>
          <cell r="Y5">
            <v>62.962824390066025</v>
          </cell>
          <cell r="Z5">
            <v>2.8121673003802283</v>
          </cell>
          <cell r="AA5">
            <v>6.044767665823791</v>
          </cell>
          <cell r="AB5">
            <v>4.7165519553963655</v>
          </cell>
          <cell r="AC5">
            <v>0</v>
          </cell>
          <cell r="AD5">
            <v>0</v>
          </cell>
          <cell r="AE5">
            <v>10.761319621220157</v>
          </cell>
          <cell r="AF5">
            <v>0.7</v>
          </cell>
          <cell r="AG5">
            <v>38</v>
          </cell>
          <cell r="AH5">
            <v>0</v>
          </cell>
          <cell r="AI5"/>
          <cell r="AJ5">
            <v>98</v>
          </cell>
          <cell r="AK5">
            <v>74</v>
          </cell>
          <cell r="AL5">
            <v>39</v>
          </cell>
          <cell r="AM5">
            <v>39</v>
          </cell>
          <cell r="AN5">
            <v>5050</v>
          </cell>
          <cell r="AO5"/>
          <cell r="AP5"/>
          <cell r="AQ5"/>
          <cell r="AR5"/>
          <cell r="AS5"/>
          <cell r="AY5"/>
          <cell r="AZ5"/>
          <cell r="BA5"/>
          <cell r="BB5"/>
          <cell r="BC5"/>
          <cell r="BD5"/>
          <cell r="BE5"/>
          <cell r="BF5"/>
          <cell r="BG5"/>
          <cell r="BH5"/>
          <cell r="BI5"/>
          <cell r="BJ5"/>
          <cell r="BK5"/>
          <cell r="BL5"/>
          <cell r="BM5"/>
          <cell r="BN5"/>
          <cell r="BO5"/>
          <cell r="BP5"/>
          <cell r="BQ5"/>
          <cell r="BR5"/>
          <cell r="BS5"/>
          <cell r="BT5"/>
          <cell r="BU5"/>
          <cell r="BV5"/>
          <cell r="BW5"/>
          <cell r="BX5">
            <v>75</v>
          </cell>
          <cell r="BY5"/>
          <cell r="BZ5"/>
          <cell r="CA5"/>
          <cell r="CB5"/>
          <cell r="CC5"/>
          <cell r="CD5"/>
          <cell r="CE5"/>
          <cell r="CF5"/>
          <cell r="CG5"/>
          <cell r="CH5">
            <v>75</v>
          </cell>
          <cell r="CI5"/>
          <cell r="CJ5"/>
          <cell r="CK5"/>
          <cell r="CL5"/>
          <cell r="CM5"/>
          <cell r="CN5"/>
          <cell r="CO5"/>
          <cell r="CP5"/>
          <cell r="CQ5"/>
          <cell r="CR5"/>
          <cell r="CS5"/>
          <cell r="CT5"/>
          <cell r="CU5"/>
          <cell r="CV5"/>
          <cell r="CW5"/>
          <cell r="CX5"/>
          <cell r="CY5"/>
          <cell r="CZ5"/>
          <cell r="DA5"/>
          <cell r="DB5"/>
          <cell r="DC5"/>
          <cell r="DD5"/>
          <cell r="DE5"/>
          <cell r="DF5"/>
          <cell r="DG5"/>
          <cell r="DH5"/>
          <cell r="DI5"/>
          <cell r="DQ5">
            <v>15621.647114039213</v>
          </cell>
          <cell r="DR5">
            <v>8176.9559112549014</v>
          </cell>
          <cell r="DS5">
            <v>4759.7206050588238</v>
          </cell>
          <cell r="DT5">
            <v>2562.9264796470584</v>
          </cell>
          <cell r="DU5">
            <v>5000</v>
          </cell>
          <cell r="DV5">
            <v>0</v>
          </cell>
          <cell r="DW5">
            <v>0</v>
          </cell>
          <cell r="DX5">
            <v>36121.250109999994</v>
          </cell>
          <cell r="EA5"/>
          <cell r="EG5">
            <v>38.324877780613456</v>
          </cell>
          <cell r="EH5">
            <v>10.09007952564057</v>
          </cell>
          <cell r="EI5">
            <v>0.81749049429657805</v>
          </cell>
          <cell r="EJ5">
            <v>22.895572505478555</v>
          </cell>
          <cell r="EK5">
            <v>0.40325334661933226</v>
          </cell>
          <cell r="EL5">
            <v>0.88159849633576937</v>
          </cell>
          <cell r="EM5">
            <v>0</v>
          </cell>
          <cell r="EN5">
            <v>0</v>
          </cell>
        </row>
        <row r="6">
          <cell r="A6" t="str">
            <v>CUENCA CENTRO</v>
          </cell>
          <cell r="B6" t="str">
            <v>AE SALESLAND CUENCA CENTRO</v>
          </cell>
          <cell r="C6"/>
          <cell r="D6"/>
          <cell r="E6"/>
          <cell r="F6"/>
          <cell r="G6">
            <v>95.47263681592041</v>
          </cell>
          <cell r="H6">
            <v>0.50248756218905477</v>
          </cell>
          <cell r="I6">
            <v>94.527363184079604</v>
          </cell>
          <cell r="J6">
            <v>0.49751243781094528</v>
          </cell>
          <cell r="K6">
            <v>190</v>
          </cell>
          <cell r="L6">
            <v>31</v>
          </cell>
          <cell r="M6">
            <v>20</v>
          </cell>
          <cell r="N6">
            <v>114.03616388097515</v>
          </cell>
          <cell r="O6">
            <v>210</v>
          </cell>
          <cell r="P6"/>
          <cell r="Q6">
            <v>3200</v>
          </cell>
          <cell r="R6"/>
          <cell r="S6"/>
          <cell r="T6">
            <v>15563</v>
          </cell>
          <cell r="U6">
            <v>6.6889632107023411</v>
          </cell>
          <cell r="V6">
            <v>0.8</v>
          </cell>
          <cell r="W6">
            <v>104.82981275285442</v>
          </cell>
          <cell r="X6">
            <v>28.436815067646855</v>
          </cell>
          <cell r="Y6">
            <v>35.560676986655295</v>
          </cell>
          <cell r="Z6">
            <v>2.8121673003802283</v>
          </cell>
          <cell r="AA6">
            <v>5.679463580866269</v>
          </cell>
          <cell r="AB6">
            <v>4.4315160712279589</v>
          </cell>
          <cell r="AC6">
            <v>0</v>
          </cell>
          <cell r="AD6">
            <v>0</v>
          </cell>
          <cell r="AE6">
            <v>10.110979652094228</v>
          </cell>
          <cell r="AF6">
            <v>0.7</v>
          </cell>
          <cell r="AG6">
            <v>28</v>
          </cell>
          <cell r="AH6">
            <v>0</v>
          </cell>
          <cell r="AI6"/>
          <cell r="AJ6">
            <v>72</v>
          </cell>
          <cell r="AK6">
            <v>59</v>
          </cell>
          <cell r="AL6">
            <v>30</v>
          </cell>
          <cell r="AM6">
            <v>29</v>
          </cell>
          <cell r="AN6">
            <v>3900</v>
          </cell>
          <cell r="AO6"/>
          <cell r="AP6"/>
          <cell r="AQ6"/>
          <cell r="AR6"/>
          <cell r="AS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  <cell r="BO6"/>
          <cell r="BP6"/>
          <cell r="BQ6"/>
          <cell r="BR6"/>
          <cell r="BS6"/>
          <cell r="BT6"/>
          <cell r="BU6"/>
          <cell r="BV6"/>
          <cell r="BW6"/>
          <cell r="BX6">
            <v>57</v>
          </cell>
          <cell r="BY6"/>
          <cell r="BZ6"/>
          <cell r="CA6"/>
          <cell r="CB6"/>
          <cell r="CC6"/>
          <cell r="CD6"/>
          <cell r="CE6"/>
          <cell r="CF6"/>
          <cell r="CG6"/>
          <cell r="CH6">
            <v>57</v>
          </cell>
          <cell r="CI6"/>
          <cell r="CJ6"/>
          <cell r="CK6"/>
          <cell r="CL6"/>
          <cell r="CM6"/>
          <cell r="CN6"/>
          <cell r="CO6"/>
          <cell r="CP6"/>
          <cell r="CQ6"/>
          <cell r="CR6"/>
          <cell r="CS6"/>
          <cell r="CT6"/>
          <cell r="CU6"/>
          <cell r="CV6"/>
          <cell r="CW6"/>
          <cell r="CX6"/>
          <cell r="CY6"/>
          <cell r="CZ6"/>
          <cell r="DA6"/>
          <cell r="DB6"/>
          <cell r="DC6"/>
          <cell r="DD6"/>
          <cell r="DE6"/>
          <cell r="DF6"/>
          <cell r="DG6"/>
          <cell r="DH6"/>
          <cell r="DI6"/>
          <cell r="DQ6">
            <v>7812.0156862745098</v>
          </cell>
          <cell r="DR6">
            <v>4089.1019607843141</v>
          </cell>
          <cell r="DS6">
            <v>2380.223529411765</v>
          </cell>
          <cell r="DT6">
            <v>1281.6588235294118</v>
          </cell>
          <cell r="DU6">
            <v>3200</v>
          </cell>
          <cell r="DV6">
            <v>0</v>
          </cell>
          <cell r="DW6">
            <v>0</v>
          </cell>
          <cell r="DX6">
            <v>18763</v>
          </cell>
          <cell r="EA6"/>
          <cell r="EG6">
            <v>34.943270917618143</v>
          </cell>
          <cell r="EH6">
            <v>5.6987605345985681</v>
          </cell>
          <cell r="EI6">
            <v>0.81749049429657805</v>
          </cell>
          <cell r="EJ6">
            <v>12.931155267874653</v>
          </cell>
          <cell r="EK6">
            <v>0.37888349438734281</v>
          </cell>
          <cell r="EL6">
            <v>0.82832076097718865</v>
          </cell>
          <cell r="EM6">
            <v>0</v>
          </cell>
          <cell r="EN6">
            <v>0</v>
          </cell>
        </row>
        <row r="7">
          <cell r="A7" t="str">
            <v>CUENCA REMIGIO</v>
          </cell>
          <cell r="B7" t="str">
            <v>AE SALESLAND CUENCA REMIGIO</v>
          </cell>
          <cell r="C7"/>
          <cell r="D7"/>
          <cell r="E7"/>
          <cell r="F7"/>
          <cell r="G7">
            <v>98.8</v>
          </cell>
          <cell r="H7">
            <v>0.52</v>
          </cell>
          <cell r="I7">
            <v>91.2</v>
          </cell>
          <cell r="J7">
            <v>0.48000000000000004</v>
          </cell>
          <cell r="K7">
            <v>190</v>
          </cell>
          <cell r="L7">
            <v>34</v>
          </cell>
          <cell r="M7">
            <v>15</v>
          </cell>
          <cell r="N7">
            <v>93.30231590261603</v>
          </cell>
          <cell r="O7">
            <v>230</v>
          </cell>
          <cell r="P7"/>
          <cell r="Q7">
            <v>2000</v>
          </cell>
          <cell r="R7"/>
          <cell r="S7"/>
          <cell r="T7">
            <v>16000</v>
          </cell>
          <cell r="U7">
            <v>6.6889632107023411</v>
          </cell>
          <cell r="V7">
            <v>0.8</v>
          </cell>
          <cell r="W7">
            <v>104.82981275285442</v>
          </cell>
          <cell r="X7">
            <v>15.312131165582693</v>
          </cell>
          <cell r="Y7">
            <v>19.148056808094648</v>
          </cell>
          <cell r="Z7">
            <v>2.8121673003802283</v>
          </cell>
          <cell r="AA7">
            <v>4.4090172119253035</v>
          </cell>
          <cell r="AB7">
            <v>3.44022465410149</v>
          </cell>
          <cell r="AC7">
            <v>0</v>
          </cell>
          <cell r="AD7">
            <v>0</v>
          </cell>
          <cell r="AE7">
            <v>7.8492418660267935</v>
          </cell>
          <cell r="AF7">
            <v>0.7</v>
          </cell>
          <cell r="AG7">
            <v>28</v>
          </cell>
          <cell r="AH7">
            <v>0</v>
          </cell>
          <cell r="AI7"/>
          <cell r="AJ7">
            <v>74</v>
          </cell>
          <cell r="AK7">
            <v>57</v>
          </cell>
          <cell r="AL7">
            <v>30</v>
          </cell>
          <cell r="AM7">
            <v>29</v>
          </cell>
          <cell r="AN7">
            <v>4900</v>
          </cell>
          <cell r="AO7"/>
          <cell r="AP7"/>
          <cell r="AQ7"/>
          <cell r="AR7"/>
          <cell r="AS7"/>
          <cell r="AY7"/>
          <cell r="AZ7"/>
          <cell r="BA7"/>
          <cell r="BB7"/>
          <cell r="BC7"/>
          <cell r="BD7"/>
          <cell r="BE7"/>
          <cell r="BF7"/>
          <cell r="BG7"/>
          <cell r="BH7"/>
          <cell r="BI7"/>
          <cell r="BJ7"/>
          <cell r="BK7"/>
          <cell r="BL7"/>
          <cell r="BM7"/>
          <cell r="BN7"/>
          <cell r="BO7"/>
          <cell r="BP7"/>
          <cell r="BQ7"/>
          <cell r="BR7"/>
          <cell r="BS7"/>
          <cell r="BT7"/>
          <cell r="BU7"/>
          <cell r="BV7"/>
          <cell r="BW7"/>
          <cell r="BX7">
            <v>57</v>
          </cell>
          <cell r="BY7"/>
          <cell r="BZ7"/>
          <cell r="CA7"/>
          <cell r="CB7"/>
          <cell r="CC7"/>
          <cell r="CD7"/>
          <cell r="CE7"/>
          <cell r="CF7"/>
          <cell r="CG7"/>
          <cell r="CH7">
            <v>57</v>
          </cell>
          <cell r="CI7"/>
          <cell r="CJ7"/>
          <cell r="CK7"/>
          <cell r="CL7"/>
          <cell r="CM7"/>
          <cell r="CN7"/>
          <cell r="CO7"/>
          <cell r="CP7"/>
          <cell r="CQ7"/>
          <cell r="CR7"/>
          <cell r="CS7"/>
          <cell r="CT7"/>
          <cell r="CU7"/>
          <cell r="CV7"/>
          <cell r="CW7"/>
          <cell r="CX7"/>
          <cell r="CY7"/>
          <cell r="CZ7"/>
          <cell r="DA7"/>
          <cell r="DB7"/>
          <cell r="DC7"/>
          <cell r="DD7"/>
          <cell r="DE7"/>
          <cell r="DF7"/>
          <cell r="DG7"/>
          <cell r="DH7"/>
          <cell r="DI7"/>
          <cell r="DQ7">
            <v>8031.3725490196075</v>
          </cell>
          <cell r="DR7">
            <v>4203.9215686274511</v>
          </cell>
          <cell r="DS7">
            <v>2447.0588235294122</v>
          </cell>
          <cell r="DT7">
            <v>1317.6470588235295</v>
          </cell>
          <cell r="DU7">
            <v>2000</v>
          </cell>
          <cell r="DV7">
            <v>0</v>
          </cell>
          <cell r="DW7">
            <v>0</v>
          </cell>
          <cell r="DX7">
            <v>18000</v>
          </cell>
          <cell r="EA7"/>
          <cell r="EG7">
            <v>34.943270917618143</v>
          </cell>
          <cell r="EH7">
            <v>3.0685633598362108</v>
          </cell>
          <cell r="EI7">
            <v>0.81749049429657805</v>
          </cell>
          <cell r="EJ7">
            <v>6.9629297483980537</v>
          </cell>
          <cell r="EK7">
            <v>0.29413056784024705</v>
          </cell>
          <cell r="EL7">
            <v>0.6430326456264468</v>
          </cell>
          <cell r="EM7">
            <v>0</v>
          </cell>
          <cell r="EN7">
            <v>0</v>
          </cell>
        </row>
        <row r="8">
          <cell r="A8" t="str">
            <v>RECREO</v>
          </cell>
          <cell r="B8" t="str">
            <v>AE SALESLAND RECREO</v>
          </cell>
          <cell r="C8"/>
          <cell r="D8"/>
          <cell r="E8"/>
          <cell r="F8"/>
          <cell r="G8">
            <v>261.92052980132451</v>
          </cell>
          <cell r="H8">
            <v>0.3741721854304636</v>
          </cell>
          <cell r="I8">
            <v>438.07947019867549</v>
          </cell>
          <cell r="J8">
            <v>0.6258278145695364</v>
          </cell>
          <cell r="K8">
            <v>700</v>
          </cell>
          <cell r="L8"/>
          <cell r="M8">
            <v>15</v>
          </cell>
          <cell r="N8">
            <v>259.17309972948897</v>
          </cell>
          <cell r="O8">
            <v>660</v>
          </cell>
          <cell r="P8"/>
          <cell r="Q8">
            <v>7000</v>
          </cell>
          <cell r="R8"/>
          <cell r="S8"/>
          <cell r="T8">
            <v>45000</v>
          </cell>
          <cell r="U8">
            <v>15.050167224080264</v>
          </cell>
          <cell r="V8">
            <v>0.7</v>
          </cell>
          <cell r="W8">
            <v>180.96589225155043</v>
          </cell>
          <cell r="X8">
            <v>56.453334411347079</v>
          </cell>
          <cell r="Y8">
            <v>70.595767671096908</v>
          </cell>
          <cell r="Z8">
            <v>2.8121673003802283</v>
          </cell>
          <cell r="AA8">
            <v>4.7651886430480666</v>
          </cell>
          <cell r="AB8">
            <v>3.7181346008172746</v>
          </cell>
          <cell r="AC8">
            <v>0</v>
          </cell>
          <cell r="AD8">
            <v>0</v>
          </cell>
          <cell r="AE8">
            <v>8.4833232438653408</v>
          </cell>
          <cell r="AF8">
            <v>0.7</v>
          </cell>
          <cell r="AG8">
            <v>85</v>
          </cell>
          <cell r="AH8">
            <v>0</v>
          </cell>
          <cell r="AI8"/>
          <cell r="AJ8">
            <v>196</v>
          </cell>
          <cell r="AK8">
            <v>272</v>
          </cell>
          <cell r="AL8">
            <v>116</v>
          </cell>
          <cell r="AM8">
            <v>116</v>
          </cell>
          <cell r="AN8">
            <v>5200</v>
          </cell>
          <cell r="AO8"/>
          <cell r="AP8"/>
          <cell r="AQ8"/>
          <cell r="AR8"/>
          <cell r="AS8"/>
          <cell r="AY8"/>
          <cell r="AZ8"/>
          <cell r="BA8"/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/>
          <cell r="BW8"/>
          <cell r="BX8">
            <v>210</v>
          </cell>
          <cell r="BY8"/>
          <cell r="BZ8"/>
          <cell r="CA8"/>
          <cell r="CB8"/>
          <cell r="CC8"/>
          <cell r="CD8"/>
          <cell r="CE8"/>
          <cell r="CF8"/>
          <cell r="CG8"/>
          <cell r="CH8">
            <v>210</v>
          </cell>
          <cell r="CI8"/>
          <cell r="CJ8"/>
          <cell r="CK8"/>
          <cell r="CL8"/>
          <cell r="CM8"/>
          <cell r="CN8"/>
          <cell r="CO8"/>
          <cell r="CP8"/>
          <cell r="CQ8"/>
          <cell r="CR8"/>
          <cell r="CS8"/>
          <cell r="CT8"/>
          <cell r="CU8"/>
          <cell r="CV8"/>
          <cell r="CW8"/>
          <cell r="CX8"/>
          <cell r="CY8"/>
          <cell r="CZ8"/>
          <cell r="DA8"/>
          <cell r="DB8"/>
          <cell r="DC8"/>
          <cell r="DD8"/>
          <cell r="DE8"/>
          <cell r="DF8"/>
          <cell r="DG8"/>
          <cell r="DH8"/>
          <cell r="DI8"/>
          <cell r="DQ8">
            <v>22588.235294117647</v>
          </cell>
          <cell r="DR8">
            <v>11823.529411764706</v>
          </cell>
          <cell r="DS8">
            <v>6882.3529411764712</v>
          </cell>
          <cell r="DT8">
            <v>3705.8823529411766</v>
          </cell>
          <cell r="DU8">
            <v>7000</v>
          </cell>
          <cell r="DV8">
            <v>0</v>
          </cell>
          <cell r="DW8">
            <v>0</v>
          </cell>
          <cell r="DX8">
            <v>51999.999999999993</v>
          </cell>
          <cell r="EA8"/>
          <cell r="EG8">
            <v>60.321964083850141</v>
          </cell>
          <cell r="EH8"/>
          <cell r="EI8">
            <v>0.81749049429657805</v>
          </cell>
          <cell r="EJ8">
            <v>25.671188244035239</v>
          </cell>
          <cell r="EK8">
            <v>0.31789117031674891</v>
          </cell>
          <cell r="EL8">
            <v>0.69497843005930371</v>
          </cell>
          <cell r="EM8">
            <v>0</v>
          </cell>
          <cell r="EN8">
            <v>0</v>
          </cell>
        </row>
        <row r="9">
          <cell r="A9" t="str">
            <v>MACHALA</v>
          </cell>
          <cell r="B9" t="str">
            <v>AE SALESLAND MACHALA</v>
          </cell>
          <cell r="C9"/>
          <cell r="D9"/>
          <cell r="E9"/>
          <cell r="F9"/>
          <cell r="G9">
            <v>109.09090909090908</v>
          </cell>
          <cell r="H9">
            <v>0.68181818181818177</v>
          </cell>
          <cell r="I9">
            <v>50.909090909090907</v>
          </cell>
          <cell r="J9">
            <v>0.31818181818181818</v>
          </cell>
          <cell r="K9">
            <v>160</v>
          </cell>
          <cell r="L9">
            <v>16</v>
          </cell>
          <cell r="M9">
            <v>5</v>
          </cell>
          <cell r="N9">
            <v>36.284233962128454</v>
          </cell>
          <cell r="O9">
            <v>150</v>
          </cell>
          <cell r="P9"/>
          <cell r="Q9">
            <v>5000</v>
          </cell>
          <cell r="R9"/>
          <cell r="S9"/>
          <cell r="T9">
            <v>10000</v>
          </cell>
          <cell r="U9">
            <v>5.0167224080267552</v>
          </cell>
          <cell r="V9">
            <v>0.8</v>
          </cell>
          <cell r="W9">
            <v>104.82981275285442</v>
          </cell>
          <cell r="X9">
            <v>59.691520824255726</v>
          </cell>
          <cell r="Y9">
            <v>74.645169855486799</v>
          </cell>
          <cell r="Z9">
            <v>1.4060836501901142</v>
          </cell>
          <cell r="AA9">
            <v>4.6099344370584108</v>
          </cell>
          <cell r="AB9">
            <v>3.5969943735453267</v>
          </cell>
          <cell r="AC9">
            <v>0</v>
          </cell>
          <cell r="AD9">
            <v>0</v>
          </cell>
          <cell r="AE9">
            <v>8.2069288106037384</v>
          </cell>
          <cell r="AF9">
            <v>0.7</v>
          </cell>
          <cell r="AG9">
            <v>22</v>
          </cell>
          <cell r="AH9">
            <v>0</v>
          </cell>
          <cell r="AI9"/>
          <cell r="AJ9">
            <v>82</v>
          </cell>
          <cell r="AK9">
            <v>32</v>
          </cell>
          <cell r="AL9">
            <v>23</v>
          </cell>
          <cell r="AM9">
            <v>23</v>
          </cell>
          <cell r="AN9">
            <v>6900</v>
          </cell>
          <cell r="AO9"/>
          <cell r="AP9"/>
          <cell r="AQ9"/>
          <cell r="AR9"/>
          <cell r="AS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>
            <v>48</v>
          </cell>
          <cell r="BY9"/>
          <cell r="BZ9"/>
          <cell r="CA9"/>
          <cell r="CB9"/>
          <cell r="CC9"/>
          <cell r="CD9"/>
          <cell r="CE9"/>
          <cell r="CF9"/>
          <cell r="CG9"/>
          <cell r="CH9">
            <v>48</v>
          </cell>
          <cell r="CI9"/>
          <cell r="CJ9"/>
          <cell r="CK9"/>
          <cell r="CL9"/>
          <cell r="CM9"/>
          <cell r="CN9"/>
          <cell r="CO9"/>
          <cell r="CP9"/>
          <cell r="CQ9"/>
          <cell r="CR9"/>
          <cell r="CS9"/>
          <cell r="CT9"/>
          <cell r="CU9"/>
          <cell r="CV9"/>
          <cell r="CW9"/>
          <cell r="CX9"/>
          <cell r="CY9"/>
          <cell r="CZ9"/>
          <cell r="DA9"/>
          <cell r="DB9"/>
          <cell r="DC9"/>
          <cell r="DD9"/>
          <cell r="DE9"/>
          <cell r="DF9"/>
          <cell r="DG9"/>
          <cell r="DH9"/>
          <cell r="DI9"/>
          <cell r="DQ9">
            <v>5019.6078431372553</v>
          </cell>
          <cell r="DR9">
            <v>2627.4509803921569</v>
          </cell>
          <cell r="DS9">
            <v>1529.4117647058824</v>
          </cell>
          <cell r="DT9">
            <v>823.52941176470586</v>
          </cell>
          <cell r="DU9">
            <v>5000</v>
          </cell>
          <cell r="DV9">
            <v>0</v>
          </cell>
          <cell r="DW9">
            <v>0</v>
          </cell>
          <cell r="DX9">
            <v>15000.000000000002</v>
          </cell>
          <cell r="EA9"/>
          <cell r="EG9">
            <v>34.943270917618143</v>
          </cell>
          <cell r="EH9">
            <v>11.962228622095335</v>
          </cell>
          <cell r="EI9">
            <v>0.40874524714828903</v>
          </cell>
          <cell r="EJ9">
            <v>27.143698129267928</v>
          </cell>
          <cell r="EK9">
            <v>0.30753398512731228</v>
          </cell>
          <cell r="EL9">
            <v>0.67233539692436017</v>
          </cell>
          <cell r="EM9">
            <v>0</v>
          </cell>
          <cell r="EN9">
            <v>0</v>
          </cell>
        </row>
        <row r="10">
          <cell r="A10"/>
          <cell r="B10" t="str">
            <v>TOTALES</v>
          </cell>
          <cell r="C10"/>
          <cell r="D10"/>
          <cell r="E10"/>
          <cell r="F10"/>
          <cell r="G10">
            <v>801.36721737269102</v>
          </cell>
          <cell r="H10">
            <v>0.47700429605517325</v>
          </cell>
          <cell r="I10">
            <v>878.63278262730898</v>
          </cell>
          <cell r="J10">
            <v>0.52299570394482675</v>
          </cell>
          <cell r="K10">
            <v>1680</v>
          </cell>
          <cell r="L10">
            <v>131</v>
          </cell>
          <cell r="M10">
            <v>90</v>
          </cell>
          <cell r="N10">
            <v>658.29967331290197</v>
          </cell>
          <cell r="O10">
            <v>1850</v>
          </cell>
          <cell r="P10">
            <v>0</v>
          </cell>
          <cell r="Q10">
            <v>25000</v>
          </cell>
          <cell r="R10">
            <v>0</v>
          </cell>
          <cell r="S10">
            <v>0</v>
          </cell>
          <cell r="T10">
            <v>140684.25010999999</v>
          </cell>
          <cell r="U10">
            <v>40.133779264214041</v>
          </cell>
          <cell r="V10">
            <v>0.78333333333333333</v>
          </cell>
          <cell r="W10">
            <v>725.40459719379442</v>
          </cell>
          <cell r="X10">
            <v>245.43349909880337</v>
          </cell>
          <cell r="Y10">
            <v>306.91838598644176</v>
          </cell>
          <cell r="Z10">
            <v>15.466920152091255</v>
          </cell>
          <cell r="AA10">
            <v>26.663138300080117</v>
          </cell>
          <cell r="AB10">
            <v>20.804451723970118</v>
          </cell>
          <cell r="AC10">
            <v>0</v>
          </cell>
          <cell r="AD10">
            <v>0</v>
          </cell>
          <cell r="AE10">
            <v>47.467590024050239</v>
          </cell>
          <cell r="AF10">
            <v>0.70000000000000007</v>
          </cell>
          <cell r="AG10">
            <v>231</v>
          </cell>
          <cell r="AH10">
            <v>0</v>
          </cell>
          <cell r="AI10"/>
          <cell r="AJ10">
            <v>602</v>
          </cell>
          <cell r="AK10">
            <v>546</v>
          </cell>
          <cell r="AL10">
            <v>267</v>
          </cell>
          <cell r="AM10">
            <v>265</v>
          </cell>
          <cell r="AN10">
            <v>29050</v>
          </cell>
          <cell r="AO10"/>
          <cell r="AP10"/>
          <cell r="AQ10"/>
          <cell r="AR10"/>
          <cell r="AS10"/>
          <cell r="AT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>
            <v>504</v>
          </cell>
          <cell r="BY10"/>
          <cell r="BZ10"/>
          <cell r="CA10"/>
          <cell r="CB10"/>
          <cell r="CC10"/>
          <cell r="CD10"/>
          <cell r="CE10"/>
          <cell r="CF10"/>
          <cell r="CG10"/>
          <cell r="CH10">
            <v>504</v>
          </cell>
          <cell r="CI10">
            <v>304</v>
          </cell>
          <cell r="CJ10"/>
          <cell r="CK10"/>
          <cell r="CL10"/>
          <cell r="CM10"/>
          <cell r="CN10"/>
          <cell r="CO10"/>
          <cell r="CP10"/>
          <cell r="CQ10"/>
          <cell r="CR10"/>
          <cell r="CS10"/>
          <cell r="CT10"/>
          <cell r="CU10"/>
          <cell r="CV10"/>
          <cell r="CW10"/>
          <cell r="CX10"/>
          <cell r="CY10"/>
          <cell r="CZ10"/>
          <cell r="DA10"/>
          <cell r="DB10"/>
          <cell r="DC10"/>
          <cell r="DD10"/>
          <cell r="DE10"/>
          <cell r="DF10"/>
          <cell r="DG10"/>
          <cell r="DH10"/>
          <cell r="DI10"/>
          <cell r="DO10"/>
          <cell r="DQ10">
            <v>70617.976525803926</v>
          </cell>
          <cell r="DR10">
            <v>36964.097087725488</v>
          </cell>
          <cell r="DS10">
            <v>21516.414722705882</v>
          </cell>
          <cell r="DT10">
            <v>11585.761773764705</v>
          </cell>
          <cell r="DU10">
            <v>25000</v>
          </cell>
          <cell r="DV10">
            <v>0</v>
          </cell>
          <cell r="DW10">
            <v>0</v>
          </cell>
          <cell r="DX10">
            <v>165684.25010999999</v>
          </cell>
          <cell r="EA10"/>
          <cell r="EG10">
            <v>241.80153239793148</v>
          </cell>
          <cell r="EH10">
            <v>37.8717764904722</v>
          </cell>
          <cell r="EI10">
            <v>4.496197718631179</v>
          </cell>
          <cell r="EJ10">
            <v>111.60668581325154</v>
          </cell>
          <cell r="EK10">
            <v>1.7787283722535099</v>
          </cell>
          <cell r="EL10">
            <v>3.8886825652280601</v>
          </cell>
          <cell r="EM10">
            <v>0</v>
          </cell>
          <cell r="EN10">
            <v>0</v>
          </cell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>
            <v>165684.25010999999</v>
          </cell>
          <cell r="U11"/>
          <cell r="V11"/>
          <cell r="W11">
            <v>241.80153239793148</v>
          </cell>
          <cell r="X11">
            <v>49.185069959680028</v>
          </cell>
          <cell r="Y11"/>
          <cell r="Z11">
            <v>4.496197718631179</v>
          </cell>
          <cell r="AA11">
            <v>1.7787283722535101</v>
          </cell>
          <cell r="AB11">
            <v>3.8886825652280597</v>
          </cell>
          <cell r="AC11">
            <v>0</v>
          </cell>
          <cell r="AD11">
            <v>0</v>
          </cell>
          <cell r="AE11">
            <v>5.66741093748157</v>
          </cell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  <cell r="CE11"/>
          <cell r="CF11"/>
          <cell r="CG11"/>
          <cell r="CH11"/>
          <cell r="CI11"/>
          <cell r="CJ11"/>
          <cell r="CK11"/>
          <cell r="CL11"/>
          <cell r="CM11"/>
          <cell r="CN11"/>
          <cell r="CO11"/>
          <cell r="CP11"/>
          <cell r="CQ11"/>
          <cell r="CR11"/>
          <cell r="CS11"/>
          <cell r="CT11"/>
          <cell r="CU11"/>
          <cell r="CV11"/>
          <cell r="CW11"/>
          <cell r="CX11"/>
          <cell r="CY11"/>
          <cell r="CZ11"/>
          <cell r="DA11"/>
          <cell r="DB11"/>
          <cell r="DC11"/>
          <cell r="DD11"/>
          <cell r="DE11"/>
          <cell r="DF11"/>
          <cell r="DG11"/>
          <cell r="DH11"/>
          <cell r="DI11"/>
          <cell r="DO11"/>
          <cell r="DQ11">
            <v>0.42622021392449616</v>
          </cell>
          <cell r="DR11">
            <v>0.22309964322610343</v>
          </cell>
          <cell r="DS11">
            <v>0.12986397143011991</v>
          </cell>
          <cell r="DT11">
            <v>6.9926753846987641E-2</v>
          </cell>
          <cell r="DU11">
            <v>0.15088941757229288</v>
          </cell>
          <cell r="EA11"/>
          <cell r="EG11"/>
          <cell r="EH11"/>
          <cell r="EI11"/>
          <cell r="EJ11"/>
          <cell r="EK11"/>
          <cell r="EL11"/>
          <cell r="EM11"/>
          <cell r="EN11"/>
        </row>
        <row r="12">
          <cell r="A12" t="str">
            <v>Cruce</v>
          </cell>
          <cell r="B12" t="str">
            <v>Fila Cruce BasePresupuesto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 t="str">
            <v>MetaUpsellTM</v>
          </cell>
          <cell r="P12"/>
          <cell r="Q12"/>
          <cell r="R12"/>
          <cell r="S12"/>
          <cell r="T12"/>
          <cell r="U12"/>
          <cell r="V12" t="str">
            <v>MetaRetencion</v>
          </cell>
          <cell r="W12"/>
          <cell r="X12"/>
          <cell r="Y12"/>
          <cell r="Z12"/>
          <cell r="AA12">
            <v>449.7</v>
          </cell>
          <cell r="AB12"/>
          <cell r="AC12"/>
          <cell r="AD12"/>
          <cell r="AE12" t="str">
            <v>BONOMPLAY</v>
          </cell>
          <cell r="AF12"/>
          <cell r="AG12"/>
          <cell r="AH12"/>
          <cell r="AI12"/>
          <cell r="AJ12" t="str">
            <v>MetaAltaDomTm</v>
          </cell>
          <cell r="AK12" t="str">
            <v>MetaTransferDomTM</v>
          </cell>
          <cell r="AL12" t="str">
            <v>MetaAltaPagoCaja</v>
          </cell>
          <cell r="AM12" t="str">
            <v>MetaTransferPagoCaja</v>
          </cell>
          <cell r="AN12"/>
          <cell r="AO12"/>
          <cell r="AP12"/>
          <cell r="AQ12"/>
          <cell r="AR12"/>
          <cell r="AS12"/>
          <cell r="AT12"/>
          <cell r="AU12" t="str">
            <v>MetaQPOS</v>
          </cell>
          <cell r="AV12"/>
          <cell r="AW12"/>
          <cell r="AX12"/>
          <cell r="AY12" t="str">
            <v>IncentivoPospago</v>
          </cell>
          <cell r="AZ12"/>
          <cell r="BA12"/>
          <cell r="BB12"/>
          <cell r="BC12"/>
          <cell r="BD12"/>
          <cell r="BE12"/>
          <cell r="BF12" t="str">
            <v>MetaTB</v>
          </cell>
          <cell r="BG12"/>
          <cell r="BH12" t="str">
            <v>MetaAltaDom</v>
          </cell>
          <cell r="BI12" t="str">
            <v>MetaTransferDom</v>
          </cell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 t="str">
            <v>Max10,54</v>
          </cell>
          <cell r="CA12"/>
          <cell r="CB12"/>
          <cell r="CC12"/>
          <cell r="CD12"/>
          <cell r="CE12"/>
          <cell r="CF12"/>
          <cell r="CG12"/>
          <cell r="CH12"/>
          <cell r="CI12"/>
          <cell r="CJ12" t="str">
            <v>MaxTele</v>
          </cell>
          <cell r="CK12"/>
          <cell r="CL12"/>
          <cell r="CM12"/>
          <cell r="CN12"/>
          <cell r="CO12"/>
          <cell r="CP12"/>
          <cell r="CQ12"/>
          <cell r="CR12" t="str">
            <v>MetaUpsell</v>
          </cell>
          <cell r="CS12"/>
          <cell r="CT12"/>
          <cell r="CU12"/>
          <cell r="CV12"/>
          <cell r="CW12"/>
          <cell r="CX12"/>
          <cell r="CY12" t="str">
            <v>MetaPrepagoChip</v>
          </cell>
          <cell r="CZ12"/>
          <cell r="DA12"/>
          <cell r="DB12"/>
          <cell r="DC12" t="str">
            <v>PrepagoChip</v>
          </cell>
          <cell r="DD12"/>
          <cell r="DE12"/>
          <cell r="DF12" t="str">
            <v>MetaPrepagoPorta</v>
          </cell>
          <cell r="DG12"/>
          <cell r="DH12" t="str">
            <v>PrepagoPorta</v>
          </cell>
          <cell r="DI12"/>
          <cell r="DK12" t="str">
            <v>MetaTerminales</v>
          </cell>
          <cell r="DL12"/>
          <cell r="DM12"/>
          <cell r="DN12"/>
          <cell r="DO12"/>
          <cell r="DP12"/>
          <cell r="DQ12" t="str">
            <v>MetaRenovacionContado</v>
          </cell>
          <cell r="DR12" t="str">
            <v>MetaRenovacionFinanciado</v>
          </cell>
          <cell r="DS12" t="str">
            <v>MetaContratoContado</v>
          </cell>
          <cell r="DT12" t="str">
            <v>MetaContratoFinanciado</v>
          </cell>
          <cell r="DU12" t="str">
            <v>MetaPrepagoContado</v>
          </cell>
          <cell r="DV12" t="str">
            <v>MetaAccesorios</v>
          </cell>
          <cell r="DX12" t="str">
            <v>IncentivoTerminal</v>
          </cell>
          <cell r="EA12" t="str">
            <v>MetaAPP</v>
          </cell>
          <cell r="ED12" t="str">
            <v>MetaGestion</v>
          </cell>
          <cell r="EG12" t="str">
            <v>MetaPaqIlimitado</v>
          </cell>
          <cell r="EH12" t="str">
            <v>MetaUPPS</v>
          </cell>
          <cell r="EI12" t="str">
            <v>MetaSOS</v>
          </cell>
          <cell r="EJ12" t="str">
            <v>MetaSD</v>
          </cell>
          <cell r="EK12" t="str">
            <v>MetaMplay</v>
          </cell>
          <cell r="EL12" t="str">
            <v>MetaFutbol</v>
          </cell>
          <cell r="EM12" t="str">
            <v>MetaFox</v>
          </cell>
          <cell r="EN12" t="str">
            <v>MetaHBO</v>
          </cell>
        </row>
        <row r="13">
          <cell r="A13"/>
          <cell r="B13" t="str">
            <v>PRESUPUESTO JULIO 2022 SALESLAND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>
            <v>182252.67512099998</v>
          </cell>
          <cell r="U13"/>
          <cell r="V13"/>
          <cell r="W13">
            <v>3</v>
          </cell>
          <cell r="X13">
            <v>4.99</v>
          </cell>
          <cell r="Y13">
            <v>2.75</v>
          </cell>
          <cell r="Z13">
            <v>3.44</v>
          </cell>
          <cell r="AA13">
            <v>14.99</v>
          </cell>
          <cell r="AB13">
            <v>5.35</v>
          </cell>
          <cell r="AC13">
            <v>11.5</v>
          </cell>
          <cell r="AD13">
            <v>11.5</v>
          </cell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>
            <v>0.76666666666666672</v>
          </cell>
          <cell r="AR13">
            <v>0.5</v>
          </cell>
          <cell r="AS13">
            <v>0.6</v>
          </cell>
          <cell r="AT13"/>
          <cell r="AU13" t="str">
            <v>Baja Q Total Pos</v>
          </cell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 t="str">
            <v>Meta x Ejecutivo Antiguo</v>
          </cell>
          <cell r="BI13"/>
          <cell r="BJ13"/>
          <cell r="BK13"/>
          <cell r="BL13" t="str">
            <v>Meta x Ejecutivo 7 Dias Vacaciones</v>
          </cell>
          <cell r="BM13"/>
          <cell r="BN13"/>
          <cell r="BO13"/>
          <cell r="BP13" t="str">
            <v>Meta x Ejecutivo 15 Dias Vacaciones</v>
          </cell>
          <cell r="BQ13"/>
          <cell r="BR13"/>
          <cell r="BS13"/>
          <cell r="BT13" t="str">
            <v>Meta x Ejecutivo Nuevo</v>
          </cell>
          <cell r="BU13"/>
          <cell r="BV13"/>
          <cell r="BW13"/>
          <cell r="BX13">
            <v>0.11</v>
          </cell>
          <cell r="BY13"/>
          <cell r="BZ13"/>
          <cell r="CA13"/>
          <cell r="CB13"/>
          <cell r="CC13"/>
          <cell r="CD13"/>
          <cell r="CE13">
            <v>0.12</v>
          </cell>
          <cell r="CF13"/>
          <cell r="CG13"/>
          <cell r="CH13">
            <v>0.12</v>
          </cell>
          <cell r="CI13"/>
          <cell r="CJ13"/>
          <cell r="CK13"/>
          <cell r="CL13"/>
          <cell r="CM13"/>
          <cell r="CN13"/>
          <cell r="CO13">
            <v>0.12</v>
          </cell>
          <cell r="CP13"/>
          <cell r="CQ13"/>
          <cell r="CR13"/>
          <cell r="CS13"/>
          <cell r="CT13"/>
          <cell r="CU13"/>
          <cell r="CV13"/>
          <cell r="CW13"/>
          <cell r="CX13" t="str">
            <v>META PREPAGO</v>
          </cell>
          <cell r="CY13"/>
          <cell r="CZ13"/>
          <cell r="DA13"/>
          <cell r="DB13"/>
          <cell r="DC13"/>
          <cell r="DD13"/>
          <cell r="DE13" t="str">
            <v>META PREPAGO PORTABILIDAD</v>
          </cell>
          <cell r="DF13"/>
          <cell r="DG13"/>
          <cell r="DH13"/>
          <cell r="DI13"/>
          <cell r="DJ13" t="str">
            <v>META TERMINALES</v>
          </cell>
          <cell r="DK13"/>
          <cell r="DL13"/>
          <cell r="DM13"/>
          <cell r="DN13"/>
          <cell r="DO13"/>
          <cell r="DP13"/>
          <cell r="DQ13">
            <v>0.14000000000000001</v>
          </cell>
          <cell r="DR13">
            <v>0.08</v>
          </cell>
          <cell r="DS13">
            <v>7.0000000000000007E-2</v>
          </cell>
          <cell r="DT13">
            <v>0.04</v>
          </cell>
          <cell r="DU13">
            <v>0.06</v>
          </cell>
          <cell r="DV13">
            <v>0.06</v>
          </cell>
          <cell r="DW13">
            <v>0.03</v>
          </cell>
          <cell r="DX13"/>
          <cell r="DY13"/>
          <cell r="DZ13"/>
          <cell r="EA13"/>
          <cell r="EB13"/>
          <cell r="EC13"/>
          <cell r="ED13"/>
          <cell r="EE13"/>
          <cell r="EF13"/>
          <cell r="EG13"/>
          <cell r="EH13"/>
          <cell r="EI13"/>
          <cell r="EJ13"/>
          <cell r="EK13"/>
          <cell r="EL13"/>
          <cell r="EM13"/>
          <cell r="EN13"/>
        </row>
        <row r="14">
          <cell r="A14" t="str">
            <v>TIENDA</v>
          </cell>
          <cell r="B14" t="str">
            <v>Nombre de Plaza</v>
          </cell>
          <cell r="C14" t="str">
            <v>Altas</v>
          </cell>
          <cell r="D14" t="str">
            <v>Transfer</v>
          </cell>
          <cell r="E14" t="str">
            <v>Altas Dom</v>
          </cell>
          <cell r="F14" t="str">
            <v>Transfer Dom</v>
          </cell>
          <cell r="G14" t="str">
            <v>ALTAS</v>
          </cell>
          <cell r="H14" t="str">
            <v>Altas Dom</v>
          </cell>
          <cell r="I14" t="str">
            <v>TRANSF</v>
          </cell>
          <cell r="J14" t="str">
            <v>Transfer Dom</v>
          </cell>
          <cell r="K14" t="str">
            <v>TOTAL 
POS</v>
          </cell>
          <cell r="L14"/>
          <cell r="M14" t="str">
            <v>PORTABILIDAD</v>
          </cell>
          <cell r="N14" t="str">
            <v>PREPAGO 
LO</v>
          </cell>
          <cell r="O14" t="str">
            <v>UPSELL</v>
          </cell>
          <cell r="P14" t="str">
            <v>PREPAGO PORTABILIDAD Promo $3</v>
          </cell>
          <cell r="Q14" t="str">
            <v>PREPAGO
CON TERMINAL</v>
          </cell>
          <cell r="R14" t="str">
            <v>(Q) TERMINALES POS / ACC / TV</v>
          </cell>
          <cell r="S14" t="str">
            <v>(Q) 
RENOVACIONES</v>
          </cell>
          <cell r="T14" t="str">
            <v xml:space="preserve">TOTAL TERMINALES (PPCT + POS + REN) </v>
          </cell>
          <cell r="U14" t="str">
            <v>BLINDAJE</v>
          </cell>
          <cell r="V14" t="str">
            <v>RETENCION</v>
          </cell>
          <cell r="W14" t="str">
            <v>PAQUETES RECURRENTES VOZ</v>
          </cell>
          <cell r="X14" t="str">
            <v>UPPS+</v>
          </cell>
          <cell r="Y14" t="str">
            <v>SEGURIDAD DIGITAL</v>
          </cell>
          <cell r="Z14" t="str">
            <v>Asistencia SOS</v>
          </cell>
          <cell r="AA14" t="str">
            <v xml:space="preserve">TVI </v>
          </cell>
          <cell r="AB14" t="str">
            <v>Canal del Fútbol</v>
          </cell>
          <cell r="AC14" t="str">
            <v>FOX</v>
          </cell>
          <cell r="AD14" t="str">
            <v>HBO</v>
          </cell>
          <cell r="AE14" t="str">
            <v>Total TV</v>
          </cell>
          <cell r="AF14" t="str">
            <v>NPS</v>
          </cell>
          <cell r="AG14" t="str">
            <v>DESCARGA APP MOVISTAR</v>
          </cell>
          <cell r="AH14" t="str">
            <v>GESTION DE PARQUE</v>
          </cell>
          <cell r="AI14"/>
          <cell r="AJ14" t="str">
            <v>Altas Dom</v>
          </cell>
          <cell r="AK14" t="str">
            <v>Transfer Dom</v>
          </cell>
          <cell r="AL14" t="str">
            <v>Altas PC</v>
          </cell>
          <cell r="AM14" t="str">
            <v>Trasnfer PC</v>
          </cell>
          <cell r="AN14"/>
          <cell r="AO14" t="str">
            <v>Ejecutivos Tienda</v>
          </cell>
          <cell r="AP14" t="str">
            <v>Ejecutivo sin Vacaciones</v>
          </cell>
          <cell r="AQ14" t="str">
            <v>Ejecutivos 7 Dias Vacaciones</v>
          </cell>
          <cell r="AR14" t="str">
            <v>Ejecutivos 15 Dias Vacaciones</v>
          </cell>
          <cell r="AS14" t="str">
            <v>Ejecutivo Nuevo Tienda</v>
          </cell>
          <cell r="AT14" t="str">
            <v>Presupuesto Ejecutivo Tienda</v>
          </cell>
          <cell r="AU14" t="str">
            <v>Presupuesto Ejecutivo Sin Vacaciones</v>
          </cell>
          <cell r="AV14" t="str">
            <v>PPTO. Ejecutivo 7 Dias Vacaciones</v>
          </cell>
          <cell r="AW14" t="str">
            <v>PPTO. Ejecutivo 15 Dias Vacaciones</v>
          </cell>
          <cell r="AX14" t="str">
            <v>PPTO. Ejecutivo Nuevo Tienda</v>
          </cell>
          <cell r="AY14" t="str">
            <v>Baja Ejecutivos Q Total Pos</v>
          </cell>
          <cell r="AZ14" t="str">
            <v>Baja Ejecutivos Altas Dom</v>
          </cell>
          <cell r="BA14" t="str">
            <v>Baja Ejecutivos Transfer Dom</v>
          </cell>
          <cell r="BB14" t="str">
            <v>% Altas Dom</v>
          </cell>
          <cell r="BC14" t="str">
            <v>% Transfer Dom</v>
          </cell>
          <cell r="BD14" t="str">
            <v>% Domicilliado</v>
          </cell>
          <cell r="BE14"/>
          <cell r="BF14" t="str">
            <v>META TARIFA BASICA</v>
          </cell>
          <cell r="BG14"/>
          <cell r="BH14" t="str">
            <v>Altas Dom</v>
          </cell>
          <cell r="BI14" t="str">
            <v>Transfer Dom</v>
          </cell>
          <cell r="BJ14" t="str">
            <v>Total Dom</v>
          </cell>
          <cell r="BK14"/>
          <cell r="BL14" t="str">
            <v>Altas Dom</v>
          </cell>
          <cell r="BM14" t="str">
            <v>Transfer Dom</v>
          </cell>
          <cell r="BN14" t="str">
            <v>Total Dom</v>
          </cell>
          <cell r="BO14"/>
          <cell r="BP14" t="str">
            <v>Altas Dom</v>
          </cell>
          <cell r="BQ14" t="str">
            <v>Transfer Dom</v>
          </cell>
          <cell r="BR14" t="str">
            <v>Total Dom</v>
          </cell>
          <cell r="BS14"/>
          <cell r="BT14" t="str">
            <v>Altas Dom</v>
          </cell>
          <cell r="BU14" t="str">
            <v>Transfer Dom</v>
          </cell>
          <cell r="BV14" t="str">
            <v>Total Dom</v>
          </cell>
          <cell r="BW14"/>
          <cell r="BX14" t="str">
            <v>Cupo SLE Planes  11,42 Tienda</v>
          </cell>
          <cell r="BY14" t="str">
            <v>Cupo SLE Planes 11,42 Ejecutivo Tienda</v>
          </cell>
          <cell r="BZ14" t="str">
            <v>Cupo Final SLE Planes 11,42 Ejecutivo Sin Vac.</v>
          </cell>
          <cell r="CA14" t="str">
            <v>Cupo Final SLE Planes 11,42 Ejecutivo 7 dias</v>
          </cell>
          <cell r="CB14" t="str">
            <v>Cupo Final SLE Planes 11,42 Ejecutivo 15 dias</v>
          </cell>
          <cell r="CC14" t="str">
            <v>Cupo Final SLE Planes 11,42 Ejecutivo Nuevo</v>
          </cell>
          <cell r="CD14" t="str">
            <v>Cupo Final SLE Planes  11,42 Tienda</v>
          </cell>
          <cell r="CE14" t="str">
            <v>Cupo Final Plan  11,42 Hibrido</v>
          </cell>
          <cell r="CF14" t="str">
            <v>Cupo Final Total 11,42</v>
          </cell>
          <cell r="CG14"/>
          <cell r="CH14" t="str">
            <v>Cupo  SLE Planes Televentas</v>
          </cell>
          <cell r="CI14" t="str">
            <v>Cupo SLE Planes Tele Ejecutivo</v>
          </cell>
          <cell r="CJ14" t="str">
            <v>Cupo Final SLE Planes Tele Ejecutivo</v>
          </cell>
          <cell r="CK14" t="str">
            <v>Cupo Final SLE Planes Tele Ejecutivo 7 dias</v>
          </cell>
          <cell r="CL14" t="str">
            <v>Cupo Final SLE Planes Tele Ejecutivo 15 dias</v>
          </cell>
          <cell r="CM14" t="str">
            <v>Cupo Final SLE Planes Tele Ejecutivo Nuevo</v>
          </cell>
          <cell r="CN14" t="str">
            <v>Cupo Final SLE Planes Tele Tienda</v>
          </cell>
          <cell r="CO14" t="str">
            <v>Cupo Final Plan Televenta Hibrido</v>
          </cell>
          <cell r="CP14" t="str">
            <v>Cupo Final Total Televentas</v>
          </cell>
          <cell r="CQ14"/>
          <cell r="CR14" t="str">
            <v>Meta SLE Upsell Ejecutivo Antiguo Unitario</v>
          </cell>
          <cell r="CS14" t="str">
            <v>Meta SLE Upsell Ejecutivo 7 dias</v>
          </cell>
          <cell r="CT14" t="str">
            <v>Meta SLE Upsell Ejecutivo 15 dias</v>
          </cell>
          <cell r="CU14" t="str">
            <v>Meta SLE Upsell Ejecutivo Nuevo Unitario</v>
          </cell>
          <cell r="CV14" t="str">
            <v>Meta Final SLE Upsell</v>
          </cell>
          <cell r="CW14"/>
          <cell r="CX14" t="str">
            <v>Meta SLE Prepago Ejecutivo Unitario</v>
          </cell>
          <cell r="CY14" t="str">
            <v>Meta Final SLE Prepago Ejecutivo Antiguo</v>
          </cell>
          <cell r="CZ14" t="str">
            <v>Meta Final SLE Prepago Ejecutivo 7 dias</v>
          </cell>
          <cell r="DA14" t="str">
            <v>Meta Final SLE Prepago Ejecutivo 15 dias</v>
          </cell>
          <cell r="DB14" t="str">
            <v>Meta Final SLE Prepago Ejecutivo Nuevo</v>
          </cell>
          <cell r="DC14" t="str">
            <v>Meta Final SLE Prepago</v>
          </cell>
          <cell r="DD14"/>
          <cell r="DE14" t="str">
            <v>Meta SLE Prepago Ejecutivo Unitario</v>
          </cell>
          <cell r="DF14" t="str">
            <v>Meta Final SLE Prepago Ejecutivo Antiguo</v>
          </cell>
          <cell r="DG14" t="str">
            <v>Meta Final SLE Prepago Ejecutivo Nuevo</v>
          </cell>
          <cell r="DH14" t="str">
            <v>Meta Final SLE Prepago</v>
          </cell>
          <cell r="DI14"/>
          <cell r="DJ14" t="str">
            <v>Meta SLE Terminales Ejecutivo Unitario</v>
          </cell>
          <cell r="DK14" t="str">
            <v>Meta Final SLE Terminales Ejecutivo Antiguo</v>
          </cell>
          <cell r="DL14" t="str">
            <v>Meta Final SLE Terminales Ejecutivo 7 dias</v>
          </cell>
          <cell r="DM14" t="str">
            <v>Meta Final SLE Terminales Ejecutivo 15 dias</v>
          </cell>
          <cell r="DN14" t="str">
            <v>Meta Final SLE Terminales Ejecutivo Nuevo</v>
          </cell>
          <cell r="DO14" t="str">
            <v>Meta Final SLE Terminales</v>
          </cell>
          <cell r="DP14"/>
          <cell r="DQ14" t="str">
            <v>Renovacion Contado</v>
          </cell>
          <cell r="DR14" t="str">
            <v>Renovacion Financiado</v>
          </cell>
          <cell r="DS14" t="str">
            <v>Contrato Contado</v>
          </cell>
          <cell r="DT14" t="str">
            <v>Contrato Financiado</v>
          </cell>
          <cell r="DU14" t="str">
            <v>Prepago Contado</v>
          </cell>
          <cell r="DV14" t="str">
            <v>Accesorios</v>
          </cell>
          <cell r="DW14" t="str">
            <v>Television</v>
          </cell>
          <cell r="DX14" t="str">
            <v>Total</v>
          </cell>
          <cell r="DY14"/>
          <cell r="DZ14" t="str">
            <v>DESCARGA APP MOVI UNITARIO</v>
          </cell>
          <cell r="EA14" t="str">
            <v>META DESCARGA APP MOVI</v>
          </cell>
          <cell r="EB14" t="str">
            <v>Meta Final Descarga APP</v>
          </cell>
          <cell r="EC14"/>
          <cell r="ED14" t="str">
            <v>META GESTION PARQUE</v>
          </cell>
          <cell r="EE14" t="str">
            <v>Meta Final Gestion Parque</v>
          </cell>
          <cell r="EF14"/>
          <cell r="EG14" t="str">
            <v>PAQUETES RECURRENTES VOZ</v>
          </cell>
          <cell r="EH14" t="str">
            <v>UPSS+</v>
          </cell>
          <cell r="EI14" t="str">
            <v>Asistencia SOS</v>
          </cell>
          <cell r="EJ14" t="str">
            <v>Seguridad Digital</v>
          </cell>
          <cell r="EK14" t="str">
            <v xml:space="preserve">TVI </v>
          </cell>
          <cell r="EL14" t="str">
            <v>Canal del Fútbol</v>
          </cell>
          <cell r="EM14" t="str">
            <v>FOX</v>
          </cell>
          <cell r="EN14" t="str">
            <v>HBO</v>
          </cell>
        </row>
        <row r="15">
          <cell r="A15" t="str">
            <v>AMERICA</v>
          </cell>
          <cell r="B15" t="str">
            <v>AE SALESLAND PLAZA DE LAS AMERICAS</v>
          </cell>
          <cell r="C15">
            <v>0.7</v>
          </cell>
          <cell r="D15">
            <v>0.3</v>
          </cell>
          <cell r="E15">
            <v>0.8</v>
          </cell>
          <cell r="F15">
            <v>0.85</v>
          </cell>
          <cell r="G15">
            <v>140</v>
          </cell>
          <cell r="H15">
            <v>112</v>
          </cell>
          <cell r="I15">
            <v>60</v>
          </cell>
          <cell r="J15">
            <v>51</v>
          </cell>
          <cell r="K15">
            <v>200</v>
          </cell>
          <cell r="L15"/>
          <cell r="M15">
            <v>20</v>
          </cell>
          <cell r="N15">
            <v>91.228931104780116</v>
          </cell>
          <cell r="O15">
            <v>220</v>
          </cell>
          <cell r="P15">
            <v>0</v>
          </cell>
          <cell r="Q15">
            <v>3080</v>
          </cell>
          <cell r="R15">
            <v>0</v>
          </cell>
          <cell r="S15">
            <v>0</v>
          </cell>
          <cell r="T15">
            <v>25300</v>
          </cell>
          <cell r="U15">
            <v>5.0167224080267552</v>
          </cell>
          <cell r="V15">
            <v>0.8</v>
          </cell>
          <cell r="W15">
            <v>120</v>
          </cell>
          <cell r="X15">
            <v>49.900000000000006</v>
          </cell>
          <cell r="Y15">
            <v>13.75</v>
          </cell>
          <cell r="Z15">
            <v>17.2</v>
          </cell>
          <cell r="AA15">
            <v>74.95</v>
          </cell>
          <cell r="AB15">
            <v>26.75</v>
          </cell>
          <cell r="AC15">
            <v>0</v>
          </cell>
          <cell r="AD15">
            <v>0</v>
          </cell>
          <cell r="AE15">
            <v>101.7</v>
          </cell>
          <cell r="AF15">
            <v>0.7</v>
          </cell>
          <cell r="AG15">
            <v>30</v>
          </cell>
          <cell r="AH15">
            <v>0</v>
          </cell>
          <cell r="AI15"/>
          <cell r="AJ15">
            <v>112</v>
          </cell>
          <cell r="AK15">
            <v>51</v>
          </cell>
          <cell r="AL15">
            <v>19</v>
          </cell>
          <cell r="AM15">
            <v>18</v>
          </cell>
          <cell r="AN15"/>
          <cell r="AO15">
            <v>5</v>
          </cell>
          <cell r="AP15">
            <v>5</v>
          </cell>
          <cell r="AQ15">
            <v>0</v>
          </cell>
          <cell r="AR15">
            <v>0</v>
          </cell>
          <cell r="AS15">
            <v>0</v>
          </cell>
          <cell r="AT15">
            <v>40</v>
          </cell>
          <cell r="AU15">
            <v>40</v>
          </cell>
          <cell r="AV15">
            <v>31</v>
          </cell>
          <cell r="AW15">
            <v>20</v>
          </cell>
          <cell r="AX15">
            <v>24</v>
          </cell>
          <cell r="AY15">
            <v>200</v>
          </cell>
          <cell r="AZ15">
            <v>112</v>
          </cell>
          <cell r="BA15">
            <v>51</v>
          </cell>
          <cell r="BB15">
            <v>0.55999999999999994</v>
          </cell>
          <cell r="BC15">
            <v>0.255</v>
          </cell>
          <cell r="BD15">
            <v>0.81499999999999995</v>
          </cell>
          <cell r="BE15"/>
          <cell r="BF15">
            <v>15.5</v>
          </cell>
          <cell r="BG15"/>
          <cell r="BH15">
            <v>22.4</v>
          </cell>
          <cell r="BI15">
            <v>10.199999999999999</v>
          </cell>
          <cell r="BJ15">
            <v>32.599999999999994</v>
          </cell>
          <cell r="BK15"/>
          <cell r="BL15">
            <v>17.36</v>
          </cell>
          <cell r="BM15">
            <v>7.9050000000000002</v>
          </cell>
          <cell r="BN15">
            <v>25.265000000000001</v>
          </cell>
          <cell r="BO15"/>
          <cell r="BP15">
            <v>11.2</v>
          </cell>
          <cell r="BQ15">
            <v>5.0999999999999996</v>
          </cell>
          <cell r="BR15">
            <v>16.299999999999997</v>
          </cell>
          <cell r="BS15"/>
          <cell r="BT15">
            <v>13.439999999999998</v>
          </cell>
          <cell r="BU15">
            <v>6.12</v>
          </cell>
          <cell r="BV15">
            <v>19.559999999999999</v>
          </cell>
          <cell r="BW15"/>
          <cell r="BX15">
            <v>30</v>
          </cell>
          <cell r="BY15">
            <v>6</v>
          </cell>
          <cell r="BZ15">
            <v>6</v>
          </cell>
          <cell r="CA15">
            <v>5</v>
          </cell>
          <cell r="CB15">
            <v>3</v>
          </cell>
          <cell r="CC15">
            <v>3</v>
          </cell>
          <cell r="CD15">
            <v>30</v>
          </cell>
          <cell r="CE15">
            <v>4</v>
          </cell>
          <cell r="CF15">
            <v>34</v>
          </cell>
          <cell r="CG15"/>
          <cell r="CH15">
            <v>30</v>
          </cell>
          <cell r="CI15">
            <v>6</v>
          </cell>
          <cell r="CJ15">
            <v>6</v>
          </cell>
          <cell r="CK15">
            <v>5</v>
          </cell>
          <cell r="CL15">
            <v>3</v>
          </cell>
          <cell r="CM15">
            <v>3</v>
          </cell>
          <cell r="CN15">
            <v>30</v>
          </cell>
          <cell r="CO15">
            <v>4</v>
          </cell>
          <cell r="CP15">
            <v>34</v>
          </cell>
          <cell r="CQ15"/>
          <cell r="CR15">
            <v>44</v>
          </cell>
          <cell r="CS15">
            <v>0</v>
          </cell>
          <cell r="CT15">
            <v>0</v>
          </cell>
          <cell r="CU15">
            <v>0</v>
          </cell>
          <cell r="CV15">
            <v>220</v>
          </cell>
          <cell r="CW15"/>
          <cell r="CX15">
            <v>18.245786220956024</v>
          </cell>
          <cell r="CY15">
            <v>18</v>
          </cell>
          <cell r="CZ15">
            <v>0</v>
          </cell>
          <cell r="DA15">
            <v>0</v>
          </cell>
          <cell r="DB15">
            <v>0</v>
          </cell>
          <cell r="DC15">
            <v>90</v>
          </cell>
          <cell r="DD15"/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/>
          <cell r="DJ15">
            <v>5676</v>
          </cell>
          <cell r="DK15">
            <v>5676</v>
          </cell>
          <cell r="DL15">
            <v>0</v>
          </cell>
          <cell r="DM15">
            <v>0</v>
          </cell>
          <cell r="DN15">
            <v>0</v>
          </cell>
          <cell r="DO15">
            <v>28380</v>
          </cell>
          <cell r="DP15"/>
          <cell r="DQ15">
            <v>12699.607843137255</v>
          </cell>
          <cell r="DR15">
            <v>6647.4509803921574</v>
          </cell>
          <cell r="DS15">
            <v>3869.4117647058824</v>
          </cell>
          <cell r="DT15">
            <v>2083.5294117647059</v>
          </cell>
          <cell r="DU15">
            <v>3080</v>
          </cell>
          <cell r="DV15">
            <v>0</v>
          </cell>
          <cell r="DW15">
            <v>0</v>
          </cell>
          <cell r="DX15">
            <v>28380</v>
          </cell>
          <cell r="DY15"/>
          <cell r="DZ15">
            <v>6</v>
          </cell>
          <cell r="EA15">
            <v>6</v>
          </cell>
          <cell r="EB15">
            <v>30</v>
          </cell>
          <cell r="EC15"/>
          <cell r="ED15">
            <v>0</v>
          </cell>
          <cell r="EE15">
            <v>0</v>
          </cell>
          <cell r="EF15"/>
          <cell r="EG15">
            <v>8</v>
          </cell>
          <cell r="EH15">
            <v>2</v>
          </cell>
          <cell r="EI15">
            <v>1</v>
          </cell>
          <cell r="EJ15">
            <v>1</v>
          </cell>
          <cell r="EK15">
            <v>1</v>
          </cell>
          <cell r="EL15">
            <v>1</v>
          </cell>
          <cell r="EM15">
            <v>0</v>
          </cell>
          <cell r="EN15">
            <v>0</v>
          </cell>
        </row>
        <row r="16">
          <cell r="A16" t="str">
            <v>CONDADO</v>
          </cell>
          <cell r="B16" t="str">
            <v>AE SALESLAND EL CONDADO</v>
          </cell>
          <cell r="C16">
            <v>0.6</v>
          </cell>
          <cell r="D16">
            <v>0.4</v>
          </cell>
          <cell r="E16">
            <v>0.8</v>
          </cell>
          <cell r="F16">
            <v>0.85</v>
          </cell>
          <cell r="G16">
            <v>165</v>
          </cell>
          <cell r="H16">
            <v>132</v>
          </cell>
          <cell r="I16">
            <v>110</v>
          </cell>
          <cell r="J16">
            <v>94</v>
          </cell>
          <cell r="K16">
            <v>275</v>
          </cell>
          <cell r="L16"/>
          <cell r="M16">
            <v>20</v>
          </cell>
          <cell r="N16">
            <v>79.825314716682598</v>
          </cell>
          <cell r="O16">
            <v>460</v>
          </cell>
          <cell r="P16">
            <v>0</v>
          </cell>
          <cell r="Q16">
            <v>5500</v>
          </cell>
          <cell r="R16">
            <v>0</v>
          </cell>
          <cell r="S16">
            <v>0</v>
          </cell>
          <cell r="T16">
            <v>34233.375120999997</v>
          </cell>
          <cell r="U16">
            <v>1.6722408026755853</v>
          </cell>
          <cell r="V16">
            <v>0.8</v>
          </cell>
          <cell r="W16">
            <v>120</v>
          </cell>
          <cell r="X16">
            <v>74.850000000000009</v>
          </cell>
          <cell r="Y16">
            <v>68.75</v>
          </cell>
          <cell r="Z16">
            <v>17.2</v>
          </cell>
          <cell r="AA16">
            <v>74.95</v>
          </cell>
          <cell r="AB16">
            <v>26.75</v>
          </cell>
          <cell r="AC16">
            <v>0</v>
          </cell>
          <cell r="AD16">
            <v>0</v>
          </cell>
          <cell r="AE16">
            <v>101.7</v>
          </cell>
          <cell r="AF16">
            <v>0.7</v>
          </cell>
          <cell r="AG16">
            <v>38</v>
          </cell>
          <cell r="AH16">
            <v>0</v>
          </cell>
          <cell r="AI16"/>
          <cell r="AJ16">
            <v>153.6</v>
          </cell>
          <cell r="AK16">
            <v>108.80000000000001</v>
          </cell>
          <cell r="AL16">
            <v>7</v>
          </cell>
          <cell r="AM16">
            <v>6.5999999999999943</v>
          </cell>
          <cell r="AN16"/>
          <cell r="AO16">
            <v>5</v>
          </cell>
          <cell r="AP16">
            <v>3</v>
          </cell>
          <cell r="AQ16">
            <v>2</v>
          </cell>
          <cell r="AR16">
            <v>0</v>
          </cell>
          <cell r="AS16">
            <v>0</v>
          </cell>
          <cell r="AT16">
            <v>55</v>
          </cell>
          <cell r="AU16">
            <v>64</v>
          </cell>
          <cell r="AV16">
            <v>42</v>
          </cell>
          <cell r="AW16">
            <v>28</v>
          </cell>
          <cell r="AX16">
            <v>33</v>
          </cell>
          <cell r="AY16">
            <v>276</v>
          </cell>
          <cell r="AZ16">
            <v>132</v>
          </cell>
          <cell r="BA16">
            <v>94</v>
          </cell>
          <cell r="BB16">
            <v>0.48</v>
          </cell>
          <cell r="BC16">
            <v>0.34</v>
          </cell>
          <cell r="BD16">
            <v>0.82000000000000006</v>
          </cell>
          <cell r="BE16"/>
          <cell r="BF16">
            <v>15.5</v>
          </cell>
          <cell r="BG16"/>
          <cell r="BH16">
            <v>30.72</v>
          </cell>
          <cell r="BI16">
            <v>21.76</v>
          </cell>
          <cell r="BJ16">
            <v>52.480000000000004</v>
          </cell>
          <cell r="BK16"/>
          <cell r="BL16">
            <v>20.16</v>
          </cell>
          <cell r="BM16">
            <v>14.280000000000001</v>
          </cell>
          <cell r="BN16">
            <v>34.44</v>
          </cell>
          <cell r="BO16"/>
          <cell r="BP16">
            <v>13.44</v>
          </cell>
          <cell r="BQ16">
            <v>9.5200000000000014</v>
          </cell>
          <cell r="BR16">
            <v>22.96</v>
          </cell>
          <cell r="BS16"/>
          <cell r="BT16">
            <v>15.84</v>
          </cell>
          <cell r="BU16">
            <v>11.22</v>
          </cell>
          <cell r="BV16">
            <v>27.060000000000002</v>
          </cell>
          <cell r="BW16"/>
          <cell r="BX16">
            <v>30</v>
          </cell>
          <cell r="BY16">
            <v>6</v>
          </cell>
          <cell r="BZ16">
            <v>6</v>
          </cell>
          <cell r="CA16">
            <v>5</v>
          </cell>
          <cell r="CB16">
            <v>3</v>
          </cell>
          <cell r="CC16">
            <v>3</v>
          </cell>
          <cell r="CD16">
            <v>28</v>
          </cell>
          <cell r="CE16">
            <v>8</v>
          </cell>
          <cell r="CF16">
            <v>36</v>
          </cell>
          <cell r="CG16"/>
          <cell r="CH16">
            <v>30</v>
          </cell>
          <cell r="CI16">
            <v>6</v>
          </cell>
          <cell r="CJ16">
            <v>6</v>
          </cell>
          <cell r="CK16">
            <v>5</v>
          </cell>
          <cell r="CL16">
            <v>3</v>
          </cell>
          <cell r="CM16">
            <v>3</v>
          </cell>
          <cell r="CN16">
            <v>28</v>
          </cell>
          <cell r="CO16">
            <v>8</v>
          </cell>
          <cell r="CP16">
            <v>36</v>
          </cell>
          <cell r="CQ16"/>
          <cell r="CR16">
            <v>101.47058823529412</v>
          </cell>
          <cell r="CS16">
            <v>77.794117647058826</v>
          </cell>
          <cell r="CT16">
            <v>0</v>
          </cell>
          <cell r="CU16">
            <v>0</v>
          </cell>
          <cell r="CV16">
            <v>460</v>
          </cell>
          <cell r="CW16"/>
          <cell r="CX16">
            <v>17.608525305150575</v>
          </cell>
          <cell r="CY16">
            <v>18</v>
          </cell>
          <cell r="CZ16">
            <v>13</v>
          </cell>
          <cell r="DA16">
            <v>0</v>
          </cell>
          <cell r="DB16">
            <v>0</v>
          </cell>
          <cell r="DC16">
            <v>80</v>
          </cell>
          <cell r="DD16"/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/>
          <cell r="DJ16">
            <v>8764.7151002205883</v>
          </cell>
          <cell r="DK16">
            <v>8764.7151002205883</v>
          </cell>
          <cell r="DL16">
            <v>6719.614910169118</v>
          </cell>
          <cell r="DM16">
            <v>0</v>
          </cell>
          <cell r="DN16">
            <v>0</v>
          </cell>
          <cell r="DO16">
            <v>39733.375121000005</v>
          </cell>
          <cell r="DP16"/>
          <cell r="DQ16">
            <v>17183.811825443136</v>
          </cell>
          <cell r="DR16">
            <v>8994.6515023803913</v>
          </cell>
          <cell r="DS16">
            <v>5235.6926655647057</v>
          </cell>
          <cell r="DT16">
            <v>2819.2191276117646</v>
          </cell>
          <cell r="DU16">
            <v>5500</v>
          </cell>
          <cell r="DV16">
            <v>0</v>
          </cell>
          <cell r="DW16">
            <v>0</v>
          </cell>
          <cell r="DX16">
            <v>39733.375120999997</v>
          </cell>
          <cell r="DY16"/>
          <cell r="DZ16">
            <v>7.6</v>
          </cell>
          <cell r="EA16">
            <v>8</v>
          </cell>
          <cell r="EB16">
            <v>40</v>
          </cell>
          <cell r="EC16"/>
          <cell r="ED16">
            <v>0</v>
          </cell>
          <cell r="EE16">
            <v>0</v>
          </cell>
          <cell r="EF16"/>
          <cell r="EG16">
            <v>8</v>
          </cell>
          <cell r="EH16">
            <v>3.0000000000000004</v>
          </cell>
          <cell r="EI16">
            <v>1</v>
          </cell>
          <cell r="EJ16">
            <v>5</v>
          </cell>
          <cell r="EK16">
            <v>1</v>
          </cell>
          <cell r="EL16">
            <v>1</v>
          </cell>
          <cell r="EM16">
            <v>0</v>
          </cell>
          <cell r="EN16">
            <v>0</v>
          </cell>
        </row>
        <row r="17">
          <cell r="A17" t="str">
            <v>CUENCA CENTRO</v>
          </cell>
          <cell r="B17" t="str">
            <v>AE SALESLAND CUENCA CENTRO</v>
          </cell>
          <cell r="C17">
            <v>0.55000000000000004</v>
          </cell>
          <cell r="D17">
            <v>0.45</v>
          </cell>
          <cell r="E17">
            <v>0.75</v>
          </cell>
          <cell r="F17">
            <v>0.7</v>
          </cell>
          <cell r="G17">
            <v>115</v>
          </cell>
          <cell r="H17">
            <v>86</v>
          </cell>
          <cell r="I17">
            <v>94</v>
          </cell>
          <cell r="J17">
            <v>66</v>
          </cell>
          <cell r="K17">
            <v>209.00000000000003</v>
          </cell>
          <cell r="L17"/>
          <cell r="M17">
            <v>24</v>
          </cell>
          <cell r="N17">
            <v>125.43978026907267</v>
          </cell>
          <cell r="O17">
            <v>231</v>
          </cell>
          <cell r="P17">
            <v>0</v>
          </cell>
          <cell r="Q17">
            <v>3520</v>
          </cell>
          <cell r="R17">
            <v>0</v>
          </cell>
          <cell r="S17">
            <v>0</v>
          </cell>
          <cell r="T17">
            <v>17119.3</v>
          </cell>
          <cell r="U17">
            <v>6.6889632107023411</v>
          </cell>
          <cell r="V17">
            <v>0.8</v>
          </cell>
          <cell r="W17">
            <v>108</v>
          </cell>
          <cell r="X17">
            <v>59.88</v>
          </cell>
          <cell r="Y17">
            <v>66</v>
          </cell>
          <cell r="Z17">
            <v>20.64</v>
          </cell>
          <cell r="AA17">
            <v>89.94</v>
          </cell>
          <cell r="AB17">
            <v>32.099999999999994</v>
          </cell>
          <cell r="AC17">
            <v>0</v>
          </cell>
          <cell r="AD17">
            <v>0</v>
          </cell>
          <cell r="AE17">
            <v>122.03999999999999</v>
          </cell>
          <cell r="AF17">
            <v>0.7</v>
          </cell>
          <cell r="AG17">
            <v>28</v>
          </cell>
          <cell r="AH17">
            <v>0</v>
          </cell>
          <cell r="AI17"/>
          <cell r="AJ17">
            <v>99</v>
          </cell>
          <cell r="AK17">
            <v>75.599999999999994</v>
          </cell>
          <cell r="AL17">
            <v>17</v>
          </cell>
          <cell r="AM17">
            <v>16.400000000000006</v>
          </cell>
          <cell r="AN17"/>
          <cell r="AO17">
            <v>6</v>
          </cell>
          <cell r="AP17">
            <v>4</v>
          </cell>
          <cell r="AQ17">
            <v>1</v>
          </cell>
          <cell r="AR17">
            <v>0</v>
          </cell>
          <cell r="AS17">
            <v>1</v>
          </cell>
          <cell r="AT17">
            <v>35</v>
          </cell>
          <cell r="AU17">
            <v>40</v>
          </cell>
          <cell r="AV17">
            <v>27</v>
          </cell>
          <cell r="AW17">
            <v>18</v>
          </cell>
          <cell r="AX17">
            <v>21</v>
          </cell>
          <cell r="AY17">
            <v>208</v>
          </cell>
          <cell r="AZ17">
            <v>86</v>
          </cell>
          <cell r="BA17">
            <v>66</v>
          </cell>
          <cell r="BB17">
            <v>0.41250000000000003</v>
          </cell>
          <cell r="BC17">
            <v>0.315</v>
          </cell>
          <cell r="BD17">
            <v>0.72750000000000004</v>
          </cell>
          <cell r="BE17"/>
          <cell r="BF17">
            <v>15.5</v>
          </cell>
          <cell r="BG17"/>
          <cell r="BH17">
            <v>16.5</v>
          </cell>
          <cell r="BI17">
            <v>12.6</v>
          </cell>
          <cell r="BJ17">
            <v>29.1</v>
          </cell>
          <cell r="BK17"/>
          <cell r="BL17">
            <v>11.137500000000001</v>
          </cell>
          <cell r="BM17">
            <v>8.5050000000000008</v>
          </cell>
          <cell r="BN17">
            <v>19.642500000000002</v>
          </cell>
          <cell r="BO17"/>
          <cell r="BP17">
            <v>7.4250000000000007</v>
          </cell>
          <cell r="BQ17">
            <v>5.67</v>
          </cell>
          <cell r="BR17">
            <v>13.095000000000001</v>
          </cell>
          <cell r="BS17"/>
          <cell r="BT17">
            <v>8.6625000000000014</v>
          </cell>
          <cell r="BU17">
            <v>6.6150000000000002</v>
          </cell>
          <cell r="BV17">
            <v>15.277500000000002</v>
          </cell>
          <cell r="BW17"/>
          <cell r="BX17">
            <v>30</v>
          </cell>
          <cell r="BY17">
            <v>5</v>
          </cell>
          <cell r="BZ17">
            <v>5</v>
          </cell>
          <cell r="CA17">
            <v>4</v>
          </cell>
          <cell r="CB17">
            <v>3</v>
          </cell>
          <cell r="CC17">
            <v>3</v>
          </cell>
          <cell r="CD17">
            <v>27</v>
          </cell>
          <cell r="CE17">
            <v>0</v>
          </cell>
          <cell r="CF17">
            <v>27</v>
          </cell>
          <cell r="CG17"/>
          <cell r="CH17">
            <v>30</v>
          </cell>
          <cell r="CI17">
            <v>5</v>
          </cell>
          <cell r="CJ17">
            <v>5</v>
          </cell>
          <cell r="CK17">
            <v>4</v>
          </cell>
          <cell r="CL17">
            <v>3</v>
          </cell>
          <cell r="CM17">
            <v>3</v>
          </cell>
          <cell r="CN17">
            <v>27</v>
          </cell>
          <cell r="CO17">
            <v>0</v>
          </cell>
          <cell r="CP17">
            <v>27</v>
          </cell>
          <cell r="CQ17"/>
          <cell r="CR17">
            <v>48.46153846153846</v>
          </cell>
          <cell r="CS17">
            <v>37.153846153846153</v>
          </cell>
          <cell r="CT17">
            <v>0</v>
          </cell>
          <cell r="CU17">
            <v>29.076923076923073</v>
          </cell>
          <cell r="CV17">
            <v>260.07692307692309</v>
          </cell>
          <cell r="CW17"/>
          <cell r="CX17">
            <v>26.316037818686574</v>
          </cell>
          <cell r="CY17">
            <v>26</v>
          </cell>
          <cell r="CZ17">
            <v>20</v>
          </cell>
          <cell r="DA17">
            <v>0</v>
          </cell>
          <cell r="DB17">
            <v>16</v>
          </cell>
          <cell r="DC17">
            <v>140</v>
          </cell>
          <cell r="DD17"/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/>
          <cell r="DJ17">
            <v>4329.9230769230771</v>
          </cell>
          <cell r="DK17">
            <v>4329.9230769230771</v>
          </cell>
          <cell r="DL17">
            <v>3319.6076923076926</v>
          </cell>
          <cell r="DM17">
            <v>0</v>
          </cell>
          <cell r="DN17">
            <v>2597.9538461538464</v>
          </cell>
          <cell r="DO17">
            <v>23237.25384615385</v>
          </cell>
          <cell r="DP17"/>
          <cell r="DQ17">
            <v>8593.2172549019597</v>
          </cell>
          <cell r="DR17">
            <v>4498.0121568627446</v>
          </cell>
          <cell r="DS17">
            <v>2618.2458823529414</v>
          </cell>
          <cell r="DT17">
            <v>1409.8247058823529</v>
          </cell>
          <cell r="DU17">
            <v>3520</v>
          </cell>
          <cell r="DV17">
            <v>0</v>
          </cell>
          <cell r="DW17">
            <v>0</v>
          </cell>
          <cell r="DX17">
            <v>20639.3</v>
          </cell>
          <cell r="DY17"/>
          <cell r="DZ17">
            <v>4.666666666666667</v>
          </cell>
          <cell r="EA17">
            <v>5</v>
          </cell>
          <cell r="EB17">
            <v>30</v>
          </cell>
          <cell r="EC17"/>
          <cell r="ED17">
            <v>0</v>
          </cell>
          <cell r="EE17">
            <v>0</v>
          </cell>
          <cell r="EF17"/>
          <cell r="EG17">
            <v>6</v>
          </cell>
          <cell r="EH17">
            <v>2</v>
          </cell>
          <cell r="EI17">
            <v>1</v>
          </cell>
          <cell r="EJ17">
            <v>4</v>
          </cell>
          <cell r="EK17">
            <v>1</v>
          </cell>
          <cell r="EL17">
            <v>0.99999999999999989</v>
          </cell>
          <cell r="EM17">
            <v>0</v>
          </cell>
          <cell r="EN17">
            <v>0</v>
          </cell>
        </row>
        <row r="18">
          <cell r="A18" t="str">
            <v>CUENCA REMIGIO</v>
          </cell>
          <cell r="B18" t="str">
            <v>AE SALESLAND CUENCA REMIGIO</v>
          </cell>
          <cell r="C18">
            <v>0.55000000000000004</v>
          </cell>
          <cell r="D18">
            <v>0.45</v>
          </cell>
          <cell r="E18">
            <v>0.8</v>
          </cell>
          <cell r="F18">
            <v>0.75</v>
          </cell>
          <cell r="G18">
            <v>115</v>
          </cell>
          <cell r="H18">
            <v>92</v>
          </cell>
          <cell r="I18">
            <v>94</v>
          </cell>
          <cell r="J18">
            <v>71</v>
          </cell>
          <cell r="K18">
            <v>209.00000000000003</v>
          </cell>
          <cell r="L18"/>
          <cell r="M18">
            <v>20</v>
          </cell>
          <cell r="N18">
            <v>102.63254749287763</v>
          </cell>
          <cell r="O18">
            <v>253</v>
          </cell>
          <cell r="P18">
            <v>0</v>
          </cell>
          <cell r="Q18">
            <v>2200</v>
          </cell>
          <cell r="R18">
            <v>0</v>
          </cell>
          <cell r="S18">
            <v>0</v>
          </cell>
          <cell r="T18">
            <v>17600</v>
          </cell>
          <cell r="U18">
            <v>6.6889632107023411</v>
          </cell>
          <cell r="V18">
            <v>0.8</v>
          </cell>
          <cell r="W18">
            <v>105</v>
          </cell>
          <cell r="X18">
            <v>49.900000000000006</v>
          </cell>
          <cell r="Y18">
            <v>55</v>
          </cell>
          <cell r="Z18">
            <v>17.2</v>
          </cell>
          <cell r="AA18">
            <v>74.95</v>
          </cell>
          <cell r="AB18">
            <v>26.75</v>
          </cell>
          <cell r="AC18">
            <v>0</v>
          </cell>
          <cell r="AD18">
            <v>0</v>
          </cell>
          <cell r="AE18">
            <v>101.7</v>
          </cell>
          <cell r="AF18">
            <v>0.7</v>
          </cell>
          <cell r="AG18">
            <v>28</v>
          </cell>
          <cell r="AH18">
            <v>0</v>
          </cell>
          <cell r="AI18"/>
          <cell r="AJ18">
            <v>103.40000000000002</v>
          </cell>
          <cell r="AK18">
            <v>79.3125</v>
          </cell>
          <cell r="AL18">
            <v>13</v>
          </cell>
          <cell r="AM18">
            <v>13.28749999999998</v>
          </cell>
          <cell r="AN18"/>
          <cell r="AO18">
            <v>5</v>
          </cell>
          <cell r="AP18">
            <v>4</v>
          </cell>
          <cell r="AQ18">
            <v>0</v>
          </cell>
          <cell r="AR18">
            <v>1</v>
          </cell>
          <cell r="AS18">
            <v>0</v>
          </cell>
          <cell r="AT18">
            <v>42</v>
          </cell>
          <cell r="AU18">
            <v>47</v>
          </cell>
          <cell r="AV18">
            <v>32</v>
          </cell>
          <cell r="AW18">
            <v>21</v>
          </cell>
          <cell r="AX18">
            <v>25</v>
          </cell>
          <cell r="AY18">
            <v>209</v>
          </cell>
          <cell r="AZ18">
            <v>92</v>
          </cell>
          <cell r="BA18">
            <v>71</v>
          </cell>
          <cell r="BB18">
            <v>0.44000000000000006</v>
          </cell>
          <cell r="BC18">
            <v>0.33750000000000002</v>
          </cell>
          <cell r="BD18">
            <v>0.77750000000000008</v>
          </cell>
          <cell r="BE18"/>
          <cell r="BF18">
            <v>15.5</v>
          </cell>
          <cell r="BG18"/>
          <cell r="BH18">
            <v>20.680000000000003</v>
          </cell>
          <cell r="BI18">
            <v>15.862500000000001</v>
          </cell>
          <cell r="BJ18">
            <v>36.542500000000004</v>
          </cell>
          <cell r="BK18"/>
          <cell r="BL18">
            <v>14.080000000000002</v>
          </cell>
          <cell r="BM18">
            <v>10.8</v>
          </cell>
          <cell r="BN18">
            <v>24.880000000000003</v>
          </cell>
          <cell r="BO18"/>
          <cell r="BP18">
            <v>9.240000000000002</v>
          </cell>
          <cell r="BQ18">
            <v>7.0875000000000004</v>
          </cell>
          <cell r="BR18">
            <v>16.327500000000001</v>
          </cell>
          <cell r="BS18"/>
          <cell r="BT18">
            <v>11.000000000000002</v>
          </cell>
          <cell r="BU18">
            <v>8.4375</v>
          </cell>
          <cell r="BV18">
            <v>19.4375</v>
          </cell>
          <cell r="BW18">
            <v>11.000000000000002</v>
          </cell>
          <cell r="BX18">
            <v>30</v>
          </cell>
          <cell r="BY18">
            <v>6</v>
          </cell>
          <cell r="BZ18">
            <v>6</v>
          </cell>
          <cell r="CA18">
            <v>5</v>
          </cell>
          <cell r="CB18">
            <v>3</v>
          </cell>
          <cell r="CC18">
            <v>3</v>
          </cell>
          <cell r="CD18">
            <v>27</v>
          </cell>
          <cell r="CE18">
            <v>0</v>
          </cell>
          <cell r="CF18">
            <v>27</v>
          </cell>
          <cell r="CG18"/>
          <cell r="CH18">
            <v>30</v>
          </cell>
          <cell r="CI18">
            <v>6</v>
          </cell>
          <cell r="CJ18">
            <v>6</v>
          </cell>
          <cell r="CK18">
            <v>5</v>
          </cell>
          <cell r="CL18">
            <v>3</v>
          </cell>
          <cell r="CM18">
            <v>3</v>
          </cell>
          <cell r="CN18">
            <v>27</v>
          </cell>
          <cell r="CO18">
            <v>0</v>
          </cell>
          <cell r="CP18">
            <v>27</v>
          </cell>
          <cell r="CQ18"/>
          <cell r="CR18">
            <v>56.222222222222221</v>
          </cell>
          <cell r="CS18">
            <v>0</v>
          </cell>
          <cell r="CT18">
            <v>28.111111111111111</v>
          </cell>
          <cell r="CU18">
            <v>0</v>
          </cell>
          <cell r="CV18">
            <v>253</v>
          </cell>
          <cell r="CW18"/>
          <cell r="CX18">
            <v>22.807232776195029</v>
          </cell>
          <cell r="CY18">
            <v>23</v>
          </cell>
          <cell r="CZ18">
            <v>0</v>
          </cell>
          <cell r="DA18">
            <v>11</v>
          </cell>
          <cell r="DB18">
            <v>0</v>
          </cell>
          <cell r="DC18">
            <v>103</v>
          </cell>
          <cell r="DD18"/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/>
          <cell r="DJ18">
            <v>4400</v>
          </cell>
          <cell r="DK18">
            <v>4400</v>
          </cell>
          <cell r="DL18">
            <v>0</v>
          </cell>
          <cell r="DM18">
            <v>2200</v>
          </cell>
          <cell r="DN18">
            <v>0</v>
          </cell>
          <cell r="DO18">
            <v>19800</v>
          </cell>
          <cell r="DP18"/>
          <cell r="DQ18">
            <v>8834.5098039215682</v>
          </cell>
          <cell r="DR18">
            <v>4624.3137254901967</v>
          </cell>
          <cell r="DS18">
            <v>2691.7647058823532</v>
          </cell>
          <cell r="DT18">
            <v>1449.4117647058824</v>
          </cell>
          <cell r="DU18">
            <v>2200</v>
          </cell>
          <cell r="DV18">
            <v>0</v>
          </cell>
          <cell r="DW18">
            <v>0</v>
          </cell>
          <cell r="DX18">
            <v>19800</v>
          </cell>
          <cell r="DY18"/>
          <cell r="DZ18">
            <v>5.6</v>
          </cell>
          <cell r="EA18">
            <v>6</v>
          </cell>
          <cell r="EB18">
            <v>30</v>
          </cell>
          <cell r="EC18"/>
          <cell r="ED18">
            <v>0</v>
          </cell>
          <cell r="EE18">
            <v>0</v>
          </cell>
          <cell r="EF18"/>
          <cell r="EG18">
            <v>7</v>
          </cell>
          <cell r="EH18">
            <v>2</v>
          </cell>
          <cell r="EI18">
            <v>1</v>
          </cell>
          <cell r="EJ18">
            <v>4</v>
          </cell>
          <cell r="EK18">
            <v>1</v>
          </cell>
          <cell r="EL18">
            <v>1</v>
          </cell>
          <cell r="EM18">
            <v>0</v>
          </cell>
          <cell r="EN18">
            <v>0</v>
          </cell>
        </row>
        <row r="19">
          <cell r="A19" t="str">
            <v>RECREO</v>
          </cell>
          <cell r="B19" t="str">
            <v>AE SALESLAND RECREO</v>
          </cell>
          <cell r="C19">
            <v>0.5</v>
          </cell>
          <cell r="D19">
            <v>0.5</v>
          </cell>
          <cell r="E19">
            <v>0.8</v>
          </cell>
          <cell r="F19">
            <v>0.8</v>
          </cell>
          <cell r="G19">
            <v>375</v>
          </cell>
          <cell r="H19">
            <v>300</v>
          </cell>
          <cell r="I19">
            <v>375</v>
          </cell>
          <cell r="J19">
            <v>300</v>
          </cell>
          <cell r="K19">
            <v>750</v>
          </cell>
          <cell r="L19"/>
          <cell r="M19">
            <v>48</v>
          </cell>
          <cell r="N19">
            <v>285.09040970243785</v>
          </cell>
          <cell r="O19">
            <v>1400</v>
          </cell>
          <cell r="P19">
            <v>0</v>
          </cell>
          <cell r="Q19">
            <v>7700</v>
          </cell>
          <cell r="R19">
            <v>0</v>
          </cell>
          <cell r="S19">
            <v>0</v>
          </cell>
          <cell r="T19">
            <v>49500</v>
          </cell>
          <cell r="U19">
            <v>15.050167224080264</v>
          </cell>
          <cell r="V19">
            <v>0.7</v>
          </cell>
          <cell r="W19">
            <v>180</v>
          </cell>
          <cell r="X19">
            <v>119.76</v>
          </cell>
          <cell r="Y19">
            <v>66</v>
          </cell>
          <cell r="Z19">
            <v>41.28</v>
          </cell>
          <cell r="AA19">
            <v>179.88</v>
          </cell>
          <cell r="AB19">
            <v>64.199999999999989</v>
          </cell>
          <cell r="AC19">
            <v>0</v>
          </cell>
          <cell r="AD19">
            <v>0</v>
          </cell>
          <cell r="AE19">
            <v>244.07999999999998</v>
          </cell>
          <cell r="AF19">
            <v>0.7</v>
          </cell>
          <cell r="AG19">
            <v>85</v>
          </cell>
          <cell r="AH19">
            <v>0</v>
          </cell>
          <cell r="AI19"/>
          <cell r="AJ19">
            <v>321.60000000000002</v>
          </cell>
          <cell r="AK19">
            <v>321.60000000000002</v>
          </cell>
          <cell r="AL19">
            <v>51</v>
          </cell>
          <cell r="AM19">
            <v>51.799999999999955</v>
          </cell>
          <cell r="AN19"/>
          <cell r="AO19">
            <v>12</v>
          </cell>
          <cell r="AP19">
            <v>10</v>
          </cell>
          <cell r="AQ19">
            <v>0</v>
          </cell>
          <cell r="AR19">
            <v>0</v>
          </cell>
          <cell r="AS19">
            <v>2</v>
          </cell>
          <cell r="AT19">
            <v>63</v>
          </cell>
          <cell r="AU19">
            <v>67</v>
          </cell>
          <cell r="AV19">
            <v>48</v>
          </cell>
          <cell r="AW19">
            <v>32</v>
          </cell>
          <cell r="AX19">
            <v>38</v>
          </cell>
          <cell r="AY19">
            <v>746</v>
          </cell>
          <cell r="AZ19">
            <v>298</v>
          </cell>
          <cell r="BA19">
            <v>298</v>
          </cell>
          <cell r="BB19">
            <v>0.4</v>
          </cell>
          <cell r="BC19">
            <v>0.4</v>
          </cell>
          <cell r="BD19">
            <v>0.8</v>
          </cell>
          <cell r="BE19"/>
          <cell r="BF19">
            <v>15.5</v>
          </cell>
          <cell r="BG19"/>
          <cell r="BH19">
            <v>26.8</v>
          </cell>
          <cell r="BI19">
            <v>26.8</v>
          </cell>
          <cell r="BJ19">
            <v>53.6</v>
          </cell>
          <cell r="BK19"/>
          <cell r="BL19">
            <v>19.200000000000003</v>
          </cell>
          <cell r="BM19">
            <v>19.200000000000003</v>
          </cell>
          <cell r="BN19">
            <v>38.400000000000006</v>
          </cell>
          <cell r="BO19"/>
          <cell r="BP19">
            <v>12.8</v>
          </cell>
          <cell r="BQ19">
            <v>12.8</v>
          </cell>
          <cell r="BR19">
            <v>25.6</v>
          </cell>
          <cell r="BS19"/>
          <cell r="BT19">
            <v>15.200000000000001</v>
          </cell>
          <cell r="BU19">
            <v>15.200000000000001</v>
          </cell>
          <cell r="BV19">
            <v>30.400000000000002</v>
          </cell>
          <cell r="BW19"/>
          <cell r="BX19">
            <v>60</v>
          </cell>
          <cell r="BY19">
            <v>5</v>
          </cell>
          <cell r="BZ19">
            <v>5</v>
          </cell>
          <cell r="CA19">
            <v>4</v>
          </cell>
          <cell r="CB19">
            <v>3</v>
          </cell>
          <cell r="CC19">
            <v>3</v>
          </cell>
          <cell r="CD19">
            <v>56</v>
          </cell>
          <cell r="CE19">
            <v>8</v>
          </cell>
          <cell r="CF19">
            <v>64</v>
          </cell>
          <cell r="CG19"/>
          <cell r="CH19">
            <v>60</v>
          </cell>
          <cell r="CI19">
            <v>5</v>
          </cell>
          <cell r="CJ19">
            <v>5</v>
          </cell>
          <cell r="CK19">
            <v>4</v>
          </cell>
          <cell r="CL19">
            <v>3</v>
          </cell>
          <cell r="CM19">
            <v>3</v>
          </cell>
          <cell r="CN19">
            <v>56</v>
          </cell>
          <cell r="CO19">
            <v>8</v>
          </cell>
          <cell r="CP19">
            <v>64</v>
          </cell>
          <cell r="CQ19"/>
          <cell r="CR19">
            <v>125.00000000000001</v>
          </cell>
          <cell r="CS19">
            <v>0</v>
          </cell>
          <cell r="CT19">
            <v>0</v>
          </cell>
          <cell r="CU19">
            <v>75</v>
          </cell>
          <cell r="CV19">
            <v>1400.0000000000002</v>
          </cell>
          <cell r="CW19"/>
          <cell r="CX19">
            <v>25.454500866289095</v>
          </cell>
          <cell r="CY19">
            <v>25</v>
          </cell>
          <cell r="CZ19">
            <v>0</v>
          </cell>
          <cell r="DA19">
            <v>0</v>
          </cell>
          <cell r="DB19">
            <v>15</v>
          </cell>
          <cell r="DC19">
            <v>280</v>
          </cell>
          <cell r="DD19"/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/>
          <cell r="DJ19">
            <v>5107.1428571428578</v>
          </cell>
          <cell r="DK19">
            <v>5107.1428571428578</v>
          </cell>
          <cell r="DL19">
            <v>0</v>
          </cell>
          <cell r="DM19">
            <v>0</v>
          </cell>
          <cell r="DN19">
            <v>3064.2857142857147</v>
          </cell>
          <cell r="DO19">
            <v>57200.000000000007</v>
          </cell>
          <cell r="DP19"/>
          <cell r="DQ19">
            <v>24847.058823529413</v>
          </cell>
          <cell r="DR19">
            <v>13005.882352941177</v>
          </cell>
          <cell r="DS19">
            <v>7570.588235294118</v>
          </cell>
          <cell r="DT19">
            <v>4076.4705882352941</v>
          </cell>
          <cell r="DU19">
            <v>7700</v>
          </cell>
          <cell r="DV19">
            <v>0</v>
          </cell>
          <cell r="DW19">
            <v>0</v>
          </cell>
          <cell r="DX19">
            <v>57200</v>
          </cell>
          <cell r="DY19"/>
          <cell r="DZ19">
            <v>7.083333333333333</v>
          </cell>
          <cell r="EA19">
            <v>7</v>
          </cell>
          <cell r="EB19">
            <v>84</v>
          </cell>
          <cell r="EC19"/>
          <cell r="ED19">
            <v>0</v>
          </cell>
          <cell r="EE19">
            <v>0</v>
          </cell>
          <cell r="EF19"/>
          <cell r="EG19">
            <v>5</v>
          </cell>
          <cell r="EH19">
            <v>2</v>
          </cell>
          <cell r="EI19">
            <v>1</v>
          </cell>
          <cell r="EJ19">
            <v>2</v>
          </cell>
          <cell r="EK19">
            <v>1</v>
          </cell>
          <cell r="EL19">
            <v>0.99999999999999989</v>
          </cell>
          <cell r="EM19">
            <v>0</v>
          </cell>
          <cell r="EN19">
            <v>0</v>
          </cell>
        </row>
        <row r="20">
          <cell r="A20" t="str">
            <v>MACHALA</v>
          </cell>
          <cell r="B20" t="str">
            <v>CAVS AE SALESLAND MACHALA</v>
          </cell>
          <cell r="C20">
            <v>0.8</v>
          </cell>
          <cell r="D20">
            <v>0.2</v>
          </cell>
          <cell r="E20">
            <v>0.7</v>
          </cell>
          <cell r="F20">
            <v>0.75</v>
          </cell>
          <cell r="G20">
            <v>141</v>
          </cell>
          <cell r="H20">
            <v>99</v>
          </cell>
          <cell r="I20">
            <v>35</v>
          </cell>
          <cell r="J20">
            <v>26</v>
          </cell>
          <cell r="K20">
            <v>176</v>
          </cell>
          <cell r="L20"/>
          <cell r="M20">
            <v>16</v>
          </cell>
          <cell r="N20">
            <v>39.912657358341299</v>
          </cell>
          <cell r="O20">
            <v>165</v>
          </cell>
          <cell r="P20">
            <v>0</v>
          </cell>
          <cell r="Q20">
            <v>5500</v>
          </cell>
          <cell r="R20">
            <v>0</v>
          </cell>
          <cell r="S20">
            <v>0</v>
          </cell>
          <cell r="T20">
            <v>11000</v>
          </cell>
          <cell r="U20">
            <v>5.0167224080267552</v>
          </cell>
          <cell r="V20">
            <v>0.8</v>
          </cell>
          <cell r="W20">
            <v>108</v>
          </cell>
          <cell r="X20">
            <v>39.92</v>
          </cell>
          <cell r="Y20">
            <v>55</v>
          </cell>
          <cell r="Z20">
            <v>13.76</v>
          </cell>
          <cell r="AA20">
            <v>59.96</v>
          </cell>
          <cell r="AB20">
            <v>21.4</v>
          </cell>
          <cell r="AC20">
            <v>0</v>
          </cell>
          <cell r="AD20">
            <v>0</v>
          </cell>
          <cell r="AE20">
            <v>81.36</v>
          </cell>
          <cell r="AF20">
            <v>0.7</v>
          </cell>
          <cell r="AG20">
            <v>22</v>
          </cell>
          <cell r="AH20">
            <v>0</v>
          </cell>
          <cell r="AI20"/>
          <cell r="AJ20">
            <v>98.559999999999988</v>
          </cell>
          <cell r="AK20">
            <v>26.400000000000006</v>
          </cell>
          <cell r="AL20">
            <v>26</v>
          </cell>
          <cell r="AM20">
            <v>25.040000000000006</v>
          </cell>
          <cell r="AN20"/>
          <cell r="AO20">
            <v>4</v>
          </cell>
          <cell r="AP20">
            <v>4</v>
          </cell>
          <cell r="AQ20">
            <v>0</v>
          </cell>
          <cell r="AR20">
            <v>0</v>
          </cell>
          <cell r="AS20">
            <v>0</v>
          </cell>
          <cell r="AT20">
            <v>44</v>
          </cell>
          <cell r="AU20">
            <v>44</v>
          </cell>
          <cell r="AV20">
            <v>34</v>
          </cell>
          <cell r="AW20">
            <v>22</v>
          </cell>
          <cell r="AX20">
            <v>26</v>
          </cell>
          <cell r="AY20">
            <v>176</v>
          </cell>
          <cell r="AZ20">
            <v>99</v>
          </cell>
          <cell r="BA20">
            <v>26</v>
          </cell>
          <cell r="BB20">
            <v>0.55999999999999994</v>
          </cell>
          <cell r="BC20">
            <v>0.15000000000000002</v>
          </cell>
          <cell r="BD20">
            <v>0.71</v>
          </cell>
          <cell r="BE20"/>
          <cell r="BF20">
            <v>15.5</v>
          </cell>
          <cell r="BG20"/>
          <cell r="BH20">
            <v>24.639999999999997</v>
          </cell>
          <cell r="BI20">
            <v>6.6000000000000014</v>
          </cell>
          <cell r="BJ20">
            <v>31.24</v>
          </cell>
          <cell r="BK20"/>
          <cell r="BL20">
            <v>19.04</v>
          </cell>
          <cell r="BM20">
            <v>5.1000000000000005</v>
          </cell>
          <cell r="BN20">
            <v>24.14</v>
          </cell>
          <cell r="BO20"/>
          <cell r="BP20">
            <v>12.319999999999999</v>
          </cell>
          <cell r="BQ20">
            <v>3.3000000000000007</v>
          </cell>
          <cell r="BR20">
            <v>15.62</v>
          </cell>
          <cell r="BS20"/>
          <cell r="BT20">
            <v>14.559999999999999</v>
          </cell>
          <cell r="BU20">
            <v>3.9000000000000004</v>
          </cell>
          <cell r="BV20">
            <v>18.46</v>
          </cell>
          <cell r="BW20"/>
          <cell r="BX20">
            <v>30</v>
          </cell>
          <cell r="BY20">
            <v>8</v>
          </cell>
          <cell r="BZ20">
            <v>8</v>
          </cell>
          <cell r="CA20">
            <v>7</v>
          </cell>
          <cell r="CB20">
            <v>4</v>
          </cell>
          <cell r="CC20">
            <v>5</v>
          </cell>
          <cell r="CD20">
            <v>32</v>
          </cell>
          <cell r="CE20">
            <v>0</v>
          </cell>
          <cell r="CF20">
            <v>32</v>
          </cell>
          <cell r="CG20"/>
          <cell r="CH20">
            <v>30</v>
          </cell>
          <cell r="CI20">
            <v>8</v>
          </cell>
          <cell r="CJ20">
            <v>8</v>
          </cell>
          <cell r="CK20">
            <v>7</v>
          </cell>
          <cell r="CL20">
            <v>4</v>
          </cell>
          <cell r="CM20">
            <v>5</v>
          </cell>
          <cell r="CN20">
            <v>32</v>
          </cell>
          <cell r="CO20">
            <v>0</v>
          </cell>
          <cell r="CP20">
            <v>32</v>
          </cell>
          <cell r="CQ20"/>
          <cell r="CR20">
            <v>41.25</v>
          </cell>
          <cell r="CS20">
            <v>0</v>
          </cell>
          <cell r="CT20">
            <v>0</v>
          </cell>
          <cell r="CU20">
            <v>0</v>
          </cell>
          <cell r="CV20">
            <v>165</v>
          </cell>
          <cell r="CW20"/>
          <cell r="CX20">
            <v>9.9781643395853248</v>
          </cell>
          <cell r="CY20">
            <v>10</v>
          </cell>
          <cell r="CZ20">
            <v>0</v>
          </cell>
          <cell r="DA20">
            <v>0</v>
          </cell>
          <cell r="DB20">
            <v>0</v>
          </cell>
          <cell r="DC20">
            <v>40</v>
          </cell>
          <cell r="DD20"/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/>
          <cell r="DJ20">
            <v>4125</v>
          </cell>
          <cell r="DK20">
            <v>4125</v>
          </cell>
          <cell r="DL20">
            <v>0</v>
          </cell>
          <cell r="DM20">
            <v>0</v>
          </cell>
          <cell r="DN20">
            <v>0</v>
          </cell>
          <cell r="DO20">
            <v>16500</v>
          </cell>
          <cell r="DP20"/>
          <cell r="DQ20">
            <v>5521.5686274509799</v>
          </cell>
          <cell r="DR20">
            <v>2890.1960784313728</v>
          </cell>
          <cell r="DS20">
            <v>1682.3529411764707</v>
          </cell>
          <cell r="DT20">
            <v>905.88235294117646</v>
          </cell>
          <cell r="DU20">
            <v>5500</v>
          </cell>
          <cell r="DV20">
            <v>0</v>
          </cell>
          <cell r="DW20">
            <v>0</v>
          </cell>
          <cell r="DX20">
            <v>16500</v>
          </cell>
          <cell r="DY20"/>
          <cell r="DZ20">
            <v>5.5</v>
          </cell>
          <cell r="EA20">
            <v>6</v>
          </cell>
          <cell r="EB20">
            <v>24</v>
          </cell>
          <cell r="EC20"/>
          <cell r="ED20">
            <v>0</v>
          </cell>
          <cell r="EE20">
            <v>0</v>
          </cell>
          <cell r="EF20"/>
          <cell r="EG20">
            <v>9</v>
          </cell>
          <cell r="EH20">
            <v>2</v>
          </cell>
          <cell r="EI20">
            <v>1</v>
          </cell>
          <cell r="EJ20">
            <v>5</v>
          </cell>
          <cell r="EK20">
            <v>1</v>
          </cell>
          <cell r="EL20">
            <v>1</v>
          </cell>
          <cell r="EM20">
            <v>0</v>
          </cell>
          <cell r="EN20">
            <v>0</v>
          </cell>
        </row>
        <row r="21">
          <cell r="A21"/>
          <cell r="B21" t="str">
            <v>TOTALES</v>
          </cell>
          <cell r="C21">
            <v>0.57778999450247392</v>
          </cell>
          <cell r="D21">
            <v>0.42221000549752613</v>
          </cell>
          <cell r="E21">
            <v>0.7811607992388202</v>
          </cell>
          <cell r="F21">
            <v>0.79166666666666663</v>
          </cell>
          <cell r="G21">
            <v>1051</v>
          </cell>
          <cell r="H21">
            <v>821</v>
          </cell>
          <cell r="I21">
            <v>768</v>
          </cell>
          <cell r="J21">
            <v>608</v>
          </cell>
          <cell r="K21">
            <v>1819</v>
          </cell>
          <cell r="L21"/>
          <cell r="M21">
            <v>148</v>
          </cell>
          <cell r="N21">
            <v>724.12964064419214</v>
          </cell>
          <cell r="O21">
            <v>2729</v>
          </cell>
          <cell r="P21">
            <v>0</v>
          </cell>
          <cell r="Q21">
            <v>27500</v>
          </cell>
          <cell r="R21">
            <v>0</v>
          </cell>
          <cell r="S21">
            <v>0</v>
          </cell>
          <cell r="T21">
            <v>154752.67512099998</v>
          </cell>
          <cell r="U21">
            <v>40.133779264214041</v>
          </cell>
          <cell r="V21">
            <v>0.78333333333333333</v>
          </cell>
          <cell r="W21">
            <v>741</v>
          </cell>
          <cell r="X21">
            <v>394.21000000000004</v>
          </cell>
          <cell r="Y21">
            <v>324.5</v>
          </cell>
          <cell r="Z21">
            <v>127.28</v>
          </cell>
          <cell r="AA21">
            <v>554.63</v>
          </cell>
          <cell r="AB21">
            <v>197.95</v>
          </cell>
          <cell r="AC21">
            <v>0</v>
          </cell>
          <cell r="AD21">
            <v>0</v>
          </cell>
          <cell r="AE21">
            <v>752.58</v>
          </cell>
          <cell r="AF21">
            <v>0.70000000000000007</v>
          </cell>
          <cell r="AG21">
            <v>231</v>
          </cell>
          <cell r="AH21">
            <v>0</v>
          </cell>
          <cell r="AI21"/>
          <cell r="AJ21">
            <v>888.16000000000008</v>
          </cell>
          <cell r="AK21">
            <v>662.71249999999998</v>
          </cell>
          <cell r="AL21">
            <v>133</v>
          </cell>
          <cell r="AM21">
            <v>131.12749999999994</v>
          </cell>
          <cell r="AN21"/>
          <cell r="AO21">
            <v>37</v>
          </cell>
          <cell r="AP21">
            <v>30</v>
          </cell>
          <cell r="AQ21">
            <v>3</v>
          </cell>
          <cell r="AR21">
            <v>1</v>
          </cell>
          <cell r="AS21">
            <v>3</v>
          </cell>
          <cell r="AT21">
            <v>49</v>
          </cell>
          <cell r="AU21">
            <v>53</v>
          </cell>
          <cell r="AV21">
            <v>38</v>
          </cell>
          <cell r="AW21">
            <v>25</v>
          </cell>
          <cell r="AX21">
            <v>29</v>
          </cell>
          <cell r="AY21">
            <v>1815</v>
          </cell>
          <cell r="AZ21">
            <v>819</v>
          </cell>
          <cell r="BA21">
            <v>606</v>
          </cell>
          <cell r="BB21">
            <v>0.45123966942148758</v>
          </cell>
          <cell r="BC21">
            <v>0.33388429752066118</v>
          </cell>
          <cell r="BD21">
            <v>0.78512396694214881</v>
          </cell>
          <cell r="BE21"/>
          <cell r="BF21">
            <v>15.5</v>
          </cell>
          <cell r="BG21"/>
          <cell r="BH21">
            <v>23.91570247933884</v>
          </cell>
          <cell r="BI21">
            <v>17.695867768595043</v>
          </cell>
          <cell r="BJ21">
            <v>41.611570247933884</v>
          </cell>
          <cell r="BK21"/>
          <cell r="BL21">
            <v>17.147107438016526</v>
          </cell>
          <cell r="BM21">
            <v>12.687603305785125</v>
          </cell>
          <cell r="BN21">
            <v>29.834710743801651</v>
          </cell>
          <cell r="BO21"/>
          <cell r="BP21">
            <v>11.280991735537189</v>
          </cell>
          <cell r="BQ21">
            <v>8.3471074380165291</v>
          </cell>
          <cell r="BR21">
            <v>19.628099173553718</v>
          </cell>
          <cell r="BS21"/>
          <cell r="BT21">
            <v>13.08595041322314</v>
          </cell>
          <cell r="BU21">
            <v>9.6826446280991743</v>
          </cell>
          <cell r="BV21">
            <v>22.768595041322314</v>
          </cell>
          <cell r="BW21"/>
          <cell r="BX21">
            <v>210</v>
          </cell>
          <cell r="BY21"/>
          <cell r="BZ21"/>
          <cell r="CA21"/>
          <cell r="CB21"/>
          <cell r="CC21"/>
          <cell r="CD21">
            <v>200</v>
          </cell>
          <cell r="CE21">
            <v>20</v>
          </cell>
          <cell r="CF21">
            <v>220</v>
          </cell>
          <cell r="CG21"/>
          <cell r="CH21">
            <v>210</v>
          </cell>
          <cell r="CI21"/>
          <cell r="CJ21"/>
          <cell r="CK21"/>
          <cell r="CL21"/>
          <cell r="CM21"/>
          <cell r="CN21">
            <v>200</v>
          </cell>
          <cell r="CO21">
            <v>20</v>
          </cell>
          <cell r="CP21">
            <v>220</v>
          </cell>
          <cell r="CQ21"/>
          <cell r="CR21"/>
          <cell r="CS21"/>
          <cell r="CT21"/>
          <cell r="CU21"/>
          <cell r="CV21">
            <v>2758.0769230769233</v>
          </cell>
          <cell r="CW21"/>
          <cell r="CX21"/>
          <cell r="CY21"/>
          <cell r="CZ21"/>
          <cell r="DA21"/>
          <cell r="DB21"/>
          <cell r="DC21">
            <v>733</v>
          </cell>
          <cell r="DD21"/>
          <cell r="DE21"/>
          <cell r="DF21"/>
          <cell r="DG21"/>
          <cell r="DH21">
            <v>0</v>
          </cell>
          <cell r="DI21"/>
          <cell r="DJ21"/>
          <cell r="DK21"/>
          <cell r="DL21"/>
          <cell r="DM21"/>
          <cell r="DN21"/>
          <cell r="DO21">
            <v>184850.62896715387</v>
          </cell>
          <cell r="DP21"/>
          <cell r="DQ21">
            <v>77679.774178384308</v>
          </cell>
          <cell r="DR21">
            <v>40660.506796498034</v>
          </cell>
          <cell r="DS21">
            <v>23668.056194976474</v>
          </cell>
          <cell r="DT21">
            <v>12744.337951141177</v>
          </cell>
          <cell r="DU21">
            <v>27500</v>
          </cell>
          <cell r="DV21">
            <v>0</v>
          </cell>
          <cell r="DW21">
            <v>0</v>
          </cell>
          <cell r="DX21">
            <v>182252.67512099998</v>
          </cell>
          <cell r="DY21"/>
          <cell r="DZ21"/>
          <cell r="EA21"/>
          <cell r="EB21">
            <v>238</v>
          </cell>
          <cell r="EC21"/>
          <cell r="ED21"/>
          <cell r="EE21">
            <v>0</v>
          </cell>
          <cell r="EF21"/>
          <cell r="EG21"/>
          <cell r="EH21"/>
          <cell r="EI21"/>
          <cell r="EJ21"/>
          <cell r="EK21"/>
          <cell r="EL21"/>
          <cell r="EM21"/>
          <cell r="EN21"/>
        </row>
        <row r="22">
          <cell r="A22"/>
          <cell r="B22" t="str">
            <v>Aumento</v>
          </cell>
          <cell r="C22"/>
          <cell r="D22"/>
          <cell r="E22"/>
          <cell r="F22"/>
          <cell r="G22">
            <v>0.57778999450247392</v>
          </cell>
          <cell r="H22">
            <v>0.45134689389774602</v>
          </cell>
          <cell r="I22">
            <v>0.42221000549752613</v>
          </cell>
          <cell r="J22">
            <v>0.33424958768554153</v>
          </cell>
          <cell r="K22">
            <v>8.2738095238095166E-2</v>
          </cell>
          <cell r="L22">
            <v>0.1</v>
          </cell>
          <cell r="M22">
            <v>0</v>
          </cell>
          <cell r="N22">
            <v>0.1</v>
          </cell>
          <cell r="O22">
            <v>0.1</v>
          </cell>
          <cell r="P22">
            <v>0.1</v>
          </cell>
          <cell r="Q22">
            <v>0.1</v>
          </cell>
          <cell r="R22">
            <v>0.1</v>
          </cell>
          <cell r="S22">
            <v>0.1</v>
          </cell>
          <cell r="T22">
            <v>0.1</v>
          </cell>
          <cell r="U22"/>
          <cell r="V22"/>
          <cell r="W22">
            <v>2.1498902635213479E-2</v>
          </cell>
          <cell r="X22">
            <v>0.60617846156894917</v>
          </cell>
          <cell r="Y22"/>
          <cell r="Z22">
            <v>7.2291754756871036</v>
          </cell>
          <cell r="AA22">
            <v>19.801377308174313</v>
          </cell>
          <cell r="AB22">
            <v>8.5147905182201615</v>
          </cell>
          <cell r="AC22">
            <v>0</v>
          </cell>
          <cell r="AD22">
            <v>0</v>
          </cell>
          <cell r="AE22">
            <v>14.854607314563324</v>
          </cell>
          <cell r="AF22"/>
          <cell r="AG22">
            <v>0</v>
          </cell>
          <cell r="AH22">
            <v>0</v>
          </cell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>
            <v>8.0357142857142794E-2</v>
          </cell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  <cell r="CE22"/>
          <cell r="CF22">
            <v>0.13095238095238096</v>
          </cell>
          <cell r="CG22"/>
          <cell r="CH22"/>
          <cell r="CI22"/>
          <cell r="CJ22"/>
          <cell r="CK22"/>
          <cell r="CL22"/>
          <cell r="CM22"/>
          <cell r="CN22"/>
          <cell r="CO22"/>
          <cell r="CP22">
            <v>0.13095238095238096</v>
          </cell>
          <cell r="CQ22"/>
          <cell r="CR22"/>
          <cell r="CS22"/>
          <cell r="CT22"/>
          <cell r="CU22"/>
          <cell r="CV22"/>
          <cell r="CW22"/>
          <cell r="CX22"/>
          <cell r="CY22"/>
          <cell r="CZ22"/>
          <cell r="DA22"/>
          <cell r="DB22"/>
          <cell r="DC22"/>
          <cell r="DD22"/>
          <cell r="DE22"/>
          <cell r="DF22"/>
          <cell r="DG22"/>
          <cell r="DH22"/>
          <cell r="DI22"/>
          <cell r="DJ22"/>
          <cell r="DK22"/>
          <cell r="DL22"/>
          <cell r="DM22"/>
          <cell r="DN22"/>
          <cell r="DO22"/>
          <cell r="DP22"/>
          <cell r="DQ22"/>
          <cell r="DR22"/>
          <cell r="DS22"/>
          <cell r="DT22"/>
          <cell r="DU22"/>
          <cell r="DV22"/>
          <cell r="DW22"/>
          <cell r="DX22"/>
          <cell r="DY22"/>
          <cell r="DZ22"/>
          <cell r="EA22"/>
          <cell r="EB22"/>
          <cell r="EC22"/>
          <cell r="ED22"/>
          <cell r="EE22"/>
          <cell r="EF22"/>
          <cell r="EG22">
            <v>3</v>
          </cell>
          <cell r="EH22">
            <v>4.99</v>
          </cell>
          <cell r="EI22">
            <v>3.44</v>
          </cell>
          <cell r="EJ22"/>
          <cell r="EK22">
            <v>14.99</v>
          </cell>
          <cell r="EL22">
            <v>5.35</v>
          </cell>
          <cell r="EM22">
            <v>11.5</v>
          </cell>
          <cell r="EN22">
            <v>11.5</v>
          </cell>
        </row>
        <row r="23">
          <cell r="A23"/>
          <cell r="B23" t="str">
            <v>REAL JUNIO 2022</v>
          </cell>
          <cell r="C23"/>
          <cell r="D23"/>
          <cell r="E23"/>
          <cell r="F23"/>
          <cell r="G23">
            <v>0.4895697522816167</v>
          </cell>
          <cell r="H23">
            <v>0.70838881491344874</v>
          </cell>
          <cell r="I23">
            <v>0.5104302477183833</v>
          </cell>
          <cell r="J23">
            <v>0.58620689655172409</v>
          </cell>
          <cell r="K23">
            <v>1728.05</v>
          </cell>
          <cell r="L23"/>
          <cell r="M23">
            <v>0.64444444444444438</v>
          </cell>
          <cell r="N23"/>
          <cell r="O23">
            <v>10916</v>
          </cell>
          <cell r="P23"/>
          <cell r="Q23"/>
          <cell r="R23"/>
          <cell r="S23"/>
          <cell r="T23">
            <v>182073.92169000002</v>
          </cell>
          <cell r="U23"/>
          <cell r="V23"/>
          <cell r="W23"/>
          <cell r="X23">
            <v>79</v>
          </cell>
          <cell r="Y23"/>
          <cell r="Z23">
            <v>37</v>
          </cell>
          <cell r="AA23">
            <v>37</v>
          </cell>
          <cell r="AB23">
            <v>37</v>
          </cell>
          <cell r="AC23"/>
          <cell r="AD23"/>
          <cell r="AE23">
            <v>74</v>
          </cell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  <cell r="CE23"/>
          <cell r="CF23"/>
          <cell r="CG23"/>
          <cell r="CH23"/>
          <cell r="CI23"/>
          <cell r="CJ23"/>
          <cell r="CK23"/>
          <cell r="CL23"/>
          <cell r="CM23"/>
          <cell r="CN23"/>
          <cell r="CO23"/>
          <cell r="CP23"/>
          <cell r="CQ23"/>
          <cell r="CR23"/>
          <cell r="CS23"/>
          <cell r="CT23"/>
          <cell r="CU23"/>
          <cell r="CV23"/>
          <cell r="CW23"/>
          <cell r="CX23"/>
          <cell r="CY23"/>
          <cell r="CZ23"/>
          <cell r="DA23"/>
          <cell r="DB23"/>
          <cell r="DC23"/>
          <cell r="DD23"/>
          <cell r="DE23"/>
          <cell r="DF23"/>
          <cell r="DG23"/>
          <cell r="DH23"/>
          <cell r="DI23"/>
          <cell r="DJ23"/>
          <cell r="DK23"/>
          <cell r="DL23"/>
          <cell r="DM23"/>
          <cell r="DN23"/>
          <cell r="DO23"/>
          <cell r="DP23"/>
          <cell r="DQ23"/>
          <cell r="DR23"/>
          <cell r="DS23"/>
          <cell r="DT23"/>
          <cell r="DU23"/>
          <cell r="DV23"/>
          <cell r="DW23"/>
          <cell r="DX23"/>
          <cell r="DY23"/>
          <cell r="DZ23"/>
          <cell r="EA23"/>
          <cell r="EB23"/>
          <cell r="EC23"/>
          <cell r="ED23"/>
          <cell r="EE23"/>
          <cell r="EF23"/>
          <cell r="EG23"/>
          <cell r="EH23"/>
          <cell r="EI23"/>
          <cell r="EJ23"/>
          <cell r="EK23"/>
          <cell r="EL23"/>
          <cell r="EM23"/>
          <cell r="EN23"/>
        </row>
        <row r="24">
          <cell r="A24" t="str">
            <v>TIENDA</v>
          </cell>
          <cell r="B24" t="str">
            <v>Nombre de Plaza</v>
          </cell>
          <cell r="C24" t="str">
            <v>Altas</v>
          </cell>
          <cell r="D24" t="str">
            <v>Transfer</v>
          </cell>
          <cell r="E24" t="str">
            <v>Altas Dom</v>
          </cell>
          <cell r="F24" t="str">
            <v>Transfer Dom</v>
          </cell>
          <cell r="G24" t="str">
            <v>ALTAS</v>
          </cell>
          <cell r="H24" t="str">
            <v>Altas Dom</v>
          </cell>
          <cell r="I24" t="str">
            <v>TRANSF</v>
          </cell>
          <cell r="J24" t="str">
            <v>Transfer Dom</v>
          </cell>
          <cell r="K24" t="str">
            <v>TOTAL 
POS</v>
          </cell>
          <cell r="L24"/>
          <cell r="M24" t="str">
            <v>PORTABILIDAD</v>
          </cell>
          <cell r="N24" t="str">
            <v>PREPAGO 
LO</v>
          </cell>
          <cell r="O24" t="str">
            <v>UPSELL</v>
          </cell>
          <cell r="P24"/>
          <cell r="Q24" t="str">
            <v>PREPAGO
CON TERMINAL</v>
          </cell>
          <cell r="R24" t="str">
            <v>(Q) TERMINALES POS</v>
          </cell>
          <cell r="S24" t="str">
            <v>(Q) 
RENOVACIONES</v>
          </cell>
          <cell r="T24" t="str">
            <v xml:space="preserve">TOTAL TERMINALES (PPCT + POS + REN) </v>
          </cell>
          <cell r="U24" t="str">
            <v>BLINDAJE</v>
          </cell>
          <cell r="V24" t="str">
            <v>RETENCION</v>
          </cell>
          <cell r="W24" t="str">
            <v>PAQUETES RECURRENTES VOZ</v>
          </cell>
          <cell r="X24" t="str">
            <v>UPPS+</v>
          </cell>
          <cell r="Y24"/>
          <cell r="Z24" t="str">
            <v>Asistencia SOS</v>
          </cell>
          <cell r="AA24" t="str">
            <v xml:space="preserve">TVI </v>
          </cell>
          <cell r="AB24" t="str">
            <v>Canal del Fútbol</v>
          </cell>
          <cell r="AC24" t="str">
            <v xml:space="preserve">FOX </v>
          </cell>
          <cell r="AD24" t="str">
            <v>HBO</v>
          </cell>
          <cell r="AE24" t="str">
            <v>Total TV</v>
          </cell>
          <cell r="AF24" t="str">
            <v>NPS</v>
          </cell>
          <cell r="AG24"/>
          <cell r="AH24"/>
          <cell r="AI24"/>
          <cell r="AJ24"/>
          <cell r="AK24"/>
          <cell r="AL24"/>
          <cell r="AM24"/>
          <cell r="AN24"/>
          <cell r="AO24" t="str">
            <v>Ejecutivos Tienda</v>
          </cell>
          <cell r="AP24"/>
          <cell r="AQ24" t="str">
            <v>Ejecutivos 7 Dias Vacaciones</v>
          </cell>
          <cell r="AR24" t="str">
            <v>Ejecutivos 15 Dias Vacaciones</v>
          </cell>
          <cell r="AS24" t="str">
            <v>Ejecutivo Nuevo Tienda</v>
          </cell>
          <cell r="AT24"/>
          <cell r="AU24" t="str">
            <v>Presupuesto Unitario Ejecutivo</v>
          </cell>
          <cell r="AV24"/>
          <cell r="AW24"/>
          <cell r="AX24"/>
          <cell r="AY24" t="str">
            <v>Baja Ejecutivos Q Total Pos</v>
          </cell>
          <cell r="AZ24" t="str">
            <v>Baja Ejecutivos Altas Dom</v>
          </cell>
          <cell r="BA24" t="str">
            <v>Baja Ejecutivos Transfer Dom</v>
          </cell>
          <cell r="BB24" t="str">
            <v>% Altas Dom</v>
          </cell>
          <cell r="BC24" t="str">
            <v>% Transfer Dom</v>
          </cell>
          <cell r="BD24" t="str">
            <v>% Domicilliado</v>
          </cell>
          <cell r="BE24"/>
          <cell r="BF24" t="str">
            <v>TARIFA BASICA</v>
          </cell>
          <cell r="BG24"/>
          <cell r="BH24" t="str">
            <v>Altas Dom</v>
          </cell>
          <cell r="BI24" t="str">
            <v>Transfer Dom</v>
          </cell>
          <cell r="BJ24" t="str">
            <v>Total Dom</v>
          </cell>
          <cell r="BK24"/>
          <cell r="BL24" t="str">
            <v>Altas Dom</v>
          </cell>
          <cell r="BM24" t="str">
            <v>Transfer Dom</v>
          </cell>
          <cell r="BN24" t="str">
            <v>Total Dom</v>
          </cell>
          <cell r="BO24"/>
          <cell r="BP24" t="str">
            <v>Altas Dom</v>
          </cell>
          <cell r="BQ24" t="str">
            <v>Transfer Dom</v>
          </cell>
          <cell r="BR24" t="str">
            <v>Total Dom</v>
          </cell>
          <cell r="BS24"/>
          <cell r="BT24" t="str">
            <v>Altas Dom</v>
          </cell>
          <cell r="BU24" t="str">
            <v>Transfer Dom</v>
          </cell>
          <cell r="BV24" t="str">
            <v>Total Dom</v>
          </cell>
          <cell r="BW24"/>
          <cell r="BX24" t="str">
            <v>Real Plan 10,54</v>
          </cell>
          <cell r="BY24" t="str">
            <v>%</v>
          </cell>
          <cell r="BZ24" t="str">
            <v>Cupo Final SLE Planes 10,54 Ejecutivo</v>
          </cell>
          <cell r="CA24" t="str">
            <v>Cupo Final SLE Planes 10,54 Ejecutivo 7 dias</v>
          </cell>
          <cell r="CB24" t="str">
            <v>Cupo Final SLE Planes 10,54 Ejecutivo 15 dias</v>
          </cell>
          <cell r="CC24" t="str">
            <v>Cupo Final SLE Planes 10,54 Ejecutivo Nuevo</v>
          </cell>
          <cell r="CD24"/>
          <cell r="CE24"/>
          <cell r="CF24"/>
          <cell r="CG24"/>
          <cell r="CH24" t="str">
            <v>Real Plan Televentas</v>
          </cell>
          <cell r="CI24" t="str">
            <v>%</v>
          </cell>
          <cell r="CJ24" t="str">
            <v>Meta Final SLE Planes Tele Ejecutivo</v>
          </cell>
          <cell r="CK24" t="str">
            <v>Cupo Final SLE Planes Tele Ejecutivo 7 dias</v>
          </cell>
          <cell r="CL24" t="str">
            <v>Cupo Final SLE Planes Tele Ejecutivo 15 dias</v>
          </cell>
          <cell r="CM24" t="str">
            <v>Cupo Final SLE Planes Tele Ejecutivo Nuevo</v>
          </cell>
          <cell r="CN24"/>
          <cell r="CO24"/>
          <cell r="CP24"/>
          <cell r="CQ24"/>
          <cell r="CR24"/>
          <cell r="CS24"/>
          <cell r="CT24"/>
          <cell r="CU24"/>
          <cell r="CV24"/>
          <cell r="CW24"/>
          <cell r="CX24"/>
          <cell r="CY24"/>
          <cell r="CZ24"/>
          <cell r="DA24"/>
          <cell r="DB24"/>
          <cell r="DC24" t="str">
            <v>Real Prepago</v>
          </cell>
          <cell r="DD24"/>
          <cell r="DE24"/>
          <cell r="DF24"/>
          <cell r="DG24"/>
          <cell r="DH24"/>
          <cell r="DI24"/>
          <cell r="DJ24"/>
          <cell r="DK24"/>
          <cell r="DL24"/>
          <cell r="DM24"/>
          <cell r="DN24"/>
          <cell r="DO24" t="str">
            <v>Real Final SLE Terminales</v>
          </cell>
          <cell r="DP24"/>
          <cell r="DQ24" t="str">
            <v>Renovacion Contado</v>
          </cell>
          <cell r="DR24" t="str">
            <v>Renovacion Financiado</v>
          </cell>
          <cell r="DS24" t="str">
            <v>Contrato Contado</v>
          </cell>
          <cell r="DT24" t="str">
            <v>Contrato Financiado</v>
          </cell>
          <cell r="DU24" t="str">
            <v>Prepago Contado</v>
          </cell>
          <cell r="DV24" t="str">
            <v>Accesorios</v>
          </cell>
          <cell r="DW24" t="str">
            <v>Television</v>
          </cell>
          <cell r="DX24" t="str">
            <v>Total</v>
          </cell>
          <cell r="DY24"/>
          <cell r="DZ24"/>
          <cell r="EA24"/>
          <cell r="EB24"/>
          <cell r="EC24"/>
          <cell r="ED24"/>
          <cell r="EE24"/>
          <cell r="EF24"/>
          <cell r="EG24" t="str">
            <v>PAQUETES RECURRENTES VOZ</v>
          </cell>
          <cell r="EH24" t="str">
            <v>UPPS+</v>
          </cell>
          <cell r="EI24" t="str">
            <v>Asistencia SOS</v>
          </cell>
          <cell r="EJ24"/>
          <cell r="EK24" t="str">
            <v xml:space="preserve">TVI </v>
          </cell>
          <cell r="EL24" t="str">
            <v>Canal del Fútbol</v>
          </cell>
          <cell r="EM24" t="str">
            <v>FOX</v>
          </cell>
          <cell r="EN24" t="str">
            <v>HBO</v>
          </cell>
        </row>
        <row r="25">
          <cell r="A25" t="str">
            <v>AMERICA</v>
          </cell>
          <cell r="B25" t="str">
            <v>AE SALESLAND PLAZA DE LAS AMERICAS</v>
          </cell>
          <cell r="C25">
            <v>0.5</v>
          </cell>
          <cell r="D25">
            <v>0.5</v>
          </cell>
          <cell r="E25">
            <v>0.62790697674418605</v>
          </cell>
          <cell r="F25">
            <v>0.44186046511627908</v>
          </cell>
          <cell r="G25">
            <v>86</v>
          </cell>
          <cell r="H25">
            <v>54</v>
          </cell>
          <cell r="I25">
            <v>86</v>
          </cell>
          <cell r="J25">
            <v>38</v>
          </cell>
          <cell r="K25">
            <v>172</v>
          </cell>
          <cell r="L25">
            <v>190</v>
          </cell>
          <cell r="M25">
            <v>3</v>
          </cell>
          <cell r="N25">
            <v>92</v>
          </cell>
          <cell r="O25">
            <v>243.51999999999984</v>
          </cell>
          <cell r="P25"/>
          <cell r="Q25">
            <v>3989.2857399999998</v>
          </cell>
          <cell r="R25"/>
          <cell r="S25"/>
          <cell r="T25">
            <v>21003.210029999998</v>
          </cell>
          <cell r="U25">
            <v>0</v>
          </cell>
          <cell r="V25">
            <v>0.90833333333333321</v>
          </cell>
          <cell r="W25">
            <v>92.34</v>
          </cell>
          <cell r="X25">
            <v>29.94</v>
          </cell>
          <cell r="Y25"/>
          <cell r="Z25">
            <v>6.88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0.59090909090909094</v>
          </cell>
          <cell r="AG25"/>
          <cell r="AH25"/>
          <cell r="AI25"/>
          <cell r="AJ25"/>
          <cell r="AK25"/>
          <cell r="AL25"/>
          <cell r="AM25"/>
          <cell r="AN25"/>
          <cell r="AO25">
            <v>5</v>
          </cell>
          <cell r="AP25"/>
          <cell r="AQ25">
            <v>1</v>
          </cell>
          <cell r="AR25">
            <v>0</v>
          </cell>
          <cell r="AS25">
            <v>0</v>
          </cell>
          <cell r="AT25"/>
          <cell r="AU25">
            <v>36.083916083916087</v>
          </cell>
          <cell r="AV25"/>
          <cell r="AW25"/>
          <cell r="AX25"/>
          <cell r="AY25">
            <v>172</v>
          </cell>
          <cell r="AZ25">
            <v>54</v>
          </cell>
          <cell r="BA25">
            <v>38</v>
          </cell>
          <cell r="BB25">
            <v>0.31395348837209303</v>
          </cell>
          <cell r="BC25">
            <v>0.22093023255813954</v>
          </cell>
          <cell r="BD25">
            <v>0.53488372093023262</v>
          </cell>
          <cell r="BE25"/>
          <cell r="BF25">
            <v>14.409999999999997</v>
          </cell>
          <cell r="BG25"/>
          <cell r="BH25">
            <v>10.8</v>
          </cell>
          <cell r="BI25">
            <v>7.6</v>
          </cell>
          <cell r="BJ25">
            <v>18.399999999999999</v>
          </cell>
          <cell r="BK25"/>
          <cell r="BL25" t="e">
            <v>#REF!</v>
          </cell>
          <cell r="BM25" t="e">
            <v>#REF!</v>
          </cell>
          <cell r="BN25" t="e">
            <v>#REF!</v>
          </cell>
          <cell r="BO25"/>
          <cell r="BP25" t="e">
            <v>#REF!</v>
          </cell>
          <cell r="BQ25" t="e">
            <v>#REF!</v>
          </cell>
          <cell r="BR25" t="e">
            <v>#REF!</v>
          </cell>
          <cell r="BS25"/>
          <cell r="BT25" t="e">
            <v>#REF!</v>
          </cell>
          <cell r="BU25" t="e">
            <v>#REF!</v>
          </cell>
          <cell r="BV25" t="e">
            <v>#REF!</v>
          </cell>
          <cell r="BW25"/>
          <cell r="BX25">
            <v>52</v>
          </cell>
          <cell r="BY25">
            <v>0.30232558139534882</v>
          </cell>
          <cell r="BZ25">
            <v>43</v>
          </cell>
          <cell r="CA25">
            <v>7</v>
          </cell>
          <cell r="CB25"/>
          <cell r="CC25"/>
          <cell r="CD25"/>
          <cell r="CE25"/>
          <cell r="CF25"/>
          <cell r="CG25"/>
          <cell r="CH25">
            <v>38</v>
          </cell>
          <cell r="CI25">
            <v>0.22093023255813954</v>
          </cell>
          <cell r="CJ25">
            <v>25</v>
          </cell>
          <cell r="CK25">
            <v>10</v>
          </cell>
          <cell r="CL25"/>
          <cell r="CM25"/>
          <cell r="CN25"/>
          <cell r="CO25"/>
          <cell r="CP25"/>
          <cell r="CQ25"/>
          <cell r="CR25"/>
          <cell r="CS25"/>
          <cell r="CT25"/>
          <cell r="CU25"/>
          <cell r="CV25"/>
          <cell r="CW25"/>
          <cell r="CX25"/>
          <cell r="CY25"/>
          <cell r="CZ25"/>
          <cell r="DA25"/>
          <cell r="DB25"/>
          <cell r="DC25">
            <v>92</v>
          </cell>
          <cell r="DD25"/>
          <cell r="DE25"/>
          <cell r="DF25"/>
          <cell r="DG25"/>
          <cell r="DH25"/>
          <cell r="DI25"/>
          <cell r="DJ25"/>
          <cell r="DK25"/>
          <cell r="DL25"/>
          <cell r="DM25"/>
          <cell r="DN25"/>
          <cell r="DO25">
            <v>26900.457769999997</v>
          </cell>
          <cell r="DP25"/>
          <cell r="DQ25">
            <v>21333.333333333332</v>
          </cell>
          <cell r="DR25">
            <v>11166.666666666668</v>
          </cell>
          <cell r="DS25">
            <v>6500.0000000000009</v>
          </cell>
          <cell r="DT25">
            <v>3500</v>
          </cell>
          <cell r="DU25">
            <v>1408.16</v>
          </cell>
          <cell r="DV25">
            <v>0</v>
          </cell>
          <cell r="DW25">
            <v>0</v>
          </cell>
          <cell r="DX25">
            <v>43908.160000000003</v>
          </cell>
          <cell r="DY25"/>
          <cell r="DZ25"/>
          <cell r="EA25"/>
          <cell r="EB25"/>
          <cell r="EC25"/>
          <cell r="ED25"/>
          <cell r="EE25"/>
          <cell r="EF25"/>
          <cell r="EG25">
            <v>60</v>
          </cell>
          <cell r="EH25">
            <v>6</v>
          </cell>
          <cell r="EI25">
            <v>0</v>
          </cell>
          <cell r="EJ25"/>
          <cell r="EK25">
            <v>1</v>
          </cell>
          <cell r="EL25">
            <v>0</v>
          </cell>
          <cell r="EM25">
            <v>0</v>
          </cell>
          <cell r="EN25">
            <v>0</v>
          </cell>
        </row>
        <row r="26">
          <cell r="A26" t="str">
            <v>CONDADO</v>
          </cell>
          <cell r="B26" t="str">
            <v>AE SALESLAND EL CONDADO</v>
          </cell>
          <cell r="C26">
            <v>0.49446494464944651</v>
          </cell>
          <cell r="D26">
            <v>0.50553505535055354</v>
          </cell>
          <cell r="E26">
            <v>0.69402985074626866</v>
          </cell>
          <cell r="F26">
            <v>0.64233576642335766</v>
          </cell>
          <cell r="G26">
            <v>134</v>
          </cell>
          <cell r="H26">
            <v>93</v>
          </cell>
          <cell r="I26">
            <v>137</v>
          </cell>
          <cell r="J26">
            <v>88</v>
          </cell>
          <cell r="K26">
            <v>271</v>
          </cell>
          <cell r="L26">
            <v>300</v>
          </cell>
          <cell r="M26">
            <v>22</v>
          </cell>
          <cell r="N26">
            <v>72</v>
          </cell>
          <cell r="O26">
            <v>463.25000000000006</v>
          </cell>
          <cell r="P26"/>
          <cell r="Q26">
            <v>5651.7856800000009</v>
          </cell>
          <cell r="R26"/>
          <cell r="S26"/>
          <cell r="T26">
            <v>35957.946559999997</v>
          </cell>
          <cell r="U26">
            <v>0</v>
          </cell>
          <cell r="V26">
            <v>0.86363636363636365</v>
          </cell>
          <cell r="W26">
            <v>102.06</v>
          </cell>
          <cell r="X26">
            <v>19.96</v>
          </cell>
          <cell r="Y26"/>
          <cell r="Z26">
            <v>0</v>
          </cell>
          <cell r="AA26">
            <v>29.98</v>
          </cell>
          <cell r="AB26">
            <v>10.7</v>
          </cell>
          <cell r="AC26">
            <v>0</v>
          </cell>
          <cell r="AD26">
            <v>0</v>
          </cell>
          <cell r="AE26">
            <v>40.68</v>
          </cell>
          <cell r="AF26">
            <v>0.66666666666666663</v>
          </cell>
          <cell r="AG26"/>
          <cell r="AH26"/>
          <cell r="AI26"/>
          <cell r="AJ26"/>
          <cell r="AK26"/>
          <cell r="AL26"/>
          <cell r="AM26"/>
          <cell r="AN26"/>
          <cell r="AO26">
            <v>5</v>
          </cell>
          <cell r="AP26"/>
          <cell r="AQ26">
            <v>2</v>
          </cell>
          <cell r="AR26">
            <v>0</v>
          </cell>
          <cell r="AS26">
            <v>0</v>
          </cell>
          <cell r="AT26"/>
          <cell r="AU26">
            <v>59.779411764705884</v>
          </cell>
          <cell r="AV26"/>
          <cell r="AW26"/>
          <cell r="AX26"/>
          <cell r="AY26">
            <v>271</v>
          </cell>
          <cell r="AZ26">
            <v>93</v>
          </cell>
          <cell r="BA26">
            <v>88</v>
          </cell>
          <cell r="BB26">
            <v>0.34317343173431736</v>
          </cell>
          <cell r="BC26">
            <v>0.32472324723247231</v>
          </cell>
          <cell r="BD26">
            <v>0.66789667896678973</v>
          </cell>
          <cell r="BE26"/>
          <cell r="BF26">
            <v>14.607487684729065</v>
          </cell>
          <cell r="BG26"/>
          <cell r="BH26">
            <v>18.600000000000001</v>
          </cell>
          <cell r="BI26">
            <v>17.600000000000001</v>
          </cell>
          <cell r="BJ26">
            <v>36.200000000000003</v>
          </cell>
          <cell r="BK26"/>
          <cell r="BL26" t="e">
            <v>#REF!</v>
          </cell>
          <cell r="BM26" t="e">
            <v>#REF!</v>
          </cell>
          <cell r="BN26" t="e">
            <v>#REF!</v>
          </cell>
          <cell r="BO26"/>
          <cell r="BP26" t="e">
            <v>#REF!</v>
          </cell>
          <cell r="BQ26" t="e">
            <v>#REF!</v>
          </cell>
          <cell r="BR26" t="e">
            <v>#REF!</v>
          </cell>
          <cell r="BS26"/>
          <cell r="BT26" t="e">
            <v>#REF!</v>
          </cell>
          <cell r="BU26" t="e">
            <v>#REF!</v>
          </cell>
          <cell r="BV26" t="e">
            <v>#REF!</v>
          </cell>
          <cell r="BW26"/>
          <cell r="BX26">
            <v>47</v>
          </cell>
          <cell r="BY26">
            <v>0.17343173431734318</v>
          </cell>
          <cell r="BZ26">
            <v>23</v>
          </cell>
          <cell r="CA26">
            <v>16</v>
          </cell>
          <cell r="CB26"/>
          <cell r="CC26"/>
          <cell r="CD26"/>
          <cell r="CE26"/>
          <cell r="CF26"/>
          <cell r="CG26"/>
          <cell r="CH26">
            <v>27</v>
          </cell>
          <cell r="CI26">
            <v>9.9630996309963096E-2</v>
          </cell>
          <cell r="CJ26">
            <v>14</v>
          </cell>
          <cell r="CK26">
            <v>9</v>
          </cell>
          <cell r="CL26"/>
          <cell r="CM26"/>
          <cell r="CN26"/>
          <cell r="CO26"/>
          <cell r="CP26"/>
          <cell r="CQ26"/>
          <cell r="CR26"/>
          <cell r="CS26"/>
          <cell r="CT26"/>
          <cell r="CU26"/>
          <cell r="CV26"/>
          <cell r="CW26"/>
          <cell r="CX26"/>
          <cell r="CY26"/>
          <cell r="CZ26"/>
          <cell r="DA26"/>
          <cell r="DB26"/>
          <cell r="DC26">
            <v>72</v>
          </cell>
          <cell r="DD26"/>
          <cell r="DE26"/>
          <cell r="DF26"/>
          <cell r="DG26"/>
          <cell r="DH26"/>
          <cell r="DI26"/>
          <cell r="DJ26"/>
          <cell r="DK26"/>
          <cell r="DL26"/>
          <cell r="DM26"/>
          <cell r="DN26"/>
          <cell r="DO26">
            <v>31678.470020000001</v>
          </cell>
          <cell r="DP26"/>
          <cell r="DQ26">
            <v>13050.980392156862</v>
          </cell>
          <cell r="DR26">
            <v>6831.3725490196084</v>
          </cell>
          <cell r="DS26">
            <v>3976.4705882352946</v>
          </cell>
          <cell r="DT26">
            <v>2141.1764705882351</v>
          </cell>
          <cell r="DU26">
            <v>1290.82</v>
          </cell>
          <cell r="DV26">
            <v>0</v>
          </cell>
          <cell r="DW26">
            <v>0</v>
          </cell>
          <cell r="DX26">
            <v>27290.819999999996</v>
          </cell>
          <cell r="DY26"/>
          <cell r="DZ26"/>
          <cell r="EA26"/>
          <cell r="EB26"/>
          <cell r="EC26"/>
          <cell r="ED26"/>
          <cell r="EE26"/>
          <cell r="EF26"/>
          <cell r="EG26">
            <v>34</v>
          </cell>
          <cell r="EH26">
            <v>5</v>
          </cell>
          <cell r="EI26">
            <v>3</v>
          </cell>
          <cell r="EJ26"/>
          <cell r="EK26">
            <v>1</v>
          </cell>
          <cell r="EL26">
            <v>1</v>
          </cell>
          <cell r="EM26">
            <v>0</v>
          </cell>
          <cell r="EN26">
            <v>0</v>
          </cell>
        </row>
        <row r="27">
          <cell r="A27" t="str">
            <v>CUENCA CENTRO</v>
          </cell>
          <cell r="B27" t="str">
            <v>AE SALESLAND CUENCA CENTRO</v>
          </cell>
          <cell r="C27">
            <v>0.54500000000000004</v>
          </cell>
          <cell r="D27">
            <v>0.45500000000000002</v>
          </cell>
          <cell r="E27">
            <v>0.6330275229357798</v>
          </cell>
          <cell r="F27">
            <v>0.73626373626373631</v>
          </cell>
          <cell r="G27">
            <v>109</v>
          </cell>
          <cell r="H27">
            <v>69</v>
          </cell>
          <cell r="I27">
            <v>91</v>
          </cell>
          <cell r="J27">
            <v>67</v>
          </cell>
          <cell r="K27">
            <v>200</v>
          </cell>
          <cell r="L27">
            <v>221</v>
          </cell>
          <cell r="M27">
            <v>21</v>
          </cell>
          <cell r="N27">
            <v>101</v>
          </cell>
          <cell r="O27">
            <v>208.45000000000002</v>
          </cell>
          <cell r="P27"/>
          <cell r="Q27">
            <v>4273.2142700000004</v>
          </cell>
          <cell r="R27"/>
          <cell r="S27"/>
          <cell r="T27">
            <v>19995.446489999998</v>
          </cell>
          <cell r="U27">
            <v>0</v>
          </cell>
          <cell r="V27">
            <v>1</v>
          </cell>
          <cell r="W27">
            <v>68.040000000000006</v>
          </cell>
          <cell r="X27">
            <v>0</v>
          </cell>
          <cell r="Y27"/>
          <cell r="Z27">
            <v>0</v>
          </cell>
          <cell r="AA27">
            <v>29.98</v>
          </cell>
          <cell r="AB27">
            <v>21.4</v>
          </cell>
          <cell r="AC27">
            <v>0</v>
          </cell>
          <cell r="AD27">
            <v>0</v>
          </cell>
          <cell r="AE27">
            <v>51.379999999999995</v>
          </cell>
          <cell r="AF27">
            <v>0.875</v>
          </cell>
          <cell r="AG27"/>
          <cell r="AH27"/>
          <cell r="AI27"/>
          <cell r="AJ27"/>
          <cell r="AK27"/>
          <cell r="AL27"/>
          <cell r="AM27"/>
          <cell r="AN27"/>
          <cell r="AO27">
            <v>5</v>
          </cell>
          <cell r="AP27"/>
          <cell r="AQ27">
            <v>0</v>
          </cell>
          <cell r="AR27">
            <v>1</v>
          </cell>
          <cell r="AS27">
            <v>1</v>
          </cell>
          <cell r="AT27"/>
          <cell r="AU27">
            <v>57.142857142857146</v>
          </cell>
          <cell r="AV27"/>
          <cell r="AW27"/>
          <cell r="AX27"/>
          <cell r="AY27">
            <v>200</v>
          </cell>
          <cell r="AZ27">
            <v>69</v>
          </cell>
          <cell r="BA27">
            <v>67</v>
          </cell>
          <cell r="BB27">
            <v>0.34499999999999997</v>
          </cell>
          <cell r="BC27">
            <v>0.33500000000000002</v>
          </cell>
          <cell r="BD27">
            <v>0.67999999999999994</v>
          </cell>
          <cell r="BE27"/>
          <cell r="BF27">
            <v>14.754070351758793</v>
          </cell>
          <cell r="BG27"/>
          <cell r="BH27">
            <v>13.8</v>
          </cell>
          <cell r="BI27">
            <v>13.4</v>
          </cell>
          <cell r="BJ27">
            <v>27.200000000000003</v>
          </cell>
          <cell r="BK27"/>
          <cell r="BL27" t="e">
            <v>#REF!</v>
          </cell>
          <cell r="BM27" t="e">
            <v>#REF!</v>
          </cell>
          <cell r="BN27" t="e">
            <v>#REF!</v>
          </cell>
          <cell r="BO27"/>
          <cell r="BP27" t="e">
            <v>#REF!</v>
          </cell>
          <cell r="BQ27" t="e">
            <v>#REF!</v>
          </cell>
          <cell r="BR27" t="e">
            <v>#REF!</v>
          </cell>
          <cell r="BS27"/>
          <cell r="BT27" t="e">
            <v>#REF!</v>
          </cell>
          <cell r="BU27" t="e">
            <v>#REF!</v>
          </cell>
          <cell r="BV27" t="e">
            <v>#REF!</v>
          </cell>
          <cell r="BW27"/>
          <cell r="BX27">
            <v>59</v>
          </cell>
          <cell r="BY27">
            <v>0.29499999999999998</v>
          </cell>
          <cell r="BZ27">
            <v>30</v>
          </cell>
          <cell r="CA27"/>
          <cell r="CB27">
            <v>4</v>
          </cell>
          <cell r="CC27">
            <v>16</v>
          </cell>
          <cell r="CD27"/>
          <cell r="CE27"/>
          <cell r="CF27"/>
          <cell r="CG27"/>
          <cell r="CH27">
            <v>29</v>
          </cell>
          <cell r="CI27">
            <v>0.14499999999999999</v>
          </cell>
          <cell r="CJ27">
            <v>11</v>
          </cell>
          <cell r="CK27"/>
          <cell r="CL27">
            <v>1</v>
          </cell>
          <cell r="CM27">
            <v>2</v>
          </cell>
          <cell r="CN27"/>
          <cell r="CO27"/>
          <cell r="CP27"/>
          <cell r="CQ27"/>
          <cell r="CR27"/>
          <cell r="CS27"/>
          <cell r="CT27"/>
          <cell r="CU27"/>
          <cell r="CV27"/>
          <cell r="CW27"/>
          <cell r="CX27"/>
          <cell r="CY27"/>
          <cell r="CZ27"/>
          <cell r="DA27"/>
          <cell r="DB27"/>
          <cell r="DC27">
            <v>101</v>
          </cell>
          <cell r="DD27"/>
          <cell r="DE27"/>
          <cell r="DF27"/>
          <cell r="DG27"/>
          <cell r="DH27"/>
          <cell r="DI27"/>
          <cell r="DJ27"/>
          <cell r="DK27"/>
          <cell r="DL27"/>
          <cell r="DM27"/>
          <cell r="DN27"/>
          <cell r="DO27">
            <v>25726.79579</v>
          </cell>
          <cell r="DP27"/>
          <cell r="DQ27">
            <v>12549.019607843136</v>
          </cell>
          <cell r="DR27">
            <v>6568.6274509803925</v>
          </cell>
          <cell r="DS27">
            <v>3823.5294117647063</v>
          </cell>
          <cell r="DT27">
            <v>2058.8235294117649</v>
          </cell>
          <cell r="DU27">
            <v>2127.5500000000002</v>
          </cell>
          <cell r="DV27">
            <v>0</v>
          </cell>
          <cell r="DW27">
            <v>0</v>
          </cell>
          <cell r="DX27">
            <v>27127.55</v>
          </cell>
          <cell r="DY27"/>
          <cell r="DZ27"/>
          <cell r="EA27"/>
          <cell r="EB27"/>
          <cell r="EC27"/>
          <cell r="ED27"/>
          <cell r="EE27"/>
          <cell r="EF27"/>
          <cell r="EG27">
            <v>14</v>
          </cell>
          <cell r="EH27">
            <v>0</v>
          </cell>
          <cell r="EI27">
            <v>0</v>
          </cell>
          <cell r="EJ27"/>
          <cell r="EK27">
            <v>1</v>
          </cell>
          <cell r="EL27">
            <v>2</v>
          </cell>
          <cell r="EM27">
            <v>0</v>
          </cell>
          <cell r="EN27">
            <v>0</v>
          </cell>
        </row>
        <row r="28">
          <cell r="A28" t="str">
            <v>CUENCA REMIGIO</v>
          </cell>
          <cell r="B28" t="str">
            <v>AE SALESLAND CUENCA REMIGIO</v>
          </cell>
          <cell r="C28">
            <v>0.5544554455445545</v>
          </cell>
          <cell r="D28">
            <v>0.44554455445544555</v>
          </cell>
          <cell r="E28">
            <v>0.7321428571428571</v>
          </cell>
          <cell r="F28">
            <v>0.7</v>
          </cell>
          <cell r="G28">
            <v>112</v>
          </cell>
          <cell r="H28">
            <v>82</v>
          </cell>
          <cell r="I28">
            <v>90</v>
          </cell>
          <cell r="J28">
            <v>63</v>
          </cell>
          <cell r="K28">
            <v>202</v>
          </cell>
          <cell r="L28">
            <v>224</v>
          </cell>
          <cell r="M28">
            <v>23</v>
          </cell>
          <cell r="N28">
            <v>98</v>
          </cell>
          <cell r="O28">
            <v>283.45999999999998</v>
          </cell>
          <cell r="P28"/>
          <cell r="Q28">
            <v>2241.0714200000002</v>
          </cell>
          <cell r="R28"/>
          <cell r="S28"/>
          <cell r="T28">
            <v>19923.03573</v>
          </cell>
          <cell r="U28">
            <v>0</v>
          </cell>
          <cell r="V28">
            <v>0.85895546760931396</v>
          </cell>
          <cell r="W28">
            <v>116.64000000000001</v>
          </cell>
          <cell r="X28">
            <v>0</v>
          </cell>
          <cell r="Y28"/>
          <cell r="Z28">
            <v>0</v>
          </cell>
          <cell r="AA28">
            <v>0</v>
          </cell>
          <cell r="AB28">
            <v>10.7</v>
          </cell>
          <cell r="AC28">
            <v>0</v>
          </cell>
          <cell r="AD28">
            <v>0</v>
          </cell>
          <cell r="AE28">
            <v>10.7</v>
          </cell>
          <cell r="AF28">
            <v>0.7192982456140351</v>
          </cell>
          <cell r="AG28"/>
          <cell r="AH28"/>
          <cell r="AI28"/>
          <cell r="AJ28"/>
          <cell r="AK28"/>
          <cell r="AL28"/>
          <cell r="AM28"/>
          <cell r="AN28"/>
          <cell r="AO28">
            <v>5</v>
          </cell>
          <cell r="AP28"/>
          <cell r="AQ28">
            <v>0</v>
          </cell>
          <cell r="AR28">
            <v>1</v>
          </cell>
          <cell r="AS28">
            <v>0</v>
          </cell>
          <cell r="AT28"/>
          <cell r="AU28">
            <v>44.888888888888886</v>
          </cell>
          <cell r="AV28"/>
          <cell r="AW28"/>
          <cell r="AX28"/>
          <cell r="AY28">
            <v>202</v>
          </cell>
          <cell r="AZ28">
            <v>82</v>
          </cell>
          <cell r="BA28">
            <v>63</v>
          </cell>
          <cell r="BB28">
            <v>0.40594059405940597</v>
          </cell>
          <cell r="BC28">
            <v>0.31188118811881188</v>
          </cell>
          <cell r="BD28">
            <v>0.71782178217821779</v>
          </cell>
          <cell r="BE28"/>
          <cell r="BF28">
            <v>14.6084</v>
          </cell>
          <cell r="BG28"/>
          <cell r="BH28">
            <v>16.399999999999999</v>
          </cell>
          <cell r="BI28">
            <v>12.6</v>
          </cell>
          <cell r="BJ28">
            <v>29</v>
          </cell>
          <cell r="BK28"/>
          <cell r="BL28" t="e">
            <v>#REF!</v>
          </cell>
          <cell r="BM28" t="e">
            <v>#REF!</v>
          </cell>
          <cell r="BN28" t="e">
            <v>#REF!</v>
          </cell>
          <cell r="BO28"/>
          <cell r="BP28" t="e">
            <v>#REF!</v>
          </cell>
          <cell r="BQ28" t="e">
            <v>#REF!</v>
          </cell>
          <cell r="BR28" t="e">
            <v>#REF!</v>
          </cell>
          <cell r="BS28"/>
          <cell r="BT28" t="e">
            <v>#REF!</v>
          </cell>
          <cell r="BU28" t="e">
            <v>#REF!</v>
          </cell>
          <cell r="BV28" t="e">
            <v>#REF!</v>
          </cell>
          <cell r="BW28"/>
          <cell r="BX28">
            <v>45</v>
          </cell>
          <cell r="BY28">
            <v>0.22277227722772278</v>
          </cell>
          <cell r="BZ28">
            <v>41</v>
          </cell>
          <cell r="CA28"/>
          <cell r="CB28">
            <v>4</v>
          </cell>
          <cell r="CC28"/>
          <cell r="CD28"/>
          <cell r="CE28"/>
          <cell r="CF28"/>
          <cell r="CG28"/>
          <cell r="CH28">
            <v>17</v>
          </cell>
          <cell r="CI28">
            <v>8.4158415841584164E-2</v>
          </cell>
          <cell r="CJ28">
            <v>13</v>
          </cell>
          <cell r="CK28"/>
          <cell r="CL28">
            <v>3</v>
          </cell>
          <cell r="CM28"/>
          <cell r="CN28"/>
          <cell r="CO28"/>
          <cell r="CP28"/>
          <cell r="CQ28"/>
          <cell r="CR28"/>
          <cell r="CS28"/>
          <cell r="CT28"/>
          <cell r="CU28"/>
          <cell r="CV28"/>
          <cell r="CW28"/>
          <cell r="CX28"/>
          <cell r="CY28"/>
          <cell r="CZ28"/>
          <cell r="DA28"/>
          <cell r="DB28"/>
          <cell r="DC28">
            <v>98</v>
          </cell>
          <cell r="DD28"/>
          <cell r="DE28"/>
          <cell r="DF28"/>
          <cell r="DG28"/>
          <cell r="DH28"/>
          <cell r="DI28"/>
          <cell r="DJ28"/>
          <cell r="DK28"/>
          <cell r="DL28"/>
          <cell r="DM28"/>
          <cell r="DN28"/>
          <cell r="DO28">
            <v>20913.310000000001</v>
          </cell>
          <cell r="DP28"/>
          <cell r="DQ28">
            <v>12549.019607843136</v>
          </cell>
          <cell r="DR28">
            <v>6568.6274509803925</v>
          </cell>
          <cell r="DS28">
            <v>3823.5294117647063</v>
          </cell>
          <cell r="DT28">
            <v>2058.8235294117649</v>
          </cell>
          <cell r="DU28">
            <v>2127.5500000000002</v>
          </cell>
          <cell r="DV28">
            <v>0</v>
          </cell>
          <cell r="DW28">
            <v>0</v>
          </cell>
          <cell r="DX28">
            <v>27127.55</v>
          </cell>
          <cell r="DY28"/>
          <cell r="DZ28"/>
          <cell r="EA28"/>
          <cell r="EB28"/>
          <cell r="EC28"/>
          <cell r="ED28"/>
          <cell r="EE28"/>
          <cell r="EF28"/>
          <cell r="EG28">
            <v>30</v>
          </cell>
          <cell r="EH28">
            <v>1</v>
          </cell>
          <cell r="EI28">
            <v>0</v>
          </cell>
          <cell r="EJ28"/>
          <cell r="EK28">
            <v>0</v>
          </cell>
          <cell r="EL28">
            <v>0</v>
          </cell>
          <cell r="EM28">
            <v>0</v>
          </cell>
          <cell r="EN28">
            <v>0</v>
          </cell>
        </row>
        <row r="29">
          <cell r="A29" t="str">
            <v>RECREO</v>
          </cell>
          <cell r="B29" t="str">
            <v>AE SALESLAND RECREO</v>
          </cell>
          <cell r="C29">
            <v>0.39433962264150946</v>
          </cell>
          <cell r="D29">
            <v>0.60566037735849054</v>
          </cell>
          <cell r="E29">
            <v>0.74641148325358853</v>
          </cell>
          <cell r="F29">
            <v>0.52647975077881615</v>
          </cell>
          <cell r="G29">
            <v>209</v>
          </cell>
          <cell r="H29">
            <v>156</v>
          </cell>
          <cell r="I29">
            <v>321</v>
          </cell>
          <cell r="J29">
            <v>169</v>
          </cell>
          <cell r="K29">
            <v>530</v>
          </cell>
          <cell r="L29">
            <v>587</v>
          </cell>
          <cell r="M29">
            <v>18</v>
          </cell>
          <cell r="N29">
            <v>176</v>
          </cell>
          <cell r="O29">
            <v>1454.0599999999993</v>
          </cell>
          <cell r="P29"/>
          <cell r="Q29">
            <v>5675.8928100000012</v>
          </cell>
          <cell r="R29"/>
          <cell r="S29"/>
          <cell r="T29">
            <v>42241.068619999998</v>
          </cell>
          <cell r="U29">
            <v>0</v>
          </cell>
          <cell r="V29">
            <v>0.80258974358974355</v>
          </cell>
          <cell r="W29">
            <v>247.86</v>
          </cell>
          <cell r="X29">
            <v>29.94</v>
          </cell>
          <cell r="Y29"/>
          <cell r="Z29">
            <v>0</v>
          </cell>
          <cell r="AA29">
            <v>29.98</v>
          </cell>
          <cell r="AB29">
            <v>0</v>
          </cell>
          <cell r="AC29">
            <v>0</v>
          </cell>
          <cell r="AD29">
            <v>0</v>
          </cell>
          <cell r="AE29">
            <v>29.98</v>
          </cell>
          <cell r="AF29">
            <v>0.6216216216216216</v>
          </cell>
          <cell r="AG29"/>
          <cell r="AH29"/>
          <cell r="AI29"/>
          <cell r="AJ29"/>
          <cell r="AK29"/>
          <cell r="AL29"/>
          <cell r="AM29"/>
          <cell r="AN29"/>
          <cell r="AO29">
            <v>12</v>
          </cell>
          <cell r="AP29"/>
          <cell r="AQ29">
            <v>4</v>
          </cell>
          <cell r="AR29">
            <v>0</v>
          </cell>
          <cell r="AS29">
            <v>0</v>
          </cell>
          <cell r="AT29"/>
          <cell r="AU29">
            <v>47.891566265060241</v>
          </cell>
          <cell r="AV29"/>
          <cell r="AW29"/>
          <cell r="AX29"/>
          <cell r="AY29">
            <v>530</v>
          </cell>
          <cell r="AZ29">
            <v>156</v>
          </cell>
          <cell r="BA29">
            <v>169</v>
          </cell>
          <cell r="BB29">
            <v>0.29433962264150942</v>
          </cell>
          <cell r="BC29">
            <v>0.31886792452830187</v>
          </cell>
          <cell r="BD29">
            <v>0.6132075471698113</v>
          </cell>
          <cell r="BE29"/>
          <cell r="BF29">
            <v>13.973391304347819</v>
          </cell>
          <cell r="BH29">
            <v>13</v>
          </cell>
          <cell r="BI29">
            <v>14.083333333333334</v>
          </cell>
          <cell r="BJ29">
            <v>27.083333333333336</v>
          </cell>
          <cell r="BK29"/>
          <cell r="BL29" t="e">
            <v>#REF!</v>
          </cell>
          <cell r="BM29" t="e">
            <v>#REF!</v>
          </cell>
          <cell r="BN29" t="e">
            <v>#REF!</v>
          </cell>
          <cell r="BO29"/>
          <cell r="BP29" t="e">
            <v>#REF!</v>
          </cell>
          <cell r="BQ29" t="e">
            <v>#REF!</v>
          </cell>
          <cell r="BR29" t="e">
            <v>#REF!</v>
          </cell>
          <cell r="BS29"/>
          <cell r="BT29" t="e">
            <v>#REF!</v>
          </cell>
          <cell r="BU29" t="e">
            <v>#REF!</v>
          </cell>
          <cell r="BV29" t="e">
            <v>#REF!</v>
          </cell>
          <cell r="BW29"/>
          <cell r="BX29">
            <v>128</v>
          </cell>
          <cell r="BY29">
            <v>0.24150943396226415</v>
          </cell>
          <cell r="BZ29">
            <v>84</v>
          </cell>
          <cell r="CA29">
            <v>33</v>
          </cell>
          <cell r="CB29"/>
          <cell r="CC29"/>
          <cell r="CD29"/>
          <cell r="CE29"/>
          <cell r="CF29"/>
          <cell r="CG29"/>
          <cell r="CH29">
            <v>103</v>
          </cell>
          <cell r="CI29">
            <v>0.19433962264150945</v>
          </cell>
          <cell r="CJ29">
            <v>56</v>
          </cell>
          <cell r="CK29">
            <v>40</v>
          </cell>
          <cell r="CL29"/>
          <cell r="CM29"/>
          <cell r="CN29"/>
          <cell r="CO29"/>
          <cell r="CP29"/>
          <cell r="CQ29"/>
          <cell r="CR29"/>
          <cell r="CS29"/>
          <cell r="CT29"/>
          <cell r="CU29"/>
          <cell r="CV29"/>
          <cell r="CW29"/>
          <cell r="CX29"/>
          <cell r="CY29"/>
          <cell r="CZ29"/>
          <cell r="DA29"/>
          <cell r="DB29"/>
          <cell r="DC29">
            <v>176</v>
          </cell>
          <cell r="DD29"/>
          <cell r="DE29"/>
          <cell r="DF29"/>
          <cell r="DG29"/>
          <cell r="DH29"/>
          <cell r="DI29"/>
          <cell r="DJ29"/>
          <cell r="DK29"/>
          <cell r="DL29"/>
          <cell r="DM29"/>
          <cell r="DN29"/>
          <cell r="DO29">
            <v>67639.91081999999</v>
          </cell>
          <cell r="DP29"/>
          <cell r="DQ29">
            <v>31372.549019607843</v>
          </cell>
          <cell r="DR29">
            <v>16421.568627450983</v>
          </cell>
          <cell r="DS29">
            <v>9558.8235294117658</v>
          </cell>
          <cell r="DT29">
            <v>5147.0588235294117</v>
          </cell>
          <cell r="DU29">
            <v>3933.68</v>
          </cell>
          <cell r="DV29">
            <v>0</v>
          </cell>
          <cell r="DW29">
            <v>0</v>
          </cell>
          <cell r="DX29">
            <v>66433.679999999993</v>
          </cell>
          <cell r="DY29"/>
          <cell r="DZ29"/>
          <cell r="EA29"/>
          <cell r="EB29"/>
          <cell r="EC29"/>
          <cell r="ED29"/>
          <cell r="EE29"/>
          <cell r="EF29"/>
          <cell r="EG29">
            <v>30</v>
          </cell>
          <cell r="EH29">
            <v>1</v>
          </cell>
          <cell r="EI29">
            <v>2</v>
          </cell>
          <cell r="EJ29"/>
          <cell r="EK29">
            <v>2</v>
          </cell>
          <cell r="EL29">
            <v>2</v>
          </cell>
          <cell r="EM29">
            <v>0</v>
          </cell>
          <cell r="EN29">
            <v>0</v>
          </cell>
        </row>
        <row r="30">
          <cell r="A30" t="str">
            <v>MACHALA</v>
          </cell>
          <cell r="B30" t="str">
            <v>AE SALESLAND MACHALA</v>
          </cell>
          <cell r="C30">
            <v>0.63522012578616349</v>
          </cell>
          <cell r="D30">
            <v>0.36477987421383645</v>
          </cell>
          <cell r="E30">
            <v>0.7722772277227723</v>
          </cell>
          <cell r="F30">
            <v>0.58620689655172409</v>
          </cell>
          <cell r="G30">
            <v>101</v>
          </cell>
          <cell r="H30">
            <v>78</v>
          </cell>
          <cell r="I30">
            <v>58</v>
          </cell>
          <cell r="J30">
            <v>34</v>
          </cell>
          <cell r="K30">
            <v>159</v>
          </cell>
          <cell r="L30">
            <v>176</v>
          </cell>
          <cell r="M30">
            <v>10</v>
          </cell>
          <cell r="N30">
            <v>36</v>
          </cell>
          <cell r="O30">
            <v>151.59</v>
          </cell>
          <cell r="P30"/>
          <cell r="Q30">
            <v>5579.4642600000006</v>
          </cell>
          <cell r="R30"/>
          <cell r="S30"/>
          <cell r="T30">
            <v>15542.500079999998</v>
          </cell>
          <cell r="U30">
            <v>0</v>
          </cell>
          <cell r="V30">
            <v>0.94360116320461174</v>
          </cell>
          <cell r="W30">
            <v>179.82000000000002</v>
          </cell>
          <cell r="X30">
            <v>9.98</v>
          </cell>
          <cell r="Y30"/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0.86206896551724133</v>
          </cell>
          <cell r="AG30"/>
          <cell r="AH30"/>
          <cell r="AI30"/>
          <cell r="AJ30"/>
          <cell r="AK30"/>
          <cell r="AL30"/>
          <cell r="AM30"/>
          <cell r="AN30"/>
          <cell r="AO30">
            <v>4</v>
          </cell>
          <cell r="AP30"/>
          <cell r="AQ30">
            <v>0</v>
          </cell>
          <cell r="AR30">
            <v>0</v>
          </cell>
          <cell r="AS30">
            <v>0</v>
          </cell>
          <cell r="AT30"/>
          <cell r="AU30">
            <v>39.75</v>
          </cell>
          <cell r="AV30"/>
          <cell r="AW30"/>
          <cell r="AX30"/>
          <cell r="AY30">
            <v>159</v>
          </cell>
          <cell r="AZ30">
            <v>78</v>
          </cell>
          <cell r="BA30">
            <v>34</v>
          </cell>
          <cell r="BB30">
            <v>0.49056603773584906</v>
          </cell>
          <cell r="BC30">
            <v>0.21383647798742139</v>
          </cell>
          <cell r="BD30">
            <v>0.70440251572327051</v>
          </cell>
          <cell r="BE30"/>
          <cell r="BF30">
            <v>13.844000000000001</v>
          </cell>
          <cell r="BG30"/>
          <cell r="BH30">
            <v>19.5</v>
          </cell>
          <cell r="BI30">
            <v>8.5</v>
          </cell>
          <cell r="BJ30">
            <v>28</v>
          </cell>
          <cell r="BK30"/>
          <cell r="BL30" t="e">
            <v>#REF!</v>
          </cell>
          <cell r="BM30" t="e">
            <v>#REF!</v>
          </cell>
          <cell r="BN30" t="e">
            <v>#REF!</v>
          </cell>
          <cell r="BO30"/>
          <cell r="BP30" t="e">
            <v>#REF!</v>
          </cell>
          <cell r="BQ30" t="e">
            <v>#REF!</v>
          </cell>
          <cell r="BR30" t="e">
            <v>#REF!</v>
          </cell>
          <cell r="BS30"/>
          <cell r="BT30" t="e">
            <v>#REF!</v>
          </cell>
          <cell r="BU30" t="e">
            <v>#REF!</v>
          </cell>
          <cell r="BV30" t="e">
            <v>#REF!</v>
          </cell>
          <cell r="BW30"/>
          <cell r="BX30">
            <v>34</v>
          </cell>
          <cell r="BY30">
            <v>0.21383647798742139</v>
          </cell>
          <cell r="BZ30">
            <v>26</v>
          </cell>
          <cell r="CA30"/>
          <cell r="CB30"/>
          <cell r="CC30"/>
          <cell r="CD30"/>
          <cell r="CE30"/>
          <cell r="CF30"/>
          <cell r="CG30"/>
          <cell r="CH30">
            <v>36</v>
          </cell>
          <cell r="CI30">
            <v>0.22641509433962265</v>
          </cell>
          <cell r="CJ30">
            <v>33</v>
          </cell>
          <cell r="CK30"/>
          <cell r="CL30"/>
          <cell r="CM30"/>
          <cell r="CN30"/>
          <cell r="CO30"/>
          <cell r="CP30"/>
          <cell r="CQ30"/>
          <cell r="CR30"/>
          <cell r="CS30"/>
          <cell r="CT30"/>
          <cell r="CU30"/>
          <cell r="CV30"/>
          <cell r="CW30"/>
          <cell r="CX30"/>
          <cell r="CY30"/>
          <cell r="CZ30"/>
          <cell r="DA30"/>
          <cell r="DB30"/>
          <cell r="DC30">
            <v>36</v>
          </cell>
          <cell r="DD30"/>
          <cell r="DE30"/>
          <cell r="DF30"/>
          <cell r="DG30"/>
          <cell r="DH30"/>
          <cell r="DI30"/>
          <cell r="DJ30"/>
          <cell r="DK30"/>
          <cell r="DL30"/>
          <cell r="DM30"/>
          <cell r="DN30"/>
          <cell r="DO30">
            <v>21386.658660000001</v>
          </cell>
          <cell r="DP30"/>
          <cell r="DQ30">
            <v>3011.7647058823527</v>
          </cell>
          <cell r="DR30">
            <v>1576.4705882352941</v>
          </cell>
          <cell r="DS30">
            <v>917.64705882352951</v>
          </cell>
          <cell r="DT30">
            <v>494.11764705882354</v>
          </cell>
          <cell r="DU30">
            <v>2020.41</v>
          </cell>
          <cell r="DV30">
            <v>0</v>
          </cell>
          <cell r="DW30">
            <v>0</v>
          </cell>
          <cell r="DX30">
            <v>8020.41</v>
          </cell>
          <cell r="DY30"/>
          <cell r="DZ30"/>
          <cell r="EA30"/>
          <cell r="EB30"/>
          <cell r="EC30"/>
          <cell r="ED30"/>
          <cell r="EE30"/>
          <cell r="EF30"/>
          <cell r="EG30">
            <v>99</v>
          </cell>
          <cell r="EH30">
            <v>5</v>
          </cell>
          <cell r="EI30">
            <v>0</v>
          </cell>
          <cell r="EJ30"/>
          <cell r="EK30">
            <v>1</v>
          </cell>
          <cell r="EL30">
            <v>1</v>
          </cell>
          <cell r="EM30">
            <v>0</v>
          </cell>
          <cell r="EN30">
            <v>0</v>
          </cell>
        </row>
        <row r="31">
          <cell r="A31"/>
          <cell r="B31" t="str">
            <v>TOTALES</v>
          </cell>
          <cell r="C31">
            <v>0.4895697522816167</v>
          </cell>
          <cell r="D31">
            <v>0.5104302477183833</v>
          </cell>
          <cell r="E31">
            <v>0.70838881491344874</v>
          </cell>
          <cell r="F31">
            <v>0.58620689655172409</v>
          </cell>
          <cell r="G31">
            <v>751</v>
          </cell>
          <cell r="H31">
            <v>532</v>
          </cell>
          <cell r="I31">
            <v>783</v>
          </cell>
          <cell r="J31">
            <v>459</v>
          </cell>
          <cell r="K31">
            <v>1534</v>
          </cell>
          <cell r="L31">
            <v>1698</v>
          </cell>
          <cell r="M31">
            <v>97</v>
          </cell>
          <cell r="N31">
            <v>575</v>
          </cell>
          <cell r="O31">
            <v>2804.329999999999</v>
          </cell>
          <cell r="P31"/>
          <cell r="Q31">
            <v>27410.714180000003</v>
          </cell>
          <cell r="R31">
            <v>0</v>
          </cell>
          <cell r="S31">
            <v>0</v>
          </cell>
          <cell r="T31">
            <v>154663.20751000001</v>
          </cell>
          <cell r="U31">
            <v>0</v>
          </cell>
          <cell r="V31">
            <v>0.89618601189556102</v>
          </cell>
          <cell r="W31">
            <v>806.7600000000001</v>
          </cell>
          <cell r="X31">
            <v>89.820000000000007</v>
          </cell>
          <cell r="Y31"/>
          <cell r="Z31">
            <v>6.88</v>
          </cell>
          <cell r="AA31">
            <v>89.94</v>
          </cell>
          <cell r="AB31">
            <v>42.8</v>
          </cell>
          <cell r="AC31">
            <v>0</v>
          </cell>
          <cell r="AD31">
            <v>0</v>
          </cell>
          <cell r="AE31">
            <v>132.74</v>
          </cell>
          <cell r="AF31">
            <v>0.78800000000000003</v>
          </cell>
          <cell r="AG31"/>
          <cell r="AH31"/>
          <cell r="AI31"/>
          <cell r="AJ31"/>
          <cell r="AK31"/>
          <cell r="AL31"/>
          <cell r="AM31"/>
          <cell r="AN31"/>
          <cell r="AO31">
            <v>36</v>
          </cell>
          <cell r="AP31"/>
          <cell r="AQ31">
            <v>7</v>
          </cell>
          <cell r="AR31">
            <v>2</v>
          </cell>
          <cell r="AS31">
            <v>1</v>
          </cell>
          <cell r="AT31"/>
          <cell r="AU31">
            <v>45.97402597402597</v>
          </cell>
          <cell r="AV31"/>
          <cell r="AW31"/>
          <cell r="AX31"/>
          <cell r="AY31">
            <v>1534</v>
          </cell>
          <cell r="AZ31">
            <v>532</v>
          </cell>
          <cell r="BA31">
            <v>459</v>
          </cell>
          <cell r="BB31">
            <v>0.34680573663624509</v>
          </cell>
          <cell r="BC31">
            <v>0.29921773142112124</v>
          </cell>
          <cell r="BD31">
            <v>0.64602346805736632</v>
          </cell>
          <cell r="BE31"/>
          <cell r="BF31">
            <v>14.273740228502703</v>
          </cell>
          <cell r="BG31"/>
          <cell r="BH31">
            <v>14.777777777777779</v>
          </cell>
          <cell r="BI31">
            <v>12.75</v>
          </cell>
          <cell r="BJ31">
            <v>27.527777777777779</v>
          </cell>
          <cell r="BK31"/>
          <cell r="BL31" t="e">
            <v>#REF!</v>
          </cell>
          <cell r="BM31" t="e">
            <v>#REF!</v>
          </cell>
          <cell r="BN31" t="e">
            <v>#REF!</v>
          </cell>
          <cell r="BO31"/>
          <cell r="BP31" t="e">
            <v>#REF!</v>
          </cell>
          <cell r="BQ31" t="e">
            <v>#REF!</v>
          </cell>
          <cell r="BR31" t="e">
            <v>#REF!</v>
          </cell>
          <cell r="BS31"/>
          <cell r="BT31" t="e">
            <v>#REF!</v>
          </cell>
          <cell r="BU31" t="e">
            <v>#REF!</v>
          </cell>
          <cell r="BV31" t="e">
            <v>#REF!</v>
          </cell>
          <cell r="BW31"/>
          <cell r="BX31">
            <v>365</v>
          </cell>
          <cell r="BY31">
            <v>0.23794002607561929</v>
          </cell>
          <cell r="BZ31"/>
          <cell r="CA31"/>
          <cell r="CB31"/>
          <cell r="CC31"/>
          <cell r="CD31"/>
          <cell r="CE31"/>
          <cell r="CF31"/>
          <cell r="CG31"/>
          <cell r="CH31">
            <v>250</v>
          </cell>
          <cell r="CI31">
            <v>0.16297262059973924</v>
          </cell>
          <cell r="CJ31"/>
          <cell r="CK31"/>
          <cell r="CL31"/>
          <cell r="CM31"/>
          <cell r="CN31"/>
          <cell r="CO31"/>
          <cell r="CP31"/>
          <cell r="CQ31"/>
          <cell r="CR31"/>
          <cell r="CS31"/>
          <cell r="CT31"/>
          <cell r="CU31"/>
          <cell r="CV31"/>
          <cell r="CW31"/>
          <cell r="CX31"/>
          <cell r="CY31"/>
          <cell r="CZ31"/>
          <cell r="DA31"/>
          <cell r="DB31"/>
          <cell r="DC31">
            <v>575</v>
          </cell>
          <cell r="DD31"/>
          <cell r="DE31"/>
          <cell r="DF31"/>
          <cell r="DG31"/>
          <cell r="DH31"/>
          <cell r="DI31"/>
          <cell r="DJ31"/>
          <cell r="DK31"/>
          <cell r="DL31"/>
          <cell r="DM31"/>
          <cell r="DN31"/>
          <cell r="DO31">
            <v>194245.60305999999</v>
          </cell>
          <cell r="DP31"/>
          <cell r="DQ31">
            <v>93866.666666666657</v>
          </cell>
          <cell r="DR31">
            <v>49133.333333333336</v>
          </cell>
          <cell r="DS31">
            <v>28600</v>
          </cell>
          <cell r="DT31">
            <v>15400.000000000002</v>
          </cell>
          <cell r="DU31">
            <v>12908.17</v>
          </cell>
          <cell r="DV31">
            <v>0</v>
          </cell>
          <cell r="DW31">
            <v>0</v>
          </cell>
          <cell r="DX31">
            <v>199908.17</v>
          </cell>
          <cell r="DY31"/>
          <cell r="DZ31"/>
          <cell r="EA31"/>
          <cell r="EB31"/>
          <cell r="EC31"/>
          <cell r="ED31"/>
          <cell r="EE31"/>
          <cell r="EF31"/>
          <cell r="EG31">
            <v>267</v>
          </cell>
          <cell r="EH31">
            <v>18</v>
          </cell>
          <cell r="EI31">
            <v>5</v>
          </cell>
          <cell r="EJ31"/>
          <cell r="EK31">
            <v>6</v>
          </cell>
          <cell r="EL31">
            <v>6</v>
          </cell>
          <cell r="EM31">
            <v>0</v>
          </cell>
          <cell r="EN31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TARIFA_BASICA_ACTUAL</v>
          </cell>
          <cell r="F1" t="str">
            <v>TARIFA_BASICA_ANTERIOR</v>
          </cell>
        </row>
        <row r="2">
          <cell r="B2">
            <v>11.42</v>
          </cell>
          <cell r="C2">
            <v>0</v>
          </cell>
          <cell r="F2">
            <v>0</v>
          </cell>
          <cell r="G2">
            <v>-1</v>
          </cell>
        </row>
        <row r="3">
          <cell r="B3">
            <v>14.28</v>
          </cell>
          <cell r="C3">
            <v>1</v>
          </cell>
          <cell r="F3">
            <v>6</v>
          </cell>
          <cell r="G3">
            <v>-1</v>
          </cell>
        </row>
        <row r="4">
          <cell r="B4">
            <v>15</v>
          </cell>
          <cell r="C4">
            <v>2</v>
          </cell>
          <cell r="F4">
            <v>8</v>
          </cell>
          <cell r="G4">
            <v>-1</v>
          </cell>
        </row>
        <row r="5">
          <cell r="B5">
            <v>17.850000000000001</v>
          </cell>
          <cell r="C5">
            <v>2</v>
          </cell>
          <cell r="F5">
            <v>9.99</v>
          </cell>
          <cell r="G5">
            <v>0</v>
          </cell>
        </row>
        <row r="6">
          <cell r="B6">
            <v>21.42</v>
          </cell>
          <cell r="C6">
            <v>3</v>
          </cell>
          <cell r="F6">
            <v>10.54</v>
          </cell>
          <cell r="G6">
            <v>0</v>
          </cell>
        </row>
        <row r="7">
          <cell r="B7">
            <v>25</v>
          </cell>
          <cell r="C7">
            <v>4</v>
          </cell>
          <cell r="F7">
            <v>11.42</v>
          </cell>
          <cell r="G7">
            <v>0</v>
          </cell>
        </row>
        <row r="8">
          <cell r="B8">
            <v>26.78</v>
          </cell>
          <cell r="C8">
            <v>4</v>
          </cell>
          <cell r="F8">
            <v>11.99</v>
          </cell>
          <cell r="G8">
            <v>0</v>
          </cell>
        </row>
        <row r="9">
          <cell r="B9">
            <v>32.130000000000003</v>
          </cell>
          <cell r="C9">
            <v>5</v>
          </cell>
          <cell r="F9">
            <v>12.99</v>
          </cell>
          <cell r="G9">
            <v>1</v>
          </cell>
        </row>
        <row r="10">
          <cell r="B10">
            <v>50</v>
          </cell>
          <cell r="C10">
            <v>6</v>
          </cell>
          <cell r="F10">
            <v>13.79</v>
          </cell>
          <cell r="G10">
            <v>1</v>
          </cell>
        </row>
        <row r="11">
          <cell r="B11">
            <v>51.78</v>
          </cell>
          <cell r="C11">
            <v>6</v>
          </cell>
          <cell r="F11">
            <v>14.28</v>
          </cell>
          <cell r="G11">
            <v>1</v>
          </cell>
        </row>
        <row r="12">
          <cell r="F12">
            <v>15</v>
          </cell>
          <cell r="G12">
            <v>2</v>
          </cell>
        </row>
        <row r="13">
          <cell r="F13">
            <v>16.989999999999998</v>
          </cell>
          <cell r="G13">
            <v>2</v>
          </cell>
        </row>
        <row r="14">
          <cell r="F14">
            <v>17.03</v>
          </cell>
          <cell r="G14">
            <v>2</v>
          </cell>
        </row>
        <row r="15">
          <cell r="F15">
            <v>17.850000000000001</v>
          </cell>
          <cell r="G15">
            <v>2</v>
          </cell>
        </row>
        <row r="16">
          <cell r="F16">
            <v>19.989999999999998</v>
          </cell>
          <cell r="G16">
            <v>3</v>
          </cell>
        </row>
        <row r="17">
          <cell r="F17">
            <v>20</v>
          </cell>
          <cell r="G17">
            <v>3</v>
          </cell>
        </row>
        <row r="18">
          <cell r="F18">
            <v>20.28</v>
          </cell>
          <cell r="G18">
            <v>3</v>
          </cell>
        </row>
        <row r="19">
          <cell r="F19">
            <v>21.42</v>
          </cell>
          <cell r="G19">
            <v>3</v>
          </cell>
        </row>
        <row r="20">
          <cell r="F20">
            <v>24.99</v>
          </cell>
          <cell r="G20">
            <v>4</v>
          </cell>
        </row>
        <row r="21">
          <cell r="F21">
            <v>25</v>
          </cell>
          <cell r="G21">
            <v>4</v>
          </cell>
        </row>
        <row r="22">
          <cell r="F22">
            <v>25.15</v>
          </cell>
          <cell r="G22">
            <v>4</v>
          </cell>
        </row>
        <row r="23">
          <cell r="F23">
            <v>26.78</v>
          </cell>
          <cell r="G23">
            <v>4</v>
          </cell>
        </row>
        <row r="24">
          <cell r="F24">
            <v>29.99</v>
          </cell>
          <cell r="G24">
            <v>5</v>
          </cell>
        </row>
        <row r="25">
          <cell r="B25" t="str">
            <v>full iron</v>
          </cell>
          <cell r="C25">
            <v>15</v>
          </cell>
          <cell r="F25">
            <v>30.02</v>
          </cell>
          <cell r="G25">
            <v>5</v>
          </cell>
        </row>
        <row r="26">
          <cell r="B26" t="str">
            <v>full gold</v>
          </cell>
          <cell r="C26">
            <v>25</v>
          </cell>
          <cell r="F26">
            <v>35</v>
          </cell>
          <cell r="G26">
            <v>5</v>
          </cell>
        </row>
        <row r="27">
          <cell r="B27" t="str">
            <v>full dimond</v>
          </cell>
          <cell r="C27">
            <v>35</v>
          </cell>
          <cell r="F27">
            <v>49.99</v>
          </cell>
          <cell r="G27">
            <v>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6AC60-DC1A-4C13-A77E-DEF588509583}" name="Pospago" displayName="Pospago" ref="A1:BK1128" totalsRowShown="0" headerRowDxfId="412" headerRowBorderDxfId="411" tableBorderDxfId="410" totalsRowBorderDxfId="409">
  <autoFilter ref="A1:BK1128" xr:uid="{6D06AC60-DC1A-4C13-A77E-DEF588509583}"/>
  <tableColumns count="63">
    <tableColumn id="1" xr3:uid="{2449DCE7-7A4B-44A0-9FDC-9A153C8B028C}" name="LINEA_NEGOCIO" dataDxfId="408"/>
    <tableColumn id="2" xr3:uid="{C650E897-7A8D-4EC3-948E-9923929512B4}" name="NUM_TELEFONICO" dataDxfId="407"/>
    <tableColumn id="3" xr3:uid="{7508D922-53EA-4A50-8CF1-B9629089CD1E}" name="ACCOUNT_NUM" dataDxfId="406"/>
    <tableColumn id="4" xr3:uid="{1F09DB6A-980F-438F-B7C1-E284E55B0B07}" name="FECHA_ALTA" dataDxfId="405"/>
    <tableColumn id="5" xr3:uid="{B4099A20-77A9-4781-B8EF-E6C21B7F2B5D}" name="ESTADO_ABONADO" dataDxfId="404"/>
    <tableColumn id="6" xr3:uid="{5F5D539F-A331-434C-A608-0A1BA189BA10}" name="CLIENTE" dataDxfId="403"/>
    <tableColumn id="7" xr3:uid="{4799CF0F-9B0E-4CC2-A881-0C825BA96FF2}" name="DOCUMENTO_CLIENTE" dataDxfId="402"/>
    <tableColumn id="8" xr3:uid="{4A173F3C-079B-48FF-9189-8097091323EB}" name="TIPO_DOC_CLIENTE" dataDxfId="401"/>
    <tableColumn id="9" xr3:uid="{5520A018-EEDC-434B-A174-43B02A07D45E}" name="PLAN_CODIGO" dataDxfId="400"/>
    <tableColumn id="10" xr3:uid="{E14B711A-8434-4352-8708-4B4864DA3AC8}" name="PlanDesc" dataDxfId="399"/>
    <tableColumn id="11" xr3:uid="{036673BE-B2C8-43A8-AD05-36ED31BB59DF}" name="LOCALIZACION" dataDxfId="398"/>
    <tableColumn id="12" xr3:uid="{9B32A5CB-3FFC-425F-81A1-142A555C56A4}" name="IMEI" dataDxfId="397"/>
    <tableColumn id="13" xr3:uid="{0C3BDF87-A3C0-4588-8236-C19B19D68D35}" name="EQUIPO" dataDxfId="396"/>
    <tableColumn id="14" xr3:uid="{A1E2B675-849C-496E-99DC-45C56CA32881}" name="ICCID" dataDxfId="395"/>
    <tableColumn id="15" xr3:uid="{9D43E426-F86C-4719-A27A-0AF03B76D8B7}" name="SUB_SEGMENTO" dataDxfId="394"/>
    <tableColumn id="16" xr3:uid="{20259880-6ACF-4B3B-A424-95BCFC7783C0}" name="SEGMENTO" dataDxfId="393"/>
    <tableColumn id="17" xr3:uid="{93CE5D9F-9A24-488D-8B15-6C5F9DF4BE86}" name="FECHA_PROCESO" dataDxfId="392"/>
    <tableColumn id="18" xr3:uid="{D3DE45CD-0763-4F13-A1C4-E2D5B7790B28}" name="TARIFA_BASICA" dataDxfId="391" dataCellStyle="Moneda"/>
    <tableColumn id="19" xr3:uid="{495F2176-2122-4FC1-9E4D-245F7078991C}" name="CATEGORIA_PLAN" dataDxfId="390"/>
    <tableColumn id="20" xr3:uid="{ED9958EA-26FC-4AE4-A128-1C4E4ED242AC}" name="Oficina" dataDxfId="389"/>
    <tableColumn id="21" xr3:uid="{474B7E28-E009-4C85-825B-7632A1C23925}" name="PORTABILIDAD" dataDxfId="388"/>
    <tableColumn id="22" xr3:uid="{697815B1-5CFD-41EF-BFDF-1E8900DA40C7}" name="Operadora_origen" dataDxfId="387"/>
    <tableColumn id="23" xr3:uid="{8F59476B-A70D-45EF-9853-C3BEA2728989}" name="RESEGMENTAR" dataDxfId="386"/>
    <tableColumn id="24" xr3:uid="{6DD0E785-950F-4071-831E-503CB06E55DF}" name="FORMA_PAGO" dataDxfId="385"/>
    <tableColumn id="25" xr3:uid="{C632F417-6399-4048-863A-3C4AC65346A9}" name="CANAL_COMERCIAL" dataDxfId="384"/>
    <tableColumn id="26" xr3:uid="{25E2A077-3B7B-416D-B4B6-0B258508E7A6}" name="CODIGO_DISTRIBUIDOR" dataDxfId="383"/>
    <tableColumn id="27" xr3:uid="{5C3CD9F5-2756-489E-895A-2835E5B68A19}" name="FORMA_PAGO_FINAL" dataDxfId="382"/>
    <tableColumn id="28" xr3:uid="{381FB0B6-8F24-4483-858B-ECA68EEFA0FC}" name="USUARIO" dataDxfId="381"/>
    <tableColumn id="29" xr3:uid="{B025A5DF-E264-4F9B-A163-8674644514BF}" name="NOMBRE_USUARIO" dataDxfId="380"/>
    <tableColumn id="30" xr3:uid="{10B40327-E572-43FF-82BB-0A33DB04BA6C}" name="CANAL_COMERCIAL_FINAL" dataDxfId="379"/>
    <tableColumn id="31" xr3:uid="{DE0779D8-0E4E-4E7B-933E-E54DC253163C}" name="NOM_DISTRIBUIDOR_FINAL" dataDxfId="378"/>
    <tableColumn id="32" xr3:uid="{D02EA8FD-66DD-4E1C-BA42-4E4E2371F945}" name="NOM_PLAZA_FINAL" dataDxfId="377"/>
    <tableColumn id="33" xr3:uid="{CA82D9A4-F4E2-4686-BB31-D1A0BE30E4D8}" name="REGION_FINAL" dataDxfId="376"/>
    <tableColumn id="34" xr3:uid="{06E3A0C7-26CB-4947-910B-F40A7F290DE5}" name="TIPO_MOVIMIENTO" dataDxfId="375"/>
    <tableColumn id="35" xr3:uid="{A0945473-9031-4E7E-822B-EFAC6641C254}" name="PARQUE" dataDxfId="374"/>
    <tableColumn id="36" xr3:uid="{7C140C8F-4617-4DE5-AD68-BE095E9350C6}" name="FECHA_ALTA_VALIDA" dataDxfId="373"/>
    <tableColumn id="37" xr3:uid="{26052149-E843-4CE6-A84E-8E879AD3DEA2}" name="FECHA_FACTURA" dataDxfId="372"/>
    <tableColumn id="38" xr3:uid="{BA4B362A-84A2-4A5E-9E4D-26BE697BF234}" name="LINEA_NEGOCIO1" dataDxfId="371"/>
    <tableColumn id="39" xr3:uid="{72191CEB-0400-4599-92E4-76ABBF9A3F79}" name="CLASIFICACION" dataDxfId="370"/>
    <tableColumn id="40" xr3:uid="{FD5F72BD-3787-4D07-A372-5F4718E03901}" name="TIPO_DOCUMENTO" dataDxfId="369"/>
    <tableColumn id="41" xr3:uid="{92D20132-E852-45DD-8895-446845996B94}" name="MODELO_TERMINAL" dataDxfId="368"/>
    <tableColumn id="42" xr3:uid="{3B7FEECC-234C-41BB-8D39-0EA78142716F}" name="CANTIDAD" dataDxfId="367"/>
    <tableColumn id="43" xr3:uid="{0D26C1DF-B6D8-4D59-BED8-992B27801B3B}" name="MONTO" dataDxfId="366"/>
    <tableColumn id="44" xr3:uid="{752D40C1-CB14-48A0-B1E0-71A33560BE0F}" name="TIPO_VENTA" dataDxfId="365"/>
    <tableColumn id="45" xr3:uid="{734961F1-FA7E-4DBF-8483-18C0A903D75D}" name="ALTA_CON_TERMINAL" dataDxfId="364"/>
    <tableColumn id="46" xr3:uid="{960ACFA9-C50A-40B5-A758-84BC028D326D}" name="PLANES TELEVENTAS" dataDxfId="363"/>
    <tableColumn id="47" xr3:uid="{3DBC3EE9-E038-4031-9E67-232006E763E4}" name="PREVIO PAGO" dataDxfId="362"/>
    <tableColumn id="48" xr3:uid="{36DA097E-D1FC-4540-90D5-38A5402E7064}" name="DESCRIPCION_SLO" dataDxfId="361"/>
    <tableColumn id="57" xr3:uid="{22176C11-5152-4BF4-AB8B-56412AC4AE99}" name="IP'S" dataDxfId="360"/>
    <tableColumn id="58" xr3:uid="{1E2C5587-23BC-425E-A59B-A6998F81C58E}" name="Dolarazo" dataDxfId="359"/>
    <tableColumn id="49" xr3:uid="{F647C0D5-85C6-411A-9CFC-9A3A4C5405B7}" name="CRUCE_CNET" dataDxfId="358">
      <calculatedColumnFormula>Pospago[[#This Row],[NUM_TELEFONICO]]&amp;"POSPAGOSI"</calculatedColumnFormula>
    </tableColumn>
    <tableColumn id="50" xr3:uid="{E6CD3198-A28F-4EAC-A44D-C071675C2759}" name="LOCALES" dataDxfId="357">
      <calculatedColumnFormula>VLOOKUP(Pospago[[#This Row],[NOM_PLAZA_FINAL]],[1]!Locales[#Data],3,0)</calculatedColumnFormula>
    </tableColumn>
    <tableColumn id="51" xr3:uid="{B116E9F6-F90F-4380-AC67-AF0553C76A33}" name="EJECUTIVO" dataDxfId="356">
      <calculatedColumnFormula>IFERROR(VLOOKUP(Pospago[[#This Row],[USUARIO]],[1]!Personal[#Data],6,0),"EJECUTIVO NO REGISTRADO")</calculatedColumnFormula>
    </tableColumn>
    <tableColumn id="52" xr3:uid="{456C12E6-3546-42BA-BE06-8796A5704DD6}" name="TIPO" dataDxfId="355">
      <calculatedColumnFormula>Pospago[[#This Row],[TIPO_MOVIMIENTO]]&amp;" "&amp;Pospago[[#This Row],[FORMA_PAGO_FINAL]]</calculatedColumnFormula>
    </tableColumn>
    <tableColumn id="53" xr3:uid="{1552DFBB-C6F2-46FA-A760-9B758E1C409E}" name="DIA" dataDxfId="354">
      <calculatedColumnFormula>DAY(Pospago[[#This Row],[FECHA_ALTA]])</calculatedColumnFormula>
    </tableColumn>
    <tableColumn id="54" xr3:uid="{550D9F8F-F257-4026-824E-7BBD47F3AB3F}" name="PLAN $11,42" dataDxfId="353">
      <calculatedColumnFormula>IF(Pospago[[#This Row],[TARIFA_BASICA]]=11.42,1,0)</calculatedColumnFormula>
    </tableColumn>
    <tableColumn id="55" xr3:uid="{A33962CB-F4FB-4E10-9B2C-BD781D0B00EB}" name="PLAN TELE" dataDxfId="352">
      <calculatedColumnFormula>IF(Pospago[[#This Row],[PLANES TELEVENTAS]]="SI",1,0)</calculatedColumnFormula>
    </tableColumn>
    <tableColumn id="62" xr3:uid="{E4CBF595-FFED-4A41-8311-9CC154D24CD9}" name="PLANES TOTAL" dataDxfId="351">
      <calculatedColumnFormula>1</calculatedColumnFormula>
    </tableColumn>
    <tableColumn id="63" xr3:uid="{0A7F40D2-6107-43A8-A355-9CF2E135ED5A}" name="PLANES $11,42 Y TELE" dataDxfId="350">
      <calculatedColumnFormula>IF(OR(Pospago[[#This Row],[TARIFA_BASICA]]=11.42,Pospago[[#This Row],[PLANES TELEVENTAS]]="SI"),1,0)</calculatedColumnFormula>
    </tableColumn>
    <tableColumn id="56" xr3:uid="{1A300F0D-5CFE-43FC-8EE4-CCDE551C9351}" name="MODABILIDAD ACT." dataDxfId="349">
      <calculatedColumnFormula>IF(MID(Pospago[[#This Row],[PlanDesc]],1,4) = "PLAN","POSPAGO",IF(MID(Pospago[[#This Row],[PlanDesc]],1,4)="FULL","FULL MEGAS","PREVIOPAGO"))</calculatedColumnFormula>
    </tableColumn>
    <tableColumn id="59" xr3:uid="{C98871C1-4EFC-435F-938D-64E88BA5741C}" name="COMISION UPFRONT" dataDxfId="348" dataCellStyle="Moneda">
      <calculatedColumnFormula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calculatedColumnFormula>
    </tableColumn>
    <tableColumn id="60" xr3:uid="{4EA554B9-5D1D-4D97-B028-0F9A39633CE9}" name="COMISION BC" dataDxfId="347" dataCellStyle="Moneda">
      <calculatedColumnFormula>IF(LEN(Pospago[[#This Row],[DOCUMENTO_CLIENTE]])=13,0,IFERROR(INDEX([1]!Comisiones[#Data],MATCH(Pospago[[#This Row],[TARIFA_BASICA]],[1]!Comisiones[Producto],0),MATCH("Bono Actividad Comercial",[1]!Comisiones[#Headers],0)),"No esta en Comisiones"))</calculatedColumnFormula>
    </tableColumn>
    <tableColumn id="61" xr3:uid="{43FDC695-03A2-4491-BF82-70957E214620}" name="COMISION BF" dataDxfId="346" dataCellStyle="Moneda">
      <calculatedColumnFormula>Pospago[[#This Row],[TARIFA_BASICA]]*1.5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A4BEBE-4DFD-45BE-9CB0-D1456F755858}" name="UnitariosPospago" displayName="UnitariosPospago" ref="BN2:BX26" totalsRowShown="0">
  <autoFilter ref="BN2:BX26" xr:uid="{233EC59B-BEF6-4D9F-B20B-17A1C7382ECF}"/>
  <tableColumns count="11">
    <tableColumn id="1" xr3:uid="{081FB7C1-1F0B-4655-A3A4-7E6B784A8771}" name="TIENDA"/>
    <tableColumn id="2" xr3:uid="{E8815945-ED77-4F43-86C4-9331E653B09A}" name="TIPO ALTA" dataDxfId="345"/>
    <tableColumn id="3" xr3:uid="{F82E2A5B-C118-482A-8753-2550EAE80B35}" name="CRUCETIENDA" dataDxfId="344">
      <calculatedColumnFormula>UnitariosPospago[[#This Row],[TIENDA]]&amp;UnitariosPospago[[#This Row],[TIPO ALTA]]</calculatedColumnFormula>
    </tableColumn>
    <tableColumn id="13" xr3:uid="{17EC5B25-408A-4AFC-AC30-B4E7CD71DB55}" name="CRUCE" dataDxfId="343"/>
    <tableColumn id="6" xr3:uid="{6FCDFBDD-7D0F-4E3F-80A4-B321CE58484D}" name="MetaTM" dataDxfId="342">
      <calculatedColumnFormula>INDEX(MetaTM,MATCH(UnitariosPospago[[#This Row],[TIENDA]],MetaTiendaTM,0),MATCH(UnitariosPospago[[#This Row],[CRUCE]],MetaTituloTM,0))</calculatedColumnFormula>
    </tableColumn>
    <tableColumn id="7" xr3:uid="{8EEB21A0-FFE7-45A4-963F-40FFF6523F26}" name="PROM. UNI TB" dataDxfId="341">
      <calculatedColumnFormula>AVERAGEIFS(Pospago[COMISION UPFRONT],Pospago[LOCALES],UnitariosPospago[[#This Row],[TIENDA]],Pospago[TIPO],UnitariosPospago[[#This Row],[TIPO ALTA]])</calculatedColumnFormula>
    </tableColumn>
    <tableColumn id="8" xr3:uid="{99C7C34A-06E4-4706-97EE-A6AC9F0B74EC}" name="TOTAL UNI TB" dataDxfId="340">
      <calculatedColumnFormula>UnitariosPospago[[#This Row],[MetaTM]]*UnitariosPospago[[#This Row],[PROM. UNI TB]]</calculatedColumnFormula>
    </tableColumn>
    <tableColumn id="9" xr3:uid="{85B6E343-2CC2-4043-BA61-D70C8FB65B05}" name="PROM. UNI BCM" dataDxfId="339">
      <calculatedColumnFormula>AVERAGEIFS(Pospago[COMISION BC],Pospago[LOCALES],UnitariosPospago[[#This Row],[TIENDA]],Pospago[TIPO],UnitariosPospago[[#This Row],[TIPO ALTA]])</calculatedColumnFormula>
    </tableColumn>
    <tableColumn id="10" xr3:uid="{622CD6BC-ED8F-4CE2-BA04-9ECB40D5ABD9}" name="TOTAL UNI BCM" dataDxfId="338">
      <calculatedColumnFormula>UnitariosPospago[[#This Row],[PROM. UNI BCM]]*UnitariosPospago[[#This Row],[MetaTM]]</calculatedColumnFormula>
    </tableColumn>
    <tableColumn id="11" xr3:uid="{9498ABF5-5DBE-4753-B2EF-8F7ACE925555}" name="PROM. UNI BFQ" dataDxfId="337">
      <calculatedColumnFormula>AVERAGEIFS(Pospago[COMISION BF],Pospago[LOCALES],UnitariosPospago[[#This Row],[TIENDA]],Pospago[TIPO],UnitariosPospago[[#This Row],[TIPO ALTA]])</calculatedColumnFormula>
    </tableColumn>
    <tableColumn id="12" xr3:uid="{A650D4A1-C982-48D3-ADF1-4DE907C99D9B}" name="TOTAL UNI BFQ" dataDxfId="336">
      <calculatedColumnFormula>UnitariosPospago[[#This Row],[PROM. UNI BFQ]]*UnitariosPospago[[#This Row],[MetaTM]]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C5C6B6-40AB-428D-881F-2CB74027ACD4}" name="CambioPlan" displayName="CambioPlan" ref="A1:CD254" totalsRowShown="0" headerRowDxfId="335" headerRowBorderDxfId="334" tableBorderDxfId="333" totalsRowBorderDxfId="332" dataCellStyle="Normal 3">
  <sortState xmlns:xlrd2="http://schemas.microsoft.com/office/spreadsheetml/2017/richdata2" ref="A23:CA238">
    <sortCondition ref="AV1:AV254"/>
  </sortState>
  <tableColumns count="82">
    <tableColumn id="1" xr3:uid="{4F6C832D-1D9F-40EA-B1CC-4976C228E242}" name="FECHA" dataDxfId="331" dataCellStyle="Normal 3"/>
    <tableColumn id="2" xr3:uid="{F025C064-BDF9-4539-A062-105E747F4436}" name="FECHA_CARGA" dataDxfId="330" dataCellStyle="Normal 3"/>
    <tableColumn id="3" xr3:uid="{4005D59D-6DC3-48DC-B17E-DE0E9DC97686}" name="TELEFONO" dataDxfId="329" dataCellStyle="Normal 3"/>
    <tableColumn id="4" xr3:uid="{5D02937A-E4BD-415C-88AE-6CD3C2B4592E}" name="NUMERO_ABONADO" dataDxfId="328" dataCellStyle="Normal 3"/>
    <tableColumn id="5" xr3:uid="{8C9D4C30-BB9E-42B1-916B-11702F96346B}" name="NUMERO_ORDEN" dataDxfId="327" dataCellStyle="Normal 3"/>
    <tableColumn id="6" xr3:uid="{478D5349-CB1D-44D8-894D-F3957882B09E}" name="SEGMENTO" dataDxfId="326" dataCellStyle="Normal 3"/>
    <tableColumn id="7" xr3:uid="{6707E59A-F352-427F-9E79-FA010C4A583D}" name="SUB_SEGMENTO" dataDxfId="325" dataCellStyle="Normal 3"/>
    <tableColumn id="8" xr3:uid="{795D11F7-4652-46DF-BA30-697B68CD1487}" name="ESTADO_ABONADO" dataDxfId="324" dataCellStyle="Normal 3"/>
    <tableColumn id="9" xr3:uid="{FE676DD2-EB76-4F8F-A140-5A45D16F81D7}" name="DOCUMENTO_CLIENTE" dataDxfId="323" dataCellStyle="Normal 3"/>
    <tableColumn id="10" xr3:uid="{212CD58B-C13A-4CC3-96F8-FCDA7655CEFB}" name="PROVINCIA" dataDxfId="322" dataCellStyle="Normal 3"/>
    <tableColumn id="11" xr3:uid="{A105AD89-1E44-435F-9A5A-65E70D4A97B8}" name="FORMA_PAGO" dataDxfId="321" dataCellStyle="Normal 3"/>
    <tableColumn id="12" xr3:uid="{C2F80E46-7425-42E7-B4F3-1D124BD3B0CF}" name="PLAN_CODIGO" dataDxfId="320" dataCellStyle="Normal 3"/>
    <tableColumn id="13" xr3:uid="{D1EDA9EC-59B3-4D44-B87E-8483E2D1D6E9}" name="DESCRIPCION_PLAN_ACTUAL" dataDxfId="319" dataCellStyle="Normal 3"/>
    <tableColumn id="14" xr3:uid="{A807BE12-DD40-4CA2-A269-DDAC52366C54}" name="CATEGORIA_PLAN_ACTUAL" dataDxfId="318" dataCellStyle="Normal 3"/>
    <tableColumn id="15" xr3:uid="{0314A44A-8BD0-497D-9BA8-A3582532DAB9}" name="TARIFA_BASICA_ACTUAL" dataDxfId="317" dataCellStyle="Normal 3"/>
    <tableColumn id="16" xr3:uid="{A66891C5-7092-41A0-B701-2A7237DEFC65}" name="TARIFA_PLAN_ACTUAL_OV" dataDxfId="316" dataCellStyle="Normal 3"/>
    <tableColumn id="17" xr3:uid="{230AA18C-3D6C-4CE9-B2F1-1DD0228C6702}" name="USU_APLICA_OV_PLAN_ACT" dataDxfId="315" dataCellStyle="Normal 3"/>
    <tableColumn id="18" xr3:uid="{C1F98A48-BA5D-421F-985D-04982CFBC831}" name="FECHA_APLICA_OV_PLAN_ACT" dataDxfId="314" dataCellStyle="Normal 3"/>
    <tableColumn id="19" xr3:uid="{B63C0FDC-0740-4201-BB9A-C312FA67C3AE}" name="DESCUENTO_TARIFA_PLAN_ACT" dataDxfId="313" dataCellStyle="Normal 3"/>
    <tableColumn id="20" xr3:uid="{E984F359-1CE5-476D-AD02-C502CE158A99}" name="DESCRIPCION_DESCUETO_PLAN_ACT" dataDxfId="312" dataCellStyle="Normal 3"/>
    <tableColumn id="21" xr3:uid="{04210E0F-90D4-470B-973C-1358E3B22C38}" name="FECHA_INICIO_DESCUENTO_PLAN_ACT" dataDxfId="311" dataCellStyle="Normal 3"/>
    <tableColumn id="22" xr3:uid="{C41E5434-32CE-45CB-AF16-8C16275C1FE6}" name="FECHA_FIN_DESCUENTO_PLAN_ACT" dataDxfId="310" dataCellStyle="Normal 3"/>
    <tableColumn id="23" xr3:uid="{64DFE8DA-FBB1-4B05-BA66-01C298323C5B}" name="USU_APLICA_DESCUENTO_PLAN_ACT" dataDxfId="309" dataCellStyle="Normal 3"/>
    <tableColumn id="24" xr3:uid="{16DE60C9-547A-46D3-9F33-D074B6428CA4}" name="TARIFA_FINAL_PLAN_ACT" dataDxfId="308" dataCellStyle="Normal 3"/>
    <tableColumn id="25" xr3:uid="{5C8D08D5-FB7B-487C-B05F-E1D9CF3C0FAC}" name="COMERCIAL_ACTUAL" dataDxfId="307" dataCellStyle="Normal 3"/>
    <tableColumn id="26" xr3:uid="{4D47EA56-0C9B-4414-85A6-A945ED319771}" name="COD_PLAN_ACTIVO" dataDxfId="306" dataCellStyle="Normal 3"/>
    <tableColumn id="27" xr3:uid="{17643D0F-4AC9-4364-80D6-43EB7C14316B}" name="DESCRIPCION_PLAN_ANTERIOR" dataDxfId="305" dataCellStyle="Normal 3"/>
    <tableColumn id="28" xr3:uid="{71E71058-4F73-4DF6-8D25-EFF26E8A8C3C}" name="CATEGORIA_PLAN_ANTERIOR" dataDxfId="304" dataCellStyle="Normal 3"/>
    <tableColumn id="29" xr3:uid="{7B00FBF3-FAB4-4619-9DB9-C964D4BC347F}" name="TARIFA_BASICA_ANTERIOR" dataDxfId="303" dataCellStyle="Normal 3"/>
    <tableColumn id="30" xr3:uid="{1A57F225-5B09-496B-AB3F-C111EDF026ED}" name="FECHA_INICIO_PLAN_ANTERIOR" dataDxfId="302" dataCellStyle="Normal 3"/>
    <tableColumn id="31" xr3:uid="{8C124B2E-5C77-4EB7-9D99-F47152155C96}" name="TARIFA_OV_PLAN_ANT" dataDxfId="301" dataCellStyle="Normal 3"/>
    <tableColumn id="32" xr3:uid="{28E6C453-8F53-42EE-8370-746C07A77A54}" name="USU_APLICA_OV_PLAN_ANT" dataDxfId="300" dataCellStyle="Normal 3"/>
    <tableColumn id="33" xr3:uid="{CF308F95-0092-4C68-AAE9-499D8605DA40}" name="FECHA_APLICA_OV_PLAN_ANT" dataDxfId="299" dataCellStyle="Normal 3"/>
    <tableColumn id="34" xr3:uid="{8EAE3401-460B-457F-BAC2-D6A029FFC07A}" name="DESCUENTO_TARIFA_PLAN_ANT" dataDxfId="298" dataCellStyle="Normal 3"/>
    <tableColumn id="35" xr3:uid="{8B1C7238-4A02-4C42-89A9-985A099F33EE}" name="DESCRIPCION_DESCUETO_PLAN_ANT" dataDxfId="297" dataCellStyle="Normal 3"/>
    <tableColumn id="36" xr3:uid="{C7622B66-66D6-42BA-9CD8-3DE475C3E36F}" name="FECHA_INICIO_DESCUENTO_PLAN_ANT" dataDxfId="296" dataCellStyle="Normal 3"/>
    <tableColumn id="37" xr3:uid="{ED6482D3-4144-4B18-87D6-CA3BF7BE642E}" name="FECHA_FIN_DESCUENTO_PLAN_ANT" dataDxfId="295" dataCellStyle="Normal 3"/>
    <tableColumn id="38" xr3:uid="{3F8E3E78-3519-4A00-B211-3292D8D18930}" name="USU_APLICA_DESCUENTO_PLAN_ANT" dataDxfId="294" dataCellStyle="Normal 3"/>
    <tableColumn id="39" xr3:uid="{4E654863-5885-438C-B5D7-B29C6DA0C10A}" name="TARIFA_FINAL_PLAN_ANT" dataDxfId="293" dataCellStyle="Normal 3"/>
    <tableColumn id="40" xr3:uid="{5A11A711-9648-4D02-A680-3A66B257F8DD}" name="COMERCIAL_ANTERIOR" dataDxfId="292" dataCellStyle="Normal 3"/>
    <tableColumn id="41" xr3:uid="{99EFE8AA-0A09-4F7F-8822-FC8F8D4ADD01}" name="FECHA_CAMBIO_PLAN" dataDxfId="291" dataCellStyle="Normal 3"/>
    <tableColumn id="42" xr3:uid="{77A33B64-613B-404A-A2A0-C10B4559E5CA}" name="DOMAIN_LOGIN_OW" dataDxfId="290" dataCellStyle="Normal 3"/>
    <tableColumn id="43" xr3:uid="{6FF999A9-710B-4DC0-A7C6-55BD42D424C6}" name="NOMBRE_USUARIO_OW" dataDxfId="289" dataCellStyle="Normal 3"/>
    <tableColumn id="44" xr3:uid="{88721704-424C-421D-8D06-7DD788BAD879}" name="DOMAIN_LOGIN_SUB" dataDxfId="288" dataCellStyle="Normal 3"/>
    <tableColumn id="45" xr3:uid="{B2EF3450-66ED-4E06-BBB9-2C6E8F225760}" name="NOMBRE_USUARIO_SUB" dataDxfId="287" dataCellStyle="Normal 3"/>
    <tableColumn id="46" xr3:uid="{48673F91-DDF8-43CB-AD16-7A71AD209D20}" name="CANAL" dataDxfId="286" dataCellStyle="Normal 3"/>
    <tableColumn id="47" xr3:uid="{4183639F-CF60-4F5D-B3DD-282CC3C18021}" name="SUB_CANAL" dataDxfId="285" dataCellStyle="Normal 3"/>
    <tableColumn id="48" xr3:uid="{93EE0DEE-EB43-46CE-A0E1-5E7F9D3AB3BE}" name="OFICINA" dataDxfId="284" dataCellStyle="Normal 3"/>
    <tableColumn id="49" xr3:uid="{9098AB62-D985-4F51-B091-C2660FA3F95E}" name="CAMPANIA" dataDxfId="283" dataCellStyle="Normal 3"/>
    <tableColumn id="50" xr3:uid="{D0F605F0-761C-4AF8-9E19-3E7D813794E0}" name="NOM_DISTRIBUIDOR" dataDxfId="282" dataCellStyle="Normal 3"/>
    <tableColumn id="51" xr3:uid="{F4721BCA-0F8E-4FA9-9259-FAC7B2C3F00A}" name="CIUDAD_DISTRIBUIDOR" dataDxfId="281" dataCellStyle="Normal 3"/>
    <tableColumn id="52" xr3:uid="{FCA09196-05B3-4317-B95B-78A7CD086484}" name="PROVINCIA_DISTRIBUIDOR" dataDxfId="280" dataCellStyle="Normal 3"/>
    <tableColumn id="53" xr3:uid="{5C91526C-A356-4546-9402-750C4631E70A}" name="REGION_DISTRIBUIDOR" dataDxfId="279" dataCellStyle="Normal 3"/>
    <tableColumn id="54" xr3:uid="{E65F2C14-2E2A-4EB7-BB28-A747694A2756}" name="DELTA_TARIFA" dataDxfId="278" dataCellStyle="Normal 3"/>
    <tableColumn id="55" xr3:uid="{498321AB-7343-413F-9E1D-B7F9DDC02147}" name="DELTA_FINAL" dataDxfId="277" dataCellStyle="Normal 3"/>
    <tableColumn id="56" xr3:uid="{7AB5E7F8-D066-402F-8C5A-DA69888BA0D0}" name="TIPO_MOVIMIENTO" dataDxfId="276" dataCellStyle="Normal 3"/>
    <tableColumn id="57" xr3:uid="{A3FE7299-CDBE-4FCC-A829-EB19931C014C}" name="CP_CRUCE_PARQUE" dataDxfId="275" dataCellStyle="Normal 3"/>
    <tableColumn id="58" xr3:uid="{4B54F1BF-52C0-4B51-8B6C-954BFA7AD304}" name="CP_NC" dataDxfId="274" dataCellStyle="Normal 3"/>
    <tableColumn id="59" xr3:uid="{EEC612F7-4BF4-4230-B54A-F43216E6065B}" name="CODIGO_DISTRIBUIDOR" dataDxfId="273" dataCellStyle="Normal 3"/>
    <tableColumn id="60" xr3:uid="{08F603BC-322B-4C0A-9733-430EB2B7E82F}" name="NOM_PLAZA" dataDxfId="272" dataCellStyle="Normal 3"/>
    <tableColumn id="61" xr3:uid="{24891483-B550-4335-A927-C2C9F957B768}" name="CODIGO_PLAZA" dataDxfId="271" dataCellStyle="Normal 3"/>
    <tableColumn id="62" xr3:uid="{C61A32C2-C08D-4C71-809E-ADAC32EE77C4}" name="NUEVO_SUBCANAL" dataDxfId="270" dataCellStyle="Normal 3"/>
    <tableColumn id="63" xr3:uid="{2700B50F-4663-488D-82A4-16E08B4BF83F}" name="REGION" dataDxfId="269" dataCellStyle="Normal 3"/>
    <tableColumn id="64" xr3:uid="{AF5FFC80-C4A4-43EB-AFC4-E29B6386778A}" name="CANAL_COMERCIAL" dataDxfId="268" dataCellStyle="Normal 3"/>
    <tableColumn id="65" xr3:uid="{46F3A657-FBD5-4DAC-8D17-AD217EA7ECFB}" name="CANAL_COMERCIAL_FINAL" dataDxfId="267" dataCellStyle="Normal 3"/>
    <tableColumn id="66" xr3:uid="{C4318836-E26A-4901-A521-F5EF704E72D0}" name="REGION_FINAL" dataDxfId="266" dataCellStyle="Normal 3"/>
    <tableColumn id="67" xr3:uid="{EB18BAF0-9C05-4143-8FED-B12D3457191E}" name="DIF_TARIFAS" dataDxfId="265" dataCellStyle="Normal 3"/>
    <tableColumn id="68" xr3:uid="{52D0F8EC-7412-4B62-A9C2-D49A5754C3D7}" name="TIPO_MOVIMIENTO_FINAL" dataDxfId="264" dataCellStyle="Normal 3"/>
    <tableColumn id="69" xr3:uid="{44C8CF5C-2612-4743-8D89-FF5A059E1815}" name="DIF_TARIFAS_OV" dataDxfId="263" dataCellStyle="Normal 3"/>
    <tableColumn id="70" xr3:uid="{954FC6C0-D28C-4FD1-AE06-CA385D2B1F07}" name="TIPO_MOVIMIENTO_OV_FINAL" dataDxfId="262" dataCellStyle="Normal 3"/>
    <tableColumn id="71" xr3:uid="{75DBF047-1A36-4391-9743-9BB9A5F36EE1}" name="DIF_TARIFAS_DESCT" dataDxfId="261" dataCellStyle="Normal 3"/>
    <tableColumn id="72" xr3:uid="{8C16E8FA-ADF7-4D35-9043-0F926EF03BD2}" name="TIPO_MOVIMIENTO_DESCT_FINAL" dataDxfId="260" dataCellStyle="Normal 3"/>
    <tableColumn id="73" xr3:uid="{34F7BD23-75D0-4076-989F-272F96572A8A}" name="TIPO_MOVIMIENTO_OV_FINAL_2" dataDxfId="259" dataCellStyle="Normal 3"/>
    <tableColumn id="74" xr3:uid="{7A16CD90-8C33-4FA8-A5E3-D75A2ACCBB12}" name="CRUCE_CONTROLNET" dataDxfId="258" dataCellStyle="Normal 3">
      <calculatedColumnFormula>CambioPlan[[#This Row],[TELEFONO]]&amp;"UPSELLSI"</calculatedColumnFormula>
    </tableColumn>
    <tableColumn id="75" xr3:uid="{C38F28B6-C10E-4D68-8A4D-6D6F36865D0D}" name="DIA" dataDxfId="257" dataCellStyle="Normal 3">
      <calculatedColumnFormula>DAY(CambioPlan[[#This Row],[FECHA_CAMBIO_PLAN]])</calculatedColumnFormula>
    </tableColumn>
    <tableColumn id="76" xr3:uid="{9630A2B9-9CEE-4AED-B13C-F7C2FFED0ACE}" name="TIENDA" dataDxfId="256" dataCellStyle="Normal 3">
      <calculatedColumnFormula>VLOOKUP(CambioPlan[[#This Row],[NOM_PLAZA]],[1]!Locales[#Data],3,0)</calculatedColumnFormula>
    </tableColumn>
    <tableColumn id="77" xr3:uid="{780B0A2B-C258-439F-9E9F-54C06392D312}" name="EJECUTIVO" dataDxfId="255" dataCellStyle="Normal 3">
      <calculatedColumnFormula>VLOOKUP(CambioPlan[[#This Row],[DOMAIN_LOGIN_OW]],[1]!Personal[#Data],6,0)</calculatedColumnFormula>
    </tableColumn>
    <tableColumn id="79" xr3:uid="{BE61DF69-2C46-4C84-8155-1F38D6A8B0F1}" name="RETENCION BI" dataDxfId="254" dataCellStyle="Normal 3"/>
    <tableColumn id="80" xr3:uid="{20D41D40-51E7-472C-9A33-2DA0DFEEE93C}" name="PLANES ADULTO MAYOR" dataDxfId="253" dataCellStyle="Normal 3">
      <calculatedColumnFormula>IFERROR(IF(FIND("ADULTO",CambioPlan[[#This Row],[DESCRIPCION_PLAN_ACTUAL]],1),"NO SE PAGA",),"SI SE PAGA")</calculatedColumnFormula>
    </tableColumn>
    <tableColumn id="78" xr3:uid="{D8F17C71-5CC2-408C-B7E1-028C38C96430}" name="DIF. TARIFAS" dataDxfId="252" dataCellStyle="Normal 3">
      <calculatedColumnFormula>CambioPlan[[#This Row],[TARIFA_BASICA_ACTUAL]]-CambioPlan[[#This Row],[TARIFA_BASICA_ANTERIOR]]</calculatedColumnFormula>
    </tableColumn>
    <tableColumn id="81" xr3:uid="{9504AA19-72BA-4A9D-A95E-C193C83990A4}" name="C. COMISIÓN TME" dataDxfId="251" dataCellStyle="Normal 3">
      <calculatedColumnFormula>CambioPlan[[#This Row],[DIF. TARIFAS]]*4</calculatedColumnFormula>
    </tableColumn>
    <tableColumn id="82" xr3:uid="{E26B50FE-B12C-4A19-B916-22565B8A0ED5}" name="TIPO DE MOVIMIENTO SLSL" dataDxfId="250" dataCellStyle="Normal 3">
      <calculatedColumnFormula>IF(CambioPlan[[#This Row],[C. COMISIÓN TME]]&lt;0,"DOWNSELL",IF(CambioPlan[[#This Row],[C. COMISIÓN TME]]=0,"MISMA TARIFA",IF(CambioPlan[[#This Row],[C. COMISIÓN TME]]&gt;0,"UPSELL")))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3832D1-C43F-47F6-AF6A-765C2D2100D5}" name="Terminales" displayName="Terminales" ref="A1:CI448" totalsRowShown="0" headerRowDxfId="242" dataDxfId="240" headerRowBorderDxfId="241" tableBorderDxfId="239" totalsRowBorderDxfId="238">
  <autoFilter ref="A1:CI448" xr:uid="{4D3832D1-C43F-47F6-AF6A-765C2D2100D5}"/>
  <tableColumns count="87">
    <tableColumn id="1" xr3:uid="{CDEEA716-5F3E-48E0-A4CF-473AD70769C9}" name="FECHA_PROCESO" dataDxfId="237"/>
    <tableColumn id="2" xr3:uid="{894D4852-C140-4066-9C60-0C3A29E1D7A1}" name="FECHA_FACTURA" dataDxfId="236"/>
    <tableColumn id="3" xr3:uid="{D7DD6BC8-2B0F-4D7F-B4F3-1BBDC5A27098}" name="LINEA_NEGOCIO" dataDxfId="235"/>
    <tableColumn id="4" xr3:uid="{4AF62828-6CC6-4564-904F-B6F439D3AD15}" name="SEGMENTO" dataDxfId="234"/>
    <tableColumn id="5" xr3:uid="{153083D7-4271-404A-B57D-461F129EABEC}" name="SUB_SEGMENTO" dataDxfId="233"/>
    <tableColumn id="6" xr3:uid="{D03FC7B9-BE4D-4133-8AF2-28A4D40AEB7E}" name="TELEFONO" dataDxfId="232"/>
    <tableColumn id="7" xr3:uid="{F091F941-0808-4927-9A42-0BE2078902B5}" name="CLASIFICACION" dataDxfId="231"/>
    <tableColumn id="8" xr3:uid="{E9A4D33E-254F-463F-9B31-4F7926784572}" name="TIPO_DOCUMENTO" dataDxfId="230"/>
    <tableColumn id="9" xr3:uid="{1ABAE10B-6A5F-4664-A427-31C8378457AD}" name="NUM_FACTURA" dataDxfId="229"/>
    <tableColumn id="10" xr3:uid="{09C80EF6-CCDB-4129-87E4-0BE1CEB9C358}" name="NUM_FACTURA_RELACIONADA" dataDxfId="228"/>
    <tableColumn id="11" xr3:uid="{D640666B-48A2-401E-AB33-CE0A6105A01B}" name="OFICINA" dataDxfId="227"/>
    <tableColumn id="12" xr3:uid="{656B3A99-94B7-4B04-92E5-EEA1A58D64DB}" name="ACCOUNT_NUM" dataDxfId="226"/>
    <tableColumn id="13" xr3:uid="{BC480F55-7580-425D-8F1A-F27346BA0C55}" name="NOMBRE_CLIENTE" dataDxfId="225"/>
    <tableColumn id="14" xr3:uid="{25E4BB17-5570-42A5-A3B0-B57D7B126969}" name="IDENTIFICACION_CLIENTE" dataDxfId="224"/>
    <tableColumn id="15" xr3:uid="{90BEDD12-34AC-4FF1-806D-D4F2DEB67689}" name="MODELO_TERMINAL" dataDxfId="223"/>
    <tableColumn id="16" xr3:uid="{45B61913-93A4-4987-A801-F5E4E20E10B8}" name="IMEI" dataDxfId="222"/>
    <tableColumn id="17" xr3:uid="{7D5945A2-EC2B-410E-83BF-1917A3F57EF6}" name="TIPO_CARGO" dataDxfId="221"/>
    <tableColumn id="18" xr3:uid="{083126D2-4F03-4673-99ED-820D41881BE6}" name="SEGMENTACION_SMARTS" dataDxfId="220"/>
    <tableColumn id="19" xr3:uid="{17E0AFAF-8920-42DF-A4F3-1F1D4A0E02CB}" name="FABRICANTE" dataDxfId="219"/>
    <tableColumn id="20" xr3:uid="{0492DEA0-DEE4-4C76-870D-FD2A671CF4CC}" name="MODELO_GUIA_COMERCIAL" dataDxfId="218"/>
    <tableColumn id="21" xr3:uid="{0FE8AA15-6558-497D-B27D-906626B99BBD}" name="GAMA_EQUIPO" dataDxfId="217"/>
    <tableColumn id="22" xr3:uid="{FC580698-088F-4C48-9BA4-D7F3E4526AFE}" name="CLASIFICACION_TERMINAL" dataDxfId="216"/>
    <tableColumn id="23" xr3:uid="{FAB9EB20-CA58-4540-A291-A7C0CDF29F77}" name="CODIGO_DA" dataDxfId="215"/>
    <tableColumn id="24" xr3:uid="{76DD3DBE-D396-44CF-9A17-5451A5745163}" name="RAZON_SOCIAL" dataDxfId="214"/>
    <tableColumn id="25" xr3:uid="{E1FB3FAC-4F35-4BFF-9E0A-533C50D3E412}" name="CANAL" dataDxfId="213"/>
    <tableColumn id="26" xr3:uid="{0AD77000-DCE2-41D8-B8A9-D84EB30D31AA}" name="FUENTE_CANAL" dataDxfId="212"/>
    <tableColumn id="27" xr3:uid="{940234CD-F1DE-4A73-9EB8-C284D072D3DB}" name="CANTIDAD" dataDxfId="211"/>
    <tableColumn id="28" xr3:uid="{934DFB01-4335-4983-B9FE-630FA54B612E}" name="MONTO" dataDxfId="210"/>
    <tableColumn id="29" xr3:uid="{53EEE313-D1C0-4F96-B507-4D2431533971}" name="NUM_ABONADO" dataDxfId="209"/>
    <tableColumn id="30" xr3:uid="{DC48A58F-8E3E-44DA-8C34-73D9A1DA1917}" name="MOVIMIENTO" dataDxfId="208"/>
    <tableColumn id="31" xr3:uid="{A9E0BA0E-6E11-4FBC-BFBF-CEE3A12C607F}" name="COSTO_UNITARIO" dataDxfId="207"/>
    <tableColumn id="32" xr3:uid="{4DB072A0-E3D5-403F-85A4-B99A90FD94DC}" name="FUENTE_COSTO" dataDxfId="206"/>
    <tableColumn id="33" xr3:uid="{1F550165-E295-4100-8FE6-3EDADFD74758}" name="COSTO_TOTAL" dataDxfId="205"/>
    <tableColumn id="34" xr3:uid="{603E39F3-BE8D-4752-8781-7909E06C41DC}" name="DESPACHO" dataDxfId="204"/>
    <tableColumn id="35" xr3:uid="{3AF6A3BA-50B9-4829-A67A-FF377DF1B052}" name="PLAN_CODIGO" dataDxfId="203"/>
    <tableColumn id="36" xr3:uid="{7D35ECBD-6153-4350-938B-BBC0130B385F}" name="PLAN_NOMBRE" dataDxfId="202"/>
    <tableColumn id="37" xr3:uid="{6D93BD50-64BE-4C03-8D1F-E50DBB4ED0F7}" name="TARIFA_BASICA" dataDxfId="201"/>
    <tableColumn id="38" xr3:uid="{283711DD-D97F-4EE0-BA42-7404DE0DFCA0}" name="TIENDA" dataDxfId="200"/>
    <tableColumn id="39" xr3:uid="{E58A2880-2FD1-4213-9484-39996E09518F}" name="BRANCH" dataDxfId="199"/>
    <tableColumn id="40" xr3:uid="{50B4D0B8-F128-4BE5-A829-7913556C4091}" name="CANAL_NC" dataDxfId="198"/>
    <tableColumn id="41" xr3:uid="{CCB1BE7C-5E58-4DF0-A987-575CF1B2EF33}" name="REGION" dataDxfId="197"/>
    <tableColumn id="42" xr3:uid="{798F8CEA-EDEF-4604-B637-A31D6E9C66F3}" name="USUARIO_FINAL" dataDxfId="196"/>
    <tableColumn id="43" xr3:uid="{578D1A55-5A72-4F72-A85F-7215FF4CE910}" name="NOMBRE_USUARIO_FINAL" dataDxfId="195"/>
    <tableColumn id="44" xr3:uid="{5B38E010-327E-4CFB-8B9C-0B9EBC410553}" name="TIPO_VENTA" dataDxfId="194"/>
    <tableColumn id="45" xr3:uid="{36C49AF7-5CBF-4624-9844-2BE26534F297}" name="CUOTAS_FINANCIADAS" dataDxfId="193"/>
    <tableColumn id="46" xr3:uid="{337F5882-A347-4FF9-A80C-67F7A9A1CC54}" name="OFICINA_USUARIO" dataDxfId="192"/>
    <tableColumn id="47" xr3:uid="{9D865569-41EF-4975-A104-527CB8CFA792}" name="DISTRIBUIDOR_USUARIO" dataDxfId="191"/>
    <tableColumn id="48" xr3:uid="{3BD8E0FF-83B1-4CDC-9614-0C4B01EDFCDC}" name="CODIGO_ARTICULO" dataDxfId="190"/>
    <tableColumn id="49" xr3:uid="{89416D05-BEAC-41C2-BA58-C46DDD493E8D}" name="NOMBRE_ARTICULO" dataDxfId="189"/>
    <tableColumn id="50" xr3:uid="{0260B7A0-7D54-47E7-9F48-F47337C2ACA7}" name="NOTA_CREDITO_MASIVA" dataDxfId="188"/>
    <tableColumn id="51" xr3:uid="{B728FA1E-B18E-428D-9709-3FF7E80A2764}" name="PRECIO_BASE" dataDxfId="187"/>
    <tableColumn id="52" xr3:uid="{B85F9275-5732-442F-93A7-9EB9854301C3}" name="PRECIO_CON_OVERRIDE" dataDxfId="186"/>
    <tableColumn id="53" xr3:uid="{33F76538-1219-4D70-AC12-B795234A4582}" name="MRC_OV_CREATED_BY" dataDxfId="185"/>
    <tableColumn id="54" xr3:uid="{75CCCED7-E9FB-4633-8283-D69E12D8599C}" name="FECHA_OVERRIDE" dataDxfId="184"/>
    <tableColumn id="55" xr3:uid="{30F011B7-15AD-4752-BE4F-DED6286B574D}" name="forma_pago_factura" dataDxfId="183"/>
    <tableColumn id="56" xr3:uid="{CAF4FAF3-F667-48AE-8C23-C921CA9A65E2}" name="CUOTA_INICIAL" dataDxfId="182"/>
    <tableColumn id="57" xr3:uid="{24F9880F-366B-4816-96B6-791532516435}" name="tarjeta_banco" dataDxfId="181"/>
    <tableColumn id="58" xr3:uid="{0AF73C56-0E93-4F07-9249-CD55566A9BED}" name="cuotas" dataDxfId="180"/>
    <tableColumn id="59" xr3:uid="{4EB3A7A3-76A8-4D0C-953E-675C2FD575ED}" name="tarjeta_banco2" dataDxfId="179"/>
    <tableColumn id="60" xr3:uid="{E3FE9C36-6EAE-4607-AA53-4C5F48EBF35F}" name="cuotas2" dataDxfId="178"/>
    <tableColumn id="61" xr3:uid="{BC85B0AE-87FA-45D2-A733-DD4E17B34DD8}" name="Mes_Factura" dataDxfId="177"/>
    <tableColumn id="62" xr3:uid="{DB2D8A13-7B11-4312-B468-A65CC738839F}" name="Anio_Factura" dataDxfId="176"/>
    <tableColumn id="63" xr3:uid="{3902AE22-1CE6-4F38-81B0-B467EF411FB1}" name="NUM_FACTURA_VALIDADA" dataDxfId="175"/>
    <tableColumn id="64" xr3:uid="{5C69F0EB-FB34-4406-9EC1-4CA81E35D66D}" name="CANTIDAD_VALIDADA" dataDxfId="174"/>
    <tableColumn id="65" xr3:uid="{2AEE0D7F-74DE-4068-9D5A-54F2C2A88D4C}" name="MONTO_VALIDADO" dataDxfId="173"/>
    <tableColumn id="66" xr3:uid="{10D7077B-1FAE-4F7F-B993-CB4208A7E81E}" name="CANAL_COMERCIAL" dataDxfId="172"/>
    <tableColumn id="67" xr3:uid="{5B287676-EDE5-4303-BD13-D56CCE802E28}" name="COD_DISTRIBUIDOR" dataDxfId="171"/>
    <tableColumn id="68" xr3:uid="{539DA99F-325F-4DF5-8C0A-795D194C87C4}" name="NOMBRE_DISTRIBUIDOR" dataDxfId="170"/>
    <tableColumn id="69" xr3:uid="{21A17F5B-4B55-4623-B809-45D6A6DF9B24}" name="COD_PLAZA" dataDxfId="169"/>
    <tableColumn id="70" xr3:uid="{3E3A0C4A-F642-433A-9205-7AD47B5BC769}" name="REGION_FIN" dataDxfId="168"/>
    <tableColumn id="71" xr3:uid="{643099D0-4D49-4B71-85CE-3F3A818986C3}" name="FORMAS DE PAGO" dataDxfId="167"/>
    <tableColumn id="72" xr3:uid="{86A2CBA3-93FF-4018-84BF-A306FABF6470}" name="FINANCIAMIENTO_TERCEROS" dataDxfId="166"/>
    <tableColumn id="73" xr3:uid="{AE19D7B8-73FC-42E3-9C78-87B22FF71E94}" name="TIPO_VENTA_2" dataDxfId="165"/>
    <tableColumn id="74" xr3:uid="{45DBABDA-5EE3-42CB-91C3-29F949D8EFE4}" name="CRUCE_CONTROLNET" dataDxfId="164">
      <calculatedColumnFormula>Terminales[[#This Row],[IMEI]]&amp;"SI"</calculatedColumnFormula>
    </tableColumn>
    <tableColumn id="75" xr3:uid="{F2D9490B-5EFC-4BB0-B749-E26B47260CE3}" name="LOCALES" dataDxfId="163">
      <calculatedColumnFormula>VLOOKUP(Terminales[[#This Row],[OFICINA_USUARIO]],[1]!Locales[#Data],3,0)</calculatedColumnFormula>
    </tableColumn>
    <tableColumn id="76" xr3:uid="{8EF3FE69-42B7-44D9-8258-AD90C0131D56}" name="EJECUTIVO" dataDxfId="162">
      <calculatedColumnFormula>VLOOKUP(Terminales[[#This Row],[USUARIO_FINAL]],'[1]Personal Ppto vs Real'!$A:$F,6,0)</calculatedColumnFormula>
    </tableColumn>
    <tableColumn id="77" xr3:uid="{17F0FD7C-73DA-4A9D-99C6-1628D43A3A50}" name="TIPO ALTA" dataDxfId="161">
      <calculatedColumnFormula>Terminales[[#This Row],[MOVIMIENTO]]&amp;" "&amp;IF(Terminales[[#This Row],[TIPO_VENTA]]="DOWNPAYMENT","FINANCIADO",IF(Terminales[[#This Row],[TIPO_VENTA]]="PAYJOY","CONTADO",Terminales[[#This Row],[TIPO_VENTA]]))</calculatedColumnFormula>
    </tableColumn>
    <tableColumn id="78" xr3:uid="{2B3C2FB1-C6C4-422C-A019-5551406BD007}" name="TIPO ALTA COMISIONES" dataDxfId="160">
      <calculatedColumnFormula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calculatedColumnFormula>
    </tableColumn>
    <tableColumn id="83" xr3:uid="{23CF06B0-102A-41E7-BC80-6EEB5BB869EA}" name="DIA" dataDxfId="159">
      <calculatedColumnFormula>DAY(Terminales[[#This Row],[FECHA_FACTURA]])</calculatedColumnFormula>
    </tableColumn>
    <tableColumn id="79" xr3:uid="{B9CE8F32-D0E5-4427-A89C-FA2A65348EDC}" name="COMISIONES TERMINALES" dataDxfId="158" dataCellStyle="Moneda">
      <calculatedColumnFormula>IF(Terminales[[#This Row],[CANTIDAD]] = 1,INDEX([1]!Comisiones[#Data],MATCH("Terminales",[1]!Comisiones[Producto],0),MATCH(Terminales[[#This Row],[TIPO ALTA COMISIONES]],[1]!Comisiones[#Headers],0))*Terminales[[#This Row],[MONTO]],0)</calculatedColumnFormula>
    </tableColumn>
    <tableColumn id="80" xr3:uid="{27E0157A-C1F4-4FC3-9617-90DC16769567}" name="COMISIONES RENOVACIONES" dataDxfId="157" dataCellStyle="Moneda">
      <calculatedColumnFormula>IFERROR(IF(AND(Terminales[[#This Row],[CANTIDAD]] = 1,Terminales[[#This Row],[MOVIMIENTO]] = "RENOVACION"),Terminales[[#This Row],[TARIFA_BASICA]]*0.5,),)</calculatedColumnFormula>
    </tableColumn>
    <tableColumn id="81" xr3:uid="{962E0B5B-AB13-4282-BBFF-B9AF969DD18E}" name="COMISIONES BONO" dataDxfId="156" dataCellStyle="Moneda">
      <calculatedColumnFormula>IF('[1]Resumen TM'!$AW$20 &lt; 0.4,0,Terminales[[#This Row],[MONTO]]*0.02)</calculatedColumnFormula>
    </tableColumn>
    <tableColumn id="82" xr3:uid="{503842FA-2D7A-4D28-8B94-2A37CD9DEFD0}" name="COMISION TOTAL" dataDxfId="155">
      <calculatedColumnFormula>Terminales[[#This Row],[COMISIONES TERMINALES]]+Terminales[[#This Row],[COMISIONES RENOVACIONES]]+Terminales[[#This Row],[COMISIONES BONO]]</calculatedColumnFormula>
    </tableColumn>
    <tableColumn id="84" xr3:uid="{BFAF5894-C896-4E5E-BA08-A43105437506}" name="PROY. COM. TERMINALES" dataDxfId="154">
      <calculatedColumnFormula>(Terminales[[#This Row],[COMISIONES TERMINALES]]*VLOOKUP(Terminales[[#This Row],[LOCALES]],[1]!Calendario[#Data],3,0))/VLOOKUP(Terminales[[#This Row],[LOCALES]],[1]!Calendario[#Data],2,0)</calculatedColumnFormula>
    </tableColumn>
    <tableColumn id="85" xr3:uid="{5B6FF237-21A6-4905-95BD-7F5977C50347}" name="PROY. COM. RENOV." dataDxfId="153">
      <calculatedColumnFormula>(Terminales[[#This Row],[COMISIONES RENOVACIONES]]*VLOOKUP(Terminales[[#This Row],[LOCALES]],[1]!Calendario[#Data],3,0))/VLOOKUP(Terminales[[#This Row],[LOCALES]],[1]!Calendario[#Data],2,0)</calculatedColumnFormula>
    </tableColumn>
    <tableColumn id="86" xr3:uid="{8062E80D-CD05-4BB1-8C69-359F8A518424}" name="PROY. COM. 2%" dataDxfId="152">
      <calculatedColumnFormula>(Terminales[[#This Row],[COMISIONES BONO]]*VLOOKUP(Terminales[[#This Row],[LOCALES]],[1]!Calendario[#Data],3,0))/VLOOKUP(Terminales[[#This Row],[LOCALES]],[1]!Calendario[#Data],2,0)</calculatedColumnFormula>
    </tableColumn>
    <tableColumn id="87" xr3:uid="{4603382E-535E-44DE-B539-DEB9F25B1CC5}" name="PROY. COM. TOTAL" dataDxfId="151">
      <calculatedColumnFormula>Terminales[[#This Row],[PROY. COM. TERMINALES]]+Terminales[[#This Row],[PROY. COM. RENOV.]]+Terminales[[#This Row],[PROY. COM. 2%]]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87FEE2-42C4-44AB-96E3-FA3F6C94353F}" name="PaqLlamadas" displayName="PaqLlamadas" ref="A1:Y66" totalsRowShown="0" headerRowDxfId="150" headerRowBorderDxfId="149" tableBorderDxfId="148">
  <autoFilter ref="A1:Y66" xr:uid="{27B1D305-75FE-4C1A-942E-585938BCA894}"/>
  <tableColumns count="25">
    <tableColumn id="1" xr3:uid="{A9A675E5-D807-42B3-8EEF-538546388FBB}" name="TELEFONO" dataDxfId="147"/>
    <tableColumn id="2" xr3:uid="{013AD05E-27B2-4382-8DA0-EBD56FC82041}" name="ESTADO ABONADO" dataDxfId="146"/>
    <tableColumn id="3" xr3:uid="{B42E22A4-7528-4B66-9F3B-DB21EBE18627}" name="FECHA ALTA ABONADO" dataDxfId="145"/>
    <tableColumn id="4" xr3:uid="{D54BFBB6-AED4-4DB5-AA09-CC40A83EB24A}" name="FECHA BAJA ABONADO" dataDxfId="144"/>
    <tableColumn id="5" xr3:uid="{78478802-E42F-4D12-9B67-F2D5F814872B}" name="SEGMENTO" dataDxfId="143"/>
    <tableColumn id="6" xr3:uid="{F18FCE62-CBC5-4E18-8757-1CB1B8FE3BC9}" name="SUBSEGMENTO" dataDxfId="142"/>
    <tableColumn id="7" xr3:uid="{27ED0EFA-1415-4243-85C5-C3EB53A7F34E}" name="CODIGO PLAN" dataDxfId="141"/>
    <tableColumn id="8" xr3:uid="{B14B7F1A-C703-436D-869E-1B729A788BDB}" name="DESCRIPCION  PLAN" dataDxfId="140"/>
    <tableColumn id="9" xr3:uid="{BF2ECEFB-C1B1-465A-A3BD-B82D7E7F68E0}" name="TARIFA BASICA PLAN" dataDxfId="139"/>
    <tableColumn id="10" xr3:uid="{7F15DFC3-6ED2-4E51-A213-A8ECC7F6EE18}" name="SLO CONTRATADO" dataDxfId="138"/>
    <tableColumn id="11" xr3:uid="{C2DB6056-ECB4-4A22-BE56-045985D48631}" name="DESCRIPCION SLO" dataDxfId="137"/>
    <tableColumn id="12" xr3:uid="{0079A6F8-5C61-4EA9-BA9D-E071B19BAF7A}" name="TARIFA SLO" dataDxfId="136"/>
    <tableColumn id="13" xr3:uid="{64DDE571-5486-4C15-83A8-07815CBF49F2}" name="ESTADO SLO" dataDxfId="135"/>
    <tableColumn id="14" xr3:uid="{9A79FF17-9731-4381-AF55-E8A89AE68CA6}" name="FECHA ACTIVACION SLO" dataDxfId="134"/>
    <tableColumn id="15" xr3:uid="{7149CD44-AB76-4849-8109-0F14E0FB5CFA}" name="USUARIO ACTIVACION" dataDxfId="133"/>
    <tableColumn id="16" xr3:uid="{F90A2E6C-2C22-4F39-9C23-ACCA45DC3083}" name="FECHA PROCESO" dataDxfId="132"/>
    <tableColumn id="17" xr3:uid="{EE999F8A-5021-44A4-9732-66254D85287F}" name="USUARIO ACTIVACION BONO" dataDxfId="131"/>
    <tableColumn id="18" xr3:uid="{A43A973B-BBB8-4266-A976-4846EDB664C0}" name="CANAL COMERCIAL" dataDxfId="130"/>
    <tableColumn id="19" xr3:uid="{503CFEB2-E565-46BE-A7BF-26D418922097}" name="NOMBRE DISTRIBUIDOR" dataDxfId="129"/>
    <tableColumn id="20" xr3:uid="{C9C03A33-84FE-438D-9245-8E465E2850B6}" name="NOMBRE PLAZA" dataDxfId="128"/>
    <tableColumn id="21" xr3:uid="{8B0129B0-AD2F-4102-B832-D1BEB44D2ED9}" name="REGION FINAL" dataDxfId="127"/>
    <tableColumn id="22" xr3:uid="{5CFD2DE9-DEF1-4462-A081-002901158A3B}" name="TIPO_MOVIMIENTO" dataDxfId="126"/>
    <tableColumn id="23" xr3:uid="{975F2F2D-DA44-4F00-A7D3-42D1F3986B6C}" name="TIENDA" dataDxfId="125">
      <calculatedColumnFormula>VLOOKUP(PaqLlamadas[[#This Row],[NOMBRE PLAZA]],[1]!Locales[#Data],3,0)</calculatedColumnFormula>
    </tableColumn>
    <tableColumn id="24" xr3:uid="{26EA245C-E739-41AA-90EF-686EFB633425}" name="EJECUTIVO" dataDxfId="124">
      <calculatedColumnFormula>VLOOKUP(PaqLlamadas[[#This Row],[USUARIO ACTIVACION BONO]],[1]!Personal[#Data],6,0)</calculatedColumnFormula>
    </tableColumn>
    <tableColumn id="25" xr3:uid="{314933CB-9599-4382-BB93-6EDA8972BBDB}" name="TARIFA" dataDxfId="123" dataCellStyle="Moneda">
      <calculatedColumnFormula>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D94CE8-691D-4618-83DA-BDCC7407BA70}" name="Seguros" displayName="Seguros" ref="A1:AI11" totalsRowShown="0" headerRowDxfId="122" tableBorderDxfId="121">
  <autoFilter ref="A1:AI11" xr:uid="{78D94CE8-691D-4618-83DA-BDCC7407BA70}"/>
  <tableColumns count="35">
    <tableColumn id="1" xr3:uid="{4EC54566-626A-4F46-B444-EC31AE021009}" name="TELEFONO" dataDxfId="120"/>
    <tableColumn id="2" xr3:uid="{540C70E5-2B45-4068-BE6B-EC0155107B35}" name="ESTADO ABONADO" dataDxfId="119"/>
    <tableColumn id="3" xr3:uid="{1B5C9A56-4A2C-4F64-AF44-C7E599063A47}" name="FECHA ALTA ABONADO" dataDxfId="118"/>
    <tableColumn id="4" xr3:uid="{19ABDD12-3076-467B-B1B4-83248852940E}" name="FECHA BAJA ABONADO" dataDxfId="117"/>
    <tableColumn id="5" xr3:uid="{74D07A26-336C-4709-81FA-5870C6CC85CB}" name="SEGMENTO" dataDxfId="116"/>
    <tableColumn id="6" xr3:uid="{C071DA2E-3F2B-414D-9ED2-34CCCA8DD8EF}" name="SUBSEGMENTO" dataDxfId="115"/>
    <tableColumn id="7" xr3:uid="{7EA48A53-3989-4C57-A50E-9DCC329D7ABE}" name="CODIGO PLAN" dataDxfId="114"/>
    <tableColumn id="8" xr3:uid="{78D47782-ABE2-4D71-A605-4C2DAACEA065}" name="DESCRIPCION  PLAN" dataDxfId="113"/>
    <tableColumn id="9" xr3:uid="{E4D5CCB0-0404-4131-AB8F-A8A19FB9BC19}" name="TARIFA BASICA PLAN" dataDxfId="112"/>
    <tableColumn id="10" xr3:uid="{0EB1FE15-E05E-48D2-A68A-017F9B440C30}" name="SLO CONTRATADO" dataDxfId="111"/>
    <tableColumn id="11" xr3:uid="{709B1E8E-694F-4ADD-95C0-0B866ADCAFD4}" name="DESCRIPCION SLO" dataDxfId="110"/>
    <tableColumn id="12" xr3:uid="{837DA22C-A553-4D4E-906B-2F5AE5F98EE4}" name="TARIFA SLO" dataDxfId="109"/>
    <tableColumn id="13" xr3:uid="{B1BCEFD3-5AAD-4BC3-99A6-CDB09F7037F9}" name="ESTADO SLO" dataDxfId="108"/>
    <tableColumn id="14" xr3:uid="{AE8194C3-C262-4F84-A94B-33900F98BED8}" name="FECHA ACTIVACION SLO" dataDxfId="107"/>
    <tableColumn id="15" xr3:uid="{2E11F814-9FA0-4B11-BEFA-1734EA02D58C}" name="FECHA DESACTIVACION SLO" dataDxfId="106"/>
    <tableColumn id="16" xr3:uid="{3AC83D04-C57D-4810-BB04-D897EF712DA4}" name="USUARIO DESACTIVACION" dataDxfId="105"/>
    <tableColumn id="17" xr3:uid="{24971056-108B-4338-AEBF-C0401EC3399C}" name="CANAL COMERCIAL DESACTIVACION" dataDxfId="104"/>
    <tableColumn id="18" xr3:uid="{8A18C6D8-143B-4FCA-914F-C4C91325F9EC}" name="TIEMPO ACTIVADO MINUTOS" dataDxfId="103"/>
    <tableColumn id="19" xr3:uid="{48F0D8FA-8781-49DE-BCF2-AF282F7C6AC7}" name="FECHA PROCESO" dataDxfId="102"/>
    <tableColumn id="20" xr3:uid="{36FE9BF7-9F71-4EEF-B151-538C88A19D9B}" name="USUARIO ACTIVACION" dataDxfId="101"/>
    <tableColumn id="21" xr3:uid="{079D76D2-01F3-449B-ABF6-F4F4E58A316A}" name="NOM_USUARIO" dataDxfId="100"/>
    <tableColumn id="22" xr3:uid="{CDC9C331-DEFA-4806-AB18-620C61919D85}" name="CANAL COMERCIAL ACTIVACION" dataDxfId="99"/>
    <tableColumn id="23" xr3:uid="{24A8EBB7-F317-4504-86CB-BD64A9956D98}" name="CODIGO_DISTRIBUIDOR" dataDxfId="98"/>
    <tableColumn id="24" xr3:uid="{07278A35-B39B-457B-9E7A-A4E1A93C7861}" name="NOM_DISTRIBUIDOR" dataDxfId="97"/>
    <tableColumn id="25" xr3:uid="{BE5470D5-779C-4552-AF25-7F3E133D37FB}" name="CODIGO_PLAZA" dataDxfId="96"/>
    <tableColumn id="26" xr3:uid="{8690EE6C-DB84-4D37-A398-E752EFD77185}" name="NOM_PLAZA" dataDxfId="95"/>
    <tableColumn id="27" xr3:uid="{3F2690D4-A983-45CC-ABF3-90031B4BBBF7}" name="CIUDAD" dataDxfId="94"/>
    <tableColumn id="28" xr3:uid="{8837159B-6D2C-4E2E-9348-C01167A07470}" name="PROVINCIA" dataDxfId="93"/>
    <tableColumn id="29" xr3:uid="{DFFA4990-3408-4153-ABF0-B9C33129B38C}" name="REGION" dataDxfId="92"/>
    <tableColumn id="30" xr3:uid="{5B9C821E-AAC8-4FDA-93E5-85796F82A694}" name="TIENDA" dataDxfId="91">
      <calculatedColumnFormula>VLOOKUP(Seguros[[#This Row],[NOM_PLAZA]],[1]!Locales[#Data],3,0)</calculatedColumnFormula>
    </tableColumn>
    <tableColumn id="31" xr3:uid="{D199D922-34FE-4208-B117-0766E90B41AC}" name="EJECUTIVO" dataDxfId="90">
      <calculatedColumnFormula>VLOOKUP(Seguros[[#This Row],[USUARIO ACTIVACION]],[1]!Personal[#Data],6,0)</calculatedColumnFormula>
    </tableColumn>
    <tableColumn id="32" xr3:uid="{ADB2E66E-4CDB-499B-BF17-9AB1DA9F22BA}" name="ASISTENCIA" dataDxfId="89">
      <calculatedColumnFormula>IFERROR(IF(FIND("SOS",Seguros[[#This Row],[DESCRIPCION SLO]],1),1,),0)</calculatedColumnFormula>
    </tableColumn>
    <tableColumn id="33" xr3:uid="{4CDADE6A-2D0F-4F6F-9BB0-502D67249BDA}" name="UPSS+" dataDxfId="88">
      <calculatedColumnFormula>IFERROR(IF(FIND("UPSS",Seguros[[#This Row],[DESCRIPCION SLO]],1),1,),0)</calculatedColumnFormula>
    </tableColumn>
    <tableColumn id="35" xr3:uid="{C8119D41-AF57-4DDA-9882-871A97B2F6B1}" name="SEGURIDAD DIGITAL" dataDxfId="87">
      <calculatedColumnFormula>IFERROR(IF(FIND("SEGURIDAD",Seguros[[#This Row],[DESCRIPCION SLO]],1),1,),0)</calculatedColumnFormula>
    </tableColumn>
    <tableColumn id="34" xr3:uid="{397F306D-0CA0-4CE1-8B30-0F7049828128}" name="TARIFA ASISTENCIA" dataCellStyle="Moneda">
      <calculatedColumnFormula>IF(Seguros[[#This Row],[ASISTENCIA]]=0,0,3.44)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95B87E-937E-4A44-A05B-7B037117B56D}" name="MPlay" displayName="MPlay" ref="A1:S3" totalsRowShown="0" headerRowDxfId="86" tableBorderDxfId="85">
  <tableColumns count="19">
    <tableColumn id="1" xr3:uid="{DE2876BE-0B26-4753-87C6-A2B2E8A033C2}" name="Tipo transacción"/>
    <tableColumn id="2" xr3:uid="{4E52870F-8D8B-4664-A18E-545ED5056E90}" name="Fecha" dataDxfId="84"/>
    <tableColumn id="3" xr3:uid="{AB54D89D-FD8B-4D95-B8EE-1591346F37C8}" name="MIN"/>
    <tableColumn id="4" xr3:uid="{E5D2AE46-6339-4256-B2E4-7B3C00D3E2A8}" name="Nombre de paquete"/>
    <tableColumn id="5" xr3:uid="{DC03F606-C030-4FAE-94FD-9023A8F50367}" name="Ejecutivo"/>
    <tableColumn id="6" xr3:uid="{05744571-E7C5-4A3F-8A7B-5596FC7F1BC3}" name="NOM_USUARIO"/>
    <tableColumn id="7" xr3:uid="{A0C24866-9627-498B-A315-5736529D99CE}" name="CANAL"/>
    <tableColumn id="8" xr3:uid="{CB55F500-8A5A-4370-AEA9-3138525EA1EA}" name="OFICINA"/>
    <tableColumn id="9" xr3:uid="{05CE2EBE-27A8-437F-A0E2-3FEB9D29E789}" name="CODIGO_DISTRIBUIDOR"/>
    <tableColumn id="10" xr3:uid="{4D172C44-F88D-43B6-910E-9DD72F073922}" name="NOM_DISTRIBUIDOR"/>
    <tableColumn id="11" xr3:uid="{196627D2-F242-4A84-A306-D65B538850C8}" name="CODIGO_PLAZA"/>
    <tableColumn id="12" xr3:uid="{EC188245-089F-4B51-8F51-CA2B3E08ECA3}" name="NOM_PLAZA"/>
    <tableColumn id="13" xr3:uid="{AE4CE62B-135C-4CF0-BA96-0C189542F03B}" name="REGION"/>
    <tableColumn id="14" xr3:uid="{FFBEFB9F-5B53-4D5D-B325-FBF108E096F4}" name="linea_negocio"/>
    <tableColumn id="15" xr3:uid="{3902FD4D-1439-4DFC-AAF5-B5495DB30506}" name="segmento"/>
    <tableColumn id="16" xr3:uid="{72A4422B-D457-40D8-B16F-1C97F879C75F}" name="sub_segmento"/>
    <tableColumn id="17" xr3:uid="{F6403835-2544-4834-BF2B-34A3BAD09C31}" name="TIENDAS" dataDxfId="83">
      <calculatedColumnFormula>VLOOKUP(MPlay[[#This Row],[CODIGO_PLAZA]],[1]!Locales[#Data],3,0)</calculatedColumnFormula>
    </tableColumn>
    <tableColumn id="18" xr3:uid="{65BB18FD-B58A-47AC-AC58-CA4A03808B19}" name="EJECUTIVOS" dataDxfId="82">
      <calculatedColumnFormula>VLOOKUP(MPlay[[#This Row],[Ejecutivo]],[1]!Personal[#Data],6,0)</calculatedColumnFormula>
    </tableColumn>
    <tableColumn id="19" xr3:uid="{9748C700-45EE-439E-A4BC-6D4DECBCE1E5}" name="TARIFA" dataDxfId="81">
      <calculatedColumnFormula>14.99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3FE8C3-E02D-45E7-B491-4B9FA0739DF0}" name="FutbolFoxHbo" displayName="FutbolFoxHbo" ref="A1:S4" totalsRowShown="0" headerRowDxfId="80" tableBorderDxfId="79">
  <tableColumns count="19">
    <tableColumn id="1" xr3:uid="{11DC34A9-51D4-4AF2-A654-2763EE494255}" name="Tipo transacción"/>
    <tableColumn id="2" xr3:uid="{5DCB6700-F618-4305-A131-FDFA04D26267}" name="Fecha" dataDxfId="78"/>
    <tableColumn id="3" xr3:uid="{812A0283-7C35-41C9-818C-BFE01F9C361D}" name="MIN"/>
    <tableColumn id="4" xr3:uid="{48D1C7C9-DE1E-41A7-ABFB-8DE5D3162A86}" name="Nombre de paquete"/>
    <tableColumn id="5" xr3:uid="{03F4BEDE-16B5-4049-A0AC-62732B49E236}" name="Ejecutivo"/>
    <tableColumn id="6" xr3:uid="{9D696519-14E6-40C5-957A-E45FC4D189E9}" name="NOM_USUARIO"/>
    <tableColumn id="7" xr3:uid="{FD8D97D5-50EC-41B6-9484-10B54BCD5D56}" name="CANAL"/>
    <tableColumn id="8" xr3:uid="{46CDBDE6-BC4F-4197-B4E9-445D5F72A18F}" name="OFICINA"/>
    <tableColumn id="9" xr3:uid="{5207471D-B30E-4ED8-831B-02AC1CE109A4}" name="CODIGO_DISTRIBUIDOR"/>
    <tableColumn id="10" xr3:uid="{4449C4E4-0E30-4646-BB0D-6730746EA509}" name="NOM_DISTRIBUIDOR"/>
    <tableColumn id="11" xr3:uid="{B87D8F4E-1F32-4ACC-9B4E-A2432D5B8FF8}" name="CODIGO_PLAZA"/>
    <tableColumn id="12" xr3:uid="{4FCEE4F2-E560-4805-9BBA-BEAED8E2BED4}" name="NOM_PLAZA"/>
    <tableColumn id="13" xr3:uid="{F5208D18-71DF-40BF-853D-F6EEC940F1C8}" name="REGION"/>
    <tableColumn id="14" xr3:uid="{82282AA0-4BA8-4080-9896-2DE50199BCD2}" name="linea_negocio"/>
    <tableColumn id="15" xr3:uid="{399F7498-443A-4904-B6AA-20D8EFDAFD7E}" name="segmento"/>
    <tableColumn id="16" xr3:uid="{1DE6F9CD-517D-4758-8BC2-5105EEE98DE7}" name="sub_segmento"/>
    <tableColumn id="17" xr3:uid="{1CD9434E-364A-4BEB-A5AA-872566A6C091}" name="TIENDA" dataDxfId="77">
      <calculatedColumnFormula>VLOOKUP(FutbolFoxHbo[[#This Row],[CODIGO_PLAZA]],[1]!Locales[#Data],3,0)</calculatedColumnFormula>
    </tableColumn>
    <tableColumn id="18" xr3:uid="{37521576-9296-4286-954B-695A066525C8}" name="EJECUTIVOS" dataDxfId="76">
      <calculatedColumnFormula>VLOOKUP(FutbolFoxHbo[[#This Row],[Ejecutivo]],[1]!Personal[#Data],6,0)</calculatedColumnFormula>
    </tableColumn>
    <tableColumn id="19" xr3:uid="{7C80DAA6-0E4D-4A7B-950E-2A7537002F2A}" name="TARIFA" dataCellStyle="Moneda">
      <calculatedColumnFormula>IF(FutbolFoxHbo[[#This Row],[Nombre de paquete]]="HBO",11.5,IF(FutbolFoxHbo[[#This Row],[Nombre de paquete]]="FOX",11.5,IF(FutbolFoxHbo[[#This Row],[Nombre de paquete]]="FUTBOL",5.35,3)))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7C3EC-9441-4FE5-9FA6-CA28ABCE8CD9}" name="Prepago" displayName="Prepago" ref="A1:BS461" totalsRowShown="0" headerRowDxfId="75" dataDxfId="73" headerRowBorderDxfId="74" tableBorderDxfId="72" totalsRowBorderDxfId="71">
  <autoFilter ref="A1:BS461" xr:uid="{3CD7C3EC-9441-4FE5-9FA6-CA28ABCE8CD9}"/>
  <tableColumns count="71">
    <tableColumn id="1" xr3:uid="{E9B9E4DD-ABFD-40B2-B22A-F77A2890E7A5}" name="LINEA_NEGOCIO" dataDxfId="70"/>
    <tableColumn id="2" xr3:uid="{227E2E1A-F1CB-4148-83A1-41A813313584}" name="TELEFONO" dataDxfId="69"/>
    <tableColumn id="3" xr3:uid="{48FB0887-87B9-40CC-AD55-65C24D7DA843}" name="NUMERO_ABONADO" dataDxfId="68"/>
    <tableColumn id="4" xr3:uid="{A40D71A9-F08E-4A60-8B2D-C7947C2D5DF9}" name="ACCOUNT_NUM" dataDxfId="67"/>
    <tableColumn id="5" xr3:uid="{A8C6407D-544D-4D50-B6C6-A989BD5B3B51}" name="FECHA_ALTA" dataDxfId="66"/>
    <tableColumn id="6" xr3:uid="{976C080A-B770-435C-A221-B4060EC9A55D}" name="ESTADO_ABONADO" dataDxfId="65"/>
    <tableColumn id="7" xr3:uid="{84963FF5-0909-419F-AB33-4E52E5DDE868}" name="CLIENTE" dataDxfId="64"/>
    <tableColumn id="8" xr3:uid="{A41BB8A7-7C95-4A73-950E-298165278712}" name="DOCUMENTO_CLIENTE" dataDxfId="63"/>
    <tableColumn id="9" xr3:uid="{D006E369-19C1-4DDB-B45F-6246055115F5}" name="TIPO_DOC_CLIENTE" dataDxfId="62"/>
    <tableColumn id="10" xr3:uid="{94786E87-7872-4FF1-A9BB-54FCAE4E87B0}" name="PLAN_CODIGO" dataDxfId="61"/>
    <tableColumn id="11" xr3:uid="{CB6410B2-3028-4DE4-946D-AF04B3978995}" name="NOMBRE_PLAN" dataDxfId="60"/>
    <tableColumn id="12" xr3:uid="{24ADB30D-29D5-4C4E-B7A0-77C3E2A207C6}" name="CIUDAD" dataDxfId="59"/>
    <tableColumn id="13" xr3:uid="{89AD616E-B953-4554-A377-E5B5C6436B30}" name="PROVINCIA" dataDxfId="58"/>
    <tableColumn id="14" xr3:uid="{FF773A81-4259-48F7-8323-0A18D4F144FA}" name="IMEI" dataDxfId="57"/>
    <tableColumn id="15" xr3:uid="{B5C4C98D-B3FB-45EE-8C1D-0420BB2B7DB7}" name="EQUIPO" dataDxfId="56"/>
    <tableColumn id="16" xr3:uid="{C7CB54CB-496C-49E1-922E-609C1269C2B2}" name="ICC" dataDxfId="55"/>
    <tableColumn id="18" xr3:uid="{16FA1C91-9CAA-4658-A657-95A54096132D}" name="SUB_SEGMENTO" dataDxfId="54"/>
    <tableColumn id="19" xr3:uid="{FDA5A438-F435-4D29-B299-BE767E3A72DD}" name="SEGMENTO" dataDxfId="53"/>
    <tableColumn id="20" xr3:uid="{17CBCE88-46B9-488D-91DD-78604E47ECAC}" name="SEGMENTO_FIN" dataDxfId="52"/>
    <tableColumn id="21" xr3:uid="{50D5018A-49E5-4E18-8E3F-072702153900}" name="FECHA_PROCESO" dataDxfId="51"/>
    <tableColumn id="22" xr3:uid="{56C02955-D5BB-48F9-A186-274C4081DDC6}" name="TARIFA_BASICA" dataDxfId="50"/>
    <tableColumn id="23" xr3:uid="{02DA4A0A-AFFD-4986-886A-2DB20AC5DD57}" name="IND_COMERCIAL" dataDxfId="49"/>
    <tableColumn id="24" xr3:uid="{971044A7-3925-4A44-A4F9-3E12DC3A2C2F}" name="CATEGORIA_PLAN" dataDxfId="48"/>
    <tableColumn id="25" xr3:uid="{3D8D1685-AC15-41EC-806D-AEEB89B4898A}" name="COD_CATEGORIA" dataDxfId="47"/>
    <tableColumn id="26" xr3:uid="{4F8D844F-A0F6-41F5-8E8E-41734DA53A15}" name="DOMAIN_LOGIN_OW" dataDxfId="46"/>
    <tableColumn id="27" xr3:uid="{F118AE80-55E0-48C8-95F6-EDBBE7FA4FC3}" name="NOMBRE_USUARIO_OW" dataDxfId="45"/>
    <tableColumn id="28" xr3:uid="{7C3411F1-F3C6-4B67-92E0-7E8EFA6E9245}" name="DOMAIN_LOGIN_SUB" dataDxfId="44"/>
    <tableColumn id="29" xr3:uid="{E3469E97-A4F3-4448-B149-2447D88E5B2D}" name="NOMBRE_USUARIO_SUB" dataDxfId="43"/>
    <tableColumn id="30" xr3:uid="{4E0C4562-509C-4BCF-A4C8-82B76A73B280}" name="CANAL" dataDxfId="42"/>
    <tableColumn id="31" xr3:uid="{353BBE19-4835-414D-95B1-3EAA232496E6}" name="DISTRIBUIDOR" dataDxfId="41"/>
    <tableColumn id="32" xr3:uid="{5289F492-BD20-4D7C-AB5A-F91D196916E2}" name="OFICINA" dataDxfId="40"/>
    <tableColumn id="33" xr3:uid="{2A49A9CE-EBE2-4ECE-AC1C-5C46ED13F8E2}" name="DOCUMENTO_CUENTA" dataDxfId="39"/>
    <tableColumn id="34" xr3:uid="{3E779881-EB8A-45A7-84A3-4E2A00C2A022}" name="PORTABILIDAD" dataDxfId="38"/>
    <tableColumn id="35" xr3:uid="{0E6ACEF9-75AB-485A-9E06-6C5EF26EFD1A}" name="RESEGMENTAR" dataDxfId="37"/>
    <tableColumn id="36" xr3:uid="{D29FCBE4-BC14-43D4-86E8-E45F2969C38B}" name="ALTA_MES" dataDxfId="36"/>
    <tableColumn id="37" xr3:uid="{0FEE7D07-BD83-4850-8142-8EC534E3713F}" name="FORMA_PAGO" dataDxfId="35"/>
    <tableColumn id="38" xr3:uid="{74253975-5822-4FCC-BCB4-BCBE0ED303DA}" name="COD_DA" dataDxfId="34"/>
    <tableColumn id="39" xr3:uid="{F55DC0D9-C0DC-4369-9980-5CF2B2CC23E7}" name="NOM_USUARIO" dataDxfId="33"/>
    <tableColumn id="40" xr3:uid="{A9417FB6-1EE1-48A3-AC6D-7EC35BB052A1}" name="CANAL_COMERCIAL" dataDxfId="32"/>
    <tableColumn id="41" xr3:uid="{46F2BE48-0429-46EB-BFFA-169FC89B6798}" name="CAMPANIA" dataDxfId="31"/>
    <tableColumn id="42" xr3:uid="{95279EB6-3F96-4BE9-B57E-FB52E529D3A6}" name="CODIGO_DISTRIBUIDOR" dataDxfId="30"/>
    <tableColumn id="43" xr3:uid="{CD4E6117-D779-4187-824C-AE28DA289074}" name="NOM_DISTRIBUIDOR" dataDxfId="29"/>
    <tableColumn id="44" xr3:uid="{79598913-72A1-42DB-90F8-51A592329535}" name="CODIGO_PLAZA" dataDxfId="28"/>
    <tableColumn id="45" xr3:uid="{F3A5858B-ED67-46A3-856B-798886662487}" name="NOM_PLAZA" dataDxfId="27"/>
    <tableColumn id="46" xr3:uid="{031DBD4F-9E66-475B-9109-8F57E3C9A8B0}" name="REGION" dataDxfId="26"/>
    <tableColumn id="47" xr3:uid="{415912C3-7201-4521-BE87-C93F7F1356F5}" name="PROVINCIA_ALTAMIRA" dataDxfId="25"/>
    <tableColumn id="48" xr3:uid="{0FC869FB-A811-4B2D-B4F9-1412D1CBC1CE}" name="CIUDAD_ALTAMIRA" dataDxfId="24"/>
    <tableColumn id="49" xr3:uid="{552059E8-79BE-4A7F-A698-3AE23F65F973}" name="PROVINCIA_IVR" dataDxfId="23"/>
    <tableColumn id="50" xr3:uid="{0F99BEB0-3AA8-4A2A-908B-1F1A12BA21A3}" name="CIUDAD_ZONI" dataDxfId="22"/>
    <tableColumn id="51" xr3:uid="{0FE61153-BE3B-49E8-8587-F5CA14062618}" name="FUENTE" dataDxfId="21"/>
    <tableColumn id="52" xr3:uid="{C41D6B40-0B57-4221-948D-DDE7F238CE12}" name="OPERADORA_ORIGEN" dataDxfId="20"/>
    <tableColumn id="53" xr3:uid="{E2A0254A-9E36-4893-BBDF-C933A96C6572}" name="EJECUTIVO_ASIGNADO_PTR" dataDxfId="19"/>
    <tableColumn id="54" xr3:uid="{760C54DE-19CB-43BB-A7F0-4688468BA1E6}" name="AREA_PTR" dataDxfId="18"/>
    <tableColumn id="55" xr3:uid="{D96EA25C-A54A-48DB-BE9F-421B09B2FF3C}" name="CODIGO_VENDEDOR_DA_PTR" dataDxfId="17"/>
    <tableColumn id="56" xr3:uid="{A6EA2C30-15AC-4FA8-897F-43F8CC8D04C0}" name="JEFATURA_PTR" dataDxfId="16"/>
    <tableColumn id="57" xr3:uid="{05200605-E823-47B1-9BF9-ECB9B1FEC06A}" name="TIPO_CLIENTE" dataDxfId="15"/>
    <tableColumn id="58" xr3:uid="{D57C85B0-38D8-486A-A9D6-DC9D58AD96BA}" name="NOM_EMAIL" dataDxfId="14"/>
    <tableColumn id="59" xr3:uid="{DB972825-FAA8-4F91-A9E5-429B3E7A3886}" name="PROVINCIA_MS" dataDxfId="13"/>
    <tableColumn id="60" xr3:uid="{E4ACB7D5-B665-45A4-92B4-E7EE87EDE1CF}" name="SUB_CANAL" dataDxfId="12"/>
    <tableColumn id="61" xr3:uid="{2F7E0C21-0619-42AD-9715-409445EA4A80}" name="OVERWRITE" dataDxfId="11"/>
    <tableColumn id="62" xr3:uid="{ECC725CF-2572-4D9C-963F-3B8EDDC81B77}" name="DESCUENTO" dataDxfId="10"/>
    <tableColumn id="63" xr3:uid="{F06D3E59-08B2-4CA8-BF6E-045A3586BD4D}" name="CODIGO_USUARIO" dataDxfId="9"/>
    <tableColumn id="64" xr3:uid="{D52FD5B9-8B83-4F8A-B5F6-6FE428414429}" name="orden" dataDxfId="8"/>
    <tableColumn id="65" xr3:uid="{68BA916A-E92F-4004-BE73-1F52B8267F63}" name="MARCA" dataDxfId="7"/>
    <tableColumn id="66" xr3:uid="{536AADED-680F-4D6A-89A4-571AA3B218C2}" name="REGION_PC" dataDxfId="6"/>
    <tableColumn id="67" xr3:uid="{E3D59799-F537-475C-8956-003D0A965A97}" name="CAN_COM_F" dataDxfId="5"/>
    <tableColumn id="68" xr3:uid="{0193428E-95DE-4F5C-BA89-B35DC819863E}" name="ALTA_REC" dataDxfId="4"/>
    <tableColumn id="69" xr3:uid="{33BDD119-19FA-45B3-9DBE-7321586D5E63}" name="TIPO FIN" dataDxfId="3"/>
    <tableColumn id="70" xr3:uid="{7E880639-9350-43B2-A1BF-9CA0BE843918}" name="TIENDA" dataDxfId="2">
      <calculatedColumnFormula>VLOOKUP(Prepago[[#This Row],[NOM_PLAZA]],[1]!Locales[#Data],3,0)</calculatedColumnFormula>
    </tableColumn>
    <tableColumn id="71" xr3:uid="{83DD2041-F724-486A-AAF5-B2C9CB2C2948}" name="EJECUTIVO" dataDxfId="1">
      <calculatedColumnFormula>VLOOKUP(Prepago[[#This Row],[CODIGO_USUARIO]],[1]!Personal[#Data],6,0)</calculatedColumnFormula>
    </tableColumn>
    <tableColumn id="72" xr3:uid="{819D72F0-7F9B-41A8-8E38-C3DD3CCBF413}" name="DIA" dataDxfId="0">
      <calculatedColumnFormula>DAY(Prepago[[#This Row],[FECHA_ALTA]])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14B7-1AA3-4F48-BECB-D1F910FF9043}">
  <sheetPr codeName="Hoja1"/>
  <dimension ref="A1:BX1128"/>
  <sheetViews>
    <sheetView workbookViewId="0"/>
  </sheetViews>
  <sheetFormatPr baseColWidth="10" defaultRowHeight="15" outlineLevelCol="1" x14ac:dyDescent="0.25"/>
  <cols>
    <col min="1" max="1" width="16.7109375" customWidth="1"/>
    <col min="2" max="2" width="18.7109375" customWidth="1"/>
    <col min="3" max="3" width="16.7109375" customWidth="1"/>
    <col min="4" max="4" width="13.7109375" customWidth="1"/>
    <col min="5" max="5" width="19.42578125" customWidth="1"/>
    <col min="6" max="6" width="33.5703125" customWidth="1"/>
    <col min="7" max="7" width="22.28515625" customWidth="1"/>
    <col min="8" max="8" width="19.42578125" customWidth="1"/>
    <col min="9" max="9" width="15.28515625" customWidth="1"/>
    <col min="10" max="10" width="45.5703125" bestFit="1" customWidth="1"/>
    <col min="11" max="11" width="15.42578125" customWidth="1"/>
    <col min="15" max="15" width="17" customWidth="1"/>
    <col min="16" max="16" width="12.5703125" customWidth="1"/>
    <col min="17" max="17" width="17.28515625" customWidth="1"/>
    <col min="18" max="18" width="16.140625" customWidth="1"/>
    <col min="19" max="19" width="18.28515625" customWidth="1"/>
    <col min="21" max="21" width="15.42578125" customWidth="1"/>
    <col min="22" max="22" width="18.28515625" customWidth="1"/>
    <col min="23" max="23" width="15.7109375" customWidth="1"/>
    <col min="24" max="24" width="15.140625" customWidth="1"/>
    <col min="25" max="25" width="19.7109375" customWidth="1"/>
    <col min="26" max="26" width="22.7109375" customWidth="1"/>
    <col min="27" max="27" width="21" customWidth="1"/>
    <col min="29" max="29" width="19.42578125" customWidth="1"/>
    <col min="30" max="30" width="25.7109375" customWidth="1"/>
    <col min="31" max="31" width="26.28515625" customWidth="1"/>
    <col min="32" max="32" width="30" bestFit="1" customWidth="1"/>
    <col min="33" max="33" width="15.28515625" customWidth="1"/>
    <col min="34" max="34" width="19.7109375" customWidth="1"/>
    <col min="36" max="36" width="21" customWidth="1"/>
    <col min="37" max="37" width="17.28515625" customWidth="1"/>
    <col min="38" max="38" width="17.7109375" customWidth="1"/>
    <col min="39" max="39" width="15.7109375" customWidth="1"/>
    <col min="40" max="40" width="19.28515625" customWidth="1"/>
    <col min="41" max="41" width="20.28515625" customWidth="1"/>
    <col min="42" max="42" width="11.7109375" customWidth="1"/>
    <col min="44" max="44" width="13.7109375" customWidth="1"/>
    <col min="45" max="45" width="21.85546875" customWidth="1"/>
    <col min="46" max="46" width="20.5703125" customWidth="1"/>
    <col min="47" max="47" width="14.5703125" customWidth="1"/>
    <col min="48" max="48" width="18.5703125" customWidth="1"/>
    <col min="49" max="49" width="6.28515625" customWidth="1" outlineLevel="1"/>
    <col min="50" max="50" width="10.5703125" customWidth="1" outlineLevel="1"/>
    <col min="51" max="51" width="19.42578125" bestFit="1" customWidth="1"/>
    <col min="52" max="52" width="22.7109375" bestFit="1" customWidth="1"/>
    <col min="53" max="53" width="37.28515625" bestFit="1" customWidth="1"/>
    <col min="54" max="54" width="28.140625" bestFit="1" customWidth="1"/>
    <col min="60" max="60" width="14.140625" customWidth="1"/>
    <col min="61" max="61" width="21.85546875" bestFit="1" customWidth="1"/>
    <col min="62" max="62" width="15.42578125" bestFit="1" customWidth="1"/>
    <col min="63" max="63" width="15.28515625" bestFit="1" customWidth="1"/>
    <col min="66" max="66" width="22.7109375" bestFit="1" customWidth="1"/>
    <col min="67" max="67" width="27.7109375" bestFit="1" customWidth="1"/>
    <col min="68" max="68" width="50.140625" bestFit="1" customWidth="1"/>
    <col min="69" max="69" width="19.7109375" bestFit="1" customWidth="1"/>
    <col min="71" max="71" width="15" customWidth="1"/>
    <col min="72" max="72" width="14.5703125" customWidth="1"/>
    <col min="73" max="73" width="16.85546875" customWidth="1"/>
    <col min="74" max="74" width="16.42578125" customWidth="1"/>
    <col min="75" max="75" width="16.28515625" customWidth="1"/>
    <col min="76" max="76" width="15.7109375" customWidth="1"/>
  </cols>
  <sheetData>
    <row r="1" spans="1:76" x14ac:dyDescent="0.25">
      <c r="A1" s="1" t="s">
        <v>0</v>
      </c>
      <c r="B1" s="1" t="s">
        <v>1</v>
      </c>
      <c r="C1" s="1" t="s">
        <v>2</v>
      </c>
      <c r="D1" s="1" t="s">
        <v>3</v>
      </c>
      <c r="E1" s="35" t="s">
        <v>4</v>
      </c>
      <c r="F1" s="1" t="s">
        <v>5</v>
      </c>
      <c r="G1" s="1" t="s">
        <v>6</v>
      </c>
      <c r="H1" s="1" t="s">
        <v>7</v>
      </c>
      <c r="I1" s="35" t="s">
        <v>8</v>
      </c>
      <c r="J1" s="1" t="s">
        <v>9</v>
      </c>
      <c r="K1" s="35" t="s">
        <v>10</v>
      </c>
      <c r="L1" s="1" t="s">
        <v>11</v>
      </c>
      <c r="M1" s="3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5" t="s">
        <v>18</v>
      </c>
      <c r="T1" s="1" t="s">
        <v>19</v>
      </c>
      <c r="U1" s="1" t="s">
        <v>20</v>
      </c>
      <c r="V1" s="1" t="s">
        <v>21</v>
      </c>
      <c r="W1" s="35" t="s">
        <v>22</v>
      </c>
      <c r="X1" s="1" t="s">
        <v>23</v>
      </c>
      <c r="Y1" s="35" t="s">
        <v>24</v>
      </c>
      <c r="Z1" s="35" t="s">
        <v>25</v>
      </c>
      <c r="AA1" s="1" t="s">
        <v>26</v>
      </c>
      <c r="AB1" s="1" t="s">
        <v>27</v>
      </c>
      <c r="AC1" s="35" t="s">
        <v>28</v>
      </c>
      <c r="AD1" s="35" t="s">
        <v>29</v>
      </c>
      <c r="AE1" s="1" t="s">
        <v>30</v>
      </c>
      <c r="AF1" s="35" t="s">
        <v>31</v>
      </c>
      <c r="AG1" s="35" t="s">
        <v>32</v>
      </c>
      <c r="AH1" s="1" t="s">
        <v>33</v>
      </c>
      <c r="AI1" s="35" t="s">
        <v>34</v>
      </c>
      <c r="AJ1" s="35" t="s">
        <v>35</v>
      </c>
      <c r="AK1" s="35" t="s">
        <v>36</v>
      </c>
      <c r="AL1" s="35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1" t="s">
        <v>44</v>
      </c>
      <c r="AT1" s="1" t="s">
        <v>45</v>
      </c>
      <c r="AU1" s="1" t="s">
        <v>46</v>
      </c>
      <c r="AV1" s="35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3" t="s">
        <v>60</v>
      </c>
      <c r="BJ1" s="3" t="s">
        <v>61</v>
      </c>
      <c r="BK1" s="3" t="s">
        <v>62</v>
      </c>
      <c r="BN1" t="s">
        <v>63</v>
      </c>
    </row>
    <row r="2" spans="1:76" x14ac:dyDescent="0.25">
      <c r="A2" s="4" t="s">
        <v>64</v>
      </c>
      <c r="B2" s="4" t="s">
        <v>65</v>
      </c>
      <c r="C2" s="4" t="s">
        <v>66</v>
      </c>
      <c r="D2" s="5">
        <v>44902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  <c r="J2" s="4" t="s">
        <v>72</v>
      </c>
      <c r="K2" s="4" t="s">
        <v>73</v>
      </c>
      <c r="L2" s="4" t="s">
        <v>74</v>
      </c>
      <c r="M2" s="4" t="s">
        <v>75</v>
      </c>
      <c r="N2" s="4" t="s">
        <v>76</v>
      </c>
      <c r="O2" s="4" t="s">
        <v>77</v>
      </c>
      <c r="P2" s="4" t="s">
        <v>78</v>
      </c>
      <c r="Q2" s="5">
        <v>44914</v>
      </c>
      <c r="R2" s="6">
        <v>11.42</v>
      </c>
      <c r="S2" s="4" t="s">
        <v>79</v>
      </c>
      <c r="T2" s="4" t="s">
        <v>80</v>
      </c>
      <c r="U2" s="4" t="s">
        <v>81</v>
      </c>
      <c r="V2" s="4" t="s">
        <v>82</v>
      </c>
      <c r="W2" s="4" t="s">
        <v>83</v>
      </c>
      <c r="X2" s="4" t="s">
        <v>84</v>
      </c>
      <c r="Y2" s="4" t="s">
        <v>85</v>
      </c>
      <c r="Z2" s="4" t="s">
        <v>86</v>
      </c>
      <c r="AA2" s="4" t="s">
        <v>87</v>
      </c>
      <c r="AB2" s="4" t="s">
        <v>88</v>
      </c>
      <c r="AC2" s="4" t="s">
        <v>89</v>
      </c>
      <c r="AD2" s="4" t="s">
        <v>85</v>
      </c>
      <c r="AE2" s="4" t="s">
        <v>90</v>
      </c>
      <c r="AF2" s="4" t="s">
        <v>91</v>
      </c>
      <c r="AG2" s="4" t="s">
        <v>92</v>
      </c>
      <c r="AH2" s="4" t="s">
        <v>93</v>
      </c>
      <c r="AI2" s="4" t="s">
        <v>94</v>
      </c>
      <c r="AJ2" s="5">
        <v>44902</v>
      </c>
      <c r="AK2" s="4" t="s">
        <v>95</v>
      </c>
      <c r="AL2" s="4" t="s">
        <v>95</v>
      </c>
      <c r="AM2" s="4" t="s">
        <v>95</v>
      </c>
      <c r="AN2" s="4" t="s">
        <v>95</v>
      </c>
      <c r="AO2" s="4" t="s">
        <v>95</v>
      </c>
      <c r="AP2" s="4" t="s">
        <v>95</v>
      </c>
      <c r="AQ2" s="4" t="s">
        <v>95</v>
      </c>
      <c r="AR2" s="4" t="s">
        <v>95</v>
      </c>
      <c r="AS2" s="4" t="s">
        <v>83</v>
      </c>
      <c r="AT2" s="4" t="s">
        <v>83</v>
      </c>
      <c r="AU2" s="4" t="s">
        <v>81</v>
      </c>
      <c r="AV2" s="4" t="s">
        <v>95</v>
      </c>
      <c r="AW2" s="7" t="s">
        <v>96</v>
      </c>
      <c r="AX2" s="7"/>
      <c r="AY2" s="8" t="str">
        <f>Pospago[[#This Row],[NUM_TELEFONICO]]&amp;"POSPAGOSI"</f>
        <v>939340113POSPAGOSI</v>
      </c>
      <c r="AZ2" s="8" t="str">
        <f>VLOOKUP(Pospago[[#This Row],[NOM_PLAZA_FINAL]],[1]!Locales[#Data],3,0)</f>
        <v>TIENDA CUENCA CENTRO</v>
      </c>
      <c r="BA2" s="8" t="str">
        <f>IFERROR(VLOOKUP(Pospago[[#This Row],[USUARIO]],[1]!Personal[#Data],6,0),"EJECUTIVO NO REGISTRADO")</f>
        <v>ANDRADE CONDO CHRISTIAN EDUARDO</v>
      </c>
      <c r="BB2" s="8" t="str">
        <f>Pospago[[#This Row],[TIPO_MOVIMIENTO]]&amp;" "&amp;Pospago[[#This Row],[FORMA_PAGO_FINAL]]</f>
        <v>ALTAS DOMICILIADO</v>
      </c>
      <c r="BC2" s="8">
        <f>DAY(Pospago[[#This Row],[FECHA_ALTA]])</f>
        <v>7</v>
      </c>
      <c r="BD2" s="8">
        <f>IF(Pospago[[#This Row],[TARIFA_BASICA]]=11.42,1,0)</f>
        <v>1</v>
      </c>
      <c r="BE2" s="8">
        <f>IF(Pospago[[#This Row],[PLANES TELEVENTAS]]="SI",1,0)</f>
        <v>0</v>
      </c>
      <c r="BF2" s="8">
        <f>1</f>
        <v>1</v>
      </c>
      <c r="BG2" s="8">
        <f>IF(OR(Pospago[[#This Row],[TARIFA_BASICA]]=11.42,Pospago[[#This Row],[PLANES TELEVENTAS]]="SI"),1,0)</f>
        <v>1</v>
      </c>
      <c r="BH2" s="8" t="str">
        <f>IF(MID(Pospago[[#This Row],[PlanDesc]],1,4) = "PLAN","POSPAGO",IF(MID(Pospago[[#This Row],[PlanDesc]],1,4)="FULL","FULL MEGAS","PREVIOPAGO"))</f>
        <v>PREVIOPAGO</v>
      </c>
      <c r="BI2" s="9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2" s="9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" s="9">
        <f>Pospago[[#This Row],[TARIFA_BASICA]]*1.5</f>
        <v>17.13</v>
      </c>
      <c r="BN2" s="10" t="s">
        <v>97</v>
      </c>
      <c r="BO2" s="11" t="s">
        <v>98</v>
      </c>
      <c r="BP2" s="11" t="s">
        <v>99</v>
      </c>
      <c r="BQ2" s="12" t="s">
        <v>100</v>
      </c>
      <c r="BR2" s="13" t="s">
        <v>101</v>
      </c>
      <c r="BS2" s="14" t="s">
        <v>102</v>
      </c>
      <c r="BT2" s="15" t="s">
        <v>103</v>
      </c>
      <c r="BU2" s="16" t="s">
        <v>104</v>
      </c>
      <c r="BV2" s="17" t="s">
        <v>105</v>
      </c>
      <c r="BW2" s="14" t="s">
        <v>106</v>
      </c>
      <c r="BX2" s="15" t="s">
        <v>107</v>
      </c>
    </row>
    <row r="3" spans="1:76" x14ac:dyDescent="0.25">
      <c r="A3" s="18" t="s">
        <v>64</v>
      </c>
      <c r="B3" s="18" t="s">
        <v>108</v>
      </c>
      <c r="C3" s="18" t="s">
        <v>109</v>
      </c>
      <c r="D3" s="19">
        <v>44902</v>
      </c>
      <c r="E3" s="18" t="s">
        <v>67</v>
      </c>
      <c r="F3" s="18" t="s">
        <v>110</v>
      </c>
      <c r="G3" s="18" t="s">
        <v>111</v>
      </c>
      <c r="H3" s="18" t="s">
        <v>70</v>
      </c>
      <c r="I3" s="18" t="s">
        <v>112</v>
      </c>
      <c r="J3" s="18" t="s">
        <v>113</v>
      </c>
      <c r="K3" s="18" t="s">
        <v>114</v>
      </c>
      <c r="L3" s="20" t="s">
        <v>115</v>
      </c>
      <c r="M3" s="18" t="s">
        <v>75</v>
      </c>
      <c r="N3" s="20" t="s">
        <v>116</v>
      </c>
      <c r="O3" s="18" t="s">
        <v>77</v>
      </c>
      <c r="P3" s="18" t="s">
        <v>78</v>
      </c>
      <c r="Q3" s="19">
        <v>44914</v>
      </c>
      <c r="R3" s="21">
        <v>17.850000000000001</v>
      </c>
      <c r="S3" s="18" t="s">
        <v>79</v>
      </c>
      <c r="T3" s="18" t="s">
        <v>117</v>
      </c>
      <c r="U3" s="18" t="s">
        <v>81</v>
      </c>
      <c r="V3" s="18" t="s">
        <v>82</v>
      </c>
      <c r="W3" s="18" t="s">
        <v>83</v>
      </c>
      <c r="X3" s="18" t="s">
        <v>118</v>
      </c>
      <c r="Y3" s="18" t="s">
        <v>85</v>
      </c>
      <c r="Z3" s="18" t="s">
        <v>86</v>
      </c>
      <c r="AA3" s="18" t="s">
        <v>119</v>
      </c>
      <c r="AB3" s="18" t="s">
        <v>120</v>
      </c>
      <c r="AC3" s="18" t="s">
        <v>121</v>
      </c>
      <c r="AD3" s="18" t="s">
        <v>85</v>
      </c>
      <c r="AE3" s="18" t="s">
        <v>90</v>
      </c>
      <c r="AF3" s="18" t="s">
        <v>122</v>
      </c>
      <c r="AG3" s="18" t="s">
        <v>92</v>
      </c>
      <c r="AH3" s="18" t="s">
        <v>93</v>
      </c>
      <c r="AI3" s="18" t="s">
        <v>94</v>
      </c>
      <c r="AJ3" s="19">
        <v>44902</v>
      </c>
      <c r="AK3" s="22" t="s">
        <v>95</v>
      </c>
      <c r="AL3" s="18" t="s">
        <v>95</v>
      </c>
      <c r="AM3" s="18" t="s">
        <v>95</v>
      </c>
      <c r="AN3" s="18" t="s">
        <v>95</v>
      </c>
      <c r="AO3" s="18" t="s">
        <v>95</v>
      </c>
      <c r="AP3" s="18" t="s">
        <v>95</v>
      </c>
      <c r="AQ3" s="18" t="s">
        <v>95</v>
      </c>
      <c r="AR3" s="18" t="s">
        <v>95</v>
      </c>
      <c r="AS3" s="18" t="s">
        <v>83</v>
      </c>
      <c r="AT3" s="18" t="s">
        <v>83</v>
      </c>
      <c r="AU3" s="18" t="s">
        <v>81</v>
      </c>
      <c r="AV3" s="18" t="s">
        <v>95</v>
      </c>
      <c r="AW3" s="18" t="s">
        <v>96</v>
      </c>
      <c r="AX3" s="18"/>
      <c r="AY3" s="18" t="str">
        <f>Pospago[[#This Row],[NUM_TELEFONICO]]&amp;"POSPAGOSI"</f>
        <v>939872454POSPAGOSI</v>
      </c>
      <c r="AZ3" s="18" t="str">
        <f>VLOOKUP(Pospago[[#This Row],[NOM_PLAZA_FINAL]],[1]!Locales[#Data],3,0)</f>
        <v>TIENDA MACHALA</v>
      </c>
      <c r="BA3" s="18" t="str">
        <f>IFERROR(VLOOKUP(Pospago[[#This Row],[USUARIO]],[1]!Personal[#Data],6,0),"EJECUTIVO NO REGISTRADO")</f>
        <v>ARROBO VICENTE YADIRA ESPERANZA</v>
      </c>
      <c r="BB3" s="18" t="str">
        <f>Pospago[[#This Row],[TIPO_MOVIMIENTO]]&amp;" "&amp;Pospago[[#This Row],[FORMA_PAGO_FINAL]]</f>
        <v>ALTAS PAGO EN CAJA</v>
      </c>
      <c r="BC3" s="18">
        <f>DAY(Pospago[[#This Row],[FECHA_ALTA]])</f>
        <v>7</v>
      </c>
      <c r="BD3" s="18">
        <f>IF(Pospago[[#This Row],[TARIFA_BASICA]]=11.42,1,0)</f>
        <v>0</v>
      </c>
      <c r="BE3" s="18">
        <f>IF(Pospago[[#This Row],[PLANES TELEVENTAS]]="SI",1,0)</f>
        <v>0</v>
      </c>
      <c r="BF3" s="18">
        <f>1</f>
        <v>1</v>
      </c>
      <c r="BG3" s="18">
        <f>IF(OR(Pospago[[#This Row],[TARIFA_BASICA]]=11.42,Pospago[[#This Row],[PLANES TELEVENTAS]]="SI"),1,0)</f>
        <v>0</v>
      </c>
      <c r="BH3" s="18" t="str">
        <f>IF(MID(Pospago[[#This Row],[PlanDesc]],1,4) = "PLAN","POSPAGO",IF(MID(Pospago[[#This Row],[PlanDesc]],1,4)="FULL","FULL MEGAS","PREVIOPAGO"))</f>
        <v>PREVIOPAGO</v>
      </c>
      <c r="BI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18.911999999999999</v>
      </c>
      <c r="BJ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" s="21">
        <f>Pospago[[#This Row],[TARIFA_BASICA]]*1.5</f>
        <v>26.775000000000002</v>
      </c>
      <c r="BN3" t="s">
        <v>123</v>
      </c>
      <c r="BO3" s="23" t="s">
        <v>124</v>
      </c>
      <c r="BP3" s="24" t="str">
        <f>UnitariosPospago[[#This Row],[TIENDA]]&amp;UnitariosPospago[[#This Row],[TIPO ALTA]]</f>
        <v>TIENDA AMERICAALTAS DOMICILIADO</v>
      </c>
      <c r="BQ3" t="s">
        <v>125</v>
      </c>
      <c r="BR3" s="25">
        <f>INDEX(MetaTM,MATCH(UnitariosPospago[[#This Row],[TIENDA]],MetaTiendaTM,0),MATCH(UnitariosPospago[[#This Row],[CRUCE]],MetaTituloTM,0))</f>
        <v>103</v>
      </c>
      <c r="BS3" s="26">
        <f>AVERAGEIFS(Pospago[COMISION UPFRONT],Pospago[LOCALES],UnitariosPospago[[#This Row],[TIENDA]],Pospago[TIPO],UnitariosPospago[[#This Row],[TIPO ALTA]])</f>
        <v>17.751632653061222</v>
      </c>
      <c r="BT3" s="27">
        <f>UnitariosPospago[[#This Row],[MetaTM]]*UnitariosPospago[[#This Row],[PROM. UNI TB]]</f>
        <v>1828.4181632653058</v>
      </c>
      <c r="BU3" s="26">
        <f>AVERAGEIFS(Pospago[COMISION BC],Pospago[LOCALES],UnitariosPospago[[#This Row],[TIENDA]],Pospago[TIPO],UnitariosPospago[[#This Row],[TIPO ALTA]])</f>
        <v>7.9714285714285662</v>
      </c>
      <c r="BV3" s="28">
        <f>UnitariosPospago[[#This Row],[PROM. UNI BCM]]*UnitariosPospago[[#This Row],[MetaTM]]</f>
        <v>821.05714285714237</v>
      </c>
      <c r="BW3" s="26">
        <f>AVERAGEIFS(Pospago[COMISION BF],Pospago[LOCALES],UnitariosPospago[[#This Row],[TIENDA]],Pospago[TIPO],UnitariosPospago[[#This Row],[TIPO ALTA]])</f>
        <v>24.197142857142854</v>
      </c>
      <c r="BX3" s="29">
        <f>UnitariosPospago[[#This Row],[PROM. UNI BFQ]]*UnitariosPospago[[#This Row],[MetaTM]]</f>
        <v>2492.3057142857137</v>
      </c>
    </row>
    <row r="4" spans="1:76" x14ac:dyDescent="0.25">
      <c r="A4" s="18" t="s">
        <v>64</v>
      </c>
      <c r="B4" s="18" t="s">
        <v>126</v>
      </c>
      <c r="C4" s="18" t="s">
        <v>127</v>
      </c>
      <c r="D4" s="19">
        <v>44907</v>
      </c>
      <c r="E4" s="18" t="s">
        <v>67</v>
      </c>
      <c r="F4" s="18" t="s">
        <v>128</v>
      </c>
      <c r="G4" s="18" t="s">
        <v>129</v>
      </c>
      <c r="H4" s="18" t="s">
        <v>70</v>
      </c>
      <c r="I4" s="18" t="s">
        <v>130</v>
      </c>
      <c r="J4" s="18" t="s">
        <v>131</v>
      </c>
      <c r="K4" s="18" t="s">
        <v>132</v>
      </c>
      <c r="L4" s="20" t="s">
        <v>133</v>
      </c>
      <c r="M4" s="18" t="s">
        <v>75</v>
      </c>
      <c r="N4" s="20" t="s">
        <v>134</v>
      </c>
      <c r="O4" s="18" t="s">
        <v>77</v>
      </c>
      <c r="P4" s="18" t="s">
        <v>78</v>
      </c>
      <c r="Q4" s="19">
        <v>44914</v>
      </c>
      <c r="R4" s="21">
        <v>15</v>
      </c>
      <c r="S4" s="18" t="s">
        <v>79</v>
      </c>
      <c r="T4" s="18" t="s">
        <v>135</v>
      </c>
      <c r="U4" s="18" t="s">
        <v>83</v>
      </c>
      <c r="V4" s="18" t="s">
        <v>95</v>
      </c>
      <c r="W4" s="18" t="s">
        <v>83</v>
      </c>
      <c r="X4" s="18" t="s">
        <v>84</v>
      </c>
      <c r="Y4" s="18" t="s">
        <v>85</v>
      </c>
      <c r="Z4" s="18" t="s">
        <v>86</v>
      </c>
      <c r="AA4" s="18" t="s">
        <v>87</v>
      </c>
      <c r="AB4" s="18" t="s">
        <v>136</v>
      </c>
      <c r="AC4" s="18" t="s">
        <v>137</v>
      </c>
      <c r="AD4" s="18" t="s">
        <v>85</v>
      </c>
      <c r="AE4" s="18" t="s">
        <v>90</v>
      </c>
      <c r="AF4" s="18" t="s">
        <v>138</v>
      </c>
      <c r="AG4" s="18" t="s">
        <v>139</v>
      </c>
      <c r="AH4" s="18" t="s">
        <v>93</v>
      </c>
      <c r="AI4" s="18" t="s">
        <v>94</v>
      </c>
      <c r="AJ4" s="19">
        <v>44907</v>
      </c>
      <c r="AK4" s="22" t="s">
        <v>95</v>
      </c>
      <c r="AL4" s="18" t="s">
        <v>95</v>
      </c>
      <c r="AM4" s="18" t="s">
        <v>95</v>
      </c>
      <c r="AN4" s="18" t="s">
        <v>95</v>
      </c>
      <c r="AO4" s="18" t="s">
        <v>95</v>
      </c>
      <c r="AP4" s="18" t="s">
        <v>95</v>
      </c>
      <c r="AQ4" s="18" t="s">
        <v>95</v>
      </c>
      <c r="AR4" s="18" t="s">
        <v>95</v>
      </c>
      <c r="AS4" s="18" t="s">
        <v>83</v>
      </c>
      <c r="AT4" s="18" t="s">
        <v>83</v>
      </c>
      <c r="AU4" s="18" t="s">
        <v>81</v>
      </c>
      <c r="AV4" s="18" t="s">
        <v>95</v>
      </c>
      <c r="AW4" s="18" t="s">
        <v>95</v>
      </c>
      <c r="AX4" s="18"/>
      <c r="AY4" s="18" t="str">
        <f>Pospago[[#This Row],[NUM_TELEFONICO]]&amp;"POSPAGOSI"</f>
        <v>958600549POSPAGOSI</v>
      </c>
      <c r="AZ4" s="18" t="str">
        <f>VLOOKUP(Pospago[[#This Row],[NOM_PLAZA_FINAL]],[1]!Locales[#Data],3,0)</f>
        <v>TIENDA AMERICA</v>
      </c>
      <c r="BA4" s="18" t="str">
        <f>IFERROR(VLOOKUP(Pospago[[#This Row],[USUARIO]],[1]!Personal[#Data],6,0),"EJECUTIVO NO REGISTRADO")</f>
        <v>SALVATIERRA GUERRA JULIAN ENRIQUE</v>
      </c>
      <c r="BB4" s="18" t="str">
        <f>Pospago[[#This Row],[TIPO_MOVIMIENTO]]&amp;" "&amp;Pospago[[#This Row],[FORMA_PAGO_FINAL]]</f>
        <v>ALTAS DOMICILIADO</v>
      </c>
      <c r="BC4" s="18">
        <f>DAY(Pospago[[#This Row],[FECHA_ALTA]])</f>
        <v>12</v>
      </c>
      <c r="BD4" s="18">
        <f>IF(Pospago[[#This Row],[TARIFA_BASICA]]=11.42,1,0)</f>
        <v>0</v>
      </c>
      <c r="BE4" s="18">
        <f>IF(Pospago[[#This Row],[PLANES TELEVENTAS]]="SI",1,0)</f>
        <v>0</v>
      </c>
      <c r="BF4" s="18">
        <f>1</f>
        <v>1</v>
      </c>
      <c r="BG4" s="18">
        <f>IF(OR(Pospago[[#This Row],[TARIFA_BASICA]]=11.42,Pospago[[#This Row],[PLANES TELEVENTAS]]="SI"),1,0)</f>
        <v>0</v>
      </c>
      <c r="BH4" s="18" t="str">
        <f>IF(MID(Pospago[[#This Row],[PlanDesc]],1,4) = "PLAN","POSPAGO",IF(MID(Pospago[[#This Row],[PlanDesc]],1,4)="FULL","FULL MEGAS","PREVIOPAGO"))</f>
        <v>PREVIOPAGO</v>
      </c>
      <c r="BI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" s="21">
        <f>Pospago[[#This Row],[TARIFA_BASICA]]*1.5</f>
        <v>22.5</v>
      </c>
      <c r="BN4" t="s">
        <v>123</v>
      </c>
      <c r="BO4" s="24" t="s">
        <v>140</v>
      </c>
      <c r="BP4" s="30" t="str">
        <f>UnitariosPospago[[#This Row],[TIENDA]]&amp;UnitariosPospago[[#This Row],[TIPO ALTA]]</f>
        <v>TIENDA AMERICATRANSFERENCIAS DOMICILIADO</v>
      </c>
      <c r="BQ4" t="s">
        <v>141</v>
      </c>
      <c r="BR4" s="25">
        <f>INDEX(MetaTM,MATCH(UnitariosPospago[[#This Row],[TIENDA]],MetaTiendaTM,0),MATCH(UnitariosPospago[[#This Row],[CRUCE]],MetaTituloTM,0))</f>
        <v>77</v>
      </c>
      <c r="BS4" s="26">
        <f>AVERAGEIFS(Pospago[COMISION UPFRONT],Pospago[LOCALES],UnitariosPospago[[#This Row],[TIENDA]],Pospago[TIPO],UnitariosPospago[[#This Row],[TIPO ALTA]])</f>
        <v>7.4796000000000014</v>
      </c>
      <c r="BT4" s="27">
        <f>UnitariosPospago[[#This Row],[MetaTM]]*UnitariosPospago[[#This Row],[PROM. UNI TB]]</f>
        <v>575.92920000000015</v>
      </c>
      <c r="BU4" s="26">
        <f>AVERAGEIFS(Pospago[COMISION BC],Pospago[LOCALES],UnitariosPospago[[#This Row],[TIENDA]],Pospago[TIPO],UnitariosPospago[[#This Row],[TIPO ALTA]])</f>
        <v>8.4000000000000039</v>
      </c>
      <c r="BV4" s="28">
        <f>UnitariosPospago[[#This Row],[PROM. UNI BCM]]*UnitariosPospago[[#This Row],[MetaTM]]</f>
        <v>646.8000000000003</v>
      </c>
      <c r="BW4" s="26">
        <f>AVERAGEIFS(Pospago[COMISION BF],Pospago[LOCALES],UnitariosPospago[[#This Row],[TIENDA]],Pospago[TIPO],UnitariosPospago[[#This Row],[TIPO ALTA]])</f>
        <v>23.133599999999998</v>
      </c>
      <c r="BX4" s="29">
        <f>UnitariosPospago[[#This Row],[PROM. UNI BFQ]]*UnitariosPospago[[#This Row],[MetaTM]]</f>
        <v>1781.2871999999998</v>
      </c>
    </row>
    <row r="5" spans="1:76" x14ac:dyDescent="0.25">
      <c r="A5" s="18" t="s">
        <v>64</v>
      </c>
      <c r="B5" s="18" t="s">
        <v>142</v>
      </c>
      <c r="C5" s="18" t="s">
        <v>143</v>
      </c>
      <c r="D5" s="19">
        <v>44896</v>
      </c>
      <c r="E5" s="18" t="s">
        <v>67</v>
      </c>
      <c r="F5" s="18" t="s">
        <v>144</v>
      </c>
      <c r="G5" s="18" t="s">
        <v>145</v>
      </c>
      <c r="H5" s="18" t="s">
        <v>70</v>
      </c>
      <c r="I5" s="18" t="s">
        <v>112</v>
      </c>
      <c r="J5" s="18" t="s">
        <v>113</v>
      </c>
      <c r="K5" s="18" t="s">
        <v>73</v>
      </c>
      <c r="L5" s="20" t="s">
        <v>146</v>
      </c>
      <c r="M5" s="18" t="s">
        <v>75</v>
      </c>
      <c r="N5" s="20" t="s">
        <v>147</v>
      </c>
      <c r="O5" s="18" t="s">
        <v>77</v>
      </c>
      <c r="P5" s="18" t="s">
        <v>78</v>
      </c>
      <c r="Q5" s="19">
        <v>44914</v>
      </c>
      <c r="R5" s="21">
        <v>17.850000000000001</v>
      </c>
      <c r="S5" s="18" t="s">
        <v>79</v>
      </c>
      <c r="T5" s="18" t="s">
        <v>148</v>
      </c>
      <c r="U5" s="18" t="s">
        <v>83</v>
      </c>
      <c r="V5" s="18" t="s">
        <v>95</v>
      </c>
      <c r="W5" s="18" t="s">
        <v>83</v>
      </c>
      <c r="X5" s="18" t="s">
        <v>118</v>
      </c>
      <c r="Y5" s="18" t="s">
        <v>85</v>
      </c>
      <c r="Z5" s="18" t="s">
        <v>86</v>
      </c>
      <c r="AA5" s="18" t="s">
        <v>119</v>
      </c>
      <c r="AB5" s="18" t="s">
        <v>149</v>
      </c>
      <c r="AC5" s="18" t="s">
        <v>150</v>
      </c>
      <c r="AD5" s="18" t="s">
        <v>85</v>
      </c>
      <c r="AE5" s="18" t="s">
        <v>90</v>
      </c>
      <c r="AF5" s="18" t="s">
        <v>151</v>
      </c>
      <c r="AG5" s="18" t="s">
        <v>92</v>
      </c>
      <c r="AH5" s="18" t="s">
        <v>93</v>
      </c>
      <c r="AI5" s="18" t="s">
        <v>94</v>
      </c>
      <c r="AJ5" s="19">
        <v>44896</v>
      </c>
      <c r="AK5" s="22" t="s">
        <v>95</v>
      </c>
      <c r="AL5" s="18" t="s">
        <v>95</v>
      </c>
      <c r="AM5" s="18" t="s">
        <v>95</v>
      </c>
      <c r="AN5" s="18" t="s">
        <v>95</v>
      </c>
      <c r="AO5" s="18" t="s">
        <v>95</v>
      </c>
      <c r="AP5" s="18" t="s">
        <v>95</v>
      </c>
      <c r="AQ5" s="18" t="s">
        <v>95</v>
      </c>
      <c r="AR5" s="18" t="s">
        <v>95</v>
      </c>
      <c r="AS5" s="18" t="s">
        <v>83</v>
      </c>
      <c r="AT5" s="18" t="s">
        <v>83</v>
      </c>
      <c r="AU5" s="18" t="s">
        <v>81</v>
      </c>
      <c r="AV5" s="18" t="s">
        <v>95</v>
      </c>
      <c r="AW5" s="18" t="s">
        <v>95</v>
      </c>
      <c r="AX5" s="18"/>
      <c r="AY5" s="18" t="str">
        <f>Pospago[[#This Row],[NUM_TELEFONICO]]&amp;"POSPAGOSI"</f>
        <v>958604796POSPAGOSI</v>
      </c>
      <c r="AZ5" s="18" t="str">
        <f>VLOOKUP(Pospago[[#This Row],[NOM_PLAZA_FINAL]],[1]!Locales[#Data],3,0)</f>
        <v>TIENDA CUENCA REMIGIO</v>
      </c>
      <c r="BA5" s="18" t="str">
        <f>IFERROR(VLOOKUP(Pospago[[#This Row],[USUARIO]],[1]!Personal[#Data],6,0),"EJECUTIVO NO REGISTRADO")</f>
        <v>OSORIO TEJADA ANA ESTEFANIA</v>
      </c>
      <c r="BB5" s="18" t="str">
        <f>Pospago[[#This Row],[TIPO_MOVIMIENTO]]&amp;" "&amp;Pospago[[#This Row],[FORMA_PAGO_FINAL]]</f>
        <v>ALTAS PAGO EN CAJA</v>
      </c>
      <c r="BC5" s="18">
        <f>DAY(Pospago[[#This Row],[FECHA_ALTA]])</f>
        <v>1</v>
      </c>
      <c r="BD5" s="18">
        <f>IF(Pospago[[#This Row],[TARIFA_BASICA]]=11.42,1,0)</f>
        <v>0</v>
      </c>
      <c r="BE5" s="18">
        <f>IF(Pospago[[#This Row],[PLANES TELEVENTAS]]="SI",1,0)</f>
        <v>0</v>
      </c>
      <c r="BF5" s="18">
        <f>1</f>
        <v>1</v>
      </c>
      <c r="BG5" s="18">
        <f>IF(OR(Pospago[[#This Row],[TARIFA_BASICA]]=11.42,Pospago[[#This Row],[PLANES TELEVENTAS]]="SI"),1,0)</f>
        <v>0</v>
      </c>
      <c r="BH5" s="18" t="str">
        <f>IF(MID(Pospago[[#This Row],[PlanDesc]],1,4) = "PLAN","POSPAGO",IF(MID(Pospago[[#This Row],[PlanDesc]],1,4)="FULL","FULL MEGAS","PREVIOPAGO"))</f>
        <v>PREVIOPAGO</v>
      </c>
      <c r="BI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" s="21">
        <f>Pospago[[#This Row],[TARIFA_BASICA]]*1.5</f>
        <v>26.775000000000002</v>
      </c>
      <c r="BN5" t="s">
        <v>123</v>
      </c>
      <c r="BO5" s="24" t="s">
        <v>152</v>
      </c>
      <c r="BP5" s="30" t="str">
        <f>UnitariosPospago[[#This Row],[TIENDA]]&amp;UnitariosPospago[[#This Row],[TIPO ALTA]]</f>
        <v>TIENDA AMERICAALTAS PAGO EN CAJA</v>
      </c>
      <c r="BQ5" t="s">
        <v>153</v>
      </c>
      <c r="BR5" s="25">
        <f>INDEX(MetaTM,MATCH(UnitariosPospago[[#This Row],[TIENDA]],MetaTiendaTM,0),MATCH(UnitariosPospago[[#This Row],[CRUCE]],MetaTituloTM,0))</f>
        <v>26</v>
      </c>
      <c r="BS5" s="26">
        <f>AVERAGEIFS(Pospago[COMISION UPFRONT],Pospago[LOCALES],UnitariosPospago[[#This Row],[TIENDA]],Pospago[TIPO],UnitariosPospago[[#This Row],[TIPO ALTA]])</f>
        <v>13.804499999999999</v>
      </c>
      <c r="BT5" s="27">
        <f>UnitariosPospago[[#This Row],[MetaTM]]*UnitariosPospago[[#This Row],[PROM. UNI TB]]</f>
        <v>358.91699999999997</v>
      </c>
      <c r="BU5" s="26">
        <f>AVERAGEIFS(Pospago[COMISION BC],Pospago[LOCALES],UnitariosPospago[[#This Row],[TIENDA]],Pospago[TIPO],UnitariosPospago[[#This Row],[TIPO ALTA]])</f>
        <v>8.4000000000000021</v>
      </c>
      <c r="BV5" s="28">
        <f>UnitariosPospago[[#This Row],[PROM. UNI BCM]]*UnitariosPospago[[#This Row],[MetaTM]]</f>
        <v>218.40000000000006</v>
      </c>
      <c r="BW5" s="26">
        <f>AVERAGEIFS(Pospago[COMISION BF],Pospago[LOCALES],UnitariosPospago[[#This Row],[TIENDA]],Pospago[TIPO],UnitariosPospago[[#This Row],[TIPO ALTA]])</f>
        <v>24.396750000000001</v>
      </c>
      <c r="BX5" s="29">
        <f>UnitariosPospago[[#This Row],[PROM. UNI BFQ]]*UnitariosPospago[[#This Row],[MetaTM]]</f>
        <v>634.31550000000004</v>
      </c>
    </row>
    <row r="6" spans="1:76" x14ac:dyDescent="0.25">
      <c r="A6" s="18" t="s">
        <v>154</v>
      </c>
      <c r="B6" s="18" t="s">
        <v>155</v>
      </c>
      <c r="C6" s="18" t="s">
        <v>156</v>
      </c>
      <c r="D6" s="19">
        <v>44897</v>
      </c>
      <c r="E6" s="18" t="s">
        <v>67</v>
      </c>
      <c r="F6" s="18" t="s">
        <v>157</v>
      </c>
      <c r="G6" s="18" t="s">
        <v>158</v>
      </c>
      <c r="H6" s="18" t="s">
        <v>159</v>
      </c>
      <c r="I6" s="18" t="s">
        <v>160</v>
      </c>
      <c r="J6" s="18" t="s">
        <v>161</v>
      </c>
      <c r="K6" s="18" t="s">
        <v>73</v>
      </c>
      <c r="L6" s="20" t="s">
        <v>162</v>
      </c>
      <c r="M6" s="18" t="s">
        <v>75</v>
      </c>
      <c r="N6" s="20" t="s">
        <v>163</v>
      </c>
      <c r="O6" s="18" t="s">
        <v>164</v>
      </c>
      <c r="P6" s="18" t="s">
        <v>78</v>
      </c>
      <c r="Q6" s="19">
        <v>44914</v>
      </c>
      <c r="R6" s="21">
        <v>14.28</v>
      </c>
      <c r="S6" s="18" t="s">
        <v>79</v>
      </c>
      <c r="T6" s="18" t="s">
        <v>80</v>
      </c>
      <c r="U6" s="18" t="s">
        <v>83</v>
      </c>
      <c r="V6" s="18" t="s">
        <v>95</v>
      </c>
      <c r="W6" s="18" t="s">
        <v>95</v>
      </c>
      <c r="X6" s="18" t="s">
        <v>118</v>
      </c>
      <c r="Y6" s="18" t="s">
        <v>85</v>
      </c>
      <c r="Z6" s="18" t="s">
        <v>86</v>
      </c>
      <c r="AA6" s="18" t="s">
        <v>119</v>
      </c>
      <c r="AB6" s="18" t="s">
        <v>88</v>
      </c>
      <c r="AC6" s="18" t="s">
        <v>89</v>
      </c>
      <c r="AD6" s="18" t="s">
        <v>85</v>
      </c>
      <c r="AE6" s="18" t="s">
        <v>90</v>
      </c>
      <c r="AF6" s="18" t="s">
        <v>91</v>
      </c>
      <c r="AG6" s="18" t="s">
        <v>92</v>
      </c>
      <c r="AH6" s="18" t="s">
        <v>165</v>
      </c>
      <c r="AI6" s="18" t="s">
        <v>94</v>
      </c>
      <c r="AJ6" s="19">
        <v>44897</v>
      </c>
      <c r="AK6" s="22" t="s">
        <v>95</v>
      </c>
      <c r="AL6" s="18" t="s">
        <v>95</v>
      </c>
      <c r="AM6" s="18" t="s">
        <v>95</v>
      </c>
      <c r="AN6" s="18" t="s">
        <v>95</v>
      </c>
      <c r="AO6" s="18" t="s">
        <v>95</v>
      </c>
      <c r="AP6" s="18" t="s">
        <v>95</v>
      </c>
      <c r="AQ6" s="18" t="s">
        <v>95</v>
      </c>
      <c r="AR6" s="18" t="s">
        <v>95</v>
      </c>
      <c r="AS6" s="18" t="s">
        <v>83</v>
      </c>
      <c r="AT6" s="18" t="s">
        <v>83</v>
      </c>
      <c r="AU6" s="18" t="s">
        <v>81</v>
      </c>
      <c r="AV6" s="18" t="s">
        <v>95</v>
      </c>
      <c r="AW6" s="18" t="s">
        <v>95</v>
      </c>
      <c r="AX6" s="18"/>
      <c r="AY6" s="18" t="str">
        <f>Pospago[[#This Row],[NUM_TELEFONICO]]&amp;"POSPAGOSI"</f>
        <v>958608516POSPAGOSI</v>
      </c>
      <c r="AZ6" s="18" t="str">
        <f>VLOOKUP(Pospago[[#This Row],[NOM_PLAZA_FINAL]],[1]!Locales[#Data],3,0)</f>
        <v>TIENDA CUENCA CENTRO</v>
      </c>
      <c r="BA6" s="18" t="str">
        <f>IFERROR(VLOOKUP(Pospago[[#This Row],[USUARIO]],[1]!Personal[#Data],6,0),"EJECUTIVO NO REGISTRADO")</f>
        <v>ANDRADE CONDO CHRISTIAN EDUARDO</v>
      </c>
      <c r="BB6" s="18" t="str">
        <f>Pospago[[#This Row],[TIPO_MOVIMIENTO]]&amp;" "&amp;Pospago[[#This Row],[FORMA_PAGO_FINAL]]</f>
        <v>TRANSFERENCIAS PAGO EN CAJA</v>
      </c>
      <c r="BC6" s="18">
        <f>DAY(Pospago[[#This Row],[FECHA_ALTA]])</f>
        <v>2</v>
      </c>
      <c r="BD6" s="18">
        <f>IF(Pospago[[#This Row],[TARIFA_BASICA]]=11.42,1,0)</f>
        <v>0</v>
      </c>
      <c r="BE6" s="18">
        <f>IF(Pospago[[#This Row],[PLANES TELEVENTAS]]="SI",1,0)</f>
        <v>0</v>
      </c>
      <c r="BF6" s="18">
        <f>1</f>
        <v>1</v>
      </c>
      <c r="BG6" s="18">
        <f>IF(OR(Pospago[[#This Row],[TARIFA_BASICA]]=11.42,Pospago[[#This Row],[PLANES TELEVENTAS]]="SI"),1,0)</f>
        <v>0</v>
      </c>
      <c r="BH6" s="18" t="str">
        <f>IF(MID(Pospago[[#This Row],[PlanDesc]],1,4) = "PLAN","POSPAGO",IF(MID(Pospago[[#This Row],[PlanDesc]],1,4)="FULL","FULL MEGAS","PREVIOPAGO"))</f>
        <v>PREVIOPAGO</v>
      </c>
      <c r="BI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" s="21">
        <f>Pospago[[#This Row],[TARIFA_BASICA]]*1.5</f>
        <v>21.419999999999998</v>
      </c>
      <c r="BN6" t="s">
        <v>123</v>
      </c>
      <c r="BO6" s="24" t="s">
        <v>166</v>
      </c>
      <c r="BP6" s="30" t="str">
        <f>UnitariosPospago[[#This Row],[TIENDA]]&amp;UnitariosPospago[[#This Row],[TIPO ALTA]]</f>
        <v>TIENDA AMERICATRANSFERENCIAS PAGO EN CAJA</v>
      </c>
      <c r="BQ6" t="s">
        <v>167</v>
      </c>
      <c r="BR6" s="25">
        <f>INDEX(MetaTM,MATCH(UnitariosPospago[[#This Row],[TIENDA]],MetaTiendaTM,0),MATCH(UnitariosPospago[[#This Row],[CRUCE]],MetaTituloTM,0))</f>
        <v>14</v>
      </c>
      <c r="BS6" s="26">
        <f>AVERAGEIFS(Pospago[COMISION UPFRONT],Pospago[LOCALES],UnitariosPospago[[#This Row],[TIENDA]],Pospago[TIPO],UnitariosPospago[[#This Row],[TIPO ALTA]])</f>
        <v>5.8085000000000004</v>
      </c>
      <c r="BT6" s="27">
        <f>UnitariosPospago[[#This Row],[MetaTM]]*UnitariosPospago[[#This Row],[PROM. UNI TB]]</f>
        <v>81.319000000000003</v>
      </c>
      <c r="BU6" s="26">
        <f>AVERAGEIFS(Pospago[COMISION BC],Pospago[LOCALES],UnitariosPospago[[#This Row],[TIENDA]],Pospago[TIPO],UnitariosPospago[[#This Row],[TIPO ALTA]])</f>
        <v>7.9800000000000013</v>
      </c>
      <c r="BV6" s="28">
        <f>UnitariosPospago[[#This Row],[PROM. UNI BCM]]*UnitariosPospago[[#This Row],[MetaTM]]</f>
        <v>111.72000000000001</v>
      </c>
      <c r="BW6" s="26">
        <f>AVERAGEIFS(Pospago[COMISION BF],Pospago[LOCALES],UnitariosPospago[[#This Row],[TIENDA]],Pospago[TIPO],UnitariosPospago[[#This Row],[TIPO ALTA]])</f>
        <v>22.707750000000001</v>
      </c>
      <c r="BX6" s="29">
        <f>UnitariosPospago[[#This Row],[PROM. UNI BFQ]]*UnitariosPospago[[#This Row],[MetaTM]]</f>
        <v>317.9085</v>
      </c>
    </row>
    <row r="7" spans="1:76" x14ac:dyDescent="0.25">
      <c r="A7" s="18" t="s">
        <v>154</v>
      </c>
      <c r="B7" s="18" t="s">
        <v>168</v>
      </c>
      <c r="C7" s="18" t="s">
        <v>169</v>
      </c>
      <c r="D7" s="19">
        <v>44897</v>
      </c>
      <c r="E7" s="18" t="s">
        <v>67</v>
      </c>
      <c r="F7" s="18" t="s">
        <v>170</v>
      </c>
      <c r="G7" s="18" t="s">
        <v>171</v>
      </c>
      <c r="H7" s="18" t="s">
        <v>159</v>
      </c>
      <c r="I7" s="18" t="s">
        <v>160</v>
      </c>
      <c r="J7" s="18" t="s">
        <v>161</v>
      </c>
      <c r="K7" s="18" t="s">
        <v>132</v>
      </c>
      <c r="L7" s="20" t="s">
        <v>172</v>
      </c>
      <c r="M7" s="18" t="s">
        <v>75</v>
      </c>
      <c r="N7" s="20" t="s">
        <v>173</v>
      </c>
      <c r="O7" s="18" t="s">
        <v>164</v>
      </c>
      <c r="P7" s="18" t="s">
        <v>78</v>
      </c>
      <c r="Q7" s="19">
        <v>44914</v>
      </c>
      <c r="R7" s="21">
        <v>14.28</v>
      </c>
      <c r="S7" s="18" t="s">
        <v>79</v>
      </c>
      <c r="T7" s="18" t="s">
        <v>174</v>
      </c>
      <c r="U7" s="18" t="s">
        <v>83</v>
      </c>
      <c r="V7" s="18" t="s">
        <v>95</v>
      </c>
      <c r="W7" s="18" t="s">
        <v>95</v>
      </c>
      <c r="X7" s="18" t="s">
        <v>84</v>
      </c>
      <c r="Y7" s="18" t="s">
        <v>85</v>
      </c>
      <c r="Z7" s="18" t="s">
        <v>86</v>
      </c>
      <c r="AA7" s="18" t="s">
        <v>87</v>
      </c>
      <c r="AB7" s="18" t="s">
        <v>175</v>
      </c>
      <c r="AC7" s="18" t="s">
        <v>176</v>
      </c>
      <c r="AD7" s="18" t="s">
        <v>85</v>
      </c>
      <c r="AE7" s="18" t="s">
        <v>90</v>
      </c>
      <c r="AF7" s="18" t="s">
        <v>177</v>
      </c>
      <c r="AG7" s="18" t="s">
        <v>139</v>
      </c>
      <c r="AH7" s="18" t="s">
        <v>165</v>
      </c>
      <c r="AI7" s="18" t="s">
        <v>94</v>
      </c>
      <c r="AJ7" s="19">
        <v>44897</v>
      </c>
      <c r="AK7" s="22" t="s">
        <v>95</v>
      </c>
      <c r="AL7" s="18" t="s">
        <v>95</v>
      </c>
      <c r="AM7" s="18" t="s">
        <v>95</v>
      </c>
      <c r="AN7" s="18" t="s">
        <v>95</v>
      </c>
      <c r="AO7" s="18" t="s">
        <v>95</v>
      </c>
      <c r="AP7" s="18" t="s">
        <v>95</v>
      </c>
      <c r="AQ7" s="18" t="s">
        <v>95</v>
      </c>
      <c r="AR7" s="18" t="s">
        <v>95</v>
      </c>
      <c r="AS7" s="18" t="s">
        <v>83</v>
      </c>
      <c r="AT7" s="18" t="s">
        <v>83</v>
      </c>
      <c r="AU7" s="18" t="s">
        <v>81</v>
      </c>
      <c r="AV7" s="18" t="s">
        <v>95</v>
      </c>
      <c r="AW7" s="18" t="s">
        <v>95</v>
      </c>
      <c r="AX7" s="18"/>
      <c r="AY7" s="18" t="str">
        <f>Pospago[[#This Row],[NUM_TELEFONICO]]&amp;"POSPAGOSI"</f>
        <v>958621150POSPAGOSI</v>
      </c>
      <c r="AZ7" s="18" t="str">
        <f>VLOOKUP(Pospago[[#This Row],[NOM_PLAZA_FINAL]],[1]!Locales[#Data],3,0)</f>
        <v>TIENDA RECREO</v>
      </c>
      <c r="BA7" s="18" t="str">
        <f>IFERROR(VLOOKUP(Pospago[[#This Row],[USUARIO]],[1]!Personal[#Data],6,0),"EJECUTIVO NO REGISTRADO")</f>
        <v>VARGAS REYES LUIS EDUARDO</v>
      </c>
      <c r="BB7" s="18" t="str">
        <f>Pospago[[#This Row],[TIPO_MOVIMIENTO]]&amp;" "&amp;Pospago[[#This Row],[FORMA_PAGO_FINAL]]</f>
        <v>TRANSFERENCIAS DOMICILIADO</v>
      </c>
      <c r="BC7" s="18">
        <f>DAY(Pospago[[#This Row],[FECHA_ALTA]])</f>
        <v>2</v>
      </c>
      <c r="BD7" s="18">
        <f>IF(Pospago[[#This Row],[TARIFA_BASICA]]=11.42,1,0)</f>
        <v>0</v>
      </c>
      <c r="BE7" s="18">
        <f>IF(Pospago[[#This Row],[PLANES TELEVENTAS]]="SI",1,0)</f>
        <v>0</v>
      </c>
      <c r="BF7" s="18">
        <f>1</f>
        <v>1</v>
      </c>
      <c r="BG7" s="18">
        <f>IF(OR(Pospago[[#This Row],[TARIFA_BASICA]]=11.42,Pospago[[#This Row],[PLANES TELEVENTAS]]="SI"),1,0)</f>
        <v>0</v>
      </c>
      <c r="BH7" s="18" t="str">
        <f>IF(MID(Pospago[[#This Row],[PlanDesc]],1,4) = "PLAN","POSPAGO",IF(MID(Pospago[[#This Row],[PlanDesc]],1,4)="FULL","FULL MEGAS","PREVIOPAGO"))</f>
        <v>PREVIOPAGO</v>
      </c>
      <c r="BI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" s="21">
        <f>Pospago[[#This Row],[TARIFA_BASICA]]*1.5</f>
        <v>21.419999999999998</v>
      </c>
      <c r="BN7" t="s">
        <v>178</v>
      </c>
      <c r="BO7" s="23" t="s">
        <v>124</v>
      </c>
      <c r="BP7" s="31" t="str">
        <f>UnitariosPospago[[#This Row],[TIENDA]]&amp;UnitariosPospago[[#This Row],[TIPO ALTA]]</f>
        <v>TIENDA CONDADOALTAS DOMICILIADO</v>
      </c>
      <c r="BQ7" t="s">
        <v>125</v>
      </c>
      <c r="BR7" s="25">
        <f>INDEX(MetaTM,MATCH(UnitariosPospago[[#This Row],[TIENDA]],MetaTiendaTM,0),MATCH(UnitariosPospago[[#This Row],[CRUCE]],MetaTituloTM,0))</f>
        <v>137</v>
      </c>
      <c r="BS7" s="26">
        <f>AVERAGEIFS(Pospago[COMISION UPFRONT],Pospago[LOCALES],UnitariosPospago[[#This Row],[TIENDA]],Pospago[TIPO],UnitariosPospago[[#This Row],[TIPO ALTA]])</f>
        <v>15.549102564102558</v>
      </c>
      <c r="BT7" s="27">
        <f>UnitariosPospago[[#This Row],[MetaTM]]*UnitariosPospago[[#This Row],[PROM. UNI TB]]</f>
        <v>2130.2270512820505</v>
      </c>
      <c r="BU7" s="26">
        <f>AVERAGEIFS(Pospago[COMISION BC],Pospago[LOCALES],UnitariosPospago[[#This Row],[TIENDA]],Pospago[TIPO],UnitariosPospago[[#This Row],[TIPO ALTA]])</f>
        <v>8.2923076923076806</v>
      </c>
      <c r="BV7" s="28">
        <f>UnitariosPospago[[#This Row],[PROM. UNI BCM]]*UnitariosPospago[[#This Row],[MetaTM]]</f>
        <v>1136.0461538461523</v>
      </c>
      <c r="BW7" s="26">
        <f>AVERAGEIFS(Pospago[COMISION BF],Pospago[LOCALES],UnitariosPospago[[#This Row],[TIENDA]],Pospago[TIPO],UnitariosPospago[[#This Row],[TIPO ALTA]])</f>
        <v>23.253653846153867</v>
      </c>
      <c r="BX7" s="29">
        <f>UnitariosPospago[[#This Row],[PROM. UNI BFQ]]*UnitariosPospago[[#This Row],[MetaTM]]</f>
        <v>3185.7505769230797</v>
      </c>
    </row>
    <row r="8" spans="1:76" x14ac:dyDescent="0.25">
      <c r="A8" s="18" t="s">
        <v>64</v>
      </c>
      <c r="B8" s="18" t="s">
        <v>179</v>
      </c>
      <c r="C8" s="18" t="s">
        <v>180</v>
      </c>
      <c r="D8" s="19">
        <v>44912</v>
      </c>
      <c r="E8" s="18" t="s">
        <v>67</v>
      </c>
      <c r="F8" s="18" t="s">
        <v>181</v>
      </c>
      <c r="G8" s="18" t="s">
        <v>182</v>
      </c>
      <c r="H8" s="18" t="s">
        <v>70</v>
      </c>
      <c r="I8" s="18" t="s">
        <v>183</v>
      </c>
      <c r="J8" s="18" t="s">
        <v>184</v>
      </c>
      <c r="K8" s="18" t="s">
        <v>132</v>
      </c>
      <c r="L8" s="20" t="s">
        <v>185</v>
      </c>
      <c r="M8" s="18" t="s">
        <v>75</v>
      </c>
      <c r="N8" s="20" t="s">
        <v>186</v>
      </c>
      <c r="O8" s="18" t="s">
        <v>77</v>
      </c>
      <c r="P8" s="18" t="s">
        <v>78</v>
      </c>
      <c r="Q8" s="19">
        <v>44914</v>
      </c>
      <c r="R8" s="21">
        <v>11.42</v>
      </c>
      <c r="S8" s="18" t="s">
        <v>79</v>
      </c>
      <c r="T8" s="18" t="s">
        <v>174</v>
      </c>
      <c r="U8" s="18" t="s">
        <v>83</v>
      </c>
      <c r="V8" s="18" t="s">
        <v>95</v>
      </c>
      <c r="W8" s="18" t="s">
        <v>83</v>
      </c>
      <c r="X8" s="18" t="s">
        <v>118</v>
      </c>
      <c r="Y8" s="18" t="s">
        <v>85</v>
      </c>
      <c r="Z8" s="18" t="s">
        <v>86</v>
      </c>
      <c r="AA8" s="18" t="s">
        <v>119</v>
      </c>
      <c r="AB8" s="18" t="s">
        <v>187</v>
      </c>
      <c r="AC8" s="18" t="s">
        <v>188</v>
      </c>
      <c r="AD8" s="18" t="s">
        <v>85</v>
      </c>
      <c r="AE8" s="18" t="s">
        <v>90</v>
      </c>
      <c r="AF8" s="18" t="s">
        <v>177</v>
      </c>
      <c r="AG8" s="18" t="s">
        <v>139</v>
      </c>
      <c r="AH8" s="18" t="s">
        <v>93</v>
      </c>
      <c r="AI8" s="18" t="s">
        <v>94</v>
      </c>
      <c r="AJ8" s="19">
        <v>44912</v>
      </c>
      <c r="AK8" s="22" t="s">
        <v>95</v>
      </c>
      <c r="AL8" s="18" t="s">
        <v>95</v>
      </c>
      <c r="AM8" s="18" t="s">
        <v>95</v>
      </c>
      <c r="AN8" s="18" t="s">
        <v>95</v>
      </c>
      <c r="AO8" s="18" t="s">
        <v>95</v>
      </c>
      <c r="AP8" s="18" t="s">
        <v>95</v>
      </c>
      <c r="AQ8" s="18" t="s">
        <v>95</v>
      </c>
      <c r="AR8" s="18" t="s">
        <v>95</v>
      </c>
      <c r="AS8" s="18" t="s">
        <v>83</v>
      </c>
      <c r="AT8" s="18" t="s">
        <v>83</v>
      </c>
      <c r="AU8" s="18" t="s">
        <v>83</v>
      </c>
      <c r="AV8" s="18" t="s">
        <v>95</v>
      </c>
      <c r="AW8" s="18" t="s">
        <v>95</v>
      </c>
      <c r="AX8" s="18"/>
      <c r="AY8" s="18" t="str">
        <f>Pospago[[#This Row],[NUM_TELEFONICO]]&amp;"POSPAGOSI"</f>
        <v>958628370POSPAGOSI</v>
      </c>
      <c r="AZ8" s="18" t="str">
        <f>VLOOKUP(Pospago[[#This Row],[NOM_PLAZA_FINAL]],[1]!Locales[#Data],3,0)</f>
        <v>TIENDA RECREO</v>
      </c>
      <c r="BA8" s="18" t="str">
        <f>IFERROR(VLOOKUP(Pospago[[#This Row],[USUARIO]],[1]!Personal[#Data],6,0),"EJECUTIVO NO REGISTRADO")</f>
        <v>ESPINOZA MARTINES LAURA XIOMARA</v>
      </c>
      <c r="BB8" s="18" t="str">
        <f>Pospago[[#This Row],[TIPO_MOVIMIENTO]]&amp;" "&amp;Pospago[[#This Row],[FORMA_PAGO_FINAL]]</f>
        <v>ALTAS PAGO EN CAJA</v>
      </c>
      <c r="BC8" s="18">
        <f>DAY(Pospago[[#This Row],[FECHA_ALTA]])</f>
        <v>17</v>
      </c>
      <c r="BD8" s="18">
        <f>IF(Pospago[[#This Row],[TARIFA_BASICA]]=11.42,1,0)</f>
        <v>1</v>
      </c>
      <c r="BE8" s="18">
        <f>IF(Pospago[[#This Row],[PLANES TELEVENTAS]]="SI",1,0)</f>
        <v>0</v>
      </c>
      <c r="BF8" s="18">
        <f>1</f>
        <v>1</v>
      </c>
      <c r="BG8" s="18">
        <f>IF(OR(Pospago[[#This Row],[TARIFA_BASICA]]=11.42,Pospago[[#This Row],[PLANES TELEVENTAS]]="SI"),1,0)</f>
        <v>1</v>
      </c>
      <c r="BH8" s="18" t="str">
        <f>IF(MID(Pospago[[#This Row],[PlanDesc]],1,4) = "PLAN","POSPAGO",IF(MID(Pospago[[#This Row],[PlanDesc]],1,4)="FULL","FULL MEGAS","PREVIOPAGO"))</f>
        <v>POSPAGO</v>
      </c>
      <c r="BI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" s="21">
        <f>Pospago[[#This Row],[TARIFA_BASICA]]*1.5</f>
        <v>17.13</v>
      </c>
      <c r="BN8" t="s">
        <v>178</v>
      </c>
      <c r="BO8" s="24" t="s">
        <v>140</v>
      </c>
      <c r="BP8" s="30" t="str">
        <f>UnitariosPospago[[#This Row],[TIENDA]]&amp;UnitariosPospago[[#This Row],[TIPO ALTA]]</f>
        <v>TIENDA CONDADOTRANSFERENCIAS DOMICILIADO</v>
      </c>
      <c r="BQ8" t="s">
        <v>141</v>
      </c>
      <c r="BR8" s="25">
        <f>INDEX(MetaTM,MATCH(UnitariosPospago[[#This Row],[TIENDA]],MetaTiendaTM,0),MATCH(UnitariosPospago[[#This Row],[CRUCE]],MetaTituloTM,0))</f>
        <v>135</v>
      </c>
      <c r="BS8" s="26">
        <f>AVERAGEIFS(Pospago[COMISION UPFRONT],Pospago[LOCALES],UnitariosPospago[[#This Row],[TIENDA]],Pospago[TIPO],UnitariosPospago[[#This Row],[TIPO ALTA]])</f>
        <v>6.7041666666666737</v>
      </c>
      <c r="BT8" s="27">
        <f>UnitariosPospago[[#This Row],[MetaTM]]*UnitariosPospago[[#This Row],[PROM. UNI TB]]</f>
        <v>905.06250000000091</v>
      </c>
      <c r="BU8" s="26">
        <f>AVERAGEIFS(Pospago[COMISION BC],Pospago[LOCALES],UnitariosPospago[[#This Row],[TIENDA]],Pospago[TIPO],UnitariosPospago[[#This Row],[TIPO ALTA]])</f>
        <v>8.1083333333333236</v>
      </c>
      <c r="BV8" s="28">
        <f>UnitariosPospago[[#This Row],[PROM. UNI BCM]]*UnitariosPospago[[#This Row],[MetaTM]]</f>
        <v>1094.6249999999986</v>
      </c>
      <c r="BW8" s="26">
        <f>AVERAGEIFS(Pospago[COMISION BF],Pospago[LOCALES],UnitariosPospago[[#This Row],[TIENDA]],Pospago[TIPO],UnitariosPospago[[#This Row],[TIPO ALTA]])</f>
        <v>21.830000000000016</v>
      </c>
      <c r="BX8" s="29">
        <f>UnitariosPospago[[#This Row],[PROM. UNI BFQ]]*UnitariosPospago[[#This Row],[MetaTM]]</f>
        <v>2947.050000000002</v>
      </c>
    </row>
    <row r="9" spans="1:76" x14ac:dyDescent="0.25">
      <c r="A9" s="18" t="s">
        <v>64</v>
      </c>
      <c r="B9" s="18" t="s">
        <v>189</v>
      </c>
      <c r="C9" s="18" t="s">
        <v>190</v>
      </c>
      <c r="D9" s="19">
        <v>44909</v>
      </c>
      <c r="E9" s="18" t="s">
        <v>67</v>
      </c>
      <c r="F9" s="18" t="s">
        <v>191</v>
      </c>
      <c r="G9" s="18" t="s">
        <v>192</v>
      </c>
      <c r="H9" s="18" t="s">
        <v>193</v>
      </c>
      <c r="I9" s="18" t="s">
        <v>194</v>
      </c>
      <c r="J9" s="18" t="s">
        <v>195</v>
      </c>
      <c r="K9" s="18" t="s">
        <v>196</v>
      </c>
      <c r="L9" s="20" t="s">
        <v>197</v>
      </c>
      <c r="M9" s="18" t="s">
        <v>75</v>
      </c>
      <c r="N9" s="20" t="s">
        <v>198</v>
      </c>
      <c r="O9" s="18" t="s">
        <v>77</v>
      </c>
      <c r="P9" s="18" t="s">
        <v>78</v>
      </c>
      <c r="Q9" s="19">
        <v>44914</v>
      </c>
      <c r="R9" s="21">
        <v>14.28</v>
      </c>
      <c r="S9" s="18" t="s">
        <v>79</v>
      </c>
      <c r="T9" s="18" t="s">
        <v>174</v>
      </c>
      <c r="U9" s="18" t="s">
        <v>83</v>
      </c>
      <c r="V9" s="18" t="s">
        <v>95</v>
      </c>
      <c r="W9" s="18" t="s">
        <v>83</v>
      </c>
      <c r="X9" s="18" t="s">
        <v>84</v>
      </c>
      <c r="Y9" s="18" t="s">
        <v>85</v>
      </c>
      <c r="Z9" s="18" t="s">
        <v>86</v>
      </c>
      <c r="AA9" s="18" t="s">
        <v>87</v>
      </c>
      <c r="AB9" s="18" t="s">
        <v>199</v>
      </c>
      <c r="AC9" s="18" t="s">
        <v>200</v>
      </c>
      <c r="AD9" s="18" t="s">
        <v>85</v>
      </c>
      <c r="AE9" s="18" t="s">
        <v>90</v>
      </c>
      <c r="AF9" s="18" t="s">
        <v>177</v>
      </c>
      <c r="AG9" s="18" t="s">
        <v>139</v>
      </c>
      <c r="AH9" s="18" t="s">
        <v>93</v>
      </c>
      <c r="AI9" s="18" t="s">
        <v>94</v>
      </c>
      <c r="AJ9" s="19">
        <v>44909</v>
      </c>
      <c r="AK9" s="22" t="s">
        <v>95</v>
      </c>
      <c r="AL9" s="18" t="s">
        <v>95</v>
      </c>
      <c r="AM9" s="18" t="s">
        <v>95</v>
      </c>
      <c r="AN9" s="18" t="s">
        <v>95</v>
      </c>
      <c r="AO9" s="18" t="s">
        <v>95</v>
      </c>
      <c r="AP9" s="18" t="s">
        <v>95</v>
      </c>
      <c r="AQ9" s="18" t="s">
        <v>95</v>
      </c>
      <c r="AR9" s="18" t="s">
        <v>95</v>
      </c>
      <c r="AS9" s="18" t="s">
        <v>83</v>
      </c>
      <c r="AT9" s="18" t="s">
        <v>81</v>
      </c>
      <c r="AU9" s="18" t="s">
        <v>81</v>
      </c>
      <c r="AV9" s="18" t="s">
        <v>95</v>
      </c>
      <c r="AW9" s="18" t="s">
        <v>95</v>
      </c>
      <c r="AX9" s="18"/>
      <c r="AY9" s="18" t="str">
        <f>Pospago[[#This Row],[NUM_TELEFONICO]]&amp;"POSPAGOSI"</f>
        <v>958637950POSPAGOSI</v>
      </c>
      <c r="AZ9" s="18" t="str">
        <f>VLOOKUP(Pospago[[#This Row],[NOM_PLAZA_FINAL]],[1]!Locales[#Data],3,0)</f>
        <v>TIENDA RECREO</v>
      </c>
      <c r="BA9" s="18" t="str">
        <f>IFERROR(VLOOKUP(Pospago[[#This Row],[USUARIO]],[1]!Personal[#Data],6,0),"EJECUTIVO NO REGISTRADO")</f>
        <v>MEDINA LAPO DAYANNA CAROLINA</v>
      </c>
      <c r="BB9" s="18" t="str">
        <f>Pospago[[#This Row],[TIPO_MOVIMIENTO]]&amp;" "&amp;Pospago[[#This Row],[FORMA_PAGO_FINAL]]</f>
        <v>ALTAS DOMICILIADO</v>
      </c>
      <c r="BC9" s="18">
        <f>DAY(Pospago[[#This Row],[FECHA_ALTA]])</f>
        <v>14</v>
      </c>
      <c r="BD9" s="18">
        <f>IF(Pospago[[#This Row],[TARIFA_BASICA]]=11.42,1,0)</f>
        <v>0</v>
      </c>
      <c r="BE9" s="18">
        <f>IF(Pospago[[#This Row],[PLANES TELEVENTAS]]="SI",1,0)</f>
        <v>1</v>
      </c>
      <c r="BF9" s="18">
        <f>1</f>
        <v>1</v>
      </c>
      <c r="BG9" s="18">
        <f>IF(OR(Pospago[[#This Row],[TARIFA_BASICA]]=11.42,Pospago[[#This Row],[PLANES TELEVENTAS]]="SI"),1,0)</f>
        <v>1</v>
      </c>
      <c r="BH9" s="18" t="str">
        <f>IF(MID(Pospago[[#This Row],[PlanDesc]],1,4) = "PLAN","POSPAGO",IF(MID(Pospago[[#This Row],[PlanDesc]],1,4)="FULL","FULL MEGAS","PREVIOPAGO"))</f>
        <v>PREVIOPAGO</v>
      </c>
      <c r="BI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" s="21">
        <f>Pospago[[#This Row],[TARIFA_BASICA]]*1.5</f>
        <v>21.419999999999998</v>
      </c>
      <c r="BN9" t="s">
        <v>178</v>
      </c>
      <c r="BO9" s="24" t="s">
        <v>152</v>
      </c>
      <c r="BP9" s="30" t="str">
        <f>UnitariosPospago[[#This Row],[TIENDA]]&amp;UnitariosPospago[[#This Row],[TIPO ALTA]]</f>
        <v>TIENDA CONDADOALTAS PAGO EN CAJA</v>
      </c>
      <c r="BQ9" t="s">
        <v>153</v>
      </c>
      <c r="BR9" s="25">
        <f>INDEX(MetaTM,MATCH(UnitariosPospago[[#This Row],[TIENDA]],MetaTiendaTM,0),MATCH(UnitariosPospago[[#This Row],[CRUCE]],MetaTituloTM,0))</f>
        <v>34</v>
      </c>
      <c r="BS9" s="26">
        <f>AVERAGEIFS(Pospago[COMISION UPFRONT],Pospago[LOCALES],UnitariosPospago[[#This Row],[TIENDA]],Pospago[TIPO],UnitariosPospago[[#This Row],[TIPO ALTA]])</f>
        <v>10.937272727272726</v>
      </c>
      <c r="BT9" s="27">
        <f>UnitariosPospago[[#This Row],[MetaTM]]*UnitariosPospago[[#This Row],[PROM. UNI TB]]</f>
        <v>371.86727272727268</v>
      </c>
      <c r="BU9" s="26">
        <f>AVERAGEIFS(Pospago[COMISION BC],Pospago[LOCALES],UnitariosPospago[[#This Row],[TIENDA]],Pospago[TIPO],UnitariosPospago[[#This Row],[TIPO ALTA]])</f>
        <v>8.0181818181818194</v>
      </c>
      <c r="BV9" s="28">
        <f>UnitariosPospago[[#This Row],[PROM. UNI BCM]]*UnitariosPospago[[#This Row],[MetaTM]]</f>
        <v>272.61818181818188</v>
      </c>
      <c r="BW9" s="26">
        <f>AVERAGEIFS(Pospago[COMISION BF],Pospago[LOCALES],UnitariosPospago[[#This Row],[TIENDA]],Pospago[TIPO],UnitariosPospago[[#This Row],[TIPO ALTA]])</f>
        <v>22.443409090909093</v>
      </c>
      <c r="BX9" s="29">
        <f>UnitariosPospago[[#This Row],[PROM. UNI BFQ]]*UnitariosPospago[[#This Row],[MetaTM]]</f>
        <v>763.07590909090914</v>
      </c>
    </row>
    <row r="10" spans="1:76" x14ac:dyDescent="0.25">
      <c r="A10" s="18" t="s">
        <v>64</v>
      </c>
      <c r="B10" s="18" t="s">
        <v>201</v>
      </c>
      <c r="C10" s="18" t="s">
        <v>202</v>
      </c>
      <c r="D10" s="19">
        <v>44908</v>
      </c>
      <c r="E10" s="18" t="s">
        <v>67</v>
      </c>
      <c r="F10" s="18" t="s">
        <v>203</v>
      </c>
      <c r="G10" s="18" t="s">
        <v>204</v>
      </c>
      <c r="H10" s="18" t="s">
        <v>70</v>
      </c>
      <c r="I10" s="18" t="s">
        <v>160</v>
      </c>
      <c r="J10" s="18" t="s">
        <v>195</v>
      </c>
      <c r="K10" s="18" t="s">
        <v>114</v>
      </c>
      <c r="L10" s="20" t="s">
        <v>205</v>
      </c>
      <c r="M10" s="18" t="s">
        <v>75</v>
      </c>
      <c r="N10" s="20" t="s">
        <v>206</v>
      </c>
      <c r="O10" s="18" t="s">
        <v>77</v>
      </c>
      <c r="P10" s="18" t="s">
        <v>78</v>
      </c>
      <c r="Q10" s="19">
        <v>44914</v>
      </c>
      <c r="R10" s="21">
        <v>14.28</v>
      </c>
      <c r="S10" s="18" t="s">
        <v>79</v>
      </c>
      <c r="T10" s="18" t="s">
        <v>117</v>
      </c>
      <c r="U10" s="18" t="s">
        <v>83</v>
      </c>
      <c r="V10" s="18" t="s">
        <v>95</v>
      </c>
      <c r="W10" s="18" t="s">
        <v>83</v>
      </c>
      <c r="X10" s="18" t="s">
        <v>84</v>
      </c>
      <c r="Y10" s="18" t="s">
        <v>85</v>
      </c>
      <c r="Z10" s="18" t="s">
        <v>86</v>
      </c>
      <c r="AA10" s="18" t="s">
        <v>87</v>
      </c>
      <c r="AB10" s="18" t="s">
        <v>120</v>
      </c>
      <c r="AC10" s="18" t="s">
        <v>121</v>
      </c>
      <c r="AD10" s="18" t="s">
        <v>85</v>
      </c>
      <c r="AE10" s="18" t="s">
        <v>90</v>
      </c>
      <c r="AF10" s="18" t="s">
        <v>122</v>
      </c>
      <c r="AG10" s="18" t="s">
        <v>92</v>
      </c>
      <c r="AH10" s="18" t="s">
        <v>93</v>
      </c>
      <c r="AI10" s="18" t="s">
        <v>94</v>
      </c>
      <c r="AJ10" s="19">
        <v>44908</v>
      </c>
      <c r="AK10" s="22" t="s">
        <v>95</v>
      </c>
      <c r="AL10" s="18" t="s">
        <v>95</v>
      </c>
      <c r="AM10" s="18" t="s">
        <v>95</v>
      </c>
      <c r="AN10" s="18" t="s">
        <v>95</v>
      </c>
      <c r="AO10" s="18" t="s">
        <v>95</v>
      </c>
      <c r="AP10" s="18" t="s">
        <v>95</v>
      </c>
      <c r="AQ10" s="18" t="s">
        <v>95</v>
      </c>
      <c r="AR10" s="18" t="s">
        <v>95</v>
      </c>
      <c r="AS10" s="18" t="s">
        <v>83</v>
      </c>
      <c r="AT10" s="18" t="s">
        <v>83</v>
      </c>
      <c r="AU10" s="18" t="s">
        <v>81</v>
      </c>
      <c r="AV10" s="18" t="s">
        <v>95</v>
      </c>
      <c r="AW10" s="18" t="s">
        <v>95</v>
      </c>
      <c r="AX10" s="18"/>
      <c r="AY10" s="18" t="str">
        <f>Pospago[[#This Row],[NUM_TELEFONICO]]&amp;"POSPAGOSI"</f>
        <v>958654058POSPAGOSI</v>
      </c>
      <c r="AZ10" s="18" t="str">
        <f>VLOOKUP(Pospago[[#This Row],[NOM_PLAZA_FINAL]],[1]!Locales[#Data],3,0)</f>
        <v>TIENDA MACHALA</v>
      </c>
      <c r="BA10" s="18" t="str">
        <f>IFERROR(VLOOKUP(Pospago[[#This Row],[USUARIO]],[1]!Personal[#Data],6,0),"EJECUTIVO NO REGISTRADO")</f>
        <v>ARROBO VICENTE YADIRA ESPERANZA</v>
      </c>
      <c r="BB10" s="18" t="str">
        <f>Pospago[[#This Row],[TIPO_MOVIMIENTO]]&amp;" "&amp;Pospago[[#This Row],[FORMA_PAGO_FINAL]]</f>
        <v>ALTAS DOMICILIADO</v>
      </c>
      <c r="BC10" s="18">
        <f>DAY(Pospago[[#This Row],[FECHA_ALTA]])</f>
        <v>13</v>
      </c>
      <c r="BD10" s="18">
        <f>IF(Pospago[[#This Row],[TARIFA_BASICA]]=11.42,1,0)</f>
        <v>0</v>
      </c>
      <c r="BE10" s="18">
        <f>IF(Pospago[[#This Row],[PLANES TELEVENTAS]]="SI",1,0)</f>
        <v>0</v>
      </c>
      <c r="BF10" s="18">
        <f>1</f>
        <v>1</v>
      </c>
      <c r="BG10" s="18">
        <f>IF(OR(Pospago[[#This Row],[TARIFA_BASICA]]=11.42,Pospago[[#This Row],[PLANES TELEVENTAS]]="SI"),1,0)</f>
        <v>0</v>
      </c>
      <c r="BH10" s="18" t="str">
        <f>IF(MID(Pospago[[#This Row],[PlanDesc]],1,4) = "PLAN","POSPAGO",IF(MID(Pospago[[#This Row],[PlanDesc]],1,4)="FULL","FULL MEGAS","PREVIOPAGO"))</f>
        <v>PREVIOPAGO</v>
      </c>
      <c r="BI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" s="21">
        <f>Pospago[[#This Row],[TARIFA_BASICA]]*1.5</f>
        <v>21.419999999999998</v>
      </c>
      <c r="BN10" t="s">
        <v>178</v>
      </c>
      <c r="BO10" s="24" t="s">
        <v>166</v>
      </c>
      <c r="BP10" s="30" t="str">
        <f>UnitariosPospago[[#This Row],[TIENDA]]&amp;UnitariosPospago[[#This Row],[TIPO ALTA]]</f>
        <v>TIENDA CONDADOTRANSFERENCIAS PAGO EN CAJA</v>
      </c>
      <c r="BQ10" t="s">
        <v>167</v>
      </c>
      <c r="BR10" s="25">
        <f>INDEX(MetaTM,MATCH(UnitariosPospago[[#This Row],[TIENDA]],MetaTiendaTM,0),MATCH(UnitariosPospago[[#This Row],[CRUCE]],MetaTituloTM,0))</f>
        <v>24</v>
      </c>
      <c r="BS10" s="26">
        <f>AVERAGEIFS(Pospago[COMISION UPFRONT],Pospago[LOCALES],UnitariosPospago[[#This Row],[TIENDA]],Pospago[TIPO],UnitariosPospago[[#This Row],[TIPO ALTA]])</f>
        <v>4.9197142857142868</v>
      </c>
      <c r="BT10" s="27">
        <f>UnitariosPospago[[#This Row],[MetaTM]]*UnitariosPospago[[#This Row],[PROM. UNI TB]]</f>
        <v>118.07314285714288</v>
      </c>
      <c r="BU10" s="26">
        <f>AVERAGEIFS(Pospago[COMISION BC],Pospago[LOCALES],UnitariosPospago[[#This Row],[TIENDA]],Pospago[TIPO],UnitariosPospago[[#This Row],[TIPO ALTA]])</f>
        <v>8.2800000000000011</v>
      </c>
      <c r="BV10" s="28">
        <f>UnitariosPospago[[#This Row],[PROM. UNI BCM]]*UnitariosPospago[[#This Row],[MetaTM]]</f>
        <v>198.72000000000003</v>
      </c>
      <c r="BW10" s="26">
        <f>AVERAGEIFS(Pospago[COMISION BF],Pospago[LOCALES],UnitariosPospago[[#This Row],[TIENDA]],Pospago[TIPO],UnitariosPospago[[#This Row],[TIPO ALTA]])</f>
        <v>21.848999999999993</v>
      </c>
      <c r="BX10" s="29">
        <f>UnitariosPospago[[#This Row],[PROM. UNI BFQ]]*UnitariosPospago[[#This Row],[MetaTM]]</f>
        <v>524.37599999999986</v>
      </c>
    </row>
    <row r="11" spans="1:76" x14ac:dyDescent="0.25">
      <c r="A11" s="18" t="s">
        <v>64</v>
      </c>
      <c r="B11" s="18" t="s">
        <v>207</v>
      </c>
      <c r="C11" s="18" t="s">
        <v>208</v>
      </c>
      <c r="D11" s="19">
        <v>44907</v>
      </c>
      <c r="E11" s="18" t="s">
        <v>67</v>
      </c>
      <c r="F11" s="18" t="s">
        <v>209</v>
      </c>
      <c r="G11" s="18" t="s">
        <v>210</v>
      </c>
      <c r="H11" s="18" t="s">
        <v>193</v>
      </c>
      <c r="I11" s="18" t="s">
        <v>211</v>
      </c>
      <c r="J11" s="18" t="s">
        <v>212</v>
      </c>
      <c r="K11" s="18" t="s">
        <v>196</v>
      </c>
      <c r="L11" s="20" t="s">
        <v>213</v>
      </c>
      <c r="M11" s="18" t="s">
        <v>75</v>
      </c>
      <c r="N11" s="20" t="s">
        <v>214</v>
      </c>
      <c r="O11" s="18" t="s">
        <v>77</v>
      </c>
      <c r="P11" s="18" t="s">
        <v>78</v>
      </c>
      <c r="Q11" s="19">
        <v>44914</v>
      </c>
      <c r="R11" s="21">
        <v>25</v>
      </c>
      <c r="S11" s="18" t="s">
        <v>79</v>
      </c>
      <c r="T11" s="18" t="s">
        <v>174</v>
      </c>
      <c r="U11" s="18" t="s">
        <v>83</v>
      </c>
      <c r="V11" s="18" t="s">
        <v>95</v>
      </c>
      <c r="W11" s="18" t="s">
        <v>83</v>
      </c>
      <c r="X11" s="18" t="s">
        <v>215</v>
      </c>
      <c r="Y11" s="18" t="s">
        <v>85</v>
      </c>
      <c r="Z11" s="18" t="s">
        <v>86</v>
      </c>
      <c r="AA11" s="18" t="s">
        <v>87</v>
      </c>
      <c r="AB11" s="18" t="s">
        <v>187</v>
      </c>
      <c r="AC11" s="18" t="s">
        <v>188</v>
      </c>
      <c r="AD11" s="18" t="s">
        <v>85</v>
      </c>
      <c r="AE11" s="18" t="s">
        <v>90</v>
      </c>
      <c r="AF11" s="18" t="s">
        <v>177</v>
      </c>
      <c r="AG11" s="18" t="s">
        <v>139</v>
      </c>
      <c r="AH11" s="18" t="s">
        <v>93</v>
      </c>
      <c r="AI11" s="18" t="s">
        <v>94</v>
      </c>
      <c r="AJ11" s="19">
        <v>44907</v>
      </c>
      <c r="AK11" s="22" t="s">
        <v>95</v>
      </c>
      <c r="AL11" s="18" t="s">
        <v>95</v>
      </c>
      <c r="AM11" s="18" t="s">
        <v>95</v>
      </c>
      <c r="AN11" s="18" t="s">
        <v>95</v>
      </c>
      <c r="AO11" s="18" t="s">
        <v>95</v>
      </c>
      <c r="AP11" s="18" t="s">
        <v>95</v>
      </c>
      <c r="AQ11" s="18" t="s">
        <v>95</v>
      </c>
      <c r="AR11" s="18" t="s">
        <v>95</v>
      </c>
      <c r="AS11" s="18" t="s">
        <v>83</v>
      </c>
      <c r="AT11" s="18" t="s">
        <v>95</v>
      </c>
      <c r="AU11" s="18" t="s">
        <v>95</v>
      </c>
      <c r="AV11" s="18" t="s">
        <v>95</v>
      </c>
      <c r="AW11" s="18" t="s">
        <v>95</v>
      </c>
      <c r="AX11" s="18"/>
      <c r="AY11" s="18" t="str">
        <f>Pospago[[#This Row],[NUM_TELEFONICO]]&amp;"POSPAGOSI"</f>
        <v>958689069POSPAGOSI</v>
      </c>
      <c r="AZ11" s="18" t="str">
        <f>VLOOKUP(Pospago[[#This Row],[NOM_PLAZA_FINAL]],[1]!Locales[#Data],3,0)</f>
        <v>TIENDA RECREO</v>
      </c>
      <c r="BA11" s="18" t="str">
        <f>IFERROR(VLOOKUP(Pospago[[#This Row],[USUARIO]],[1]!Personal[#Data],6,0),"EJECUTIVO NO REGISTRADO")</f>
        <v>ESPINOZA MARTINES LAURA XIOMARA</v>
      </c>
      <c r="BB11" s="18" t="str">
        <f>Pospago[[#This Row],[TIPO_MOVIMIENTO]]&amp;" "&amp;Pospago[[#This Row],[FORMA_PAGO_FINAL]]</f>
        <v>ALTAS DOMICILIADO</v>
      </c>
      <c r="BC11" s="18">
        <f>DAY(Pospago[[#This Row],[FECHA_ALTA]])</f>
        <v>12</v>
      </c>
      <c r="BD11" s="18">
        <f>IF(Pospago[[#This Row],[TARIFA_BASICA]]=11.42,1,0)</f>
        <v>0</v>
      </c>
      <c r="BE11" s="18">
        <f>IF(Pospago[[#This Row],[PLANES TELEVENTAS]]="SI",1,0)</f>
        <v>0</v>
      </c>
      <c r="BF11" s="18">
        <f>1</f>
        <v>1</v>
      </c>
      <c r="BG11" s="18">
        <f>IF(OR(Pospago[[#This Row],[TARIFA_BASICA]]=11.42,Pospago[[#This Row],[PLANES TELEVENTAS]]="SI"),1,0)</f>
        <v>0</v>
      </c>
      <c r="BH11" s="18" t="str">
        <f>IF(MID(Pospago[[#This Row],[PlanDesc]],1,4) = "PLAN","POSPAGO",IF(MID(Pospago[[#This Row],[PlanDesc]],1,4)="FULL","FULL MEGAS","PREVIOPAGO"))</f>
        <v>FULL MEGAS</v>
      </c>
      <c r="BI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" s="21">
        <f>Pospago[[#This Row],[TARIFA_BASICA]]*1.5</f>
        <v>37.5</v>
      </c>
      <c r="BN11" t="s">
        <v>216</v>
      </c>
      <c r="BO11" s="23" t="s">
        <v>124</v>
      </c>
      <c r="BP11" s="31" t="str">
        <f>UnitariosPospago[[#This Row],[TIENDA]]&amp;UnitariosPospago[[#This Row],[TIPO ALTA]]</f>
        <v>TIENDA CUENCA CENTROALTAS DOMICILIADO</v>
      </c>
      <c r="BQ11" t="s">
        <v>125</v>
      </c>
      <c r="BR11" s="25">
        <f>INDEX(MetaTM,MATCH(UnitariosPospago[[#This Row],[TIENDA]],MetaTiendaTM,0),MATCH(UnitariosPospago[[#This Row],[CRUCE]],MetaTituloTM,0))</f>
        <v>79</v>
      </c>
      <c r="BS11" s="26">
        <f>AVERAGEIFS(Pospago[COMISION UPFRONT],Pospago[LOCALES],UnitariosPospago[[#This Row],[TIENDA]],Pospago[TIPO],UnitariosPospago[[#This Row],[TIPO ALTA]])</f>
        <v>17.262745098039218</v>
      </c>
      <c r="BT11" s="27">
        <f>UnitariosPospago[[#This Row],[MetaTM]]*UnitariosPospago[[#This Row],[PROM. UNI TB]]</f>
        <v>1363.7568627450983</v>
      </c>
      <c r="BU11" s="26">
        <f>AVERAGEIFS(Pospago[COMISION BC],Pospago[LOCALES],UnitariosPospago[[#This Row],[TIENDA]],Pospago[TIPO],UnitariosPospago[[#This Row],[TIPO ALTA]])</f>
        <v>7.411764705882347</v>
      </c>
      <c r="BV11" s="28">
        <f>UnitariosPospago[[#This Row],[PROM. UNI BCM]]*UnitariosPospago[[#This Row],[MetaTM]]</f>
        <v>585.5294117647054</v>
      </c>
      <c r="BW11" s="26">
        <f>AVERAGEIFS(Pospago[COMISION BF],Pospago[LOCALES],UnitariosPospago[[#This Row],[TIENDA]],Pospago[TIPO],UnitariosPospago[[#This Row],[TIPO ALTA]])</f>
        <v>23.678235294117645</v>
      </c>
      <c r="BX11" s="29">
        <f>UnitariosPospago[[#This Row],[PROM. UNI BFQ]]*UnitariosPospago[[#This Row],[MetaTM]]</f>
        <v>1870.580588235294</v>
      </c>
    </row>
    <row r="12" spans="1:76" x14ac:dyDescent="0.25">
      <c r="A12" s="18" t="s">
        <v>64</v>
      </c>
      <c r="B12" s="18" t="s">
        <v>217</v>
      </c>
      <c r="C12" s="18" t="s">
        <v>218</v>
      </c>
      <c r="D12" s="19">
        <v>44907</v>
      </c>
      <c r="E12" s="18" t="s">
        <v>67</v>
      </c>
      <c r="F12" s="18" t="s">
        <v>219</v>
      </c>
      <c r="G12" s="18" t="s">
        <v>220</v>
      </c>
      <c r="H12" s="18" t="s">
        <v>70</v>
      </c>
      <c r="I12" s="18" t="s">
        <v>71</v>
      </c>
      <c r="J12" s="18" t="s">
        <v>72</v>
      </c>
      <c r="K12" s="18" t="s">
        <v>95</v>
      </c>
      <c r="L12" s="20" t="s">
        <v>221</v>
      </c>
      <c r="M12" s="18" t="s">
        <v>75</v>
      </c>
      <c r="N12" s="20" t="s">
        <v>222</v>
      </c>
      <c r="O12" s="18" t="s">
        <v>77</v>
      </c>
      <c r="P12" s="18" t="s">
        <v>78</v>
      </c>
      <c r="Q12" s="19">
        <v>44914</v>
      </c>
      <c r="R12" s="21">
        <v>11.42</v>
      </c>
      <c r="S12" s="18" t="s">
        <v>79</v>
      </c>
      <c r="T12" s="18" t="s">
        <v>80</v>
      </c>
      <c r="U12" s="18" t="s">
        <v>83</v>
      </c>
      <c r="V12" s="18" t="s">
        <v>95</v>
      </c>
      <c r="W12" s="18" t="s">
        <v>83</v>
      </c>
      <c r="X12" s="18" t="s">
        <v>84</v>
      </c>
      <c r="Y12" s="18" t="s">
        <v>85</v>
      </c>
      <c r="Z12" s="18" t="s">
        <v>86</v>
      </c>
      <c r="AA12" s="18" t="s">
        <v>87</v>
      </c>
      <c r="AB12" s="18" t="s">
        <v>88</v>
      </c>
      <c r="AC12" s="18" t="s">
        <v>89</v>
      </c>
      <c r="AD12" s="18" t="s">
        <v>85</v>
      </c>
      <c r="AE12" s="18" t="s">
        <v>90</v>
      </c>
      <c r="AF12" s="18" t="s">
        <v>91</v>
      </c>
      <c r="AG12" s="18" t="s">
        <v>92</v>
      </c>
      <c r="AH12" s="18" t="s">
        <v>93</v>
      </c>
      <c r="AI12" s="18" t="s">
        <v>94</v>
      </c>
      <c r="AJ12" s="19">
        <v>44907</v>
      </c>
      <c r="AK12" s="22" t="s">
        <v>95</v>
      </c>
      <c r="AL12" s="18" t="s">
        <v>95</v>
      </c>
      <c r="AM12" s="18" t="s">
        <v>95</v>
      </c>
      <c r="AN12" s="18" t="s">
        <v>95</v>
      </c>
      <c r="AO12" s="18" t="s">
        <v>95</v>
      </c>
      <c r="AP12" s="18" t="s">
        <v>95</v>
      </c>
      <c r="AQ12" s="18" t="s">
        <v>95</v>
      </c>
      <c r="AR12" s="18" t="s">
        <v>95</v>
      </c>
      <c r="AS12" s="18" t="s">
        <v>83</v>
      </c>
      <c r="AT12" s="18" t="s">
        <v>83</v>
      </c>
      <c r="AU12" s="18" t="s">
        <v>81</v>
      </c>
      <c r="AV12" s="18" t="s">
        <v>95</v>
      </c>
      <c r="AW12" s="18" t="s">
        <v>95</v>
      </c>
      <c r="AX12" s="18"/>
      <c r="AY12" s="18" t="str">
        <f>Pospago[[#This Row],[NUM_TELEFONICO]]&amp;"POSPAGOSI"</f>
        <v>958692822POSPAGOSI</v>
      </c>
      <c r="AZ12" s="18" t="str">
        <f>VLOOKUP(Pospago[[#This Row],[NOM_PLAZA_FINAL]],[1]!Locales[#Data],3,0)</f>
        <v>TIENDA CUENCA CENTRO</v>
      </c>
      <c r="BA12" s="18" t="str">
        <f>IFERROR(VLOOKUP(Pospago[[#This Row],[USUARIO]],[1]!Personal[#Data],6,0),"EJECUTIVO NO REGISTRADO")</f>
        <v>ANDRADE CONDO CHRISTIAN EDUARDO</v>
      </c>
      <c r="BB12" s="18" t="str">
        <f>Pospago[[#This Row],[TIPO_MOVIMIENTO]]&amp;" "&amp;Pospago[[#This Row],[FORMA_PAGO_FINAL]]</f>
        <v>ALTAS DOMICILIADO</v>
      </c>
      <c r="BC12" s="18">
        <f>DAY(Pospago[[#This Row],[FECHA_ALTA]])</f>
        <v>12</v>
      </c>
      <c r="BD12" s="18">
        <f>IF(Pospago[[#This Row],[TARIFA_BASICA]]=11.42,1,0)</f>
        <v>1</v>
      </c>
      <c r="BE12" s="18">
        <f>IF(Pospago[[#This Row],[PLANES TELEVENTAS]]="SI",1,0)</f>
        <v>0</v>
      </c>
      <c r="BF12" s="18">
        <f>1</f>
        <v>1</v>
      </c>
      <c r="BG12" s="18">
        <f>IF(OR(Pospago[[#This Row],[TARIFA_BASICA]]=11.42,Pospago[[#This Row],[PLANES TELEVENTAS]]="SI"),1,0)</f>
        <v>1</v>
      </c>
      <c r="BH12" s="18" t="str">
        <f>IF(MID(Pospago[[#This Row],[PlanDesc]],1,4) = "PLAN","POSPAGO",IF(MID(Pospago[[#This Row],[PlanDesc]],1,4)="FULL","FULL MEGAS","PREVIOPAGO"))</f>
        <v>PREVIOPAGO</v>
      </c>
      <c r="BI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2" s="21">
        <f>Pospago[[#This Row],[TARIFA_BASICA]]*1.5</f>
        <v>17.13</v>
      </c>
      <c r="BN12" t="s">
        <v>216</v>
      </c>
      <c r="BO12" s="24" t="s">
        <v>140</v>
      </c>
      <c r="BP12" s="30" t="str">
        <f>UnitariosPospago[[#This Row],[TIENDA]]&amp;UnitariosPospago[[#This Row],[TIPO ALTA]]</f>
        <v>TIENDA CUENCA CENTROTRANSFERENCIAS DOMICILIADO</v>
      </c>
      <c r="BQ12" t="s">
        <v>141</v>
      </c>
      <c r="BR12" s="25">
        <f>INDEX(MetaTM,MATCH(UnitariosPospago[[#This Row],[TIENDA]],MetaTiendaTM,0),MATCH(UnitariosPospago[[#This Row],[CRUCE]],MetaTituloTM,0))</f>
        <v>87</v>
      </c>
      <c r="BS12" s="26">
        <f>AVERAGEIFS(Pospago[COMISION UPFRONT],Pospago[LOCALES],UnitariosPospago[[#This Row],[TIENDA]],Pospago[TIPO],UnitariosPospago[[#This Row],[TIPO ALTA]])</f>
        <v>6.2571052631578947</v>
      </c>
      <c r="BT12" s="27">
        <f>UnitariosPospago[[#This Row],[MetaTM]]*UnitariosPospago[[#This Row],[PROM. UNI TB]]</f>
        <v>544.3681578947369</v>
      </c>
      <c r="BU12" s="26">
        <f>AVERAGEIFS(Pospago[COMISION BC],Pospago[LOCALES],UnitariosPospago[[#This Row],[TIENDA]],Pospago[TIPO],UnitariosPospago[[#This Row],[TIPO ALTA]])</f>
        <v>6.1894736842105269</v>
      </c>
      <c r="BV12" s="28">
        <f>UnitariosPospago[[#This Row],[PROM. UNI BCM]]*UnitariosPospago[[#This Row],[MetaTM]]</f>
        <v>538.48421052631579</v>
      </c>
      <c r="BW12" s="26">
        <f>AVERAGEIFS(Pospago[COMISION BF],Pospago[LOCALES],UnitariosPospago[[#This Row],[TIENDA]],Pospago[TIPO],UnitariosPospago[[#This Row],[TIPO ALTA]])</f>
        <v>20.445394736842097</v>
      </c>
      <c r="BX12" s="29">
        <f>UnitariosPospago[[#This Row],[PROM. UNI BFQ]]*UnitariosPospago[[#This Row],[MetaTM]]</f>
        <v>1778.7493421052625</v>
      </c>
    </row>
    <row r="13" spans="1:76" x14ac:dyDescent="0.25">
      <c r="A13" s="18" t="s">
        <v>64</v>
      </c>
      <c r="B13" s="18" t="s">
        <v>223</v>
      </c>
      <c r="C13" s="18" t="s">
        <v>224</v>
      </c>
      <c r="D13" s="19">
        <v>44896</v>
      </c>
      <c r="E13" s="18" t="s">
        <v>67</v>
      </c>
      <c r="F13" s="18" t="s">
        <v>225</v>
      </c>
      <c r="G13" s="18" t="s">
        <v>226</v>
      </c>
      <c r="H13" s="18" t="s">
        <v>70</v>
      </c>
      <c r="I13" s="18" t="s">
        <v>227</v>
      </c>
      <c r="J13" s="18" t="s">
        <v>228</v>
      </c>
      <c r="K13" s="18" t="s">
        <v>132</v>
      </c>
      <c r="L13" s="20" t="s">
        <v>229</v>
      </c>
      <c r="M13" s="18" t="s">
        <v>75</v>
      </c>
      <c r="N13" s="20" t="s">
        <v>230</v>
      </c>
      <c r="O13" s="18" t="s">
        <v>231</v>
      </c>
      <c r="P13" s="18" t="s">
        <v>78</v>
      </c>
      <c r="Q13" s="19">
        <v>44914</v>
      </c>
      <c r="R13" s="21">
        <v>21.42</v>
      </c>
      <c r="S13" s="18" t="s">
        <v>79</v>
      </c>
      <c r="T13" s="18" t="s">
        <v>232</v>
      </c>
      <c r="U13" s="18" t="s">
        <v>83</v>
      </c>
      <c r="V13" s="18" t="s">
        <v>95</v>
      </c>
      <c r="W13" s="18" t="s">
        <v>83</v>
      </c>
      <c r="X13" s="18" t="s">
        <v>215</v>
      </c>
      <c r="Y13" s="18" t="s">
        <v>85</v>
      </c>
      <c r="Z13" s="18" t="s">
        <v>86</v>
      </c>
      <c r="AA13" s="18" t="s">
        <v>87</v>
      </c>
      <c r="AB13" s="18" t="s">
        <v>233</v>
      </c>
      <c r="AC13" s="18" t="s">
        <v>234</v>
      </c>
      <c r="AD13" s="18" t="s">
        <v>85</v>
      </c>
      <c r="AE13" s="18" t="s">
        <v>90</v>
      </c>
      <c r="AF13" s="18" t="s">
        <v>235</v>
      </c>
      <c r="AG13" s="18" t="s">
        <v>139</v>
      </c>
      <c r="AH13" s="18" t="s">
        <v>93</v>
      </c>
      <c r="AI13" s="18" t="s">
        <v>94</v>
      </c>
      <c r="AJ13" s="19">
        <v>44896</v>
      </c>
      <c r="AK13" s="22" t="s">
        <v>95</v>
      </c>
      <c r="AL13" s="18" t="s">
        <v>95</v>
      </c>
      <c r="AM13" s="18" t="s">
        <v>95</v>
      </c>
      <c r="AN13" s="18" t="s">
        <v>95</v>
      </c>
      <c r="AO13" s="18" t="s">
        <v>95</v>
      </c>
      <c r="AP13" s="18" t="s">
        <v>95</v>
      </c>
      <c r="AQ13" s="18" t="s">
        <v>95</v>
      </c>
      <c r="AR13" s="18" t="s">
        <v>95</v>
      </c>
      <c r="AS13" s="18" t="s">
        <v>83</v>
      </c>
      <c r="AT13" s="18" t="s">
        <v>83</v>
      </c>
      <c r="AU13" s="18" t="s">
        <v>81</v>
      </c>
      <c r="AV13" s="18" t="s">
        <v>95</v>
      </c>
      <c r="AW13" s="18" t="s">
        <v>95</v>
      </c>
      <c r="AX13" s="18"/>
      <c r="AY13" s="18" t="str">
        <f>Pospago[[#This Row],[NUM_TELEFONICO]]&amp;"POSPAGOSI"</f>
        <v>958693472POSPAGOSI</v>
      </c>
      <c r="AZ13" s="18" t="str">
        <f>VLOOKUP(Pospago[[#This Row],[NOM_PLAZA_FINAL]],[1]!Locales[#Data],3,0)</f>
        <v>TIENDA CONDADO</v>
      </c>
      <c r="BA13" s="18" t="str">
        <f>IFERROR(VLOOKUP(Pospago[[#This Row],[USUARIO]],[1]!Personal[#Data],6,0),"EJECUTIVO NO REGISTRADO")</f>
        <v>ROSALES MALDONADO JESSICA GABRIELA</v>
      </c>
      <c r="BB13" s="18" t="str">
        <f>Pospago[[#This Row],[TIPO_MOVIMIENTO]]&amp;" "&amp;Pospago[[#This Row],[FORMA_PAGO_FINAL]]</f>
        <v>ALTAS DOMICILIADO</v>
      </c>
      <c r="BC13" s="18">
        <f>DAY(Pospago[[#This Row],[FECHA_ALTA]])</f>
        <v>1</v>
      </c>
      <c r="BD13" s="18">
        <f>IF(Pospago[[#This Row],[TARIFA_BASICA]]=11.42,1,0)</f>
        <v>0</v>
      </c>
      <c r="BE13" s="18">
        <f>IF(Pospago[[#This Row],[PLANES TELEVENTAS]]="SI",1,0)</f>
        <v>0</v>
      </c>
      <c r="BF13" s="18">
        <f>1</f>
        <v>1</v>
      </c>
      <c r="BG13" s="18">
        <f>IF(OR(Pospago[[#This Row],[TARIFA_BASICA]]=11.42,Pospago[[#This Row],[PLANES TELEVENTAS]]="SI"),1,0)</f>
        <v>0</v>
      </c>
      <c r="BH13" s="18" t="str">
        <f>IF(MID(Pospago[[#This Row],[PlanDesc]],1,4) = "PLAN","POSPAGO",IF(MID(Pospago[[#This Row],[PlanDesc]],1,4)="FULL","FULL MEGAS","PREVIOPAGO"))</f>
        <v>PREVIOPAGO</v>
      </c>
      <c r="BI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3" s="21">
        <f>Pospago[[#This Row],[TARIFA_BASICA]]*1.5</f>
        <v>32.130000000000003</v>
      </c>
      <c r="BN13" t="s">
        <v>216</v>
      </c>
      <c r="BO13" s="24" t="s">
        <v>152</v>
      </c>
      <c r="BP13" s="30" t="str">
        <f>UnitariosPospago[[#This Row],[TIENDA]]&amp;UnitariosPospago[[#This Row],[TIPO ALTA]]</f>
        <v>TIENDA CUENCA CENTROALTAS PAGO EN CAJA</v>
      </c>
      <c r="BQ13" t="s">
        <v>153</v>
      </c>
      <c r="BR13" s="25">
        <f>INDEX(MetaTM,MATCH(UnitariosPospago[[#This Row],[TIENDA]],MetaTiendaTM,0),MATCH(UnitariosPospago[[#This Row],[CRUCE]],MetaTituloTM,0))</f>
        <v>26</v>
      </c>
      <c r="BS13" s="26">
        <f>AVERAGEIFS(Pospago[COMISION UPFRONT],Pospago[LOCALES],UnitariosPospago[[#This Row],[TIENDA]],Pospago[TIPO],UnitariosPospago[[#This Row],[TIPO ALTA]])</f>
        <v>12.6128</v>
      </c>
      <c r="BT13" s="27">
        <f>UnitariosPospago[[#This Row],[MetaTM]]*UnitariosPospago[[#This Row],[PROM. UNI TB]]</f>
        <v>327.93279999999999</v>
      </c>
      <c r="BU13" s="26">
        <f>AVERAGEIFS(Pospago[COMISION BC],Pospago[LOCALES],UnitariosPospago[[#This Row],[TIENDA]],Pospago[TIPO],UnitariosPospago[[#This Row],[TIPO ALTA]])</f>
        <v>7.3919999999999995</v>
      </c>
      <c r="BV13" s="28">
        <f>UnitariosPospago[[#This Row],[PROM. UNI BCM]]*UnitariosPospago[[#This Row],[MetaTM]]</f>
        <v>192.19199999999998</v>
      </c>
      <c r="BW13" s="26">
        <f>AVERAGEIFS(Pospago[COMISION BF],Pospago[LOCALES],UnitariosPospago[[#This Row],[TIENDA]],Pospago[TIPO],UnitariosPospago[[#This Row],[TIPO ALTA]])</f>
        <v>23.455199999999994</v>
      </c>
      <c r="BX13" s="29">
        <f>UnitariosPospago[[#This Row],[PROM. UNI BFQ]]*UnitariosPospago[[#This Row],[MetaTM]]</f>
        <v>609.83519999999987</v>
      </c>
    </row>
    <row r="14" spans="1:76" x14ac:dyDescent="0.25">
      <c r="A14" s="18" t="s">
        <v>64</v>
      </c>
      <c r="B14" s="18" t="s">
        <v>236</v>
      </c>
      <c r="C14" s="18" t="s">
        <v>237</v>
      </c>
      <c r="D14" s="19">
        <v>44911</v>
      </c>
      <c r="E14" s="18" t="s">
        <v>67</v>
      </c>
      <c r="F14" s="18" t="s">
        <v>238</v>
      </c>
      <c r="G14" s="18" t="s">
        <v>239</v>
      </c>
      <c r="H14" s="18" t="s">
        <v>70</v>
      </c>
      <c r="I14" s="18" t="s">
        <v>160</v>
      </c>
      <c r="J14" s="18" t="s">
        <v>195</v>
      </c>
      <c r="K14" s="18" t="s">
        <v>73</v>
      </c>
      <c r="L14" s="20" t="s">
        <v>240</v>
      </c>
      <c r="M14" s="18" t="s">
        <v>75</v>
      </c>
      <c r="N14" s="20" t="s">
        <v>241</v>
      </c>
      <c r="O14" s="18" t="s">
        <v>77</v>
      </c>
      <c r="P14" s="18" t="s">
        <v>78</v>
      </c>
      <c r="Q14" s="19">
        <v>44914</v>
      </c>
      <c r="R14" s="21">
        <v>14.28</v>
      </c>
      <c r="S14" s="18" t="s">
        <v>79</v>
      </c>
      <c r="T14" s="18" t="s">
        <v>80</v>
      </c>
      <c r="U14" s="18" t="s">
        <v>83</v>
      </c>
      <c r="V14" s="18" t="s">
        <v>95</v>
      </c>
      <c r="W14" s="18" t="s">
        <v>83</v>
      </c>
      <c r="X14" s="18" t="s">
        <v>84</v>
      </c>
      <c r="Y14" s="18" t="s">
        <v>85</v>
      </c>
      <c r="Z14" s="18" t="s">
        <v>86</v>
      </c>
      <c r="AA14" s="18" t="s">
        <v>87</v>
      </c>
      <c r="AB14" s="18" t="s">
        <v>242</v>
      </c>
      <c r="AC14" s="18" t="s">
        <v>243</v>
      </c>
      <c r="AD14" s="18" t="s">
        <v>85</v>
      </c>
      <c r="AE14" s="18" t="s">
        <v>90</v>
      </c>
      <c r="AF14" s="18" t="s">
        <v>91</v>
      </c>
      <c r="AG14" s="18" t="s">
        <v>92</v>
      </c>
      <c r="AH14" s="18" t="s">
        <v>93</v>
      </c>
      <c r="AI14" s="18" t="s">
        <v>94</v>
      </c>
      <c r="AJ14" s="19">
        <v>44911</v>
      </c>
      <c r="AK14" s="22" t="s">
        <v>95</v>
      </c>
      <c r="AL14" s="18" t="s">
        <v>95</v>
      </c>
      <c r="AM14" s="18" t="s">
        <v>95</v>
      </c>
      <c r="AN14" s="18" t="s">
        <v>95</v>
      </c>
      <c r="AO14" s="18" t="s">
        <v>95</v>
      </c>
      <c r="AP14" s="18" t="s">
        <v>95</v>
      </c>
      <c r="AQ14" s="18" t="s">
        <v>95</v>
      </c>
      <c r="AR14" s="18" t="s">
        <v>95</v>
      </c>
      <c r="AS14" s="18" t="s">
        <v>83</v>
      </c>
      <c r="AT14" s="18" t="s">
        <v>83</v>
      </c>
      <c r="AU14" s="18" t="s">
        <v>81</v>
      </c>
      <c r="AV14" s="18" t="s">
        <v>95</v>
      </c>
      <c r="AW14" s="18" t="s">
        <v>95</v>
      </c>
      <c r="AX14" s="18"/>
      <c r="AY14" s="18" t="str">
        <f>Pospago[[#This Row],[NUM_TELEFONICO]]&amp;"POSPAGOSI"</f>
        <v>958694262POSPAGOSI</v>
      </c>
      <c r="AZ14" s="18" t="str">
        <f>VLOOKUP(Pospago[[#This Row],[NOM_PLAZA_FINAL]],[1]!Locales[#Data],3,0)</f>
        <v>TIENDA CUENCA CENTRO</v>
      </c>
      <c r="BA14" s="18" t="str">
        <f>IFERROR(VLOOKUP(Pospago[[#This Row],[USUARIO]],[1]!Personal[#Data],6,0),"EJECUTIVO NO REGISTRADO")</f>
        <v>VALLEJO DELEG ROMAN NICOLAS</v>
      </c>
      <c r="BB14" s="18" t="str">
        <f>Pospago[[#This Row],[TIPO_MOVIMIENTO]]&amp;" "&amp;Pospago[[#This Row],[FORMA_PAGO_FINAL]]</f>
        <v>ALTAS DOMICILIADO</v>
      </c>
      <c r="BC14" s="18">
        <f>DAY(Pospago[[#This Row],[FECHA_ALTA]])</f>
        <v>16</v>
      </c>
      <c r="BD14" s="18">
        <f>IF(Pospago[[#This Row],[TARIFA_BASICA]]=11.42,1,0)</f>
        <v>0</v>
      </c>
      <c r="BE14" s="18">
        <f>IF(Pospago[[#This Row],[PLANES TELEVENTAS]]="SI",1,0)</f>
        <v>0</v>
      </c>
      <c r="BF14" s="18">
        <f>1</f>
        <v>1</v>
      </c>
      <c r="BG14" s="18">
        <f>IF(OR(Pospago[[#This Row],[TARIFA_BASICA]]=11.42,Pospago[[#This Row],[PLANES TELEVENTAS]]="SI"),1,0)</f>
        <v>0</v>
      </c>
      <c r="BH14" s="18" t="str">
        <f>IF(MID(Pospago[[#This Row],[PlanDesc]],1,4) = "PLAN","POSPAGO",IF(MID(Pospago[[#This Row],[PlanDesc]],1,4)="FULL","FULL MEGAS","PREVIOPAGO"))</f>
        <v>PREVIOPAGO</v>
      </c>
      <c r="BI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" s="21">
        <f>Pospago[[#This Row],[TARIFA_BASICA]]*1.5</f>
        <v>21.419999999999998</v>
      </c>
      <c r="BN14" t="s">
        <v>216</v>
      </c>
      <c r="BO14" s="24" t="s">
        <v>166</v>
      </c>
      <c r="BP14" s="30" t="str">
        <f>UnitariosPospago[[#This Row],[TIENDA]]&amp;UnitariosPospago[[#This Row],[TIPO ALTA]]</f>
        <v>TIENDA CUENCA CENTROTRANSFERENCIAS PAGO EN CAJA</v>
      </c>
      <c r="BQ14" t="s">
        <v>167</v>
      </c>
      <c r="BR14" s="25">
        <f>INDEX(MetaTM,MATCH(UnitariosPospago[[#This Row],[TIENDA]],MetaTiendaTM,0),MATCH(UnitariosPospago[[#This Row],[CRUCE]],MetaTituloTM,0))</f>
        <v>38</v>
      </c>
      <c r="BS14" s="26">
        <f>AVERAGEIFS(Pospago[COMISION UPFRONT],Pospago[LOCALES],UnitariosPospago[[#This Row],[TIENDA]],Pospago[TIPO],UnitariosPospago[[#This Row],[TIPO ALTA]])</f>
        <v>4.43576923076923</v>
      </c>
      <c r="BT14" s="27">
        <f>UnitariosPospago[[#This Row],[MetaTM]]*UnitariosPospago[[#This Row],[PROM. UNI TB]]</f>
        <v>168.55923076923074</v>
      </c>
      <c r="BU14" s="26">
        <f>AVERAGEIFS(Pospago[COMISION BC],Pospago[LOCALES],UnitariosPospago[[#This Row],[TIENDA]],Pospago[TIPO],UnitariosPospago[[#This Row],[TIPO ALTA]])</f>
        <v>6.7846153846153863</v>
      </c>
      <c r="BV14" s="28">
        <f>UnitariosPospago[[#This Row],[PROM. UNI BCM]]*UnitariosPospago[[#This Row],[MetaTM]]</f>
        <v>257.81538461538469</v>
      </c>
      <c r="BW14" s="26">
        <f>AVERAGEIFS(Pospago[COMISION BF],Pospago[LOCALES],UnitariosPospago[[#This Row],[TIENDA]],Pospago[TIPO],UnitariosPospago[[#This Row],[TIPO ALTA]])</f>
        <v>20.183653846153845</v>
      </c>
      <c r="BX14" s="29">
        <f>UnitariosPospago[[#This Row],[PROM. UNI BFQ]]*UnitariosPospago[[#This Row],[MetaTM]]</f>
        <v>766.97884615384612</v>
      </c>
    </row>
    <row r="15" spans="1:76" x14ac:dyDescent="0.25">
      <c r="A15" s="18" t="s">
        <v>64</v>
      </c>
      <c r="B15" s="18" t="s">
        <v>244</v>
      </c>
      <c r="C15" s="18" t="s">
        <v>245</v>
      </c>
      <c r="D15" s="19">
        <v>44898</v>
      </c>
      <c r="E15" s="18" t="s">
        <v>246</v>
      </c>
      <c r="F15" s="18" t="s">
        <v>247</v>
      </c>
      <c r="G15" s="18" t="s">
        <v>248</v>
      </c>
      <c r="H15" s="18" t="s">
        <v>70</v>
      </c>
      <c r="I15" s="18" t="s">
        <v>71</v>
      </c>
      <c r="J15" s="18" t="s">
        <v>72</v>
      </c>
      <c r="K15" s="18" t="s">
        <v>73</v>
      </c>
      <c r="L15" s="20" t="s">
        <v>249</v>
      </c>
      <c r="M15" s="18" t="s">
        <v>75</v>
      </c>
      <c r="N15" s="20" t="s">
        <v>250</v>
      </c>
      <c r="O15" s="18" t="s">
        <v>77</v>
      </c>
      <c r="P15" s="18" t="s">
        <v>78</v>
      </c>
      <c r="Q15" s="19">
        <v>44914</v>
      </c>
      <c r="R15" s="21">
        <v>11.42</v>
      </c>
      <c r="S15" s="18" t="s">
        <v>79</v>
      </c>
      <c r="T15" s="18" t="s">
        <v>174</v>
      </c>
      <c r="U15" s="18" t="s">
        <v>83</v>
      </c>
      <c r="V15" s="18" t="s">
        <v>95</v>
      </c>
      <c r="W15" s="18" t="s">
        <v>83</v>
      </c>
      <c r="X15" s="18" t="s">
        <v>118</v>
      </c>
      <c r="Y15" s="18" t="s">
        <v>85</v>
      </c>
      <c r="Z15" s="18" t="s">
        <v>86</v>
      </c>
      <c r="AA15" s="18" t="s">
        <v>119</v>
      </c>
      <c r="AB15" s="18" t="s">
        <v>251</v>
      </c>
      <c r="AC15" s="18" t="s">
        <v>252</v>
      </c>
      <c r="AD15" s="18" t="s">
        <v>85</v>
      </c>
      <c r="AE15" s="18" t="s">
        <v>90</v>
      </c>
      <c r="AF15" s="18" t="s">
        <v>177</v>
      </c>
      <c r="AG15" s="18" t="s">
        <v>139</v>
      </c>
      <c r="AH15" s="18" t="s">
        <v>93</v>
      </c>
      <c r="AI15" s="18" t="s">
        <v>94</v>
      </c>
      <c r="AJ15" s="19">
        <v>44898</v>
      </c>
      <c r="AK15" s="22" t="s">
        <v>95</v>
      </c>
      <c r="AL15" s="18" t="s">
        <v>95</v>
      </c>
      <c r="AM15" s="18" t="s">
        <v>95</v>
      </c>
      <c r="AN15" s="18" t="s">
        <v>95</v>
      </c>
      <c r="AO15" s="18" t="s">
        <v>95</v>
      </c>
      <c r="AP15" s="18" t="s">
        <v>95</v>
      </c>
      <c r="AQ15" s="18" t="s">
        <v>95</v>
      </c>
      <c r="AR15" s="18" t="s">
        <v>95</v>
      </c>
      <c r="AS15" s="18" t="s">
        <v>83</v>
      </c>
      <c r="AT15" s="18" t="s">
        <v>83</v>
      </c>
      <c r="AU15" s="18" t="s">
        <v>81</v>
      </c>
      <c r="AV15" s="18" t="s">
        <v>95</v>
      </c>
      <c r="AW15" s="18" t="s">
        <v>95</v>
      </c>
      <c r="AX15" s="18"/>
      <c r="AY15" s="18" t="str">
        <f>Pospago[[#This Row],[NUM_TELEFONICO]]&amp;"POSPAGOSI"</f>
        <v>958704076POSPAGOSI</v>
      </c>
      <c r="AZ15" s="18" t="str">
        <f>VLOOKUP(Pospago[[#This Row],[NOM_PLAZA_FINAL]],[1]!Locales[#Data],3,0)</f>
        <v>TIENDA RECREO</v>
      </c>
      <c r="BA15" s="18" t="str">
        <f>IFERROR(VLOOKUP(Pospago[[#This Row],[USUARIO]],[1]!Personal[#Data],6,0),"EJECUTIVO NO REGISTRADO")</f>
        <v>CRUZ MONTUFAR KATHERINE ALEJANDRA</v>
      </c>
      <c r="BB15" s="18" t="str">
        <f>Pospago[[#This Row],[TIPO_MOVIMIENTO]]&amp;" "&amp;Pospago[[#This Row],[FORMA_PAGO_FINAL]]</f>
        <v>ALTAS PAGO EN CAJA</v>
      </c>
      <c r="BC15" s="18">
        <f>DAY(Pospago[[#This Row],[FECHA_ALTA]])</f>
        <v>3</v>
      </c>
      <c r="BD15" s="18">
        <f>IF(Pospago[[#This Row],[TARIFA_BASICA]]=11.42,1,0)</f>
        <v>1</v>
      </c>
      <c r="BE15" s="18">
        <f>IF(Pospago[[#This Row],[PLANES TELEVENTAS]]="SI",1,0)</f>
        <v>0</v>
      </c>
      <c r="BF15" s="18">
        <f>1</f>
        <v>1</v>
      </c>
      <c r="BG15" s="18">
        <f>IF(OR(Pospago[[#This Row],[TARIFA_BASICA]]=11.42,Pospago[[#This Row],[PLANES TELEVENTAS]]="SI"),1,0)</f>
        <v>1</v>
      </c>
      <c r="BH15" s="18" t="str">
        <f>IF(MID(Pospago[[#This Row],[PlanDesc]],1,4) = "PLAN","POSPAGO",IF(MID(Pospago[[#This Row],[PlanDesc]],1,4)="FULL","FULL MEGAS","PREVIOPAGO"))</f>
        <v>PREVIOPAGO</v>
      </c>
      <c r="BI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5" s="21">
        <f>Pospago[[#This Row],[TARIFA_BASICA]]*1.5</f>
        <v>17.13</v>
      </c>
      <c r="BN15" t="s">
        <v>253</v>
      </c>
      <c r="BO15" s="23" t="s">
        <v>124</v>
      </c>
      <c r="BP15" s="31" t="str">
        <f>UnitariosPospago[[#This Row],[TIENDA]]&amp;UnitariosPospago[[#This Row],[TIPO ALTA]]</f>
        <v>TIENDA CUENCA REMIGIOALTAS DOMICILIADO</v>
      </c>
      <c r="BQ15" t="s">
        <v>125</v>
      </c>
      <c r="BR15" s="25">
        <f>INDEX(MetaTM,MATCH(UnitariosPospago[[#This Row],[TIENDA]],MetaTiendaTM,0),MATCH(UnitariosPospago[[#This Row],[CRUCE]],MetaTituloTM,0))</f>
        <v>82</v>
      </c>
      <c r="BS15" s="26">
        <f>AVERAGEIFS(Pospago[COMISION UPFRONT],Pospago[LOCALES],UnitariosPospago[[#This Row],[TIENDA]],Pospago[TIPO],UnitariosPospago[[#This Row],[TIPO ALTA]])</f>
        <v>21.362599999999997</v>
      </c>
      <c r="BT15" s="27">
        <f>UnitariosPospago[[#This Row],[MetaTM]]*UnitariosPospago[[#This Row],[PROM. UNI TB]]</f>
        <v>1751.7331999999997</v>
      </c>
      <c r="BU15" s="26">
        <f>AVERAGEIFS(Pospago[COMISION BC],Pospago[LOCALES],UnitariosPospago[[#This Row],[TIENDA]],Pospago[TIPO],UnitariosPospago[[#This Row],[TIPO ALTA]])</f>
        <v>7.7279999999999953</v>
      </c>
      <c r="BV15" s="28">
        <f>UnitariosPospago[[#This Row],[PROM. UNI BCM]]*UnitariosPospago[[#This Row],[MetaTM]]</f>
        <v>633.69599999999957</v>
      </c>
      <c r="BW15" s="26">
        <f>AVERAGEIFS(Pospago[COMISION BF],Pospago[LOCALES],UnitariosPospago[[#This Row],[TIENDA]],Pospago[TIPO],UnitariosPospago[[#This Row],[TIPO ALTA]])</f>
        <v>26.358300000000003</v>
      </c>
      <c r="BX15" s="29">
        <f>UnitariosPospago[[#This Row],[PROM. UNI BFQ]]*UnitariosPospago[[#This Row],[MetaTM]]</f>
        <v>2161.3806000000004</v>
      </c>
    </row>
    <row r="16" spans="1:76" x14ac:dyDescent="0.25">
      <c r="A16" s="18" t="s">
        <v>154</v>
      </c>
      <c r="B16" s="18" t="s">
        <v>254</v>
      </c>
      <c r="C16" s="18" t="s">
        <v>255</v>
      </c>
      <c r="D16" s="19">
        <v>44901</v>
      </c>
      <c r="E16" s="18" t="s">
        <v>67</v>
      </c>
      <c r="F16" s="18" t="s">
        <v>256</v>
      </c>
      <c r="G16" s="18" t="s">
        <v>257</v>
      </c>
      <c r="H16" s="18" t="s">
        <v>159</v>
      </c>
      <c r="I16" s="18" t="s">
        <v>71</v>
      </c>
      <c r="J16" s="18" t="s">
        <v>258</v>
      </c>
      <c r="K16" s="18" t="s">
        <v>259</v>
      </c>
      <c r="L16" s="20" t="s">
        <v>260</v>
      </c>
      <c r="M16" s="18" t="s">
        <v>75</v>
      </c>
      <c r="N16" s="20" t="s">
        <v>261</v>
      </c>
      <c r="O16" s="18" t="s">
        <v>164</v>
      </c>
      <c r="P16" s="18" t="s">
        <v>78</v>
      </c>
      <c r="Q16" s="19">
        <v>44914</v>
      </c>
      <c r="R16" s="21">
        <v>11.42</v>
      </c>
      <c r="S16" s="18" t="s">
        <v>79</v>
      </c>
      <c r="T16" s="18" t="s">
        <v>174</v>
      </c>
      <c r="U16" s="18" t="s">
        <v>83</v>
      </c>
      <c r="V16" s="18" t="s">
        <v>95</v>
      </c>
      <c r="W16" s="18" t="s">
        <v>95</v>
      </c>
      <c r="X16" s="18" t="s">
        <v>118</v>
      </c>
      <c r="Y16" s="18" t="s">
        <v>85</v>
      </c>
      <c r="Z16" s="18" t="s">
        <v>86</v>
      </c>
      <c r="AA16" s="18" t="s">
        <v>119</v>
      </c>
      <c r="AB16" s="18" t="s">
        <v>262</v>
      </c>
      <c r="AC16" s="18" t="s">
        <v>263</v>
      </c>
      <c r="AD16" s="18" t="s">
        <v>85</v>
      </c>
      <c r="AE16" s="18" t="s">
        <v>90</v>
      </c>
      <c r="AF16" s="18" t="s">
        <v>177</v>
      </c>
      <c r="AG16" s="18" t="s">
        <v>139</v>
      </c>
      <c r="AH16" s="18" t="s">
        <v>165</v>
      </c>
      <c r="AI16" s="18" t="s">
        <v>94</v>
      </c>
      <c r="AJ16" s="19">
        <v>44901</v>
      </c>
      <c r="AK16" s="22" t="s">
        <v>95</v>
      </c>
      <c r="AL16" s="18" t="s">
        <v>95</v>
      </c>
      <c r="AM16" s="18" t="s">
        <v>95</v>
      </c>
      <c r="AN16" s="18" t="s">
        <v>95</v>
      </c>
      <c r="AO16" s="18" t="s">
        <v>95</v>
      </c>
      <c r="AP16" s="18" t="s">
        <v>95</v>
      </c>
      <c r="AQ16" s="18" t="s">
        <v>95</v>
      </c>
      <c r="AR16" s="18" t="s">
        <v>95</v>
      </c>
      <c r="AS16" s="18" t="s">
        <v>83</v>
      </c>
      <c r="AT16" s="18" t="s">
        <v>83</v>
      </c>
      <c r="AU16" s="18" t="s">
        <v>81</v>
      </c>
      <c r="AV16" s="18" t="s">
        <v>95</v>
      </c>
      <c r="AW16" s="18" t="s">
        <v>95</v>
      </c>
      <c r="AX16" s="18"/>
      <c r="AY16" s="18" t="str">
        <f>Pospago[[#This Row],[NUM_TELEFONICO]]&amp;"POSPAGOSI"</f>
        <v>958709755POSPAGOSI</v>
      </c>
      <c r="AZ16" s="18" t="str">
        <f>VLOOKUP(Pospago[[#This Row],[NOM_PLAZA_FINAL]],[1]!Locales[#Data],3,0)</f>
        <v>TIENDA RECREO</v>
      </c>
      <c r="BA16" s="18" t="str">
        <f>IFERROR(VLOOKUP(Pospago[[#This Row],[USUARIO]],[1]!Personal[#Data],6,0),"EJECUTIVO NO REGISTRADO")</f>
        <v>CHICAIZA TOAPANTA ALEX DANILO</v>
      </c>
      <c r="BB16" s="18" t="str">
        <f>Pospago[[#This Row],[TIPO_MOVIMIENTO]]&amp;" "&amp;Pospago[[#This Row],[FORMA_PAGO_FINAL]]</f>
        <v>TRANSFERENCIAS PAGO EN CAJA</v>
      </c>
      <c r="BC16" s="18">
        <f>DAY(Pospago[[#This Row],[FECHA_ALTA]])</f>
        <v>6</v>
      </c>
      <c r="BD16" s="18">
        <f>IF(Pospago[[#This Row],[TARIFA_BASICA]]=11.42,1,0)</f>
        <v>1</v>
      </c>
      <c r="BE16" s="18">
        <f>IF(Pospago[[#This Row],[PLANES TELEVENTAS]]="SI",1,0)</f>
        <v>0</v>
      </c>
      <c r="BF16" s="18">
        <f>1</f>
        <v>1</v>
      </c>
      <c r="BG16" s="18">
        <f>IF(OR(Pospago[[#This Row],[TARIFA_BASICA]]=11.42,Pospago[[#This Row],[PLANES TELEVENTAS]]="SI"),1,0)</f>
        <v>1</v>
      </c>
      <c r="BH16" s="18" t="str">
        <f>IF(MID(Pospago[[#This Row],[PlanDesc]],1,4) = "PLAN","POSPAGO",IF(MID(Pospago[[#This Row],[PlanDesc]],1,4)="FULL","FULL MEGAS","PREVIOPAGO"))</f>
        <v>PREVIOPAGO</v>
      </c>
      <c r="BI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6" s="21">
        <f>Pospago[[#This Row],[TARIFA_BASICA]]*1.5</f>
        <v>17.13</v>
      </c>
      <c r="BN16" t="s">
        <v>253</v>
      </c>
      <c r="BO16" s="24" t="s">
        <v>140</v>
      </c>
      <c r="BP16" s="30" t="str">
        <f>UnitariosPospago[[#This Row],[TIENDA]]&amp;UnitariosPospago[[#This Row],[TIPO ALTA]]</f>
        <v>TIENDA CUENCA REMIGIOTRANSFERENCIAS DOMICILIADO</v>
      </c>
      <c r="BQ16" t="s">
        <v>141</v>
      </c>
      <c r="BR16" s="25">
        <f>INDEX(MetaTM,MATCH(UnitariosPospago[[#This Row],[TIENDA]],MetaTiendaTM,0),MATCH(UnitariosPospago[[#This Row],[CRUCE]],MetaTituloTM,0))</f>
        <v>73</v>
      </c>
      <c r="BS16" s="26">
        <f>AVERAGEIFS(Pospago[COMISION UPFRONT],Pospago[LOCALES],UnitariosPospago[[#This Row],[TIENDA]],Pospago[TIPO],UnitariosPospago[[#This Row],[TIPO ALTA]])</f>
        <v>5.8932352941176473</v>
      </c>
      <c r="BT16" s="27">
        <f>UnitariosPospago[[#This Row],[MetaTM]]*UnitariosPospago[[#This Row],[PROM. UNI TB]]</f>
        <v>430.20617647058828</v>
      </c>
      <c r="BU16" s="26">
        <f>AVERAGEIFS(Pospago[COMISION BC],Pospago[LOCALES],UnitariosPospago[[#This Row],[TIENDA]],Pospago[TIPO],UnitariosPospago[[#This Row],[TIPO ALTA]])</f>
        <v>7.0411764705882351</v>
      </c>
      <c r="BV16" s="28">
        <f>UnitariosPospago[[#This Row],[PROM. UNI BCM]]*UnitariosPospago[[#This Row],[MetaTM]]</f>
        <v>514.00588235294117</v>
      </c>
      <c r="BW16" s="26">
        <f>AVERAGEIFS(Pospago[COMISION BF],Pospago[LOCALES],UnitariosPospago[[#This Row],[TIENDA]],Pospago[TIPO],UnitariosPospago[[#This Row],[TIPO ALTA]])</f>
        <v>20.348382352941172</v>
      </c>
      <c r="BX16" s="29">
        <f>UnitariosPospago[[#This Row],[PROM. UNI BFQ]]*UnitariosPospago[[#This Row],[MetaTM]]</f>
        <v>1485.4319117647055</v>
      </c>
    </row>
    <row r="17" spans="1:76" x14ac:dyDescent="0.25">
      <c r="A17" s="18" t="s">
        <v>154</v>
      </c>
      <c r="B17" s="18" t="s">
        <v>264</v>
      </c>
      <c r="C17" s="18" t="s">
        <v>265</v>
      </c>
      <c r="D17" s="19">
        <v>44907</v>
      </c>
      <c r="E17" s="18" t="s">
        <v>67</v>
      </c>
      <c r="F17" s="18" t="s">
        <v>266</v>
      </c>
      <c r="G17" s="18" t="s">
        <v>267</v>
      </c>
      <c r="H17" s="18" t="s">
        <v>159</v>
      </c>
      <c r="I17" s="18" t="s">
        <v>194</v>
      </c>
      <c r="J17" s="18" t="s">
        <v>268</v>
      </c>
      <c r="K17" s="18" t="s">
        <v>95</v>
      </c>
      <c r="L17" s="20" t="s">
        <v>269</v>
      </c>
      <c r="M17" s="18" t="s">
        <v>75</v>
      </c>
      <c r="N17" s="20" t="s">
        <v>270</v>
      </c>
      <c r="O17" s="18" t="s">
        <v>164</v>
      </c>
      <c r="P17" s="18" t="s">
        <v>78</v>
      </c>
      <c r="Q17" s="19">
        <v>44914</v>
      </c>
      <c r="R17" s="21">
        <v>14.28</v>
      </c>
      <c r="S17" s="18" t="s">
        <v>79</v>
      </c>
      <c r="T17" s="18" t="s">
        <v>232</v>
      </c>
      <c r="U17" s="18" t="s">
        <v>83</v>
      </c>
      <c r="V17" s="18" t="s">
        <v>95</v>
      </c>
      <c r="W17" s="18" t="s">
        <v>95</v>
      </c>
      <c r="X17" s="18" t="s">
        <v>84</v>
      </c>
      <c r="Y17" s="18" t="s">
        <v>85</v>
      </c>
      <c r="Z17" s="18" t="s">
        <v>86</v>
      </c>
      <c r="AA17" s="18" t="s">
        <v>87</v>
      </c>
      <c r="AB17" s="18" t="s">
        <v>271</v>
      </c>
      <c r="AC17" s="18" t="s">
        <v>272</v>
      </c>
      <c r="AD17" s="18" t="s">
        <v>85</v>
      </c>
      <c r="AE17" s="18" t="s">
        <v>90</v>
      </c>
      <c r="AF17" s="18" t="s">
        <v>235</v>
      </c>
      <c r="AG17" s="18" t="s">
        <v>139</v>
      </c>
      <c r="AH17" s="18" t="s">
        <v>165</v>
      </c>
      <c r="AI17" s="18" t="s">
        <v>94</v>
      </c>
      <c r="AJ17" s="19">
        <v>44907</v>
      </c>
      <c r="AK17" s="22" t="s">
        <v>95</v>
      </c>
      <c r="AL17" s="18" t="s">
        <v>95</v>
      </c>
      <c r="AM17" s="18" t="s">
        <v>95</v>
      </c>
      <c r="AN17" s="18" t="s">
        <v>95</v>
      </c>
      <c r="AO17" s="18" t="s">
        <v>95</v>
      </c>
      <c r="AP17" s="18" t="s">
        <v>95</v>
      </c>
      <c r="AQ17" s="18" t="s">
        <v>95</v>
      </c>
      <c r="AR17" s="18" t="s">
        <v>95</v>
      </c>
      <c r="AS17" s="18" t="s">
        <v>83</v>
      </c>
      <c r="AT17" s="18" t="s">
        <v>81</v>
      </c>
      <c r="AU17" s="18" t="s">
        <v>81</v>
      </c>
      <c r="AV17" s="18" t="s">
        <v>95</v>
      </c>
      <c r="AW17" s="18" t="s">
        <v>95</v>
      </c>
      <c r="AX17" s="18"/>
      <c r="AY17" s="18" t="str">
        <f>Pospago[[#This Row],[NUM_TELEFONICO]]&amp;"POSPAGOSI"</f>
        <v>958710017POSPAGOSI</v>
      </c>
      <c r="AZ17" s="18" t="str">
        <f>VLOOKUP(Pospago[[#This Row],[NOM_PLAZA_FINAL]],[1]!Locales[#Data],3,0)</f>
        <v>TIENDA CONDADO</v>
      </c>
      <c r="BA17" s="18" t="str">
        <f>IFERROR(VLOOKUP(Pospago[[#This Row],[USUARIO]],[1]!Personal[#Data],6,0),"EJECUTIVO NO REGISTRADO")</f>
        <v>CASTILLO AGUIRRE EDWIN MODESTO</v>
      </c>
      <c r="BB17" s="18" t="str">
        <f>Pospago[[#This Row],[TIPO_MOVIMIENTO]]&amp;" "&amp;Pospago[[#This Row],[FORMA_PAGO_FINAL]]</f>
        <v>TRANSFERENCIAS DOMICILIADO</v>
      </c>
      <c r="BC17" s="18">
        <f>DAY(Pospago[[#This Row],[FECHA_ALTA]])</f>
        <v>12</v>
      </c>
      <c r="BD17" s="18">
        <f>IF(Pospago[[#This Row],[TARIFA_BASICA]]=11.42,1,0)</f>
        <v>0</v>
      </c>
      <c r="BE17" s="18">
        <f>IF(Pospago[[#This Row],[PLANES TELEVENTAS]]="SI",1,0)</f>
        <v>1</v>
      </c>
      <c r="BF17" s="18">
        <f>1</f>
        <v>1</v>
      </c>
      <c r="BG17" s="18">
        <f>IF(OR(Pospago[[#This Row],[TARIFA_BASICA]]=11.42,Pospago[[#This Row],[PLANES TELEVENTAS]]="SI"),1,0)</f>
        <v>1</v>
      </c>
      <c r="BH17" s="18" t="str">
        <f>IF(MID(Pospago[[#This Row],[PlanDesc]],1,4) = "PLAN","POSPAGO",IF(MID(Pospago[[#This Row],[PlanDesc]],1,4)="FULL","FULL MEGAS","PREVIOPAGO"))</f>
        <v>PREVIOPAGO</v>
      </c>
      <c r="BI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7" s="21">
        <f>Pospago[[#This Row],[TARIFA_BASICA]]*1.5</f>
        <v>21.419999999999998</v>
      </c>
      <c r="BN17" t="s">
        <v>253</v>
      </c>
      <c r="BO17" s="24" t="s">
        <v>152</v>
      </c>
      <c r="BP17" s="30" t="str">
        <f>UnitariosPospago[[#This Row],[TIENDA]]&amp;UnitariosPospago[[#This Row],[TIPO ALTA]]</f>
        <v>TIENDA CUENCA REMIGIOALTAS PAGO EN CAJA</v>
      </c>
      <c r="BQ17" t="s">
        <v>153</v>
      </c>
      <c r="BR17" s="25">
        <f>INDEX(MetaTM,MATCH(UnitariosPospago[[#This Row],[TIENDA]],MetaTiendaTM,0),MATCH(UnitariosPospago[[#This Row],[CRUCE]],MetaTituloTM,0))</f>
        <v>21</v>
      </c>
      <c r="BS17" s="26">
        <f>AVERAGEIFS(Pospago[COMISION UPFRONT],Pospago[LOCALES],UnitariosPospago[[#This Row],[TIENDA]],Pospago[TIPO],UnitariosPospago[[#This Row],[TIPO ALTA]])</f>
        <v>11.588181818181818</v>
      </c>
      <c r="BT17" s="27">
        <f>UnitariosPospago[[#This Row],[MetaTM]]*UnitariosPospago[[#This Row],[PROM. UNI TB]]</f>
        <v>243.35181818181817</v>
      </c>
      <c r="BU17" s="26">
        <f>AVERAGEIFS(Pospago[COMISION BC],Pospago[LOCALES],UnitariosPospago[[#This Row],[TIENDA]],Pospago[TIPO],UnitariosPospago[[#This Row],[TIPO ALTA]])</f>
        <v>7.6363636363636367</v>
      </c>
      <c r="BV17" s="28">
        <f>UnitariosPospago[[#This Row],[PROM. UNI BCM]]*UnitariosPospago[[#This Row],[MetaTM]]</f>
        <v>160.36363636363637</v>
      </c>
      <c r="BW17" s="26">
        <f>AVERAGEIFS(Pospago[COMISION BF],Pospago[LOCALES],UnitariosPospago[[#This Row],[TIENDA]],Pospago[TIPO],UnitariosPospago[[#This Row],[TIPO ALTA]])</f>
        <v>22.493181818181817</v>
      </c>
      <c r="BX17" s="29">
        <f>UnitariosPospago[[#This Row],[PROM. UNI BFQ]]*UnitariosPospago[[#This Row],[MetaTM]]</f>
        <v>472.35681818181814</v>
      </c>
    </row>
    <row r="18" spans="1:76" x14ac:dyDescent="0.25">
      <c r="A18" s="18" t="s">
        <v>64</v>
      </c>
      <c r="B18" s="18" t="s">
        <v>273</v>
      </c>
      <c r="C18" s="18" t="s">
        <v>274</v>
      </c>
      <c r="D18" s="19">
        <v>44905</v>
      </c>
      <c r="E18" s="18" t="s">
        <v>67</v>
      </c>
      <c r="F18" s="18" t="s">
        <v>275</v>
      </c>
      <c r="G18" s="18" t="s">
        <v>276</v>
      </c>
      <c r="H18" s="18" t="s">
        <v>70</v>
      </c>
      <c r="I18" s="18" t="s">
        <v>194</v>
      </c>
      <c r="J18" s="18" t="s">
        <v>195</v>
      </c>
      <c r="K18" s="18" t="s">
        <v>277</v>
      </c>
      <c r="L18" s="20" t="s">
        <v>278</v>
      </c>
      <c r="M18" s="18" t="s">
        <v>75</v>
      </c>
      <c r="N18" s="20" t="s">
        <v>279</v>
      </c>
      <c r="O18" s="18" t="s">
        <v>77</v>
      </c>
      <c r="P18" s="18" t="s">
        <v>78</v>
      </c>
      <c r="Q18" s="19">
        <v>44914</v>
      </c>
      <c r="R18" s="21">
        <v>14.28</v>
      </c>
      <c r="S18" s="18" t="s">
        <v>79</v>
      </c>
      <c r="T18" s="18" t="s">
        <v>232</v>
      </c>
      <c r="U18" s="18" t="s">
        <v>83</v>
      </c>
      <c r="V18" s="18" t="s">
        <v>95</v>
      </c>
      <c r="W18" s="18" t="s">
        <v>83</v>
      </c>
      <c r="X18" s="18" t="s">
        <v>118</v>
      </c>
      <c r="Y18" s="18" t="s">
        <v>85</v>
      </c>
      <c r="Z18" s="18" t="s">
        <v>86</v>
      </c>
      <c r="AA18" s="18" t="s">
        <v>119</v>
      </c>
      <c r="AB18" s="18" t="s">
        <v>280</v>
      </c>
      <c r="AC18" s="18" t="s">
        <v>281</v>
      </c>
      <c r="AD18" s="18" t="s">
        <v>85</v>
      </c>
      <c r="AE18" s="18" t="s">
        <v>90</v>
      </c>
      <c r="AF18" s="18" t="s">
        <v>235</v>
      </c>
      <c r="AG18" s="18" t="s">
        <v>139</v>
      </c>
      <c r="AH18" s="18" t="s">
        <v>93</v>
      </c>
      <c r="AI18" s="18" t="s">
        <v>94</v>
      </c>
      <c r="AJ18" s="19">
        <v>44905</v>
      </c>
      <c r="AK18" s="22" t="s">
        <v>95</v>
      </c>
      <c r="AL18" s="18" t="s">
        <v>95</v>
      </c>
      <c r="AM18" s="18" t="s">
        <v>95</v>
      </c>
      <c r="AN18" s="18" t="s">
        <v>95</v>
      </c>
      <c r="AO18" s="18" t="s">
        <v>95</v>
      </c>
      <c r="AP18" s="18" t="s">
        <v>95</v>
      </c>
      <c r="AQ18" s="18" t="s">
        <v>95</v>
      </c>
      <c r="AR18" s="18" t="s">
        <v>95</v>
      </c>
      <c r="AS18" s="18" t="s">
        <v>83</v>
      </c>
      <c r="AT18" s="18" t="s">
        <v>81</v>
      </c>
      <c r="AU18" s="18" t="s">
        <v>81</v>
      </c>
      <c r="AV18" s="18" t="s">
        <v>95</v>
      </c>
      <c r="AW18" s="18" t="s">
        <v>95</v>
      </c>
      <c r="AX18" s="18"/>
      <c r="AY18" s="18" t="str">
        <f>Pospago[[#This Row],[NUM_TELEFONICO]]&amp;"POSPAGOSI"</f>
        <v>958721790POSPAGOSI</v>
      </c>
      <c r="AZ18" s="18" t="str">
        <f>VLOOKUP(Pospago[[#This Row],[NOM_PLAZA_FINAL]],[1]!Locales[#Data],3,0)</f>
        <v>TIENDA CONDADO</v>
      </c>
      <c r="BA18" s="18" t="str">
        <f>IFERROR(VLOOKUP(Pospago[[#This Row],[USUARIO]],[1]!Personal[#Data],6,0),"EJECUTIVO NO REGISTRADO")</f>
        <v>GUACHAMIN CAZA HUGO ADRIAN</v>
      </c>
      <c r="BB18" s="18" t="str">
        <f>Pospago[[#This Row],[TIPO_MOVIMIENTO]]&amp;" "&amp;Pospago[[#This Row],[FORMA_PAGO_FINAL]]</f>
        <v>ALTAS PAGO EN CAJA</v>
      </c>
      <c r="BC18" s="18">
        <f>DAY(Pospago[[#This Row],[FECHA_ALTA]])</f>
        <v>10</v>
      </c>
      <c r="BD18" s="18">
        <f>IF(Pospago[[#This Row],[TARIFA_BASICA]]=11.42,1,0)</f>
        <v>0</v>
      </c>
      <c r="BE18" s="18">
        <f>IF(Pospago[[#This Row],[PLANES TELEVENTAS]]="SI",1,0)</f>
        <v>1</v>
      </c>
      <c r="BF18" s="18">
        <f>1</f>
        <v>1</v>
      </c>
      <c r="BG18" s="18">
        <f>IF(OR(Pospago[[#This Row],[TARIFA_BASICA]]=11.42,Pospago[[#This Row],[PLANES TELEVENTAS]]="SI"),1,0)</f>
        <v>1</v>
      </c>
      <c r="BH18" s="18" t="str">
        <f>IF(MID(Pospago[[#This Row],[PlanDesc]],1,4) = "PLAN","POSPAGO",IF(MID(Pospago[[#This Row],[PlanDesc]],1,4)="FULL","FULL MEGAS","PREVIOPAGO"))</f>
        <v>PREVIOPAGO</v>
      </c>
      <c r="BI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" s="21">
        <f>Pospago[[#This Row],[TARIFA_BASICA]]*1.5</f>
        <v>21.419999999999998</v>
      </c>
      <c r="BN18" t="s">
        <v>253</v>
      </c>
      <c r="BO18" s="24" t="s">
        <v>166</v>
      </c>
      <c r="BP18" s="30" t="str">
        <f>UnitariosPospago[[#This Row],[TIENDA]]&amp;UnitariosPospago[[#This Row],[TIPO ALTA]]</f>
        <v>TIENDA CUENCA REMIGIOTRANSFERENCIAS PAGO EN CAJA</v>
      </c>
      <c r="BQ18" t="s">
        <v>167</v>
      </c>
      <c r="BR18" s="25">
        <f>INDEX(MetaTM,MATCH(UnitariosPospago[[#This Row],[TIENDA]],MetaTiendaTM,0),MATCH(UnitariosPospago[[#This Row],[CRUCE]],MetaTituloTM,0))</f>
        <v>24</v>
      </c>
      <c r="BS18" s="26">
        <f>AVERAGEIFS(Pospago[COMISION UPFRONT],Pospago[LOCALES],UnitariosPospago[[#This Row],[TIENDA]],Pospago[TIPO],UnitariosPospago[[#This Row],[TIPO ALTA]])</f>
        <v>4.623636363636364</v>
      </c>
      <c r="BT18" s="27">
        <f>UnitariosPospago[[#This Row],[MetaTM]]*UnitariosPospago[[#This Row],[PROM. UNI TB]]</f>
        <v>110.96727272727273</v>
      </c>
      <c r="BU18" s="26">
        <f>AVERAGEIFS(Pospago[COMISION BC],Pospago[LOCALES],UnitariosPospago[[#This Row],[TIENDA]],Pospago[TIPO],UnitariosPospago[[#This Row],[TIPO ALTA]])</f>
        <v>6.8727272727272721</v>
      </c>
      <c r="BV18" s="28">
        <f>UnitariosPospago[[#This Row],[PROM. UNI BCM]]*UnitariosPospago[[#This Row],[MetaTM]]</f>
        <v>164.94545454545454</v>
      </c>
      <c r="BW18" s="26">
        <f>AVERAGEIFS(Pospago[COMISION BF],Pospago[LOCALES],UnitariosPospago[[#This Row],[TIENDA]],Pospago[TIPO],UnitariosPospago[[#This Row],[TIPO ALTA]])</f>
        <v>20.543181818181814</v>
      </c>
      <c r="BX18" s="29">
        <f>UnitariosPospago[[#This Row],[PROM. UNI BFQ]]*UnitariosPospago[[#This Row],[MetaTM]]</f>
        <v>493.03636363636355</v>
      </c>
    </row>
    <row r="19" spans="1:76" x14ac:dyDescent="0.25">
      <c r="A19" s="18" t="s">
        <v>64</v>
      </c>
      <c r="B19" s="18" t="s">
        <v>282</v>
      </c>
      <c r="C19" s="18" t="s">
        <v>283</v>
      </c>
      <c r="D19" s="19">
        <v>44911</v>
      </c>
      <c r="E19" s="18" t="s">
        <v>67</v>
      </c>
      <c r="F19" s="18" t="s">
        <v>284</v>
      </c>
      <c r="G19" s="18" t="s">
        <v>285</v>
      </c>
      <c r="H19" s="18" t="s">
        <v>70</v>
      </c>
      <c r="I19" s="18" t="s">
        <v>160</v>
      </c>
      <c r="J19" s="18" t="s">
        <v>195</v>
      </c>
      <c r="K19" s="18" t="s">
        <v>95</v>
      </c>
      <c r="L19" s="20" t="s">
        <v>286</v>
      </c>
      <c r="M19" s="18" t="s">
        <v>287</v>
      </c>
      <c r="N19" s="20" t="s">
        <v>288</v>
      </c>
      <c r="O19" s="18" t="s">
        <v>77</v>
      </c>
      <c r="P19" s="18" t="s">
        <v>78</v>
      </c>
      <c r="Q19" s="19">
        <v>44914</v>
      </c>
      <c r="R19" s="21">
        <v>14.28</v>
      </c>
      <c r="S19" s="18" t="s">
        <v>79</v>
      </c>
      <c r="T19" s="18" t="s">
        <v>80</v>
      </c>
      <c r="U19" s="18" t="s">
        <v>83</v>
      </c>
      <c r="V19" s="18" t="s">
        <v>95</v>
      </c>
      <c r="W19" s="18" t="s">
        <v>83</v>
      </c>
      <c r="X19" s="18" t="s">
        <v>84</v>
      </c>
      <c r="Y19" s="18" t="s">
        <v>85</v>
      </c>
      <c r="Z19" s="18" t="s">
        <v>86</v>
      </c>
      <c r="AA19" s="18" t="s">
        <v>87</v>
      </c>
      <c r="AB19" s="18" t="s">
        <v>289</v>
      </c>
      <c r="AC19" s="18" t="s">
        <v>290</v>
      </c>
      <c r="AD19" s="18" t="s">
        <v>85</v>
      </c>
      <c r="AE19" s="18" t="s">
        <v>90</v>
      </c>
      <c r="AF19" s="18" t="s">
        <v>91</v>
      </c>
      <c r="AG19" s="18" t="s">
        <v>92</v>
      </c>
      <c r="AH19" s="18" t="s">
        <v>93</v>
      </c>
      <c r="AI19" s="18" t="s">
        <v>94</v>
      </c>
      <c r="AJ19" s="19">
        <v>44911</v>
      </c>
      <c r="AK19" s="22">
        <v>44911</v>
      </c>
      <c r="AL19" s="18" t="s">
        <v>291</v>
      </c>
      <c r="AM19" s="18" t="s">
        <v>292</v>
      </c>
      <c r="AN19" s="18" t="s">
        <v>293</v>
      </c>
      <c r="AO19" s="18" t="s">
        <v>294</v>
      </c>
      <c r="AP19" s="18">
        <v>1</v>
      </c>
      <c r="AQ19" s="18">
        <v>125</v>
      </c>
      <c r="AR19" s="18" t="s">
        <v>295</v>
      </c>
      <c r="AS19" s="18" t="s">
        <v>81</v>
      </c>
      <c r="AT19" s="18" t="s">
        <v>83</v>
      </c>
      <c r="AU19" s="18" t="s">
        <v>81</v>
      </c>
      <c r="AV19" s="18" t="s">
        <v>95</v>
      </c>
      <c r="AW19" s="18" t="s">
        <v>95</v>
      </c>
      <c r="AX19" s="18"/>
      <c r="AY19" s="18" t="str">
        <f>Pospago[[#This Row],[NUM_TELEFONICO]]&amp;"POSPAGOSI"</f>
        <v>958726519POSPAGOSI</v>
      </c>
      <c r="AZ19" s="18" t="str">
        <f>VLOOKUP(Pospago[[#This Row],[NOM_PLAZA_FINAL]],[1]!Locales[#Data],3,0)</f>
        <v>TIENDA CUENCA CENTRO</v>
      </c>
      <c r="BA19" s="18" t="str">
        <f>IFERROR(VLOOKUP(Pospago[[#This Row],[USUARIO]],[1]!Personal[#Data],6,0),"EJECUTIVO NO REGISTRADO")</f>
        <v>CALLE CHACA JORGE VINICIO</v>
      </c>
      <c r="BB19" s="18" t="str">
        <f>Pospago[[#This Row],[TIPO_MOVIMIENTO]]&amp;" "&amp;Pospago[[#This Row],[FORMA_PAGO_FINAL]]</f>
        <v>ALTAS DOMICILIADO</v>
      </c>
      <c r="BC19" s="18">
        <f>DAY(Pospago[[#This Row],[FECHA_ALTA]])</f>
        <v>16</v>
      </c>
      <c r="BD19" s="18">
        <f>IF(Pospago[[#This Row],[TARIFA_BASICA]]=11.42,1,0)</f>
        <v>0</v>
      </c>
      <c r="BE19" s="18">
        <f>IF(Pospago[[#This Row],[PLANES TELEVENTAS]]="SI",1,0)</f>
        <v>0</v>
      </c>
      <c r="BF19" s="18">
        <f>1</f>
        <v>1</v>
      </c>
      <c r="BG19" s="18">
        <f>IF(OR(Pospago[[#This Row],[TARIFA_BASICA]]=11.42,Pospago[[#This Row],[PLANES TELEVENTAS]]="SI"),1,0)</f>
        <v>0</v>
      </c>
      <c r="BH19" s="18" t="str">
        <f>IF(MID(Pospago[[#This Row],[PlanDesc]],1,4) = "PLAN","POSPAGO",IF(MID(Pospago[[#This Row],[PlanDesc]],1,4)="FULL","FULL MEGAS","PREVIOPAGO"))</f>
        <v>PREVIOPAGO</v>
      </c>
      <c r="BI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9" s="21">
        <f>Pospago[[#This Row],[TARIFA_BASICA]]*1.5</f>
        <v>21.419999999999998</v>
      </c>
      <c r="BN19" t="s">
        <v>296</v>
      </c>
      <c r="BO19" s="23" t="s">
        <v>124</v>
      </c>
      <c r="BP19" s="31" t="str">
        <f>UnitariosPospago[[#This Row],[TIENDA]]&amp;UnitariosPospago[[#This Row],[TIPO ALTA]]</f>
        <v>TIENDA MACHALAALTAS DOMICILIADO</v>
      </c>
      <c r="BQ19" t="s">
        <v>125</v>
      </c>
      <c r="BR19" s="25">
        <f>INDEX(MetaTM,MATCH(UnitariosPospago[[#This Row],[TIENDA]],MetaTiendaTM,0),MATCH(UnitariosPospago[[#This Row],[CRUCE]],MetaTituloTM,0))</f>
        <v>86</v>
      </c>
      <c r="BS19" s="26">
        <f>AVERAGEIFS(Pospago[COMISION UPFRONT],Pospago[LOCALES],UnitariosPospago[[#This Row],[TIENDA]],Pospago[TIPO],UnitariosPospago[[#This Row],[TIPO ALTA]])</f>
        <v>18.92941176470589</v>
      </c>
      <c r="BT19" s="27">
        <f>UnitariosPospago[[#This Row],[MetaTM]]*UnitariosPospago[[#This Row],[PROM. UNI TB]]</f>
        <v>1627.9294117647064</v>
      </c>
      <c r="BU19" s="26">
        <f>AVERAGEIFS(Pospago[COMISION BC],Pospago[LOCALES],UnitariosPospago[[#This Row],[TIENDA]],Pospago[TIPO],UnitariosPospago[[#This Row],[TIPO ALTA]])</f>
        <v>7.9058823529411697</v>
      </c>
      <c r="BV19" s="28">
        <f>UnitariosPospago[[#This Row],[PROM. UNI BCM]]*UnitariosPospago[[#This Row],[MetaTM]]</f>
        <v>679.90588235294058</v>
      </c>
      <c r="BW19" s="26">
        <f>AVERAGEIFS(Pospago[COMISION BF],Pospago[LOCALES],UnitariosPospago[[#This Row],[TIENDA]],Pospago[TIPO],UnitariosPospago[[#This Row],[TIPO ALTA]])</f>
        <v>23.320882352941176</v>
      </c>
      <c r="BX19" s="29">
        <f>UnitariosPospago[[#This Row],[PROM. UNI BFQ]]*UnitariosPospago[[#This Row],[MetaTM]]</f>
        <v>2005.5958823529411</v>
      </c>
    </row>
    <row r="20" spans="1:76" x14ac:dyDescent="0.25">
      <c r="A20" s="18" t="s">
        <v>64</v>
      </c>
      <c r="B20" s="18" t="s">
        <v>297</v>
      </c>
      <c r="C20" s="18" t="s">
        <v>298</v>
      </c>
      <c r="D20" s="19">
        <v>44907</v>
      </c>
      <c r="E20" s="18" t="s">
        <v>67</v>
      </c>
      <c r="F20" s="18" t="s">
        <v>299</v>
      </c>
      <c r="G20" s="18" t="s">
        <v>300</v>
      </c>
      <c r="H20" s="18" t="s">
        <v>70</v>
      </c>
      <c r="I20" s="18" t="s">
        <v>160</v>
      </c>
      <c r="J20" s="18" t="s">
        <v>195</v>
      </c>
      <c r="K20" s="18" t="s">
        <v>132</v>
      </c>
      <c r="L20" s="20" t="s">
        <v>301</v>
      </c>
      <c r="M20" s="18" t="s">
        <v>75</v>
      </c>
      <c r="N20" s="20" t="s">
        <v>302</v>
      </c>
      <c r="O20" s="18" t="s">
        <v>77</v>
      </c>
      <c r="P20" s="18" t="s">
        <v>78</v>
      </c>
      <c r="Q20" s="19">
        <v>44914</v>
      </c>
      <c r="R20" s="21">
        <v>14.28</v>
      </c>
      <c r="S20" s="18" t="s">
        <v>79</v>
      </c>
      <c r="T20" s="18" t="s">
        <v>174</v>
      </c>
      <c r="U20" s="18" t="s">
        <v>83</v>
      </c>
      <c r="V20" s="18" t="s">
        <v>95</v>
      </c>
      <c r="W20" s="18" t="s">
        <v>83</v>
      </c>
      <c r="X20" s="18" t="s">
        <v>118</v>
      </c>
      <c r="Y20" s="18" t="s">
        <v>85</v>
      </c>
      <c r="Z20" s="18" t="s">
        <v>86</v>
      </c>
      <c r="AA20" s="18" t="s">
        <v>119</v>
      </c>
      <c r="AB20" s="18" t="s">
        <v>303</v>
      </c>
      <c r="AC20" s="18" t="s">
        <v>304</v>
      </c>
      <c r="AD20" s="18" t="s">
        <v>85</v>
      </c>
      <c r="AE20" s="18" t="s">
        <v>90</v>
      </c>
      <c r="AF20" s="18" t="s">
        <v>177</v>
      </c>
      <c r="AG20" s="18" t="s">
        <v>139</v>
      </c>
      <c r="AH20" s="18" t="s">
        <v>93</v>
      </c>
      <c r="AI20" s="18" t="s">
        <v>94</v>
      </c>
      <c r="AJ20" s="19">
        <v>44907</v>
      </c>
      <c r="AK20" s="22" t="s">
        <v>95</v>
      </c>
      <c r="AL20" s="18" t="s">
        <v>95</v>
      </c>
      <c r="AM20" s="18" t="s">
        <v>95</v>
      </c>
      <c r="AN20" s="18" t="s">
        <v>95</v>
      </c>
      <c r="AO20" s="18" t="s">
        <v>95</v>
      </c>
      <c r="AP20" s="18" t="s">
        <v>95</v>
      </c>
      <c r="AQ20" s="18" t="s">
        <v>95</v>
      </c>
      <c r="AR20" s="18" t="s">
        <v>95</v>
      </c>
      <c r="AS20" s="18" t="s">
        <v>83</v>
      </c>
      <c r="AT20" s="18" t="s">
        <v>83</v>
      </c>
      <c r="AU20" s="18" t="s">
        <v>81</v>
      </c>
      <c r="AV20" s="18" t="s">
        <v>95</v>
      </c>
      <c r="AW20" s="18" t="s">
        <v>95</v>
      </c>
      <c r="AX20" s="18"/>
      <c r="AY20" s="18" t="str">
        <f>Pospago[[#This Row],[NUM_TELEFONICO]]&amp;"POSPAGOSI"</f>
        <v>958735971POSPAGOSI</v>
      </c>
      <c r="AZ20" s="18" t="str">
        <f>VLOOKUP(Pospago[[#This Row],[NOM_PLAZA_FINAL]],[1]!Locales[#Data],3,0)</f>
        <v>TIENDA RECREO</v>
      </c>
      <c r="BA20" s="18" t="str">
        <f>IFERROR(VLOOKUP(Pospago[[#This Row],[USUARIO]],[1]!Personal[#Data],6,0),"EJECUTIVO NO REGISTRADO")</f>
        <v>CORDOVA GAIBOR JONATHAN HERNAN</v>
      </c>
      <c r="BB20" s="18" t="str">
        <f>Pospago[[#This Row],[TIPO_MOVIMIENTO]]&amp;" "&amp;Pospago[[#This Row],[FORMA_PAGO_FINAL]]</f>
        <v>ALTAS PAGO EN CAJA</v>
      </c>
      <c r="BC20" s="18">
        <f>DAY(Pospago[[#This Row],[FECHA_ALTA]])</f>
        <v>12</v>
      </c>
      <c r="BD20" s="18">
        <f>IF(Pospago[[#This Row],[TARIFA_BASICA]]=11.42,1,0)</f>
        <v>0</v>
      </c>
      <c r="BE20" s="18">
        <f>IF(Pospago[[#This Row],[PLANES TELEVENTAS]]="SI",1,0)</f>
        <v>0</v>
      </c>
      <c r="BF20" s="18">
        <f>1</f>
        <v>1</v>
      </c>
      <c r="BG20" s="18">
        <f>IF(OR(Pospago[[#This Row],[TARIFA_BASICA]]=11.42,Pospago[[#This Row],[PLANES TELEVENTAS]]="SI"),1,0)</f>
        <v>0</v>
      </c>
      <c r="BH20" s="18" t="str">
        <f>IF(MID(Pospago[[#This Row],[PlanDesc]],1,4) = "PLAN","POSPAGO",IF(MID(Pospago[[#This Row],[PlanDesc]],1,4)="FULL","FULL MEGAS","PREVIOPAGO"))</f>
        <v>PREVIOPAGO</v>
      </c>
      <c r="BI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" s="21">
        <f>Pospago[[#This Row],[TARIFA_BASICA]]*1.5</f>
        <v>21.419999999999998</v>
      </c>
      <c r="BN20" t="s">
        <v>296</v>
      </c>
      <c r="BO20" s="24" t="s">
        <v>140</v>
      </c>
      <c r="BP20" s="30" t="str">
        <f>UnitariosPospago[[#This Row],[TIENDA]]&amp;UnitariosPospago[[#This Row],[TIPO ALTA]]</f>
        <v>TIENDA MACHALATRANSFERENCIAS DOMICILIADO</v>
      </c>
      <c r="BQ20" t="s">
        <v>141</v>
      </c>
      <c r="BR20" s="25">
        <f>INDEX(MetaTM,MATCH(UnitariosPospago[[#This Row],[TIENDA]],MetaTiendaTM,0),MATCH(UnitariosPospago[[#This Row],[CRUCE]],MetaTituloTM,0))</f>
        <v>51</v>
      </c>
      <c r="BS20" s="26">
        <f>AVERAGEIFS(Pospago[COMISION UPFRONT],Pospago[LOCALES],UnitariosPospago[[#This Row],[TIENDA]],Pospago[TIPO],UnitariosPospago[[#This Row],[TIPO ALTA]])</f>
        <v>8.6334999999999962</v>
      </c>
      <c r="BT20" s="27">
        <f>UnitariosPospago[[#This Row],[MetaTM]]*UnitariosPospago[[#This Row],[PROM. UNI TB]]</f>
        <v>440.30849999999981</v>
      </c>
      <c r="BU20" s="26">
        <f>AVERAGEIFS(Pospago[COMISION BC],Pospago[LOCALES],UnitariosPospago[[#This Row],[TIENDA]],Pospago[TIPO],UnitariosPospago[[#This Row],[TIPO ALTA]])</f>
        <v>6.8249999999999984</v>
      </c>
      <c r="BV20" s="28">
        <f>UnitariosPospago[[#This Row],[PROM. UNI BCM]]*UnitariosPospago[[#This Row],[MetaTM]]</f>
        <v>348.07499999999993</v>
      </c>
      <c r="BW20" s="26">
        <f>AVERAGEIFS(Pospago[COMISION BF],Pospago[LOCALES],UnitariosPospago[[#This Row],[TIENDA]],Pospago[TIPO],UnitariosPospago[[#This Row],[TIPO ALTA]])</f>
        <v>21.643124999999998</v>
      </c>
      <c r="BX20" s="29">
        <f>UnitariosPospago[[#This Row],[PROM. UNI BFQ]]*UnitariosPospago[[#This Row],[MetaTM]]</f>
        <v>1103.7993749999998</v>
      </c>
    </row>
    <row r="21" spans="1:76" x14ac:dyDescent="0.25">
      <c r="A21" s="18" t="s">
        <v>64</v>
      </c>
      <c r="B21" s="18" t="s">
        <v>305</v>
      </c>
      <c r="C21" s="18" t="s">
        <v>306</v>
      </c>
      <c r="D21" s="19">
        <v>44905</v>
      </c>
      <c r="E21" s="18" t="s">
        <v>67</v>
      </c>
      <c r="F21" s="18" t="s">
        <v>307</v>
      </c>
      <c r="G21" s="18" t="s">
        <v>308</v>
      </c>
      <c r="H21" s="18" t="s">
        <v>70</v>
      </c>
      <c r="I21" s="18" t="s">
        <v>160</v>
      </c>
      <c r="J21" s="18" t="s">
        <v>195</v>
      </c>
      <c r="K21" s="18" t="s">
        <v>132</v>
      </c>
      <c r="L21" s="20" t="s">
        <v>309</v>
      </c>
      <c r="M21" s="18" t="s">
        <v>75</v>
      </c>
      <c r="N21" s="20" t="s">
        <v>310</v>
      </c>
      <c r="O21" s="18" t="s">
        <v>311</v>
      </c>
      <c r="P21" s="18" t="s">
        <v>78</v>
      </c>
      <c r="Q21" s="19">
        <v>44914</v>
      </c>
      <c r="R21" s="21">
        <v>14.28</v>
      </c>
      <c r="S21" s="18" t="s">
        <v>79</v>
      </c>
      <c r="T21" s="18" t="s">
        <v>135</v>
      </c>
      <c r="U21" s="18" t="s">
        <v>83</v>
      </c>
      <c r="V21" s="18" t="s">
        <v>95</v>
      </c>
      <c r="W21" s="18" t="s">
        <v>83</v>
      </c>
      <c r="X21" s="18" t="s">
        <v>118</v>
      </c>
      <c r="Y21" s="18" t="s">
        <v>85</v>
      </c>
      <c r="Z21" s="18" t="s">
        <v>86</v>
      </c>
      <c r="AA21" s="18" t="s">
        <v>119</v>
      </c>
      <c r="AB21" s="18" t="s">
        <v>136</v>
      </c>
      <c r="AC21" s="18" t="s">
        <v>137</v>
      </c>
      <c r="AD21" s="18" t="s">
        <v>85</v>
      </c>
      <c r="AE21" s="18" t="s">
        <v>90</v>
      </c>
      <c r="AF21" s="18" t="s">
        <v>138</v>
      </c>
      <c r="AG21" s="18" t="s">
        <v>139</v>
      </c>
      <c r="AH21" s="18" t="s">
        <v>93</v>
      </c>
      <c r="AI21" s="18" t="s">
        <v>94</v>
      </c>
      <c r="AJ21" s="19">
        <v>44905</v>
      </c>
      <c r="AK21" s="22" t="s">
        <v>95</v>
      </c>
      <c r="AL21" s="18" t="s">
        <v>95</v>
      </c>
      <c r="AM21" s="18" t="s">
        <v>95</v>
      </c>
      <c r="AN21" s="18" t="s">
        <v>95</v>
      </c>
      <c r="AO21" s="18" t="s">
        <v>95</v>
      </c>
      <c r="AP21" s="18" t="s">
        <v>95</v>
      </c>
      <c r="AQ21" s="18" t="s">
        <v>95</v>
      </c>
      <c r="AR21" s="18" t="s">
        <v>95</v>
      </c>
      <c r="AS21" s="18" t="s">
        <v>83</v>
      </c>
      <c r="AT21" s="18" t="s">
        <v>83</v>
      </c>
      <c r="AU21" s="18" t="s">
        <v>81</v>
      </c>
      <c r="AV21" s="18" t="s">
        <v>95</v>
      </c>
      <c r="AW21" s="18" t="s">
        <v>95</v>
      </c>
      <c r="AX21" s="18"/>
      <c r="AY21" s="18" t="str">
        <f>Pospago[[#This Row],[NUM_TELEFONICO]]&amp;"POSPAGOSI"</f>
        <v>958737469POSPAGOSI</v>
      </c>
      <c r="AZ21" s="18" t="str">
        <f>VLOOKUP(Pospago[[#This Row],[NOM_PLAZA_FINAL]],[1]!Locales[#Data],3,0)</f>
        <v>TIENDA AMERICA</v>
      </c>
      <c r="BA21" s="18" t="str">
        <f>IFERROR(VLOOKUP(Pospago[[#This Row],[USUARIO]],[1]!Personal[#Data],6,0),"EJECUTIVO NO REGISTRADO")</f>
        <v>SALVATIERRA GUERRA JULIAN ENRIQUE</v>
      </c>
      <c r="BB21" s="18" t="str">
        <f>Pospago[[#This Row],[TIPO_MOVIMIENTO]]&amp;" "&amp;Pospago[[#This Row],[FORMA_PAGO_FINAL]]</f>
        <v>ALTAS PAGO EN CAJA</v>
      </c>
      <c r="BC21" s="18">
        <f>DAY(Pospago[[#This Row],[FECHA_ALTA]])</f>
        <v>10</v>
      </c>
      <c r="BD21" s="18">
        <f>IF(Pospago[[#This Row],[TARIFA_BASICA]]=11.42,1,0)</f>
        <v>0</v>
      </c>
      <c r="BE21" s="18">
        <f>IF(Pospago[[#This Row],[PLANES TELEVENTAS]]="SI",1,0)</f>
        <v>0</v>
      </c>
      <c r="BF21" s="18">
        <f>1</f>
        <v>1</v>
      </c>
      <c r="BG21" s="18">
        <f>IF(OR(Pospago[[#This Row],[TARIFA_BASICA]]=11.42,Pospago[[#This Row],[PLANES TELEVENTAS]]="SI"),1,0)</f>
        <v>0</v>
      </c>
      <c r="BH21" s="18" t="str">
        <f>IF(MID(Pospago[[#This Row],[PlanDesc]],1,4) = "PLAN","POSPAGO",IF(MID(Pospago[[#This Row],[PlanDesc]],1,4)="FULL","FULL MEGAS","PREVIOPAGO"))</f>
        <v>PREVIOPAGO</v>
      </c>
      <c r="BI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" s="21">
        <f>Pospago[[#This Row],[TARIFA_BASICA]]*1.5</f>
        <v>21.419999999999998</v>
      </c>
      <c r="BN21" t="s">
        <v>296</v>
      </c>
      <c r="BO21" s="24" t="s">
        <v>152</v>
      </c>
      <c r="BP21" s="30" t="str">
        <f>UnitariosPospago[[#This Row],[TIENDA]]&amp;UnitariosPospago[[#This Row],[TIPO ALTA]]</f>
        <v>TIENDA MACHALAALTAS PAGO EN CAJA</v>
      </c>
      <c r="BQ21" t="s">
        <v>153</v>
      </c>
      <c r="BR21" s="25">
        <f>INDEX(MetaTM,MATCH(UnitariosPospago[[#This Row],[TIENDA]],MetaTiendaTM,0),MATCH(UnitariosPospago[[#This Row],[CRUCE]],MetaTituloTM,0))</f>
        <v>36</v>
      </c>
      <c r="BS21" s="26">
        <f>AVERAGEIFS(Pospago[COMISION UPFRONT],Pospago[LOCALES],UnitariosPospago[[#This Row],[TIENDA]],Pospago[TIPO],UnitariosPospago[[#This Row],[TIPO ALTA]])</f>
        <v>14.617333333333331</v>
      </c>
      <c r="BT21" s="27">
        <f>UnitariosPospago[[#This Row],[MetaTM]]*UnitariosPospago[[#This Row],[PROM. UNI TB]]</f>
        <v>526.22399999999993</v>
      </c>
      <c r="BU21" s="26">
        <f>AVERAGEIFS(Pospago[COMISION BC],Pospago[LOCALES],UnitariosPospago[[#This Row],[TIENDA]],Pospago[TIPO],UnitariosPospago[[#This Row],[TIPO ALTA]])</f>
        <v>7</v>
      </c>
      <c r="BV21" s="28">
        <f>UnitariosPospago[[#This Row],[PROM. UNI BCM]]*UnitariosPospago[[#This Row],[MetaTM]]</f>
        <v>252</v>
      </c>
      <c r="BW21" s="26">
        <f>AVERAGEIFS(Pospago[COMISION BF],Pospago[LOCALES],UnitariosPospago[[#This Row],[TIENDA]],Pospago[TIPO],UnitariosPospago[[#This Row],[TIPO ALTA]])</f>
        <v>22.670833333333334</v>
      </c>
      <c r="BX21" s="29">
        <f>UnitariosPospago[[#This Row],[PROM. UNI BFQ]]*UnitariosPospago[[#This Row],[MetaTM]]</f>
        <v>816.15000000000009</v>
      </c>
    </row>
    <row r="22" spans="1:76" x14ac:dyDescent="0.25">
      <c r="A22" s="18" t="s">
        <v>64</v>
      </c>
      <c r="B22" s="18" t="s">
        <v>312</v>
      </c>
      <c r="C22" s="18" t="s">
        <v>313</v>
      </c>
      <c r="D22" s="19">
        <v>44900</v>
      </c>
      <c r="E22" s="18" t="s">
        <v>67</v>
      </c>
      <c r="F22" s="18" t="s">
        <v>314</v>
      </c>
      <c r="G22" s="18" t="s">
        <v>315</v>
      </c>
      <c r="H22" s="18" t="s">
        <v>70</v>
      </c>
      <c r="I22" s="18" t="s">
        <v>71</v>
      </c>
      <c r="J22" s="18" t="s">
        <v>72</v>
      </c>
      <c r="K22" s="18" t="s">
        <v>95</v>
      </c>
      <c r="L22" s="20" t="s">
        <v>316</v>
      </c>
      <c r="M22" s="18" t="s">
        <v>75</v>
      </c>
      <c r="N22" s="20" t="s">
        <v>317</v>
      </c>
      <c r="O22" s="18" t="s">
        <v>77</v>
      </c>
      <c r="P22" s="18" t="s">
        <v>78</v>
      </c>
      <c r="Q22" s="19">
        <v>44914</v>
      </c>
      <c r="R22" s="21">
        <v>11.42</v>
      </c>
      <c r="S22" s="18" t="s">
        <v>79</v>
      </c>
      <c r="T22" s="18" t="s">
        <v>148</v>
      </c>
      <c r="U22" s="18" t="s">
        <v>83</v>
      </c>
      <c r="V22" s="18" t="s">
        <v>95</v>
      </c>
      <c r="W22" s="18" t="s">
        <v>83</v>
      </c>
      <c r="X22" s="18" t="s">
        <v>118</v>
      </c>
      <c r="Y22" s="18" t="s">
        <v>85</v>
      </c>
      <c r="Z22" s="18" t="s">
        <v>86</v>
      </c>
      <c r="AA22" s="18" t="s">
        <v>119</v>
      </c>
      <c r="AB22" s="18" t="s">
        <v>318</v>
      </c>
      <c r="AC22" s="18" t="s">
        <v>319</v>
      </c>
      <c r="AD22" s="18" t="s">
        <v>85</v>
      </c>
      <c r="AE22" s="18" t="s">
        <v>90</v>
      </c>
      <c r="AF22" s="18" t="s">
        <v>151</v>
      </c>
      <c r="AG22" s="18" t="s">
        <v>92</v>
      </c>
      <c r="AH22" s="18" t="s">
        <v>93</v>
      </c>
      <c r="AI22" s="18" t="s">
        <v>94</v>
      </c>
      <c r="AJ22" s="19">
        <v>44900</v>
      </c>
      <c r="AK22" s="22" t="s">
        <v>95</v>
      </c>
      <c r="AL22" s="18" t="s">
        <v>95</v>
      </c>
      <c r="AM22" s="18" t="s">
        <v>95</v>
      </c>
      <c r="AN22" s="18" t="s">
        <v>95</v>
      </c>
      <c r="AO22" s="18" t="s">
        <v>95</v>
      </c>
      <c r="AP22" s="18" t="s">
        <v>95</v>
      </c>
      <c r="AQ22" s="18" t="s">
        <v>95</v>
      </c>
      <c r="AR22" s="18" t="s">
        <v>95</v>
      </c>
      <c r="AS22" s="18" t="s">
        <v>83</v>
      </c>
      <c r="AT22" s="18" t="s">
        <v>83</v>
      </c>
      <c r="AU22" s="18" t="s">
        <v>81</v>
      </c>
      <c r="AV22" s="18" t="s">
        <v>95</v>
      </c>
      <c r="AW22" s="18" t="s">
        <v>95</v>
      </c>
      <c r="AX22" s="18"/>
      <c r="AY22" s="18" t="str">
        <f>Pospago[[#This Row],[NUM_TELEFONICO]]&amp;"POSPAGOSI"</f>
        <v>958743661POSPAGOSI</v>
      </c>
      <c r="AZ22" s="18" t="str">
        <f>VLOOKUP(Pospago[[#This Row],[NOM_PLAZA_FINAL]],[1]!Locales[#Data],3,0)</f>
        <v>TIENDA CUENCA REMIGIO</v>
      </c>
      <c r="BA22" s="18" t="str">
        <f>IFERROR(VLOOKUP(Pospago[[#This Row],[USUARIO]],[1]!Personal[#Data],6,0),"EJECUTIVO NO REGISTRADO")</f>
        <v>RODRIGUEZ QUITO JESSICA GABRIELA</v>
      </c>
      <c r="BB22" s="18" t="str">
        <f>Pospago[[#This Row],[TIPO_MOVIMIENTO]]&amp;" "&amp;Pospago[[#This Row],[FORMA_PAGO_FINAL]]</f>
        <v>ALTAS PAGO EN CAJA</v>
      </c>
      <c r="BC22" s="18">
        <f>DAY(Pospago[[#This Row],[FECHA_ALTA]])</f>
        <v>5</v>
      </c>
      <c r="BD22" s="18">
        <f>IF(Pospago[[#This Row],[TARIFA_BASICA]]=11.42,1,0)</f>
        <v>1</v>
      </c>
      <c r="BE22" s="18">
        <f>IF(Pospago[[#This Row],[PLANES TELEVENTAS]]="SI",1,0)</f>
        <v>0</v>
      </c>
      <c r="BF22" s="18">
        <f>1</f>
        <v>1</v>
      </c>
      <c r="BG22" s="18">
        <f>IF(OR(Pospago[[#This Row],[TARIFA_BASICA]]=11.42,Pospago[[#This Row],[PLANES TELEVENTAS]]="SI"),1,0)</f>
        <v>1</v>
      </c>
      <c r="BH22" s="18" t="str">
        <f>IF(MID(Pospago[[#This Row],[PlanDesc]],1,4) = "PLAN","POSPAGO",IF(MID(Pospago[[#This Row],[PlanDesc]],1,4)="FULL","FULL MEGAS","PREVIOPAGO"))</f>
        <v>PREVIOPAGO</v>
      </c>
      <c r="BI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2" s="21">
        <f>Pospago[[#This Row],[TARIFA_BASICA]]*1.5</f>
        <v>17.13</v>
      </c>
      <c r="BN22" t="s">
        <v>296</v>
      </c>
      <c r="BO22" s="24" t="s">
        <v>166</v>
      </c>
      <c r="BP22" s="30" t="str">
        <f>UnitariosPospago[[#This Row],[TIENDA]]&amp;UnitariosPospago[[#This Row],[TIPO ALTA]]</f>
        <v>TIENDA MACHALATRANSFERENCIAS PAGO EN CAJA</v>
      </c>
      <c r="BQ22" t="s">
        <v>167</v>
      </c>
      <c r="BR22" s="25">
        <f>INDEX(MetaTM,MATCH(UnitariosPospago[[#This Row],[TIENDA]],MetaTiendaTM,0),MATCH(UnitariosPospago[[#This Row],[CRUCE]],MetaTituloTM,0))</f>
        <v>17</v>
      </c>
      <c r="BS22" s="26">
        <f>AVERAGEIFS(Pospago[COMISION UPFRONT],Pospago[LOCALES],UnitariosPospago[[#This Row],[TIENDA]],Pospago[TIPO],UnitariosPospago[[#This Row],[TIPO ALTA]])</f>
        <v>6.0643636363636366</v>
      </c>
      <c r="BT22" s="27">
        <f>UnitariosPospago[[#This Row],[MetaTM]]*UnitariosPospago[[#This Row],[PROM. UNI TB]]</f>
        <v>103.09418181818182</v>
      </c>
      <c r="BU22" s="26">
        <f>AVERAGEIFS(Pospago[COMISION BC],Pospago[LOCALES],UnitariosPospago[[#This Row],[TIENDA]],Pospago[TIPO],UnitariosPospago[[#This Row],[TIPO ALTA]])</f>
        <v>7.2545454545454531</v>
      </c>
      <c r="BV22" s="28">
        <f>UnitariosPospago[[#This Row],[PROM. UNI BCM]]*UnitariosPospago[[#This Row],[MetaTM]]</f>
        <v>123.3272727272727</v>
      </c>
      <c r="BW22" s="26">
        <f>AVERAGEIFS(Pospago[COMISION BF],Pospago[LOCALES],UnitariosPospago[[#This Row],[TIENDA]],Pospago[TIPO],UnitariosPospago[[#This Row],[TIPO ALTA]])</f>
        <v>21.129545454545454</v>
      </c>
      <c r="BX22" s="29">
        <f>UnitariosPospago[[#This Row],[PROM. UNI BFQ]]*UnitariosPospago[[#This Row],[MetaTM]]</f>
        <v>359.20227272727271</v>
      </c>
    </row>
    <row r="23" spans="1:76" x14ac:dyDescent="0.25">
      <c r="A23" s="18" t="s">
        <v>64</v>
      </c>
      <c r="B23" s="18" t="s">
        <v>320</v>
      </c>
      <c r="C23" s="18" t="s">
        <v>321</v>
      </c>
      <c r="D23" s="19">
        <v>44908</v>
      </c>
      <c r="E23" s="18" t="s">
        <v>67</v>
      </c>
      <c r="F23" s="18" t="s">
        <v>322</v>
      </c>
      <c r="G23" s="18" t="s">
        <v>323</v>
      </c>
      <c r="H23" s="18" t="s">
        <v>70</v>
      </c>
      <c r="I23" s="18" t="s">
        <v>160</v>
      </c>
      <c r="J23" s="18" t="s">
        <v>195</v>
      </c>
      <c r="K23" s="18" t="s">
        <v>73</v>
      </c>
      <c r="L23" s="20" t="s">
        <v>324</v>
      </c>
      <c r="M23" s="18" t="s">
        <v>75</v>
      </c>
      <c r="N23" s="20" t="s">
        <v>325</v>
      </c>
      <c r="O23" s="18" t="s">
        <v>77</v>
      </c>
      <c r="P23" s="18" t="s">
        <v>78</v>
      </c>
      <c r="Q23" s="19">
        <v>44914</v>
      </c>
      <c r="R23" s="21">
        <v>14.28</v>
      </c>
      <c r="S23" s="18" t="s">
        <v>79</v>
      </c>
      <c r="T23" s="18" t="s">
        <v>135</v>
      </c>
      <c r="U23" s="18" t="s">
        <v>83</v>
      </c>
      <c r="V23" s="18" t="s">
        <v>95</v>
      </c>
      <c r="W23" s="18" t="s">
        <v>83</v>
      </c>
      <c r="X23" s="18" t="s">
        <v>84</v>
      </c>
      <c r="Y23" s="18" t="s">
        <v>85</v>
      </c>
      <c r="Z23" s="18" t="s">
        <v>86</v>
      </c>
      <c r="AA23" s="18" t="s">
        <v>87</v>
      </c>
      <c r="AB23" s="18" t="s">
        <v>326</v>
      </c>
      <c r="AC23" s="18" t="s">
        <v>327</v>
      </c>
      <c r="AD23" s="18" t="s">
        <v>85</v>
      </c>
      <c r="AE23" s="18" t="s">
        <v>90</v>
      </c>
      <c r="AF23" s="18" t="s">
        <v>138</v>
      </c>
      <c r="AG23" s="18" t="s">
        <v>139</v>
      </c>
      <c r="AH23" s="18" t="s">
        <v>93</v>
      </c>
      <c r="AI23" s="18" t="s">
        <v>94</v>
      </c>
      <c r="AJ23" s="19">
        <v>44908</v>
      </c>
      <c r="AK23" s="22" t="s">
        <v>95</v>
      </c>
      <c r="AL23" s="18" t="s">
        <v>95</v>
      </c>
      <c r="AM23" s="18" t="s">
        <v>95</v>
      </c>
      <c r="AN23" s="18" t="s">
        <v>95</v>
      </c>
      <c r="AO23" s="18" t="s">
        <v>95</v>
      </c>
      <c r="AP23" s="18" t="s">
        <v>95</v>
      </c>
      <c r="AQ23" s="18" t="s">
        <v>95</v>
      </c>
      <c r="AR23" s="18" t="s">
        <v>95</v>
      </c>
      <c r="AS23" s="18" t="s">
        <v>83</v>
      </c>
      <c r="AT23" s="18" t="s">
        <v>83</v>
      </c>
      <c r="AU23" s="18" t="s">
        <v>81</v>
      </c>
      <c r="AV23" s="18" t="s">
        <v>95</v>
      </c>
      <c r="AW23" s="18" t="s">
        <v>95</v>
      </c>
      <c r="AX23" s="18"/>
      <c r="AY23" s="18" t="str">
        <f>Pospago[[#This Row],[NUM_TELEFONICO]]&amp;"POSPAGOSI"</f>
        <v>958744324POSPAGOSI</v>
      </c>
      <c r="AZ23" s="18" t="str">
        <f>VLOOKUP(Pospago[[#This Row],[NOM_PLAZA_FINAL]],[1]!Locales[#Data],3,0)</f>
        <v>TIENDA AMERICA</v>
      </c>
      <c r="BA23" s="18" t="str">
        <f>IFERROR(VLOOKUP(Pospago[[#This Row],[USUARIO]],[1]!Personal[#Data],6,0),"EJECUTIVO NO REGISTRADO")</f>
        <v>AMBULUDI ROLDAN GIANELLA GRIMANEZA</v>
      </c>
      <c r="BB23" s="18" t="str">
        <f>Pospago[[#This Row],[TIPO_MOVIMIENTO]]&amp;" "&amp;Pospago[[#This Row],[FORMA_PAGO_FINAL]]</f>
        <v>ALTAS DOMICILIADO</v>
      </c>
      <c r="BC23" s="18">
        <f>DAY(Pospago[[#This Row],[FECHA_ALTA]])</f>
        <v>13</v>
      </c>
      <c r="BD23" s="18">
        <f>IF(Pospago[[#This Row],[TARIFA_BASICA]]=11.42,1,0)</f>
        <v>0</v>
      </c>
      <c r="BE23" s="18">
        <f>IF(Pospago[[#This Row],[PLANES TELEVENTAS]]="SI",1,0)</f>
        <v>0</v>
      </c>
      <c r="BF23" s="18">
        <f>1</f>
        <v>1</v>
      </c>
      <c r="BG23" s="18">
        <f>IF(OR(Pospago[[#This Row],[TARIFA_BASICA]]=11.42,Pospago[[#This Row],[PLANES TELEVENTAS]]="SI"),1,0)</f>
        <v>0</v>
      </c>
      <c r="BH23" s="18" t="str">
        <f>IF(MID(Pospago[[#This Row],[PlanDesc]],1,4) = "PLAN","POSPAGO",IF(MID(Pospago[[#This Row],[PlanDesc]],1,4)="FULL","FULL MEGAS","PREVIOPAGO"))</f>
        <v>PREVIOPAGO</v>
      </c>
      <c r="BI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3" s="21">
        <f>Pospago[[#This Row],[TARIFA_BASICA]]*1.5</f>
        <v>21.419999999999998</v>
      </c>
      <c r="BN23" t="s">
        <v>328</v>
      </c>
      <c r="BO23" s="23" t="s">
        <v>124</v>
      </c>
      <c r="BP23" s="31" t="str">
        <f>UnitariosPospago[[#This Row],[TIENDA]]&amp;UnitariosPospago[[#This Row],[TIPO ALTA]]</f>
        <v>TIENDA RECREOALTAS DOMICILIADO</v>
      </c>
      <c r="BQ23" t="s">
        <v>125</v>
      </c>
      <c r="BR23" s="25">
        <f>INDEX(MetaTM,MATCH(UnitariosPospago[[#This Row],[TIENDA]],MetaTiendaTM,0),MATCH(UnitariosPospago[[#This Row],[CRUCE]],MetaTituloTM,0))</f>
        <v>244</v>
      </c>
      <c r="BS23" s="26">
        <f>AVERAGEIFS(Pospago[COMISION UPFRONT],Pospago[LOCALES],UnitariosPospago[[#This Row],[TIENDA]],Pospago[TIPO],UnitariosPospago[[#This Row],[TIPO ALTA]])</f>
        <v>19.147758620689636</v>
      </c>
      <c r="BT23" s="27">
        <f>UnitariosPospago[[#This Row],[MetaTM]]*UnitariosPospago[[#This Row],[PROM. UNI TB]]</f>
        <v>4672.053103448271</v>
      </c>
      <c r="BU23" s="26">
        <f>AVERAGEIFS(Pospago[COMISION BC],Pospago[LOCALES],UnitariosPospago[[#This Row],[TIENDA]],Pospago[TIPO],UnitariosPospago[[#This Row],[TIPO ALTA]])</f>
        <v>8.0741379310344694</v>
      </c>
      <c r="BV23" s="28">
        <f>UnitariosPospago[[#This Row],[PROM. UNI BCM]]*UnitariosPospago[[#This Row],[MetaTM]]</f>
        <v>1970.0896551724106</v>
      </c>
      <c r="BW23" s="26">
        <f>AVERAGEIFS(Pospago[COMISION BF],Pospago[LOCALES],UnitariosPospago[[#This Row],[TIENDA]],Pospago[TIPO],UnitariosPospago[[#This Row],[TIPO ALTA]])</f>
        <v>24.917456896551752</v>
      </c>
      <c r="BX23" s="29">
        <f>UnitariosPospago[[#This Row],[PROM. UNI BFQ]]*UnitariosPospago[[#This Row],[MetaTM]]</f>
        <v>6079.8594827586276</v>
      </c>
    </row>
    <row r="24" spans="1:76" x14ac:dyDescent="0.25">
      <c r="A24" s="18" t="s">
        <v>64</v>
      </c>
      <c r="B24" s="18" t="s">
        <v>329</v>
      </c>
      <c r="C24" s="18" t="s">
        <v>208</v>
      </c>
      <c r="D24" s="19">
        <v>44913</v>
      </c>
      <c r="E24" s="18" t="s">
        <v>67</v>
      </c>
      <c r="F24" s="18" t="s">
        <v>209</v>
      </c>
      <c r="G24" s="18" t="s">
        <v>210</v>
      </c>
      <c r="H24" s="18" t="s">
        <v>193</v>
      </c>
      <c r="I24" s="18" t="s">
        <v>211</v>
      </c>
      <c r="J24" s="18" t="s">
        <v>212</v>
      </c>
      <c r="K24" s="18" t="s">
        <v>196</v>
      </c>
      <c r="L24" s="20" t="s">
        <v>330</v>
      </c>
      <c r="M24" s="18" t="s">
        <v>75</v>
      </c>
      <c r="N24" s="20" t="s">
        <v>331</v>
      </c>
      <c r="O24" s="18" t="s">
        <v>77</v>
      </c>
      <c r="P24" s="18" t="s">
        <v>78</v>
      </c>
      <c r="Q24" s="19">
        <v>44914</v>
      </c>
      <c r="R24" s="21">
        <v>25</v>
      </c>
      <c r="S24" s="18" t="s">
        <v>79</v>
      </c>
      <c r="T24" s="18" t="s">
        <v>174</v>
      </c>
      <c r="U24" s="18" t="s">
        <v>83</v>
      </c>
      <c r="V24" s="18" t="s">
        <v>95</v>
      </c>
      <c r="W24" s="18" t="s">
        <v>83</v>
      </c>
      <c r="X24" s="18" t="s">
        <v>215</v>
      </c>
      <c r="Y24" s="18" t="s">
        <v>85</v>
      </c>
      <c r="Z24" s="18" t="s">
        <v>86</v>
      </c>
      <c r="AA24" s="18" t="s">
        <v>87</v>
      </c>
      <c r="AB24" s="18" t="s">
        <v>187</v>
      </c>
      <c r="AC24" s="18" t="s">
        <v>188</v>
      </c>
      <c r="AD24" s="18" t="s">
        <v>85</v>
      </c>
      <c r="AE24" s="18" t="s">
        <v>90</v>
      </c>
      <c r="AF24" s="18" t="s">
        <v>177</v>
      </c>
      <c r="AG24" s="18" t="s">
        <v>139</v>
      </c>
      <c r="AH24" s="18" t="s">
        <v>93</v>
      </c>
      <c r="AI24" s="18" t="s">
        <v>94</v>
      </c>
      <c r="AJ24" s="19">
        <v>44913</v>
      </c>
      <c r="AK24" s="22" t="s">
        <v>95</v>
      </c>
      <c r="AL24" s="18" t="s">
        <v>95</v>
      </c>
      <c r="AM24" s="18" t="s">
        <v>95</v>
      </c>
      <c r="AN24" s="18" t="s">
        <v>95</v>
      </c>
      <c r="AO24" s="18" t="s">
        <v>95</v>
      </c>
      <c r="AP24" s="18" t="s">
        <v>95</v>
      </c>
      <c r="AQ24" s="18" t="s">
        <v>95</v>
      </c>
      <c r="AR24" s="18" t="s">
        <v>95</v>
      </c>
      <c r="AS24" s="18" t="s">
        <v>83</v>
      </c>
      <c r="AT24" s="18" t="s">
        <v>95</v>
      </c>
      <c r="AU24" s="18" t="s">
        <v>95</v>
      </c>
      <c r="AV24" s="18" t="s">
        <v>95</v>
      </c>
      <c r="AW24" s="18" t="s">
        <v>95</v>
      </c>
      <c r="AX24" s="18"/>
      <c r="AY24" s="18" t="str">
        <f>Pospago[[#This Row],[NUM_TELEFONICO]]&amp;"POSPAGOSI"</f>
        <v>958745439POSPAGOSI</v>
      </c>
      <c r="AZ24" s="18" t="str">
        <f>VLOOKUP(Pospago[[#This Row],[NOM_PLAZA_FINAL]],[1]!Locales[#Data],3,0)</f>
        <v>TIENDA RECREO</v>
      </c>
      <c r="BA24" s="18" t="str">
        <f>IFERROR(VLOOKUP(Pospago[[#This Row],[USUARIO]],[1]!Personal[#Data],6,0),"EJECUTIVO NO REGISTRADO")</f>
        <v>ESPINOZA MARTINES LAURA XIOMARA</v>
      </c>
      <c r="BB24" s="18" t="str">
        <f>Pospago[[#This Row],[TIPO_MOVIMIENTO]]&amp;" "&amp;Pospago[[#This Row],[FORMA_PAGO_FINAL]]</f>
        <v>ALTAS DOMICILIADO</v>
      </c>
      <c r="BC24" s="18">
        <f>DAY(Pospago[[#This Row],[FECHA_ALTA]])</f>
        <v>18</v>
      </c>
      <c r="BD24" s="18">
        <f>IF(Pospago[[#This Row],[TARIFA_BASICA]]=11.42,1,0)</f>
        <v>0</v>
      </c>
      <c r="BE24" s="18">
        <f>IF(Pospago[[#This Row],[PLANES TELEVENTAS]]="SI",1,0)</f>
        <v>0</v>
      </c>
      <c r="BF24" s="18">
        <f>1</f>
        <v>1</v>
      </c>
      <c r="BG24" s="18">
        <f>IF(OR(Pospago[[#This Row],[TARIFA_BASICA]]=11.42,Pospago[[#This Row],[PLANES TELEVENTAS]]="SI"),1,0)</f>
        <v>0</v>
      </c>
      <c r="BH24" s="18" t="str">
        <f>IF(MID(Pospago[[#This Row],[PlanDesc]],1,4) = "PLAN","POSPAGO",IF(MID(Pospago[[#This Row],[PlanDesc]],1,4)="FULL","FULL MEGAS","PREVIOPAGO"))</f>
        <v>FULL MEGAS</v>
      </c>
      <c r="BI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" s="21">
        <f>Pospago[[#This Row],[TARIFA_BASICA]]*1.5</f>
        <v>37.5</v>
      </c>
      <c r="BN24" t="s">
        <v>328</v>
      </c>
      <c r="BO24" s="24" t="s">
        <v>140</v>
      </c>
      <c r="BP24" s="30" t="str">
        <f>UnitariosPospago[[#This Row],[TIENDA]]&amp;UnitariosPospago[[#This Row],[TIPO ALTA]]</f>
        <v>TIENDA RECREOTRANSFERENCIAS DOMICILIADO</v>
      </c>
      <c r="BQ24" t="s">
        <v>141</v>
      </c>
      <c r="BR24" s="25">
        <f>INDEX(MetaTM,MATCH(UnitariosPospago[[#This Row],[TIENDA]],MetaTiendaTM,0),MATCH(UnitariosPospago[[#This Row],[CRUCE]],MetaTituloTM,0))</f>
        <v>412</v>
      </c>
      <c r="BS24" s="26">
        <f>AVERAGEIFS(Pospago[COMISION UPFRONT],Pospago[LOCALES],UnitariosPospago[[#This Row],[TIENDA]],Pospago[TIPO],UnitariosPospago[[#This Row],[TIPO ALTA]])</f>
        <v>6.2925203252032436</v>
      </c>
      <c r="BT24" s="27">
        <f>UnitariosPospago[[#This Row],[MetaTM]]*UnitariosPospago[[#This Row],[PROM. UNI TB]]</f>
        <v>2592.5183739837362</v>
      </c>
      <c r="BU24" s="26">
        <f>AVERAGEIFS(Pospago[COMISION BC],Pospago[LOCALES],UnitariosPospago[[#This Row],[TIENDA]],Pospago[TIPO],UnitariosPospago[[#This Row],[TIPO ALTA]])</f>
        <v>7.5121951219512102</v>
      </c>
      <c r="BV24" s="28">
        <f>UnitariosPospago[[#This Row],[PROM. UNI BCM]]*UnitariosPospago[[#This Row],[MetaTM]]</f>
        <v>3095.0243902438988</v>
      </c>
      <c r="BW24" s="26">
        <f>AVERAGEIFS(Pospago[COMISION BF],Pospago[LOCALES],UnitariosPospago[[#This Row],[TIENDA]],Pospago[TIPO],UnitariosPospago[[#This Row],[TIPO ALTA]])</f>
        <v>21.171219512195162</v>
      </c>
      <c r="BX24" s="29">
        <f>UnitariosPospago[[#This Row],[PROM. UNI BFQ]]*UnitariosPospago[[#This Row],[MetaTM]]</f>
        <v>8722.5424390244061</v>
      </c>
    </row>
    <row r="25" spans="1:76" x14ac:dyDescent="0.25">
      <c r="A25" s="18" t="s">
        <v>64</v>
      </c>
      <c r="B25" s="18" t="s">
        <v>332</v>
      </c>
      <c r="C25" s="18" t="s">
        <v>333</v>
      </c>
      <c r="D25" s="19">
        <v>44907</v>
      </c>
      <c r="E25" s="18" t="s">
        <v>67</v>
      </c>
      <c r="F25" s="18" t="s">
        <v>334</v>
      </c>
      <c r="G25" s="18" t="s">
        <v>335</v>
      </c>
      <c r="H25" s="18" t="s">
        <v>70</v>
      </c>
      <c r="I25" s="18" t="s">
        <v>71</v>
      </c>
      <c r="J25" s="18" t="s">
        <v>72</v>
      </c>
      <c r="K25" s="18" t="s">
        <v>132</v>
      </c>
      <c r="L25" s="20" t="s">
        <v>336</v>
      </c>
      <c r="M25" s="18" t="s">
        <v>287</v>
      </c>
      <c r="N25" s="20" t="s">
        <v>337</v>
      </c>
      <c r="O25" s="18" t="s">
        <v>77</v>
      </c>
      <c r="P25" s="18" t="s">
        <v>78</v>
      </c>
      <c r="Q25" s="19">
        <v>44914</v>
      </c>
      <c r="R25" s="21">
        <v>11.42</v>
      </c>
      <c r="S25" s="18" t="s">
        <v>79</v>
      </c>
      <c r="T25" s="18" t="s">
        <v>232</v>
      </c>
      <c r="U25" s="18" t="s">
        <v>83</v>
      </c>
      <c r="V25" s="18" t="s">
        <v>95</v>
      </c>
      <c r="W25" s="18" t="s">
        <v>83</v>
      </c>
      <c r="X25" s="18" t="s">
        <v>84</v>
      </c>
      <c r="Y25" s="18" t="s">
        <v>85</v>
      </c>
      <c r="Z25" s="18" t="s">
        <v>86</v>
      </c>
      <c r="AA25" s="18" t="s">
        <v>87</v>
      </c>
      <c r="AB25" s="18" t="s">
        <v>233</v>
      </c>
      <c r="AC25" s="18" t="s">
        <v>234</v>
      </c>
      <c r="AD25" s="18" t="s">
        <v>85</v>
      </c>
      <c r="AE25" s="18" t="s">
        <v>90</v>
      </c>
      <c r="AF25" s="18" t="s">
        <v>235</v>
      </c>
      <c r="AG25" s="18" t="s">
        <v>139</v>
      </c>
      <c r="AH25" s="18" t="s">
        <v>93</v>
      </c>
      <c r="AI25" s="18" t="s">
        <v>94</v>
      </c>
      <c r="AJ25" s="19">
        <v>44907</v>
      </c>
      <c r="AK25" s="22">
        <v>44907</v>
      </c>
      <c r="AL25" s="18" t="s">
        <v>291</v>
      </c>
      <c r="AM25" s="18" t="s">
        <v>292</v>
      </c>
      <c r="AN25" s="18" t="s">
        <v>293</v>
      </c>
      <c r="AO25" s="18" t="s">
        <v>338</v>
      </c>
      <c r="AP25" s="18">
        <v>1</v>
      </c>
      <c r="AQ25" s="18">
        <v>339.28570999999999</v>
      </c>
      <c r="AR25" s="18" t="s">
        <v>295</v>
      </c>
      <c r="AS25" s="18" t="s">
        <v>81</v>
      </c>
      <c r="AT25" s="18" t="s">
        <v>83</v>
      </c>
      <c r="AU25" s="18" t="s">
        <v>81</v>
      </c>
      <c r="AV25" s="18" t="s">
        <v>95</v>
      </c>
      <c r="AW25" s="18" t="s">
        <v>95</v>
      </c>
      <c r="AX25" s="18"/>
      <c r="AY25" s="18" t="str">
        <f>Pospago[[#This Row],[NUM_TELEFONICO]]&amp;"POSPAGOSI"</f>
        <v>958748679POSPAGOSI</v>
      </c>
      <c r="AZ25" s="18" t="str">
        <f>VLOOKUP(Pospago[[#This Row],[NOM_PLAZA_FINAL]],[1]!Locales[#Data],3,0)</f>
        <v>TIENDA CONDADO</v>
      </c>
      <c r="BA25" s="18" t="str">
        <f>IFERROR(VLOOKUP(Pospago[[#This Row],[USUARIO]],[1]!Personal[#Data],6,0),"EJECUTIVO NO REGISTRADO")</f>
        <v>ROSALES MALDONADO JESSICA GABRIELA</v>
      </c>
      <c r="BB25" s="18" t="str">
        <f>Pospago[[#This Row],[TIPO_MOVIMIENTO]]&amp;" "&amp;Pospago[[#This Row],[FORMA_PAGO_FINAL]]</f>
        <v>ALTAS DOMICILIADO</v>
      </c>
      <c r="BC25" s="18">
        <f>DAY(Pospago[[#This Row],[FECHA_ALTA]])</f>
        <v>12</v>
      </c>
      <c r="BD25" s="18">
        <f>IF(Pospago[[#This Row],[TARIFA_BASICA]]=11.42,1,0)</f>
        <v>1</v>
      </c>
      <c r="BE25" s="18">
        <f>IF(Pospago[[#This Row],[PLANES TELEVENTAS]]="SI",1,0)</f>
        <v>0</v>
      </c>
      <c r="BF25" s="18">
        <f>1</f>
        <v>1</v>
      </c>
      <c r="BG25" s="18">
        <f>IF(OR(Pospago[[#This Row],[TARIFA_BASICA]]=11.42,Pospago[[#This Row],[PLANES TELEVENTAS]]="SI"),1,0)</f>
        <v>1</v>
      </c>
      <c r="BH25" s="18" t="str">
        <f>IF(MID(Pospago[[#This Row],[PlanDesc]],1,4) = "PLAN","POSPAGO",IF(MID(Pospago[[#This Row],[PlanDesc]],1,4)="FULL","FULL MEGAS","PREVIOPAGO"))</f>
        <v>PREVIOPAGO</v>
      </c>
      <c r="BI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5" s="21">
        <f>Pospago[[#This Row],[TARIFA_BASICA]]*1.5</f>
        <v>17.13</v>
      </c>
      <c r="BN25" t="s">
        <v>328</v>
      </c>
      <c r="BO25" s="24" t="s">
        <v>152</v>
      </c>
      <c r="BP25" s="30" t="str">
        <f>UnitariosPospago[[#This Row],[TIENDA]]&amp;UnitariosPospago[[#This Row],[TIPO ALTA]]</f>
        <v>TIENDA RECREOALTAS PAGO EN CAJA</v>
      </c>
      <c r="BQ25" t="s">
        <v>153</v>
      </c>
      <c r="BR25" s="25">
        <f>INDEX(MetaTM,MATCH(UnitariosPospago[[#This Row],[TIENDA]],MetaTiendaTM,0),MATCH(UnitariosPospago[[#This Row],[CRUCE]],MetaTituloTM,0))</f>
        <v>62</v>
      </c>
      <c r="BS25" s="26">
        <f>AVERAGEIFS(Pospago[COMISION UPFRONT],Pospago[LOCALES],UnitariosPospago[[#This Row],[TIENDA]],Pospago[TIPO],UnitariosPospago[[#This Row],[TIPO ALTA]])</f>
        <v>11.594444444444452</v>
      </c>
      <c r="BT25" s="27">
        <f>UnitariosPospago[[#This Row],[MetaTM]]*UnitariosPospago[[#This Row],[PROM. UNI TB]]</f>
        <v>718.85555555555607</v>
      </c>
      <c r="BU25" s="26">
        <f>AVERAGEIFS(Pospago[COMISION BC],Pospago[LOCALES],UnitariosPospago[[#This Row],[TIENDA]],Pospago[TIPO],UnitariosPospago[[#This Row],[TIPO ALTA]])</f>
        <v>7.5999999999999917</v>
      </c>
      <c r="BV25" s="28">
        <f>UnitariosPospago[[#This Row],[PROM. UNI BCM]]*UnitariosPospago[[#This Row],[MetaTM]]</f>
        <v>471.19999999999948</v>
      </c>
      <c r="BW25" s="26">
        <f>AVERAGEIFS(Pospago[COMISION BF],Pospago[LOCALES],UnitariosPospago[[#This Row],[TIENDA]],Pospago[TIPO],UnitariosPospago[[#This Row],[TIPO ALTA]])</f>
        <v>22.662142857142875</v>
      </c>
      <c r="BX25" s="29">
        <f>UnitariosPospago[[#This Row],[PROM. UNI BFQ]]*UnitariosPospago[[#This Row],[MetaTM]]</f>
        <v>1405.0528571428583</v>
      </c>
    </row>
    <row r="26" spans="1:76" x14ac:dyDescent="0.25">
      <c r="A26" s="18" t="s">
        <v>154</v>
      </c>
      <c r="B26" s="18" t="s">
        <v>339</v>
      </c>
      <c r="C26" s="18" t="s">
        <v>340</v>
      </c>
      <c r="D26" s="19">
        <v>44907</v>
      </c>
      <c r="E26" s="18" t="s">
        <v>67</v>
      </c>
      <c r="F26" s="18" t="s">
        <v>341</v>
      </c>
      <c r="G26" s="18" t="s">
        <v>342</v>
      </c>
      <c r="H26" s="18" t="s">
        <v>159</v>
      </c>
      <c r="I26" s="18" t="s">
        <v>160</v>
      </c>
      <c r="J26" s="18" t="s">
        <v>161</v>
      </c>
      <c r="K26" s="18" t="s">
        <v>132</v>
      </c>
      <c r="L26" s="20" t="s">
        <v>343</v>
      </c>
      <c r="M26" s="18" t="s">
        <v>75</v>
      </c>
      <c r="N26" s="20" t="s">
        <v>344</v>
      </c>
      <c r="O26" s="18" t="s">
        <v>164</v>
      </c>
      <c r="P26" s="18" t="s">
        <v>78</v>
      </c>
      <c r="Q26" s="19">
        <v>44914</v>
      </c>
      <c r="R26" s="21">
        <v>14.28</v>
      </c>
      <c r="S26" s="18" t="s">
        <v>79</v>
      </c>
      <c r="T26" s="18" t="s">
        <v>232</v>
      </c>
      <c r="U26" s="18" t="s">
        <v>83</v>
      </c>
      <c r="V26" s="18" t="s">
        <v>95</v>
      </c>
      <c r="W26" s="18" t="s">
        <v>95</v>
      </c>
      <c r="X26" s="18" t="s">
        <v>84</v>
      </c>
      <c r="Y26" s="18" t="s">
        <v>85</v>
      </c>
      <c r="Z26" s="18" t="s">
        <v>86</v>
      </c>
      <c r="AA26" s="18" t="s">
        <v>87</v>
      </c>
      <c r="AB26" s="18" t="s">
        <v>271</v>
      </c>
      <c r="AC26" s="18" t="s">
        <v>272</v>
      </c>
      <c r="AD26" s="18" t="s">
        <v>85</v>
      </c>
      <c r="AE26" s="18" t="s">
        <v>90</v>
      </c>
      <c r="AF26" s="18" t="s">
        <v>235</v>
      </c>
      <c r="AG26" s="18" t="s">
        <v>139</v>
      </c>
      <c r="AH26" s="18" t="s">
        <v>165</v>
      </c>
      <c r="AI26" s="18" t="s">
        <v>94</v>
      </c>
      <c r="AJ26" s="19">
        <v>44907</v>
      </c>
      <c r="AK26" s="22" t="s">
        <v>95</v>
      </c>
      <c r="AL26" s="18" t="s">
        <v>95</v>
      </c>
      <c r="AM26" s="18" t="s">
        <v>95</v>
      </c>
      <c r="AN26" s="18" t="s">
        <v>95</v>
      </c>
      <c r="AO26" s="18" t="s">
        <v>95</v>
      </c>
      <c r="AP26" s="18" t="s">
        <v>95</v>
      </c>
      <c r="AQ26" s="18" t="s">
        <v>95</v>
      </c>
      <c r="AR26" s="18" t="s">
        <v>95</v>
      </c>
      <c r="AS26" s="18" t="s">
        <v>83</v>
      </c>
      <c r="AT26" s="18" t="s">
        <v>83</v>
      </c>
      <c r="AU26" s="18" t="s">
        <v>81</v>
      </c>
      <c r="AV26" s="18" t="s">
        <v>95</v>
      </c>
      <c r="AW26" s="18" t="s">
        <v>95</v>
      </c>
      <c r="AX26" s="18"/>
      <c r="AY26" s="18" t="str">
        <f>Pospago[[#This Row],[NUM_TELEFONICO]]&amp;"POSPAGOSI"</f>
        <v>958765371POSPAGOSI</v>
      </c>
      <c r="AZ26" s="18" t="str">
        <f>VLOOKUP(Pospago[[#This Row],[NOM_PLAZA_FINAL]],[1]!Locales[#Data],3,0)</f>
        <v>TIENDA CONDADO</v>
      </c>
      <c r="BA26" s="18" t="str">
        <f>IFERROR(VLOOKUP(Pospago[[#This Row],[USUARIO]],[1]!Personal[#Data],6,0),"EJECUTIVO NO REGISTRADO")</f>
        <v>CASTILLO AGUIRRE EDWIN MODESTO</v>
      </c>
      <c r="BB26" s="18" t="str">
        <f>Pospago[[#This Row],[TIPO_MOVIMIENTO]]&amp;" "&amp;Pospago[[#This Row],[FORMA_PAGO_FINAL]]</f>
        <v>TRANSFERENCIAS DOMICILIADO</v>
      </c>
      <c r="BC26" s="18">
        <f>DAY(Pospago[[#This Row],[FECHA_ALTA]])</f>
        <v>12</v>
      </c>
      <c r="BD26" s="18">
        <f>IF(Pospago[[#This Row],[TARIFA_BASICA]]=11.42,1,0)</f>
        <v>0</v>
      </c>
      <c r="BE26" s="18">
        <f>IF(Pospago[[#This Row],[PLANES TELEVENTAS]]="SI",1,0)</f>
        <v>0</v>
      </c>
      <c r="BF26" s="18">
        <f>1</f>
        <v>1</v>
      </c>
      <c r="BG26" s="18">
        <f>IF(OR(Pospago[[#This Row],[TARIFA_BASICA]]=11.42,Pospago[[#This Row],[PLANES TELEVENTAS]]="SI"),1,0)</f>
        <v>0</v>
      </c>
      <c r="BH26" s="18" t="str">
        <f>IF(MID(Pospago[[#This Row],[PlanDesc]],1,4) = "PLAN","POSPAGO",IF(MID(Pospago[[#This Row],[PlanDesc]],1,4)="FULL","FULL MEGAS","PREVIOPAGO"))</f>
        <v>PREVIOPAGO</v>
      </c>
      <c r="BI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" s="21">
        <f>Pospago[[#This Row],[TARIFA_BASICA]]*1.5</f>
        <v>21.419999999999998</v>
      </c>
      <c r="BN26" t="s">
        <v>328</v>
      </c>
      <c r="BO26" s="24" t="s">
        <v>166</v>
      </c>
      <c r="BP26" s="30" t="str">
        <f>UnitariosPospago[[#This Row],[TIENDA]]&amp;UnitariosPospago[[#This Row],[TIPO ALTA]]</f>
        <v>TIENDA RECREOTRANSFERENCIAS PAGO EN CAJA</v>
      </c>
      <c r="BQ26" t="s">
        <v>167</v>
      </c>
      <c r="BR26" s="25">
        <f>INDEX(MetaTM,MATCH(UnitariosPospago[[#This Row],[TIENDA]],MetaTiendaTM,0),MATCH(UnitariosPospago[[#This Row],[CRUCE]],MetaTituloTM,0))</f>
        <v>102</v>
      </c>
      <c r="BS26" s="26">
        <f>AVERAGEIFS(Pospago[COMISION UPFRONT],Pospago[LOCALES],UnitariosPospago[[#This Row],[TIENDA]],Pospago[TIPO],UnitariosPospago[[#This Row],[TIPO ALTA]])</f>
        <v>4.3485714285714243</v>
      </c>
      <c r="BT26" s="27">
        <f>UnitariosPospago[[#This Row],[MetaTM]]*UnitariosPospago[[#This Row],[PROM. UNI TB]]</f>
        <v>443.5542857142853</v>
      </c>
      <c r="BU26" s="26">
        <f>AVERAGEIFS(Pospago[COMISION BC],Pospago[LOCALES],UnitariosPospago[[#This Row],[TIENDA]],Pospago[TIPO],UnitariosPospago[[#This Row],[TIPO ALTA]])</f>
        <v>6.7636363636363646</v>
      </c>
      <c r="BV26" s="28">
        <f>UnitariosPospago[[#This Row],[PROM. UNI BCM]]*UnitariosPospago[[#This Row],[MetaTM]]</f>
        <v>689.89090909090919</v>
      </c>
      <c r="BW26" s="26">
        <f>AVERAGEIFS(Pospago[COMISION BF],Pospago[LOCALES],UnitariosPospago[[#This Row],[TIENDA]],Pospago[TIPO],UnitariosPospago[[#This Row],[TIPO ALTA]])</f>
        <v>20.111493506493556</v>
      </c>
      <c r="BX26" s="29">
        <f>UnitariosPospago[[#This Row],[PROM. UNI BFQ]]*UnitariosPospago[[#This Row],[MetaTM]]</f>
        <v>2051.3723376623425</v>
      </c>
    </row>
    <row r="27" spans="1:76" x14ac:dyDescent="0.25">
      <c r="A27" s="18" t="s">
        <v>64</v>
      </c>
      <c r="B27" s="18" t="s">
        <v>345</v>
      </c>
      <c r="C27" s="18" t="s">
        <v>346</v>
      </c>
      <c r="D27" s="19">
        <v>44905</v>
      </c>
      <c r="E27" s="18" t="s">
        <v>67</v>
      </c>
      <c r="F27" s="18" t="s">
        <v>347</v>
      </c>
      <c r="G27" s="18" t="s">
        <v>348</v>
      </c>
      <c r="H27" s="18" t="s">
        <v>70</v>
      </c>
      <c r="I27" s="18" t="s">
        <v>160</v>
      </c>
      <c r="J27" s="18" t="s">
        <v>195</v>
      </c>
      <c r="K27" s="18" t="s">
        <v>349</v>
      </c>
      <c r="L27" s="20" t="s">
        <v>350</v>
      </c>
      <c r="M27" s="18" t="s">
        <v>287</v>
      </c>
      <c r="N27" s="20" t="s">
        <v>351</v>
      </c>
      <c r="O27" s="18" t="s">
        <v>77</v>
      </c>
      <c r="P27" s="18" t="s">
        <v>78</v>
      </c>
      <c r="Q27" s="19">
        <v>44914</v>
      </c>
      <c r="R27" s="21">
        <v>14.28</v>
      </c>
      <c r="S27" s="18" t="s">
        <v>79</v>
      </c>
      <c r="T27" s="18" t="s">
        <v>117</v>
      </c>
      <c r="U27" s="18" t="s">
        <v>83</v>
      </c>
      <c r="V27" s="18" t="s">
        <v>95</v>
      </c>
      <c r="W27" s="18" t="s">
        <v>83</v>
      </c>
      <c r="X27" s="18" t="s">
        <v>84</v>
      </c>
      <c r="Y27" s="18" t="s">
        <v>85</v>
      </c>
      <c r="Z27" s="18" t="s">
        <v>86</v>
      </c>
      <c r="AA27" s="18" t="s">
        <v>87</v>
      </c>
      <c r="AB27" s="18" t="s">
        <v>352</v>
      </c>
      <c r="AC27" s="18" t="s">
        <v>353</v>
      </c>
      <c r="AD27" s="18" t="s">
        <v>85</v>
      </c>
      <c r="AE27" s="18" t="s">
        <v>90</v>
      </c>
      <c r="AF27" s="18" t="s">
        <v>122</v>
      </c>
      <c r="AG27" s="18" t="s">
        <v>92</v>
      </c>
      <c r="AH27" s="18" t="s">
        <v>93</v>
      </c>
      <c r="AI27" s="18" t="s">
        <v>94</v>
      </c>
      <c r="AJ27" s="19">
        <v>44905</v>
      </c>
      <c r="AK27" s="22">
        <v>44905</v>
      </c>
      <c r="AL27" s="18" t="s">
        <v>291</v>
      </c>
      <c r="AM27" s="18" t="s">
        <v>292</v>
      </c>
      <c r="AN27" s="18" t="s">
        <v>293</v>
      </c>
      <c r="AO27" s="18" t="s">
        <v>354</v>
      </c>
      <c r="AP27" s="18">
        <v>1</v>
      </c>
      <c r="AQ27" s="18">
        <v>285.71429000000001</v>
      </c>
      <c r="AR27" s="18" t="s">
        <v>295</v>
      </c>
      <c r="AS27" s="18" t="s">
        <v>81</v>
      </c>
      <c r="AT27" s="18" t="s">
        <v>83</v>
      </c>
      <c r="AU27" s="18" t="s">
        <v>81</v>
      </c>
      <c r="AV27" s="18" t="s">
        <v>95</v>
      </c>
      <c r="AW27" s="18" t="s">
        <v>95</v>
      </c>
      <c r="AX27" s="18"/>
      <c r="AY27" s="18" t="str">
        <f>Pospago[[#This Row],[NUM_TELEFONICO]]&amp;"POSPAGOSI"</f>
        <v>958770587POSPAGOSI</v>
      </c>
      <c r="AZ27" s="18" t="str">
        <f>VLOOKUP(Pospago[[#This Row],[NOM_PLAZA_FINAL]],[1]!Locales[#Data],3,0)</f>
        <v>TIENDA MACHALA</v>
      </c>
      <c r="BA27" s="18" t="str">
        <f>IFERROR(VLOOKUP(Pospago[[#This Row],[USUARIO]],[1]!Personal[#Data],6,0),"EJECUTIVO NO REGISTRADO")</f>
        <v>TENORIO MARIA DEL PILAR</v>
      </c>
      <c r="BB27" s="18" t="str">
        <f>Pospago[[#This Row],[TIPO_MOVIMIENTO]]&amp;" "&amp;Pospago[[#This Row],[FORMA_PAGO_FINAL]]</f>
        <v>ALTAS DOMICILIADO</v>
      </c>
      <c r="BC27" s="18">
        <f>DAY(Pospago[[#This Row],[FECHA_ALTA]])</f>
        <v>10</v>
      </c>
      <c r="BD27" s="18">
        <f>IF(Pospago[[#This Row],[TARIFA_BASICA]]=11.42,1,0)</f>
        <v>0</v>
      </c>
      <c r="BE27" s="18">
        <f>IF(Pospago[[#This Row],[PLANES TELEVENTAS]]="SI",1,0)</f>
        <v>0</v>
      </c>
      <c r="BF27" s="18">
        <f>1</f>
        <v>1</v>
      </c>
      <c r="BG27" s="18">
        <f>IF(OR(Pospago[[#This Row],[TARIFA_BASICA]]=11.42,Pospago[[#This Row],[PLANES TELEVENTAS]]="SI"),1,0)</f>
        <v>0</v>
      </c>
      <c r="BH27" s="18" t="str">
        <f>IF(MID(Pospago[[#This Row],[PlanDesc]],1,4) = "PLAN","POSPAGO",IF(MID(Pospago[[#This Row],[PlanDesc]],1,4)="FULL","FULL MEGAS","PREVIOPAGO"))</f>
        <v>PREVIOPAGO</v>
      </c>
      <c r="BI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7" s="21">
        <f>Pospago[[#This Row],[TARIFA_BASICA]]*1.5</f>
        <v>21.419999999999998</v>
      </c>
      <c r="BO27" s="32"/>
      <c r="BP27" s="31"/>
      <c r="BQ27" s="31"/>
      <c r="BR27" s="33"/>
      <c r="BS27" s="34"/>
      <c r="BT27" s="27">
        <f>SUM(UnitariosPospago[TOTAL UNI TB])</f>
        <v>22435.226261205255</v>
      </c>
      <c r="BU27" s="34"/>
      <c r="BV27" s="27">
        <f>SUM(UnitariosPospago[TOTAL UNI BCM])</f>
        <v>15176.531568277343</v>
      </c>
      <c r="BW27" s="29"/>
      <c r="BX27" s="27">
        <f>SUM(UnitariosPospago[TOTAL UNI BFQ])</f>
        <v>44827.993717045443</v>
      </c>
    </row>
    <row r="28" spans="1:76" x14ac:dyDescent="0.25">
      <c r="A28" s="18" t="s">
        <v>154</v>
      </c>
      <c r="B28" s="18" t="s">
        <v>355</v>
      </c>
      <c r="C28" s="18" t="s">
        <v>356</v>
      </c>
      <c r="D28" s="19">
        <v>44909</v>
      </c>
      <c r="E28" s="18" t="s">
        <v>67</v>
      </c>
      <c r="F28" s="18" t="s">
        <v>357</v>
      </c>
      <c r="G28" s="18" t="s">
        <v>358</v>
      </c>
      <c r="H28" s="18" t="s">
        <v>159</v>
      </c>
      <c r="I28" s="18" t="s">
        <v>359</v>
      </c>
      <c r="J28" s="18" t="s">
        <v>360</v>
      </c>
      <c r="K28" s="18" t="s">
        <v>132</v>
      </c>
      <c r="L28" s="20" t="s">
        <v>361</v>
      </c>
      <c r="M28" s="18" t="s">
        <v>75</v>
      </c>
      <c r="N28" s="20" t="s">
        <v>362</v>
      </c>
      <c r="O28" s="18" t="s">
        <v>311</v>
      </c>
      <c r="P28" s="18" t="s">
        <v>78</v>
      </c>
      <c r="Q28" s="19">
        <v>44914</v>
      </c>
      <c r="R28" s="21">
        <v>14.28</v>
      </c>
      <c r="S28" s="18" t="s">
        <v>79</v>
      </c>
      <c r="T28" s="18" t="s">
        <v>80</v>
      </c>
      <c r="U28" s="18" t="s">
        <v>83</v>
      </c>
      <c r="V28" s="18" t="s">
        <v>95</v>
      </c>
      <c r="W28" s="18" t="s">
        <v>95</v>
      </c>
      <c r="X28" s="18" t="s">
        <v>84</v>
      </c>
      <c r="Y28" s="18" t="s">
        <v>85</v>
      </c>
      <c r="Z28" s="18" t="s">
        <v>86</v>
      </c>
      <c r="AA28" s="18" t="s">
        <v>87</v>
      </c>
      <c r="AB28" s="18" t="s">
        <v>289</v>
      </c>
      <c r="AC28" s="18" t="s">
        <v>290</v>
      </c>
      <c r="AD28" s="18" t="s">
        <v>85</v>
      </c>
      <c r="AE28" s="18" t="s">
        <v>90</v>
      </c>
      <c r="AF28" s="18" t="s">
        <v>91</v>
      </c>
      <c r="AG28" s="18" t="s">
        <v>92</v>
      </c>
      <c r="AH28" s="18" t="s">
        <v>165</v>
      </c>
      <c r="AI28" s="18" t="s">
        <v>94</v>
      </c>
      <c r="AJ28" s="19">
        <v>44909</v>
      </c>
      <c r="AK28" s="22" t="s">
        <v>95</v>
      </c>
      <c r="AL28" s="18" t="s">
        <v>95</v>
      </c>
      <c r="AM28" s="18" t="s">
        <v>95</v>
      </c>
      <c r="AN28" s="18" t="s">
        <v>95</v>
      </c>
      <c r="AO28" s="18" t="s">
        <v>95</v>
      </c>
      <c r="AP28" s="18" t="s">
        <v>95</v>
      </c>
      <c r="AQ28" s="18" t="s">
        <v>95</v>
      </c>
      <c r="AR28" s="18" t="s">
        <v>95</v>
      </c>
      <c r="AS28" s="18" t="s">
        <v>83</v>
      </c>
      <c r="AT28" s="18" t="s">
        <v>83</v>
      </c>
      <c r="AU28" s="18" t="s">
        <v>83</v>
      </c>
      <c r="AV28" s="18" t="s">
        <v>95</v>
      </c>
      <c r="AW28" s="18" t="s">
        <v>95</v>
      </c>
      <c r="AX28" s="18"/>
      <c r="AY28" s="18" t="str">
        <f>Pospago[[#This Row],[NUM_TELEFONICO]]&amp;"POSPAGOSI"</f>
        <v>958776671POSPAGOSI</v>
      </c>
      <c r="AZ28" s="18" t="str">
        <f>VLOOKUP(Pospago[[#This Row],[NOM_PLAZA_FINAL]],[1]!Locales[#Data],3,0)</f>
        <v>TIENDA CUENCA CENTRO</v>
      </c>
      <c r="BA28" s="18" t="str">
        <f>IFERROR(VLOOKUP(Pospago[[#This Row],[USUARIO]],[1]!Personal[#Data],6,0),"EJECUTIVO NO REGISTRADO")</f>
        <v>CALLE CHACA JORGE VINICIO</v>
      </c>
      <c r="BB28" s="18" t="str">
        <f>Pospago[[#This Row],[TIPO_MOVIMIENTO]]&amp;" "&amp;Pospago[[#This Row],[FORMA_PAGO_FINAL]]</f>
        <v>TRANSFERENCIAS DOMICILIADO</v>
      </c>
      <c r="BC28" s="18">
        <f>DAY(Pospago[[#This Row],[FECHA_ALTA]])</f>
        <v>14</v>
      </c>
      <c r="BD28" s="18">
        <f>IF(Pospago[[#This Row],[TARIFA_BASICA]]=11.42,1,0)</f>
        <v>0</v>
      </c>
      <c r="BE28" s="18">
        <f>IF(Pospago[[#This Row],[PLANES TELEVENTAS]]="SI",1,0)</f>
        <v>0</v>
      </c>
      <c r="BF28" s="18">
        <f>1</f>
        <v>1</v>
      </c>
      <c r="BG28" s="18">
        <f>IF(OR(Pospago[[#This Row],[TARIFA_BASICA]]=11.42,Pospago[[#This Row],[PLANES TELEVENTAS]]="SI"),1,0)</f>
        <v>0</v>
      </c>
      <c r="BH28" s="18" t="str">
        <f>IF(MID(Pospago[[#This Row],[PlanDesc]],1,4) = "PLAN","POSPAGO",IF(MID(Pospago[[#This Row],[PlanDesc]],1,4)="FULL","FULL MEGAS","PREVIOPAGO"))</f>
        <v>POSPAGO</v>
      </c>
      <c r="BI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8" s="21">
        <f>Pospago[[#This Row],[TARIFA_BASICA]]*1.5</f>
        <v>21.419999999999998</v>
      </c>
    </row>
    <row r="29" spans="1:76" x14ac:dyDescent="0.25">
      <c r="A29" s="18" t="s">
        <v>64</v>
      </c>
      <c r="B29" s="18" t="s">
        <v>363</v>
      </c>
      <c r="C29" s="18" t="s">
        <v>364</v>
      </c>
      <c r="D29" s="19">
        <v>44896</v>
      </c>
      <c r="E29" s="18" t="s">
        <v>67</v>
      </c>
      <c r="F29" s="18" t="s">
        <v>365</v>
      </c>
      <c r="G29" s="18" t="s">
        <v>366</v>
      </c>
      <c r="H29" s="18" t="s">
        <v>70</v>
      </c>
      <c r="I29" s="18" t="s">
        <v>160</v>
      </c>
      <c r="J29" s="18" t="s">
        <v>195</v>
      </c>
      <c r="K29" s="18" t="s">
        <v>95</v>
      </c>
      <c r="L29" s="20" t="s">
        <v>367</v>
      </c>
      <c r="M29" s="18" t="s">
        <v>75</v>
      </c>
      <c r="N29" s="20" t="s">
        <v>368</v>
      </c>
      <c r="O29" s="18" t="s">
        <v>77</v>
      </c>
      <c r="P29" s="18" t="s">
        <v>78</v>
      </c>
      <c r="Q29" s="19">
        <v>44914</v>
      </c>
      <c r="R29" s="21">
        <v>14.28</v>
      </c>
      <c r="S29" s="18" t="s">
        <v>79</v>
      </c>
      <c r="T29" s="18" t="s">
        <v>174</v>
      </c>
      <c r="U29" s="18" t="s">
        <v>83</v>
      </c>
      <c r="V29" s="18" t="s">
        <v>95</v>
      </c>
      <c r="W29" s="18" t="s">
        <v>83</v>
      </c>
      <c r="X29" s="18" t="s">
        <v>118</v>
      </c>
      <c r="Y29" s="18" t="s">
        <v>85</v>
      </c>
      <c r="Z29" s="18" t="s">
        <v>86</v>
      </c>
      <c r="AA29" s="18" t="s">
        <v>119</v>
      </c>
      <c r="AB29" s="18" t="s">
        <v>369</v>
      </c>
      <c r="AC29" s="18" t="s">
        <v>370</v>
      </c>
      <c r="AD29" s="18" t="s">
        <v>85</v>
      </c>
      <c r="AE29" s="18" t="s">
        <v>90</v>
      </c>
      <c r="AF29" s="18" t="s">
        <v>177</v>
      </c>
      <c r="AG29" s="18" t="s">
        <v>139</v>
      </c>
      <c r="AH29" s="18" t="s">
        <v>93</v>
      </c>
      <c r="AI29" s="18" t="s">
        <v>94</v>
      </c>
      <c r="AJ29" s="19">
        <v>44896</v>
      </c>
      <c r="AK29" s="22" t="s">
        <v>95</v>
      </c>
      <c r="AL29" s="18" t="s">
        <v>95</v>
      </c>
      <c r="AM29" s="18" t="s">
        <v>95</v>
      </c>
      <c r="AN29" s="18" t="s">
        <v>95</v>
      </c>
      <c r="AO29" s="18" t="s">
        <v>95</v>
      </c>
      <c r="AP29" s="18" t="s">
        <v>95</v>
      </c>
      <c r="AQ29" s="18" t="s">
        <v>95</v>
      </c>
      <c r="AR29" s="18" t="s">
        <v>95</v>
      </c>
      <c r="AS29" s="18" t="s">
        <v>83</v>
      </c>
      <c r="AT29" s="18" t="s">
        <v>83</v>
      </c>
      <c r="AU29" s="18" t="s">
        <v>81</v>
      </c>
      <c r="AV29" s="18" t="s">
        <v>95</v>
      </c>
      <c r="AW29" s="18" t="s">
        <v>95</v>
      </c>
      <c r="AX29" s="18"/>
      <c r="AY29" s="18" t="str">
        <f>Pospago[[#This Row],[NUM_TELEFONICO]]&amp;"POSPAGOSI"</f>
        <v>958791825POSPAGOSI</v>
      </c>
      <c r="AZ29" s="18" t="str">
        <f>VLOOKUP(Pospago[[#This Row],[NOM_PLAZA_FINAL]],[1]!Locales[#Data],3,0)</f>
        <v>TIENDA RECREO</v>
      </c>
      <c r="BA29" s="18" t="str">
        <f>IFERROR(VLOOKUP(Pospago[[#This Row],[USUARIO]],[1]!Personal[#Data],6,0),"EJECUTIVO NO REGISTRADO")</f>
        <v>GUAIGUA REINOSO GENESIS CAROLINA</v>
      </c>
      <c r="BB29" s="18" t="str">
        <f>Pospago[[#This Row],[TIPO_MOVIMIENTO]]&amp;" "&amp;Pospago[[#This Row],[FORMA_PAGO_FINAL]]</f>
        <v>ALTAS PAGO EN CAJA</v>
      </c>
      <c r="BC29" s="18">
        <f>DAY(Pospago[[#This Row],[FECHA_ALTA]])</f>
        <v>1</v>
      </c>
      <c r="BD29" s="18">
        <f>IF(Pospago[[#This Row],[TARIFA_BASICA]]=11.42,1,0)</f>
        <v>0</v>
      </c>
      <c r="BE29" s="18">
        <f>IF(Pospago[[#This Row],[PLANES TELEVENTAS]]="SI",1,0)</f>
        <v>0</v>
      </c>
      <c r="BF29" s="18">
        <f>1</f>
        <v>1</v>
      </c>
      <c r="BG29" s="18">
        <f>IF(OR(Pospago[[#This Row],[TARIFA_BASICA]]=11.42,Pospago[[#This Row],[PLANES TELEVENTAS]]="SI"),1,0)</f>
        <v>0</v>
      </c>
      <c r="BH29" s="18" t="str">
        <f>IF(MID(Pospago[[#This Row],[PlanDesc]],1,4) = "PLAN","POSPAGO",IF(MID(Pospago[[#This Row],[PlanDesc]],1,4)="FULL","FULL MEGAS","PREVIOPAGO"))</f>
        <v>PREVIOPAGO</v>
      </c>
      <c r="BI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9" s="21">
        <f>Pospago[[#This Row],[TARIFA_BASICA]]*1.5</f>
        <v>21.419999999999998</v>
      </c>
    </row>
    <row r="30" spans="1:76" x14ac:dyDescent="0.25">
      <c r="A30" s="18" t="s">
        <v>154</v>
      </c>
      <c r="B30" s="18" t="s">
        <v>371</v>
      </c>
      <c r="C30" s="18" t="s">
        <v>372</v>
      </c>
      <c r="D30" s="19">
        <v>44900</v>
      </c>
      <c r="E30" s="18" t="s">
        <v>67</v>
      </c>
      <c r="F30" s="18" t="s">
        <v>373</v>
      </c>
      <c r="G30" s="18" t="s">
        <v>374</v>
      </c>
      <c r="H30" s="18" t="s">
        <v>159</v>
      </c>
      <c r="I30" s="18" t="s">
        <v>160</v>
      </c>
      <c r="J30" s="18" t="s">
        <v>161</v>
      </c>
      <c r="K30" s="18" t="s">
        <v>132</v>
      </c>
      <c r="L30" s="20" t="s">
        <v>375</v>
      </c>
      <c r="M30" s="18" t="s">
        <v>75</v>
      </c>
      <c r="N30" s="20" t="s">
        <v>376</v>
      </c>
      <c r="O30" s="18" t="s">
        <v>164</v>
      </c>
      <c r="P30" s="18" t="s">
        <v>78</v>
      </c>
      <c r="Q30" s="19">
        <v>44914</v>
      </c>
      <c r="R30" s="21">
        <v>14.28</v>
      </c>
      <c r="S30" s="18" t="s">
        <v>79</v>
      </c>
      <c r="T30" s="18" t="s">
        <v>232</v>
      </c>
      <c r="U30" s="18" t="s">
        <v>83</v>
      </c>
      <c r="V30" s="18" t="s">
        <v>95</v>
      </c>
      <c r="W30" s="18" t="s">
        <v>95</v>
      </c>
      <c r="X30" s="18" t="s">
        <v>84</v>
      </c>
      <c r="Y30" s="18" t="s">
        <v>85</v>
      </c>
      <c r="Z30" s="18" t="s">
        <v>86</v>
      </c>
      <c r="AA30" s="18" t="s">
        <v>87</v>
      </c>
      <c r="AB30" s="18" t="s">
        <v>377</v>
      </c>
      <c r="AC30" s="18" t="s">
        <v>378</v>
      </c>
      <c r="AD30" s="18" t="s">
        <v>85</v>
      </c>
      <c r="AE30" s="18" t="s">
        <v>90</v>
      </c>
      <c r="AF30" s="18" t="s">
        <v>235</v>
      </c>
      <c r="AG30" s="18" t="s">
        <v>139</v>
      </c>
      <c r="AH30" s="18" t="s">
        <v>165</v>
      </c>
      <c r="AI30" s="18" t="s">
        <v>94</v>
      </c>
      <c r="AJ30" s="19">
        <v>44900</v>
      </c>
      <c r="AK30" s="22" t="s">
        <v>95</v>
      </c>
      <c r="AL30" s="18" t="s">
        <v>95</v>
      </c>
      <c r="AM30" s="18" t="s">
        <v>95</v>
      </c>
      <c r="AN30" s="18" t="s">
        <v>95</v>
      </c>
      <c r="AO30" s="18" t="s">
        <v>95</v>
      </c>
      <c r="AP30" s="18" t="s">
        <v>95</v>
      </c>
      <c r="AQ30" s="18" t="s">
        <v>95</v>
      </c>
      <c r="AR30" s="18" t="s">
        <v>95</v>
      </c>
      <c r="AS30" s="18" t="s">
        <v>83</v>
      </c>
      <c r="AT30" s="18" t="s">
        <v>83</v>
      </c>
      <c r="AU30" s="18" t="s">
        <v>81</v>
      </c>
      <c r="AV30" s="18" t="s">
        <v>95</v>
      </c>
      <c r="AW30" s="18" t="s">
        <v>95</v>
      </c>
      <c r="AX30" s="18"/>
      <c r="AY30" s="18" t="str">
        <f>Pospago[[#This Row],[NUM_TELEFONICO]]&amp;"POSPAGOSI"</f>
        <v>958817348POSPAGOSI</v>
      </c>
      <c r="AZ30" s="18" t="str">
        <f>VLOOKUP(Pospago[[#This Row],[NOM_PLAZA_FINAL]],[1]!Locales[#Data],3,0)</f>
        <v>TIENDA CONDADO</v>
      </c>
      <c r="BA30" s="18" t="str">
        <f>IFERROR(VLOOKUP(Pospago[[#This Row],[USUARIO]],[1]!Personal[#Data],6,0),"EJECUTIVO NO REGISTRADO")</f>
        <v>MELCHIADE ISAAC VALMORE</v>
      </c>
      <c r="BB30" s="18" t="str">
        <f>Pospago[[#This Row],[TIPO_MOVIMIENTO]]&amp;" "&amp;Pospago[[#This Row],[FORMA_PAGO_FINAL]]</f>
        <v>TRANSFERENCIAS DOMICILIADO</v>
      </c>
      <c r="BC30" s="18">
        <f>DAY(Pospago[[#This Row],[FECHA_ALTA]])</f>
        <v>5</v>
      </c>
      <c r="BD30" s="18">
        <f>IF(Pospago[[#This Row],[TARIFA_BASICA]]=11.42,1,0)</f>
        <v>0</v>
      </c>
      <c r="BE30" s="18">
        <f>IF(Pospago[[#This Row],[PLANES TELEVENTAS]]="SI",1,0)</f>
        <v>0</v>
      </c>
      <c r="BF30" s="18">
        <f>1</f>
        <v>1</v>
      </c>
      <c r="BG30" s="18">
        <f>IF(OR(Pospago[[#This Row],[TARIFA_BASICA]]=11.42,Pospago[[#This Row],[PLANES TELEVENTAS]]="SI"),1,0)</f>
        <v>0</v>
      </c>
      <c r="BH30" s="18" t="str">
        <f>IF(MID(Pospago[[#This Row],[PlanDesc]],1,4) = "PLAN","POSPAGO",IF(MID(Pospago[[#This Row],[PlanDesc]],1,4)="FULL","FULL MEGAS","PREVIOPAGO"))</f>
        <v>PREVIOPAGO</v>
      </c>
      <c r="BI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0" s="21">
        <f>Pospago[[#This Row],[TARIFA_BASICA]]*1.5</f>
        <v>21.419999999999998</v>
      </c>
    </row>
    <row r="31" spans="1:76" x14ac:dyDescent="0.25">
      <c r="A31" s="18" t="s">
        <v>64</v>
      </c>
      <c r="B31" s="18" t="s">
        <v>379</v>
      </c>
      <c r="C31" s="18" t="s">
        <v>380</v>
      </c>
      <c r="D31" s="19">
        <v>44908</v>
      </c>
      <c r="E31" s="18" t="s">
        <v>67</v>
      </c>
      <c r="F31" s="18" t="s">
        <v>381</v>
      </c>
      <c r="G31" s="18" t="s">
        <v>382</v>
      </c>
      <c r="H31" s="18" t="s">
        <v>70</v>
      </c>
      <c r="I31" s="18" t="s">
        <v>194</v>
      </c>
      <c r="J31" s="18" t="s">
        <v>195</v>
      </c>
      <c r="K31" s="18" t="s">
        <v>73</v>
      </c>
      <c r="L31" s="20" t="s">
        <v>383</v>
      </c>
      <c r="M31" s="18" t="s">
        <v>75</v>
      </c>
      <c r="N31" s="20" t="s">
        <v>384</v>
      </c>
      <c r="O31" s="18" t="s">
        <v>77</v>
      </c>
      <c r="P31" s="18" t="s">
        <v>78</v>
      </c>
      <c r="Q31" s="19">
        <v>44914</v>
      </c>
      <c r="R31" s="21">
        <v>14.28</v>
      </c>
      <c r="S31" s="18" t="s">
        <v>79</v>
      </c>
      <c r="T31" s="18" t="s">
        <v>148</v>
      </c>
      <c r="U31" s="18" t="s">
        <v>83</v>
      </c>
      <c r="V31" s="18" t="s">
        <v>95</v>
      </c>
      <c r="W31" s="18" t="s">
        <v>83</v>
      </c>
      <c r="X31" s="18" t="s">
        <v>84</v>
      </c>
      <c r="Y31" s="18" t="s">
        <v>85</v>
      </c>
      <c r="Z31" s="18" t="s">
        <v>86</v>
      </c>
      <c r="AA31" s="18" t="s">
        <v>87</v>
      </c>
      <c r="AB31" s="18" t="s">
        <v>385</v>
      </c>
      <c r="AC31" s="18" t="s">
        <v>386</v>
      </c>
      <c r="AD31" s="18" t="s">
        <v>85</v>
      </c>
      <c r="AE31" s="18" t="s">
        <v>90</v>
      </c>
      <c r="AF31" s="18" t="s">
        <v>151</v>
      </c>
      <c r="AG31" s="18" t="s">
        <v>92</v>
      </c>
      <c r="AH31" s="18" t="s">
        <v>93</v>
      </c>
      <c r="AI31" s="18" t="s">
        <v>94</v>
      </c>
      <c r="AJ31" s="19">
        <v>44908</v>
      </c>
      <c r="AK31" s="22" t="s">
        <v>95</v>
      </c>
      <c r="AL31" s="18" t="s">
        <v>95</v>
      </c>
      <c r="AM31" s="18" t="s">
        <v>95</v>
      </c>
      <c r="AN31" s="18" t="s">
        <v>95</v>
      </c>
      <c r="AO31" s="18" t="s">
        <v>95</v>
      </c>
      <c r="AP31" s="18" t="s">
        <v>95</v>
      </c>
      <c r="AQ31" s="18" t="s">
        <v>95</v>
      </c>
      <c r="AR31" s="18" t="s">
        <v>95</v>
      </c>
      <c r="AS31" s="18" t="s">
        <v>83</v>
      </c>
      <c r="AT31" s="18" t="s">
        <v>81</v>
      </c>
      <c r="AU31" s="18" t="s">
        <v>81</v>
      </c>
      <c r="AV31" s="18" t="s">
        <v>95</v>
      </c>
      <c r="AW31" s="18" t="s">
        <v>95</v>
      </c>
      <c r="AX31" s="18"/>
      <c r="AY31" s="18" t="str">
        <f>Pospago[[#This Row],[NUM_TELEFONICO]]&amp;"POSPAGOSI"</f>
        <v>958843346POSPAGOSI</v>
      </c>
      <c r="AZ31" s="18" t="str">
        <f>VLOOKUP(Pospago[[#This Row],[NOM_PLAZA_FINAL]],[1]!Locales[#Data],3,0)</f>
        <v>TIENDA CUENCA REMIGIO</v>
      </c>
      <c r="BA31" s="18" t="str">
        <f>IFERROR(VLOOKUP(Pospago[[#This Row],[USUARIO]],[1]!Personal[#Data],6,0),"EJECUTIVO NO REGISTRADO")</f>
        <v>RAMIREZ RUBIO NELLY LILIANA</v>
      </c>
      <c r="BB31" s="18" t="str">
        <f>Pospago[[#This Row],[TIPO_MOVIMIENTO]]&amp;" "&amp;Pospago[[#This Row],[FORMA_PAGO_FINAL]]</f>
        <v>ALTAS DOMICILIADO</v>
      </c>
      <c r="BC31" s="18">
        <f>DAY(Pospago[[#This Row],[FECHA_ALTA]])</f>
        <v>13</v>
      </c>
      <c r="BD31" s="18">
        <f>IF(Pospago[[#This Row],[TARIFA_BASICA]]=11.42,1,0)</f>
        <v>0</v>
      </c>
      <c r="BE31" s="18">
        <f>IF(Pospago[[#This Row],[PLANES TELEVENTAS]]="SI",1,0)</f>
        <v>1</v>
      </c>
      <c r="BF31" s="18">
        <f>1</f>
        <v>1</v>
      </c>
      <c r="BG31" s="18">
        <f>IF(OR(Pospago[[#This Row],[TARIFA_BASICA]]=11.42,Pospago[[#This Row],[PLANES TELEVENTAS]]="SI"),1,0)</f>
        <v>1</v>
      </c>
      <c r="BH31" s="18" t="str">
        <f>IF(MID(Pospago[[#This Row],[PlanDesc]],1,4) = "PLAN","POSPAGO",IF(MID(Pospago[[#This Row],[PlanDesc]],1,4)="FULL","FULL MEGAS","PREVIOPAGO"))</f>
        <v>PREVIOPAGO</v>
      </c>
      <c r="BI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" s="21">
        <f>Pospago[[#This Row],[TARIFA_BASICA]]*1.5</f>
        <v>21.419999999999998</v>
      </c>
    </row>
    <row r="32" spans="1:76" x14ac:dyDescent="0.25">
      <c r="A32" s="18" t="s">
        <v>154</v>
      </c>
      <c r="B32" s="18" t="s">
        <v>387</v>
      </c>
      <c r="C32" s="18" t="s">
        <v>388</v>
      </c>
      <c r="D32" s="19">
        <v>44898</v>
      </c>
      <c r="E32" s="18" t="s">
        <v>67</v>
      </c>
      <c r="F32" s="18" t="s">
        <v>389</v>
      </c>
      <c r="G32" s="18" t="s">
        <v>390</v>
      </c>
      <c r="H32" s="18" t="s">
        <v>391</v>
      </c>
      <c r="I32" s="18" t="s">
        <v>392</v>
      </c>
      <c r="J32" s="18" t="s">
        <v>393</v>
      </c>
      <c r="K32" s="18" t="s">
        <v>196</v>
      </c>
      <c r="L32" s="20" t="s">
        <v>394</v>
      </c>
      <c r="M32" s="18" t="s">
        <v>75</v>
      </c>
      <c r="N32" s="20" t="s">
        <v>395</v>
      </c>
      <c r="O32" s="18" t="s">
        <v>164</v>
      </c>
      <c r="P32" s="18" t="s">
        <v>78</v>
      </c>
      <c r="Q32" s="19">
        <v>44914</v>
      </c>
      <c r="R32" s="21">
        <v>15</v>
      </c>
      <c r="S32" s="18" t="s">
        <v>79</v>
      </c>
      <c r="T32" s="18" t="s">
        <v>174</v>
      </c>
      <c r="U32" s="18" t="s">
        <v>83</v>
      </c>
      <c r="V32" s="18" t="s">
        <v>95</v>
      </c>
      <c r="W32" s="18" t="s">
        <v>95</v>
      </c>
      <c r="X32" s="18" t="s">
        <v>84</v>
      </c>
      <c r="Y32" s="18" t="s">
        <v>85</v>
      </c>
      <c r="Z32" s="18" t="s">
        <v>86</v>
      </c>
      <c r="AA32" s="18" t="s">
        <v>87</v>
      </c>
      <c r="AB32" s="18" t="s">
        <v>396</v>
      </c>
      <c r="AC32" s="18" t="s">
        <v>397</v>
      </c>
      <c r="AD32" s="18" t="s">
        <v>85</v>
      </c>
      <c r="AE32" s="18" t="s">
        <v>90</v>
      </c>
      <c r="AF32" s="18" t="s">
        <v>177</v>
      </c>
      <c r="AG32" s="18" t="s">
        <v>139</v>
      </c>
      <c r="AH32" s="18" t="s">
        <v>165</v>
      </c>
      <c r="AI32" s="18" t="s">
        <v>94</v>
      </c>
      <c r="AJ32" s="19">
        <v>44898</v>
      </c>
      <c r="AK32" s="22" t="s">
        <v>95</v>
      </c>
      <c r="AL32" s="18" t="s">
        <v>95</v>
      </c>
      <c r="AM32" s="18" t="s">
        <v>95</v>
      </c>
      <c r="AN32" s="18" t="s">
        <v>95</v>
      </c>
      <c r="AO32" s="18" t="s">
        <v>95</v>
      </c>
      <c r="AP32" s="18" t="s">
        <v>95</v>
      </c>
      <c r="AQ32" s="18" t="s">
        <v>95</v>
      </c>
      <c r="AR32" s="18" t="s">
        <v>95</v>
      </c>
      <c r="AS32" s="18" t="s">
        <v>83</v>
      </c>
      <c r="AT32" s="18" t="s">
        <v>81</v>
      </c>
      <c r="AU32" s="18" t="s">
        <v>81</v>
      </c>
      <c r="AV32" s="18" t="s">
        <v>95</v>
      </c>
      <c r="AW32" s="18" t="s">
        <v>95</v>
      </c>
      <c r="AX32" s="18"/>
      <c r="AY32" s="18" t="str">
        <f>Pospago[[#This Row],[NUM_TELEFONICO]]&amp;"POSPAGOSI"</f>
        <v>958844077POSPAGOSI</v>
      </c>
      <c r="AZ32" s="18" t="str">
        <f>VLOOKUP(Pospago[[#This Row],[NOM_PLAZA_FINAL]],[1]!Locales[#Data],3,0)</f>
        <v>TIENDA RECREO</v>
      </c>
      <c r="BA32" s="18" t="str">
        <f>IFERROR(VLOOKUP(Pospago[[#This Row],[USUARIO]],[1]!Personal[#Data],6,0),"EJECUTIVO NO REGISTRADO")</f>
        <v>VINUEZA VELASCO ANGY DAYANA</v>
      </c>
      <c r="BB32" s="18" t="str">
        <f>Pospago[[#This Row],[TIPO_MOVIMIENTO]]&amp;" "&amp;Pospago[[#This Row],[FORMA_PAGO_FINAL]]</f>
        <v>TRANSFERENCIAS DOMICILIADO</v>
      </c>
      <c r="BC32" s="18">
        <f>DAY(Pospago[[#This Row],[FECHA_ALTA]])</f>
        <v>3</v>
      </c>
      <c r="BD32" s="18">
        <f>IF(Pospago[[#This Row],[TARIFA_BASICA]]=11.42,1,0)</f>
        <v>0</v>
      </c>
      <c r="BE32" s="18">
        <f>IF(Pospago[[#This Row],[PLANES TELEVENTAS]]="SI",1,0)</f>
        <v>1</v>
      </c>
      <c r="BF32" s="18">
        <f>1</f>
        <v>1</v>
      </c>
      <c r="BG32" s="18">
        <f>IF(OR(Pospago[[#This Row],[TARIFA_BASICA]]=11.42,Pospago[[#This Row],[PLANES TELEVENTAS]]="SI"),1,0)</f>
        <v>1</v>
      </c>
      <c r="BH32" s="18" t="str">
        <f>IF(MID(Pospago[[#This Row],[PlanDesc]],1,4) = "PLAN","POSPAGO",IF(MID(Pospago[[#This Row],[PlanDesc]],1,4)="FULL","FULL MEGAS","PREVIOPAGO"))</f>
        <v>PREVIOPAGO</v>
      </c>
      <c r="BI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2" s="21">
        <f>Pospago[[#This Row],[TARIFA_BASICA]]*1.5</f>
        <v>22.5</v>
      </c>
    </row>
    <row r="33" spans="1:63" x14ac:dyDescent="0.25">
      <c r="A33" s="18" t="s">
        <v>64</v>
      </c>
      <c r="B33" s="18" t="s">
        <v>398</v>
      </c>
      <c r="C33" s="18" t="s">
        <v>399</v>
      </c>
      <c r="D33" s="19">
        <v>44904</v>
      </c>
      <c r="E33" s="18" t="s">
        <v>67</v>
      </c>
      <c r="F33" s="18" t="s">
        <v>400</v>
      </c>
      <c r="G33" s="18" t="s">
        <v>401</v>
      </c>
      <c r="H33" s="18" t="s">
        <v>70</v>
      </c>
      <c r="I33" s="18" t="s">
        <v>194</v>
      </c>
      <c r="J33" s="18" t="s">
        <v>195</v>
      </c>
      <c r="K33" s="18" t="s">
        <v>132</v>
      </c>
      <c r="L33" s="20" t="s">
        <v>402</v>
      </c>
      <c r="M33" s="18" t="s">
        <v>75</v>
      </c>
      <c r="N33" s="20" t="s">
        <v>403</v>
      </c>
      <c r="O33" s="18" t="s">
        <v>77</v>
      </c>
      <c r="P33" s="18" t="s">
        <v>78</v>
      </c>
      <c r="Q33" s="19">
        <v>44914</v>
      </c>
      <c r="R33" s="21">
        <v>14.28</v>
      </c>
      <c r="S33" s="18" t="s">
        <v>79</v>
      </c>
      <c r="T33" s="18" t="s">
        <v>174</v>
      </c>
      <c r="U33" s="18" t="s">
        <v>83</v>
      </c>
      <c r="V33" s="18" t="s">
        <v>95</v>
      </c>
      <c r="W33" s="18" t="s">
        <v>83</v>
      </c>
      <c r="X33" s="18" t="s">
        <v>84</v>
      </c>
      <c r="Y33" s="18" t="s">
        <v>85</v>
      </c>
      <c r="Z33" s="18" t="s">
        <v>86</v>
      </c>
      <c r="AA33" s="18" t="s">
        <v>87</v>
      </c>
      <c r="AB33" s="18" t="s">
        <v>404</v>
      </c>
      <c r="AC33" s="18" t="s">
        <v>405</v>
      </c>
      <c r="AD33" s="18" t="s">
        <v>85</v>
      </c>
      <c r="AE33" s="18" t="s">
        <v>90</v>
      </c>
      <c r="AF33" s="18" t="s">
        <v>177</v>
      </c>
      <c r="AG33" s="18" t="s">
        <v>139</v>
      </c>
      <c r="AH33" s="18" t="s">
        <v>93</v>
      </c>
      <c r="AI33" s="18" t="s">
        <v>94</v>
      </c>
      <c r="AJ33" s="19">
        <v>44904</v>
      </c>
      <c r="AK33" s="22" t="s">
        <v>95</v>
      </c>
      <c r="AL33" s="18" t="s">
        <v>95</v>
      </c>
      <c r="AM33" s="18" t="s">
        <v>95</v>
      </c>
      <c r="AN33" s="18" t="s">
        <v>95</v>
      </c>
      <c r="AO33" s="18" t="s">
        <v>95</v>
      </c>
      <c r="AP33" s="18" t="s">
        <v>95</v>
      </c>
      <c r="AQ33" s="18" t="s">
        <v>95</v>
      </c>
      <c r="AR33" s="18" t="s">
        <v>95</v>
      </c>
      <c r="AS33" s="18" t="s">
        <v>83</v>
      </c>
      <c r="AT33" s="18" t="s">
        <v>81</v>
      </c>
      <c r="AU33" s="18" t="s">
        <v>81</v>
      </c>
      <c r="AV33" s="18" t="s">
        <v>95</v>
      </c>
      <c r="AW33" s="18" t="s">
        <v>95</v>
      </c>
      <c r="AX33" s="18"/>
      <c r="AY33" s="18" t="str">
        <f>Pospago[[#This Row],[NUM_TELEFONICO]]&amp;"POSPAGOSI"</f>
        <v>958848150POSPAGOSI</v>
      </c>
      <c r="AZ33" s="18" t="str">
        <f>VLOOKUP(Pospago[[#This Row],[NOM_PLAZA_FINAL]],[1]!Locales[#Data],3,0)</f>
        <v>TIENDA RECREO</v>
      </c>
      <c r="BA33" s="18" t="str">
        <f>IFERROR(VLOOKUP(Pospago[[#This Row],[USUARIO]],[1]!Personal[#Data],6,0),"EJECUTIVO NO REGISTRADO")</f>
        <v>OTERO YEPEZ ANDREA SOLEDAD</v>
      </c>
      <c r="BB33" s="18" t="str">
        <f>Pospago[[#This Row],[TIPO_MOVIMIENTO]]&amp;" "&amp;Pospago[[#This Row],[FORMA_PAGO_FINAL]]</f>
        <v>ALTAS DOMICILIADO</v>
      </c>
      <c r="BC33" s="18">
        <f>DAY(Pospago[[#This Row],[FECHA_ALTA]])</f>
        <v>9</v>
      </c>
      <c r="BD33" s="18">
        <f>IF(Pospago[[#This Row],[TARIFA_BASICA]]=11.42,1,0)</f>
        <v>0</v>
      </c>
      <c r="BE33" s="18">
        <f>IF(Pospago[[#This Row],[PLANES TELEVENTAS]]="SI",1,0)</f>
        <v>1</v>
      </c>
      <c r="BF33" s="18">
        <f>1</f>
        <v>1</v>
      </c>
      <c r="BG33" s="18">
        <f>IF(OR(Pospago[[#This Row],[TARIFA_BASICA]]=11.42,Pospago[[#This Row],[PLANES TELEVENTAS]]="SI"),1,0)</f>
        <v>1</v>
      </c>
      <c r="BH33" s="18" t="str">
        <f>IF(MID(Pospago[[#This Row],[PlanDesc]],1,4) = "PLAN","POSPAGO",IF(MID(Pospago[[#This Row],[PlanDesc]],1,4)="FULL","FULL MEGAS","PREVIOPAGO"))</f>
        <v>PREVIOPAGO</v>
      </c>
      <c r="BI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3" s="21">
        <f>Pospago[[#This Row],[TARIFA_BASICA]]*1.5</f>
        <v>21.419999999999998</v>
      </c>
    </row>
    <row r="34" spans="1:63" x14ac:dyDescent="0.25">
      <c r="A34" s="18" t="s">
        <v>64</v>
      </c>
      <c r="B34" s="18" t="s">
        <v>406</v>
      </c>
      <c r="C34" s="18" t="s">
        <v>407</v>
      </c>
      <c r="D34" s="19">
        <v>44900</v>
      </c>
      <c r="E34" s="18" t="s">
        <v>67</v>
      </c>
      <c r="F34" s="18" t="s">
        <v>408</v>
      </c>
      <c r="G34" s="18" t="s">
        <v>409</v>
      </c>
      <c r="H34" s="18" t="s">
        <v>70</v>
      </c>
      <c r="I34" s="18" t="s">
        <v>160</v>
      </c>
      <c r="J34" s="18" t="s">
        <v>195</v>
      </c>
      <c r="K34" s="18" t="s">
        <v>132</v>
      </c>
      <c r="L34" s="20" t="s">
        <v>410</v>
      </c>
      <c r="M34" s="18" t="s">
        <v>75</v>
      </c>
      <c r="N34" s="20" t="s">
        <v>411</v>
      </c>
      <c r="O34" s="18" t="s">
        <v>77</v>
      </c>
      <c r="P34" s="18" t="s">
        <v>78</v>
      </c>
      <c r="Q34" s="19">
        <v>44914</v>
      </c>
      <c r="R34" s="21">
        <v>14.28</v>
      </c>
      <c r="S34" s="18" t="s">
        <v>79</v>
      </c>
      <c r="T34" s="18" t="s">
        <v>232</v>
      </c>
      <c r="U34" s="18" t="s">
        <v>83</v>
      </c>
      <c r="V34" s="18" t="s">
        <v>95</v>
      </c>
      <c r="W34" s="18" t="s">
        <v>83</v>
      </c>
      <c r="X34" s="18" t="s">
        <v>84</v>
      </c>
      <c r="Y34" s="18" t="s">
        <v>85</v>
      </c>
      <c r="Z34" s="18" t="s">
        <v>86</v>
      </c>
      <c r="AA34" s="18" t="s">
        <v>87</v>
      </c>
      <c r="AB34" s="18" t="s">
        <v>412</v>
      </c>
      <c r="AC34" s="18" t="s">
        <v>413</v>
      </c>
      <c r="AD34" s="18" t="s">
        <v>85</v>
      </c>
      <c r="AE34" s="18" t="s">
        <v>90</v>
      </c>
      <c r="AF34" s="18" t="s">
        <v>235</v>
      </c>
      <c r="AG34" s="18" t="s">
        <v>139</v>
      </c>
      <c r="AH34" s="18" t="s">
        <v>93</v>
      </c>
      <c r="AI34" s="18" t="s">
        <v>94</v>
      </c>
      <c r="AJ34" s="19">
        <v>44900</v>
      </c>
      <c r="AK34" s="22" t="s">
        <v>95</v>
      </c>
      <c r="AL34" s="18" t="s">
        <v>95</v>
      </c>
      <c r="AM34" s="18" t="s">
        <v>95</v>
      </c>
      <c r="AN34" s="18" t="s">
        <v>95</v>
      </c>
      <c r="AO34" s="18" t="s">
        <v>95</v>
      </c>
      <c r="AP34" s="18" t="s">
        <v>95</v>
      </c>
      <c r="AQ34" s="18" t="s">
        <v>95</v>
      </c>
      <c r="AR34" s="18" t="s">
        <v>95</v>
      </c>
      <c r="AS34" s="18" t="s">
        <v>83</v>
      </c>
      <c r="AT34" s="18" t="s">
        <v>83</v>
      </c>
      <c r="AU34" s="18" t="s">
        <v>81</v>
      </c>
      <c r="AV34" s="18" t="s">
        <v>95</v>
      </c>
      <c r="AW34" s="18" t="s">
        <v>95</v>
      </c>
      <c r="AX34" s="18"/>
      <c r="AY34" s="18" t="str">
        <f>Pospago[[#This Row],[NUM_TELEFONICO]]&amp;"POSPAGOSI"</f>
        <v>958857005POSPAGOSI</v>
      </c>
      <c r="AZ34" s="18" t="str">
        <f>VLOOKUP(Pospago[[#This Row],[NOM_PLAZA_FINAL]],[1]!Locales[#Data],3,0)</f>
        <v>TIENDA CONDADO</v>
      </c>
      <c r="BA34" s="18" t="str">
        <f>IFERROR(VLOOKUP(Pospago[[#This Row],[USUARIO]],[1]!Personal[#Data],6,0),"EJECUTIVO NO REGISTRADO")</f>
        <v>PADILLA MALDONADO HENRY LEOPOLDO</v>
      </c>
      <c r="BB34" s="18" t="str">
        <f>Pospago[[#This Row],[TIPO_MOVIMIENTO]]&amp;" "&amp;Pospago[[#This Row],[FORMA_PAGO_FINAL]]</f>
        <v>ALTAS DOMICILIADO</v>
      </c>
      <c r="BC34" s="18">
        <f>DAY(Pospago[[#This Row],[FECHA_ALTA]])</f>
        <v>5</v>
      </c>
      <c r="BD34" s="18">
        <f>IF(Pospago[[#This Row],[TARIFA_BASICA]]=11.42,1,0)</f>
        <v>0</v>
      </c>
      <c r="BE34" s="18">
        <f>IF(Pospago[[#This Row],[PLANES TELEVENTAS]]="SI",1,0)</f>
        <v>0</v>
      </c>
      <c r="BF34" s="18">
        <f>1</f>
        <v>1</v>
      </c>
      <c r="BG34" s="18">
        <f>IF(OR(Pospago[[#This Row],[TARIFA_BASICA]]=11.42,Pospago[[#This Row],[PLANES TELEVENTAS]]="SI"),1,0)</f>
        <v>0</v>
      </c>
      <c r="BH34" s="18" t="str">
        <f>IF(MID(Pospago[[#This Row],[PlanDesc]],1,4) = "PLAN","POSPAGO",IF(MID(Pospago[[#This Row],[PlanDesc]],1,4)="FULL","FULL MEGAS","PREVIOPAGO"))</f>
        <v>PREVIOPAGO</v>
      </c>
      <c r="BI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4" s="21">
        <f>Pospago[[#This Row],[TARIFA_BASICA]]*1.5</f>
        <v>21.419999999999998</v>
      </c>
    </row>
    <row r="35" spans="1:63" x14ac:dyDescent="0.25">
      <c r="A35" s="18" t="s">
        <v>64</v>
      </c>
      <c r="B35" s="18" t="s">
        <v>414</v>
      </c>
      <c r="C35" s="18" t="s">
        <v>415</v>
      </c>
      <c r="D35" s="19">
        <v>44897</v>
      </c>
      <c r="E35" s="18" t="s">
        <v>67</v>
      </c>
      <c r="F35" s="18" t="s">
        <v>416</v>
      </c>
      <c r="G35" s="18" t="s">
        <v>417</v>
      </c>
      <c r="H35" s="18" t="s">
        <v>70</v>
      </c>
      <c r="I35" s="18" t="s">
        <v>194</v>
      </c>
      <c r="J35" s="18" t="s">
        <v>195</v>
      </c>
      <c r="K35" s="18" t="s">
        <v>132</v>
      </c>
      <c r="L35" s="20" t="s">
        <v>418</v>
      </c>
      <c r="M35" s="18" t="s">
        <v>75</v>
      </c>
      <c r="N35" s="20" t="s">
        <v>419</v>
      </c>
      <c r="O35" s="18" t="s">
        <v>77</v>
      </c>
      <c r="P35" s="18" t="s">
        <v>78</v>
      </c>
      <c r="Q35" s="19">
        <v>44914</v>
      </c>
      <c r="R35" s="21">
        <v>14.28</v>
      </c>
      <c r="S35" s="18" t="s">
        <v>79</v>
      </c>
      <c r="T35" s="18" t="s">
        <v>148</v>
      </c>
      <c r="U35" s="18" t="s">
        <v>83</v>
      </c>
      <c r="V35" s="18" t="s">
        <v>95</v>
      </c>
      <c r="W35" s="18" t="s">
        <v>83</v>
      </c>
      <c r="X35" s="18" t="s">
        <v>84</v>
      </c>
      <c r="Y35" s="18" t="s">
        <v>85</v>
      </c>
      <c r="Z35" s="18" t="s">
        <v>86</v>
      </c>
      <c r="AA35" s="18" t="s">
        <v>87</v>
      </c>
      <c r="AB35" s="18" t="s">
        <v>420</v>
      </c>
      <c r="AC35" s="18" t="s">
        <v>421</v>
      </c>
      <c r="AD35" s="18" t="s">
        <v>85</v>
      </c>
      <c r="AE35" s="18" t="s">
        <v>90</v>
      </c>
      <c r="AF35" s="18" t="s">
        <v>151</v>
      </c>
      <c r="AG35" s="18" t="s">
        <v>92</v>
      </c>
      <c r="AH35" s="18" t="s">
        <v>93</v>
      </c>
      <c r="AI35" s="18" t="s">
        <v>94</v>
      </c>
      <c r="AJ35" s="19">
        <v>44897</v>
      </c>
      <c r="AK35" s="22" t="s">
        <v>95</v>
      </c>
      <c r="AL35" s="18" t="s">
        <v>95</v>
      </c>
      <c r="AM35" s="18" t="s">
        <v>95</v>
      </c>
      <c r="AN35" s="18" t="s">
        <v>95</v>
      </c>
      <c r="AO35" s="18" t="s">
        <v>95</v>
      </c>
      <c r="AP35" s="18" t="s">
        <v>95</v>
      </c>
      <c r="AQ35" s="18" t="s">
        <v>95</v>
      </c>
      <c r="AR35" s="18" t="s">
        <v>95</v>
      </c>
      <c r="AS35" s="18" t="s">
        <v>83</v>
      </c>
      <c r="AT35" s="18" t="s">
        <v>81</v>
      </c>
      <c r="AU35" s="18" t="s">
        <v>81</v>
      </c>
      <c r="AV35" s="18" t="s">
        <v>95</v>
      </c>
      <c r="AW35" s="18" t="s">
        <v>95</v>
      </c>
      <c r="AX35" s="18"/>
      <c r="AY35" s="18" t="str">
        <f>Pospago[[#This Row],[NUM_TELEFONICO]]&amp;"POSPAGOSI"</f>
        <v>958865205POSPAGOSI</v>
      </c>
      <c r="AZ35" s="18" t="str">
        <f>VLOOKUP(Pospago[[#This Row],[NOM_PLAZA_FINAL]],[1]!Locales[#Data],3,0)</f>
        <v>TIENDA CUENCA REMIGIO</v>
      </c>
      <c r="BA35" s="18" t="str">
        <f>IFERROR(VLOOKUP(Pospago[[#This Row],[USUARIO]],[1]!Personal[#Data],6,0),"EJECUTIVO NO REGISTRADO")</f>
        <v>YEPEZ PALOMEQUE DIANA PATRICIA</v>
      </c>
      <c r="BB35" s="18" t="str">
        <f>Pospago[[#This Row],[TIPO_MOVIMIENTO]]&amp;" "&amp;Pospago[[#This Row],[FORMA_PAGO_FINAL]]</f>
        <v>ALTAS DOMICILIADO</v>
      </c>
      <c r="BC35" s="18">
        <f>DAY(Pospago[[#This Row],[FECHA_ALTA]])</f>
        <v>2</v>
      </c>
      <c r="BD35" s="18">
        <f>IF(Pospago[[#This Row],[TARIFA_BASICA]]=11.42,1,0)</f>
        <v>0</v>
      </c>
      <c r="BE35" s="18">
        <f>IF(Pospago[[#This Row],[PLANES TELEVENTAS]]="SI",1,0)</f>
        <v>1</v>
      </c>
      <c r="BF35" s="18">
        <f>1</f>
        <v>1</v>
      </c>
      <c r="BG35" s="18">
        <f>IF(OR(Pospago[[#This Row],[TARIFA_BASICA]]=11.42,Pospago[[#This Row],[PLANES TELEVENTAS]]="SI"),1,0)</f>
        <v>1</v>
      </c>
      <c r="BH35" s="18" t="str">
        <f>IF(MID(Pospago[[#This Row],[PlanDesc]],1,4) = "PLAN","POSPAGO",IF(MID(Pospago[[#This Row],[PlanDesc]],1,4)="FULL","FULL MEGAS","PREVIOPAGO"))</f>
        <v>PREVIOPAGO</v>
      </c>
      <c r="BI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" s="21">
        <f>Pospago[[#This Row],[TARIFA_BASICA]]*1.5</f>
        <v>21.419999999999998</v>
      </c>
    </row>
    <row r="36" spans="1:63" x14ac:dyDescent="0.25">
      <c r="A36" s="18" t="s">
        <v>154</v>
      </c>
      <c r="B36" s="18" t="s">
        <v>422</v>
      </c>
      <c r="C36" s="18" t="s">
        <v>423</v>
      </c>
      <c r="D36" s="19">
        <v>44904</v>
      </c>
      <c r="E36" s="18" t="s">
        <v>67</v>
      </c>
      <c r="F36" s="18" t="s">
        <v>424</v>
      </c>
      <c r="G36" s="18" t="s">
        <v>425</v>
      </c>
      <c r="H36" s="18" t="s">
        <v>159</v>
      </c>
      <c r="I36" s="18" t="s">
        <v>227</v>
      </c>
      <c r="J36" s="18" t="s">
        <v>426</v>
      </c>
      <c r="K36" s="18" t="s">
        <v>73</v>
      </c>
      <c r="L36" s="20" t="s">
        <v>427</v>
      </c>
      <c r="M36" s="18" t="s">
        <v>75</v>
      </c>
      <c r="N36" s="20" t="s">
        <v>428</v>
      </c>
      <c r="O36" s="18" t="s">
        <v>164</v>
      </c>
      <c r="P36" s="18" t="s">
        <v>78</v>
      </c>
      <c r="Q36" s="19">
        <v>44914</v>
      </c>
      <c r="R36" s="21">
        <v>21.42</v>
      </c>
      <c r="S36" s="18" t="s">
        <v>79</v>
      </c>
      <c r="T36" s="18" t="s">
        <v>174</v>
      </c>
      <c r="U36" s="18" t="s">
        <v>83</v>
      </c>
      <c r="V36" s="18" t="s">
        <v>95</v>
      </c>
      <c r="W36" s="18" t="s">
        <v>95</v>
      </c>
      <c r="X36" s="18" t="s">
        <v>84</v>
      </c>
      <c r="Y36" s="18" t="s">
        <v>85</v>
      </c>
      <c r="Z36" s="18" t="s">
        <v>86</v>
      </c>
      <c r="AA36" s="18" t="s">
        <v>87</v>
      </c>
      <c r="AB36" s="18" t="s">
        <v>175</v>
      </c>
      <c r="AC36" s="18" t="s">
        <v>176</v>
      </c>
      <c r="AD36" s="18" t="s">
        <v>85</v>
      </c>
      <c r="AE36" s="18" t="s">
        <v>90</v>
      </c>
      <c r="AF36" s="18" t="s">
        <v>177</v>
      </c>
      <c r="AG36" s="18" t="s">
        <v>139</v>
      </c>
      <c r="AH36" s="18" t="s">
        <v>165</v>
      </c>
      <c r="AI36" s="18" t="s">
        <v>94</v>
      </c>
      <c r="AJ36" s="19">
        <v>44904</v>
      </c>
      <c r="AK36" s="22" t="s">
        <v>95</v>
      </c>
      <c r="AL36" s="18" t="s">
        <v>95</v>
      </c>
      <c r="AM36" s="18" t="s">
        <v>95</v>
      </c>
      <c r="AN36" s="18" t="s">
        <v>95</v>
      </c>
      <c r="AO36" s="18" t="s">
        <v>95</v>
      </c>
      <c r="AP36" s="18" t="s">
        <v>95</v>
      </c>
      <c r="AQ36" s="18" t="s">
        <v>95</v>
      </c>
      <c r="AR36" s="18" t="s">
        <v>95</v>
      </c>
      <c r="AS36" s="18" t="s">
        <v>83</v>
      </c>
      <c r="AT36" s="18" t="s">
        <v>83</v>
      </c>
      <c r="AU36" s="18" t="s">
        <v>81</v>
      </c>
      <c r="AV36" s="18" t="s">
        <v>95</v>
      </c>
      <c r="AW36" s="18" t="s">
        <v>95</v>
      </c>
      <c r="AX36" s="18"/>
      <c r="AY36" s="18" t="str">
        <f>Pospago[[#This Row],[NUM_TELEFONICO]]&amp;"POSPAGOSI"</f>
        <v>958868811POSPAGOSI</v>
      </c>
      <c r="AZ36" s="18" t="str">
        <f>VLOOKUP(Pospago[[#This Row],[NOM_PLAZA_FINAL]],[1]!Locales[#Data],3,0)</f>
        <v>TIENDA RECREO</v>
      </c>
      <c r="BA36" s="18" t="str">
        <f>IFERROR(VLOOKUP(Pospago[[#This Row],[USUARIO]],[1]!Personal[#Data],6,0),"EJECUTIVO NO REGISTRADO")</f>
        <v>VARGAS REYES LUIS EDUARDO</v>
      </c>
      <c r="BB36" s="18" t="str">
        <f>Pospago[[#This Row],[TIPO_MOVIMIENTO]]&amp;" "&amp;Pospago[[#This Row],[FORMA_PAGO_FINAL]]</f>
        <v>TRANSFERENCIAS DOMICILIADO</v>
      </c>
      <c r="BC36" s="18">
        <f>DAY(Pospago[[#This Row],[FECHA_ALTA]])</f>
        <v>9</v>
      </c>
      <c r="BD36" s="18">
        <f>IF(Pospago[[#This Row],[TARIFA_BASICA]]=11.42,1,0)</f>
        <v>0</v>
      </c>
      <c r="BE36" s="18">
        <f>IF(Pospago[[#This Row],[PLANES TELEVENTAS]]="SI",1,0)</f>
        <v>0</v>
      </c>
      <c r="BF36" s="18">
        <f>1</f>
        <v>1</v>
      </c>
      <c r="BG36" s="18">
        <f>IF(OR(Pospago[[#This Row],[TARIFA_BASICA]]=11.42,Pospago[[#This Row],[PLANES TELEVENTAS]]="SI"),1,0)</f>
        <v>0</v>
      </c>
      <c r="BH36" s="18" t="str">
        <f>IF(MID(Pospago[[#This Row],[PlanDesc]],1,4) = "PLAN","POSPAGO",IF(MID(Pospago[[#This Row],[PlanDesc]],1,4)="FULL","FULL MEGAS","PREVIOPAGO"))</f>
        <v>PREVIOPAGO</v>
      </c>
      <c r="BI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</v>
      </c>
      <c r="BJ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6" s="21">
        <f>Pospago[[#This Row],[TARIFA_BASICA]]*1.5</f>
        <v>32.130000000000003</v>
      </c>
    </row>
    <row r="37" spans="1:63" x14ac:dyDescent="0.25">
      <c r="A37" s="18" t="s">
        <v>154</v>
      </c>
      <c r="B37" s="18" t="s">
        <v>429</v>
      </c>
      <c r="C37" s="18" t="s">
        <v>430</v>
      </c>
      <c r="D37" s="19">
        <v>44906</v>
      </c>
      <c r="E37" s="18" t="s">
        <v>67</v>
      </c>
      <c r="F37" s="18" t="s">
        <v>431</v>
      </c>
      <c r="G37" s="18" t="s">
        <v>432</v>
      </c>
      <c r="H37" s="18" t="s">
        <v>159</v>
      </c>
      <c r="I37" s="18" t="s">
        <v>130</v>
      </c>
      <c r="J37" s="18" t="s">
        <v>433</v>
      </c>
      <c r="K37" s="18" t="s">
        <v>132</v>
      </c>
      <c r="L37" s="20" t="s">
        <v>434</v>
      </c>
      <c r="M37" s="18" t="s">
        <v>75</v>
      </c>
      <c r="N37" s="20" t="s">
        <v>435</v>
      </c>
      <c r="O37" s="18" t="s">
        <v>164</v>
      </c>
      <c r="P37" s="18" t="s">
        <v>78</v>
      </c>
      <c r="Q37" s="19">
        <v>44914</v>
      </c>
      <c r="R37" s="21">
        <v>15</v>
      </c>
      <c r="S37" s="18" t="s">
        <v>79</v>
      </c>
      <c r="T37" s="18" t="s">
        <v>232</v>
      </c>
      <c r="U37" s="18" t="s">
        <v>83</v>
      </c>
      <c r="V37" s="18" t="s">
        <v>95</v>
      </c>
      <c r="W37" s="18" t="s">
        <v>95</v>
      </c>
      <c r="X37" s="18" t="s">
        <v>215</v>
      </c>
      <c r="Y37" s="18" t="s">
        <v>85</v>
      </c>
      <c r="Z37" s="18" t="s">
        <v>86</v>
      </c>
      <c r="AA37" s="18" t="s">
        <v>87</v>
      </c>
      <c r="AB37" s="18" t="s">
        <v>280</v>
      </c>
      <c r="AC37" s="18" t="s">
        <v>281</v>
      </c>
      <c r="AD37" s="18" t="s">
        <v>85</v>
      </c>
      <c r="AE37" s="18" t="s">
        <v>90</v>
      </c>
      <c r="AF37" s="18" t="s">
        <v>235</v>
      </c>
      <c r="AG37" s="18" t="s">
        <v>139</v>
      </c>
      <c r="AH37" s="18" t="s">
        <v>165</v>
      </c>
      <c r="AI37" s="18" t="s">
        <v>94</v>
      </c>
      <c r="AJ37" s="19">
        <v>44906</v>
      </c>
      <c r="AK37" s="22" t="s">
        <v>95</v>
      </c>
      <c r="AL37" s="18" t="s">
        <v>95</v>
      </c>
      <c r="AM37" s="18" t="s">
        <v>95</v>
      </c>
      <c r="AN37" s="18" t="s">
        <v>95</v>
      </c>
      <c r="AO37" s="18" t="s">
        <v>95</v>
      </c>
      <c r="AP37" s="18" t="s">
        <v>95</v>
      </c>
      <c r="AQ37" s="18" t="s">
        <v>95</v>
      </c>
      <c r="AR37" s="18" t="s">
        <v>95</v>
      </c>
      <c r="AS37" s="18" t="s">
        <v>83</v>
      </c>
      <c r="AT37" s="18" t="s">
        <v>83</v>
      </c>
      <c r="AU37" s="18" t="s">
        <v>81</v>
      </c>
      <c r="AV37" s="18" t="s">
        <v>95</v>
      </c>
      <c r="AW37" s="18" t="s">
        <v>95</v>
      </c>
      <c r="AX37" s="18"/>
      <c r="AY37" s="18" t="str">
        <f>Pospago[[#This Row],[NUM_TELEFONICO]]&amp;"POSPAGOSI"</f>
        <v>958870030POSPAGOSI</v>
      </c>
      <c r="AZ37" s="18" t="str">
        <f>VLOOKUP(Pospago[[#This Row],[NOM_PLAZA_FINAL]],[1]!Locales[#Data],3,0)</f>
        <v>TIENDA CONDADO</v>
      </c>
      <c r="BA37" s="18" t="str">
        <f>IFERROR(VLOOKUP(Pospago[[#This Row],[USUARIO]],[1]!Personal[#Data],6,0),"EJECUTIVO NO REGISTRADO")</f>
        <v>GUACHAMIN CAZA HUGO ADRIAN</v>
      </c>
      <c r="BB37" s="18" t="str">
        <f>Pospago[[#This Row],[TIPO_MOVIMIENTO]]&amp;" "&amp;Pospago[[#This Row],[FORMA_PAGO_FINAL]]</f>
        <v>TRANSFERENCIAS DOMICILIADO</v>
      </c>
      <c r="BC37" s="18">
        <f>DAY(Pospago[[#This Row],[FECHA_ALTA]])</f>
        <v>11</v>
      </c>
      <c r="BD37" s="18">
        <f>IF(Pospago[[#This Row],[TARIFA_BASICA]]=11.42,1,0)</f>
        <v>0</v>
      </c>
      <c r="BE37" s="18">
        <f>IF(Pospago[[#This Row],[PLANES TELEVENTAS]]="SI",1,0)</f>
        <v>0</v>
      </c>
      <c r="BF37" s="18">
        <f>1</f>
        <v>1</v>
      </c>
      <c r="BG37" s="18">
        <f>IF(OR(Pospago[[#This Row],[TARIFA_BASICA]]=11.42,Pospago[[#This Row],[PLANES TELEVENTAS]]="SI"),1,0)</f>
        <v>0</v>
      </c>
      <c r="BH37" s="18" t="str">
        <f>IF(MID(Pospago[[#This Row],[PlanDesc]],1,4) = "PLAN","POSPAGO",IF(MID(Pospago[[#This Row],[PlanDesc]],1,4)="FULL","FULL MEGAS","PREVIOPAGO"))</f>
        <v>PREVIOPAGO</v>
      </c>
      <c r="BI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7" s="21">
        <f>Pospago[[#This Row],[TARIFA_BASICA]]*1.5</f>
        <v>22.5</v>
      </c>
    </row>
    <row r="38" spans="1:63" x14ac:dyDescent="0.25">
      <c r="A38" s="18" t="s">
        <v>64</v>
      </c>
      <c r="B38" s="18" t="s">
        <v>436</v>
      </c>
      <c r="C38" s="18" t="s">
        <v>437</v>
      </c>
      <c r="D38" s="19">
        <v>44908</v>
      </c>
      <c r="E38" s="18" t="s">
        <v>67</v>
      </c>
      <c r="F38" s="18" t="s">
        <v>438</v>
      </c>
      <c r="G38" s="18" t="s">
        <v>439</v>
      </c>
      <c r="H38" s="18" t="s">
        <v>70</v>
      </c>
      <c r="I38" s="18" t="s">
        <v>160</v>
      </c>
      <c r="J38" s="18" t="s">
        <v>195</v>
      </c>
      <c r="K38" s="18" t="s">
        <v>440</v>
      </c>
      <c r="L38" s="20" t="s">
        <v>441</v>
      </c>
      <c r="M38" s="18" t="s">
        <v>75</v>
      </c>
      <c r="N38" s="20" t="s">
        <v>442</v>
      </c>
      <c r="O38" s="18" t="s">
        <v>77</v>
      </c>
      <c r="P38" s="18" t="s">
        <v>78</v>
      </c>
      <c r="Q38" s="19">
        <v>44914</v>
      </c>
      <c r="R38" s="21">
        <v>14.28</v>
      </c>
      <c r="S38" s="18" t="s">
        <v>79</v>
      </c>
      <c r="T38" s="18" t="s">
        <v>232</v>
      </c>
      <c r="U38" s="18" t="s">
        <v>83</v>
      </c>
      <c r="V38" s="18" t="s">
        <v>95</v>
      </c>
      <c r="W38" s="18" t="s">
        <v>83</v>
      </c>
      <c r="X38" s="18" t="s">
        <v>84</v>
      </c>
      <c r="Y38" s="18" t="s">
        <v>85</v>
      </c>
      <c r="Z38" s="18" t="s">
        <v>86</v>
      </c>
      <c r="AA38" s="18" t="s">
        <v>87</v>
      </c>
      <c r="AB38" s="18" t="s">
        <v>443</v>
      </c>
      <c r="AC38" s="18" t="s">
        <v>444</v>
      </c>
      <c r="AD38" s="18" t="s">
        <v>85</v>
      </c>
      <c r="AE38" s="18" t="s">
        <v>90</v>
      </c>
      <c r="AF38" s="18" t="s">
        <v>235</v>
      </c>
      <c r="AG38" s="18" t="s">
        <v>139</v>
      </c>
      <c r="AH38" s="18" t="s">
        <v>93</v>
      </c>
      <c r="AI38" s="18" t="s">
        <v>94</v>
      </c>
      <c r="AJ38" s="19">
        <v>44908</v>
      </c>
      <c r="AK38" s="22" t="s">
        <v>95</v>
      </c>
      <c r="AL38" s="18" t="s">
        <v>95</v>
      </c>
      <c r="AM38" s="18" t="s">
        <v>95</v>
      </c>
      <c r="AN38" s="18" t="s">
        <v>95</v>
      </c>
      <c r="AO38" s="18" t="s">
        <v>95</v>
      </c>
      <c r="AP38" s="18" t="s">
        <v>95</v>
      </c>
      <c r="AQ38" s="18" t="s">
        <v>95</v>
      </c>
      <c r="AR38" s="18" t="s">
        <v>95</v>
      </c>
      <c r="AS38" s="18" t="s">
        <v>83</v>
      </c>
      <c r="AT38" s="18" t="s">
        <v>83</v>
      </c>
      <c r="AU38" s="18" t="s">
        <v>81</v>
      </c>
      <c r="AV38" s="18" t="s">
        <v>95</v>
      </c>
      <c r="AW38" s="18" t="s">
        <v>95</v>
      </c>
      <c r="AX38" s="18"/>
      <c r="AY38" s="18" t="str">
        <f>Pospago[[#This Row],[NUM_TELEFONICO]]&amp;"POSPAGOSI"</f>
        <v>958873821POSPAGOSI</v>
      </c>
      <c r="AZ38" s="18" t="str">
        <f>VLOOKUP(Pospago[[#This Row],[NOM_PLAZA_FINAL]],[1]!Locales[#Data],3,0)</f>
        <v>TIENDA CONDADO</v>
      </c>
      <c r="BA38" s="18" t="str">
        <f>IFERROR(VLOOKUP(Pospago[[#This Row],[USUARIO]],[1]!Personal[#Data],6,0),"EJECUTIVO NO REGISTRADO")</f>
        <v>JARAMILLO ESPINOZA KENIA KATRINA</v>
      </c>
      <c r="BB38" s="18" t="str">
        <f>Pospago[[#This Row],[TIPO_MOVIMIENTO]]&amp;" "&amp;Pospago[[#This Row],[FORMA_PAGO_FINAL]]</f>
        <v>ALTAS DOMICILIADO</v>
      </c>
      <c r="BC38" s="18">
        <f>DAY(Pospago[[#This Row],[FECHA_ALTA]])</f>
        <v>13</v>
      </c>
      <c r="BD38" s="18">
        <f>IF(Pospago[[#This Row],[TARIFA_BASICA]]=11.42,1,0)</f>
        <v>0</v>
      </c>
      <c r="BE38" s="18">
        <f>IF(Pospago[[#This Row],[PLANES TELEVENTAS]]="SI",1,0)</f>
        <v>0</v>
      </c>
      <c r="BF38" s="18">
        <f>1</f>
        <v>1</v>
      </c>
      <c r="BG38" s="18">
        <f>IF(OR(Pospago[[#This Row],[TARIFA_BASICA]]=11.42,Pospago[[#This Row],[PLANES TELEVENTAS]]="SI"),1,0)</f>
        <v>0</v>
      </c>
      <c r="BH38" s="18" t="str">
        <f>IF(MID(Pospago[[#This Row],[PlanDesc]],1,4) = "PLAN","POSPAGO",IF(MID(Pospago[[#This Row],[PlanDesc]],1,4)="FULL","FULL MEGAS","PREVIOPAGO"))</f>
        <v>PREVIOPAGO</v>
      </c>
      <c r="BI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8" s="21">
        <f>Pospago[[#This Row],[TARIFA_BASICA]]*1.5</f>
        <v>21.419999999999998</v>
      </c>
    </row>
    <row r="39" spans="1:63" x14ac:dyDescent="0.25">
      <c r="A39" s="18" t="s">
        <v>64</v>
      </c>
      <c r="B39" s="18" t="s">
        <v>445</v>
      </c>
      <c r="C39" s="18" t="s">
        <v>446</v>
      </c>
      <c r="D39" s="19">
        <v>44911</v>
      </c>
      <c r="E39" s="18" t="s">
        <v>67</v>
      </c>
      <c r="F39" s="18" t="s">
        <v>447</v>
      </c>
      <c r="G39" s="18" t="s">
        <v>448</v>
      </c>
      <c r="H39" s="18" t="s">
        <v>70</v>
      </c>
      <c r="I39" s="18" t="s">
        <v>112</v>
      </c>
      <c r="J39" s="18" t="s">
        <v>113</v>
      </c>
      <c r="K39" s="18" t="s">
        <v>132</v>
      </c>
      <c r="L39" s="20" t="s">
        <v>449</v>
      </c>
      <c r="M39" s="18" t="s">
        <v>75</v>
      </c>
      <c r="N39" s="20" t="s">
        <v>450</v>
      </c>
      <c r="O39" s="18" t="s">
        <v>77</v>
      </c>
      <c r="P39" s="18" t="s">
        <v>78</v>
      </c>
      <c r="Q39" s="19">
        <v>44914</v>
      </c>
      <c r="R39" s="21">
        <v>17.850000000000001</v>
      </c>
      <c r="S39" s="18" t="s">
        <v>79</v>
      </c>
      <c r="T39" s="18" t="s">
        <v>232</v>
      </c>
      <c r="U39" s="18" t="s">
        <v>83</v>
      </c>
      <c r="V39" s="18" t="s">
        <v>95</v>
      </c>
      <c r="W39" s="18" t="s">
        <v>83</v>
      </c>
      <c r="X39" s="18" t="s">
        <v>118</v>
      </c>
      <c r="Y39" s="18" t="s">
        <v>85</v>
      </c>
      <c r="Z39" s="18" t="s">
        <v>86</v>
      </c>
      <c r="AA39" s="18" t="s">
        <v>119</v>
      </c>
      <c r="AB39" s="18" t="s">
        <v>443</v>
      </c>
      <c r="AC39" s="18" t="s">
        <v>444</v>
      </c>
      <c r="AD39" s="18" t="s">
        <v>85</v>
      </c>
      <c r="AE39" s="18" t="s">
        <v>90</v>
      </c>
      <c r="AF39" s="18" t="s">
        <v>235</v>
      </c>
      <c r="AG39" s="18" t="s">
        <v>139</v>
      </c>
      <c r="AH39" s="18" t="s">
        <v>93</v>
      </c>
      <c r="AI39" s="18" t="s">
        <v>94</v>
      </c>
      <c r="AJ39" s="19">
        <v>44911</v>
      </c>
      <c r="AK39" s="22" t="s">
        <v>95</v>
      </c>
      <c r="AL39" s="18" t="s">
        <v>95</v>
      </c>
      <c r="AM39" s="18" t="s">
        <v>95</v>
      </c>
      <c r="AN39" s="18" t="s">
        <v>95</v>
      </c>
      <c r="AO39" s="18" t="s">
        <v>95</v>
      </c>
      <c r="AP39" s="18" t="s">
        <v>95</v>
      </c>
      <c r="AQ39" s="18" t="s">
        <v>95</v>
      </c>
      <c r="AR39" s="18" t="s">
        <v>95</v>
      </c>
      <c r="AS39" s="18" t="s">
        <v>83</v>
      </c>
      <c r="AT39" s="18" t="s">
        <v>83</v>
      </c>
      <c r="AU39" s="18" t="s">
        <v>81</v>
      </c>
      <c r="AV39" s="18" t="s">
        <v>95</v>
      </c>
      <c r="AW39" s="18" t="s">
        <v>95</v>
      </c>
      <c r="AX39" s="18"/>
      <c r="AY39" s="18" t="str">
        <f>Pospago[[#This Row],[NUM_TELEFONICO]]&amp;"POSPAGOSI"</f>
        <v>958880956POSPAGOSI</v>
      </c>
      <c r="AZ39" s="18" t="str">
        <f>VLOOKUP(Pospago[[#This Row],[NOM_PLAZA_FINAL]],[1]!Locales[#Data],3,0)</f>
        <v>TIENDA CONDADO</v>
      </c>
      <c r="BA39" s="18" t="str">
        <f>IFERROR(VLOOKUP(Pospago[[#This Row],[USUARIO]],[1]!Personal[#Data],6,0),"EJECUTIVO NO REGISTRADO")</f>
        <v>JARAMILLO ESPINOZA KENIA KATRINA</v>
      </c>
      <c r="BB39" s="18" t="str">
        <f>Pospago[[#This Row],[TIPO_MOVIMIENTO]]&amp;" "&amp;Pospago[[#This Row],[FORMA_PAGO_FINAL]]</f>
        <v>ALTAS PAGO EN CAJA</v>
      </c>
      <c r="BC39" s="18">
        <f>DAY(Pospago[[#This Row],[FECHA_ALTA]])</f>
        <v>16</v>
      </c>
      <c r="BD39" s="18">
        <f>IF(Pospago[[#This Row],[TARIFA_BASICA]]=11.42,1,0)</f>
        <v>0</v>
      </c>
      <c r="BE39" s="18">
        <f>IF(Pospago[[#This Row],[PLANES TELEVENTAS]]="SI",1,0)</f>
        <v>0</v>
      </c>
      <c r="BF39" s="18">
        <f>1</f>
        <v>1</v>
      </c>
      <c r="BG39" s="18">
        <f>IF(OR(Pospago[[#This Row],[TARIFA_BASICA]]=11.42,Pospago[[#This Row],[PLANES TELEVENTAS]]="SI"),1,0)</f>
        <v>0</v>
      </c>
      <c r="BH39" s="18" t="str">
        <f>IF(MID(Pospago[[#This Row],[PlanDesc]],1,4) = "PLAN","POSPAGO",IF(MID(Pospago[[#This Row],[PlanDesc]],1,4)="FULL","FULL MEGAS","PREVIOPAGO"))</f>
        <v>PREVIOPAGO</v>
      </c>
      <c r="BI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9" s="21">
        <f>Pospago[[#This Row],[TARIFA_BASICA]]*1.5</f>
        <v>26.775000000000002</v>
      </c>
    </row>
    <row r="40" spans="1:63" x14ac:dyDescent="0.25">
      <c r="A40" s="18" t="s">
        <v>64</v>
      </c>
      <c r="B40" s="18" t="s">
        <v>451</v>
      </c>
      <c r="C40" s="18" t="s">
        <v>452</v>
      </c>
      <c r="D40" s="19">
        <v>44908</v>
      </c>
      <c r="E40" s="18" t="s">
        <v>67</v>
      </c>
      <c r="F40" s="18" t="s">
        <v>453</v>
      </c>
      <c r="G40" s="18" t="s">
        <v>454</v>
      </c>
      <c r="H40" s="18" t="s">
        <v>70</v>
      </c>
      <c r="I40" s="18" t="s">
        <v>160</v>
      </c>
      <c r="J40" s="18" t="s">
        <v>195</v>
      </c>
      <c r="K40" s="18" t="s">
        <v>95</v>
      </c>
      <c r="L40" s="20" t="s">
        <v>455</v>
      </c>
      <c r="M40" s="18" t="s">
        <v>75</v>
      </c>
      <c r="N40" s="20" t="s">
        <v>456</v>
      </c>
      <c r="O40" s="18" t="s">
        <v>77</v>
      </c>
      <c r="P40" s="18" t="s">
        <v>78</v>
      </c>
      <c r="Q40" s="19">
        <v>44914</v>
      </c>
      <c r="R40" s="21">
        <v>14.28</v>
      </c>
      <c r="S40" s="18" t="s">
        <v>79</v>
      </c>
      <c r="T40" s="18" t="s">
        <v>174</v>
      </c>
      <c r="U40" s="18" t="s">
        <v>83</v>
      </c>
      <c r="V40" s="18" t="s">
        <v>95</v>
      </c>
      <c r="W40" s="18" t="s">
        <v>83</v>
      </c>
      <c r="X40" s="18" t="s">
        <v>118</v>
      </c>
      <c r="Y40" s="18" t="s">
        <v>85</v>
      </c>
      <c r="Z40" s="18" t="s">
        <v>86</v>
      </c>
      <c r="AA40" s="18" t="s">
        <v>119</v>
      </c>
      <c r="AB40" s="18" t="s">
        <v>457</v>
      </c>
      <c r="AC40" s="18" t="s">
        <v>458</v>
      </c>
      <c r="AD40" s="18" t="s">
        <v>85</v>
      </c>
      <c r="AE40" s="18" t="s">
        <v>90</v>
      </c>
      <c r="AF40" s="18" t="s">
        <v>177</v>
      </c>
      <c r="AG40" s="18" t="s">
        <v>139</v>
      </c>
      <c r="AH40" s="18" t="s">
        <v>93</v>
      </c>
      <c r="AI40" s="18" t="s">
        <v>94</v>
      </c>
      <c r="AJ40" s="19">
        <v>44908</v>
      </c>
      <c r="AK40" s="22" t="s">
        <v>95</v>
      </c>
      <c r="AL40" s="18" t="s">
        <v>95</v>
      </c>
      <c r="AM40" s="18" t="s">
        <v>95</v>
      </c>
      <c r="AN40" s="18" t="s">
        <v>95</v>
      </c>
      <c r="AO40" s="18" t="s">
        <v>95</v>
      </c>
      <c r="AP40" s="18" t="s">
        <v>95</v>
      </c>
      <c r="AQ40" s="18" t="s">
        <v>95</v>
      </c>
      <c r="AR40" s="18" t="s">
        <v>95</v>
      </c>
      <c r="AS40" s="18" t="s">
        <v>83</v>
      </c>
      <c r="AT40" s="18" t="s">
        <v>83</v>
      </c>
      <c r="AU40" s="18" t="s">
        <v>81</v>
      </c>
      <c r="AV40" s="18" t="s">
        <v>95</v>
      </c>
      <c r="AW40" s="18" t="s">
        <v>95</v>
      </c>
      <c r="AX40" s="18"/>
      <c r="AY40" s="18" t="str">
        <f>Pospago[[#This Row],[NUM_TELEFONICO]]&amp;"POSPAGOSI"</f>
        <v>958881013POSPAGOSI</v>
      </c>
      <c r="AZ40" s="18" t="str">
        <f>VLOOKUP(Pospago[[#This Row],[NOM_PLAZA_FINAL]],[1]!Locales[#Data],3,0)</f>
        <v>TIENDA RECREO</v>
      </c>
      <c r="BA40" s="18" t="str">
        <f>IFERROR(VLOOKUP(Pospago[[#This Row],[USUARIO]],[1]!Personal[#Data],6,0),"EJECUTIVO NO REGISTRADO")</f>
        <v>LOZADA REYES BERTHA MARIBEL</v>
      </c>
      <c r="BB40" s="18" t="str">
        <f>Pospago[[#This Row],[TIPO_MOVIMIENTO]]&amp;" "&amp;Pospago[[#This Row],[FORMA_PAGO_FINAL]]</f>
        <v>ALTAS PAGO EN CAJA</v>
      </c>
      <c r="BC40" s="18">
        <f>DAY(Pospago[[#This Row],[FECHA_ALTA]])</f>
        <v>13</v>
      </c>
      <c r="BD40" s="18">
        <f>IF(Pospago[[#This Row],[TARIFA_BASICA]]=11.42,1,0)</f>
        <v>0</v>
      </c>
      <c r="BE40" s="18">
        <f>IF(Pospago[[#This Row],[PLANES TELEVENTAS]]="SI",1,0)</f>
        <v>0</v>
      </c>
      <c r="BF40" s="18">
        <f>1</f>
        <v>1</v>
      </c>
      <c r="BG40" s="18">
        <f>IF(OR(Pospago[[#This Row],[TARIFA_BASICA]]=11.42,Pospago[[#This Row],[PLANES TELEVENTAS]]="SI"),1,0)</f>
        <v>0</v>
      </c>
      <c r="BH40" s="18" t="str">
        <f>IF(MID(Pospago[[#This Row],[PlanDesc]],1,4) = "PLAN","POSPAGO",IF(MID(Pospago[[#This Row],[PlanDesc]],1,4)="FULL","FULL MEGAS","PREVIOPAGO"))</f>
        <v>PREVIOPAGO</v>
      </c>
      <c r="BI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0" s="21">
        <f>Pospago[[#This Row],[TARIFA_BASICA]]*1.5</f>
        <v>21.419999999999998</v>
      </c>
    </row>
    <row r="41" spans="1:63" x14ac:dyDescent="0.25">
      <c r="A41" s="18" t="s">
        <v>64</v>
      </c>
      <c r="B41" s="18" t="s">
        <v>459</v>
      </c>
      <c r="C41" s="18" t="s">
        <v>460</v>
      </c>
      <c r="D41" s="19">
        <v>44905</v>
      </c>
      <c r="E41" s="18" t="s">
        <v>67</v>
      </c>
      <c r="F41" s="18" t="s">
        <v>461</v>
      </c>
      <c r="G41" s="18" t="s">
        <v>462</v>
      </c>
      <c r="H41" s="18" t="s">
        <v>70</v>
      </c>
      <c r="I41" s="18" t="s">
        <v>160</v>
      </c>
      <c r="J41" s="18" t="s">
        <v>195</v>
      </c>
      <c r="K41" s="18" t="s">
        <v>132</v>
      </c>
      <c r="L41" s="20" t="s">
        <v>463</v>
      </c>
      <c r="M41" s="18" t="s">
        <v>75</v>
      </c>
      <c r="N41" s="20" t="s">
        <v>464</v>
      </c>
      <c r="O41" s="18" t="s">
        <v>77</v>
      </c>
      <c r="P41" s="18" t="s">
        <v>78</v>
      </c>
      <c r="Q41" s="19">
        <v>44914</v>
      </c>
      <c r="R41" s="21">
        <v>14.28</v>
      </c>
      <c r="S41" s="18" t="s">
        <v>79</v>
      </c>
      <c r="T41" s="18" t="s">
        <v>174</v>
      </c>
      <c r="U41" s="18" t="s">
        <v>83</v>
      </c>
      <c r="V41" s="18" t="s">
        <v>95</v>
      </c>
      <c r="W41" s="18" t="s">
        <v>83</v>
      </c>
      <c r="X41" s="18" t="s">
        <v>215</v>
      </c>
      <c r="Y41" s="18" t="s">
        <v>85</v>
      </c>
      <c r="Z41" s="18" t="s">
        <v>86</v>
      </c>
      <c r="AA41" s="18" t="s">
        <v>87</v>
      </c>
      <c r="AB41" s="18" t="s">
        <v>457</v>
      </c>
      <c r="AC41" s="18" t="s">
        <v>458</v>
      </c>
      <c r="AD41" s="18" t="s">
        <v>85</v>
      </c>
      <c r="AE41" s="18" t="s">
        <v>90</v>
      </c>
      <c r="AF41" s="18" t="s">
        <v>177</v>
      </c>
      <c r="AG41" s="18" t="s">
        <v>139</v>
      </c>
      <c r="AH41" s="18" t="s">
        <v>93</v>
      </c>
      <c r="AI41" s="18" t="s">
        <v>94</v>
      </c>
      <c r="AJ41" s="19">
        <v>44905</v>
      </c>
      <c r="AK41" s="22" t="s">
        <v>95</v>
      </c>
      <c r="AL41" s="18" t="s">
        <v>95</v>
      </c>
      <c r="AM41" s="18" t="s">
        <v>95</v>
      </c>
      <c r="AN41" s="18" t="s">
        <v>95</v>
      </c>
      <c r="AO41" s="18" t="s">
        <v>95</v>
      </c>
      <c r="AP41" s="18" t="s">
        <v>95</v>
      </c>
      <c r="AQ41" s="18" t="s">
        <v>95</v>
      </c>
      <c r="AR41" s="18" t="s">
        <v>95</v>
      </c>
      <c r="AS41" s="18" t="s">
        <v>83</v>
      </c>
      <c r="AT41" s="18" t="s">
        <v>83</v>
      </c>
      <c r="AU41" s="18" t="s">
        <v>81</v>
      </c>
      <c r="AV41" s="18" t="s">
        <v>95</v>
      </c>
      <c r="AW41" s="18" t="s">
        <v>95</v>
      </c>
      <c r="AX41" s="18"/>
      <c r="AY41" s="18" t="str">
        <f>Pospago[[#This Row],[NUM_TELEFONICO]]&amp;"POSPAGOSI"</f>
        <v>958881040POSPAGOSI</v>
      </c>
      <c r="AZ41" s="18" t="str">
        <f>VLOOKUP(Pospago[[#This Row],[NOM_PLAZA_FINAL]],[1]!Locales[#Data],3,0)</f>
        <v>TIENDA RECREO</v>
      </c>
      <c r="BA41" s="18" t="str">
        <f>IFERROR(VLOOKUP(Pospago[[#This Row],[USUARIO]],[1]!Personal[#Data],6,0),"EJECUTIVO NO REGISTRADO")</f>
        <v>LOZADA REYES BERTHA MARIBEL</v>
      </c>
      <c r="BB41" s="18" t="str">
        <f>Pospago[[#This Row],[TIPO_MOVIMIENTO]]&amp;" "&amp;Pospago[[#This Row],[FORMA_PAGO_FINAL]]</f>
        <v>ALTAS DOMICILIADO</v>
      </c>
      <c r="BC41" s="18">
        <f>DAY(Pospago[[#This Row],[FECHA_ALTA]])</f>
        <v>10</v>
      </c>
      <c r="BD41" s="18">
        <f>IF(Pospago[[#This Row],[TARIFA_BASICA]]=11.42,1,0)</f>
        <v>0</v>
      </c>
      <c r="BE41" s="18">
        <f>IF(Pospago[[#This Row],[PLANES TELEVENTAS]]="SI",1,0)</f>
        <v>0</v>
      </c>
      <c r="BF41" s="18">
        <f>1</f>
        <v>1</v>
      </c>
      <c r="BG41" s="18">
        <f>IF(OR(Pospago[[#This Row],[TARIFA_BASICA]]=11.42,Pospago[[#This Row],[PLANES TELEVENTAS]]="SI"),1,0)</f>
        <v>0</v>
      </c>
      <c r="BH41" s="18" t="str">
        <f>IF(MID(Pospago[[#This Row],[PlanDesc]],1,4) = "PLAN","POSPAGO",IF(MID(Pospago[[#This Row],[PlanDesc]],1,4)="FULL","FULL MEGAS","PREVIOPAGO"))</f>
        <v>PREVIOPAGO</v>
      </c>
      <c r="BI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" s="21">
        <f>Pospago[[#This Row],[TARIFA_BASICA]]*1.5</f>
        <v>21.419999999999998</v>
      </c>
    </row>
    <row r="42" spans="1:63" x14ac:dyDescent="0.25">
      <c r="A42" s="18" t="s">
        <v>64</v>
      </c>
      <c r="B42" s="18" t="s">
        <v>465</v>
      </c>
      <c r="C42" s="18" t="s">
        <v>466</v>
      </c>
      <c r="D42" s="19">
        <v>44901</v>
      </c>
      <c r="E42" s="18" t="s">
        <v>67</v>
      </c>
      <c r="F42" s="18" t="s">
        <v>467</v>
      </c>
      <c r="G42" s="18" t="s">
        <v>468</v>
      </c>
      <c r="H42" s="18" t="s">
        <v>70</v>
      </c>
      <c r="I42" s="18" t="s">
        <v>160</v>
      </c>
      <c r="J42" s="18" t="s">
        <v>195</v>
      </c>
      <c r="K42" s="18" t="s">
        <v>469</v>
      </c>
      <c r="L42" s="20" t="s">
        <v>470</v>
      </c>
      <c r="M42" s="18" t="s">
        <v>75</v>
      </c>
      <c r="N42" s="20" t="s">
        <v>471</v>
      </c>
      <c r="O42" s="18" t="s">
        <v>77</v>
      </c>
      <c r="P42" s="18" t="s">
        <v>78</v>
      </c>
      <c r="Q42" s="19">
        <v>44914</v>
      </c>
      <c r="R42" s="21">
        <v>14.28</v>
      </c>
      <c r="S42" s="18" t="s">
        <v>79</v>
      </c>
      <c r="T42" s="18" t="s">
        <v>232</v>
      </c>
      <c r="U42" s="18" t="s">
        <v>83</v>
      </c>
      <c r="V42" s="18" t="s">
        <v>95</v>
      </c>
      <c r="W42" s="18" t="s">
        <v>83</v>
      </c>
      <c r="X42" s="18" t="s">
        <v>84</v>
      </c>
      <c r="Y42" s="18" t="s">
        <v>85</v>
      </c>
      <c r="Z42" s="18" t="s">
        <v>86</v>
      </c>
      <c r="AA42" s="18" t="s">
        <v>87</v>
      </c>
      <c r="AB42" s="18" t="s">
        <v>412</v>
      </c>
      <c r="AC42" s="18" t="s">
        <v>413</v>
      </c>
      <c r="AD42" s="18" t="s">
        <v>85</v>
      </c>
      <c r="AE42" s="18" t="s">
        <v>90</v>
      </c>
      <c r="AF42" s="18" t="s">
        <v>235</v>
      </c>
      <c r="AG42" s="18" t="s">
        <v>139</v>
      </c>
      <c r="AH42" s="18" t="s">
        <v>93</v>
      </c>
      <c r="AI42" s="18" t="s">
        <v>94</v>
      </c>
      <c r="AJ42" s="19">
        <v>44901</v>
      </c>
      <c r="AK42" s="22" t="s">
        <v>95</v>
      </c>
      <c r="AL42" s="18" t="s">
        <v>95</v>
      </c>
      <c r="AM42" s="18" t="s">
        <v>95</v>
      </c>
      <c r="AN42" s="18" t="s">
        <v>95</v>
      </c>
      <c r="AO42" s="18" t="s">
        <v>95</v>
      </c>
      <c r="AP42" s="18" t="s">
        <v>95</v>
      </c>
      <c r="AQ42" s="18" t="s">
        <v>95</v>
      </c>
      <c r="AR42" s="18" t="s">
        <v>95</v>
      </c>
      <c r="AS42" s="18" t="s">
        <v>83</v>
      </c>
      <c r="AT42" s="18" t="s">
        <v>83</v>
      </c>
      <c r="AU42" s="18" t="s">
        <v>81</v>
      </c>
      <c r="AV42" s="18" t="s">
        <v>95</v>
      </c>
      <c r="AW42" s="18" t="s">
        <v>95</v>
      </c>
      <c r="AX42" s="18"/>
      <c r="AY42" s="18" t="str">
        <f>Pospago[[#This Row],[NUM_TELEFONICO]]&amp;"POSPAGOSI"</f>
        <v>958881137POSPAGOSI</v>
      </c>
      <c r="AZ42" s="18" t="str">
        <f>VLOOKUP(Pospago[[#This Row],[NOM_PLAZA_FINAL]],[1]!Locales[#Data],3,0)</f>
        <v>TIENDA CONDADO</v>
      </c>
      <c r="BA42" s="18" t="str">
        <f>IFERROR(VLOOKUP(Pospago[[#This Row],[USUARIO]],[1]!Personal[#Data],6,0),"EJECUTIVO NO REGISTRADO")</f>
        <v>PADILLA MALDONADO HENRY LEOPOLDO</v>
      </c>
      <c r="BB42" s="18" t="str">
        <f>Pospago[[#This Row],[TIPO_MOVIMIENTO]]&amp;" "&amp;Pospago[[#This Row],[FORMA_PAGO_FINAL]]</f>
        <v>ALTAS DOMICILIADO</v>
      </c>
      <c r="BC42" s="18">
        <f>DAY(Pospago[[#This Row],[FECHA_ALTA]])</f>
        <v>6</v>
      </c>
      <c r="BD42" s="18">
        <f>IF(Pospago[[#This Row],[TARIFA_BASICA]]=11.42,1,0)</f>
        <v>0</v>
      </c>
      <c r="BE42" s="18">
        <f>IF(Pospago[[#This Row],[PLANES TELEVENTAS]]="SI",1,0)</f>
        <v>0</v>
      </c>
      <c r="BF42" s="18">
        <f>1</f>
        <v>1</v>
      </c>
      <c r="BG42" s="18">
        <f>IF(OR(Pospago[[#This Row],[TARIFA_BASICA]]=11.42,Pospago[[#This Row],[PLANES TELEVENTAS]]="SI"),1,0)</f>
        <v>0</v>
      </c>
      <c r="BH42" s="18" t="str">
        <f>IF(MID(Pospago[[#This Row],[PlanDesc]],1,4) = "PLAN","POSPAGO",IF(MID(Pospago[[#This Row],[PlanDesc]],1,4)="FULL","FULL MEGAS","PREVIOPAGO"))</f>
        <v>PREVIOPAGO</v>
      </c>
      <c r="BI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2" s="21">
        <f>Pospago[[#This Row],[TARIFA_BASICA]]*1.5</f>
        <v>21.419999999999998</v>
      </c>
    </row>
    <row r="43" spans="1:63" x14ac:dyDescent="0.25">
      <c r="A43" s="18" t="s">
        <v>64</v>
      </c>
      <c r="B43" s="18" t="s">
        <v>472</v>
      </c>
      <c r="C43" s="18" t="s">
        <v>473</v>
      </c>
      <c r="D43" s="19">
        <v>44896</v>
      </c>
      <c r="E43" s="18" t="s">
        <v>246</v>
      </c>
      <c r="F43" s="18" t="s">
        <v>474</v>
      </c>
      <c r="G43" s="18" t="s">
        <v>475</v>
      </c>
      <c r="H43" s="18" t="s">
        <v>70</v>
      </c>
      <c r="I43" s="18" t="s">
        <v>194</v>
      </c>
      <c r="J43" s="18" t="s">
        <v>195</v>
      </c>
      <c r="K43" s="18" t="s">
        <v>95</v>
      </c>
      <c r="L43" s="20" t="s">
        <v>476</v>
      </c>
      <c r="M43" s="18" t="s">
        <v>75</v>
      </c>
      <c r="N43" s="20" t="s">
        <v>477</v>
      </c>
      <c r="O43" s="18" t="s">
        <v>77</v>
      </c>
      <c r="P43" s="18" t="s">
        <v>78</v>
      </c>
      <c r="Q43" s="19">
        <v>44914</v>
      </c>
      <c r="R43" s="21">
        <v>14.28</v>
      </c>
      <c r="S43" s="18" t="s">
        <v>79</v>
      </c>
      <c r="T43" s="18" t="s">
        <v>135</v>
      </c>
      <c r="U43" s="18" t="s">
        <v>83</v>
      </c>
      <c r="V43" s="18" t="s">
        <v>95</v>
      </c>
      <c r="W43" s="18" t="s">
        <v>83</v>
      </c>
      <c r="X43" s="18" t="s">
        <v>118</v>
      </c>
      <c r="Y43" s="18" t="s">
        <v>85</v>
      </c>
      <c r="Z43" s="18" t="s">
        <v>86</v>
      </c>
      <c r="AA43" s="18" t="s">
        <v>119</v>
      </c>
      <c r="AB43" s="18" t="s">
        <v>478</v>
      </c>
      <c r="AC43" s="18" t="s">
        <v>479</v>
      </c>
      <c r="AD43" s="18" t="s">
        <v>85</v>
      </c>
      <c r="AE43" s="18" t="s">
        <v>90</v>
      </c>
      <c r="AF43" s="18" t="s">
        <v>138</v>
      </c>
      <c r="AG43" s="18" t="s">
        <v>139</v>
      </c>
      <c r="AH43" s="18" t="s">
        <v>93</v>
      </c>
      <c r="AI43" s="18" t="s">
        <v>94</v>
      </c>
      <c r="AJ43" s="19">
        <v>44896</v>
      </c>
      <c r="AK43" s="22" t="s">
        <v>95</v>
      </c>
      <c r="AL43" s="18" t="s">
        <v>95</v>
      </c>
      <c r="AM43" s="18" t="s">
        <v>95</v>
      </c>
      <c r="AN43" s="18" t="s">
        <v>95</v>
      </c>
      <c r="AO43" s="18" t="s">
        <v>95</v>
      </c>
      <c r="AP43" s="18" t="s">
        <v>95</v>
      </c>
      <c r="AQ43" s="18" t="s">
        <v>95</v>
      </c>
      <c r="AR43" s="18" t="s">
        <v>95</v>
      </c>
      <c r="AS43" s="18" t="s">
        <v>83</v>
      </c>
      <c r="AT43" s="18" t="s">
        <v>81</v>
      </c>
      <c r="AU43" s="18" t="s">
        <v>81</v>
      </c>
      <c r="AV43" s="18" t="s">
        <v>95</v>
      </c>
      <c r="AW43" s="18" t="s">
        <v>95</v>
      </c>
      <c r="AX43" s="18"/>
      <c r="AY43" s="18" t="str">
        <f>Pospago[[#This Row],[NUM_TELEFONICO]]&amp;"POSPAGOSI"</f>
        <v>958887386POSPAGOSI</v>
      </c>
      <c r="AZ43" s="18" t="str">
        <f>VLOOKUP(Pospago[[#This Row],[NOM_PLAZA_FINAL]],[1]!Locales[#Data],3,0)</f>
        <v>TIENDA AMERICA</v>
      </c>
      <c r="BA43" s="18" t="str">
        <f>IFERROR(VLOOKUP(Pospago[[#This Row],[USUARIO]],[1]!Personal[#Data],6,0),"EJECUTIVO NO REGISTRADO")</f>
        <v>REINO TUFINO PAULTEH KATHERINE</v>
      </c>
      <c r="BB43" s="18" t="str">
        <f>Pospago[[#This Row],[TIPO_MOVIMIENTO]]&amp;" "&amp;Pospago[[#This Row],[FORMA_PAGO_FINAL]]</f>
        <v>ALTAS PAGO EN CAJA</v>
      </c>
      <c r="BC43" s="18">
        <f>DAY(Pospago[[#This Row],[FECHA_ALTA]])</f>
        <v>1</v>
      </c>
      <c r="BD43" s="18">
        <f>IF(Pospago[[#This Row],[TARIFA_BASICA]]=11.42,1,0)</f>
        <v>0</v>
      </c>
      <c r="BE43" s="18">
        <f>IF(Pospago[[#This Row],[PLANES TELEVENTAS]]="SI",1,0)</f>
        <v>1</v>
      </c>
      <c r="BF43" s="18">
        <f>1</f>
        <v>1</v>
      </c>
      <c r="BG43" s="18">
        <f>IF(OR(Pospago[[#This Row],[TARIFA_BASICA]]=11.42,Pospago[[#This Row],[PLANES TELEVENTAS]]="SI"),1,0)</f>
        <v>1</v>
      </c>
      <c r="BH43" s="18" t="str">
        <f>IF(MID(Pospago[[#This Row],[PlanDesc]],1,4) = "PLAN","POSPAGO",IF(MID(Pospago[[#This Row],[PlanDesc]],1,4)="FULL","FULL MEGAS","PREVIOPAGO"))</f>
        <v>PREVIOPAGO</v>
      </c>
      <c r="BI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3" s="21">
        <f>Pospago[[#This Row],[TARIFA_BASICA]]*1.5</f>
        <v>21.419999999999998</v>
      </c>
    </row>
    <row r="44" spans="1:63" x14ac:dyDescent="0.25">
      <c r="A44" s="18" t="s">
        <v>64</v>
      </c>
      <c r="B44" s="18" t="s">
        <v>480</v>
      </c>
      <c r="C44" s="18" t="s">
        <v>481</v>
      </c>
      <c r="D44" s="19">
        <v>44896</v>
      </c>
      <c r="E44" s="18" t="s">
        <v>67</v>
      </c>
      <c r="F44" s="18" t="s">
        <v>482</v>
      </c>
      <c r="G44" s="18" t="s">
        <v>483</v>
      </c>
      <c r="H44" s="18" t="s">
        <v>70</v>
      </c>
      <c r="I44" s="18" t="s">
        <v>112</v>
      </c>
      <c r="J44" s="18" t="s">
        <v>113</v>
      </c>
      <c r="K44" s="18" t="s">
        <v>73</v>
      </c>
      <c r="L44" s="20" t="s">
        <v>484</v>
      </c>
      <c r="M44" s="18" t="s">
        <v>75</v>
      </c>
      <c r="N44" s="20" t="s">
        <v>485</v>
      </c>
      <c r="O44" s="18" t="s">
        <v>77</v>
      </c>
      <c r="P44" s="18" t="s">
        <v>78</v>
      </c>
      <c r="Q44" s="19">
        <v>44914</v>
      </c>
      <c r="R44" s="21">
        <v>17.850000000000001</v>
      </c>
      <c r="S44" s="18" t="s">
        <v>79</v>
      </c>
      <c r="T44" s="18" t="s">
        <v>148</v>
      </c>
      <c r="U44" s="18" t="s">
        <v>83</v>
      </c>
      <c r="V44" s="18" t="s">
        <v>95</v>
      </c>
      <c r="W44" s="18" t="s">
        <v>83</v>
      </c>
      <c r="X44" s="18" t="s">
        <v>84</v>
      </c>
      <c r="Y44" s="18" t="s">
        <v>85</v>
      </c>
      <c r="Z44" s="18" t="s">
        <v>86</v>
      </c>
      <c r="AA44" s="18" t="s">
        <v>87</v>
      </c>
      <c r="AB44" s="18" t="s">
        <v>385</v>
      </c>
      <c r="AC44" s="18" t="s">
        <v>386</v>
      </c>
      <c r="AD44" s="18" t="s">
        <v>85</v>
      </c>
      <c r="AE44" s="18" t="s">
        <v>90</v>
      </c>
      <c r="AF44" s="18" t="s">
        <v>151</v>
      </c>
      <c r="AG44" s="18" t="s">
        <v>92</v>
      </c>
      <c r="AH44" s="18" t="s">
        <v>93</v>
      </c>
      <c r="AI44" s="18" t="s">
        <v>94</v>
      </c>
      <c r="AJ44" s="19">
        <v>44896</v>
      </c>
      <c r="AK44" s="22" t="s">
        <v>95</v>
      </c>
      <c r="AL44" s="18" t="s">
        <v>95</v>
      </c>
      <c r="AM44" s="18" t="s">
        <v>95</v>
      </c>
      <c r="AN44" s="18" t="s">
        <v>95</v>
      </c>
      <c r="AO44" s="18" t="s">
        <v>95</v>
      </c>
      <c r="AP44" s="18" t="s">
        <v>95</v>
      </c>
      <c r="AQ44" s="18" t="s">
        <v>95</v>
      </c>
      <c r="AR44" s="18" t="s">
        <v>95</v>
      </c>
      <c r="AS44" s="18" t="s">
        <v>83</v>
      </c>
      <c r="AT44" s="18" t="s">
        <v>83</v>
      </c>
      <c r="AU44" s="18" t="s">
        <v>81</v>
      </c>
      <c r="AV44" s="18" t="s">
        <v>95</v>
      </c>
      <c r="AW44" s="18" t="s">
        <v>95</v>
      </c>
      <c r="AX44" s="18"/>
      <c r="AY44" s="18" t="str">
        <f>Pospago[[#This Row],[NUM_TELEFONICO]]&amp;"POSPAGOSI"</f>
        <v>958891617POSPAGOSI</v>
      </c>
      <c r="AZ44" s="18" t="str">
        <f>VLOOKUP(Pospago[[#This Row],[NOM_PLAZA_FINAL]],[1]!Locales[#Data],3,0)</f>
        <v>TIENDA CUENCA REMIGIO</v>
      </c>
      <c r="BA44" s="18" t="str">
        <f>IFERROR(VLOOKUP(Pospago[[#This Row],[USUARIO]],[1]!Personal[#Data],6,0),"EJECUTIVO NO REGISTRADO")</f>
        <v>RAMIREZ RUBIO NELLY LILIANA</v>
      </c>
      <c r="BB44" s="18" t="str">
        <f>Pospago[[#This Row],[TIPO_MOVIMIENTO]]&amp;" "&amp;Pospago[[#This Row],[FORMA_PAGO_FINAL]]</f>
        <v>ALTAS DOMICILIADO</v>
      </c>
      <c r="BC44" s="18">
        <f>DAY(Pospago[[#This Row],[FECHA_ALTA]])</f>
        <v>1</v>
      </c>
      <c r="BD44" s="18">
        <f>IF(Pospago[[#This Row],[TARIFA_BASICA]]=11.42,1,0)</f>
        <v>0</v>
      </c>
      <c r="BE44" s="18">
        <f>IF(Pospago[[#This Row],[PLANES TELEVENTAS]]="SI",1,0)</f>
        <v>0</v>
      </c>
      <c r="BF44" s="18">
        <f>1</f>
        <v>1</v>
      </c>
      <c r="BG44" s="18">
        <f>IF(OR(Pospago[[#This Row],[TARIFA_BASICA]]=11.42,Pospago[[#This Row],[PLANES TELEVENTAS]]="SI"),1,0)</f>
        <v>0</v>
      </c>
      <c r="BH44" s="18" t="str">
        <f>IF(MID(Pospago[[#This Row],[PlanDesc]],1,4) = "PLAN","POSPAGO",IF(MID(Pospago[[#This Row],[PlanDesc]],1,4)="FULL","FULL MEGAS","PREVIOPAGO"))</f>
        <v>PREVIOPAGO</v>
      </c>
      <c r="BI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4" s="21">
        <f>Pospago[[#This Row],[TARIFA_BASICA]]*1.5</f>
        <v>26.775000000000002</v>
      </c>
    </row>
    <row r="45" spans="1:63" x14ac:dyDescent="0.25">
      <c r="A45" s="18" t="s">
        <v>64</v>
      </c>
      <c r="B45" s="18" t="s">
        <v>486</v>
      </c>
      <c r="C45" s="18" t="s">
        <v>487</v>
      </c>
      <c r="D45" s="19">
        <v>44911</v>
      </c>
      <c r="E45" s="18" t="s">
        <v>67</v>
      </c>
      <c r="F45" s="18" t="s">
        <v>488</v>
      </c>
      <c r="G45" s="18" t="s">
        <v>489</v>
      </c>
      <c r="H45" s="18" t="s">
        <v>70</v>
      </c>
      <c r="I45" s="18" t="s">
        <v>130</v>
      </c>
      <c r="J45" s="18" t="s">
        <v>131</v>
      </c>
      <c r="K45" s="18" t="s">
        <v>132</v>
      </c>
      <c r="L45" s="20" t="s">
        <v>490</v>
      </c>
      <c r="M45" s="18" t="s">
        <v>287</v>
      </c>
      <c r="N45" s="20" t="s">
        <v>491</v>
      </c>
      <c r="O45" s="18" t="s">
        <v>77</v>
      </c>
      <c r="P45" s="18" t="s">
        <v>78</v>
      </c>
      <c r="Q45" s="19">
        <v>44914</v>
      </c>
      <c r="R45" s="21">
        <v>15</v>
      </c>
      <c r="S45" s="18" t="s">
        <v>79</v>
      </c>
      <c r="T45" s="18" t="s">
        <v>174</v>
      </c>
      <c r="U45" s="18" t="s">
        <v>83</v>
      </c>
      <c r="V45" s="18" t="s">
        <v>95</v>
      </c>
      <c r="W45" s="18" t="s">
        <v>83</v>
      </c>
      <c r="X45" s="18" t="s">
        <v>84</v>
      </c>
      <c r="Y45" s="18" t="s">
        <v>85</v>
      </c>
      <c r="Z45" s="18" t="s">
        <v>86</v>
      </c>
      <c r="AA45" s="18" t="s">
        <v>87</v>
      </c>
      <c r="AB45" s="18" t="s">
        <v>492</v>
      </c>
      <c r="AC45" s="18" t="s">
        <v>493</v>
      </c>
      <c r="AD45" s="18" t="s">
        <v>85</v>
      </c>
      <c r="AE45" s="18" t="s">
        <v>90</v>
      </c>
      <c r="AF45" s="18" t="s">
        <v>177</v>
      </c>
      <c r="AG45" s="18" t="s">
        <v>139</v>
      </c>
      <c r="AH45" s="18" t="s">
        <v>93</v>
      </c>
      <c r="AI45" s="18" t="s">
        <v>94</v>
      </c>
      <c r="AJ45" s="19">
        <v>44911</v>
      </c>
      <c r="AK45" s="22">
        <v>44911</v>
      </c>
      <c r="AL45" s="18" t="s">
        <v>291</v>
      </c>
      <c r="AM45" s="18" t="s">
        <v>292</v>
      </c>
      <c r="AN45" s="18" t="s">
        <v>494</v>
      </c>
      <c r="AO45" s="18" t="s">
        <v>495</v>
      </c>
      <c r="AP45" s="18">
        <v>1</v>
      </c>
      <c r="AQ45" s="18">
        <v>156.25</v>
      </c>
      <c r="AR45" s="18" t="s">
        <v>496</v>
      </c>
      <c r="AS45" s="18" t="s">
        <v>81</v>
      </c>
      <c r="AT45" s="18" t="s">
        <v>83</v>
      </c>
      <c r="AU45" s="18" t="s">
        <v>81</v>
      </c>
      <c r="AV45" s="18" t="s">
        <v>95</v>
      </c>
      <c r="AW45" s="18" t="s">
        <v>95</v>
      </c>
      <c r="AX45" s="18"/>
      <c r="AY45" s="18" t="str">
        <f>Pospago[[#This Row],[NUM_TELEFONICO]]&amp;"POSPAGOSI"</f>
        <v>958899450POSPAGOSI</v>
      </c>
      <c r="AZ45" s="18" t="str">
        <f>VLOOKUP(Pospago[[#This Row],[NOM_PLAZA_FINAL]],[1]!Locales[#Data],3,0)</f>
        <v>TIENDA RECREO</v>
      </c>
      <c r="BA45" s="18" t="str">
        <f>IFERROR(VLOOKUP(Pospago[[#This Row],[USUARIO]],[1]!Personal[#Data],6,0),"EJECUTIVO NO REGISTRADO")</f>
        <v>CONDO GARCIA NICOLAS MATIAS</v>
      </c>
      <c r="BB45" s="18" t="str">
        <f>Pospago[[#This Row],[TIPO_MOVIMIENTO]]&amp;" "&amp;Pospago[[#This Row],[FORMA_PAGO_FINAL]]</f>
        <v>ALTAS DOMICILIADO</v>
      </c>
      <c r="BC45" s="18">
        <f>DAY(Pospago[[#This Row],[FECHA_ALTA]])</f>
        <v>16</v>
      </c>
      <c r="BD45" s="18">
        <f>IF(Pospago[[#This Row],[TARIFA_BASICA]]=11.42,1,0)</f>
        <v>0</v>
      </c>
      <c r="BE45" s="18">
        <f>IF(Pospago[[#This Row],[PLANES TELEVENTAS]]="SI",1,0)</f>
        <v>0</v>
      </c>
      <c r="BF45" s="18">
        <f>1</f>
        <v>1</v>
      </c>
      <c r="BG45" s="18">
        <f>IF(OR(Pospago[[#This Row],[TARIFA_BASICA]]=11.42,Pospago[[#This Row],[PLANES TELEVENTAS]]="SI"),1,0)</f>
        <v>0</v>
      </c>
      <c r="BH45" s="18" t="str">
        <f>IF(MID(Pospago[[#This Row],[PlanDesc]],1,4) = "PLAN","POSPAGO",IF(MID(Pospago[[#This Row],[PlanDesc]],1,4)="FULL","FULL MEGAS","PREVIOPAGO"))</f>
        <v>PREVIOPAGO</v>
      </c>
      <c r="BI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" s="21">
        <f>Pospago[[#This Row],[TARIFA_BASICA]]*1.5</f>
        <v>22.5</v>
      </c>
    </row>
    <row r="46" spans="1:63" x14ac:dyDescent="0.25">
      <c r="A46" s="18" t="s">
        <v>64</v>
      </c>
      <c r="B46" s="18" t="s">
        <v>497</v>
      </c>
      <c r="C46" s="18" t="s">
        <v>498</v>
      </c>
      <c r="D46" s="19">
        <v>44909</v>
      </c>
      <c r="E46" s="18" t="s">
        <v>67</v>
      </c>
      <c r="F46" s="18" t="s">
        <v>499</v>
      </c>
      <c r="G46" s="18" t="s">
        <v>500</v>
      </c>
      <c r="H46" s="18" t="s">
        <v>70</v>
      </c>
      <c r="I46" s="18" t="s">
        <v>112</v>
      </c>
      <c r="J46" s="18" t="s">
        <v>113</v>
      </c>
      <c r="K46" s="18" t="s">
        <v>132</v>
      </c>
      <c r="L46" s="20" t="s">
        <v>501</v>
      </c>
      <c r="M46" s="18" t="s">
        <v>75</v>
      </c>
      <c r="N46" s="20" t="s">
        <v>502</v>
      </c>
      <c r="O46" s="18" t="s">
        <v>77</v>
      </c>
      <c r="P46" s="18" t="s">
        <v>78</v>
      </c>
      <c r="Q46" s="19">
        <v>44914</v>
      </c>
      <c r="R46" s="21">
        <v>17.850000000000001</v>
      </c>
      <c r="S46" s="18" t="s">
        <v>79</v>
      </c>
      <c r="T46" s="18" t="s">
        <v>135</v>
      </c>
      <c r="U46" s="18" t="s">
        <v>83</v>
      </c>
      <c r="V46" s="18" t="s">
        <v>95</v>
      </c>
      <c r="W46" s="18" t="s">
        <v>83</v>
      </c>
      <c r="X46" s="18" t="s">
        <v>118</v>
      </c>
      <c r="Y46" s="18" t="s">
        <v>85</v>
      </c>
      <c r="Z46" s="18" t="s">
        <v>86</v>
      </c>
      <c r="AA46" s="18" t="s">
        <v>119</v>
      </c>
      <c r="AB46" s="18" t="s">
        <v>136</v>
      </c>
      <c r="AC46" s="18" t="s">
        <v>137</v>
      </c>
      <c r="AD46" s="18" t="s">
        <v>85</v>
      </c>
      <c r="AE46" s="18" t="s">
        <v>90</v>
      </c>
      <c r="AF46" s="18" t="s">
        <v>138</v>
      </c>
      <c r="AG46" s="18" t="s">
        <v>139</v>
      </c>
      <c r="AH46" s="18" t="s">
        <v>93</v>
      </c>
      <c r="AI46" s="18" t="s">
        <v>94</v>
      </c>
      <c r="AJ46" s="19">
        <v>44909</v>
      </c>
      <c r="AK46" s="22" t="s">
        <v>95</v>
      </c>
      <c r="AL46" s="18" t="s">
        <v>95</v>
      </c>
      <c r="AM46" s="18" t="s">
        <v>95</v>
      </c>
      <c r="AN46" s="18" t="s">
        <v>95</v>
      </c>
      <c r="AO46" s="18" t="s">
        <v>95</v>
      </c>
      <c r="AP46" s="18" t="s">
        <v>95</v>
      </c>
      <c r="AQ46" s="18" t="s">
        <v>95</v>
      </c>
      <c r="AR46" s="18" t="s">
        <v>95</v>
      </c>
      <c r="AS46" s="18" t="s">
        <v>83</v>
      </c>
      <c r="AT46" s="18" t="s">
        <v>83</v>
      </c>
      <c r="AU46" s="18" t="s">
        <v>81</v>
      </c>
      <c r="AV46" s="18" t="s">
        <v>95</v>
      </c>
      <c r="AW46" s="18" t="s">
        <v>95</v>
      </c>
      <c r="AX46" s="18"/>
      <c r="AY46" s="18" t="str">
        <f>Pospago[[#This Row],[NUM_TELEFONICO]]&amp;"POSPAGOSI"</f>
        <v>958905709POSPAGOSI</v>
      </c>
      <c r="AZ46" s="18" t="str">
        <f>VLOOKUP(Pospago[[#This Row],[NOM_PLAZA_FINAL]],[1]!Locales[#Data],3,0)</f>
        <v>TIENDA AMERICA</v>
      </c>
      <c r="BA46" s="18" t="str">
        <f>IFERROR(VLOOKUP(Pospago[[#This Row],[USUARIO]],[1]!Personal[#Data],6,0),"EJECUTIVO NO REGISTRADO")</f>
        <v>SALVATIERRA GUERRA JULIAN ENRIQUE</v>
      </c>
      <c r="BB46" s="18" t="str">
        <f>Pospago[[#This Row],[TIPO_MOVIMIENTO]]&amp;" "&amp;Pospago[[#This Row],[FORMA_PAGO_FINAL]]</f>
        <v>ALTAS PAGO EN CAJA</v>
      </c>
      <c r="BC46" s="18">
        <f>DAY(Pospago[[#This Row],[FECHA_ALTA]])</f>
        <v>14</v>
      </c>
      <c r="BD46" s="18">
        <f>IF(Pospago[[#This Row],[TARIFA_BASICA]]=11.42,1,0)</f>
        <v>0</v>
      </c>
      <c r="BE46" s="18">
        <f>IF(Pospago[[#This Row],[PLANES TELEVENTAS]]="SI",1,0)</f>
        <v>0</v>
      </c>
      <c r="BF46" s="18">
        <f>1</f>
        <v>1</v>
      </c>
      <c r="BG46" s="18">
        <f>IF(OR(Pospago[[#This Row],[TARIFA_BASICA]]=11.42,Pospago[[#This Row],[PLANES TELEVENTAS]]="SI"),1,0)</f>
        <v>0</v>
      </c>
      <c r="BH46" s="18" t="str">
        <f>IF(MID(Pospago[[#This Row],[PlanDesc]],1,4) = "PLAN","POSPAGO",IF(MID(Pospago[[#This Row],[PlanDesc]],1,4)="FULL","FULL MEGAS","PREVIOPAGO"))</f>
        <v>PREVIOPAGO</v>
      </c>
      <c r="BI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6" s="21">
        <f>Pospago[[#This Row],[TARIFA_BASICA]]*1.5</f>
        <v>26.775000000000002</v>
      </c>
    </row>
    <row r="47" spans="1:63" x14ac:dyDescent="0.25">
      <c r="A47" s="18" t="s">
        <v>64</v>
      </c>
      <c r="B47" s="18" t="s">
        <v>503</v>
      </c>
      <c r="C47" s="18" t="s">
        <v>504</v>
      </c>
      <c r="D47" s="19">
        <v>44897</v>
      </c>
      <c r="E47" s="18" t="s">
        <v>67</v>
      </c>
      <c r="F47" s="18" t="s">
        <v>505</v>
      </c>
      <c r="G47" s="18" t="s">
        <v>506</v>
      </c>
      <c r="H47" s="18" t="s">
        <v>70</v>
      </c>
      <c r="I47" s="18" t="s">
        <v>160</v>
      </c>
      <c r="J47" s="18" t="s">
        <v>195</v>
      </c>
      <c r="K47" s="18" t="s">
        <v>507</v>
      </c>
      <c r="L47" s="20" t="s">
        <v>508</v>
      </c>
      <c r="M47" s="18" t="s">
        <v>75</v>
      </c>
      <c r="N47" s="20" t="s">
        <v>509</v>
      </c>
      <c r="O47" s="18" t="s">
        <v>77</v>
      </c>
      <c r="P47" s="18" t="s">
        <v>78</v>
      </c>
      <c r="Q47" s="19">
        <v>44914</v>
      </c>
      <c r="R47" s="21">
        <v>14.28</v>
      </c>
      <c r="S47" s="18" t="s">
        <v>79</v>
      </c>
      <c r="T47" s="18" t="s">
        <v>174</v>
      </c>
      <c r="U47" s="18" t="s">
        <v>83</v>
      </c>
      <c r="V47" s="18" t="s">
        <v>95</v>
      </c>
      <c r="W47" s="18" t="s">
        <v>83</v>
      </c>
      <c r="X47" s="18" t="s">
        <v>84</v>
      </c>
      <c r="Y47" s="18" t="s">
        <v>85</v>
      </c>
      <c r="Z47" s="18" t="s">
        <v>86</v>
      </c>
      <c r="AA47" s="18" t="s">
        <v>87</v>
      </c>
      <c r="AB47" s="18" t="s">
        <v>404</v>
      </c>
      <c r="AC47" s="18" t="s">
        <v>405</v>
      </c>
      <c r="AD47" s="18" t="s">
        <v>85</v>
      </c>
      <c r="AE47" s="18" t="s">
        <v>90</v>
      </c>
      <c r="AF47" s="18" t="s">
        <v>177</v>
      </c>
      <c r="AG47" s="18" t="s">
        <v>139</v>
      </c>
      <c r="AH47" s="18" t="s">
        <v>93</v>
      </c>
      <c r="AI47" s="18" t="s">
        <v>94</v>
      </c>
      <c r="AJ47" s="19">
        <v>44897</v>
      </c>
      <c r="AK47" s="22" t="s">
        <v>95</v>
      </c>
      <c r="AL47" s="18" t="s">
        <v>95</v>
      </c>
      <c r="AM47" s="18" t="s">
        <v>95</v>
      </c>
      <c r="AN47" s="18" t="s">
        <v>95</v>
      </c>
      <c r="AO47" s="18" t="s">
        <v>95</v>
      </c>
      <c r="AP47" s="18" t="s">
        <v>95</v>
      </c>
      <c r="AQ47" s="18" t="s">
        <v>95</v>
      </c>
      <c r="AR47" s="18" t="s">
        <v>95</v>
      </c>
      <c r="AS47" s="18" t="s">
        <v>83</v>
      </c>
      <c r="AT47" s="18" t="s">
        <v>83</v>
      </c>
      <c r="AU47" s="18" t="s">
        <v>81</v>
      </c>
      <c r="AV47" s="18" t="s">
        <v>95</v>
      </c>
      <c r="AW47" s="18" t="s">
        <v>95</v>
      </c>
      <c r="AX47" s="18"/>
      <c r="AY47" s="18" t="str">
        <f>Pospago[[#This Row],[NUM_TELEFONICO]]&amp;"POSPAGOSI"</f>
        <v>958905791POSPAGOSI</v>
      </c>
      <c r="AZ47" s="18" t="str">
        <f>VLOOKUP(Pospago[[#This Row],[NOM_PLAZA_FINAL]],[1]!Locales[#Data],3,0)</f>
        <v>TIENDA RECREO</v>
      </c>
      <c r="BA47" s="18" t="str">
        <f>IFERROR(VLOOKUP(Pospago[[#This Row],[USUARIO]],[1]!Personal[#Data],6,0),"EJECUTIVO NO REGISTRADO")</f>
        <v>OTERO YEPEZ ANDREA SOLEDAD</v>
      </c>
      <c r="BB47" s="18" t="str">
        <f>Pospago[[#This Row],[TIPO_MOVIMIENTO]]&amp;" "&amp;Pospago[[#This Row],[FORMA_PAGO_FINAL]]</f>
        <v>ALTAS DOMICILIADO</v>
      </c>
      <c r="BC47" s="18">
        <f>DAY(Pospago[[#This Row],[FECHA_ALTA]])</f>
        <v>2</v>
      </c>
      <c r="BD47" s="18">
        <f>IF(Pospago[[#This Row],[TARIFA_BASICA]]=11.42,1,0)</f>
        <v>0</v>
      </c>
      <c r="BE47" s="18">
        <f>IF(Pospago[[#This Row],[PLANES TELEVENTAS]]="SI",1,0)</f>
        <v>0</v>
      </c>
      <c r="BF47" s="18">
        <f>1</f>
        <v>1</v>
      </c>
      <c r="BG47" s="18">
        <f>IF(OR(Pospago[[#This Row],[TARIFA_BASICA]]=11.42,Pospago[[#This Row],[PLANES TELEVENTAS]]="SI"),1,0)</f>
        <v>0</v>
      </c>
      <c r="BH47" s="18" t="str">
        <f>IF(MID(Pospago[[#This Row],[PlanDesc]],1,4) = "PLAN","POSPAGO",IF(MID(Pospago[[#This Row],[PlanDesc]],1,4)="FULL","FULL MEGAS","PREVIOPAGO"))</f>
        <v>PREVIOPAGO</v>
      </c>
      <c r="BI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7" s="21">
        <f>Pospago[[#This Row],[TARIFA_BASICA]]*1.5</f>
        <v>21.419999999999998</v>
      </c>
    </row>
    <row r="48" spans="1:63" x14ac:dyDescent="0.25">
      <c r="A48" s="18" t="s">
        <v>64</v>
      </c>
      <c r="B48" s="18" t="s">
        <v>510</v>
      </c>
      <c r="C48" s="18" t="s">
        <v>511</v>
      </c>
      <c r="D48" s="19">
        <v>44897</v>
      </c>
      <c r="E48" s="18" t="s">
        <v>67</v>
      </c>
      <c r="F48" s="18" t="s">
        <v>512</v>
      </c>
      <c r="G48" s="18" t="s">
        <v>513</v>
      </c>
      <c r="H48" s="18" t="s">
        <v>514</v>
      </c>
      <c r="I48" s="18" t="s">
        <v>515</v>
      </c>
      <c r="J48" s="18" t="s">
        <v>516</v>
      </c>
      <c r="K48" s="18" t="s">
        <v>517</v>
      </c>
      <c r="L48" s="20" t="s">
        <v>518</v>
      </c>
      <c r="M48" s="18" t="s">
        <v>75</v>
      </c>
      <c r="N48" s="20" t="s">
        <v>519</v>
      </c>
      <c r="O48" s="18" t="s">
        <v>520</v>
      </c>
      <c r="P48" s="18" t="s">
        <v>521</v>
      </c>
      <c r="Q48" s="19">
        <v>44914</v>
      </c>
      <c r="R48" s="21">
        <v>14.28</v>
      </c>
      <c r="S48" s="18" t="s">
        <v>79</v>
      </c>
      <c r="T48" s="18" t="s">
        <v>117</v>
      </c>
      <c r="U48" s="18" t="s">
        <v>83</v>
      </c>
      <c r="V48" s="18" t="s">
        <v>95</v>
      </c>
      <c r="W48" s="18" t="s">
        <v>83</v>
      </c>
      <c r="X48" s="18" t="s">
        <v>84</v>
      </c>
      <c r="Y48" s="18" t="s">
        <v>85</v>
      </c>
      <c r="Z48" s="18" t="s">
        <v>86</v>
      </c>
      <c r="AA48" s="18" t="s">
        <v>87</v>
      </c>
      <c r="AB48" s="18" t="s">
        <v>120</v>
      </c>
      <c r="AC48" s="18" t="s">
        <v>121</v>
      </c>
      <c r="AD48" s="18" t="s">
        <v>85</v>
      </c>
      <c r="AE48" s="18" t="s">
        <v>90</v>
      </c>
      <c r="AF48" s="18" t="s">
        <v>122</v>
      </c>
      <c r="AG48" s="18" t="s">
        <v>92</v>
      </c>
      <c r="AH48" s="18" t="s">
        <v>93</v>
      </c>
      <c r="AI48" s="18" t="s">
        <v>522</v>
      </c>
      <c r="AJ48" s="19">
        <v>44897</v>
      </c>
      <c r="AK48" s="22" t="s">
        <v>95</v>
      </c>
      <c r="AL48" s="18" t="s">
        <v>95</v>
      </c>
      <c r="AM48" s="18" t="s">
        <v>95</v>
      </c>
      <c r="AN48" s="18" t="s">
        <v>95</v>
      </c>
      <c r="AO48" s="18" t="s">
        <v>95</v>
      </c>
      <c r="AP48" s="18" t="s">
        <v>95</v>
      </c>
      <c r="AQ48" s="18" t="s">
        <v>95</v>
      </c>
      <c r="AR48" s="18" t="s">
        <v>95</v>
      </c>
      <c r="AS48" s="18" t="s">
        <v>83</v>
      </c>
      <c r="AT48" s="18" t="s">
        <v>81</v>
      </c>
      <c r="AU48" s="18" t="s">
        <v>83</v>
      </c>
      <c r="AV48" s="18" t="s">
        <v>95</v>
      </c>
      <c r="AW48" s="18" t="s">
        <v>95</v>
      </c>
      <c r="AX48" s="18"/>
      <c r="AY48" s="18" t="str">
        <f>Pospago[[#This Row],[NUM_TELEFONICO]]&amp;"POSPAGOSI"</f>
        <v>958906224POSPAGOSI</v>
      </c>
      <c r="AZ48" s="18" t="str">
        <f>VLOOKUP(Pospago[[#This Row],[NOM_PLAZA_FINAL]],[1]!Locales[#Data],3,0)</f>
        <v>TIENDA MACHALA</v>
      </c>
      <c r="BA48" s="18" t="str">
        <f>IFERROR(VLOOKUP(Pospago[[#This Row],[USUARIO]],[1]!Personal[#Data],6,0),"EJECUTIVO NO REGISTRADO")</f>
        <v>ARROBO VICENTE YADIRA ESPERANZA</v>
      </c>
      <c r="BB48" s="18" t="str">
        <f>Pospago[[#This Row],[TIPO_MOVIMIENTO]]&amp;" "&amp;Pospago[[#This Row],[FORMA_PAGO_FINAL]]</f>
        <v>ALTAS DOMICILIADO</v>
      </c>
      <c r="BC48" s="18">
        <f>DAY(Pospago[[#This Row],[FECHA_ALTA]])</f>
        <v>2</v>
      </c>
      <c r="BD48" s="18">
        <f>IF(Pospago[[#This Row],[TARIFA_BASICA]]=11.42,1,0)</f>
        <v>0</v>
      </c>
      <c r="BE48" s="18">
        <f>IF(Pospago[[#This Row],[PLANES TELEVENTAS]]="SI",1,0)</f>
        <v>1</v>
      </c>
      <c r="BF48" s="18">
        <f>1</f>
        <v>1</v>
      </c>
      <c r="BG48" s="18">
        <f>IF(OR(Pospago[[#This Row],[TARIFA_BASICA]]=11.42,Pospago[[#This Row],[PLANES TELEVENTAS]]="SI"),1,0)</f>
        <v>1</v>
      </c>
      <c r="BH48" s="18" t="str">
        <f>IF(MID(Pospago[[#This Row],[PlanDesc]],1,4) = "PLAN","POSPAGO",IF(MID(Pospago[[#This Row],[PlanDesc]],1,4)="FULL","FULL MEGAS","PREVIOPAGO"))</f>
        <v>POSPAGO</v>
      </c>
      <c r="BI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0</v>
      </c>
      <c r="BK48" s="21">
        <f>Pospago[[#This Row],[TARIFA_BASICA]]*1.5</f>
        <v>21.419999999999998</v>
      </c>
    </row>
    <row r="49" spans="1:63" x14ac:dyDescent="0.25">
      <c r="A49" s="18" t="s">
        <v>64</v>
      </c>
      <c r="B49" s="18" t="s">
        <v>523</v>
      </c>
      <c r="C49" s="18" t="s">
        <v>524</v>
      </c>
      <c r="D49" s="19">
        <v>44896</v>
      </c>
      <c r="E49" s="18" t="s">
        <v>67</v>
      </c>
      <c r="F49" s="18" t="s">
        <v>525</v>
      </c>
      <c r="G49" s="18" t="s">
        <v>526</v>
      </c>
      <c r="H49" s="18" t="s">
        <v>70</v>
      </c>
      <c r="I49" s="18" t="s">
        <v>160</v>
      </c>
      <c r="J49" s="18" t="s">
        <v>195</v>
      </c>
      <c r="K49" s="18" t="s">
        <v>73</v>
      </c>
      <c r="L49" s="20" t="s">
        <v>527</v>
      </c>
      <c r="M49" s="18" t="s">
        <v>75</v>
      </c>
      <c r="N49" s="20" t="s">
        <v>528</v>
      </c>
      <c r="O49" s="18" t="s">
        <v>77</v>
      </c>
      <c r="P49" s="18" t="s">
        <v>78</v>
      </c>
      <c r="Q49" s="19">
        <v>44914</v>
      </c>
      <c r="R49" s="21">
        <v>14.28</v>
      </c>
      <c r="S49" s="18" t="s">
        <v>79</v>
      </c>
      <c r="T49" s="18" t="s">
        <v>148</v>
      </c>
      <c r="U49" s="18" t="s">
        <v>83</v>
      </c>
      <c r="V49" s="18" t="s">
        <v>95</v>
      </c>
      <c r="W49" s="18" t="s">
        <v>83</v>
      </c>
      <c r="X49" s="18" t="s">
        <v>118</v>
      </c>
      <c r="Y49" s="18" t="s">
        <v>85</v>
      </c>
      <c r="Z49" s="18" t="s">
        <v>86</v>
      </c>
      <c r="AA49" s="18" t="s">
        <v>119</v>
      </c>
      <c r="AB49" s="18" t="s">
        <v>318</v>
      </c>
      <c r="AC49" s="18" t="s">
        <v>319</v>
      </c>
      <c r="AD49" s="18" t="s">
        <v>85</v>
      </c>
      <c r="AE49" s="18" t="s">
        <v>90</v>
      </c>
      <c r="AF49" s="18" t="s">
        <v>151</v>
      </c>
      <c r="AG49" s="18" t="s">
        <v>92</v>
      </c>
      <c r="AH49" s="18" t="s">
        <v>93</v>
      </c>
      <c r="AI49" s="18" t="s">
        <v>94</v>
      </c>
      <c r="AJ49" s="19">
        <v>44896</v>
      </c>
      <c r="AK49" s="22" t="s">
        <v>95</v>
      </c>
      <c r="AL49" s="18" t="s">
        <v>95</v>
      </c>
      <c r="AM49" s="18" t="s">
        <v>95</v>
      </c>
      <c r="AN49" s="18" t="s">
        <v>95</v>
      </c>
      <c r="AO49" s="18" t="s">
        <v>95</v>
      </c>
      <c r="AP49" s="18" t="s">
        <v>95</v>
      </c>
      <c r="AQ49" s="18" t="s">
        <v>95</v>
      </c>
      <c r="AR49" s="18" t="s">
        <v>95</v>
      </c>
      <c r="AS49" s="18" t="s">
        <v>83</v>
      </c>
      <c r="AT49" s="18" t="s">
        <v>83</v>
      </c>
      <c r="AU49" s="18" t="s">
        <v>81</v>
      </c>
      <c r="AV49" s="18" t="s">
        <v>95</v>
      </c>
      <c r="AW49" s="18" t="s">
        <v>95</v>
      </c>
      <c r="AX49" s="18"/>
      <c r="AY49" s="18" t="str">
        <f>Pospago[[#This Row],[NUM_TELEFONICO]]&amp;"POSPAGOSI"</f>
        <v>958907098POSPAGOSI</v>
      </c>
      <c r="AZ49" s="18" t="str">
        <f>VLOOKUP(Pospago[[#This Row],[NOM_PLAZA_FINAL]],[1]!Locales[#Data],3,0)</f>
        <v>TIENDA CUENCA REMIGIO</v>
      </c>
      <c r="BA49" s="18" t="str">
        <f>IFERROR(VLOOKUP(Pospago[[#This Row],[USUARIO]],[1]!Personal[#Data],6,0),"EJECUTIVO NO REGISTRADO")</f>
        <v>RODRIGUEZ QUITO JESSICA GABRIELA</v>
      </c>
      <c r="BB49" s="18" t="str">
        <f>Pospago[[#This Row],[TIPO_MOVIMIENTO]]&amp;" "&amp;Pospago[[#This Row],[FORMA_PAGO_FINAL]]</f>
        <v>ALTAS PAGO EN CAJA</v>
      </c>
      <c r="BC49" s="18">
        <f>DAY(Pospago[[#This Row],[FECHA_ALTA]])</f>
        <v>1</v>
      </c>
      <c r="BD49" s="18">
        <f>IF(Pospago[[#This Row],[TARIFA_BASICA]]=11.42,1,0)</f>
        <v>0</v>
      </c>
      <c r="BE49" s="18">
        <f>IF(Pospago[[#This Row],[PLANES TELEVENTAS]]="SI",1,0)</f>
        <v>0</v>
      </c>
      <c r="BF49" s="18">
        <f>1</f>
        <v>1</v>
      </c>
      <c r="BG49" s="18">
        <f>IF(OR(Pospago[[#This Row],[TARIFA_BASICA]]=11.42,Pospago[[#This Row],[PLANES TELEVENTAS]]="SI"),1,0)</f>
        <v>0</v>
      </c>
      <c r="BH49" s="18" t="str">
        <f>IF(MID(Pospago[[#This Row],[PlanDesc]],1,4) = "PLAN","POSPAGO",IF(MID(Pospago[[#This Row],[PlanDesc]],1,4)="FULL","FULL MEGAS","PREVIOPAGO"))</f>
        <v>PREVIOPAGO</v>
      </c>
      <c r="BI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" s="21">
        <f>Pospago[[#This Row],[TARIFA_BASICA]]*1.5</f>
        <v>21.419999999999998</v>
      </c>
    </row>
    <row r="50" spans="1:63" x14ac:dyDescent="0.25">
      <c r="A50" s="18" t="s">
        <v>154</v>
      </c>
      <c r="B50" s="18" t="s">
        <v>529</v>
      </c>
      <c r="C50" s="18" t="s">
        <v>530</v>
      </c>
      <c r="D50" s="19">
        <v>44906</v>
      </c>
      <c r="E50" s="18" t="s">
        <v>67</v>
      </c>
      <c r="F50" s="18" t="s">
        <v>531</v>
      </c>
      <c r="G50" s="18" t="s">
        <v>532</v>
      </c>
      <c r="H50" s="18" t="s">
        <v>159</v>
      </c>
      <c r="I50" s="18" t="s">
        <v>160</v>
      </c>
      <c r="J50" s="18" t="s">
        <v>161</v>
      </c>
      <c r="K50" s="18" t="s">
        <v>132</v>
      </c>
      <c r="L50" s="20" t="s">
        <v>533</v>
      </c>
      <c r="M50" s="18" t="s">
        <v>75</v>
      </c>
      <c r="N50" s="20" t="s">
        <v>534</v>
      </c>
      <c r="O50" s="18" t="s">
        <v>164</v>
      </c>
      <c r="P50" s="18" t="s">
        <v>78</v>
      </c>
      <c r="Q50" s="19">
        <v>44914</v>
      </c>
      <c r="R50" s="21">
        <v>14.28</v>
      </c>
      <c r="S50" s="18" t="s">
        <v>79</v>
      </c>
      <c r="T50" s="18" t="s">
        <v>174</v>
      </c>
      <c r="U50" s="18" t="s">
        <v>83</v>
      </c>
      <c r="V50" s="18" t="s">
        <v>95</v>
      </c>
      <c r="W50" s="18" t="s">
        <v>95</v>
      </c>
      <c r="X50" s="18" t="s">
        <v>84</v>
      </c>
      <c r="Y50" s="18" t="s">
        <v>85</v>
      </c>
      <c r="Z50" s="18" t="s">
        <v>86</v>
      </c>
      <c r="AA50" s="18" t="s">
        <v>87</v>
      </c>
      <c r="AB50" s="18" t="s">
        <v>199</v>
      </c>
      <c r="AC50" s="18" t="s">
        <v>200</v>
      </c>
      <c r="AD50" s="18" t="s">
        <v>85</v>
      </c>
      <c r="AE50" s="18" t="s">
        <v>90</v>
      </c>
      <c r="AF50" s="18" t="s">
        <v>177</v>
      </c>
      <c r="AG50" s="18" t="s">
        <v>139</v>
      </c>
      <c r="AH50" s="18" t="s">
        <v>165</v>
      </c>
      <c r="AI50" s="18" t="s">
        <v>94</v>
      </c>
      <c r="AJ50" s="19">
        <v>44906</v>
      </c>
      <c r="AK50" s="22" t="s">
        <v>95</v>
      </c>
      <c r="AL50" s="18" t="s">
        <v>95</v>
      </c>
      <c r="AM50" s="18" t="s">
        <v>95</v>
      </c>
      <c r="AN50" s="18" t="s">
        <v>95</v>
      </c>
      <c r="AO50" s="18" t="s">
        <v>95</v>
      </c>
      <c r="AP50" s="18" t="s">
        <v>95</v>
      </c>
      <c r="AQ50" s="18" t="s">
        <v>95</v>
      </c>
      <c r="AR50" s="18" t="s">
        <v>95</v>
      </c>
      <c r="AS50" s="18" t="s">
        <v>83</v>
      </c>
      <c r="AT50" s="18" t="s">
        <v>83</v>
      </c>
      <c r="AU50" s="18" t="s">
        <v>81</v>
      </c>
      <c r="AV50" s="18" t="s">
        <v>95</v>
      </c>
      <c r="AW50" s="18" t="s">
        <v>95</v>
      </c>
      <c r="AX50" s="18"/>
      <c r="AY50" s="18" t="str">
        <f>Pospago[[#This Row],[NUM_TELEFONICO]]&amp;"POSPAGOSI"</f>
        <v>958907304POSPAGOSI</v>
      </c>
      <c r="AZ50" s="18" t="str">
        <f>VLOOKUP(Pospago[[#This Row],[NOM_PLAZA_FINAL]],[1]!Locales[#Data],3,0)</f>
        <v>TIENDA RECREO</v>
      </c>
      <c r="BA50" s="18" t="str">
        <f>IFERROR(VLOOKUP(Pospago[[#This Row],[USUARIO]],[1]!Personal[#Data],6,0),"EJECUTIVO NO REGISTRADO")</f>
        <v>MEDINA LAPO DAYANNA CAROLINA</v>
      </c>
      <c r="BB50" s="18" t="str">
        <f>Pospago[[#This Row],[TIPO_MOVIMIENTO]]&amp;" "&amp;Pospago[[#This Row],[FORMA_PAGO_FINAL]]</f>
        <v>TRANSFERENCIAS DOMICILIADO</v>
      </c>
      <c r="BC50" s="18">
        <f>DAY(Pospago[[#This Row],[FECHA_ALTA]])</f>
        <v>11</v>
      </c>
      <c r="BD50" s="18">
        <f>IF(Pospago[[#This Row],[TARIFA_BASICA]]=11.42,1,0)</f>
        <v>0</v>
      </c>
      <c r="BE50" s="18">
        <f>IF(Pospago[[#This Row],[PLANES TELEVENTAS]]="SI",1,0)</f>
        <v>0</v>
      </c>
      <c r="BF50" s="18">
        <f>1</f>
        <v>1</v>
      </c>
      <c r="BG50" s="18">
        <f>IF(OR(Pospago[[#This Row],[TARIFA_BASICA]]=11.42,Pospago[[#This Row],[PLANES TELEVENTAS]]="SI"),1,0)</f>
        <v>0</v>
      </c>
      <c r="BH50" s="18" t="str">
        <f>IF(MID(Pospago[[#This Row],[PlanDesc]],1,4) = "PLAN","POSPAGO",IF(MID(Pospago[[#This Row],[PlanDesc]],1,4)="FULL","FULL MEGAS","PREVIOPAGO"))</f>
        <v>PREVIOPAGO</v>
      </c>
      <c r="BI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0" s="21">
        <f>Pospago[[#This Row],[TARIFA_BASICA]]*1.5</f>
        <v>21.419999999999998</v>
      </c>
    </row>
    <row r="51" spans="1:63" x14ac:dyDescent="0.25">
      <c r="A51" s="18" t="s">
        <v>64</v>
      </c>
      <c r="B51" s="18" t="s">
        <v>535</v>
      </c>
      <c r="C51" s="18" t="s">
        <v>536</v>
      </c>
      <c r="D51" s="19">
        <v>44907</v>
      </c>
      <c r="E51" s="18" t="s">
        <v>67</v>
      </c>
      <c r="F51" s="18" t="s">
        <v>537</v>
      </c>
      <c r="G51" s="18" t="s">
        <v>538</v>
      </c>
      <c r="H51" s="18" t="s">
        <v>70</v>
      </c>
      <c r="I51" s="18" t="s">
        <v>194</v>
      </c>
      <c r="J51" s="18" t="s">
        <v>195</v>
      </c>
      <c r="K51" s="18" t="s">
        <v>73</v>
      </c>
      <c r="L51" s="20" t="s">
        <v>539</v>
      </c>
      <c r="M51" s="18" t="s">
        <v>287</v>
      </c>
      <c r="N51" s="20" t="s">
        <v>540</v>
      </c>
      <c r="O51" s="18" t="s">
        <v>77</v>
      </c>
      <c r="P51" s="18" t="s">
        <v>78</v>
      </c>
      <c r="Q51" s="19">
        <v>44914</v>
      </c>
      <c r="R51" s="21">
        <v>14.28</v>
      </c>
      <c r="S51" s="18" t="s">
        <v>79</v>
      </c>
      <c r="T51" s="18" t="s">
        <v>135</v>
      </c>
      <c r="U51" s="18" t="s">
        <v>83</v>
      </c>
      <c r="V51" s="18" t="s">
        <v>95</v>
      </c>
      <c r="W51" s="18" t="s">
        <v>83</v>
      </c>
      <c r="X51" s="18" t="s">
        <v>118</v>
      </c>
      <c r="Y51" s="18" t="s">
        <v>85</v>
      </c>
      <c r="Z51" s="18" t="s">
        <v>86</v>
      </c>
      <c r="AA51" s="18" t="s">
        <v>119</v>
      </c>
      <c r="AB51" s="18" t="s">
        <v>541</v>
      </c>
      <c r="AC51" s="18" t="s">
        <v>542</v>
      </c>
      <c r="AD51" s="18" t="s">
        <v>85</v>
      </c>
      <c r="AE51" s="18" t="s">
        <v>90</v>
      </c>
      <c r="AF51" s="18" t="s">
        <v>138</v>
      </c>
      <c r="AG51" s="18" t="s">
        <v>139</v>
      </c>
      <c r="AH51" s="18" t="s">
        <v>93</v>
      </c>
      <c r="AI51" s="18" t="s">
        <v>94</v>
      </c>
      <c r="AJ51" s="19">
        <v>44907</v>
      </c>
      <c r="AK51" s="22">
        <v>44907</v>
      </c>
      <c r="AL51" s="18" t="s">
        <v>291</v>
      </c>
      <c r="AM51" s="18" t="s">
        <v>292</v>
      </c>
      <c r="AN51" s="18" t="s">
        <v>494</v>
      </c>
      <c r="AO51" s="18" t="s">
        <v>543</v>
      </c>
      <c r="AP51" s="18">
        <v>1</v>
      </c>
      <c r="AQ51" s="18">
        <v>156.25</v>
      </c>
      <c r="AR51" s="18" t="s">
        <v>496</v>
      </c>
      <c r="AS51" s="18" t="s">
        <v>81</v>
      </c>
      <c r="AT51" s="18" t="s">
        <v>81</v>
      </c>
      <c r="AU51" s="18" t="s">
        <v>81</v>
      </c>
      <c r="AV51" s="18" t="s">
        <v>95</v>
      </c>
      <c r="AW51" s="18" t="s">
        <v>95</v>
      </c>
      <c r="AX51" s="18"/>
      <c r="AY51" s="18" t="str">
        <f>Pospago[[#This Row],[NUM_TELEFONICO]]&amp;"POSPAGOSI"</f>
        <v>958910600POSPAGOSI</v>
      </c>
      <c r="AZ51" s="18" t="str">
        <f>VLOOKUP(Pospago[[#This Row],[NOM_PLAZA_FINAL]],[1]!Locales[#Data],3,0)</f>
        <v>TIENDA AMERICA</v>
      </c>
      <c r="BA51" s="18" t="str">
        <f>IFERROR(VLOOKUP(Pospago[[#This Row],[USUARIO]],[1]!Personal[#Data],6,0),"EJECUTIVO NO REGISTRADO")</f>
        <v>CEVALLOS PONCE DIANA CAROLINA</v>
      </c>
      <c r="BB51" s="18" t="str">
        <f>Pospago[[#This Row],[TIPO_MOVIMIENTO]]&amp;" "&amp;Pospago[[#This Row],[FORMA_PAGO_FINAL]]</f>
        <v>ALTAS PAGO EN CAJA</v>
      </c>
      <c r="BC51" s="18">
        <f>DAY(Pospago[[#This Row],[FECHA_ALTA]])</f>
        <v>12</v>
      </c>
      <c r="BD51" s="18">
        <f>IF(Pospago[[#This Row],[TARIFA_BASICA]]=11.42,1,0)</f>
        <v>0</v>
      </c>
      <c r="BE51" s="18">
        <f>IF(Pospago[[#This Row],[PLANES TELEVENTAS]]="SI",1,0)</f>
        <v>1</v>
      </c>
      <c r="BF51" s="18">
        <f>1</f>
        <v>1</v>
      </c>
      <c r="BG51" s="18">
        <f>IF(OR(Pospago[[#This Row],[TARIFA_BASICA]]=11.42,Pospago[[#This Row],[PLANES TELEVENTAS]]="SI"),1,0)</f>
        <v>1</v>
      </c>
      <c r="BH51" s="18" t="str">
        <f>IF(MID(Pospago[[#This Row],[PlanDesc]],1,4) = "PLAN","POSPAGO",IF(MID(Pospago[[#This Row],[PlanDesc]],1,4)="FULL","FULL MEGAS","PREVIOPAGO"))</f>
        <v>PREVIOPAGO</v>
      </c>
      <c r="BI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1" s="21">
        <f>Pospago[[#This Row],[TARIFA_BASICA]]*1.5</f>
        <v>21.419999999999998</v>
      </c>
    </row>
    <row r="52" spans="1:63" x14ac:dyDescent="0.25">
      <c r="A52" s="18" t="s">
        <v>64</v>
      </c>
      <c r="B52" s="18" t="s">
        <v>544</v>
      </c>
      <c r="C52" s="18" t="s">
        <v>545</v>
      </c>
      <c r="D52" s="19">
        <v>44907</v>
      </c>
      <c r="E52" s="18" t="s">
        <v>67</v>
      </c>
      <c r="F52" s="18" t="s">
        <v>546</v>
      </c>
      <c r="G52" s="18" t="s">
        <v>547</v>
      </c>
      <c r="H52" s="18" t="s">
        <v>70</v>
      </c>
      <c r="I52" s="18" t="s">
        <v>194</v>
      </c>
      <c r="J52" s="18" t="s">
        <v>195</v>
      </c>
      <c r="K52" s="18" t="s">
        <v>132</v>
      </c>
      <c r="L52" s="20" t="s">
        <v>548</v>
      </c>
      <c r="M52" s="18" t="s">
        <v>75</v>
      </c>
      <c r="N52" s="20" t="s">
        <v>549</v>
      </c>
      <c r="O52" s="18" t="s">
        <v>77</v>
      </c>
      <c r="P52" s="18" t="s">
        <v>78</v>
      </c>
      <c r="Q52" s="19">
        <v>44914</v>
      </c>
      <c r="R52" s="21">
        <v>14.28</v>
      </c>
      <c r="S52" s="18" t="s">
        <v>79</v>
      </c>
      <c r="T52" s="18" t="s">
        <v>174</v>
      </c>
      <c r="U52" s="18" t="s">
        <v>83</v>
      </c>
      <c r="V52" s="18" t="s">
        <v>95</v>
      </c>
      <c r="W52" s="18" t="s">
        <v>83</v>
      </c>
      <c r="X52" s="18" t="s">
        <v>118</v>
      </c>
      <c r="Y52" s="18" t="s">
        <v>85</v>
      </c>
      <c r="Z52" s="18" t="s">
        <v>86</v>
      </c>
      <c r="AA52" s="18" t="s">
        <v>119</v>
      </c>
      <c r="AB52" s="18" t="s">
        <v>369</v>
      </c>
      <c r="AC52" s="18" t="s">
        <v>370</v>
      </c>
      <c r="AD52" s="18" t="s">
        <v>85</v>
      </c>
      <c r="AE52" s="18" t="s">
        <v>90</v>
      </c>
      <c r="AF52" s="18" t="s">
        <v>177</v>
      </c>
      <c r="AG52" s="18" t="s">
        <v>139</v>
      </c>
      <c r="AH52" s="18" t="s">
        <v>93</v>
      </c>
      <c r="AI52" s="18" t="s">
        <v>94</v>
      </c>
      <c r="AJ52" s="19">
        <v>44907</v>
      </c>
      <c r="AK52" s="22" t="s">
        <v>95</v>
      </c>
      <c r="AL52" s="18" t="s">
        <v>95</v>
      </c>
      <c r="AM52" s="18" t="s">
        <v>95</v>
      </c>
      <c r="AN52" s="18" t="s">
        <v>95</v>
      </c>
      <c r="AO52" s="18" t="s">
        <v>95</v>
      </c>
      <c r="AP52" s="18" t="s">
        <v>95</v>
      </c>
      <c r="AQ52" s="18" t="s">
        <v>95</v>
      </c>
      <c r="AR52" s="18" t="s">
        <v>95</v>
      </c>
      <c r="AS52" s="18" t="s">
        <v>83</v>
      </c>
      <c r="AT52" s="18" t="s">
        <v>81</v>
      </c>
      <c r="AU52" s="18" t="s">
        <v>81</v>
      </c>
      <c r="AV52" s="18" t="s">
        <v>95</v>
      </c>
      <c r="AW52" s="18" t="s">
        <v>95</v>
      </c>
      <c r="AX52" s="18"/>
      <c r="AY52" s="18" t="str">
        <f>Pospago[[#This Row],[NUM_TELEFONICO]]&amp;"POSPAGOSI"</f>
        <v>958911136POSPAGOSI</v>
      </c>
      <c r="AZ52" s="18" t="str">
        <f>VLOOKUP(Pospago[[#This Row],[NOM_PLAZA_FINAL]],[1]!Locales[#Data],3,0)</f>
        <v>TIENDA RECREO</v>
      </c>
      <c r="BA52" s="18" t="str">
        <f>IFERROR(VLOOKUP(Pospago[[#This Row],[USUARIO]],[1]!Personal[#Data],6,0),"EJECUTIVO NO REGISTRADO")</f>
        <v>GUAIGUA REINOSO GENESIS CAROLINA</v>
      </c>
      <c r="BB52" s="18" t="str">
        <f>Pospago[[#This Row],[TIPO_MOVIMIENTO]]&amp;" "&amp;Pospago[[#This Row],[FORMA_PAGO_FINAL]]</f>
        <v>ALTAS PAGO EN CAJA</v>
      </c>
      <c r="BC52" s="18">
        <f>DAY(Pospago[[#This Row],[FECHA_ALTA]])</f>
        <v>12</v>
      </c>
      <c r="BD52" s="18">
        <f>IF(Pospago[[#This Row],[TARIFA_BASICA]]=11.42,1,0)</f>
        <v>0</v>
      </c>
      <c r="BE52" s="18">
        <f>IF(Pospago[[#This Row],[PLANES TELEVENTAS]]="SI",1,0)</f>
        <v>1</v>
      </c>
      <c r="BF52" s="18">
        <f>1</f>
        <v>1</v>
      </c>
      <c r="BG52" s="18">
        <f>IF(OR(Pospago[[#This Row],[TARIFA_BASICA]]=11.42,Pospago[[#This Row],[PLANES TELEVENTAS]]="SI"),1,0)</f>
        <v>1</v>
      </c>
      <c r="BH52" s="18" t="str">
        <f>IF(MID(Pospago[[#This Row],[PlanDesc]],1,4) = "PLAN","POSPAGO",IF(MID(Pospago[[#This Row],[PlanDesc]],1,4)="FULL","FULL MEGAS","PREVIOPAGO"))</f>
        <v>PREVIOPAGO</v>
      </c>
      <c r="BI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" s="21">
        <f>Pospago[[#This Row],[TARIFA_BASICA]]*1.5</f>
        <v>21.419999999999998</v>
      </c>
    </row>
    <row r="53" spans="1:63" x14ac:dyDescent="0.25">
      <c r="A53" s="18" t="s">
        <v>64</v>
      </c>
      <c r="B53" s="18" t="s">
        <v>550</v>
      </c>
      <c r="C53" s="18" t="s">
        <v>551</v>
      </c>
      <c r="D53" s="19">
        <v>44903</v>
      </c>
      <c r="E53" s="18" t="s">
        <v>67</v>
      </c>
      <c r="F53" s="18" t="s">
        <v>552</v>
      </c>
      <c r="G53" s="18" t="s">
        <v>553</v>
      </c>
      <c r="H53" s="18" t="s">
        <v>70</v>
      </c>
      <c r="I53" s="18" t="s">
        <v>392</v>
      </c>
      <c r="J53" s="18" t="s">
        <v>131</v>
      </c>
      <c r="K53" s="18" t="s">
        <v>95</v>
      </c>
      <c r="L53" s="20" t="s">
        <v>554</v>
      </c>
      <c r="M53" s="18" t="s">
        <v>75</v>
      </c>
      <c r="N53" s="20" t="s">
        <v>555</v>
      </c>
      <c r="O53" s="18" t="s">
        <v>77</v>
      </c>
      <c r="P53" s="18" t="s">
        <v>78</v>
      </c>
      <c r="Q53" s="19">
        <v>44914</v>
      </c>
      <c r="R53" s="21">
        <v>15</v>
      </c>
      <c r="S53" s="18" t="s">
        <v>79</v>
      </c>
      <c r="T53" s="18" t="s">
        <v>232</v>
      </c>
      <c r="U53" s="18" t="s">
        <v>83</v>
      </c>
      <c r="V53" s="18" t="s">
        <v>95</v>
      </c>
      <c r="W53" s="18" t="s">
        <v>83</v>
      </c>
      <c r="X53" s="18" t="s">
        <v>118</v>
      </c>
      <c r="Y53" s="18" t="s">
        <v>85</v>
      </c>
      <c r="Z53" s="18" t="s">
        <v>86</v>
      </c>
      <c r="AA53" s="18" t="s">
        <v>119</v>
      </c>
      <c r="AB53" s="18" t="s">
        <v>280</v>
      </c>
      <c r="AC53" s="18" t="s">
        <v>281</v>
      </c>
      <c r="AD53" s="18" t="s">
        <v>85</v>
      </c>
      <c r="AE53" s="18" t="s">
        <v>90</v>
      </c>
      <c r="AF53" s="18" t="s">
        <v>235</v>
      </c>
      <c r="AG53" s="18" t="s">
        <v>139</v>
      </c>
      <c r="AH53" s="18" t="s">
        <v>93</v>
      </c>
      <c r="AI53" s="18" t="s">
        <v>94</v>
      </c>
      <c r="AJ53" s="19">
        <v>44903</v>
      </c>
      <c r="AK53" s="22" t="s">
        <v>95</v>
      </c>
      <c r="AL53" s="18" t="s">
        <v>95</v>
      </c>
      <c r="AM53" s="18" t="s">
        <v>95</v>
      </c>
      <c r="AN53" s="18" t="s">
        <v>95</v>
      </c>
      <c r="AO53" s="18" t="s">
        <v>95</v>
      </c>
      <c r="AP53" s="18" t="s">
        <v>95</v>
      </c>
      <c r="AQ53" s="18" t="s">
        <v>95</v>
      </c>
      <c r="AR53" s="18" t="s">
        <v>95</v>
      </c>
      <c r="AS53" s="18" t="s">
        <v>83</v>
      </c>
      <c r="AT53" s="18" t="s">
        <v>81</v>
      </c>
      <c r="AU53" s="18" t="s">
        <v>81</v>
      </c>
      <c r="AV53" s="18" t="s">
        <v>95</v>
      </c>
      <c r="AW53" s="18" t="s">
        <v>95</v>
      </c>
      <c r="AX53" s="18"/>
      <c r="AY53" s="18" t="str">
        <f>Pospago[[#This Row],[NUM_TELEFONICO]]&amp;"POSPAGOSI"</f>
        <v>958915980POSPAGOSI</v>
      </c>
      <c r="AZ53" s="18" t="str">
        <f>VLOOKUP(Pospago[[#This Row],[NOM_PLAZA_FINAL]],[1]!Locales[#Data],3,0)</f>
        <v>TIENDA CONDADO</v>
      </c>
      <c r="BA53" s="18" t="str">
        <f>IFERROR(VLOOKUP(Pospago[[#This Row],[USUARIO]],[1]!Personal[#Data],6,0),"EJECUTIVO NO REGISTRADO")</f>
        <v>GUACHAMIN CAZA HUGO ADRIAN</v>
      </c>
      <c r="BB53" s="18" t="str">
        <f>Pospago[[#This Row],[TIPO_MOVIMIENTO]]&amp;" "&amp;Pospago[[#This Row],[FORMA_PAGO_FINAL]]</f>
        <v>ALTAS PAGO EN CAJA</v>
      </c>
      <c r="BC53" s="18">
        <f>DAY(Pospago[[#This Row],[FECHA_ALTA]])</f>
        <v>8</v>
      </c>
      <c r="BD53" s="18">
        <f>IF(Pospago[[#This Row],[TARIFA_BASICA]]=11.42,1,0)</f>
        <v>0</v>
      </c>
      <c r="BE53" s="18">
        <f>IF(Pospago[[#This Row],[PLANES TELEVENTAS]]="SI",1,0)</f>
        <v>1</v>
      </c>
      <c r="BF53" s="18">
        <f>1</f>
        <v>1</v>
      </c>
      <c r="BG53" s="18">
        <f>IF(OR(Pospago[[#This Row],[TARIFA_BASICA]]=11.42,Pospago[[#This Row],[PLANES TELEVENTAS]]="SI"),1,0)</f>
        <v>1</v>
      </c>
      <c r="BH53" s="18" t="str">
        <f>IF(MID(Pospago[[#This Row],[PlanDesc]],1,4) = "PLAN","POSPAGO",IF(MID(Pospago[[#This Row],[PlanDesc]],1,4)="FULL","FULL MEGAS","PREVIOPAGO"))</f>
        <v>PREVIOPAGO</v>
      </c>
      <c r="BI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" s="21">
        <f>Pospago[[#This Row],[TARIFA_BASICA]]*1.5</f>
        <v>22.5</v>
      </c>
    </row>
    <row r="54" spans="1:63" x14ac:dyDescent="0.25">
      <c r="A54" s="18" t="s">
        <v>64</v>
      </c>
      <c r="B54" s="18" t="s">
        <v>556</v>
      </c>
      <c r="C54" s="18" t="s">
        <v>557</v>
      </c>
      <c r="D54" s="19">
        <v>44903</v>
      </c>
      <c r="E54" s="18" t="s">
        <v>67</v>
      </c>
      <c r="F54" s="18" t="s">
        <v>558</v>
      </c>
      <c r="G54" s="18" t="s">
        <v>559</v>
      </c>
      <c r="H54" s="18" t="s">
        <v>70</v>
      </c>
      <c r="I54" s="18" t="s">
        <v>227</v>
      </c>
      <c r="J54" s="18" t="s">
        <v>228</v>
      </c>
      <c r="K54" s="18" t="s">
        <v>560</v>
      </c>
      <c r="L54" s="20" t="s">
        <v>561</v>
      </c>
      <c r="M54" s="18" t="s">
        <v>75</v>
      </c>
      <c r="N54" s="20" t="s">
        <v>562</v>
      </c>
      <c r="O54" s="18" t="s">
        <v>77</v>
      </c>
      <c r="P54" s="18" t="s">
        <v>78</v>
      </c>
      <c r="Q54" s="19">
        <v>44914</v>
      </c>
      <c r="R54" s="21">
        <v>21.42</v>
      </c>
      <c r="S54" s="18" t="s">
        <v>79</v>
      </c>
      <c r="T54" s="18" t="s">
        <v>174</v>
      </c>
      <c r="U54" s="18" t="s">
        <v>83</v>
      </c>
      <c r="V54" s="18" t="s">
        <v>95</v>
      </c>
      <c r="W54" s="18" t="s">
        <v>83</v>
      </c>
      <c r="X54" s="18" t="s">
        <v>118</v>
      </c>
      <c r="Y54" s="18" t="s">
        <v>85</v>
      </c>
      <c r="Z54" s="18" t="s">
        <v>86</v>
      </c>
      <c r="AA54" s="18" t="s">
        <v>119</v>
      </c>
      <c r="AB54" s="18" t="s">
        <v>187</v>
      </c>
      <c r="AC54" s="18" t="s">
        <v>188</v>
      </c>
      <c r="AD54" s="18" t="s">
        <v>85</v>
      </c>
      <c r="AE54" s="18" t="s">
        <v>90</v>
      </c>
      <c r="AF54" s="18" t="s">
        <v>177</v>
      </c>
      <c r="AG54" s="18" t="s">
        <v>139</v>
      </c>
      <c r="AH54" s="18" t="s">
        <v>93</v>
      </c>
      <c r="AI54" s="18" t="s">
        <v>94</v>
      </c>
      <c r="AJ54" s="19">
        <v>44903</v>
      </c>
      <c r="AK54" s="22" t="s">
        <v>95</v>
      </c>
      <c r="AL54" s="18" t="s">
        <v>95</v>
      </c>
      <c r="AM54" s="18" t="s">
        <v>95</v>
      </c>
      <c r="AN54" s="18" t="s">
        <v>95</v>
      </c>
      <c r="AO54" s="18" t="s">
        <v>95</v>
      </c>
      <c r="AP54" s="18" t="s">
        <v>95</v>
      </c>
      <c r="AQ54" s="18" t="s">
        <v>95</v>
      </c>
      <c r="AR54" s="18" t="s">
        <v>95</v>
      </c>
      <c r="AS54" s="18" t="s">
        <v>83</v>
      </c>
      <c r="AT54" s="18" t="s">
        <v>83</v>
      </c>
      <c r="AU54" s="18" t="s">
        <v>81</v>
      </c>
      <c r="AV54" s="18" t="s">
        <v>95</v>
      </c>
      <c r="AW54" s="18" t="s">
        <v>95</v>
      </c>
      <c r="AX54" s="18"/>
      <c r="AY54" s="18" t="str">
        <f>Pospago[[#This Row],[NUM_TELEFONICO]]&amp;"POSPAGOSI"</f>
        <v>958921286POSPAGOSI</v>
      </c>
      <c r="AZ54" s="18" t="str">
        <f>VLOOKUP(Pospago[[#This Row],[NOM_PLAZA_FINAL]],[1]!Locales[#Data],3,0)</f>
        <v>TIENDA RECREO</v>
      </c>
      <c r="BA54" s="18" t="str">
        <f>IFERROR(VLOOKUP(Pospago[[#This Row],[USUARIO]],[1]!Personal[#Data],6,0),"EJECUTIVO NO REGISTRADO")</f>
        <v>ESPINOZA MARTINES LAURA XIOMARA</v>
      </c>
      <c r="BB54" s="18" t="str">
        <f>Pospago[[#This Row],[TIPO_MOVIMIENTO]]&amp;" "&amp;Pospago[[#This Row],[FORMA_PAGO_FINAL]]</f>
        <v>ALTAS PAGO EN CAJA</v>
      </c>
      <c r="BC54" s="18">
        <f>DAY(Pospago[[#This Row],[FECHA_ALTA]])</f>
        <v>8</v>
      </c>
      <c r="BD54" s="18">
        <f>IF(Pospago[[#This Row],[TARIFA_BASICA]]=11.42,1,0)</f>
        <v>0</v>
      </c>
      <c r="BE54" s="18">
        <f>IF(Pospago[[#This Row],[PLANES TELEVENTAS]]="SI",1,0)</f>
        <v>0</v>
      </c>
      <c r="BF54" s="18">
        <f>1</f>
        <v>1</v>
      </c>
      <c r="BG54" s="18">
        <f>IF(OR(Pospago[[#This Row],[TARIFA_BASICA]]=11.42,Pospago[[#This Row],[PLANES TELEVENTAS]]="SI"),1,0)</f>
        <v>0</v>
      </c>
      <c r="BH54" s="18" t="str">
        <f>IF(MID(Pospago[[#This Row],[PlanDesc]],1,4) = "PLAN","POSPAGO",IF(MID(Pospago[[#This Row],[PlanDesc]],1,4)="FULL","FULL MEGAS","PREVIOPAGO"))</f>
        <v>PREVIOPAGO</v>
      </c>
      <c r="BI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22.5</v>
      </c>
      <c r="BJ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4" s="21">
        <f>Pospago[[#This Row],[TARIFA_BASICA]]*1.5</f>
        <v>32.130000000000003</v>
      </c>
    </row>
    <row r="55" spans="1:63" x14ac:dyDescent="0.25">
      <c r="A55" s="18" t="s">
        <v>64</v>
      </c>
      <c r="B55" s="18" t="s">
        <v>563</v>
      </c>
      <c r="C55" s="18" t="s">
        <v>564</v>
      </c>
      <c r="D55" s="19">
        <v>44907</v>
      </c>
      <c r="E55" s="18" t="s">
        <v>67</v>
      </c>
      <c r="F55" s="18" t="s">
        <v>565</v>
      </c>
      <c r="G55" s="18" t="s">
        <v>566</v>
      </c>
      <c r="H55" s="18" t="s">
        <v>70</v>
      </c>
      <c r="I55" s="18" t="s">
        <v>160</v>
      </c>
      <c r="J55" s="18" t="s">
        <v>195</v>
      </c>
      <c r="K55" s="18" t="s">
        <v>567</v>
      </c>
      <c r="L55" s="20" t="s">
        <v>568</v>
      </c>
      <c r="M55" s="18" t="s">
        <v>75</v>
      </c>
      <c r="N55" s="20" t="s">
        <v>569</v>
      </c>
      <c r="O55" s="18" t="s">
        <v>77</v>
      </c>
      <c r="P55" s="18" t="s">
        <v>78</v>
      </c>
      <c r="Q55" s="19">
        <v>44914</v>
      </c>
      <c r="R55" s="21">
        <v>14.28</v>
      </c>
      <c r="S55" s="18" t="s">
        <v>79</v>
      </c>
      <c r="T55" s="18" t="s">
        <v>174</v>
      </c>
      <c r="U55" s="18" t="s">
        <v>83</v>
      </c>
      <c r="V55" s="18" t="s">
        <v>95</v>
      </c>
      <c r="W55" s="18" t="s">
        <v>83</v>
      </c>
      <c r="X55" s="18" t="s">
        <v>84</v>
      </c>
      <c r="Y55" s="18" t="s">
        <v>85</v>
      </c>
      <c r="Z55" s="18" t="s">
        <v>86</v>
      </c>
      <c r="AA55" s="18" t="s">
        <v>87</v>
      </c>
      <c r="AB55" s="18" t="s">
        <v>404</v>
      </c>
      <c r="AC55" s="18" t="s">
        <v>405</v>
      </c>
      <c r="AD55" s="18" t="s">
        <v>85</v>
      </c>
      <c r="AE55" s="18" t="s">
        <v>90</v>
      </c>
      <c r="AF55" s="18" t="s">
        <v>177</v>
      </c>
      <c r="AG55" s="18" t="s">
        <v>139</v>
      </c>
      <c r="AH55" s="18" t="s">
        <v>93</v>
      </c>
      <c r="AI55" s="18" t="s">
        <v>94</v>
      </c>
      <c r="AJ55" s="19">
        <v>44907</v>
      </c>
      <c r="AK55" s="22" t="s">
        <v>95</v>
      </c>
      <c r="AL55" s="18" t="s">
        <v>95</v>
      </c>
      <c r="AM55" s="18" t="s">
        <v>95</v>
      </c>
      <c r="AN55" s="18" t="s">
        <v>95</v>
      </c>
      <c r="AO55" s="18" t="s">
        <v>95</v>
      </c>
      <c r="AP55" s="18" t="s">
        <v>95</v>
      </c>
      <c r="AQ55" s="18" t="s">
        <v>95</v>
      </c>
      <c r="AR55" s="18" t="s">
        <v>95</v>
      </c>
      <c r="AS55" s="18" t="s">
        <v>83</v>
      </c>
      <c r="AT55" s="18" t="s">
        <v>83</v>
      </c>
      <c r="AU55" s="18" t="s">
        <v>81</v>
      </c>
      <c r="AV55" s="18" t="s">
        <v>95</v>
      </c>
      <c r="AW55" s="18" t="s">
        <v>95</v>
      </c>
      <c r="AX55" s="18"/>
      <c r="AY55" s="18" t="str">
        <f>Pospago[[#This Row],[NUM_TELEFONICO]]&amp;"POSPAGOSI"</f>
        <v>958922049POSPAGOSI</v>
      </c>
      <c r="AZ55" s="18" t="str">
        <f>VLOOKUP(Pospago[[#This Row],[NOM_PLAZA_FINAL]],[1]!Locales[#Data],3,0)</f>
        <v>TIENDA RECREO</v>
      </c>
      <c r="BA55" s="18" t="str">
        <f>IFERROR(VLOOKUP(Pospago[[#This Row],[USUARIO]],[1]!Personal[#Data],6,0),"EJECUTIVO NO REGISTRADO")</f>
        <v>OTERO YEPEZ ANDREA SOLEDAD</v>
      </c>
      <c r="BB55" s="18" t="str">
        <f>Pospago[[#This Row],[TIPO_MOVIMIENTO]]&amp;" "&amp;Pospago[[#This Row],[FORMA_PAGO_FINAL]]</f>
        <v>ALTAS DOMICILIADO</v>
      </c>
      <c r="BC55" s="18">
        <f>DAY(Pospago[[#This Row],[FECHA_ALTA]])</f>
        <v>12</v>
      </c>
      <c r="BD55" s="18">
        <f>IF(Pospago[[#This Row],[TARIFA_BASICA]]=11.42,1,0)</f>
        <v>0</v>
      </c>
      <c r="BE55" s="18">
        <f>IF(Pospago[[#This Row],[PLANES TELEVENTAS]]="SI",1,0)</f>
        <v>0</v>
      </c>
      <c r="BF55" s="18">
        <f>1</f>
        <v>1</v>
      </c>
      <c r="BG55" s="18">
        <f>IF(OR(Pospago[[#This Row],[TARIFA_BASICA]]=11.42,Pospago[[#This Row],[PLANES TELEVENTAS]]="SI"),1,0)</f>
        <v>0</v>
      </c>
      <c r="BH55" s="18" t="str">
        <f>IF(MID(Pospago[[#This Row],[PlanDesc]],1,4) = "PLAN","POSPAGO",IF(MID(Pospago[[#This Row],[PlanDesc]],1,4)="FULL","FULL MEGAS","PREVIOPAGO"))</f>
        <v>PREVIOPAGO</v>
      </c>
      <c r="BI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" s="21">
        <f>Pospago[[#This Row],[TARIFA_BASICA]]*1.5</f>
        <v>21.419999999999998</v>
      </c>
    </row>
    <row r="56" spans="1:63" x14ac:dyDescent="0.25">
      <c r="A56" s="18" t="s">
        <v>64</v>
      </c>
      <c r="B56" s="18" t="s">
        <v>570</v>
      </c>
      <c r="C56" s="18" t="s">
        <v>571</v>
      </c>
      <c r="D56" s="19">
        <v>44903</v>
      </c>
      <c r="E56" s="18" t="s">
        <v>246</v>
      </c>
      <c r="F56" s="18" t="s">
        <v>572</v>
      </c>
      <c r="G56" s="18" t="s">
        <v>573</v>
      </c>
      <c r="H56" s="18" t="s">
        <v>70</v>
      </c>
      <c r="I56" s="18" t="s">
        <v>574</v>
      </c>
      <c r="J56" s="18" t="s">
        <v>575</v>
      </c>
      <c r="K56" s="18" t="s">
        <v>114</v>
      </c>
      <c r="L56" s="20" t="s">
        <v>576</v>
      </c>
      <c r="M56" s="18" t="s">
        <v>75</v>
      </c>
      <c r="N56" s="20" t="s">
        <v>577</v>
      </c>
      <c r="O56" s="18" t="s">
        <v>77</v>
      </c>
      <c r="P56" s="18" t="s">
        <v>78</v>
      </c>
      <c r="Q56" s="19">
        <v>44914</v>
      </c>
      <c r="R56" s="21">
        <v>17.850000000000001</v>
      </c>
      <c r="S56" s="18" t="s">
        <v>79</v>
      </c>
      <c r="T56" s="18" t="s">
        <v>117</v>
      </c>
      <c r="U56" s="18" t="s">
        <v>83</v>
      </c>
      <c r="V56" s="18" t="s">
        <v>95</v>
      </c>
      <c r="W56" s="18" t="s">
        <v>83</v>
      </c>
      <c r="X56" s="18" t="s">
        <v>84</v>
      </c>
      <c r="Y56" s="18" t="s">
        <v>85</v>
      </c>
      <c r="Z56" s="18" t="s">
        <v>86</v>
      </c>
      <c r="AA56" s="18" t="s">
        <v>87</v>
      </c>
      <c r="AB56" s="18" t="s">
        <v>120</v>
      </c>
      <c r="AC56" s="18" t="s">
        <v>121</v>
      </c>
      <c r="AD56" s="18" t="s">
        <v>85</v>
      </c>
      <c r="AE56" s="18" t="s">
        <v>90</v>
      </c>
      <c r="AF56" s="18" t="s">
        <v>122</v>
      </c>
      <c r="AG56" s="18" t="s">
        <v>92</v>
      </c>
      <c r="AH56" s="18" t="s">
        <v>93</v>
      </c>
      <c r="AI56" s="18" t="s">
        <v>94</v>
      </c>
      <c r="AJ56" s="19">
        <v>44903</v>
      </c>
      <c r="AK56" s="22" t="s">
        <v>95</v>
      </c>
      <c r="AL56" s="18" t="s">
        <v>95</v>
      </c>
      <c r="AM56" s="18" t="s">
        <v>95</v>
      </c>
      <c r="AN56" s="18" t="s">
        <v>95</v>
      </c>
      <c r="AO56" s="18" t="s">
        <v>95</v>
      </c>
      <c r="AP56" s="18" t="s">
        <v>95</v>
      </c>
      <c r="AQ56" s="18" t="s">
        <v>95</v>
      </c>
      <c r="AR56" s="18" t="s">
        <v>95</v>
      </c>
      <c r="AS56" s="18" t="s">
        <v>83</v>
      </c>
      <c r="AT56" s="18" t="s">
        <v>83</v>
      </c>
      <c r="AU56" s="18" t="s">
        <v>83</v>
      </c>
      <c r="AV56" s="18" t="s">
        <v>95</v>
      </c>
      <c r="AW56" s="18" t="s">
        <v>95</v>
      </c>
      <c r="AX56" s="18"/>
      <c r="AY56" s="18" t="str">
        <f>Pospago[[#This Row],[NUM_TELEFONICO]]&amp;"POSPAGOSI"</f>
        <v>958922782POSPAGOSI</v>
      </c>
      <c r="AZ56" s="18" t="str">
        <f>VLOOKUP(Pospago[[#This Row],[NOM_PLAZA_FINAL]],[1]!Locales[#Data],3,0)</f>
        <v>TIENDA MACHALA</v>
      </c>
      <c r="BA56" s="18" t="str">
        <f>IFERROR(VLOOKUP(Pospago[[#This Row],[USUARIO]],[1]!Personal[#Data],6,0),"EJECUTIVO NO REGISTRADO")</f>
        <v>ARROBO VICENTE YADIRA ESPERANZA</v>
      </c>
      <c r="BB56" s="18" t="str">
        <f>Pospago[[#This Row],[TIPO_MOVIMIENTO]]&amp;" "&amp;Pospago[[#This Row],[FORMA_PAGO_FINAL]]</f>
        <v>ALTAS DOMICILIADO</v>
      </c>
      <c r="BC56" s="18">
        <f>DAY(Pospago[[#This Row],[FECHA_ALTA]])</f>
        <v>8</v>
      </c>
      <c r="BD56" s="18">
        <f>IF(Pospago[[#This Row],[TARIFA_BASICA]]=11.42,1,0)</f>
        <v>0</v>
      </c>
      <c r="BE56" s="18">
        <f>IF(Pospago[[#This Row],[PLANES TELEVENTAS]]="SI",1,0)</f>
        <v>0</v>
      </c>
      <c r="BF56" s="18">
        <f>1</f>
        <v>1</v>
      </c>
      <c r="BG56" s="18">
        <f>IF(OR(Pospago[[#This Row],[TARIFA_BASICA]]=11.42,Pospago[[#This Row],[PLANES TELEVENTAS]]="SI"),1,0)</f>
        <v>0</v>
      </c>
      <c r="BH56" s="18" t="str">
        <f>IF(MID(Pospago[[#This Row],[PlanDesc]],1,4) = "PLAN","POSPAGO",IF(MID(Pospago[[#This Row],[PlanDesc]],1,4)="FULL","FULL MEGAS","PREVIOPAGO"))</f>
        <v>POSPAGO</v>
      </c>
      <c r="BI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25.212</v>
      </c>
      <c r="BJ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" s="21">
        <f>Pospago[[#This Row],[TARIFA_BASICA]]*1.5</f>
        <v>26.775000000000002</v>
      </c>
    </row>
    <row r="57" spans="1:63" x14ac:dyDescent="0.25">
      <c r="A57" s="18" t="s">
        <v>154</v>
      </c>
      <c r="B57" s="18" t="s">
        <v>578</v>
      </c>
      <c r="C57" s="18" t="s">
        <v>579</v>
      </c>
      <c r="D57" s="19">
        <v>44896</v>
      </c>
      <c r="E57" s="18" t="s">
        <v>67</v>
      </c>
      <c r="F57" s="18" t="s">
        <v>580</v>
      </c>
      <c r="G57" s="18" t="s">
        <v>581</v>
      </c>
      <c r="H57" s="18" t="s">
        <v>159</v>
      </c>
      <c r="I57" s="18" t="s">
        <v>160</v>
      </c>
      <c r="J57" s="18" t="s">
        <v>161</v>
      </c>
      <c r="K57" s="18" t="s">
        <v>132</v>
      </c>
      <c r="L57" s="20" t="s">
        <v>582</v>
      </c>
      <c r="M57" s="18" t="s">
        <v>287</v>
      </c>
      <c r="N57" s="20" t="s">
        <v>583</v>
      </c>
      <c r="O57" s="18" t="s">
        <v>164</v>
      </c>
      <c r="P57" s="18" t="s">
        <v>78</v>
      </c>
      <c r="Q57" s="19">
        <v>44914</v>
      </c>
      <c r="R57" s="21">
        <v>14.28</v>
      </c>
      <c r="S57" s="18" t="s">
        <v>79</v>
      </c>
      <c r="T57" s="18" t="s">
        <v>135</v>
      </c>
      <c r="U57" s="18" t="s">
        <v>83</v>
      </c>
      <c r="V57" s="18" t="s">
        <v>95</v>
      </c>
      <c r="W57" s="18" t="s">
        <v>95</v>
      </c>
      <c r="X57" s="18" t="s">
        <v>84</v>
      </c>
      <c r="Y57" s="18" t="s">
        <v>85</v>
      </c>
      <c r="Z57" s="18" t="s">
        <v>86</v>
      </c>
      <c r="AA57" s="18" t="s">
        <v>87</v>
      </c>
      <c r="AB57" s="18" t="s">
        <v>478</v>
      </c>
      <c r="AC57" s="18" t="s">
        <v>479</v>
      </c>
      <c r="AD57" s="18" t="s">
        <v>85</v>
      </c>
      <c r="AE57" s="18" t="s">
        <v>90</v>
      </c>
      <c r="AF57" s="18" t="s">
        <v>138</v>
      </c>
      <c r="AG57" s="18" t="s">
        <v>139</v>
      </c>
      <c r="AH57" s="18" t="s">
        <v>165</v>
      </c>
      <c r="AI57" s="18" t="s">
        <v>94</v>
      </c>
      <c r="AJ57" s="19">
        <v>44896</v>
      </c>
      <c r="AK57" s="22" t="s">
        <v>95</v>
      </c>
      <c r="AL57" s="18" t="s">
        <v>95</v>
      </c>
      <c r="AM57" s="18" t="s">
        <v>95</v>
      </c>
      <c r="AN57" s="18" t="s">
        <v>95</v>
      </c>
      <c r="AO57" s="18" t="s">
        <v>95</v>
      </c>
      <c r="AP57" s="18" t="s">
        <v>95</v>
      </c>
      <c r="AQ57" s="18" t="s">
        <v>95</v>
      </c>
      <c r="AR57" s="18" t="s">
        <v>95</v>
      </c>
      <c r="AS57" s="18" t="s">
        <v>83</v>
      </c>
      <c r="AT57" s="18" t="s">
        <v>83</v>
      </c>
      <c r="AU57" s="18" t="s">
        <v>81</v>
      </c>
      <c r="AV57" s="18" t="s">
        <v>95</v>
      </c>
      <c r="AW57" s="18" t="s">
        <v>95</v>
      </c>
      <c r="AX57" s="18"/>
      <c r="AY57" s="18" t="str">
        <f>Pospago[[#This Row],[NUM_TELEFONICO]]&amp;"POSPAGOSI"</f>
        <v>958937253POSPAGOSI</v>
      </c>
      <c r="AZ57" s="18" t="str">
        <f>VLOOKUP(Pospago[[#This Row],[NOM_PLAZA_FINAL]],[1]!Locales[#Data],3,0)</f>
        <v>TIENDA AMERICA</v>
      </c>
      <c r="BA57" s="18" t="str">
        <f>IFERROR(VLOOKUP(Pospago[[#This Row],[USUARIO]],[1]!Personal[#Data],6,0),"EJECUTIVO NO REGISTRADO")</f>
        <v>REINO TUFINO PAULTEH KATHERINE</v>
      </c>
      <c r="BB57" s="18" t="str">
        <f>Pospago[[#This Row],[TIPO_MOVIMIENTO]]&amp;" "&amp;Pospago[[#This Row],[FORMA_PAGO_FINAL]]</f>
        <v>TRANSFERENCIAS DOMICILIADO</v>
      </c>
      <c r="BC57" s="18">
        <f>DAY(Pospago[[#This Row],[FECHA_ALTA]])</f>
        <v>1</v>
      </c>
      <c r="BD57" s="18">
        <f>IF(Pospago[[#This Row],[TARIFA_BASICA]]=11.42,1,0)</f>
        <v>0</v>
      </c>
      <c r="BE57" s="18">
        <f>IF(Pospago[[#This Row],[PLANES TELEVENTAS]]="SI",1,0)</f>
        <v>0</v>
      </c>
      <c r="BF57" s="18">
        <f>1</f>
        <v>1</v>
      </c>
      <c r="BG57" s="18">
        <f>IF(OR(Pospago[[#This Row],[TARIFA_BASICA]]=11.42,Pospago[[#This Row],[PLANES TELEVENTAS]]="SI"),1,0)</f>
        <v>0</v>
      </c>
      <c r="BH57" s="18" t="str">
        <f>IF(MID(Pospago[[#This Row],[PlanDesc]],1,4) = "PLAN","POSPAGO",IF(MID(Pospago[[#This Row],[PlanDesc]],1,4)="FULL","FULL MEGAS","PREVIOPAGO"))</f>
        <v>PREVIOPAGO</v>
      </c>
      <c r="BI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" s="21">
        <f>Pospago[[#This Row],[TARIFA_BASICA]]*1.5</f>
        <v>21.419999999999998</v>
      </c>
    </row>
    <row r="58" spans="1:63" x14ac:dyDescent="0.25">
      <c r="A58" s="18" t="s">
        <v>64</v>
      </c>
      <c r="B58" s="18" t="s">
        <v>584</v>
      </c>
      <c r="C58" s="18" t="s">
        <v>585</v>
      </c>
      <c r="D58" s="19">
        <v>44907</v>
      </c>
      <c r="E58" s="18" t="s">
        <v>67</v>
      </c>
      <c r="F58" s="18" t="s">
        <v>586</v>
      </c>
      <c r="G58" s="18" t="s">
        <v>587</v>
      </c>
      <c r="H58" s="18" t="s">
        <v>70</v>
      </c>
      <c r="I58" s="18" t="s">
        <v>160</v>
      </c>
      <c r="J58" s="18" t="s">
        <v>195</v>
      </c>
      <c r="K58" s="18" t="s">
        <v>95</v>
      </c>
      <c r="L58" s="20" t="s">
        <v>588</v>
      </c>
      <c r="M58" s="18" t="s">
        <v>75</v>
      </c>
      <c r="N58" s="20" t="s">
        <v>589</v>
      </c>
      <c r="O58" s="18" t="s">
        <v>77</v>
      </c>
      <c r="P58" s="18" t="s">
        <v>78</v>
      </c>
      <c r="Q58" s="19">
        <v>44914</v>
      </c>
      <c r="R58" s="21">
        <v>14.28</v>
      </c>
      <c r="S58" s="18" t="s">
        <v>79</v>
      </c>
      <c r="T58" s="18" t="s">
        <v>174</v>
      </c>
      <c r="U58" s="18" t="s">
        <v>83</v>
      </c>
      <c r="V58" s="18" t="s">
        <v>95</v>
      </c>
      <c r="W58" s="18" t="s">
        <v>83</v>
      </c>
      <c r="X58" s="18" t="s">
        <v>84</v>
      </c>
      <c r="Y58" s="18" t="s">
        <v>85</v>
      </c>
      <c r="Z58" s="18" t="s">
        <v>86</v>
      </c>
      <c r="AA58" s="18" t="s">
        <v>87</v>
      </c>
      <c r="AB58" s="18" t="s">
        <v>175</v>
      </c>
      <c r="AC58" s="18" t="s">
        <v>176</v>
      </c>
      <c r="AD58" s="18" t="s">
        <v>85</v>
      </c>
      <c r="AE58" s="18" t="s">
        <v>90</v>
      </c>
      <c r="AF58" s="18" t="s">
        <v>177</v>
      </c>
      <c r="AG58" s="18" t="s">
        <v>139</v>
      </c>
      <c r="AH58" s="18" t="s">
        <v>93</v>
      </c>
      <c r="AI58" s="18" t="s">
        <v>94</v>
      </c>
      <c r="AJ58" s="19">
        <v>44907</v>
      </c>
      <c r="AK58" s="22" t="s">
        <v>95</v>
      </c>
      <c r="AL58" s="18" t="s">
        <v>95</v>
      </c>
      <c r="AM58" s="18" t="s">
        <v>95</v>
      </c>
      <c r="AN58" s="18" t="s">
        <v>95</v>
      </c>
      <c r="AO58" s="18" t="s">
        <v>95</v>
      </c>
      <c r="AP58" s="18" t="s">
        <v>95</v>
      </c>
      <c r="AQ58" s="18" t="s">
        <v>95</v>
      </c>
      <c r="AR58" s="18" t="s">
        <v>95</v>
      </c>
      <c r="AS58" s="18" t="s">
        <v>83</v>
      </c>
      <c r="AT58" s="18" t="s">
        <v>83</v>
      </c>
      <c r="AU58" s="18" t="s">
        <v>81</v>
      </c>
      <c r="AV58" s="18" t="s">
        <v>95</v>
      </c>
      <c r="AW58" s="18" t="s">
        <v>95</v>
      </c>
      <c r="AX58" s="18"/>
      <c r="AY58" s="18" t="str">
        <f>Pospago[[#This Row],[NUM_TELEFONICO]]&amp;"POSPAGOSI"</f>
        <v>958947879POSPAGOSI</v>
      </c>
      <c r="AZ58" s="18" t="str">
        <f>VLOOKUP(Pospago[[#This Row],[NOM_PLAZA_FINAL]],[1]!Locales[#Data],3,0)</f>
        <v>TIENDA RECREO</v>
      </c>
      <c r="BA58" s="18" t="str">
        <f>IFERROR(VLOOKUP(Pospago[[#This Row],[USUARIO]],[1]!Personal[#Data],6,0),"EJECUTIVO NO REGISTRADO")</f>
        <v>VARGAS REYES LUIS EDUARDO</v>
      </c>
      <c r="BB58" s="18" t="str">
        <f>Pospago[[#This Row],[TIPO_MOVIMIENTO]]&amp;" "&amp;Pospago[[#This Row],[FORMA_PAGO_FINAL]]</f>
        <v>ALTAS DOMICILIADO</v>
      </c>
      <c r="BC58" s="18">
        <f>DAY(Pospago[[#This Row],[FECHA_ALTA]])</f>
        <v>12</v>
      </c>
      <c r="BD58" s="18">
        <f>IF(Pospago[[#This Row],[TARIFA_BASICA]]=11.42,1,0)</f>
        <v>0</v>
      </c>
      <c r="BE58" s="18">
        <f>IF(Pospago[[#This Row],[PLANES TELEVENTAS]]="SI",1,0)</f>
        <v>0</v>
      </c>
      <c r="BF58" s="18">
        <f>1</f>
        <v>1</v>
      </c>
      <c r="BG58" s="18">
        <f>IF(OR(Pospago[[#This Row],[TARIFA_BASICA]]=11.42,Pospago[[#This Row],[PLANES TELEVENTAS]]="SI"),1,0)</f>
        <v>0</v>
      </c>
      <c r="BH58" s="18" t="str">
        <f>IF(MID(Pospago[[#This Row],[PlanDesc]],1,4) = "PLAN","POSPAGO",IF(MID(Pospago[[#This Row],[PlanDesc]],1,4)="FULL","FULL MEGAS","PREVIOPAGO"))</f>
        <v>PREVIOPAGO</v>
      </c>
      <c r="BI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8" s="21">
        <f>Pospago[[#This Row],[TARIFA_BASICA]]*1.5</f>
        <v>21.419999999999998</v>
      </c>
    </row>
    <row r="59" spans="1:63" x14ac:dyDescent="0.25">
      <c r="A59" s="18" t="s">
        <v>64</v>
      </c>
      <c r="B59" s="18" t="s">
        <v>590</v>
      </c>
      <c r="C59" s="18" t="s">
        <v>591</v>
      </c>
      <c r="D59" s="19">
        <v>44898</v>
      </c>
      <c r="E59" s="18" t="s">
        <v>246</v>
      </c>
      <c r="F59" s="18" t="s">
        <v>592</v>
      </c>
      <c r="G59" s="18" t="s">
        <v>593</v>
      </c>
      <c r="H59" s="18" t="s">
        <v>70</v>
      </c>
      <c r="I59" s="18" t="s">
        <v>160</v>
      </c>
      <c r="J59" s="18" t="s">
        <v>195</v>
      </c>
      <c r="K59" s="18" t="s">
        <v>95</v>
      </c>
      <c r="L59" s="20" t="s">
        <v>594</v>
      </c>
      <c r="M59" s="18" t="s">
        <v>75</v>
      </c>
      <c r="N59" s="20" t="s">
        <v>595</v>
      </c>
      <c r="O59" s="18" t="s">
        <v>77</v>
      </c>
      <c r="P59" s="18" t="s">
        <v>78</v>
      </c>
      <c r="Q59" s="19">
        <v>44914</v>
      </c>
      <c r="R59" s="21">
        <v>14.28</v>
      </c>
      <c r="S59" s="18" t="s">
        <v>79</v>
      </c>
      <c r="T59" s="18" t="s">
        <v>174</v>
      </c>
      <c r="U59" s="18" t="s">
        <v>83</v>
      </c>
      <c r="V59" s="18" t="s">
        <v>95</v>
      </c>
      <c r="W59" s="18" t="s">
        <v>83</v>
      </c>
      <c r="X59" s="18" t="s">
        <v>84</v>
      </c>
      <c r="Y59" s="18" t="s">
        <v>85</v>
      </c>
      <c r="Z59" s="18" t="s">
        <v>86</v>
      </c>
      <c r="AA59" s="18" t="s">
        <v>87</v>
      </c>
      <c r="AB59" s="18" t="s">
        <v>369</v>
      </c>
      <c r="AC59" s="18" t="s">
        <v>370</v>
      </c>
      <c r="AD59" s="18" t="s">
        <v>85</v>
      </c>
      <c r="AE59" s="18" t="s">
        <v>90</v>
      </c>
      <c r="AF59" s="18" t="s">
        <v>177</v>
      </c>
      <c r="AG59" s="18" t="s">
        <v>139</v>
      </c>
      <c r="AH59" s="18" t="s">
        <v>93</v>
      </c>
      <c r="AI59" s="18" t="s">
        <v>94</v>
      </c>
      <c r="AJ59" s="19">
        <v>44898</v>
      </c>
      <c r="AK59" s="22" t="s">
        <v>95</v>
      </c>
      <c r="AL59" s="18" t="s">
        <v>95</v>
      </c>
      <c r="AM59" s="18" t="s">
        <v>95</v>
      </c>
      <c r="AN59" s="18" t="s">
        <v>95</v>
      </c>
      <c r="AO59" s="18" t="s">
        <v>95</v>
      </c>
      <c r="AP59" s="18" t="s">
        <v>95</v>
      </c>
      <c r="AQ59" s="18" t="s">
        <v>95</v>
      </c>
      <c r="AR59" s="18" t="s">
        <v>95</v>
      </c>
      <c r="AS59" s="18" t="s">
        <v>83</v>
      </c>
      <c r="AT59" s="18" t="s">
        <v>83</v>
      </c>
      <c r="AU59" s="18" t="s">
        <v>81</v>
      </c>
      <c r="AV59" s="18" t="s">
        <v>95</v>
      </c>
      <c r="AW59" s="18" t="s">
        <v>95</v>
      </c>
      <c r="AX59" s="18"/>
      <c r="AY59" s="18" t="str">
        <f>Pospago[[#This Row],[NUM_TELEFONICO]]&amp;"POSPAGOSI"</f>
        <v>958948160POSPAGOSI</v>
      </c>
      <c r="AZ59" s="18" t="str">
        <f>VLOOKUP(Pospago[[#This Row],[NOM_PLAZA_FINAL]],[1]!Locales[#Data],3,0)</f>
        <v>TIENDA RECREO</v>
      </c>
      <c r="BA59" s="18" t="str">
        <f>IFERROR(VLOOKUP(Pospago[[#This Row],[USUARIO]],[1]!Personal[#Data],6,0),"EJECUTIVO NO REGISTRADO")</f>
        <v>GUAIGUA REINOSO GENESIS CAROLINA</v>
      </c>
      <c r="BB59" s="18" t="str">
        <f>Pospago[[#This Row],[TIPO_MOVIMIENTO]]&amp;" "&amp;Pospago[[#This Row],[FORMA_PAGO_FINAL]]</f>
        <v>ALTAS DOMICILIADO</v>
      </c>
      <c r="BC59" s="18">
        <f>DAY(Pospago[[#This Row],[FECHA_ALTA]])</f>
        <v>3</v>
      </c>
      <c r="BD59" s="18">
        <f>IF(Pospago[[#This Row],[TARIFA_BASICA]]=11.42,1,0)</f>
        <v>0</v>
      </c>
      <c r="BE59" s="18">
        <f>IF(Pospago[[#This Row],[PLANES TELEVENTAS]]="SI",1,0)</f>
        <v>0</v>
      </c>
      <c r="BF59" s="18">
        <f>1</f>
        <v>1</v>
      </c>
      <c r="BG59" s="18">
        <f>IF(OR(Pospago[[#This Row],[TARIFA_BASICA]]=11.42,Pospago[[#This Row],[PLANES TELEVENTAS]]="SI"),1,0)</f>
        <v>0</v>
      </c>
      <c r="BH59" s="18" t="str">
        <f>IF(MID(Pospago[[#This Row],[PlanDesc]],1,4) = "PLAN","POSPAGO",IF(MID(Pospago[[#This Row],[PlanDesc]],1,4)="FULL","FULL MEGAS","PREVIOPAGO"))</f>
        <v>PREVIOPAGO</v>
      </c>
      <c r="BI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9" s="21">
        <f>Pospago[[#This Row],[TARIFA_BASICA]]*1.5</f>
        <v>21.419999999999998</v>
      </c>
    </row>
    <row r="60" spans="1:63" x14ac:dyDescent="0.25">
      <c r="A60" s="18" t="s">
        <v>64</v>
      </c>
      <c r="B60" s="18" t="s">
        <v>596</v>
      </c>
      <c r="C60" s="18" t="s">
        <v>597</v>
      </c>
      <c r="D60" s="19">
        <v>44907</v>
      </c>
      <c r="E60" s="18" t="s">
        <v>67</v>
      </c>
      <c r="F60" s="18" t="s">
        <v>598</v>
      </c>
      <c r="G60" s="18" t="s">
        <v>599</v>
      </c>
      <c r="H60" s="18" t="s">
        <v>70</v>
      </c>
      <c r="I60" s="18" t="s">
        <v>160</v>
      </c>
      <c r="J60" s="18" t="s">
        <v>195</v>
      </c>
      <c r="K60" s="18" t="s">
        <v>132</v>
      </c>
      <c r="L60" s="20" t="s">
        <v>600</v>
      </c>
      <c r="M60" s="18" t="s">
        <v>75</v>
      </c>
      <c r="N60" s="20" t="s">
        <v>601</v>
      </c>
      <c r="O60" s="18" t="s">
        <v>77</v>
      </c>
      <c r="P60" s="18" t="s">
        <v>78</v>
      </c>
      <c r="Q60" s="19">
        <v>44914</v>
      </c>
      <c r="R60" s="21">
        <v>14.28</v>
      </c>
      <c r="S60" s="18" t="s">
        <v>79</v>
      </c>
      <c r="T60" s="18" t="s">
        <v>135</v>
      </c>
      <c r="U60" s="18" t="s">
        <v>83</v>
      </c>
      <c r="V60" s="18" t="s">
        <v>95</v>
      </c>
      <c r="W60" s="18" t="s">
        <v>83</v>
      </c>
      <c r="X60" s="18" t="s">
        <v>118</v>
      </c>
      <c r="Y60" s="18" t="s">
        <v>85</v>
      </c>
      <c r="Z60" s="18" t="s">
        <v>86</v>
      </c>
      <c r="AA60" s="18" t="s">
        <v>119</v>
      </c>
      <c r="AB60" s="18" t="s">
        <v>326</v>
      </c>
      <c r="AC60" s="18" t="s">
        <v>327</v>
      </c>
      <c r="AD60" s="18" t="s">
        <v>85</v>
      </c>
      <c r="AE60" s="18" t="s">
        <v>90</v>
      </c>
      <c r="AF60" s="18" t="s">
        <v>138</v>
      </c>
      <c r="AG60" s="18" t="s">
        <v>139</v>
      </c>
      <c r="AH60" s="18" t="s">
        <v>93</v>
      </c>
      <c r="AI60" s="18" t="s">
        <v>94</v>
      </c>
      <c r="AJ60" s="19">
        <v>44907</v>
      </c>
      <c r="AK60" s="22" t="s">
        <v>95</v>
      </c>
      <c r="AL60" s="18" t="s">
        <v>95</v>
      </c>
      <c r="AM60" s="18" t="s">
        <v>95</v>
      </c>
      <c r="AN60" s="18" t="s">
        <v>95</v>
      </c>
      <c r="AO60" s="18" t="s">
        <v>95</v>
      </c>
      <c r="AP60" s="18" t="s">
        <v>95</v>
      </c>
      <c r="AQ60" s="18" t="s">
        <v>95</v>
      </c>
      <c r="AR60" s="18" t="s">
        <v>95</v>
      </c>
      <c r="AS60" s="18" t="s">
        <v>83</v>
      </c>
      <c r="AT60" s="18" t="s">
        <v>83</v>
      </c>
      <c r="AU60" s="18" t="s">
        <v>81</v>
      </c>
      <c r="AV60" s="18" t="s">
        <v>95</v>
      </c>
      <c r="AW60" s="18" t="s">
        <v>95</v>
      </c>
      <c r="AX60" s="18"/>
      <c r="AY60" s="18" t="str">
        <f>Pospago[[#This Row],[NUM_TELEFONICO]]&amp;"POSPAGOSI"</f>
        <v>958949524POSPAGOSI</v>
      </c>
      <c r="AZ60" s="18" t="str">
        <f>VLOOKUP(Pospago[[#This Row],[NOM_PLAZA_FINAL]],[1]!Locales[#Data],3,0)</f>
        <v>TIENDA AMERICA</v>
      </c>
      <c r="BA60" s="18" t="str">
        <f>IFERROR(VLOOKUP(Pospago[[#This Row],[USUARIO]],[1]!Personal[#Data],6,0),"EJECUTIVO NO REGISTRADO")</f>
        <v>AMBULUDI ROLDAN GIANELLA GRIMANEZA</v>
      </c>
      <c r="BB60" s="18" t="str">
        <f>Pospago[[#This Row],[TIPO_MOVIMIENTO]]&amp;" "&amp;Pospago[[#This Row],[FORMA_PAGO_FINAL]]</f>
        <v>ALTAS PAGO EN CAJA</v>
      </c>
      <c r="BC60" s="18">
        <f>DAY(Pospago[[#This Row],[FECHA_ALTA]])</f>
        <v>12</v>
      </c>
      <c r="BD60" s="18">
        <f>IF(Pospago[[#This Row],[TARIFA_BASICA]]=11.42,1,0)</f>
        <v>0</v>
      </c>
      <c r="BE60" s="18">
        <f>IF(Pospago[[#This Row],[PLANES TELEVENTAS]]="SI",1,0)</f>
        <v>0</v>
      </c>
      <c r="BF60" s="18">
        <f>1</f>
        <v>1</v>
      </c>
      <c r="BG60" s="18">
        <f>IF(OR(Pospago[[#This Row],[TARIFA_BASICA]]=11.42,Pospago[[#This Row],[PLANES TELEVENTAS]]="SI"),1,0)</f>
        <v>0</v>
      </c>
      <c r="BH60" s="18" t="str">
        <f>IF(MID(Pospago[[#This Row],[PlanDesc]],1,4) = "PLAN","POSPAGO",IF(MID(Pospago[[#This Row],[PlanDesc]],1,4)="FULL","FULL MEGAS","PREVIOPAGO"))</f>
        <v>PREVIOPAGO</v>
      </c>
      <c r="BI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0" s="21">
        <f>Pospago[[#This Row],[TARIFA_BASICA]]*1.5</f>
        <v>21.419999999999998</v>
      </c>
    </row>
    <row r="61" spans="1:63" x14ac:dyDescent="0.25">
      <c r="A61" s="18" t="s">
        <v>64</v>
      </c>
      <c r="B61" s="18" t="s">
        <v>602</v>
      </c>
      <c r="C61" s="18" t="s">
        <v>603</v>
      </c>
      <c r="D61" s="19">
        <v>44900</v>
      </c>
      <c r="E61" s="18" t="s">
        <v>67</v>
      </c>
      <c r="F61" s="18" t="s">
        <v>604</v>
      </c>
      <c r="G61" s="18" t="s">
        <v>605</v>
      </c>
      <c r="H61" s="18" t="s">
        <v>70</v>
      </c>
      <c r="I61" s="18" t="s">
        <v>606</v>
      </c>
      <c r="J61" s="18" t="s">
        <v>607</v>
      </c>
      <c r="K61" s="18" t="s">
        <v>73</v>
      </c>
      <c r="L61" s="20" t="s">
        <v>608</v>
      </c>
      <c r="M61" s="18" t="s">
        <v>75</v>
      </c>
      <c r="N61" s="20" t="s">
        <v>609</v>
      </c>
      <c r="O61" s="18" t="s">
        <v>231</v>
      </c>
      <c r="P61" s="18" t="s">
        <v>78</v>
      </c>
      <c r="Q61" s="19">
        <v>44914</v>
      </c>
      <c r="R61" s="21">
        <v>26.78</v>
      </c>
      <c r="S61" s="18" t="s">
        <v>79</v>
      </c>
      <c r="T61" s="18" t="s">
        <v>148</v>
      </c>
      <c r="U61" s="18" t="s">
        <v>83</v>
      </c>
      <c r="V61" s="18" t="s">
        <v>95</v>
      </c>
      <c r="W61" s="18" t="s">
        <v>83</v>
      </c>
      <c r="X61" s="18" t="s">
        <v>215</v>
      </c>
      <c r="Y61" s="18" t="s">
        <v>85</v>
      </c>
      <c r="Z61" s="18" t="s">
        <v>86</v>
      </c>
      <c r="AA61" s="18" t="s">
        <v>87</v>
      </c>
      <c r="AB61" s="18" t="s">
        <v>610</v>
      </c>
      <c r="AC61" s="18" t="s">
        <v>611</v>
      </c>
      <c r="AD61" s="18" t="s">
        <v>85</v>
      </c>
      <c r="AE61" s="18" t="s">
        <v>90</v>
      </c>
      <c r="AF61" s="18" t="s">
        <v>151</v>
      </c>
      <c r="AG61" s="18" t="s">
        <v>92</v>
      </c>
      <c r="AH61" s="18" t="s">
        <v>93</v>
      </c>
      <c r="AI61" s="18" t="s">
        <v>94</v>
      </c>
      <c r="AJ61" s="19">
        <v>44900</v>
      </c>
      <c r="AK61" s="22" t="s">
        <v>95</v>
      </c>
      <c r="AL61" s="18" t="s">
        <v>95</v>
      </c>
      <c r="AM61" s="18" t="s">
        <v>95</v>
      </c>
      <c r="AN61" s="18" t="s">
        <v>95</v>
      </c>
      <c r="AO61" s="18" t="s">
        <v>95</v>
      </c>
      <c r="AP61" s="18" t="s">
        <v>95</v>
      </c>
      <c r="AQ61" s="18" t="s">
        <v>95</v>
      </c>
      <c r="AR61" s="18" t="s">
        <v>95</v>
      </c>
      <c r="AS61" s="18" t="s">
        <v>83</v>
      </c>
      <c r="AT61" s="18" t="s">
        <v>83</v>
      </c>
      <c r="AU61" s="18" t="s">
        <v>81</v>
      </c>
      <c r="AV61" s="18" t="s">
        <v>95</v>
      </c>
      <c r="AW61" s="18" t="s">
        <v>95</v>
      </c>
      <c r="AX61" s="18"/>
      <c r="AY61" s="18" t="str">
        <f>Pospago[[#This Row],[NUM_TELEFONICO]]&amp;"POSPAGOSI"</f>
        <v>958954044POSPAGOSI</v>
      </c>
      <c r="AZ61" s="18" t="str">
        <f>VLOOKUP(Pospago[[#This Row],[NOM_PLAZA_FINAL]],[1]!Locales[#Data],3,0)</f>
        <v>TIENDA CUENCA REMIGIO</v>
      </c>
      <c r="BA61" s="18" t="str">
        <f>IFERROR(VLOOKUP(Pospago[[#This Row],[USUARIO]],[1]!Personal[#Data],6,0),"EJECUTIVO NO REGISTRADO")</f>
        <v>PATIÑO TAPIA ANDRES SANTIAGO</v>
      </c>
      <c r="BB61" s="18" t="str">
        <f>Pospago[[#This Row],[TIPO_MOVIMIENTO]]&amp;" "&amp;Pospago[[#This Row],[FORMA_PAGO_FINAL]]</f>
        <v>ALTAS DOMICILIADO</v>
      </c>
      <c r="BC61" s="18">
        <f>DAY(Pospago[[#This Row],[FECHA_ALTA]])</f>
        <v>5</v>
      </c>
      <c r="BD61" s="18">
        <f>IF(Pospago[[#This Row],[TARIFA_BASICA]]=11.42,1,0)</f>
        <v>0</v>
      </c>
      <c r="BE61" s="18">
        <f>IF(Pospago[[#This Row],[PLANES TELEVENTAS]]="SI",1,0)</f>
        <v>0</v>
      </c>
      <c r="BF61" s="18">
        <f>1</f>
        <v>1</v>
      </c>
      <c r="BG61" s="18">
        <f>IF(OR(Pospago[[#This Row],[TARIFA_BASICA]]=11.42,Pospago[[#This Row],[PLANES TELEVENTAS]]="SI"),1,0)</f>
        <v>0</v>
      </c>
      <c r="BH61" s="18" t="str">
        <f>IF(MID(Pospago[[#This Row],[PlanDesc]],1,4) = "PLAN","POSPAGO",IF(MID(Pospago[[#This Row],[PlanDesc]],1,4)="FULL","FULL MEGAS","PREVIOPAGO"))</f>
        <v>PREVIOPAGO</v>
      </c>
      <c r="BI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1" s="21">
        <f>Pospago[[#This Row],[TARIFA_BASICA]]*1.5</f>
        <v>40.17</v>
      </c>
    </row>
    <row r="62" spans="1:63" x14ac:dyDescent="0.25">
      <c r="A62" s="18" t="s">
        <v>64</v>
      </c>
      <c r="B62" s="18" t="s">
        <v>612</v>
      </c>
      <c r="C62" s="18" t="s">
        <v>613</v>
      </c>
      <c r="D62" s="19">
        <v>44907</v>
      </c>
      <c r="E62" s="18" t="s">
        <v>67</v>
      </c>
      <c r="F62" s="18" t="s">
        <v>614</v>
      </c>
      <c r="G62" s="18" t="s">
        <v>615</v>
      </c>
      <c r="H62" s="18" t="s">
        <v>70</v>
      </c>
      <c r="I62" s="18" t="s">
        <v>160</v>
      </c>
      <c r="J62" s="18" t="s">
        <v>195</v>
      </c>
      <c r="K62" s="18" t="s">
        <v>132</v>
      </c>
      <c r="L62" s="20" t="s">
        <v>616</v>
      </c>
      <c r="M62" s="18" t="s">
        <v>75</v>
      </c>
      <c r="N62" s="20" t="s">
        <v>617</v>
      </c>
      <c r="O62" s="18" t="s">
        <v>77</v>
      </c>
      <c r="P62" s="18" t="s">
        <v>78</v>
      </c>
      <c r="Q62" s="19">
        <v>44914</v>
      </c>
      <c r="R62" s="21">
        <v>14.28</v>
      </c>
      <c r="S62" s="18" t="s">
        <v>79</v>
      </c>
      <c r="T62" s="18" t="s">
        <v>232</v>
      </c>
      <c r="U62" s="18" t="s">
        <v>83</v>
      </c>
      <c r="V62" s="18" t="s">
        <v>95</v>
      </c>
      <c r="W62" s="18" t="s">
        <v>83</v>
      </c>
      <c r="X62" s="18" t="s">
        <v>118</v>
      </c>
      <c r="Y62" s="18" t="s">
        <v>85</v>
      </c>
      <c r="Z62" s="18" t="s">
        <v>86</v>
      </c>
      <c r="AA62" s="18" t="s">
        <v>119</v>
      </c>
      <c r="AB62" s="18" t="s">
        <v>271</v>
      </c>
      <c r="AC62" s="18" t="s">
        <v>272</v>
      </c>
      <c r="AD62" s="18" t="s">
        <v>85</v>
      </c>
      <c r="AE62" s="18" t="s">
        <v>90</v>
      </c>
      <c r="AF62" s="18" t="s">
        <v>235</v>
      </c>
      <c r="AG62" s="18" t="s">
        <v>139</v>
      </c>
      <c r="AH62" s="18" t="s">
        <v>93</v>
      </c>
      <c r="AI62" s="18" t="s">
        <v>94</v>
      </c>
      <c r="AJ62" s="19">
        <v>44907</v>
      </c>
      <c r="AK62" s="22" t="s">
        <v>95</v>
      </c>
      <c r="AL62" s="18" t="s">
        <v>95</v>
      </c>
      <c r="AM62" s="18" t="s">
        <v>95</v>
      </c>
      <c r="AN62" s="18" t="s">
        <v>95</v>
      </c>
      <c r="AO62" s="18" t="s">
        <v>95</v>
      </c>
      <c r="AP62" s="18" t="s">
        <v>95</v>
      </c>
      <c r="AQ62" s="18" t="s">
        <v>95</v>
      </c>
      <c r="AR62" s="18" t="s">
        <v>95</v>
      </c>
      <c r="AS62" s="18" t="s">
        <v>83</v>
      </c>
      <c r="AT62" s="18" t="s">
        <v>83</v>
      </c>
      <c r="AU62" s="18" t="s">
        <v>81</v>
      </c>
      <c r="AV62" s="18" t="s">
        <v>95</v>
      </c>
      <c r="AW62" s="18" t="s">
        <v>95</v>
      </c>
      <c r="AX62" s="18"/>
      <c r="AY62" s="18" t="str">
        <f>Pospago[[#This Row],[NUM_TELEFONICO]]&amp;"POSPAGOSI"</f>
        <v>958955459POSPAGOSI</v>
      </c>
      <c r="AZ62" s="18" t="str">
        <f>VLOOKUP(Pospago[[#This Row],[NOM_PLAZA_FINAL]],[1]!Locales[#Data],3,0)</f>
        <v>TIENDA CONDADO</v>
      </c>
      <c r="BA62" s="18" t="str">
        <f>IFERROR(VLOOKUP(Pospago[[#This Row],[USUARIO]],[1]!Personal[#Data],6,0),"EJECUTIVO NO REGISTRADO")</f>
        <v>CASTILLO AGUIRRE EDWIN MODESTO</v>
      </c>
      <c r="BB62" s="18" t="str">
        <f>Pospago[[#This Row],[TIPO_MOVIMIENTO]]&amp;" "&amp;Pospago[[#This Row],[FORMA_PAGO_FINAL]]</f>
        <v>ALTAS PAGO EN CAJA</v>
      </c>
      <c r="BC62" s="18">
        <f>DAY(Pospago[[#This Row],[FECHA_ALTA]])</f>
        <v>12</v>
      </c>
      <c r="BD62" s="18">
        <f>IF(Pospago[[#This Row],[TARIFA_BASICA]]=11.42,1,0)</f>
        <v>0</v>
      </c>
      <c r="BE62" s="18">
        <f>IF(Pospago[[#This Row],[PLANES TELEVENTAS]]="SI",1,0)</f>
        <v>0</v>
      </c>
      <c r="BF62" s="18">
        <f>1</f>
        <v>1</v>
      </c>
      <c r="BG62" s="18">
        <f>IF(OR(Pospago[[#This Row],[TARIFA_BASICA]]=11.42,Pospago[[#This Row],[PLANES TELEVENTAS]]="SI"),1,0)</f>
        <v>0</v>
      </c>
      <c r="BH62" s="18" t="str">
        <f>IF(MID(Pospago[[#This Row],[PlanDesc]],1,4) = "PLAN","POSPAGO",IF(MID(Pospago[[#This Row],[PlanDesc]],1,4)="FULL","FULL MEGAS","PREVIOPAGO"))</f>
        <v>PREVIOPAGO</v>
      </c>
      <c r="BI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" s="21">
        <f>Pospago[[#This Row],[TARIFA_BASICA]]*1.5</f>
        <v>21.419999999999998</v>
      </c>
    </row>
    <row r="63" spans="1:63" x14ac:dyDescent="0.25">
      <c r="A63" s="18" t="s">
        <v>64</v>
      </c>
      <c r="B63" s="18" t="s">
        <v>618</v>
      </c>
      <c r="C63" s="18" t="s">
        <v>619</v>
      </c>
      <c r="D63" s="19">
        <v>44908</v>
      </c>
      <c r="E63" s="18" t="s">
        <v>67</v>
      </c>
      <c r="F63" s="18" t="s">
        <v>620</v>
      </c>
      <c r="G63" s="18" t="s">
        <v>621</v>
      </c>
      <c r="H63" s="18" t="s">
        <v>70</v>
      </c>
      <c r="I63" s="18" t="s">
        <v>130</v>
      </c>
      <c r="J63" s="18" t="s">
        <v>131</v>
      </c>
      <c r="K63" s="18" t="s">
        <v>73</v>
      </c>
      <c r="L63" s="20" t="s">
        <v>622</v>
      </c>
      <c r="M63" s="18" t="s">
        <v>75</v>
      </c>
      <c r="N63" s="20" t="s">
        <v>623</v>
      </c>
      <c r="O63" s="18" t="s">
        <v>77</v>
      </c>
      <c r="P63" s="18" t="s">
        <v>78</v>
      </c>
      <c r="Q63" s="19">
        <v>44914</v>
      </c>
      <c r="R63" s="21">
        <v>15</v>
      </c>
      <c r="S63" s="18" t="s">
        <v>79</v>
      </c>
      <c r="T63" s="18" t="s">
        <v>80</v>
      </c>
      <c r="U63" s="18" t="s">
        <v>83</v>
      </c>
      <c r="V63" s="18" t="s">
        <v>95</v>
      </c>
      <c r="W63" s="18" t="s">
        <v>83</v>
      </c>
      <c r="X63" s="18" t="s">
        <v>84</v>
      </c>
      <c r="Y63" s="18" t="s">
        <v>85</v>
      </c>
      <c r="Z63" s="18" t="s">
        <v>86</v>
      </c>
      <c r="AA63" s="18" t="s">
        <v>87</v>
      </c>
      <c r="AB63" s="18" t="s">
        <v>242</v>
      </c>
      <c r="AC63" s="18" t="s">
        <v>243</v>
      </c>
      <c r="AD63" s="18" t="s">
        <v>85</v>
      </c>
      <c r="AE63" s="18" t="s">
        <v>90</v>
      </c>
      <c r="AF63" s="18" t="s">
        <v>91</v>
      </c>
      <c r="AG63" s="18" t="s">
        <v>92</v>
      </c>
      <c r="AH63" s="18" t="s">
        <v>93</v>
      </c>
      <c r="AI63" s="18" t="s">
        <v>94</v>
      </c>
      <c r="AJ63" s="19">
        <v>44908</v>
      </c>
      <c r="AK63" s="22" t="s">
        <v>95</v>
      </c>
      <c r="AL63" s="18" t="s">
        <v>95</v>
      </c>
      <c r="AM63" s="18" t="s">
        <v>95</v>
      </c>
      <c r="AN63" s="18" t="s">
        <v>95</v>
      </c>
      <c r="AO63" s="18" t="s">
        <v>95</v>
      </c>
      <c r="AP63" s="18" t="s">
        <v>95</v>
      </c>
      <c r="AQ63" s="18" t="s">
        <v>95</v>
      </c>
      <c r="AR63" s="18" t="s">
        <v>95</v>
      </c>
      <c r="AS63" s="18" t="s">
        <v>83</v>
      </c>
      <c r="AT63" s="18" t="s">
        <v>83</v>
      </c>
      <c r="AU63" s="18" t="s">
        <v>81</v>
      </c>
      <c r="AV63" s="18" t="s">
        <v>95</v>
      </c>
      <c r="AW63" s="18" t="s">
        <v>95</v>
      </c>
      <c r="AX63" s="18"/>
      <c r="AY63" s="18" t="str">
        <f>Pospago[[#This Row],[NUM_TELEFONICO]]&amp;"POSPAGOSI"</f>
        <v>958961515POSPAGOSI</v>
      </c>
      <c r="AZ63" s="18" t="str">
        <f>VLOOKUP(Pospago[[#This Row],[NOM_PLAZA_FINAL]],[1]!Locales[#Data],3,0)</f>
        <v>TIENDA CUENCA CENTRO</v>
      </c>
      <c r="BA63" s="18" t="str">
        <f>IFERROR(VLOOKUP(Pospago[[#This Row],[USUARIO]],[1]!Personal[#Data],6,0),"EJECUTIVO NO REGISTRADO")</f>
        <v>VALLEJO DELEG ROMAN NICOLAS</v>
      </c>
      <c r="BB63" s="18" t="str">
        <f>Pospago[[#This Row],[TIPO_MOVIMIENTO]]&amp;" "&amp;Pospago[[#This Row],[FORMA_PAGO_FINAL]]</f>
        <v>ALTAS DOMICILIADO</v>
      </c>
      <c r="BC63" s="18">
        <f>DAY(Pospago[[#This Row],[FECHA_ALTA]])</f>
        <v>13</v>
      </c>
      <c r="BD63" s="18">
        <f>IF(Pospago[[#This Row],[TARIFA_BASICA]]=11.42,1,0)</f>
        <v>0</v>
      </c>
      <c r="BE63" s="18">
        <f>IF(Pospago[[#This Row],[PLANES TELEVENTAS]]="SI",1,0)</f>
        <v>0</v>
      </c>
      <c r="BF63" s="18">
        <f>1</f>
        <v>1</v>
      </c>
      <c r="BG63" s="18">
        <f>IF(OR(Pospago[[#This Row],[TARIFA_BASICA]]=11.42,Pospago[[#This Row],[PLANES TELEVENTAS]]="SI"),1,0)</f>
        <v>0</v>
      </c>
      <c r="BH63" s="18" t="str">
        <f>IF(MID(Pospago[[#This Row],[PlanDesc]],1,4) = "PLAN","POSPAGO",IF(MID(Pospago[[#This Row],[PlanDesc]],1,4)="FULL","FULL MEGAS","PREVIOPAGO"))</f>
        <v>PREVIOPAGO</v>
      </c>
      <c r="BI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" s="21">
        <f>Pospago[[#This Row],[TARIFA_BASICA]]*1.5</f>
        <v>22.5</v>
      </c>
    </row>
    <row r="64" spans="1:63" x14ac:dyDescent="0.25">
      <c r="A64" s="18" t="s">
        <v>154</v>
      </c>
      <c r="B64" s="18" t="s">
        <v>624</v>
      </c>
      <c r="C64" s="18" t="s">
        <v>625</v>
      </c>
      <c r="D64" s="19">
        <v>44902</v>
      </c>
      <c r="E64" s="18" t="s">
        <v>67</v>
      </c>
      <c r="F64" s="18" t="s">
        <v>626</v>
      </c>
      <c r="G64" s="18" t="s">
        <v>627</v>
      </c>
      <c r="H64" s="18" t="s">
        <v>159</v>
      </c>
      <c r="I64" s="18" t="s">
        <v>71</v>
      </c>
      <c r="J64" s="18" t="s">
        <v>258</v>
      </c>
      <c r="K64" s="18" t="s">
        <v>95</v>
      </c>
      <c r="L64" s="20" t="s">
        <v>628</v>
      </c>
      <c r="M64" s="18" t="s">
        <v>75</v>
      </c>
      <c r="N64" s="20" t="s">
        <v>629</v>
      </c>
      <c r="O64" s="18" t="s">
        <v>164</v>
      </c>
      <c r="P64" s="18" t="s">
        <v>78</v>
      </c>
      <c r="Q64" s="19">
        <v>44914</v>
      </c>
      <c r="R64" s="21">
        <v>11.42</v>
      </c>
      <c r="S64" s="18" t="s">
        <v>79</v>
      </c>
      <c r="T64" s="18" t="s">
        <v>174</v>
      </c>
      <c r="U64" s="18" t="s">
        <v>83</v>
      </c>
      <c r="V64" s="18" t="s">
        <v>95</v>
      </c>
      <c r="W64" s="18" t="s">
        <v>95</v>
      </c>
      <c r="X64" s="18" t="s">
        <v>118</v>
      </c>
      <c r="Y64" s="18" t="s">
        <v>85</v>
      </c>
      <c r="Z64" s="18" t="s">
        <v>86</v>
      </c>
      <c r="AA64" s="18" t="s">
        <v>119</v>
      </c>
      <c r="AB64" s="18" t="s">
        <v>630</v>
      </c>
      <c r="AC64" s="18" t="s">
        <v>631</v>
      </c>
      <c r="AD64" s="18" t="s">
        <v>85</v>
      </c>
      <c r="AE64" s="18" t="s">
        <v>90</v>
      </c>
      <c r="AF64" s="18" t="s">
        <v>177</v>
      </c>
      <c r="AG64" s="18" t="s">
        <v>139</v>
      </c>
      <c r="AH64" s="18" t="s">
        <v>165</v>
      </c>
      <c r="AI64" s="18" t="s">
        <v>94</v>
      </c>
      <c r="AJ64" s="19">
        <v>44902</v>
      </c>
      <c r="AK64" s="22" t="s">
        <v>95</v>
      </c>
      <c r="AL64" s="18" t="s">
        <v>95</v>
      </c>
      <c r="AM64" s="18" t="s">
        <v>95</v>
      </c>
      <c r="AN64" s="18" t="s">
        <v>95</v>
      </c>
      <c r="AO64" s="18" t="s">
        <v>95</v>
      </c>
      <c r="AP64" s="18" t="s">
        <v>95</v>
      </c>
      <c r="AQ64" s="18" t="s">
        <v>95</v>
      </c>
      <c r="AR64" s="18" t="s">
        <v>95</v>
      </c>
      <c r="AS64" s="18" t="s">
        <v>83</v>
      </c>
      <c r="AT64" s="18" t="s">
        <v>83</v>
      </c>
      <c r="AU64" s="18" t="s">
        <v>81</v>
      </c>
      <c r="AV64" s="18" t="s">
        <v>95</v>
      </c>
      <c r="AW64" s="18" t="s">
        <v>95</v>
      </c>
      <c r="AX64" s="18"/>
      <c r="AY64" s="18" t="str">
        <f>Pospago[[#This Row],[NUM_TELEFONICO]]&amp;"POSPAGOSI"</f>
        <v>958965415POSPAGOSI</v>
      </c>
      <c r="AZ64" s="18" t="str">
        <f>VLOOKUP(Pospago[[#This Row],[NOM_PLAZA_FINAL]],[1]!Locales[#Data],3,0)</f>
        <v>TIENDA RECREO</v>
      </c>
      <c r="BA64" s="18" t="str">
        <f>IFERROR(VLOOKUP(Pospago[[#This Row],[USUARIO]],[1]!Personal[#Data],6,0),"EJECUTIVO NO REGISTRADO")</f>
        <v>LOAYZA AGUILAR JONATHAN FABIAN</v>
      </c>
      <c r="BB64" s="18" t="str">
        <f>Pospago[[#This Row],[TIPO_MOVIMIENTO]]&amp;" "&amp;Pospago[[#This Row],[FORMA_PAGO_FINAL]]</f>
        <v>TRANSFERENCIAS PAGO EN CAJA</v>
      </c>
      <c r="BC64" s="18">
        <f>DAY(Pospago[[#This Row],[FECHA_ALTA]])</f>
        <v>7</v>
      </c>
      <c r="BD64" s="18">
        <f>IF(Pospago[[#This Row],[TARIFA_BASICA]]=11.42,1,0)</f>
        <v>1</v>
      </c>
      <c r="BE64" s="18">
        <f>IF(Pospago[[#This Row],[PLANES TELEVENTAS]]="SI",1,0)</f>
        <v>0</v>
      </c>
      <c r="BF64" s="18">
        <f>1</f>
        <v>1</v>
      </c>
      <c r="BG64" s="18">
        <f>IF(OR(Pospago[[#This Row],[TARIFA_BASICA]]=11.42,Pospago[[#This Row],[PLANES TELEVENTAS]]="SI"),1,0)</f>
        <v>1</v>
      </c>
      <c r="BH64" s="18" t="str">
        <f>IF(MID(Pospago[[#This Row],[PlanDesc]],1,4) = "PLAN","POSPAGO",IF(MID(Pospago[[#This Row],[PlanDesc]],1,4)="FULL","FULL MEGAS","PREVIOPAGO"))</f>
        <v>PREVIOPAGO</v>
      </c>
      <c r="BI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4" s="21">
        <f>Pospago[[#This Row],[TARIFA_BASICA]]*1.5</f>
        <v>17.13</v>
      </c>
    </row>
    <row r="65" spans="1:63" x14ac:dyDescent="0.25">
      <c r="A65" s="18" t="s">
        <v>64</v>
      </c>
      <c r="B65" s="18" t="s">
        <v>632</v>
      </c>
      <c r="C65" s="18" t="s">
        <v>633</v>
      </c>
      <c r="D65" s="19">
        <v>44907</v>
      </c>
      <c r="E65" s="18" t="s">
        <v>67</v>
      </c>
      <c r="F65" s="18" t="s">
        <v>634</v>
      </c>
      <c r="G65" s="18" t="s">
        <v>635</v>
      </c>
      <c r="H65" s="18" t="s">
        <v>70</v>
      </c>
      <c r="I65" s="18" t="s">
        <v>160</v>
      </c>
      <c r="J65" s="18" t="s">
        <v>195</v>
      </c>
      <c r="K65" s="18" t="s">
        <v>132</v>
      </c>
      <c r="L65" s="20" t="s">
        <v>636</v>
      </c>
      <c r="M65" s="18" t="s">
        <v>75</v>
      </c>
      <c r="N65" s="20" t="s">
        <v>637</v>
      </c>
      <c r="O65" s="18" t="s">
        <v>77</v>
      </c>
      <c r="P65" s="18" t="s">
        <v>78</v>
      </c>
      <c r="Q65" s="19">
        <v>44914</v>
      </c>
      <c r="R65" s="21">
        <v>14.28</v>
      </c>
      <c r="S65" s="18" t="s">
        <v>79</v>
      </c>
      <c r="T65" s="18" t="s">
        <v>232</v>
      </c>
      <c r="U65" s="18" t="s">
        <v>83</v>
      </c>
      <c r="V65" s="18" t="s">
        <v>95</v>
      </c>
      <c r="W65" s="18" t="s">
        <v>83</v>
      </c>
      <c r="X65" s="18" t="s">
        <v>118</v>
      </c>
      <c r="Y65" s="18" t="s">
        <v>85</v>
      </c>
      <c r="Z65" s="18" t="s">
        <v>86</v>
      </c>
      <c r="AA65" s="18" t="s">
        <v>119</v>
      </c>
      <c r="AB65" s="18" t="s">
        <v>233</v>
      </c>
      <c r="AC65" s="18" t="s">
        <v>234</v>
      </c>
      <c r="AD65" s="18" t="s">
        <v>85</v>
      </c>
      <c r="AE65" s="18" t="s">
        <v>90</v>
      </c>
      <c r="AF65" s="18" t="s">
        <v>235</v>
      </c>
      <c r="AG65" s="18" t="s">
        <v>139</v>
      </c>
      <c r="AH65" s="18" t="s">
        <v>93</v>
      </c>
      <c r="AI65" s="18" t="s">
        <v>94</v>
      </c>
      <c r="AJ65" s="19">
        <v>44907</v>
      </c>
      <c r="AK65" s="22" t="s">
        <v>95</v>
      </c>
      <c r="AL65" s="18" t="s">
        <v>95</v>
      </c>
      <c r="AM65" s="18" t="s">
        <v>95</v>
      </c>
      <c r="AN65" s="18" t="s">
        <v>95</v>
      </c>
      <c r="AO65" s="18" t="s">
        <v>95</v>
      </c>
      <c r="AP65" s="18" t="s">
        <v>95</v>
      </c>
      <c r="AQ65" s="18" t="s">
        <v>95</v>
      </c>
      <c r="AR65" s="18" t="s">
        <v>95</v>
      </c>
      <c r="AS65" s="18" t="s">
        <v>83</v>
      </c>
      <c r="AT65" s="18" t="s">
        <v>83</v>
      </c>
      <c r="AU65" s="18" t="s">
        <v>81</v>
      </c>
      <c r="AV65" s="18" t="s">
        <v>95</v>
      </c>
      <c r="AW65" s="18" t="s">
        <v>95</v>
      </c>
      <c r="AX65" s="18"/>
      <c r="AY65" s="18" t="str">
        <f>Pospago[[#This Row],[NUM_TELEFONICO]]&amp;"POSPAGOSI"</f>
        <v>958980132POSPAGOSI</v>
      </c>
      <c r="AZ65" s="18" t="str">
        <f>VLOOKUP(Pospago[[#This Row],[NOM_PLAZA_FINAL]],[1]!Locales[#Data],3,0)</f>
        <v>TIENDA CONDADO</v>
      </c>
      <c r="BA65" s="18" t="str">
        <f>IFERROR(VLOOKUP(Pospago[[#This Row],[USUARIO]],[1]!Personal[#Data],6,0),"EJECUTIVO NO REGISTRADO")</f>
        <v>ROSALES MALDONADO JESSICA GABRIELA</v>
      </c>
      <c r="BB65" s="18" t="str">
        <f>Pospago[[#This Row],[TIPO_MOVIMIENTO]]&amp;" "&amp;Pospago[[#This Row],[FORMA_PAGO_FINAL]]</f>
        <v>ALTAS PAGO EN CAJA</v>
      </c>
      <c r="BC65" s="18">
        <f>DAY(Pospago[[#This Row],[FECHA_ALTA]])</f>
        <v>12</v>
      </c>
      <c r="BD65" s="18">
        <f>IF(Pospago[[#This Row],[TARIFA_BASICA]]=11.42,1,0)</f>
        <v>0</v>
      </c>
      <c r="BE65" s="18">
        <f>IF(Pospago[[#This Row],[PLANES TELEVENTAS]]="SI",1,0)</f>
        <v>0</v>
      </c>
      <c r="BF65" s="18">
        <f>1</f>
        <v>1</v>
      </c>
      <c r="BG65" s="18">
        <f>IF(OR(Pospago[[#This Row],[TARIFA_BASICA]]=11.42,Pospago[[#This Row],[PLANES TELEVENTAS]]="SI"),1,0)</f>
        <v>0</v>
      </c>
      <c r="BH65" s="18" t="str">
        <f>IF(MID(Pospago[[#This Row],[PlanDesc]],1,4) = "PLAN","POSPAGO",IF(MID(Pospago[[#This Row],[PlanDesc]],1,4)="FULL","FULL MEGAS","PREVIOPAGO"))</f>
        <v>PREVIOPAGO</v>
      </c>
      <c r="BI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5" s="21">
        <f>Pospago[[#This Row],[TARIFA_BASICA]]*1.5</f>
        <v>21.419999999999998</v>
      </c>
    </row>
    <row r="66" spans="1:63" x14ac:dyDescent="0.25">
      <c r="A66" s="18" t="s">
        <v>64</v>
      </c>
      <c r="B66" s="18" t="s">
        <v>638</v>
      </c>
      <c r="C66" s="18" t="s">
        <v>639</v>
      </c>
      <c r="D66" s="19">
        <v>44896</v>
      </c>
      <c r="E66" s="18" t="s">
        <v>67</v>
      </c>
      <c r="F66" s="18" t="s">
        <v>640</v>
      </c>
      <c r="G66" s="18" t="s">
        <v>641</v>
      </c>
      <c r="H66" s="18" t="s">
        <v>70</v>
      </c>
      <c r="I66" s="18" t="s">
        <v>130</v>
      </c>
      <c r="J66" s="18" t="s">
        <v>131</v>
      </c>
      <c r="K66" s="18" t="s">
        <v>132</v>
      </c>
      <c r="L66" s="20" t="s">
        <v>642</v>
      </c>
      <c r="M66" s="18" t="s">
        <v>75</v>
      </c>
      <c r="N66" s="20" t="s">
        <v>643</v>
      </c>
      <c r="O66" s="18" t="s">
        <v>77</v>
      </c>
      <c r="P66" s="18" t="s">
        <v>78</v>
      </c>
      <c r="Q66" s="19">
        <v>44914</v>
      </c>
      <c r="R66" s="21">
        <v>15</v>
      </c>
      <c r="S66" s="18" t="s">
        <v>79</v>
      </c>
      <c r="T66" s="18" t="s">
        <v>232</v>
      </c>
      <c r="U66" s="18" t="s">
        <v>83</v>
      </c>
      <c r="V66" s="18" t="s">
        <v>95</v>
      </c>
      <c r="W66" s="18" t="s">
        <v>83</v>
      </c>
      <c r="X66" s="18" t="s">
        <v>118</v>
      </c>
      <c r="Y66" s="18" t="s">
        <v>85</v>
      </c>
      <c r="Z66" s="18" t="s">
        <v>86</v>
      </c>
      <c r="AA66" s="18" t="s">
        <v>119</v>
      </c>
      <c r="AB66" s="18" t="s">
        <v>377</v>
      </c>
      <c r="AC66" s="18" t="s">
        <v>378</v>
      </c>
      <c r="AD66" s="18" t="s">
        <v>85</v>
      </c>
      <c r="AE66" s="18" t="s">
        <v>90</v>
      </c>
      <c r="AF66" s="18" t="s">
        <v>235</v>
      </c>
      <c r="AG66" s="18" t="s">
        <v>139</v>
      </c>
      <c r="AH66" s="18" t="s">
        <v>93</v>
      </c>
      <c r="AI66" s="18" t="s">
        <v>94</v>
      </c>
      <c r="AJ66" s="19">
        <v>44896</v>
      </c>
      <c r="AK66" s="22" t="s">
        <v>95</v>
      </c>
      <c r="AL66" s="18" t="s">
        <v>95</v>
      </c>
      <c r="AM66" s="18" t="s">
        <v>95</v>
      </c>
      <c r="AN66" s="18" t="s">
        <v>95</v>
      </c>
      <c r="AO66" s="18" t="s">
        <v>95</v>
      </c>
      <c r="AP66" s="18" t="s">
        <v>95</v>
      </c>
      <c r="AQ66" s="18" t="s">
        <v>95</v>
      </c>
      <c r="AR66" s="18" t="s">
        <v>95</v>
      </c>
      <c r="AS66" s="18" t="s">
        <v>83</v>
      </c>
      <c r="AT66" s="18" t="s">
        <v>83</v>
      </c>
      <c r="AU66" s="18" t="s">
        <v>81</v>
      </c>
      <c r="AV66" s="18" t="s">
        <v>95</v>
      </c>
      <c r="AW66" s="18" t="s">
        <v>96</v>
      </c>
      <c r="AX66" s="18"/>
      <c r="AY66" s="18" t="str">
        <f>Pospago[[#This Row],[NUM_TELEFONICO]]&amp;"POSPAGOSI"</f>
        <v>958981050POSPAGOSI</v>
      </c>
      <c r="AZ66" s="18" t="str">
        <f>VLOOKUP(Pospago[[#This Row],[NOM_PLAZA_FINAL]],[1]!Locales[#Data],3,0)</f>
        <v>TIENDA CONDADO</v>
      </c>
      <c r="BA66" s="18" t="str">
        <f>IFERROR(VLOOKUP(Pospago[[#This Row],[USUARIO]],[1]!Personal[#Data],6,0),"EJECUTIVO NO REGISTRADO")</f>
        <v>MELCHIADE ISAAC VALMORE</v>
      </c>
      <c r="BB66" s="18" t="str">
        <f>Pospago[[#This Row],[TIPO_MOVIMIENTO]]&amp;" "&amp;Pospago[[#This Row],[FORMA_PAGO_FINAL]]</f>
        <v>ALTAS PAGO EN CAJA</v>
      </c>
      <c r="BC66" s="18">
        <f>DAY(Pospago[[#This Row],[FECHA_ALTA]])</f>
        <v>1</v>
      </c>
      <c r="BD66" s="18">
        <f>IF(Pospago[[#This Row],[TARIFA_BASICA]]=11.42,1,0)</f>
        <v>0</v>
      </c>
      <c r="BE66" s="18">
        <f>IF(Pospago[[#This Row],[PLANES TELEVENTAS]]="SI",1,0)</f>
        <v>0</v>
      </c>
      <c r="BF66" s="18">
        <f>1</f>
        <v>1</v>
      </c>
      <c r="BG66" s="18">
        <f>IF(OR(Pospago[[#This Row],[TARIFA_BASICA]]=11.42,Pospago[[#This Row],[PLANES TELEVENTAS]]="SI"),1,0)</f>
        <v>0</v>
      </c>
      <c r="BH66" s="18" t="str">
        <f>IF(MID(Pospago[[#This Row],[PlanDesc]],1,4) = "PLAN","POSPAGO",IF(MID(Pospago[[#This Row],[PlanDesc]],1,4)="FULL","FULL MEGAS","PREVIOPAGO"))</f>
        <v>PREVIOPAGO</v>
      </c>
      <c r="BI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" s="21">
        <f>Pospago[[#This Row],[TARIFA_BASICA]]*1.5</f>
        <v>22.5</v>
      </c>
    </row>
    <row r="67" spans="1:63" x14ac:dyDescent="0.25">
      <c r="A67" s="18" t="s">
        <v>64</v>
      </c>
      <c r="B67" s="18" t="s">
        <v>644</v>
      </c>
      <c r="C67" s="18" t="s">
        <v>645</v>
      </c>
      <c r="D67" s="19">
        <v>44901</v>
      </c>
      <c r="E67" s="18" t="s">
        <v>67</v>
      </c>
      <c r="F67" s="18" t="s">
        <v>646</v>
      </c>
      <c r="G67" s="18" t="s">
        <v>647</v>
      </c>
      <c r="H67" s="18" t="s">
        <v>70</v>
      </c>
      <c r="I67" s="18" t="s">
        <v>130</v>
      </c>
      <c r="J67" s="18" t="s">
        <v>131</v>
      </c>
      <c r="K67" s="18" t="s">
        <v>648</v>
      </c>
      <c r="L67" s="20" t="s">
        <v>649</v>
      </c>
      <c r="M67" s="18" t="s">
        <v>75</v>
      </c>
      <c r="N67" s="20" t="s">
        <v>650</v>
      </c>
      <c r="O67" s="18" t="s">
        <v>77</v>
      </c>
      <c r="P67" s="18" t="s">
        <v>78</v>
      </c>
      <c r="Q67" s="19">
        <v>44914</v>
      </c>
      <c r="R67" s="21">
        <v>15</v>
      </c>
      <c r="S67" s="18" t="s">
        <v>79</v>
      </c>
      <c r="T67" s="18" t="s">
        <v>117</v>
      </c>
      <c r="U67" s="18" t="s">
        <v>83</v>
      </c>
      <c r="V67" s="18" t="s">
        <v>95</v>
      </c>
      <c r="W67" s="18" t="s">
        <v>83</v>
      </c>
      <c r="X67" s="18" t="s">
        <v>118</v>
      </c>
      <c r="Y67" s="18" t="s">
        <v>85</v>
      </c>
      <c r="Z67" s="18" t="s">
        <v>86</v>
      </c>
      <c r="AA67" s="18" t="s">
        <v>119</v>
      </c>
      <c r="AB67" s="18" t="s">
        <v>651</v>
      </c>
      <c r="AC67" s="18" t="s">
        <v>652</v>
      </c>
      <c r="AD67" s="18" t="s">
        <v>85</v>
      </c>
      <c r="AE67" s="18" t="s">
        <v>90</v>
      </c>
      <c r="AF67" s="18" t="s">
        <v>122</v>
      </c>
      <c r="AG67" s="18" t="s">
        <v>92</v>
      </c>
      <c r="AH67" s="18" t="s">
        <v>93</v>
      </c>
      <c r="AI67" s="18" t="s">
        <v>94</v>
      </c>
      <c r="AJ67" s="19">
        <v>44901</v>
      </c>
      <c r="AK67" s="22" t="s">
        <v>95</v>
      </c>
      <c r="AL67" s="18" t="s">
        <v>95</v>
      </c>
      <c r="AM67" s="18" t="s">
        <v>95</v>
      </c>
      <c r="AN67" s="18" t="s">
        <v>95</v>
      </c>
      <c r="AO67" s="18" t="s">
        <v>95</v>
      </c>
      <c r="AP67" s="18" t="s">
        <v>95</v>
      </c>
      <c r="AQ67" s="18" t="s">
        <v>95</v>
      </c>
      <c r="AR67" s="18" t="s">
        <v>95</v>
      </c>
      <c r="AS67" s="18" t="s">
        <v>83</v>
      </c>
      <c r="AT67" s="18" t="s">
        <v>83</v>
      </c>
      <c r="AU67" s="18" t="s">
        <v>81</v>
      </c>
      <c r="AV67" s="18" t="s">
        <v>95</v>
      </c>
      <c r="AW67" s="18" t="s">
        <v>96</v>
      </c>
      <c r="AX67" s="18"/>
      <c r="AY67" s="18" t="str">
        <f>Pospago[[#This Row],[NUM_TELEFONICO]]&amp;"POSPAGOSI"</f>
        <v>958988560POSPAGOSI</v>
      </c>
      <c r="AZ67" s="18" t="str">
        <f>VLOOKUP(Pospago[[#This Row],[NOM_PLAZA_FINAL]],[1]!Locales[#Data],3,0)</f>
        <v>TIENDA MACHALA</v>
      </c>
      <c r="BA67" s="18" t="str">
        <f>IFERROR(VLOOKUP(Pospago[[#This Row],[USUARIO]],[1]!Personal[#Data],6,0),"EJECUTIVO NO REGISTRADO")</f>
        <v>SANCHEZ SARITAMA JOEL LUIS</v>
      </c>
      <c r="BB67" s="18" t="str">
        <f>Pospago[[#This Row],[TIPO_MOVIMIENTO]]&amp;" "&amp;Pospago[[#This Row],[FORMA_PAGO_FINAL]]</f>
        <v>ALTAS PAGO EN CAJA</v>
      </c>
      <c r="BC67" s="18">
        <f>DAY(Pospago[[#This Row],[FECHA_ALTA]])</f>
        <v>6</v>
      </c>
      <c r="BD67" s="18">
        <f>IF(Pospago[[#This Row],[TARIFA_BASICA]]=11.42,1,0)</f>
        <v>0</v>
      </c>
      <c r="BE67" s="18">
        <f>IF(Pospago[[#This Row],[PLANES TELEVENTAS]]="SI",1,0)</f>
        <v>0</v>
      </c>
      <c r="BF67" s="18">
        <f>1</f>
        <v>1</v>
      </c>
      <c r="BG67" s="18">
        <f>IF(OR(Pospago[[#This Row],[TARIFA_BASICA]]=11.42,Pospago[[#This Row],[PLANES TELEVENTAS]]="SI"),1,0)</f>
        <v>0</v>
      </c>
      <c r="BH67" s="18" t="str">
        <f>IF(MID(Pospago[[#This Row],[PlanDesc]],1,4) = "PLAN","POSPAGO",IF(MID(Pospago[[#This Row],[PlanDesc]],1,4)="FULL","FULL MEGAS","PREVIOPAGO"))</f>
        <v>PREVIOPAGO</v>
      </c>
      <c r="BI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14.856</v>
      </c>
      <c r="BJ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7" s="21">
        <f>Pospago[[#This Row],[TARIFA_BASICA]]*1.5</f>
        <v>22.5</v>
      </c>
    </row>
    <row r="68" spans="1:63" x14ac:dyDescent="0.25">
      <c r="A68" s="18" t="s">
        <v>64</v>
      </c>
      <c r="B68" s="18" t="s">
        <v>653</v>
      </c>
      <c r="C68" s="18" t="s">
        <v>654</v>
      </c>
      <c r="D68" s="19">
        <v>44909</v>
      </c>
      <c r="E68" s="18" t="s">
        <v>67</v>
      </c>
      <c r="F68" s="18" t="s">
        <v>655</v>
      </c>
      <c r="G68" s="18" t="s">
        <v>656</v>
      </c>
      <c r="H68" s="18" t="s">
        <v>70</v>
      </c>
      <c r="I68" s="18" t="s">
        <v>130</v>
      </c>
      <c r="J68" s="18" t="s">
        <v>131</v>
      </c>
      <c r="K68" s="18" t="s">
        <v>95</v>
      </c>
      <c r="L68" s="20" t="s">
        <v>657</v>
      </c>
      <c r="M68" s="18" t="s">
        <v>75</v>
      </c>
      <c r="N68" s="20" t="s">
        <v>658</v>
      </c>
      <c r="O68" s="18" t="s">
        <v>77</v>
      </c>
      <c r="P68" s="18" t="s">
        <v>78</v>
      </c>
      <c r="Q68" s="19">
        <v>44914</v>
      </c>
      <c r="R68" s="21">
        <v>15</v>
      </c>
      <c r="S68" s="18" t="s">
        <v>79</v>
      </c>
      <c r="T68" s="18" t="s">
        <v>174</v>
      </c>
      <c r="U68" s="18" t="s">
        <v>83</v>
      </c>
      <c r="V68" s="18" t="s">
        <v>95</v>
      </c>
      <c r="W68" s="18" t="s">
        <v>83</v>
      </c>
      <c r="X68" s="18" t="s">
        <v>118</v>
      </c>
      <c r="Y68" s="18" t="s">
        <v>85</v>
      </c>
      <c r="Z68" s="18" t="s">
        <v>86</v>
      </c>
      <c r="AA68" s="18" t="s">
        <v>119</v>
      </c>
      <c r="AB68" s="18" t="s">
        <v>175</v>
      </c>
      <c r="AC68" s="18" t="s">
        <v>176</v>
      </c>
      <c r="AD68" s="18" t="s">
        <v>85</v>
      </c>
      <c r="AE68" s="18" t="s">
        <v>90</v>
      </c>
      <c r="AF68" s="18" t="s">
        <v>177</v>
      </c>
      <c r="AG68" s="18" t="s">
        <v>139</v>
      </c>
      <c r="AH68" s="18" t="s">
        <v>93</v>
      </c>
      <c r="AI68" s="18" t="s">
        <v>94</v>
      </c>
      <c r="AJ68" s="19">
        <v>44909</v>
      </c>
      <c r="AK68" s="22" t="s">
        <v>95</v>
      </c>
      <c r="AL68" s="18" t="s">
        <v>95</v>
      </c>
      <c r="AM68" s="18" t="s">
        <v>95</v>
      </c>
      <c r="AN68" s="18" t="s">
        <v>95</v>
      </c>
      <c r="AO68" s="18" t="s">
        <v>95</v>
      </c>
      <c r="AP68" s="18" t="s">
        <v>95</v>
      </c>
      <c r="AQ68" s="18" t="s">
        <v>95</v>
      </c>
      <c r="AR68" s="18" t="s">
        <v>95</v>
      </c>
      <c r="AS68" s="18" t="s">
        <v>83</v>
      </c>
      <c r="AT68" s="18" t="s">
        <v>83</v>
      </c>
      <c r="AU68" s="18" t="s">
        <v>81</v>
      </c>
      <c r="AV68" s="18" t="s">
        <v>95</v>
      </c>
      <c r="AW68" s="18" t="s">
        <v>95</v>
      </c>
      <c r="AX68" s="18"/>
      <c r="AY68" s="18" t="str">
        <f>Pospago[[#This Row],[NUM_TELEFONICO]]&amp;"POSPAGOSI"</f>
        <v>958990298POSPAGOSI</v>
      </c>
      <c r="AZ68" s="18" t="str">
        <f>VLOOKUP(Pospago[[#This Row],[NOM_PLAZA_FINAL]],[1]!Locales[#Data],3,0)</f>
        <v>TIENDA RECREO</v>
      </c>
      <c r="BA68" s="18" t="str">
        <f>IFERROR(VLOOKUP(Pospago[[#This Row],[USUARIO]],[1]!Personal[#Data],6,0),"EJECUTIVO NO REGISTRADO")</f>
        <v>VARGAS REYES LUIS EDUARDO</v>
      </c>
      <c r="BB68" s="18" t="str">
        <f>Pospago[[#This Row],[TIPO_MOVIMIENTO]]&amp;" "&amp;Pospago[[#This Row],[FORMA_PAGO_FINAL]]</f>
        <v>ALTAS PAGO EN CAJA</v>
      </c>
      <c r="BC68" s="18">
        <f>DAY(Pospago[[#This Row],[FECHA_ALTA]])</f>
        <v>14</v>
      </c>
      <c r="BD68" s="18">
        <f>IF(Pospago[[#This Row],[TARIFA_BASICA]]=11.42,1,0)</f>
        <v>0</v>
      </c>
      <c r="BE68" s="18">
        <f>IF(Pospago[[#This Row],[PLANES TELEVENTAS]]="SI",1,0)</f>
        <v>0</v>
      </c>
      <c r="BF68" s="18">
        <f>1</f>
        <v>1</v>
      </c>
      <c r="BG68" s="18">
        <f>IF(OR(Pospago[[#This Row],[TARIFA_BASICA]]=11.42,Pospago[[#This Row],[PLANES TELEVENTAS]]="SI"),1,0)</f>
        <v>0</v>
      </c>
      <c r="BH68" s="18" t="str">
        <f>IF(MID(Pospago[[#This Row],[PlanDesc]],1,4) = "PLAN","POSPAGO",IF(MID(Pospago[[#This Row],[PlanDesc]],1,4)="FULL","FULL MEGAS","PREVIOPAGO"))</f>
        <v>PREVIOPAGO</v>
      </c>
      <c r="BI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8" s="21">
        <f>Pospago[[#This Row],[TARIFA_BASICA]]*1.5</f>
        <v>22.5</v>
      </c>
    </row>
    <row r="69" spans="1:63" x14ac:dyDescent="0.25">
      <c r="A69" s="18" t="s">
        <v>64</v>
      </c>
      <c r="B69" s="18" t="s">
        <v>659</v>
      </c>
      <c r="C69" s="18" t="s">
        <v>660</v>
      </c>
      <c r="D69" s="19">
        <v>44897</v>
      </c>
      <c r="E69" s="18" t="s">
        <v>67</v>
      </c>
      <c r="F69" s="18" t="s">
        <v>661</v>
      </c>
      <c r="G69" s="18" t="s">
        <v>662</v>
      </c>
      <c r="H69" s="18" t="s">
        <v>70</v>
      </c>
      <c r="I69" s="18" t="s">
        <v>160</v>
      </c>
      <c r="J69" s="18" t="s">
        <v>195</v>
      </c>
      <c r="K69" s="18" t="s">
        <v>132</v>
      </c>
      <c r="L69" s="20" t="s">
        <v>663</v>
      </c>
      <c r="M69" s="18" t="s">
        <v>75</v>
      </c>
      <c r="N69" s="20" t="s">
        <v>664</v>
      </c>
      <c r="O69" s="18" t="s">
        <v>77</v>
      </c>
      <c r="P69" s="18" t="s">
        <v>78</v>
      </c>
      <c r="Q69" s="19">
        <v>44914</v>
      </c>
      <c r="R69" s="21">
        <v>14.28</v>
      </c>
      <c r="S69" s="18" t="s">
        <v>79</v>
      </c>
      <c r="T69" s="18" t="s">
        <v>135</v>
      </c>
      <c r="U69" s="18" t="s">
        <v>83</v>
      </c>
      <c r="V69" s="18" t="s">
        <v>95</v>
      </c>
      <c r="W69" s="18" t="s">
        <v>83</v>
      </c>
      <c r="X69" s="18" t="s">
        <v>84</v>
      </c>
      <c r="Y69" s="18" t="s">
        <v>85</v>
      </c>
      <c r="Z69" s="18" t="s">
        <v>86</v>
      </c>
      <c r="AA69" s="18" t="s">
        <v>87</v>
      </c>
      <c r="AB69" s="18" t="s">
        <v>665</v>
      </c>
      <c r="AC69" s="18" t="s">
        <v>666</v>
      </c>
      <c r="AD69" s="18" t="s">
        <v>85</v>
      </c>
      <c r="AE69" s="18" t="s">
        <v>90</v>
      </c>
      <c r="AF69" s="18" t="s">
        <v>138</v>
      </c>
      <c r="AG69" s="18" t="s">
        <v>139</v>
      </c>
      <c r="AH69" s="18" t="s">
        <v>93</v>
      </c>
      <c r="AI69" s="18" t="s">
        <v>94</v>
      </c>
      <c r="AJ69" s="19">
        <v>44897</v>
      </c>
      <c r="AK69" s="22" t="s">
        <v>95</v>
      </c>
      <c r="AL69" s="18" t="s">
        <v>95</v>
      </c>
      <c r="AM69" s="18" t="s">
        <v>95</v>
      </c>
      <c r="AN69" s="18" t="s">
        <v>95</v>
      </c>
      <c r="AO69" s="18" t="s">
        <v>95</v>
      </c>
      <c r="AP69" s="18" t="s">
        <v>95</v>
      </c>
      <c r="AQ69" s="18" t="s">
        <v>95</v>
      </c>
      <c r="AR69" s="18" t="s">
        <v>95</v>
      </c>
      <c r="AS69" s="18" t="s">
        <v>83</v>
      </c>
      <c r="AT69" s="18" t="s">
        <v>83</v>
      </c>
      <c r="AU69" s="18" t="s">
        <v>81</v>
      </c>
      <c r="AV69" s="18" t="s">
        <v>95</v>
      </c>
      <c r="AW69" s="18" t="s">
        <v>96</v>
      </c>
      <c r="AX69" s="18"/>
      <c r="AY69" s="18" t="str">
        <f>Pospago[[#This Row],[NUM_TELEFONICO]]&amp;"POSPAGOSI"</f>
        <v>958997607POSPAGOSI</v>
      </c>
      <c r="AZ69" s="18" t="str">
        <f>VLOOKUP(Pospago[[#This Row],[NOM_PLAZA_FINAL]],[1]!Locales[#Data],3,0)</f>
        <v>TIENDA AMERICA</v>
      </c>
      <c r="BA69" s="18" t="str">
        <f>IFERROR(VLOOKUP(Pospago[[#This Row],[USUARIO]],[1]!Personal[#Data],6,0),"EJECUTIVO NO REGISTRADO")</f>
        <v>ROSERO CAICEDO JAIRO STEFANO</v>
      </c>
      <c r="BB69" s="18" t="str">
        <f>Pospago[[#This Row],[TIPO_MOVIMIENTO]]&amp;" "&amp;Pospago[[#This Row],[FORMA_PAGO_FINAL]]</f>
        <v>ALTAS DOMICILIADO</v>
      </c>
      <c r="BC69" s="18">
        <f>DAY(Pospago[[#This Row],[FECHA_ALTA]])</f>
        <v>2</v>
      </c>
      <c r="BD69" s="18">
        <f>IF(Pospago[[#This Row],[TARIFA_BASICA]]=11.42,1,0)</f>
        <v>0</v>
      </c>
      <c r="BE69" s="18">
        <f>IF(Pospago[[#This Row],[PLANES TELEVENTAS]]="SI",1,0)</f>
        <v>0</v>
      </c>
      <c r="BF69" s="18">
        <f>1</f>
        <v>1</v>
      </c>
      <c r="BG69" s="18">
        <f>IF(OR(Pospago[[#This Row],[TARIFA_BASICA]]=11.42,Pospago[[#This Row],[PLANES TELEVENTAS]]="SI"),1,0)</f>
        <v>0</v>
      </c>
      <c r="BH69" s="18" t="str">
        <f>IF(MID(Pospago[[#This Row],[PlanDesc]],1,4) = "PLAN","POSPAGO",IF(MID(Pospago[[#This Row],[PlanDesc]],1,4)="FULL","FULL MEGAS","PREVIOPAGO"))</f>
        <v>PREVIOPAGO</v>
      </c>
      <c r="BI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" s="21">
        <f>Pospago[[#This Row],[TARIFA_BASICA]]*1.5</f>
        <v>21.419999999999998</v>
      </c>
    </row>
    <row r="70" spans="1:63" x14ac:dyDescent="0.25">
      <c r="A70" s="18" t="s">
        <v>64</v>
      </c>
      <c r="B70" s="18" t="s">
        <v>667</v>
      </c>
      <c r="C70" s="18" t="s">
        <v>668</v>
      </c>
      <c r="D70" s="19">
        <v>44897</v>
      </c>
      <c r="E70" s="18" t="s">
        <v>67</v>
      </c>
      <c r="F70" s="18" t="s">
        <v>669</v>
      </c>
      <c r="G70" s="18" t="s">
        <v>670</v>
      </c>
      <c r="H70" s="18" t="s">
        <v>70</v>
      </c>
      <c r="I70" s="18" t="s">
        <v>671</v>
      </c>
      <c r="J70" s="18" t="s">
        <v>672</v>
      </c>
      <c r="K70" s="18" t="s">
        <v>73</v>
      </c>
      <c r="L70" s="20" t="s">
        <v>673</v>
      </c>
      <c r="M70" s="18" t="s">
        <v>75</v>
      </c>
      <c r="N70" s="20" t="s">
        <v>674</v>
      </c>
      <c r="O70" s="18" t="s">
        <v>231</v>
      </c>
      <c r="P70" s="18" t="s">
        <v>78</v>
      </c>
      <c r="Q70" s="19">
        <v>44914</v>
      </c>
      <c r="R70" s="21">
        <v>15</v>
      </c>
      <c r="S70" s="18" t="s">
        <v>79</v>
      </c>
      <c r="T70" s="18" t="s">
        <v>80</v>
      </c>
      <c r="U70" s="18" t="s">
        <v>83</v>
      </c>
      <c r="V70" s="18" t="s">
        <v>95</v>
      </c>
      <c r="W70" s="18" t="s">
        <v>83</v>
      </c>
      <c r="X70" s="18" t="s">
        <v>84</v>
      </c>
      <c r="Y70" s="18" t="s">
        <v>85</v>
      </c>
      <c r="Z70" s="18" t="s">
        <v>86</v>
      </c>
      <c r="AA70" s="18" t="s">
        <v>87</v>
      </c>
      <c r="AB70" s="18" t="s">
        <v>242</v>
      </c>
      <c r="AC70" s="18" t="s">
        <v>243</v>
      </c>
      <c r="AD70" s="18" t="s">
        <v>85</v>
      </c>
      <c r="AE70" s="18" t="s">
        <v>90</v>
      </c>
      <c r="AF70" s="18" t="s">
        <v>91</v>
      </c>
      <c r="AG70" s="18" t="s">
        <v>92</v>
      </c>
      <c r="AH70" s="18" t="s">
        <v>93</v>
      </c>
      <c r="AI70" s="18" t="s">
        <v>94</v>
      </c>
      <c r="AJ70" s="19">
        <v>44897</v>
      </c>
      <c r="AK70" s="22" t="s">
        <v>95</v>
      </c>
      <c r="AL70" s="18" t="s">
        <v>95</v>
      </c>
      <c r="AM70" s="18" t="s">
        <v>95</v>
      </c>
      <c r="AN70" s="18" t="s">
        <v>95</v>
      </c>
      <c r="AO70" s="18" t="s">
        <v>95</v>
      </c>
      <c r="AP70" s="18" t="s">
        <v>95</v>
      </c>
      <c r="AQ70" s="18" t="s">
        <v>95</v>
      </c>
      <c r="AR70" s="18" t="s">
        <v>95</v>
      </c>
      <c r="AS70" s="18" t="s">
        <v>83</v>
      </c>
      <c r="AT70" s="18" t="s">
        <v>83</v>
      </c>
      <c r="AU70" s="18" t="s">
        <v>83</v>
      </c>
      <c r="AV70" s="18" t="s">
        <v>95</v>
      </c>
      <c r="AW70" s="18" t="s">
        <v>95</v>
      </c>
      <c r="AX70" s="18"/>
      <c r="AY70" s="18" t="str">
        <f>Pospago[[#This Row],[NUM_TELEFONICO]]&amp;"POSPAGOSI"</f>
        <v>958998237POSPAGOSI</v>
      </c>
      <c r="AZ70" s="18" t="str">
        <f>VLOOKUP(Pospago[[#This Row],[NOM_PLAZA_FINAL]],[1]!Locales[#Data],3,0)</f>
        <v>TIENDA CUENCA CENTRO</v>
      </c>
      <c r="BA70" s="18" t="str">
        <f>IFERROR(VLOOKUP(Pospago[[#This Row],[USUARIO]],[1]!Personal[#Data],6,0),"EJECUTIVO NO REGISTRADO")</f>
        <v>VALLEJO DELEG ROMAN NICOLAS</v>
      </c>
      <c r="BB70" s="18" t="str">
        <f>Pospago[[#This Row],[TIPO_MOVIMIENTO]]&amp;" "&amp;Pospago[[#This Row],[FORMA_PAGO_FINAL]]</f>
        <v>ALTAS DOMICILIADO</v>
      </c>
      <c r="BC70" s="18">
        <f>DAY(Pospago[[#This Row],[FECHA_ALTA]])</f>
        <v>2</v>
      </c>
      <c r="BD70" s="18">
        <f>IF(Pospago[[#This Row],[TARIFA_BASICA]]=11.42,1,0)</f>
        <v>0</v>
      </c>
      <c r="BE70" s="18">
        <f>IF(Pospago[[#This Row],[PLANES TELEVENTAS]]="SI",1,0)</f>
        <v>0</v>
      </c>
      <c r="BF70" s="18">
        <f>1</f>
        <v>1</v>
      </c>
      <c r="BG70" s="18">
        <f>IF(OR(Pospago[[#This Row],[TARIFA_BASICA]]=11.42,Pospago[[#This Row],[PLANES TELEVENTAS]]="SI"),1,0)</f>
        <v>0</v>
      </c>
      <c r="BH70" s="18" t="str">
        <f>IF(MID(Pospago[[#This Row],[PlanDesc]],1,4) = "PLAN","POSPAGO",IF(MID(Pospago[[#This Row],[PlanDesc]],1,4)="FULL","FULL MEGAS","PREVIOPAGO"))</f>
        <v>POSPAGO</v>
      </c>
      <c r="BI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0" s="21">
        <f>Pospago[[#This Row],[TARIFA_BASICA]]*1.5</f>
        <v>22.5</v>
      </c>
    </row>
    <row r="71" spans="1:63" x14ac:dyDescent="0.25">
      <c r="A71" s="18" t="s">
        <v>154</v>
      </c>
      <c r="B71" s="18" t="s">
        <v>675</v>
      </c>
      <c r="C71" s="18" t="s">
        <v>676</v>
      </c>
      <c r="D71" s="19">
        <v>44900</v>
      </c>
      <c r="E71" s="18" t="s">
        <v>67</v>
      </c>
      <c r="F71" s="18" t="s">
        <v>677</v>
      </c>
      <c r="G71" s="18" t="s">
        <v>678</v>
      </c>
      <c r="H71" s="18" t="s">
        <v>159</v>
      </c>
      <c r="I71" s="18" t="s">
        <v>194</v>
      </c>
      <c r="J71" s="18" t="s">
        <v>268</v>
      </c>
      <c r="K71" s="18" t="s">
        <v>132</v>
      </c>
      <c r="L71" s="20" t="s">
        <v>679</v>
      </c>
      <c r="M71" s="18" t="s">
        <v>75</v>
      </c>
      <c r="N71" s="20" t="s">
        <v>680</v>
      </c>
      <c r="O71" s="18" t="s">
        <v>164</v>
      </c>
      <c r="P71" s="18" t="s">
        <v>78</v>
      </c>
      <c r="Q71" s="19">
        <v>44914</v>
      </c>
      <c r="R71" s="21">
        <v>14.28</v>
      </c>
      <c r="S71" s="18" t="s">
        <v>79</v>
      </c>
      <c r="T71" s="18" t="s">
        <v>232</v>
      </c>
      <c r="U71" s="18" t="s">
        <v>83</v>
      </c>
      <c r="V71" s="18" t="s">
        <v>95</v>
      </c>
      <c r="W71" s="18" t="s">
        <v>95</v>
      </c>
      <c r="X71" s="18" t="s">
        <v>84</v>
      </c>
      <c r="Y71" s="18" t="s">
        <v>85</v>
      </c>
      <c r="Z71" s="18" t="s">
        <v>86</v>
      </c>
      <c r="AA71" s="18" t="s">
        <v>87</v>
      </c>
      <c r="AB71" s="18" t="s">
        <v>443</v>
      </c>
      <c r="AC71" s="18" t="s">
        <v>444</v>
      </c>
      <c r="AD71" s="18" t="s">
        <v>85</v>
      </c>
      <c r="AE71" s="18" t="s">
        <v>90</v>
      </c>
      <c r="AF71" s="18" t="s">
        <v>235</v>
      </c>
      <c r="AG71" s="18" t="s">
        <v>139</v>
      </c>
      <c r="AH71" s="18" t="s">
        <v>165</v>
      </c>
      <c r="AI71" s="18" t="s">
        <v>94</v>
      </c>
      <c r="AJ71" s="19">
        <v>44900</v>
      </c>
      <c r="AK71" s="22" t="s">
        <v>95</v>
      </c>
      <c r="AL71" s="18" t="s">
        <v>95</v>
      </c>
      <c r="AM71" s="18" t="s">
        <v>95</v>
      </c>
      <c r="AN71" s="18" t="s">
        <v>95</v>
      </c>
      <c r="AO71" s="18" t="s">
        <v>95</v>
      </c>
      <c r="AP71" s="18" t="s">
        <v>95</v>
      </c>
      <c r="AQ71" s="18" t="s">
        <v>95</v>
      </c>
      <c r="AR71" s="18" t="s">
        <v>95</v>
      </c>
      <c r="AS71" s="18" t="s">
        <v>83</v>
      </c>
      <c r="AT71" s="18" t="s">
        <v>81</v>
      </c>
      <c r="AU71" s="18" t="s">
        <v>81</v>
      </c>
      <c r="AV71" s="18" t="s">
        <v>95</v>
      </c>
      <c r="AW71" s="18" t="s">
        <v>95</v>
      </c>
      <c r="AX71" s="18"/>
      <c r="AY71" s="18" t="str">
        <f>Pospago[[#This Row],[NUM_TELEFONICO]]&amp;"POSPAGOSI"</f>
        <v>959029028POSPAGOSI</v>
      </c>
      <c r="AZ71" s="18" t="str">
        <f>VLOOKUP(Pospago[[#This Row],[NOM_PLAZA_FINAL]],[1]!Locales[#Data],3,0)</f>
        <v>TIENDA CONDADO</v>
      </c>
      <c r="BA71" s="18" t="str">
        <f>IFERROR(VLOOKUP(Pospago[[#This Row],[USUARIO]],[1]!Personal[#Data],6,0),"EJECUTIVO NO REGISTRADO")</f>
        <v>JARAMILLO ESPINOZA KENIA KATRINA</v>
      </c>
      <c r="BB71" s="18" t="str">
        <f>Pospago[[#This Row],[TIPO_MOVIMIENTO]]&amp;" "&amp;Pospago[[#This Row],[FORMA_PAGO_FINAL]]</f>
        <v>TRANSFERENCIAS DOMICILIADO</v>
      </c>
      <c r="BC71" s="18">
        <f>DAY(Pospago[[#This Row],[FECHA_ALTA]])</f>
        <v>5</v>
      </c>
      <c r="BD71" s="18">
        <f>IF(Pospago[[#This Row],[TARIFA_BASICA]]=11.42,1,0)</f>
        <v>0</v>
      </c>
      <c r="BE71" s="18">
        <f>IF(Pospago[[#This Row],[PLANES TELEVENTAS]]="SI",1,0)</f>
        <v>1</v>
      </c>
      <c r="BF71" s="18">
        <f>1</f>
        <v>1</v>
      </c>
      <c r="BG71" s="18">
        <f>IF(OR(Pospago[[#This Row],[TARIFA_BASICA]]=11.42,Pospago[[#This Row],[PLANES TELEVENTAS]]="SI"),1,0)</f>
        <v>1</v>
      </c>
      <c r="BH71" s="18" t="str">
        <f>IF(MID(Pospago[[#This Row],[PlanDesc]],1,4) = "PLAN","POSPAGO",IF(MID(Pospago[[#This Row],[PlanDesc]],1,4)="FULL","FULL MEGAS","PREVIOPAGO"))</f>
        <v>PREVIOPAGO</v>
      </c>
      <c r="BI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" s="21">
        <f>Pospago[[#This Row],[TARIFA_BASICA]]*1.5</f>
        <v>21.419999999999998</v>
      </c>
    </row>
    <row r="72" spans="1:63" x14ac:dyDescent="0.25">
      <c r="A72" s="18" t="s">
        <v>64</v>
      </c>
      <c r="B72" s="18" t="s">
        <v>681</v>
      </c>
      <c r="C72" s="18" t="s">
        <v>682</v>
      </c>
      <c r="D72" s="19">
        <v>44900</v>
      </c>
      <c r="E72" s="18" t="s">
        <v>67</v>
      </c>
      <c r="F72" s="18" t="s">
        <v>683</v>
      </c>
      <c r="G72" s="18" t="s">
        <v>684</v>
      </c>
      <c r="H72" s="18" t="s">
        <v>70</v>
      </c>
      <c r="I72" s="18" t="s">
        <v>71</v>
      </c>
      <c r="J72" s="18" t="s">
        <v>72</v>
      </c>
      <c r="K72" s="18" t="s">
        <v>114</v>
      </c>
      <c r="L72" s="20" t="s">
        <v>685</v>
      </c>
      <c r="M72" s="18" t="s">
        <v>75</v>
      </c>
      <c r="N72" s="20" t="s">
        <v>686</v>
      </c>
      <c r="O72" s="18" t="s">
        <v>77</v>
      </c>
      <c r="P72" s="18" t="s">
        <v>78</v>
      </c>
      <c r="Q72" s="19">
        <v>44914</v>
      </c>
      <c r="R72" s="21">
        <v>11.42</v>
      </c>
      <c r="S72" s="18" t="s">
        <v>79</v>
      </c>
      <c r="T72" s="18" t="s">
        <v>117</v>
      </c>
      <c r="U72" s="18" t="s">
        <v>81</v>
      </c>
      <c r="V72" s="18" t="s">
        <v>82</v>
      </c>
      <c r="W72" s="18" t="s">
        <v>83</v>
      </c>
      <c r="X72" s="18" t="s">
        <v>118</v>
      </c>
      <c r="Y72" s="18" t="s">
        <v>85</v>
      </c>
      <c r="Z72" s="18" t="s">
        <v>86</v>
      </c>
      <c r="AA72" s="18" t="s">
        <v>119</v>
      </c>
      <c r="AB72" s="18" t="s">
        <v>352</v>
      </c>
      <c r="AC72" s="18" t="s">
        <v>353</v>
      </c>
      <c r="AD72" s="18" t="s">
        <v>85</v>
      </c>
      <c r="AE72" s="18" t="s">
        <v>90</v>
      </c>
      <c r="AF72" s="18" t="s">
        <v>122</v>
      </c>
      <c r="AG72" s="18" t="s">
        <v>92</v>
      </c>
      <c r="AH72" s="18" t="s">
        <v>93</v>
      </c>
      <c r="AI72" s="18" t="s">
        <v>94</v>
      </c>
      <c r="AJ72" s="19">
        <v>44900</v>
      </c>
      <c r="AK72" s="22" t="s">
        <v>95</v>
      </c>
      <c r="AL72" s="18" t="s">
        <v>95</v>
      </c>
      <c r="AM72" s="18" t="s">
        <v>95</v>
      </c>
      <c r="AN72" s="18" t="s">
        <v>95</v>
      </c>
      <c r="AO72" s="18" t="s">
        <v>95</v>
      </c>
      <c r="AP72" s="18" t="s">
        <v>95</v>
      </c>
      <c r="AQ72" s="18" t="s">
        <v>95</v>
      </c>
      <c r="AR72" s="18" t="s">
        <v>95</v>
      </c>
      <c r="AS72" s="18" t="s">
        <v>83</v>
      </c>
      <c r="AT72" s="18" t="s">
        <v>83</v>
      </c>
      <c r="AU72" s="18" t="s">
        <v>81</v>
      </c>
      <c r="AV72" s="18" t="s">
        <v>95</v>
      </c>
      <c r="AW72" s="18" t="s">
        <v>95</v>
      </c>
      <c r="AX72" s="18"/>
      <c r="AY72" s="18" t="str">
        <f>Pospago[[#This Row],[NUM_TELEFONICO]]&amp;"POSPAGOSI"</f>
        <v>959054186POSPAGOSI</v>
      </c>
      <c r="AZ72" s="18" t="str">
        <f>VLOOKUP(Pospago[[#This Row],[NOM_PLAZA_FINAL]],[1]!Locales[#Data],3,0)</f>
        <v>TIENDA MACHALA</v>
      </c>
      <c r="BA72" s="18" t="str">
        <f>IFERROR(VLOOKUP(Pospago[[#This Row],[USUARIO]],[1]!Personal[#Data],6,0),"EJECUTIVO NO REGISTRADO")</f>
        <v>TENORIO MARIA DEL PILAR</v>
      </c>
      <c r="BB72" s="18" t="str">
        <f>Pospago[[#This Row],[TIPO_MOVIMIENTO]]&amp;" "&amp;Pospago[[#This Row],[FORMA_PAGO_FINAL]]</f>
        <v>ALTAS PAGO EN CAJA</v>
      </c>
      <c r="BC72" s="18">
        <f>DAY(Pospago[[#This Row],[FECHA_ALTA]])</f>
        <v>5</v>
      </c>
      <c r="BD72" s="18">
        <f>IF(Pospago[[#This Row],[TARIFA_BASICA]]=11.42,1,0)</f>
        <v>1</v>
      </c>
      <c r="BE72" s="18">
        <f>IF(Pospago[[#This Row],[PLANES TELEVENTAS]]="SI",1,0)</f>
        <v>0</v>
      </c>
      <c r="BF72" s="18">
        <f>1</f>
        <v>1</v>
      </c>
      <c r="BG72" s="18">
        <f>IF(OR(Pospago[[#This Row],[TARIFA_BASICA]]=11.42,Pospago[[#This Row],[PLANES TELEVENTAS]]="SI"),1,0)</f>
        <v>1</v>
      </c>
      <c r="BH72" s="18" t="str">
        <f>IF(MID(Pospago[[#This Row],[PlanDesc]],1,4) = "PLAN","POSPAGO",IF(MID(Pospago[[#This Row],[PlanDesc]],1,4)="FULL","FULL MEGAS","PREVIOPAGO"))</f>
        <v>PREVIOPAGO</v>
      </c>
      <c r="BI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7.4879999999999995</v>
      </c>
      <c r="BJ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2" s="21">
        <f>Pospago[[#This Row],[TARIFA_BASICA]]*1.5</f>
        <v>17.13</v>
      </c>
    </row>
    <row r="73" spans="1:63" x14ac:dyDescent="0.25">
      <c r="A73" s="18" t="s">
        <v>64</v>
      </c>
      <c r="B73" s="18" t="s">
        <v>687</v>
      </c>
      <c r="C73" s="18" t="s">
        <v>688</v>
      </c>
      <c r="D73" s="19">
        <v>44904</v>
      </c>
      <c r="E73" s="18" t="s">
        <v>67</v>
      </c>
      <c r="F73" s="18" t="s">
        <v>689</v>
      </c>
      <c r="G73" s="18" t="s">
        <v>690</v>
      </c>
      <c r="H73" s="18" t="s">
        <v>70</v>
      </c>
      <c r="I73" s="18" t="s">
        <v>71</v>
      </c>
      <c r="J73" s="18" t="s">
        <v>72</v>
      </c>
      <c r="K73" s="18" t="s">
        <v>132</v>
      </c>
      <c r="L73" s="20" t="s">
        <v>691</v>
      </c>
      <c r="M73" s="18" t="s">
        <v>75</v>
      </c>
      <c r="N73" s="20" t="s">
        <v>692</v>
      </c>
      <c r="O73" s="18" t="s">
        <v>77</v>
      </c>
      <c r="P73" s="18" t="s">
        <v>78</v>
      </c>
      <c r="Q73" s="19">
        <v>44914</v>
      </c>
      <c r="R73" s="21">
        <v>11.42</v>
      </c>
      <c r="S73" s="18" t="s">
        <v>79</v>
      </c>
      <c r="T73" s="18" t="s">
        <v>148</v>
      </c>
      <c r="U73" s="18" t="s">
        <v>81</v>
      </c>
      <c r="V73" s="18" t="s">
        <v>693</v>
      </c>
      <c r="W73" s="18" t="s">
        <v>83</v>
      </c>
      <c r="X73" s="18" t="s">
        <v>215</v>
      </c>
      <c r="Y73" s="18" t="s">
        <v>85</v>
      </c>
      <c r="Z73" s="18" t="s">
        <v>86</v>
      </c>
      <c r="AA73" s="18" t="s">
        <v>87</v>
      </c>
      <c r="AB73" s="18" t="s">
        <v>385</v>
      </c>
      <c r="AC73" s="18" t="s">
        <v>386</v>
      </c>
      <c r="AD73" s="18" t="s">
        <v>85</v>
      </c>
      <c r="AE73" s="18" t="s">
        <v>90</v>
      </c>
      <c r="AF73" s="18" t="s">
        <v>151</v>
      </c>
      <c r="AG73" s="18" t="s">
        <v>92</v>
      </c>
      <c r="AH73" s="18" t="s">
        <v>93</v>
      </c>
      <c r="AI73" s="18" t="s">
        <v>94</v>
      </c>
      <c r="AJ73" s="19">
        <v>44904</v>
      </c>
      <c r="AK73" s="22" t="s">
        <v>95</v>
      </c>
      <c r="AL73" s="18" t="s">
        <v>95</v>
      </c>
      <c r="AM73" s="18" t="s">
        <v>95</v>
      </c>
      <c r="AN73" s="18" t="s">
        <v>95</v>
      </c>
      <c r="AO73" s="18" t="s">
        <v>95</v>
      </c>
      <c r="AP73" s="18" t="s">
        <v>95</v>
      </c>
      <c r="AQ73" s="18" t="s">
        <v>95</v>
      </c>
      <c r="AR73" s="18" t="s">
        <v>95</v>
      </c>
      <c r="AS73" s="18" t="s">
        <v>83</v>
      </c>
      <c r="AT73" s="18" t="s">
        <v>83</v>
      </c>
      <c r="AU73" s="18" t="s">
        <v>81</v>
      </c>
      <c r="AV73" s="18" t="s">
        <v>95</v>
      </c>
      <c r="AW73" s="18" t="s">
        <v>95</v>
      </c>
      <c r="AX73" s="18"/>
      <c r="AY73" s="18" t="str">
        <f>Pospago[[#This Row],[NUM_TELEFONICO]]&amp;"POSPAGOSI"</f>
        <v>960282364POSPAGOSI</v>
      </c>
      <c r="AZ73" s="18" t="str">
        <f>VLOOKUP(Pospago[[#This Row],[NOM_PLAZA_FINAL]],[1]!Locales[#Data],3,0)</f>
        <v>TIENDA CUENCA REMIGIO</v>
      </c>
      <c r="BA73" s="18" t="str">
        <f>IFERROR(VLOOKUP(Pospago[[#This Row],[USUARIO]],[1]!Personal[#Data],6,0),"EJECUTIVO NO REGISTRADO")</f>
        <v>RAMIREZ RUBIO NELLY LILIANA</v>
      </c>
      <c r="BB73" s="18" t="str">
        <f>Pospago[[#This Row],[TIPO_MOVIMIENTO]]&amp;" "&amp;Pospago[[#This Row],[FORMA_PAGO_FINAL]]</f>
        <v>ALTAS DOMICILIADO</v>
      </c>
      <c r="BC73" s="18">
        <f>DAY(Pospago[[#This Row],[FECHA_ALTA]])</f>
        <v>9</v>
      </c>
      <c r="BD73" s="18">
        <f>IF(Pospago[[#This Row],[TARIFA_BASICA]]=11.42,1,0)</f>
        <v>1</v>
      </c>
      <c r="BE73" s="18">
        <f>IF(Pospago[[#This Row],[PLANES TELEVENTAS]]="SI",1,0)</f>
        <v>0</v>
      </c>
      <c r="BF73" s="18">
        <f>1</f>
        <v>1</v>
      </c>
      <c r="BG73" s="18">
        <f>IF(OR(Pospago[[#This Row],[TARIFA_BASICA]]=11.42,Pospago[[#This Row],[PLANES TELEVENTAS]]="SI"),1,0)</f>
        <v>1</v>
      </c>
      <c r="BH73" s="18" t="str">
        <f>IF(MID(Pospago[[#This Row],[PlanDesc]],1,4) = "PLAN","POSPAGO",IF(MID(Pospago[[#This Row],[PlanDesc]],1,4)="FULL","FULL MEGAS","PREVIOPAGO"))</f>
        <v>PREVIOPAGO</v>
      </c>
      <c r="BI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3" s="21">
        <f>Pospago[[#This Row],[TARIFA_BASICA]]*1.5</f>
        <v>17.13</v>
      </c>
    </row>
    <row r="74" spans="1:63" x14ac:dyDescent="0.25">
      <c r="A74" s="18" t="s">
        <v>154</v>
      </c>
      <c r="B74" s="18" t="s">
        <v>694</v>
      </c>
      <c r="C74" s="18" t="s">
        <v>695</v>
      </c>
      <c r="D74" s="19">
        <v>44906</v>
      </c>
      <c r="E74" s="18" t="s">
        <v>67</v>
      </c>
      <c r="F74" s="18" t="s">
        <v>696</v>
      </c>
      <c r="G74" s="18" t="s">
        <v>697</v>
      </c>
      <c r="H74" s="18" t="s">
        <v>159</v>
      </c>
      <c r="I74" s="18" t="s">
        <v>698</v>
      </c>
      <c r="J74" s="18" t="s">
        <v>699</v>
      </c>
      <c r="K74" s="18" t="s">
        <v>95</v>
      </c>
      <c r="L74" s="20" t="s">
        <v>700</v>
      </c>
      <c r="M74" s="18" t="s">
        <v>75</v>
      </c>
      <c r="N74" s="20" t="s">
        <v>701</v>
      </c>
      <c r="O74" s="18" t="s">
        <v>164</v>
      </c>
      <c r="P74" s="18" t="s">
        <v>78</v>
      </c>
      <c r="Q74" s="19">
        <v>44914</v>
      </c>
      <c r="R74" s="21">
        <v>26.78</v>
      </c>
      <c r="S74" s="18" t="s">
        <v>79</v>
      </c>
      <c r="T74" s="18" t="s">
        <v>232</v>
      </c>
      <c r="U74" s="18" t="s">
        <v>83</v>
      </c>
      <c r="V74" s="18" t="s">
        <v>95</v>
      </c>
      <c r="W74" s="18" t="s">
        <v>95</v>
      </c>
      <c r="X74" s="18" t="s">
        <v>84</v>
      </c>
      <c r="Y74" s="18" t="s">
        <v>85</v>
      </c>
      <c r="Z74" s="18" t="s">
        <v>86</v>
      </c>
      <c r="AA74" s="18" t="s">
        <v>87</v>
      </c>
      <c r="AB74" s="18" t="s">
        <v>280</v>
      </c>
      <c r="AC74" s="18" t="s">
        <v>281</v>
      </c>
      <c r="AD74" s="18" t="s">
        <v>85</v>
      </c>
      <c r="AE74" s="18" t="s">
        <v>90</v>
      </c>
      <c r="AF74" s="18" t="s">
        <v>235</v>
      </c>
      <c r="AG74" s="18" t="s">
        <v>139</v>
      </c>
      <c r="AH74" s="18" t="s">
        <v>165</v>
      </c>
      <c r="AI74" s="18" t="s">
        <v>94</v>
      </c>
      <c r="AJ74" s="19">
        <v>44906</v>
      </c>
      <c r="AK74" s="22" t="s">
        <v>95</v>
      </c>
      <c r="AL74" s="18" t="s">
        <v>95</v>
      </c>
      <c r="AM74" s="18" t="s">
        <v>95</v>
      </c>
      <c r="AN74" s="18" t="s">
        <v>95</v>
      </c>
      <c r="AO74" s="18" t="s">
        <v>95</v>
      </c>
      <c r="AP74" s="18" t="s">
        <v>95</v>
      </c>
      <c r="AQ74" s="18" t="s">
        <v>95</v>
      </c>
      <c r="AR74" s="18" t="s">
        <v>95</v>
      </c>
      <c r="AS74" s="18" t="s">
        <v>83</v>
      </c>
      <c r="AT74" s="18" t="s">
        <v>81</v>
      </c>
      <c r="AU74" s="18" t="s">
        <v>81</v>
      </c>
      <c r="AV74" s="18" t="s">
        <v>95</v>
      </c>
      <c r="AW74" s="18" t="s">
        <v>95</v>
      </c>
      <c r="AX74" s="18"/>
      <c r="AY74" s="18" t="str">
        <f>Pospago[[#This Row],[NUM_TELEFONICO]]&amp;"POSPAGOSI"</f>
        <v>961175100POSPAGOSI</v>
      </c>
      <c r="AZ74" s="18" t="str">
        <f>VLOOKUP(Pospago[[#This Row],[NOM_PLAZA_FINAL]],[1]!Locales[#Data],3,0)</f>
        <v>TIENDA CONDADO</v>
      </c>
      <c r="BA74" s="18" t="str">
        <f>IFERROR(VLOOKUP(Pospago[[#This Row],[USUARIO]],[1]!Personal[#Data],6,0),"EJECUTIVO NO REGISTRADO")</f>
        <v>GUACHAMIN CAZA HUGO ADRIAN</v>
      </c>
      <c r="BB74" s="18" t="str">
        <f>Pospago[[#This Row],[TIPO_MOVIMIENTO]]&amp;" "&amp;Pospago[[#This Row],[FORMA_PAGO_FINAL]]</f>
        <v>TRANSFERENCIAS DOMICILIADO</v>
      </c>
      <c r="BC74" s="18">
        <f>DAY(Pospago[[#This Row],[FECHA_ALTA]])</f>
        <v>11</v>
      </c>
      <c r="BD74" s="18">
        <f>IF(Pospago[[#This Row],[TARIFA_BASICA]]=11.42,1,0)</f>
        <v>0</v>
      </c>
      <c r="BE74" s="18">
        <f>IF(Pospago[[#This Row],[PLANES TELEVENTAS]]="SI",1,0)</f>
        <v>1</v>
      </c>
      <c r="BF74" s="18">
        <f>1</f>
        <v>1</v>
      </c>
      <c r="BG74" s="18">
        <f>IF(OR(Pospago[[#This Row],[TARIFA_BASICA]]=11.42,Pospago[[#This Row],[PLANES TELEVENTAS]]="SI"),1,0)</f>
        <v>1</v>
      </c>
      <c r="BH74" s="18" t="str">
        <f>IF(MID(Pospago[[#This Row],[PlanDesc]],1,4) = "PLAN","POSPAGO",IF(MID(Pospago[[#This Row],[PlanDesc]],1,4)="FULL","FULL MEGAS","PREVIOPAGO"))</f>
        <v>PREVIOPAGO</v>
      </c>
      <c r="BI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22.76</v>
      </c>
      <c r="BJ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4" s="21">
        <f>Pospago[[#This Row],[TARIFA_BASICA]]*1.5</f>
        <v>40.17</v>
      </c>
    </row>
    <row r="75" spans="1:63" x14ac:dyDescent="0.25">
      <c r="A75" s="18" t="s">
        <v>64</v>
      </c>
      <c r="B75" s="18" t="s">
        <v>702</v>
      </c>
      <c r="C75" s="18" t="s">
        <v>703</v>
      </c>
      <c r="D75" s="19">
        <v>44911</v>
      </c>
      <c r="E75" s="18" t="s">
        <v>67</v>
      </c>
      <c r="F75" s="18" t="s">
        <v>704</v>
      </c>
      <c r="G75" s="18" t="s">
        <v>705</v>
      </c>
      <c r="H75" s="18" t="s">
        <v>70</v>
      </c>
      <c r="I75" s="18" t="s">
        <v>112</v>
      </c>
      <c r="J75" s="18" t="s">
        <v>113</v>
      </c>
      <c r="K75" s="18" t="s">
        <v>196</v>
      </c>
      <c r="L75" s="20" t="s">
        <v>706</v>
      </c>
      <c r="M75" s="18" t="s">
        <v>75</v>
      </c>
      <c r="N75" s="20" t="s">
        <v>707</v>
      </c>
      <c r="O75" s="18" t="s">
        <v>77</v>
      </c>
      <c r="P75" s="18" t="s">
        <v>78</v>
      </c>
      <c r="Q75" s="19">
        <v>44914</v>
      </c>
      <c r="R75" s="21">
        <v>17.850000000000001</v>
      </c>
      <c r="S75" s="18" t="s">
        <v>79</v>
      </c>
      <c r="T75" s="18" t="s">
        <v>174</v>
      </c>
      <c r="U75" s="18" t="s">
        <v>81</v>
      </c>
      <c r="V75" s="18" t="s">
        <v>693</v>
      </c>
      <c r="W75" s="18" t="s">
        <v>83</v>
      </c>
      <c r="X75" s="18" t="s">
        <v>84</v>
      </c>
      <c r="Y75" s="18" t="s">
        <v>85</v>
      </c>
      <c r="Z75" s="18" t="s">
        <v>86</v>
      </c>
      <c r="AA75" s="18" t="s">
        <v>87</v>
      </c>
      <c r="AB75" s="18" t="s">
        <v>262</v>
      </c>
      <c r="AC75" s="18" t="s">
        <v>263</v>
      </c>
      <c r="AD75" s="18" t="s">
        <v>85</v>
      </c>
      <c r="AE75" s="18" t="s">
        <v>90</v>
      </c>
      <c r="AF75" s="18" t="s">
        <v>177</v>
      </c>
      <c r="AG75" s="18" t="s">
        <v>139</v>
      </c>
      <c r="AH75" s="18" t="s">
        <v>93</v>
      </c>
      <c r="AI75" s="18" t="s">
        <v>94</v>
      </c>
      <c r="AJ75" s="19">
        <v>44911</v>
      </c>
      <c r="AK75" s="22" t="s">
        <v>95</v>
      </c>
      <c r="AL75" s="18" t="s">
        <v>95</v>
      </c>
      <c r="AM75" s="18" t="s">
        <v>95</v>
      </c>
      <c r="AN75" s="18" t="s">
        <v>95</v>
      </c>
      <c r="AO75" s="18" t="s">
        <v>95</v>
      </c>
      <c r="AP75" s="18" t="s">
        <v>95</v>
      </c>
      <c r="AQ75" s="18" t="s">
        <v>95</v>
      </c>
      <c r="AR75" s="18" t="s">
        <v>95</v>
      </c>
      <c r="AS75" s="18" t="s">
        <v>83</v>
      </c>
      <c r="AT75" s="18" t="s">
        <v>83</v>
      </c>
      <c r="AU75" s="18" t="s">
        <v>81</v>
      </c>
      <c r="AV75" s="18" t="s">
        <v>95</v>
      </c>
      <c r="AW75" s="18" t="s">
        <v>95</v>
      </c>
      <c r="AX75" s="18"/>
      <c r="AY75" s="18" t="str">
        <f>Pospago[[#This Row],[NUM_TELEFONICO]]&amp;"POSPAGOSI"</f>
        <v>961615962POSPAGOSI</v>
      </c>
      <c r="AZ75" s="18" t="str">
        <f>VLOOKUP(Pospago[[#This Row],[NOM_PLAZA_FINAL]],[1]!Locales[#Data],3,0)</f>
        <v>TIENDA RECREO</v>
      </c>
      <c r="BA75" s="18" t="str">
        <f>IFERROR(VLOOKUP(Pospago[[#This Row],[USUARIO]],[1]!Personal[#Data],6,0),"EJECUTIVO NO REGISTRADO")</f>
        <v>CHICAIZA TOAPANTA ALEX DANILO</v>
      </c>
      <c r="BB75" s="18" t="str">
        <f>Pospago[[#This Row],[TIPO_MOVIMIENTO]]&amp;" "&amp;Pospago[[#This Row],[FORMA_PAGO_FINAL]]</f>
        <v>ALTAS DOMICILIADO</v>
      </c>
      <c r="BC75" s="18">
        <f>DAY(Pospago[[#This Row],[FECHA_ALTA]])</f>
        <v>16</v>
      </c>
      <c r="BD75" s="18">
        <f>IF(Pospago[[#This Row],[TARIFA_BASICA]]=11.42,1,0)</f>
        <v>0</v>
      </c>
      <c r="BE75" s="18">
        <f>IF(Pospago[[#This Row],[PLANES TELEVENTAS]]="SI",1,0)</f>
        <v>0</v>
      </c>
      <c r="BF75" s="18">
        <f>1</f>
        <v>1</v>
      </c>
      <c r="BG75" s="18">
        <f>IF(OR(Pospago[[#This Row],[TARIFA_BASICA]]=11.42,Pospago[[#This Row],[PLANES TELEVENTAS]]="SI"),1,0)</f>
        <v>0</v>
      </c>
      <c r="BH75" s="18" t="str">
        <f>IF(MID(Pospago[[#This Row],[PlanDesc]],1,4) = "PLAN","POSPAGO",IF(MID(Pospago[[#This Row],[PlanDesc]],1,4)="FULL","FULL MEGAS","PREVIOPAGO"))</f>
        <v>PREVIOPAGO</v>
      </c>
      <c r="BI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5" s="21">
        <f>Pospago[[#This Row],[TARIFA_BASICA]]*1.5</f>
        <v>26.775000000000002</v>
      </c>
    </row>
    <row r="76" spans="1:63" x14ac:dyDescent="0.25">
      <c r="A76" s="18" t="s">
        <v>64</v>
      </c>
      <c r="B76" s="18" t="s">
        <v>708</v>
      </c>
      <c r="C76" s="18" t="s">
        <v>709</v>
      </c>
      <c r="D76" s="19">
        <v>44900</v>
      </c>
      <c r="E76" s="18" t="s">
        <v>67</v>
      </c>
      <c r="F76" s="18" t="s">
        <v>710</v>
      </c>
      <c r="G76" s="18" t="s">
        <v>711</v>
      </c>
      <c r="H76" s="18" t="s">
        <v>70</v>
      </c>
      <c r="I76" s="18" t="s">
        <v>712</v>
      </c>
      <c r="J76" s="18" t="s">
        <v>113</v>
      </c>
      <c r="K76" s="18" t="s">
        <v>132</v>
      </c>
      <c r="L76" s="20" t="s">
        <v>713</v>
      </c>
      <c r="M76" s="18" t="s">
        <v>75</v>
      </c>
      <c r="N76" s="20" t="s">
        <v>714</v>
      </c>
      <c r="O76" s="18" t="s">
        <v>77</v>
      </c>
      <c r="P76" s="18" t="s">
        <v>78</v>
      </c>
      <c r="Q76" s="19">
        <v>44914</v>
      </c>
      <c r="R76" s="21">
        <v>17.850000000000001</v>
      </c>
      <c r="S76" s="18" t="s">
        <v>79</v>
      </c>
      <c r="T76" s="18" t="s">
        <v>232</v>
      </c>
      <c r="U76" s="18" t="s">
        <v>81</v>
      </c>
      <c r="V76" s="18" t="s">
        <v>693</v>
      </c>
      <c r="W76" s="18" t="s">
        <v>83</v>
      </c>
      <c r="X76" s="18" t="s">
        <v>84</v>
      </c>
      <c r="Y76" s="18" t="s">
        <v>85</v>
      </c>
      <c r="Z76" s="18" t="s">
        <v>86</v>
      </c>
      <c r="AA76" s="18" t="s">
        <v>87</v>
      </c>
      <c r="AB76" s="18" t="s">
        <v>280</v>
      </c>
      <c r="AC76" s="18" t="s">
        <v>281</v>
      </c>
      <c r="AD76" s="18" t="s">
        <v>85</v>
      </c>
      <c r="AE76" s="18" t="s">
        <v>90</v>
      </c>
      <c r="AF76" s="18" t="s">
        <v>235</v>
      </c>
      <c r="AG76" s="18" t="s">
        <v>139</v>
      </c>
      <c r="AH76" s="18" t="s">
        <v>93</v>
      </c>
      <c r="AI76" s="18" t="s">
        <v>94</v>
      </c>
      <c r="AJ76" s="19">
        <v>44900</v>
      </c>
      <c r="AK76" s="22" t="s">
        <v>95</v>
      </c>
      <c r="AL76" s="18" t="s">
        <v>95</v>
      </c>
      <c r="AM76" s="18" t="s">
        <v>95</v>
      </c>
      <c r="AN76" s="18" t="s">
        <v>95</v>
      </c>
      <c r="AO76" s="18" t="s">
        <v>95</v>
      </c>
      <c r="AP76" s="18" t="s">
        <v>95</v>
      </c>
      <c r="AQ76" s="18" t="s">
        <v>95</v>
      </c>
      <c r="AR76" s="18" t="s">
        <v>95</v>
      </c>
      <c r="AS76" s="18" t="s">
        <v>83</v>
      </c>
      <c r="AT76" s="18" t="s">
        <v>81</v>
      </c>
      <c r="AU76" s="18" t="s">
        <v>81</v>
      </c>
      <c r="AV76" s="18" t="s">
        <v>95</v>
      </c>
      <c r="AW76" s="18" t="s">
        <v>95</v>
      </c>
      <c r="AX76" s="18"/>
      <c r="AY76" s="18" t="str">
        <f>Pospago[[#This Row],[NUM_TELEFONICO]]&amp;"POSPAGOSI"</f>
        <v>962371075POSPAGOSI</v>
      </c>
      <c r="AZ76" s="18" t="str">
        <f>VLOOKUP(Pospago[[#This Row],[NOM_PLAZA_FINAL]],[1]!Locales[#Data],3,0)</f>
        <v>TIENDA CONDADO</v>
      </c>
      <c r="BA76" s="18" t="str">
        <f>IFERROR(VLOOKUP(Pospago[[#This Row],[USUARIO]],[1]!Personal[#Data],6,0),"EJECUTIVO NO REGISTRADO")</f>
        <v>GUACHAMIN CAZA HUGO ADRIAN</v>
      </c>
      <c r="BB76" s="18" t="str">
        <f>Pospago[[#This Row],[TIPO_MOVIMIENTO]]&amp;" "&amp;Pospago[[#This Row],[FORMA_PAGO_FINAL]]</f>
        <v>ALTAS DOMICILIADO</v>
      </c>
      <c r="BC76" s="18">
        <f>DAY(Pospago[[#This Row],[FECHA_ALTA]])</f>
        <v>5</v>
      </c>
      <c r="BD76" s="18">
        <f>IF(Pospago[[#This Row],[TARIFA_BASICA]]=11.42,1,0)</f>
        <v>0</v>
      </c>
      <c r="BE76" s="18">
        <f>IF(Pospago[[#This Row],[PLANES TELEVENTAS]]="SI",1,0)</f>
        <v>1</v>
      </c>
      <c r="BF76" s="18">
        <f>1</f>
        <v>1</v>
      </c>
      <c r="BG76" s="18">
        <f>IF(OR(Pospago[[#This Row],[TARIFA_BASICA]]=11.42,Pospago[[#This Row],[PLANES TELEVENTAS]]="SI"),1,0)</f>
        <v>1</v>
      </c>
      <c r="BH76" s="18" t="str">
        <f>IF(MID(Pospago[[#This Row],[PlanDesc]],1,4) = "PLAN","POSPAGO",IF(MID(Pospago[[#This Row],[PlanDesc]],1,4)="FULL","FULL MEGAS","PREVIOPAGO"))</f>
        <v>PREVIOPAGO</v>
      </c>
      <c r="BI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6" s="21">
        <f>Pospago[[#This Row],[TARIFA_BASICA]]*1.5</f>
        <v>26.775000000000002</v>
      </c>
    </row>
    <row r="77" spans="1:63" x14ac:dyDescent="0.25">
      <c r="A77" s="18" t="s">
        <v>64</v>
      </c>
      <c r="B77" s="18" t="s">
        <v>715</v>
      </c>
      <c r="C77" s="18" t="s">
        <v>716</v>
      </c>
      <c r="D77" s="19">
        <v>44907</v>
      </c>
      <c r="E77" s="18" t="s">
        <v>67</v>
      </c>
      <c r="F77" s="18" t="s">
        <v>717</v>
      </c>
      <c r="G77" s="18" t="s">
        <v>718</v>
      </c>
      <c r="H77" s="18" t="s">
        <v>70</v>
      </c>
      <c r="I77" s="18" t="s">
        <v>130</v>
      </c>
      <c r="J77" s="18" t="s">
        <v>131</v>
      </c>
      <c r="K77" s="18" t="s">
        <v>719</v>
      </c>
      <c r="L77" s="20" t="s">
        <v>720</v>
      </c>
      <c r="M77" s="18" t="s">
        <v>75</v>
      </c>
      <c r="N77" s="20" t="s">
        <v>721</v>
      </c>
      <c r="O77" s="18" t="s">
        <v>77</v>
      </c>
      <c r="P77" s="18" t="s">
        <v>78</v>
      </c>
      <c r="Q77" s="19">
        <v>44914</v>
      </c>
      <c r="R77" s="21">
        <v>15</v>
      </c>
      <c r="S77" s="18" t="s">
        <v>79</v>
      </c>
      <c r="T77" s="18" t="s">
        <v>135</v>
      </c>
      <c r="U77" s="18" t="s">
        <v>83</v>
      </c>
      <c r="V77" s="18" t="s">
        <v>95</v>
      </c>
      <c r="W77" s="18" t="s">
        <v>83</v>
      </c>
      <c r="X77" s="18" t="s">
        <v>118</v>
      </c>
      <c r="Y77" s="18" t="s">
        <v>85</v>
      </c>
      <c r="Z77" s="18" t="s">
        <v>86</v>
      </c>
      <c r="AA77" s="18" t="s">
        <v>119</v>
      </c>
      <c r="AB77" s="18" t="s">
        <v>478</v>
      </c>
      <c r="AC77" s="18" t="s">
        <v>479</v>
      </c>
      <c r="AD77" s="18" t="s">
        <v>85</v>
      </c>
      <c r="AE77" s="18" t="s">
        <v>90</v>
      </c>
      <c r="AF77" s="18" t="s">
        <v>138</v>
      </c>
      <c r="AG77" s="18" t="s">
        <v>139</v>
      </c>
      <c r="AH77" s="18" t="s">
        <v>93</v>
      </c>
      <c r="AI77" s="18" t="s">
        <v>94</v>
      </c>
      <c r="AJ77" s="19">
        <v>44907</v>
      </c>
      <c r="AK77" s="22" t="s">
        <v>95</v>
      </c>
      <c r="AL77" s="18" t="s">
        <v>95</v>
      </c>
      <c r="AM77" s="18" t="s">
        <v>95</v>
      </c>
      <c r="AN77" s="18" t="s">
        <v>95</v>
      </c>
      <c r="AO77" s="18" t="s">
        <v>95</v>
      </c>
      <c r="AP77" s="18" t="s">
        <v>95</v>
      </c>
      <c r="AQ77" s="18" t="s">
        <v>95</v>
      </c>
      <c r="AR77" s="18" t="s">
        <v>95</v>
      </c>
      <c r="AS77" s="18" t="s">
        <v>83</v>
      </c>
      <c r="AT77" s="18" t="s">
        <v>83</v>
      </c>
      <c r="AU77" s="18" t="s">
        <v>81</v>
      </c>
      <c r="AV77" s="18" t="s">
        <v>95</v>
      </c>
      <c r="AW77" s="18" t="s">
        <v>95</v>
      </c>
      <c r="AX77" s="18"/>
      <c r="AY77" s="18" t="str">
        <f>Pospago[[#This Row],[NUM_TELEFONICO]]&amp;"POSPAGOSI"</f>
        <v>962527423POSPAGOSI</v>
      </c>
      <c r="AZ77" s="18" t="str">
        <f>VLOOKUP(Pospago[[#This Row],[NOM_PLAZA_FINAL]],[1]!Locales[#Data],3,0)</f>
        <v>TIENDA AMERICA</v>
      </c>
      <c r="BA77" s="18" t="str">
        <f>IFERROR(VLOOKUP(Pospago[[#This Row],[USUARIO]],[1]!Personal[#Data],6,0),"EJECUTIVO NO REGISTRADO")</f>
        <v>REINO TUFINO PAULTEH KATHERINE</v>
      </c>
      <c r="BB77" s="18" t="str">
        <f>Pospago[[#This Row],[TIPO_MOVIMIENTO]]&amp;" "&amp;Pospago[[#This Row],[FORMA_PAGO_FINAL]]</f>
        <v>ALTAS PAGO EN CAJA</v>
      </c>
      <c r="BC77" s="18">
        <f>DAY(Pospago[[#This Row],[FECHA_ALTA]])</f>
        <v>12</v>
      </c>
      <c r="BD77" s="18">
        <f>IF(Pospago[[#This Row],[TARIFA_BASICA]]=11.42,1,0)</f>
        <v>0</v>
      </c>
      <c r="BE77" s="18">
        <f>IF(Pospago[[#This Row],[PLANES TELEVENTAS]]="SI",1,0)</f>
        <v>0</v>
      </c>
      <c r="BF77" s="18">
        <f>1</f>
        <v>1</v>
      </c>
      <c r="BG77" s="18">
        <f>IF(OR(Pospago[[#This Row],[TARIFA_BASICA]]=11.42,Pospago[[#This Row],[PLANES TELEVENTAS]]="SI"),1,0)</f>
        <v>0</v>
      </c>
      <c r="BH77" s="18" t="str">
        <f>IF(MID(Pospago[[#This Row],[PlanDesc]],1,4) = "PLAN","POSPAGO",IF(MID(Pospago[[#This Row],[PlanDesc]],1,4)="FULL","FULL MEGAS","PREVIOPAGO"))</f>
        <v>PREVIOPAGO</v>
      </c>
      <c r="BI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" s="21">
        <f>Pospago[[#This Row],[TARIFA_BASICA]]*1.5</f>
        <v>22.5</v>
      </c>
    </row>
    <row r="78" spans="1:63" x14ac:dyDescent="0.25">
      <c r="A78" s="18" t="s">
        <v>64</v>
      </c>
      <c r="B78" s="18" t="s">
        <v>722</v>
      </c>
      <c r="C78" s="18" t="s">
        <v>723</v>
      </c>
      <c r="D78" s="19">
        <v>44908</v>
      </c>
      <c r="E78" s="18" t="s">
        <v>67</v>
      </c>
      <c r="F78" s="18" t="s">
        <v>724</v>
      </c>
      <c r="G78" s="18" t="s">
        <v>725</v>
      </c>
      <c r="H78" s="18" t="s">
        <v>70</v>
      </c>
      <c r="I78" s="18" t="s">
        <v>71</v>
      </c>
      <c r="J78" s="18" t="s">
        <v>72</v>
      </c>
      <c r="K78" s="18" t="s">
        <v>73</v>
      </c>
      <c r="L78" s="20" t="s">
        <v>726</v>
      </c>
      <c r="M78" s="18" t="s">
        <v>75</v>
      </c>
      <c r="N78" s="20" t="s">
        <v>727</v>
      </c>
      <c r="O78" s="18" t="s">
        <v>77</v>
      </c>
      <c r="P78" s="18" t="s">
        <v>78</v>
      </c>
      <c r="Q78" s="19">
        <v>44914</v>
      </c>
      <c r="R78" s="21">
        <v>11.42</v>
      </c>
      <c r="S78" s="18" t="s">
        <v>79</v>
      </c>
      <c r="T78" s="18" t="s">
        <v>148</v>
      </c>
      <c r="U78" s="18" t="s">
        <v>83</v>
      </c>
      <c r="V78" s="18" t="s">
        <v>95</v>
      </c>
      <c r="W78" s="18" t="s">
        <v>83</v>
      </c>
      <c r="X78" s="18" t="s">
        <v>84</v>
      </c>
      <c r="Y78" s="18" t="s">
        <v>85</v>
      </c>
      <c r="Z78" s="18" t="s">
        <v>86</v>
      </c>
      <c r="AA78" s="18" t="s">
        <v>87</v>
      </c>
      <c r="AB78" s="18" t="s">
        <v>420</v>
      </c>
      <c r="AC78" s="18" t="s">
        <v>421</v>
      </c>
      <c r="AD78" s="18" t="s">
        <v>85</v>
      </c>
      <c r="AE78" s="18" t="s">
        <v>90</v>
      </c>
      <c r="AF78" s="18" t="s">
        <v>151</v>
      </c>
      <c r="AG78" s="18" t="s">
        <v>92</v>
      </c>
      <c r="AH78" s="18" t="s">
        <v>93</v>
      </c>
      <c r="AI78" s="18" t="s">
        <v>94</v>
      </c>
      <c r="AJ78" s="19">
        <v>44908</v>
      </c>
      <c r="AK78" s="22" t="s">
        <v>95</v>
      </c>
      <c r="AL78" s="18" t="s">
        <v>95</v>
      </c>
      <c r="AM78" s="18" t="s">
        <v>95</v>
      </c>
      <c r="AN78" s="18" t="s">
        <v>95</v>
      </c>
      <c r="AO78" s="18" t="s">
        <v>95</v>
      </c>
      <c r="AP78" s="18" t="s">
        <v>95</v>
      </c>
      <c r="AQ78" s="18" t="s">
        <v>95</v>
      </c>
      <c r="AR78" s="18" t="s">
        <v>95</v>
      </c>
      <c r="AS78" s="18" t="s">
        <v>83</v>
      </c>
      <c r="AT78" s="18" t="s">
        <v>83</v>
      </c>
      <c r="AU78" s="18" t="s">
        <v>81</v>
      </c>
      <c r="AV78" s="18" t="s">
        <v>95</v>
      </c>
      <c r="AW78" s="18" t="s">
        <v>95</v>
      </c>
      <c r="AX78" s="18"/>
      <c r="AY78" s="18" t="str">
        <f>Pospago[[#This Row],[NUM_TELEFONICO]]&amp;"POSPAGOSI"</f>
        <v>962530046POSPAGOSI</v>
      </c>
      <c r="AZ78" s="18" t="str">
        <f>VLOOKUP(Pospago[[#This Row],[NOM_PLAZA_FINAL]],[1]!Locales[#Data],3,0)</f>
        <v>TIENDA CUENCA REMIGIO</v>
      </c>
      <c r="BA78" s="18" t="str">
        <f>IFERROR(VLOOKUP(Pospago[[#This Row],[USUARIO]],[1]!Personal[#Data],6,0),"EJECUTIVO NO REGISTRADO")</f>
        <v>YEPEZ PALOMEQUE DIANA PATRICIA</v>
      </c>
      <c r="BB78" s="18" t="str">
        <f>Pospago[[#This Row],[TIPO_MOVIMIENTO]]&amp;" "&amp;Pospago[[#This Row],[FORMA_PAGO_FINAL]]</f>
        <v>ALTAS DOMICILIADO</v>
      </c>
      <c r="BC78" s="18">
        <f>DAY(Pospago[[#This Row],[FECHA_ALTA]])</f>
        <v>13</v>
      </c>
      <c r="BD78" s="18">
        <f>IF(Pospago[[#This Row],[TARIFA_BASICA]]=11.42,1,0)</f>
        <v>1</v>
      </c>
      <c r="BE78" s="18">
        <f>IF(Pospago[[#This Row],[PLANES TELEVENTAS]]="SI",1,0)</f>
        <v>0</v>
      </c>
      <c r="BF78" s="18">
        <f>1</f>
        <v>1</v>
      </c>
      <c r="BG78" s="18">
        <f>IF(OR(Pospago[[#This Row],[TARIFA_BASICA]]=11.42,Pospago[[#This Row],[PLANES TELEVENTAS]]="SI"),1,0)</f>
        <v>1</v>
      </c>
      <c r="BH78" s="18" t="str">
        <f>IF(MID(Pospago[[#This Row],[PlanDesc]],1,4) = "PLAN","POSPAGO",IF(MID(Pospago[[#This Row],[PlanDesc]],1,4)="FULL","FULL MEGAS","PREVIOPAGO"))</f>
        <v>PREVIOPAGO</v>
      </c>
      <c r="BI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8" s="21">
        <f>Pospago[[#This Row],[TARIFA_BASICA]]*1.5</f>
        <v>17.13</v>
      </c>
    </row>
    <row r="79" spans="1:63" x14ac:dyDescent="0.25">
      <c r="A79" s="18" t="s">
        <v>154</v>
      </c>
      <c r="B79" s="18" t="s">
        <v>728</v>
      </c>
      <c r="C79" s="18" t="s">
        <v>729</v>
      </c>
      <c r="D79" s="19">
        <v>44909</v>
      </c>
      <c r="E79" s="18" t="s">
        <v>67</v>
      </c>
      <c r="F79" s="18" t="s">
        <v>730</v>
      </c>
      <c r="G79" s="18" t="s">
        <v>731</v>
      </c>
      <c r="H79" s="18" t="s">
        <v>159</v>
      </c>
      <c r="I79" s="18" t="s">
        <v>130</v>
      </c>
      <c r="J79" s="18" t="s">
        <v>433</v>
      </c>
      <c r="K79" s="18" t="s">
        <v>73</v>
      </c>
      <c r="L79" s="20" t="s">
        <v>732</v>
      </c>
      <c r="M79" s="18" t="s">
        <v>75</v>
      </c>
      <c r="N79" s="20" t="s">
        <v>733</v>
      </c>
      <c r="O79" s="18" t="s">
        <v>164</v>
      </c>
      <c r="P79" s="18" t="s">
        <v>78</v>
      </c>
      <c r="Q79" s="19">
        <v>44914</v>
      </c>
      <c r="R79" s="21">
        <v>15</v>
      </c>
      <c r="S79" s="18" t="s">
        <v>79</v>
      </c>
      <c r="T79" s="18" t="s">
        <v>232</v>
      </c>
      <c r="U79" s="18" t="s">
        <v>83</v>
      </c>
      <c r="V79" s="18" t="s">
        <v>95</v>
      </c>
      <c r="W79" s="18" t="s">
        <v>95</v>
      </c>
      <c r="X79" s="18" t="s">
        <v>84</v>
      </c>
      <c r="Y79" s="18" t="s">
        <v>85</v>
      </c>
      <c r="Z79" s="18" t="s">
        <v>86</v>
      </c>
      <c r="AA79" s="18" t="s">
        <v>87</v>
      </c>
      <c r="AB79" s="18" t="s">
        <v>443</v>
      </c>
      <c r="AC79" s="18" t="s">
        <v>444</v>
      </c>
      <c r="AD79" s="18" t="s">
        <v>85</v>
      </c>
      <c r="AE79" s="18" t="s">
        <v>90</v>
      </c>
      <c r="AF79" s="18" t="s">
        <v>235</v>
      </c>
      <c r="AG79" s="18" t="s">
        <v>139</v>
      </c>
      <c r="AH79" s="18" t="s">
        <v>165</v>
      </c>
      <c r="AI79" s="18" t="s">
        <v>94</v>
      </c>
      <c r="AJ79" s="19">
        <v>44909</v>
      </c>
      <c r="AK79" s="22" t="s">
        <v>95</v>
      </c>
      <c r="AL79" s="18" t="s">
        <v>95</v>
      </c>
      <c r="AM79" s="18" t="s">
        <v>95</v>
      </c>
      <c r="AN79" s="18" t="s">
        <v>95</v>
      </c>
      <c r="AO79" s="18" t="s">
        <v>95</v>
      </c>
      <c r="AP79" s="18" t="s">
        <v>95</v>
      </c>
      <c r="AQ79" s="18" t="s">
        <v>95</v>
      </c>
      <c r="AR79" s="18" t="s">
        <v>95</v>
      </c>
      <c r="AS79" s="18" t="s">
        <v>83</v>
      </c>
      <c r="AT79" s="18" t="s">
        <v>83</v>
      </c>
      <c r="AU79" s="18" t="s">
        <v>81</v>
      </c>
      <c r="AV79" s="18" t="s">
        <v>95</v>
      </c>
      <c r="AW79" s="18" t="s">
        <v>95</v>
      </c>
      <c r="AX79" s="18"/>
      <c r="AY79" s="18" t="str">
        <f>Pospago[[#This Row],[NUM_TELEFONICO]]&amp;"POSPAGOSI"</f>
        <v>962595062POSPAGOSI</v>
      </c>
      <c r="AZ79" s="18" t="str">
        <f>VLOOKUP(Pospago[[#This Row],[NOM_PLAZA_FINAL]],[1]!Locales[#Data],3,0)</f>
        <v>TIENDA CONDADO</v>
      </c>
      <c r="BA79" s="18" t="str">
        <f>IFERROR(VLOOKUP(Pospago[[#This Row],[USUARIO]],[1]!Personal[#Data],6,0),"EJECUTIVO NO REGISTRADO")</f>
        <v>JARAMILLO ESPINOZA KENIA KATRINA</v>
      </c>
      <c r="BB79" s="18" t="str">
        <f>Pospago[[#This Row],[TIPO_MOVIMIENTO]]&amp;" "&amp;Pospago[[#This Row],[FORMA_PAGO_FINAL]]</f>
        <v>TRANSFERENCIAS DOMICILIADO</v>
      </c>
      <c r="BC79" s="18">
        <f>DAY(Pospago[[#This Row],[FECHA_ALTA]])</f>
        <v>14</v>
      </c>
      <c r="BD79" s="18">
        <f>IF(Pospago[[#This Row],[TARIFA_BASICA]]=11.42,1,0)</f>
        <v>0</v>
      </c>
      <c r="BE79" s="18">
        <f>IF(Pospago[[#This Row],[PLANES TELEVENTAS]]="SI",1,0)</f>
        <v>0</v>
      </c>
      <c r="BF79" s="18">
        <f>1</f>
        <v>1</v>
      </c>
      <c r="BG79" s="18">
        <f>IF(OR(Pospago[[#This Row],[TARIFA_BASICA]]=11.42,Pospago[[#This Row],[PLANES TELEVENTAS]]="SI"),1,0)</f>
        <v>0</v>
      </c>
      <c r="BH79" s="18" t="str">
        <f>IF(MID(Pospago[[#This Row],[PlanDesc]],1,4) = "PLAN","POSPAGO",IF(MID(Pospago[[#This Row],[PlanDesc]],1,4)="FULL","FULL MEGAS","PREVIOPAGO"))</f>
        <v>PREVIOPAGO</v>
      </c>
      <c r="BI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9" s="21">
        <f>Pospago[[#This Row],[TARIFA_BASICA]]*1.5</f>
        <v>22.5</v>
      </c>
    </row>
    <row r="80" spans="1:63" x14ac:dyDescent="0.25">
      <c r="A80" s="18" t="s">
        <v>154</v>
      </c>
      <c r="B80" s="18" t="s">
        <v>734</v>
      </c>
      <c r="C80" s="18" t="s">
        <v>735</v>
      </c>
      <c r="D80" s="19">
        <v>44905</v>
      </c>
      <c r="E80" s="18" t="s">
        <v>67</v>
      </c>
      <c r="F80" s="18" t="s">
        <v>736</v>
      </c>
      <c r="G80" s="18" t="s">
        <v>737</v>
      </c>
      <c r="H80" s="18" t="s">
        <v>159</v>
      </c>
      <c r="I80" s="18" t="s">
        <v>160</v>
      </c>
      <c r="J80" s="18" t="s">
        <v>161</v>
      </c>
      <c r="K80" s="18" t="s">
        <v>95</v>
      </c>
      <c r="L80" s="20" t="s">
        <v>738</v>
      </c>
      <c r="M80" s="18" t="s">
        <v>75</v>
      </c>
      <c r="N80" s="20" t="s">
        <v>739</v>
      </c>
      <c r="O80" s="18" t="s">
        <v>164</v>
      </c>
      <c r="P80" s="18" t="s">
        <v>78</v>
      </c>
      <c r="Q80" s="19">
        <v>44914</v>
      </c>
      <c r="R80" s="21">
        <v>14.28</v>
      </c>
      <c r="S80" s="18" t="s">
        <v>79</v>
      </c>
      <c r="T80" s="18" t="s">
        <v>174</v>
      </c>
      <c r="U80" s="18" t="s">
        <v>83</v>
      </c>
      <c r="V80" s="18" t="s">
        <v>95</v>
      </c>
      <c r="W80" s="18" t="s">
        <v>95</v>
      </c>
      <c r="X80" s="18" t="s">
        <v>118</v>
      </c>
      <c r="Y80" s="18" t="s">
        <v>85</v>
      </c>
      <c r="Z80" s="18" t="s">
        <v>86</v>
      </c>
      <c r="AA80" s="18" t="s">
        <v>119</v>
      </c>
      <c r="AB80" s="18" t="s">
        <v>740</v>
      </c>
      <c r="AC80" s="18" t="s">
        <v>741</v>
      </c>
      <c r="AD80" s="18" t="s">
        <v>85</v>
      </c>
      <c r="AE80" s="18" t="s">
        <v>90</v>
      </c>
      <c r="AF80" s="18" t="s">
        <v>177</v>
      </c>
      <c r="AG80" s="18" t="s">
        <v>139</v>
      </c>
      <c r="AH80" s="18" t="s">
        <v>165</v>
      </c>
      <c r="AI80" s="18" t="s">
        <v>94</v>
      </c>
      <c r="AJ80" s="19">
        <v>44905</v>
      </c>
      <c r="AK80" s="22" t="s">
        <v>95</v>
      </c>
      <c r="AL80" s="18" t="s">
        <v>95</v>
      </c>
      <c r="AM80" s="18" t="s">
        <v>95</v>
      </c>
      <c r="AN80" s="18" t="s">
        <v>95</v>
      </c>
      <c r="AO80" s="18" t="s">
        <v>95</v>
      </c>
      <c r="AP80" s="18" t="s">
        <v>95</v>
      </c>
      <c r="AQ80" s="18" t="s">
        <v>95</v>
      </c>
      <c r="AR80" s="18" t="s">
        <v>95</v>
      </c>
      <c r="AS80" s="18" t="s">
        <v>83</v>
      </c>
      <c r="AT80" s="18" t="s">
        <v>83</v>
      </c>
      <c r="AU80" s="18" t="s">
        <v>81</v>
      </c>
      <c r="AV80" s="18" t="s">
        <v>95</v>
      </c>
      <c r="AW80" s="18" t="s">
        <v>95</v>
      </c>
      <c r="AX80" s="18"/>
      <c r="AY80" s="18" t="str">
        <f>Pospago[[#This Row],[NUM_TELEFONICO]]&amp;"POSPAGOSI"</f>
        <v>962595781POSPAGOSI</v>
      </c>
      <c r="AZ80" s="18" t="str">
        <f>VLOOKUP(Pospago[[#This Row],[NOM_PLAZA_FINAL]],[1]!Locales[#Data],3,0)</f>
        <v>TIENDA RECREO</v>
      </c>
      <c r="BA80" s="18" t="str">
        <f>IFERROR(VLOOKUP(Pospago[[#This Row],[USUARIO]],[1]!Personal[#Data],6,0),"EJECUTIVO NO REGISTRADO")</f>
        <v>CHAVEZ VASQUEZ YESSENIA KATHERINE</v>
      </c>
      <c r="BB80" s="18" t="str">
        <f>Pospago[[#This Row],[TIPO_MOVIMIENTO]]&amp;" "&amp;Pospago[[#This Row],[FORMA_PAGO_FINAL]]</f>
        <v>TRANSFERENCIAS PAGO EN CAJA</v>
      </c>
      <c r="BC80" s="18">
        <f>DAY(Pospago[[#This Row],[FECHA_ALTA]])</f>
        <v>10</v>
      </c>
      <c r="BD80" s="18">
        <f>IF(Pospago[[#This Row],[TARIFA_BASICA]]=11.42,1,0)</f>
        <v>0</v>
      </c>
      <c r="BE80" s="18">
        <f>IF(Pospago[[#This Row],[PLANES TELEVENTAS]]="SI",1,0)</f>
        <v>0</v>
      </c>
      <c r="BF80" s="18">
        <f>1</f>
        <v>1</v>
      </c>
      <c r="BG80" s="18">
        <f>IF(OR(Pospago[[#This Row],[TARIFA_BASICA]]=11.42,Pospago[[#This Row],[PLANES TELEVENTAS]]="SI"),1,0)</f>
        <v>0</v>
      </c>
      <c r="BH80" s="18" t="str">
        <f>IF(MID(Pospago[[#This Row],[PlanDesc]],1,4) = "PLAN","POSPAGO",IF(MID(Pospago[[#This Row],[PlanDesc]],1,4)="FULL","FULL MEGAS","PREVIOPAGO"))</f>
        <v>PREVIOPAGO</v>
      </c>
      <c r="BI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" s="21">
        <f>Pospago[[#This Row],[TARIFA_BASICA]]*1.5</f>
        <v>21.419999999999998</v>
      </c>
    </row>
    <row r="81" spans="1:63" x14ac:dyDescent="0.25">
      <c r="A81" s="18" t="s">
        <v>64</v>
      </c>
      <c r="B81" s="18" t="s">
        <v>742</v>
      </c>
      <c r="C81" s="18" t="s">
        <v>743</v>
      </c>
      <c r="D81" s="19">
        <v>44901</v>
      </c>
      <c r="E81" s="18" t="s">
        <v>67</v>
      </c>
      <c r="F81" s="18" t="s">
        <v>744</v>
      </c>
      <c r="G81" s="18" t="s">
        <v>745</v>
      </c>
      <c r="H81" s="18" t="s">
        <v>70</v>
      </c>
      <c r="I81" s="18" t="s">
        <v>71</v>
      </c>
      <c r="J81" s="18" t="s">
        <v>72</v>
      </c>
      <c r="K81" s="18" t="s">
        <v>95</v>
      </c>
      <c r="L81" s="20" t="s">
        <v>746</v>
      </c>
      <c r="M81" s="18" t="s">
        <v>75</v>
      </c>
      <c r="N81" s="20" t="s">
        <v>747</v>
      </c>
      <c r="O81" s="18" t="s">
        <v>77</v>
      </c>
      <c r="P81" s="18" t="s">
        <v>78</v>
      </c>
      <c r="Q81" s="19">
        <v>44914</v>
      </c>
      <c r="R81" s="21">
        <v>11.42</v>
      </c>
      <c r="S81" s="18" t="s">
        <v>79</v>
      </c>
      <c r="T81" s="18" t="s">
        <v>135</v>
      </c>
      <c r="U81" s="18" t="s">
        <v>83</v>
      </c>
      <c r="V81" s="18" t="s">
        <v>95</v>
      </c>
      <c r="W81" s="18" t="s">
        <v>83</v>
      </c>
      <c r="X81" s="18" t="s">
        <v>84</v>
      </c>
      <c r="Y81" s="18" t="s">
        <v>85</v>
      </c>
      <c r="Z81" s="18" t="s">
        <v>86</v>
      </c>
      <c r="AA81" s="18" t="s">
        <v>87</v>
      </c>
      <c r="AB81" s="18" t="s">
        <v>478</v>
      </c>
      <c r="AC81" s="18" t="s">
        <v>479</v>
      </c>
      <c r="AD81" s="18" t="s">
        <v>85</v>
      </c>
      <c r="AE81" s="18" t="s">
        <v>90</v>
      </c>
      <c r="AF81" s="18" t="s">
        <v>138</v>
      </c>
      <c r="AG81" s="18" t="s">
        <v>139</v>
      </c>
      <c r="AH81" s="18" t="s">
        <v>93</v>
      </c>
      <c r="AI81" s="18" t="s">
        <v>94</v>
      </c>
      <c r="AJ81" s="19">
        <v>44901</v>
      </c>
      <c r="AK81" s="22" t="s">
        <v>95</v>
      </c>
      <c r="AL81" s="18" t="s">
        <v>95</v>
      </c>
      <c r="AM81" s="18" t="s">
        <v>95</v>
      </c>
      <c r="AN81" s="18" t="s">
        <v>95</v>
      </c>
      <c r="AO81" s="18" t="s">
        <v>95</v>
      </c>
      <c r="AP81" s="18" t="s">
        <v>95</v>
      </c>
      <c r="AQ81" s="18" t="s">
        <v>95</v>
      </c>
      <c r="AR81" s="18" t="s">
        <v>95</v>
      </c>
      <c r="AS81" s="18" t="s">
        <v>83</v>
      </c>
      <c r="AT81" s="18" t="s">
        <v>83</v>
      </c>
      <c r="AU81" s="18" t="s">
        <v>81</v>
      </c>
      <c r="AV81" s="18" t="s">
        <v>95</v>
      </c>
      <c r="AW81" s="18" t="s">
        <v>95</v>
      </c>
      <c r="AX81" s="18"/>
      <c r="AY81" s="18" t="str">
        <f>Pospago[[#This Row],[NUM_TELEFONICO]]&amp;"POSPAGOSI"</f>
        <v>962602778POSPAGOSI</v>
      </c>
      <c r="AZ81" s="18" t="str">
        <f>VLOOKUP(Pospago[[#This Row],[NOM_PLAZA_FINAL]],[1]!Locales[#Data],3,0)</f>
        <v>TIENDA AMERICA</v>
      </c>
      <c r="BA81" s="18" t="str">
        <f>IFERROR(VLOOKUP(Pospago[[#This Row],[USUARIO]],[1]!Personal[#Data],6,0),"EJECUTIVO NO REGISTRADO")</f>
        <v>REINO TUFINO PAULTEH KATHERINE</v>
      </c>
      <c r="BB81" s="18" t="str">
        <f>Pospago[[#This Row],[TIPO_MOVIMIENTO]]&amp;" "&amp;Pospago[[#This Row],[FORMA_PAGO_FINAL]]</f>
        <v>ALTAS DOMICILIADO</v>
      </c>
      <c r="BC81" s="18">
        <f>DAY(Pospago[[#This Row],[FECHA_ALTA]])</f>
        <v>6</v>
      </c>
      <c r="BD81" s="18">
        <f>IF(Pospago[[#This Row],[TARIFA_BASICA]]=11.42,1,0)</f>
        <v>1</v>
      </c>
      <c r="BE81" s="18">
        <f>IF(Pospago[[#This Row],[PLANES TELEVENTAS]]="SI",1,0)</f>
        <v>0</v>
      </c>
      <c r="BF81" s="18">
        <f>1</f>
        <v>1</v>
      </c>
      <c r="BG81" s="18">
        <f>IF(OR(Pospago[[#This Row],[TARIFA_BASICA]]=11.42,Pospago[[#This Row],[PLANES TELEVENTAS]]="SI"),1,0)</f>
        <v>1</v>
      </c>
      <c r="BH81" s="18" t="str">
        <f>IF(MID(Pospago[[#This Row],[PlanDesc]],1,4) = "PLAN","POSPAGO",IF(MID(Pospago[[#This Row],[PlanDesc]],1,4)="FULL","FULL MEGAS","PREVIOPAGO"))</f>
        <v>PREVIOPAGO</v>
      </c>
      <c r="BI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1" s="21">
        <f>Pospago[[#This Row],[TARIFA_BASICA]]*1.5</f>
        <v>17.13</v>
      </c>
    </row>
    <row r="82" spans="1:63" x14ac:dyDescent="0.25">
      <c r="A82" s="18" t="s">
        <v>154</v>
      </c>
      <c r="B82" s="18" t="s">
        <v>748</v>
      </c>
      <c r="C82" s="18" t="s">
        <v>749</v>
      </c>
      <c r="D82" s="19">
        <v>44905</v>
      </c>
      <c r="E82" s="18" t="s">
        <v>67</v>
      </c>
      <c r="F82" s="18" t="s">
        <v>750</v>
      </c>
      <c r="G82" s="18" t="s">
        <v>751</v>
      </c>
      <c r="H82" s="18" t="s">
        <v>159</v>
      </c>
      <c r="I82" s="18" t="s">
        <v>71</v>
      </c>
      <c r="J82" s="18" t="s">
        <v>258</v>
      </c>
      <c r="K82" s="18" t="s">
        <v>132</v>
      </c>
      <c r="L82" s="20" t="s">
        <v>752</v>
      </c>
      <c r="M82" s="18" t="s">
        <v>75</v>
      </c>
      <c r="N82" s="20" t="s">
        <v>753</v>
      </c>
      <c r="O82" s="18" t="s">
        <v>164</v>
      </c>
      <c r="P82" s="18" t="s">
        <v>78</v>
      </c>
      <c r="Q82" s="19">
        <v>44914</v>
      </c>
      <c r="R82" s="21">
        <v>11.42</v>
      </c>
      <c r="S82" s="18" t="s">
        <v>79</v>
      </c>
      <c r="T82" s="18" t="s">
        <v>174</v>
      </c>
      <c r="U82" s="18" t="s">
        <v>83</v>
      </c>
      <c r="V82" s="18" t="s">
        <v>95</v>
      </c>
      <c r="W82" s="18" t="s">
        <v>95</v>
      </c>
      <c r="X82" s="18" t="s">
        <v>118</v>
      </c>
      <c r="Y82" s="18" t="s">
        <v>85</v>
      </c>
      <c r="Z82" s="18" t="s">
        <v>86</v>
      </c>
      <c r="AA82" s="18" t="s">
        <v>119</v>
      </c>
      <c r="AB82" s="18" t="s">
        <v>251</v>
      </c>
      <c r="AC82" s="18" t="s">
        <v>252</v>
      </c>
      <c r="AD82" s="18" t="s">
        <v>85</v>
      </c>
      <c r="AE82" s="18" t="s">
        <v>90</v>
      </c>
      <c r="AF82" s="18" t="s">
        <v>177</v>
      </c>
      <c r="AG82" s="18" t="s">
        <v>139</v>
      </c>
      <c r="AH82" s="18" t="s">
        <v>165</v>
      </c>
      <c r="AI82" s="18" t="s">
        <v>94</v>
      </c>
      <c r="AJ82" s="19">
        <v>44905</v>
      </c>
      <c r="AK82" s="22" t="s">
        <v>95</v>
      </c>
      <c r="AL82" s="18" t="s">
        <v>95</v>
      </c>
      <c r="AM82" s="18" t="s">
        <v>95</v>
      </c>
      <c r="AN82" s="18" t="s">
        <v>95</v>
      </c>
      <c r="AO82" s="18" t="s">
        <v>95</v>
      </c>
      <c r="AP82" s="18" t="s">
        <v>95</v>
      </c>
      <c r="AQ82" s="18" t="s">
        <v>95</v>
      </c>
      <c r="AR82" s="18" t="s">
        <v>95</v>
      </c>
      <c r="AS82" s="18" t="s">
        <v>83</v>
      </c>
      <c r="AT82" s="18" t="s">
        <v>83</v>
      </c>
      <c r="AU82" s="18" t="s">
        <v>81</v>
      </c>
      <c r="AV82" s="18" t="s">
        <v>95</v>
      </c>
      <c r="AW82" s="18" t="s">
        <v>95</v>
      </c>
      <c r="AX82" s="18"/>
      <c r="AY82" s="18" t="str">
        <f>Pospago[[#This Row],[NUM_TELEFONICO]]&amp;"POSPAGOSI"</f>
        <v>962612855POSPAGOSI</v>
      </c>
      <c r="AZ82" s="18" t="str">
        <f>VLOOKUP(Pospago[[#This Row],[NOM_PLAZA_FINAL]],[1]!Locales[#Data],3,0)</f>
        <v>TIENDA RECREO</v>
      </c>
      <c r="BA82" s="18" t="str">
        <f>IFERROR(VLOOKUP(Pospago[[#This Row],[USUARIO]],[1]!Personal[#Data],6,0),"EJECUTIVO NO REGISTRADO")</f>
        <v>CRUZ MONTUFAR KATHERINE ALEJANDRA</v>
      </c>
      <c r="BB82" s="18" t="str">
        <f>Pospago[[#This Row],[TIPO_MOVIMIENTO]]&amp;" "&amp;Pospago[[#This Row],[FORMA_PAGO_FINAL]]</f>
        <v>TRANSFERENCIAS PAGO EN CAJA</v>
      </c>
      <c r="BC82" s="18">
        <f>DAY(Pospago[[#This Row],[FECHA_ALTA]])</f>
        <v>10</v>
      </c>
      <c r="BD82" s="18">
        <f>IF(Pospago[[#This Row],[TARIFA_BASICA]]=11.42,1,0)</f>
        <v>1</v>
      </c>
      <c r="BE82" s="18">
        <f>IF(Pospago[[#This Row],[PLANES TELEVENTAS]]="SI",1,0)</f>
        <v>0</v>
      </c>
      <c r="BF82" s="18">
        <f>1</f>
        <v>1</v>
      </c>
      <c r="BG82" s="18">
        <f>IF(OR(Pospago[[#This Row],[TARIFA_BASICA]]=11.42,Pospago[[#This Row],[PLANES TELEVENTAS]]="SI"),1,0)</f>
        <v>1</v>
      </c>
      <c r="BH82" s="18" t="str">
        <f>IF(MID(Pospago[[#This Row],[PlanDesc]],1,4) = "PLAN","POSPAGO",IF(MID(Pospago[[#This Row],[PlanDesc]],1,4)="FULL","FULL MEGAS","PREVIOPAGO"))</f>
        <v>PREVIOPAGO</v>
      </c>
      <c r="BI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2" s="21">
        <f>Pospago[[#This Row],[TARIFA_BASICA]]*1.5</f>
        <v>17.13</v>
      </c>
    </row>
    <row r="83" spans="1:63" x14ac:dyDescent="0.25">
      <c r="A83" s="18" t="s">
        <v>154</v>
      </c>
      <c r="B83" s="18" t="s">
        <v>754</v>
      </c>
      <c r="C83" s="18" t="s">
        <v>755</v>
      </c>
      <c r="D83" s="19">
        <v>44906</v>
      </c>
      <c r="E83" s="18" t="s">
        <v>67</v>
      </c>
      <c r="F83" s="18" t="s">
        <v>756</v>
      </c>
      <c r="G83" s="18" t="s">
        <v>757</v>
      </c>
      <c r="H83" s="18" t="s">
        <v>159</v>
      </c>
      <c r="I83" s="18" t="s">
        <v>160</v>
      </c>
      <c r="J83" s="18" t="s">
        <v>161</v>
      </c>
      <c r="K83" s="18" t="s">
        <v>95</v>
      </c>
      <c r="L83" s="20" t="s">
        <v>758</v>
      </c>
      <c r="M83" s="18" t="s">
        <v>75</v>
      </c>
      <c r="N83" s="20" t="s">
        <v>759</v>
      </c>
      <c r="O83" s="18" t="s">
        <v>164</v>
      </c>
      <c r="P83" s="18" t="s">
        <v>78</v>
      </c>
      <c r="Q83" s="19">
        <v>44914</v>
      </c>
      <c r="R83" s="21">
        <v>14.28</v>
      </c>
      <c r="S83" s="18" t="s">
        <v>79</v>
      </c>
      <c r="T83" s="18" t="s">
        <v>174</v>
      </c>
      <c r="U83" s="18" t="s">
        <v>83</v>
      </c>
      <c r="V83" s="18" t="s">
        <v>95</v>
      </c>
      <c r="W83" s="18" t="s">
        <v>95</v>
      </c>
      <c r="X83" s="18" t="s">
        <v>118</v>
      </c>
      <c r="Y83" s="18" t="s">
        <v>85</v>
      </c>
      <c r="Z83" s="18" t="s">
        <v>86</v>
      </c>
      <c r="AA83" s="18" t="s">
        <v>119</v>
      </c>
      <c r="AB83" s="18" t="s">
        <v>760</v>
      </c>
      <c r="AC83" s="18" t="s">
        <v>761</v>
      </c>
      <c r="AD83" s="18" t="s">
        <v>85</v>
      </c>
      <c r="AE83" s="18" t="s">
        <v>90</v>
      </c>
      <c r="AF83" s="18" t="s">
        <v>177</v>
      </c>
      <c r="AG83" s="18" t="s">
        <v>139</v>
      </c>
      <c r="AH83" s="18" t="s">
        <v>165</v>
      </c>
      <c r="AI83" s="18" t="s">
        <v>94</v>
      </c>
      <c r="AJ83" s="19">
        <v>44906</v>
      </c>
      <c r="AK83" s="22" t="s">
        <v>95</v>
      </c>
      <c r="AL83" s="18" t="s">
        <v>95</v>
      </c>
      <c r="AM83" s="18" t="s">
        <v>95</v>
      </c>
      <c r="AN83" s="18" t="s">
        <v>95</v>
      </c>
      <c r="AO83" s="18" t="s">
        <v>95</v>
      </c>
      <c r="AP83" s="18" t="s">
        <v>95</v>
      </c>
      <c r="AQ83" s="18" t="s">
        <v>95</v>
      </c>
      <c r="AR83" s="18" t="s">
        <v>95</v>
      </c>
      <c r="AS83" s="18" t="s">
        <v>83</v>
      </c>
      <c r="AT83" s="18" t="s">
        <v>83</v>
      </c>
      <c r="AU83" s="18" t="s">
        <v>81</v>
      </c>
      <c r="AV83" s="18" t="s">
        <v>95</v>
      </c>
      <c r="AW83" s="18" t="s">
        <v>95</v>
      </c>
      <c r="AX83" s="18"/>
      <c r="AY83" s="18" t="str">
        <f>Pospago[[#This Row],[NUM_TELEFONICO]]&amp;"POSPAGOSI"</f>
        <v>962620430POSPAGOSI</v>
      </c>
      <c r="AZ83" s="18" t="str">
        <f>VLOOKUP(Pospago[[#This Row],[NOM_PLAZA_FINAL]],[1]!Locales[#Data],3,0)</f>
        <v>TIENDA RECREO</v>
      </c>
      <c r="BA83" s="18" t="str">
        <f>IFERROR(VLOOKUP(Pospago[[#This Row],[USUARIO]],[1]!Personal[#Data],6,0),"EJECUTIVO NO REGISTRADO")</f>
        <v>VALBUENA SANCHEZ ALBERT ANTHONY</v>
      </c>
      <c r="BB83" s="18" t="str">
        <f>Pospago[[#This Row],[TIPO_MOVIMIENTO]]&amp;" "&amp;Pospago[[#This Row],[FORMA_PAGO_FINAL]]</f>
        <v>TRANSFERENCIAS PAGO EN CAJA</v>
      </c>
      <c r="BC83" s="18">
        <f>DAY(Pospago[[#This Row],[FECHA_ALTA]])</f>
        <v>11</v>
      </c>
      <c r="BD83" s="18">
        <f>IF(Pospago[[#This Row],[TARIFA_BASICA]]=11.42,1,0)</f>
        <v>0</v>
      </c>
      <c r="BE83" s="18">
        <f>IF(Pospago[[#This Row],[PLANES TELEVENTAS]]="SI",1,0)</f>
        <v>0</v>
      </c>
      <c r="BF83" s="18">
        <f>1</f>
        <v>1</v>
      </c>
      <c r="BG83" s="18">
        <f>IF(OR(Pospago[[#This Row],[TARIFA_BASICA]]=11.42,Pospago[[#This Row],[PLANES TELEVENTAS]]="SI"),1,0)</f>
        <v>0</v>
      </c>
      <c r="BH83" s="18" t="str">
        <f>IF(MID(Pospago[[#This Row],[PlanDesc]],1,4) = "PLAN","POSPAGO",IF(MID(Pospago[[#This Row],[PlanDesc]],1,4)="FULL","FULL MEGAS","PREVIOPAGO"))</f>
        <v>PREVIOPAGO</v>
      </c>
      <c r="BI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3" s="21">
        <f>Pospago[[#This Row],[TARIFA_BASICA]]*1.5</f>
        <v>21.419999999999998</v>
      </c>
    </row>
    <row r="84" spans="1:63" x14ac:dyDescent="0.25">
      <c r="A84" s="18" t="s">
        <v>64</v>
      </c>
      <c r="B84" s="18" t="s">
        <v>762</v>
      </c>
      <c r="C84" s="18" t="s">
        <v>763</v>
      </c>
      <c r="D84" s="19">
        <v>44903</v>
      </c>
      <c r="E84" s="18" t="s">
        <v>67</v>
      </c>
      <c r="F84" s="18" t="s">
        <v>764</v>
      </c>
      <c r="G84" s="18" t="s">
        <v>765</v>
      </c>
      <c r="H84" s="18" t="s">
        <v>70</v>
      </c>
      <c r="I84" s="18" t="s">
        <v>160</v>
      </c>
      <c r="J84" s="18" t="s">
        <v>195</v>
      </c>
      <c r="K84" s="18" t="s">
        <v>95</v>
      </c>
      <c r="L84" s="20" t="s">
        <v>766</v>
      </c>
      <c r="M84" s="18" t="s">
        <v>75</v>
      </c>
      <c r="N84" s="20" t="s">
        <v>767</v>
      </c>
      <c r="O84" s="18" t="s">
        <v>768</v>
      </c>
      <c r="P84" s="18" t="s">
        <v>78</v>
      </c>
      <c r="Q84" s="19">
        <v>44914</v>
      </c>
      <c r="R84" s="21">
        <v>14.28</v>
      </c>
      <c r="S84" s="18" t="s">
        <v>79</v>
      </c>
      <c r="T84" s="18" t="s">
        <v>232</v>
      </c>
      <c r="U84" s="18" t="s">
        <v>83</v>
      </c>
      <c r="V84" s="18" t="s">
        <v>95</v>
      </c>
      <c r="W84" s="18" t="s">
        <v>83</v>
      </c>
      <c r="X84" s="18" t="s">
        <v>215</v>
      </c>
      <c r="Y84" s="18" t="s">
        <v>85</v>
      </c>
      <c r="Z84" s="18" t="s">
        <v>86</v>
      </c>
      <c r="AA84" s="18" t="s">
        <v>87</v>
      </c>
      <c r="AB84" s="18" t="s">
        <v>769</v>
      </c>
      <c r="AC84" s="18" t="s">
        <v>770</v>
      </c>
      <c r="AD84" s="18" t="s">
        <v>85</v>
      </c>
      <c r="AE84" s="18" t="s">
        <v>90</v>
      </c>
      <c r="AF84" s="18" t="s">
        <v>235</v>
      </c>
      <c r="AG84" s="18" t="s">
        <v>139</v>
      </c>
      <c r="AH84" s="18" t="s">
        <v>93</v>
      </c>
      <c r="AI84" s="18" t="s">
        <v>94</v>
      </c>
      <c r="AJ84" s="19">
        <v>44903</v>
      </c>
      <c r="AK84" s="22" t="s">
        <v>95</v>
      </c>
      <c r="AL84" s="18" t="s">
        <v>95</v>
      </c>
      <c r="AM84" s="18" t="s">
        <v>95</v>
      </c>
      <c r="AN84" s="18" t="s">
        <v>95</v>
      </c>
      <c r="AO84" s="18" t="s">
        <v>95</v>
      </c>
      <c r="AP84" s="18" t="s">
        <v>95</v>
      </c>
      <c r="AQ84" s="18" t="s">
        <v>95</v>
      </c>
      <c r="AR84" s="18" t="s">
        <v>95</v>
      </c>
      <c r="AS84" s="18" t="s">
        <v>83</v>
      </c>
      <c r="AT84" s="18" t="s">
        <v>83</v>
      </c>
      <c r="AU84" s="18" t="s">
        <v>81</v>
      </c>
      <c r="AV84" s="18" t="s">
        <v>95</v>
      </c>
      <c r="AW84" s="18" t="s">
        <v>95</v>
      </c>
      <c r="AX84" s="18"/>
      <c r="AY84" s="18" t="str">
        <f>Pospago[[#This Row],[NUM_TELEFONICO]]&amp;"POSPAGOSI"</f>
        <v>962638957POSPAGOSI</v>
      </c>
      <c r="AZ84" s="18" t="str">
        <f>VLOOKUP(Pospago[[#This Row],[NOM_PLAZA_FINAL]],[1]!Locales[#Data],3,0)</f>
        <v>TIENDA CONDADO</v>
      </c>
      <c r="BA84" s="18" t="str">
        <f>IFERROR(VLOOKUP(Pospago[[#This Row],[USUARIO]],[1]!Personal[#Data],6,0),"EJECUTIVO NO REGISTRADO")</f>
        <v>ROJAS VEGA JHOSMERY MICHELE</v>
      </c>
      <c r="BB84" s="18" t="str">
        <f>Pospago[[#This Row],[TIPO_MOVIMIENTO]]&amp;" "&amp;Pospago[[#This Row],[FORMA_PAGO_FINAL]]</f>
        <v>ALTAS DOMICILIADO</v>
      </c>
      <c r="BC84" s="18">
        <f>DAY(Pospago[[#This Row],[FECHA_ALTA]])</f>
        <v>8</v>
      </c>
      <c r="BD84" s="18">
        <f>IF(Pospago[[#This Row],[TARIFA_BASICA]]=11.42,1,0)</f>
        <v>0</v>
      </c>
      <c r="BE84" s="18">
        <f>IF(Pospago[[#This Row],[PLANES TELEVENTAS]]="SI",1,0)</f>
        <v>0</v>
      </c>
      <c r="BF84" s="18">
        <f>1</f>
        <v>1</v>
      </c>
      <c r="BG84" s="18">
        <f>IF(OR(Pospago[[#This Row],[TARIFA_BASICA]]=11.42,Pospago[[#This Row],[PLANES TELEVENTAS]]="SI"),1,0)</f>
        <v>0</v>
      </c>
      <c r="BH84" s="18" t="str">
        <f>IF(MID(Pospago[[#This Row],[PlanDesc]],1,4) = "PLAN","POSPAGO",IF(MID(Pospago[[#This Row],[PlanDesc]],1,4)="FULL","FULL MEGAS","PREVIOPAGO"))</f>
        <v>PREVIOPAGO</v>
      </c>
      <c r="BI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4" s="21">
        <f>Pospago[[#This Row],[TARIFA_BASICA]]*1.5</f>
        <v>21.419999999999998</v>
      </c>
    </row>
    <row r="85" spans="1:63" x14ac:dyDescent="0.25">
      <c r="A85" s="18" t="s">
        <v>154</v>
      </c>
      <c r="B85" s="18" t="s">
        <v>771</v>
      </c>
      <c r="C85" s="18" t="s">
        <v>772</v>
      </c>
      <c r="D85" s="19">
        <v>44912</v>
      </c>
      <c r="E85" s="18" t="s">
        <v>67</v>
      </c>
      <c r="F85" s="18" t="s">
        <v>773</v>
      </c>
      <c r="G85" s="18" t="s">
        <v>774</v>
      </c>
      <c r="H85" s="18" t="s">
        <v>159</v>
      </c>
      <c r="I85" s="18" t="s">
        <v>71</v>
      </c>
      <c r="J85" s="18" t="s">
        <v>258</v>
      </c>
      <c r="K85" s="18" t="s">
        <v>73</v>
      </c>
      <c r="L85" s="20" t="s">
        <v>775</v>
      </c>
      <c r="M85" s="18" t="s">
        <v>75</v>
      </c>
      <c r="N85" s="20" t="s">
        <v>776</v>
      </c>
      <c r="O85" s="18" t="s">
        <v>164</v>
      </c>
      <c r="P85" s="18" t="s">
        <v>78</v>
      </c>
      <c r="Q85" s="19">
        <v>44914</v>
      </c>
      <c r="R85" s="21">
        <v>11.42</v>
      </c>
      <c r="S85" s="18" t="s">
        <v>79</v>
      </c>
      <c r="T85" s="18" t="s">
        <v>174</v>
      </c>
      <c r="U85" s="18" t="s">
        <v>83</v>
      </c>
      <c r="V85" s="18" t="s">
        <v>95</v>
      </c>
      <c r="W85" s="18" t="s">
        <v>95</v>
      </c>
      <c r="X85" s="18" t="s">
        <v>118</v>
      </c>
      <c r="Y85" s="18" t="s">
        <v>85</v>
      </c>
      <c r="Z85" s="18" t="s">
        <v>86</v>
      </c>
      <c r="AA85" s="18" t="s">
        <v>119</v>
      </c>
      <c r="AB85" s="18" t="s">
        <v>492</v>
      </c>
      <c r="AC85" s="18" t="s">
        <v>493</v>
      </c>
      <c r="AD85" s="18" t="s">
        <v>85</v>
      </c>
      <c r="AE85" s="18" t="s">
        <v>90</v>
      </c>
      <c r="AF85" s="18" t="s">
        <v>177</v>
      </c>
      <c r="AG85" s="18" t="s">
        <v>139</v>
      </c>
      <c r="AH85" s="18" t="s">
        <v>165</v>
      </c>
      <c r="AI85" s="18" t="s">
        <v>94</v>
      </c>
      <c r="AJ85" s="19">
        <v>44912</v>
      </c>
      <c r="AK85" s="22" t="s">
        <v>95</v>
      </c>
      <c r="AL85" s="18" t="s">
        <v>95</v>
      </c>
      <c r="AM85" s="18" t="s">
        <v>95</v>
      </c>
      <c r="AN85" s="18" t="s">
        <v>95</v>
      </c>
      <c r="AO85" s="18" t="s">
        <v>95</v>
      </c>
      <c r="AP85" s="18" t="s">
        <v>95</v>
      </c>
      <c r="AQ85" s="18" t="s">
        <v>95</v>
      </c>
      <c r="AR85" s="18" t="s">
        <v>95</v>
      </c>
      <c r="AS85" s="18" t="s">
        <v>83</v>
      </c>
      <c r="AT85" s="18" t="s">
        <v>83</v>
      </c>
      <c r="AU85" s="18" t="s">
        <v>81</v>
      </c>
      <c r="AV85" s="18" t="s">
        <v>95</v>
      </c>
      <c r="AW85" s="18" t="s">
        <v>95</v>
      </c>
      <c r="AX85" s="18"/>
      <c r="AY85" s="18" t="str">
        <f>Pospago[[#This Row],[NUM_TELEFONICO]]&amp;"POSPAGOSI"</f>
        <v>962660958POSPAGOSI</v>
      </c>
      <c r="AZ85" s="18" t="str">
        <f>VLOOKUP(Pospago[[#This Row],[NOM_PLAZA_FINAL]],[1]!Locales[#Data],3,0)</f>
        <v>TIENDA RECREO</v>
      </c>
      <c r="BA85" s="18" t="str">
        <f>IFERROR(VLOOKUP(Pospago[[#This Row],[USUARIO]],[1]!Personal[#Data],6,0),"EJECUTIVO NO REGISTRADO")</f>
        <v>CONDO GARCIA NICOLAS MATIAS</v>
      </c>
      <c r="BB85" s="18" t="str">
        <f>Pospago[[#This Row],[TIPO_MOVIMIENTO]]&amp;" "&amp;Pospago[[#This Row],[FORMA_PAGO_FINAL]]</f>
        <v>TRANSFERENCIAS PAGO EN CAJA</v>
      </c>
      <c r="BC85" s="18">
        <f>DAY(Pospago[[#This Row],[FECHA_ALTA]])</f>
        <v>17</v>
      </c>
      <c r="BD85" s="18">
        <f>IF(Pospago[[#This Row],[TARIFA_BASICA]]=11.42,1,0)</f>
        <v>1</v>
      </c>
      <c r="BE85" s="18">
        <f>IF(Pospago[[#This Row],[PLANES TELEVENTAS]]="SI",1,0)</f>
        <v>0</v>
      </c>
      <c r="BF85" s="18">
        <f>1</f>
        <v>1</v>
      </c>
      <c r="BG85" s="18">
        <f>IF(OR(Pospago[[#This Row],[TARIFA_BASICA]]=11.42,Pospago[[#This Row],[PLANES TELEVENTAS]]="SI"),1,0)</f>
        <v>1</v>
      </c>
      <c r="BH85" s="18" t="str">
        <f>IF(MID(Pospago[[#This Row],[PlanDesc]],1,4) = "PLAN","POSPAGO",IF(MID(Pospago[[#This Row],[PlanDesc]],1,4)="FULL","FULL MEGAS","PREVIOPAGO"))</f>
        <v>PREVIOPAGO</v>
      </c>
      <c r="BI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5" s="21">
        <f>Pospago[[#This Row],[TARIFA_BASICA]]*1.5</f>
        <v>17.13</v>
      </c>
    </row>
    <row r="86" spans="1:63" x14ac:dyDescent="0.25">
      <c r="A86" s="18" t="s">
        <v>154</v>
      </c>
      <c r="B86" s="18" t="s">
        <v>777</v>
      </c>
      <c r="C86" s="18" t="s">
        <v>778</v>
      </c>
      <c r="D86" s="19">
        <v>44906</v>
      </c>
      <c r="E86" s="18" t="s">
        <v>67</v>
      </c>
      <c r="F86" s="18" t="s">
        <v>779</v>
      </c>
      <c r="G86" s="18" t="s">
        <v>780</v>
      </c>
      <c r="H86" s="18" t="s">
        <v>159</v>
      </c>
      <c r="I86" s="18" t="s">
        <v>112</v>
      </c>
      <c r="J86" s="18" t="s">
        <v>781</v>
      </c>
      <c r="K86" s="18" t="s">
        <v>73</v>
      </c>
      <c r="L86" s="20" t="s">
        <v>782</v>
      </c>
      <c r="M86" s="18" t="s">
        <v>75</v>
      </c>
      <c r="N86" s="20" t="s">
        <v>783</v>
      </c>
      <c r="O86" s="18" t="s">
        <v>164</v>
      </c>
      <c r="P86" s="18" t="s">
        <v>78</v>
      </c>
      <c r="Q86" s="19">
        <v>44914</v>
      </c>
      <c r="R86" s="21">
        <v>17.850000000000001</v>
      </c>
      <c r="S86" s="18" t="s">
        <v>79</v>
      </c>
      <c r="T86" s="18" t="s">
        <v>174</v>
      </c>
      <c r="U86" s="18" t="s">
        <v>83</v>
      </c>
      <c r="V86" s="18" t="s">
        <v>95</v>
      </c>
      <c r="W86" s="18" t="s">
        <v>95</v>
      </c>
      <c r="X86" s="18" t="s">
        <v>84</v>
      </c>
      <c r="Y86" s="18" t="s">
        <v>85</v>
      </c>
      <c r="Z86" s="18" t="s">
        <v>86</v>
      </c>
      <c r="AA86" s="18" t="s">
        <v>87</v>
      </c>
      <c r="AB86" s="18" t="s">
        <v>760</v>
      </c>
      <c r="AC86" s="18" t="s">
        <v>761</v>
      </c>
      <c r="AD86" s="18" t="s">
        <v>85</v>
      </c>
      <c r="AE86" s="18" t="s">
        <v>90</v>
      </c>
      <c r="AF86" s="18" t="s">
        <v>177</v>
      </c>
      <c r="AG86" s="18" t="s">
        <v>139</v>
      </c>
      <c r="AH86" s="18" t="s">
        <v>165</v>
      </c>
      <c r="AI86" s="18" t="s">
        <v>94</v>
      </c>
      <c r="AJ86" s="19">
        <v>44906</v>
      </c>
      <c r="AK86" s="22" t="s">
        <v>95</v>
      </c>
      <c r="AL86" s="18" t="s">
        <v>95</v>
      </c>
      <c r="AM86" s="18" t="s">
        <v>95</v>
      </c>
      <c r="AN86" s="18" t="s">
        <v>95</v>
      </c>
      <c r="AO86" s="18" t="s">
        <v>95</v>
      </c>
      <c r="AP86" s="18" t="s">
        <v>95</v>
      </c>
      <c r="AQ86" s="18" t="s">
        <v>95</v>
      </c>
      <c r="AR86" s="18" t="s">
        <v>95</v>
      </c>
      <c r="AS86" s="18" t="s">
        <v>83</v>
      </c>
      <c r="AT86" s="18" t="s">
        <v>83</v>
      </c>
      <c r="AU86" s="18" t="s">
        <v>81</v>
      </c>
      <c r="AV86" s="18" t="s">
        <v>95</v>
      </c>
      <c r="AW86" s="18" t="s">
        <v>95</v>
      </c>
      <c r="AX86" s="18"/>
      <c r="AY86" s="18" t="str">
        <f>Pospago[[#This Row],[NUM_TELEFONICO]]&amp;"POSPAGOSI"</f>
        <v>962681923POSPAGOSI</v>
      </c>
      <c r="AZ86" s="18" t="str">
        <f>VLOOKUP(Pospago[[#This Row],[NOM_PLAZA_FINAL]],[1]!Locales[#Data],3,0)</f>
        <v>TIENDA RECREO</v>
      </c>
      <c r="BA86" s="18" t="str">
        <f>IFERROR(VLOOKUP(Pospago[[#This Row],[USUARIO]],[1]!Personal[#Data],6,0),"EJECUTIVO NO REGISTRADO")</f>
        <v>VALBUENA SANCHEZ ALBERT ANTHONY</v>
      </c>
      <c r="BB86" s="18" t="str">
        <f>Pospago[[#This Row],[TIPO_MOVIMIENTO]]&amp;" "&amp;Pospago[[#This Row],[FORMA_PAGO_FINAL]]</f>
        <v>TRANSFERENCIAS DOMICILIADO</v>
      </c>
      <c r="BC86" s="18">
        <f>DAY(Pospago[[#This Row],[FECHA_ALTA]])</f>
        <v>11</v>
      </c>
      <c r="BD86" s="18">
        <f>IF(Pospago[[#This Row],[TARIFA_BASICA]]=11.42,1,0)</f>
        <v>0</v>
      </c>
      <c r="BE86" s="18">
        <f>IF(Pospago[[#This Row],[PLANES TELEVENTAS]]="SI",1,0)</f>
        <v>0</v>
      </c>
      <c r="BF86" s="18">
        <f>1</f>
        <v>1</v>
      </c>
      <c r="BG86" s="18">
        <f>IF(OR(Pospago[[#This Row],[TARIFA_BASICA]]=11.42,Pospago[[#This Row],[PLANES TELEVENTAS]]="SI"),1,0)</f>
        <v>0</v>
      </c>
      <c r="BH86" s="18" t="str">
        <f>IF(MID(Pospago[[#This Row],[PlanDesc]],1,4) = "PLAN","POSPAGO",IF(MID(Pospago[[#This Row],[PlanDesc]],1,4)="FULL","FULL MEGAS","PREVIOPAGO"))</f>
        <v>PREVIOPAGO</v>
      </c>
      <c r="BI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6" s="21">
        <f>Pospago[[#This Row],[TARIFA_BASICA]]*1.5</f>
        <v>26.775000000000002</v>
      </c>
    </row>
    <row r="87" spans="1:63" x14ac:dyDescent="0.25">
      <c r="A87" s="18" t="s">
        <v>64</v>
      </c>
      <c r="B87" s="18" t="s">
        <v>784</v>
      </c>
      <c r="C87" s="18" t="s">
        <v>785</v>
      </c>
      <c r="D87" s="19">
        <v>44910</v>
      </c>
      <c r="E87" s="18" t="s">
        <v>67</v>
      </c>
      <c r="F87" s="18" t="s">
        <v>786</v>
      </c>
      <c r="G87" s="18" t="s">
        <v>787</v>
      </c>
      <c r="H87" s="18" t="s">
        <v>70</v>
      </c>
      <c r="I87" s="18" t="s">
        <v>194</v>
      </c>
      <c r="J87" s="18" t="s">
        <v>195</v>
      </c>
      <c r="K87" s="18" t="s">
        <v>114</v>
      </c>
      <c r="L87" s="20" t="s">
        <v>788</v>
      </c>
      <c r="M87" s="18" t="s">
        <v>75</v>
      </c>
      <c r="N87" s="20" t="s">
        <v>789</v>
      </c>
      <c r="O87" s="18" t="s">
        <v>77</v>
      </c>
      <c r="P87" s="18" t="s">
        <v>78</v>
      </c>
      <c r="Q87" s="19">
        <v>44914</v>
      </c>
      <c r="R87" s="21">
        <v>14.28</v>
      </c>
      <c r="S87" s="18" t="s">
        <v>79</v>
      </c>
      <c r="T87" s="18" t="s">
        <v>117</v>
      </c>
      <c r="U87" s="18" t="s">
        <v>83</v>
      </c>
      <c r="V87" s="18" t="s">
        <v>95</v>
      </c>
      <c r="W87" s="18" t="s">
        <v>83</v>
      </c>
      <c r="X87" s="18" t="s">
        <v>84</v>
      </c>
      <c r="Y87" s="18" t="s">
        <v>85</v>
      </c>
      <c r="Z87" s="18" t="s">
        <v>86</v>
      </c>
      <c r="AA87" s="18" t="s">
        <v>87</v>
      </c>
      <c r="AB87" s="18" t="s">
        <v>120</v>
      </c>
      <c r="AC87" s="18" t="s">
        <v>121</v>
      </c>
      <c r="AD87" s="18" t="s">
        <v>85</v>
      </c>
      <c r="AE87" s="18" t="s">
        <v>90</v>
      </c>
      <c r="AF87" s="18" t="s">
        <v>122</v>
      </c>
      <c r="AG87" s="18" t="s">
        <v>92</v>
      </c>
      <c r="AH87" s="18" t="s">
        <v>93</v>
      </c>
      <c r="AI87" s="18" t="s">
        <v>94</v>
      </c>
      <c r="AJ87" s="19">
        <v>44910</v>
      </c>
      <c r="AK87" s="22" t="s">
        <v>95</v>
      </c>
      <c r="AL87" s="18" t="s">
        <v>95</v>
      </c>
      <c r="AM87" s="18" t="s">
        <v>95</v>
      </c>
      <c r="AN87" s="18" t="s">
        <v>95</v>
      </c>
      <c r="AO87" s="18" t="s">
        <v>95</v>
      </c>
      <c r="AP87" s="18" t="s">
        <v>95</v>
      </c>
      <c r="AQ87" s="18" t="s">
        <v>95</v>
      </c>
      <c r="AR87" s="18" t="s">
        <v>95</v>
      </c>
      <c r="AS87" s="18" t="s">
        <v>83</v>
      </c>
      <c r="AT87" s="18" t="s">
        <v>81</v>
      </c>
      <c r="AU87" s="18" t="s">
        <v>81</v>
      </c>
      <c r="AV87" s="18" t="s">
        <v>95</v>
      </c>
      <c r="AW87" s="18" t="s">
        <v>95</v>
      </c>
      <c r="AX87" s="18"/>
      <c r="AY87" s="18" t="str">
        <f>Pospago[[#This Row],[NUM_TELEFONICO]]&amp;"POSPAGOSI"</f>
        <v>962788202POSPAGOSI</v>
      </c>
      <c r="AZ87" s="18" t="str">
        <f>VLOOKUP(Pospago[[#This Row],[NOM_PLAZA_FINAL]],[1]!Locales[#Data],3,0)</f>
        <v>TIENDA MACHALA</v>
      </c>
      <c r="BA87" s="18" t="str">
        <f>IFERROR(VLOOKUP(Pospago[[#This Row],[USUARIO]],[1]!Personal[#Data],6,0),"EJECUTIVO NO REGISTRADO")</f>
        <v>ARROBO VICENTE YADIRA ESPERANZA</v>
      </c>
      <c r="BB87" s="18" t="str">
        <f>Pospago[[#This Row],[TIPO_MOVIMIENTO]]&amp;" "&amp;Pospago[[#This Row],[FORMA_PAGO_FINAL]]</f>
        <v>ALTAS DOMICILIADO</v>
      </c>
      <c r="BC87" s="18">
        <f>DAY(Pospago[[#This Row],[FECHA_ALTA]])</f>
        <v>15</v>
      </c>
      <c r="BD87" s="18">
        <f>IF(Pospago[[#This Row],[TARIFA_BASICA]]=11.42,1,0)</f>
        <v>0</v>
      </c>
      <c r="BE87" s="18">
        <f>IF(Pospago[[#This Row],[PLANES TELEVENTAS]]="SI",1,0)</f>
        <v>1</v>
      </c>
      <c r="BF87" s="18">
        <f>1</f>
        <v>1</v>
      </c>
      <c r="BG87" s="18">
        <f>IF(OR(Pospago[[#This Row],[TARIFA_BASICA]]=11.42,Pospago[[#This Row],[PLANES TELEVENTAS]]="SI"),1,0)</f>
        <v>1</v>
      </c>
      <c r="BH87" s="18" t="str">
        <f>IF(MID(Pospago[[#This Row],[PlanDesc]],1,4) = "PLAN","POSPAGO",IF(MID(Pospago[[#This Row],[PlanDesc]],1,4)="FULL","FULL MEGAS","PREVIOPAGO"))</f>
        <v>PREVIOPAGO</v>
      </c>
      <c r="BI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7" s="21">
        <f>Pospago[[#This Row],[TARIFA_BASICA]]*1.5</f>
        <v>21.419999999999998</v>
      </c>
    </row>
    <row r="88" spans="1:63" x14ac:dyDescent="0.25">
      <c r="A88" s="18" t="s">
        <v>64</v>
      </c>
      <c r="B88" s="18" t="s">
        <v>790</v>
      </c>
      <c r="C88" s="18" t="s">
        <v>791</v>
      </c>
      <c r="D88" s="19">
        <v>44908</v>
      </c>
      <c r="E88" s="18" t="s">
        <v>67</v>
      </c>
      <c r="F88" s="18" t="s">
        <v>792</v>
      </c>
      <c r="G88" s="18" t="s">
        <v>793</v>
      </c>
      <c r="H88" s="18" t="s">
        <v>70</v>
      </c>
      <c r="I88" s="18" t="s">
        <v>160</v>
      </c>
      <c r="J88" s="18" t="s">
        <v>195</v>
      </c>
      <c r="K88" s="18" t="s">
        <v>132</v>
      </c>
      <c r="L88" s="20" t="s">
        <v>794</v>
      </c>
      <c r="M88" s="18" t="s">
        <v>75</v>
      </c>
      <c r="N88" s="20" t="s">
        <v>795</v>
      </c>
      <c r="O88" s="18" t="s">
        <v>77</v>
      </c>
      <c r="P88" s="18" t="s">
        <v>78</v>
      </c>
      <c r="Q88" s="19">
        <v>44914</v>
      </c>
      <c r="R88" s="21">
        <v>14.28</v>
      </c>
      <c r="S88" s="18" t="s">
        <v>79</v>
      </c>
      <c r="T88" s="18" t="s">
        <v>135</v>
      </c>
      <c r="U88" s="18" t="s">
        <v>83</v>
      </c>
      <c r="V88" s="18" t="s">
        <v>95</v>
      </c>
      <c r="W88" s="18" t="s">
        <v>83</v>
      </c>
      <c r="X88" s="18" t="s">
        <v>215</v>
      </c>
      <c r="Y88" s="18" t="s">
        <v>85</v>
      </c>
      <c r="Z88" s="18" t="s">
        <v>86</v>
      </c>
      <c r="AA88" s="18" t="s">
        <v>87</v>
      </c>
      <c r="AB88" s="18" t="s">
        <v>478</v>
      </c>
      <c r="AC88" s="18" t="s">
        <v>479</v>
      </c>
      <c r="AD88" s="18" t="s">
        <v>85</v>
      </c>
      <c r="AE88" s="18" t="s">
        <v>90</v>
      </c>
      <c r="AF88" s="18" t="s">
        <v>138</v>
      </c>
      <c r="AG88" s="18" t="s">
        <v>139</v>
      </c>
      <c r="AH88" s="18" t="s">
        <v>93</v>
      </c>
      <c r="AI88" s="18" t="s">
        <v>94</v>
      </c>
      <c r="AJ88" s="19">
        <v>44908</v>
      </c>
      <c r="AK88" s="22" t="s">
        <v>95</v>
      </c>
      <c r="AL88" s="18" t="s">
        <v>95</v>
      </c>
      <c r="AM88" s="18" t="s">
        <v>95</v>
      </c>
      <c r="AN88" s="18" t="s">
        <v>95</v>
      </c>
      <c r="AO88" s="18" t="s">
        <v>95</v>
      </c>
      <c r="AP88" s="18" t="s">
        <v>95</v>
      </c>
      <c r="AQ88" s="18" t="s">
        <v>95</v>
      </c>
      <c r="AR88" s="18" t="s">
        <v>95</v>
      </c>
      <c r="AS88" s="18" t="s">
        <v>83</v>
      </c>
      <c r="AT88" s="18" t="s">
        <v>83</v>
      </c>
      <c r="AU88" s="18" t="s">
        <v>81</v>
      </c>
      <c r="AV88" s="18" t="s">
        <v>95</v>
      </c>
      <c r="AW88" s="18" t="s">
        <v>95</v>
      </c>
      <c r="AX88" s="18"/>
      <c r="AY88" s="18" t="str">
        <f>Pospago[[#This Row],[NUM_TELEFONICO]]&amp;"POSPAGOSI"</f>
        <v>962792647POSPAGOSI</v>
      </c>
      <c r="AZ88" s="18" t="str">
        <f>VLOOKUP(Pospago[[#This Row],[NOM_PLAZA_FINAL]],[1]!Locales[#Data],3,0)</f>
        <v>TIENDA AMERICA</v>
      </c>
      <c r="BA88" s="18" t="str">
        <f>IFERROR(VLOOKUP(Pospago[[#This Row],[USUARIO]],[1]!Personal[#Data],6,0),"EJECUTIVO NO REGISTRADO")</f>
        <v>REINO TUFINO PAULTEH KATHERINE</v>
      </c>
      <c r="BB88" s="18" t="str">
        <f>Pospago[[#This Row],[TIPO_MOVIMIENTO]]&amp;" "&amp;Pospago[[#This Row],[FORMA_PAGO_FINAL]]</f>
        <v>ALTAS DOMICILIADO</v>
      </c>
      <c r="BC88" s="18">
        <f>DAY(Pospago[[#This Row],[FECHA_ALTA]])</f>
        <v>13</v>
      </c>
      <c r="BD88" s="18">
        <f>IF(Pospago[[#This Row],[TARIFA_BASICA]]=11.42,1,0)</f>
        <v>0</v>
      </c>
      <c r="BE88" s="18">
        <f>IF(Pospago[[#This Row],[PLANES TELEVENTAS]]="SI",1,0)</f>
        <v>0</v>
      </c>
      <c r="BF88" s="18">
        <f>1</f>
        <v>1</v>
      </c>
      <c r="BG88" s="18">
        <f>IF(OR(Pospago[[#This Row],[TARIFA_BASICA]]=11.42,Pospago[[#This Row],[PLANES TELEVENTAS]]="SI"),1,0)</f>
        <v>0</v>
      </c>
      <c r="BH88" s="18" t="str">
        <f>IF(MID(Pospago[[#This Row],[PlanDesc]],1,4) = "PLAN","POSPAGO",IF(MID(Pospago[[#This Row],[PlanDesc]],1,4)="FULL","FULL MEGAS","PREVIOPAGO"))</f>
        <v>PREVIOPAGO</v>
      </c>
      <c r="BI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8" s="21">
        <f>Pospago[[#This Row],[TARIFA_BASICA]]*1.5</f>
        <v>21.419999999999998</v>
      </c>
    </row>
    <row r="89" spans="1:63" x14ac:dyDescent="0.25">
      <c r="A89" s="18" t="s">
        <v>64</v>
      </c>
      <c r="B89" s="18" t="s">
        <v>796</v>
      </c>
      <c r="C89" s="18" t="s">
        <v>797</v>
      </c>
      <c r="D89" s="19">
        <v>44897</v>
      </c>
      <c r="E89" s="18" t="s">
        <v>67</v>
      </c>
      <c r="F89" s="18" t="s">
        <v>798</v>
      </c>
      <c r="G89" s="18" t="s">
        <v>799</v>
      </c>
      <c r="H89" s="18" t="s">
        <v>70</v>
      </c>
      <c r="I89" s="18" t="s">
        <v>71</v>
      </c>
      <c r="J89" s="18" t="s">
        <v>72</v>
      </c>
      <c r="K89" s="18" t="s">
        <v>349</v>
      </c>
      <c r="L89" s="20" t="s">
        <v>800</v>
      </c>
      <c r="M89" s="18" t="s">
        <v>75</v>
      </c>
      <c r="N89" s="20" t="s">
        <v>801</v>
      </c>
      <c r="O89" s="18" t="s">
        <v>77</v>
      </c>
      <c r="P89" s="18" t="s">
        <v>78</v>
      </c>
      <c r="Q89" s="19">
        <v>44914</v>
      </c>
      <c r="R89" s="21">
        <v>11.42</v>
      </c>
      <c r="S89" s="18" t="s">
        <v>79</v>
      </c>
      <c r="T89" s="18" t="s">
        <v>80</v>
      </c>
      <c r="U89" s="18" t="s">
        <v>83</v>
      </c>
      <c r="V89" s="18" t="s">
        <v>95</v>
      </c>
      <c r="W89" s="18" t="s">
        <v>83</v>
      </c>
      <c r="X89" s="18" t="s">
        <v>84</v>
      </c>
      <c r="Y89" s="18" t="s">
        <v>85</v>
      </c>
      <c r="Z89" s="18" t="s">
        <v>86</v>
      </c>
      <c r="AA89" s="18" t="s">
        <v>87</v>
      </c>
      <c r="AB89" s="18" t="s">
        <v>88</v>
      </c>
      <c r="AC89" s="18" t="s">
        <v>89</v>
      </c>
      <c r="AD89" s="18" t="s">
        <v>85</v>
      </c>
      <c r="AE89" s="18" t="s">
        <v>90</v>
      </c>
      <c r="AF89" s="18" t="s">
        <v>91</v>
      </c>
      <c r="AG89" s="18" t="s">
        <v>92</v>
      </c>
      <c r="AH89" s="18" t="s">
        <v>93</v>
      </c>
      <c r="AI89" s="18" t="s">
        <v>94</v>
      </c>
      <c r="AJ89" s="19">
        <v>44897</v>
      </c>
      <c r="AK89" s="22" t="s">
        <v>95</v>
      </c>
      <c r="AL89" s="18" t="s">
        <v>95</v>
      </c>
      <c r="AM89" s="18" t="s">
        <v>95</v>
      </c>
      <c r="AN89" s="18" t="s">
        <v>95</v>
      </c>
      <c r="AO89" s="18" t="s">
        <v>95</v>
      </c>
      <c r="AP89" s="18" t="s">
        <v>95</v>
      </c>
      <c r="AQ89" s="18" t="s">
        <v>95</v>
      </c>
      <c r="AR89" s="18" t="s">
        <v>95</v>
      </c>
      <c r="AS89" s="18" t="s">
        <v>83</v>
      </c>
      <c r="AT89" s="18" t="s">
        <v>83</v>
      </c>
      <c r="AU89" s="18" t="s">
        <v>81</v>
      </c>
      <c r="AV89" s="18" t="s">
        <v>95</v>
      </c>
      <c r="AW89" s="18" t="s">
        <v>95</v>
      </c>
      <c r="AX89" s="18"/>
      <c r="AY89" s="18" t="str">
        <f>Pospago[[#This Row],[NUM_TELEFONICO]]&amp;"POSPAGOSI"</f>
        <v>962795073POSPAGOSI</v>
      </c>
      <c r="AZ89" s="18" t="str">
        <f>VLOOKUP(Pospago[[#This Row],[NOM_PLAZA_FINAL]],[1]!Locales[#Data],3,0)</f>
        <v>TIENDA CUENCA CENTRO</v>
      </c>
      <c r="BA89" s="18" t="str">
        <f>IFERROR(VLOOKUP(Pospago[[#This Row],[USUARIO]],[1]!Personal[#Data],6,0),"EJECUTIVO NO REGISTRADO")</f>
        <v>ANDRADE CONDO CHRISTIAN EDUARDO</v>
      </c>
      <c r="BB89" s="18" t="str">
        <f>Pospago[[#This Row],[TIPO_MOVIMIENTO]]&amp;" "&amp;Pospago[[#This Row],[FORMA_PAGO_FINAL]]</f>
        <v>ALTAS DOMICILIADO</v>
      </c>
      <c r="BC89" s="18">
        <f>DAY(Pospago[[#This Row],[FECHA_ALTA]])</f>
        <v>2</v>
      </c>
      <c r="BD89" s="18">
        <f>IF(Pospago[[#This Row],[TARIFA_BASICA]]=11.42,1,0)</f>
        <v>1</v>
      </c>
      <c r="BE89" s="18">
        <f>IF(Pospago[[#This Row],[PLANES TELEVENTAS]]="SI",1,0)</f>
        <v>0</v>
      </c>
      <c r="BF89" s="18">
        <f>1</f>
        <v>1</v>
      </c>
      <c r="BG89" s="18">
        <f>IF(OR(Pospago[[#This Row],[TARIFA_BASICA]]=11.42,Pospago[[#This Row],[PLANES TELEVENTAS]]="SI"),1,0)</f>
        <v>1</v>
      </c>
      <c r="BH89" s="18" t="str">
        <f>IF(MID(Pospago[[#This Row],[PlanDesc]],1,4) = "PLAN","POSPAGO",IF(MID(Pospago[[#This Row],[PlanDesc]],1,4)="FULL","FULL MEGAS","PREVIOPAGO"))</f>
        <v>PREVIOPAGO</v>
      </c>
      <c r="BI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9" s="21">
        <f>Pospago[[#This Row],[TARIFA_BASICA]]*1.5</f>
        <v>17.13</v>
      </c>
    </row>
    <row r="90" spans="1:63" x14ac:dyDescent="0.25">
      <c r="A90" s="18" t="s">
        <v>64</v>
      </c>
      <c r="B90" s="18" t="s">
        <v>802</v>
      </c>
      <c r="C90" s="18" t="s">
        <v>803</v>
      </c>
      <c r="D90" s="19">
        <v>44910</v>
      </c>
      <c r="E90" s="18" t="s">
        <v>67</v>
      </c>
      <c r="F90" s="18" t="s">
        <v>804</v>
      </c>
      <c r="G90" s="18" t="s">
        <v>805</v>
      </c>
      <c r="H90" s="18" t="s">
        <v>70</v>
      </c>
      <c r="I90" s="18" t="s">
        <v>227</v>
      </c>
      <c r="J90" s="18" t="s">
        <v>228</v>
      </c>
      <c r="K90" s="18" t="s">
        <v>95</v>
      </c>
      <c r="L90" s="20" t="s">
        <v>806</v>
      </c>
      <c r="M90" s="18" t="s">
        <v>75</v>
      </c>
      <c r="N90" s="20" t="s">
        <v>807</v>
      </c>
      <c r="O90" s="18" t="s">
        <v>77</v>
      </c>
      <c r="P90" s="18" t="s">
        <v>78</v>
      </c>
      <c r="Q90" s="19">
        <v>44914</v>
      </c>
      <c r="R90" s="21">
        <v>21.42</v>
      </c>
      <c r="S90" s="18" t="s">
        <v>79</v>
      </c>
      <c r="T90" s="18" t="s">
        <v>117</v>
      </c>
      <c r="U90" s="18" t="s">
        <v>81</v>
      </c>
      <c r="V90" s="18" t="s">
        <v>82</v>
      </c>
      <c r="W90" s="18" t="s">
        <v>83</v>
      </c>
      <c r="X90" s="18" t="s">
        <v>118</v>
      </c>
      <c r="Y90" s="18" t="s">
        <v>85</v>
      </c>
      <c r="Z90" s="18" t="s">
        <v>86</v>
      </c>
      <c r="AA90" s="18" t="s">
        <v>119</v>
      </c>
      <c r="AB90" s="18" t="s">
        <v>808</v>
      </c>
      <c r="AC90" s="18" t="s">
        <v>809</v>
      </c>
      <c r="AD90" s="18" t="s">
        <v>85</v>
      </c>
      <c r="AE90" s="18" t="s">
        <v>90</v>
      </c>
      <c r="AF90" s="18" t="s">
        <v>122</v>
      </c>
      <c r="AG90" s="18" t="s">
        <v>92</v>
      </c>
      <c r="AH90" s="18" t="s">
        <v>93</v>
      </c>
      <c r="AI90" s="18" t="s">
        <v>94</v>
      </c>
      <c r="AJ90" s="19">
        <v>44910</v>
      </c>
      <c r="AK90" s="22" t="s">
        <v>95</v>
      </c>
      <c r="AL90" s="18" t="s">
        <v>95</v>
      </c>
      <c r="AM90" s="18" t="s">
        <v>95</v>
      </c>
      <c r="AN90" s="18" t="s">
        <v>95</v>
      </c>
      <c r="AO90" s="18" t="s">
        <v>95</v>
      </c>
      <c r="AP90" s="18" t="s">
        <v>95</v>
      </c>
      <c r="AQ90" s="18" t="s">
        <v>95</v>
      </c>
      <c r="AR90" s="18" t="s">
        <v>95</v>
      </c>
      <c r="AS90" s="18" t="s">
        <v>83</v>
      </c>
      <c r="AT90" s="18" t="s">
        <v>83</v>
      </c>
      <c r="AU90" s="18" t="s">
        <v>81</v>
      </c>
      <c r="AV90" s="18" t="s">
        <v>95</v>
      </c>
      <c r="AW90" s="18" t="s">
        <v>95</v>
      </c>
      <c r="AX90" s="18"/>
      <c r="AY90" s="18" t="str">
        <f>Pospago[[#This Row],[NUM_TELEFONICO]]&amp;"POSPAGOSI"</f>
        <v>962805287POSPAGOSI</v>
      </c>
      <c r="AZ90" s="18" t="str">
        <f>VLOOKUP(Pospago[[#This Row],[NOM_PLAZA_FINAL]],[1]!Locales[#Data],3,0)</f>
        <v>TIENDA MACHALA</v>
      </c>
      <c r="BA90" s="18" t="str">
        <f>IFERROR(VLOOKUP(Pospago[[#This Row],[USUARIO]],[1]!Personal[#Data],6,0),"EJECUTIVO NO REGISTRADO")</f>
        <v>ALICIA ROMINA GONZALEZ SANDOYA</v>
      </c>
      <c r="BB90" s="18" t="str">
        <f>Pospago[[#This Row],[TIPO_MOVIMIENTO]]&amp;" "&amp;Pospago[[#This Row],[FORMA_PAGO_FINAL]]</f>
        <v>ALTAS PAGO EN CAJA</v>
      </c>
      <c r="BC90" s="18">
        <f>DAY(Pospago[[#This Row],[FECHA_ALTA]])</f>
        <v>15</v>
      </c>
      <c r="BD90" s="18">
        <f>IF(Pospago[[#This Row],[TARIFA_BASICA]]=11.42,1,0)</f>
        <v>0</v>
      </c>
      <c r="BE90" s="18">
        <f>IF(Pospago[[#This Row],[PLANES TELEVENTAS]]="SI",1,0)</f>
        <v>0</v>
      </c>
      <c r="BF90" s="18">
        <f>1</f>
        <v>1</v>
      </c>
      <c r="BG90" s="18">
        <f>IF(OR(Pospago[[#This Row],[TARIFA_BASICA]]=11.42,Pospago[[#This Row],[PLANES TELEVENTAS]]="SI"),1,0)</f>
        <v>0</v>
      </c>
      <c r="BH90" s="18" t="str">
        <f>IF(MID(Pospago[[#This Row],[PlanDesc]],1,4) = "PLAN","POSPAGO",IF(MID(Pospago[[#This Row],[PlanDesc]],1,4)="FULL","FULL MEGAS","PREVIOPAGO"))</f>
        <v>PREVIOPAGO</v>
      </c>
      <c r="BI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27</v>
      </c>
      <c r="BJ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0" s="21">
        <f>Pospago[[#This Row],[TARIFA_BASICA]]*1.5</f>
        <v>32.130000000000003</v>
      </c>
    </row>
    <row r="91" spans="1:63" x14ac:dyDescent="0.25">
      <c r="A91" s="18" t="s">
        <v>154</v>
      </c>
      <c r="B91" s="18" t="s">
        <v>810</v>
      </c>
      <c r="C91" s="18" t="s">
        <v>811</v>
      </c>
      <c r="D91" s="19">
        <v>44901</v>
      </c>
      <c r="E91" s="18" t="s">
        <v>67</v>
      </c>
      <c r="F91" s="18" t="s">
        <v>812</v>
      </c>
      <c r="G91" s="18" t="s">
        <v>813</v>
      </c>
      <c r="H91" s="18" t="s">
        <v>159</v>
      </c>
      <c r="I91" s="18" t="s">
        <v>71</v>
      </c>
      <c r="J91" s="18" t="s">
        <v>258</v>
      </c>
      <c r="K91" s="18" t="s">
        <v>132</v>
      </c>
      <c r="L91" s="20" t="s">
        <v>814</v>
      </c>
      <c r="M91" s="18" t="s">
        <v>75</v>
      </c>
      <c r="N91" s="20" t="s">
        <v>815</v>
      </c>
      <c r="O91" s="18" t="s">
        <v>164</v>
      </c>
      <c r="P91" s="18" t="s">
        <v>78</v>
      </c>
      <c r="Q91" s="19">
        <v>44914</v>
      </c>
      <c r="R91" s="21">
        <v>11.42</v>
      </c>
      <c r="S91" s="18" t="s">
        <v>79</v>
      </c>
      <c r="T91" s="18" t="s">
        <v>174</v>
      </c>
      <c r="U91" s="18" t="s">
        <v>83</v>
      </c>
      <c r="V91" s="18" t="s">
        <v>95</v>
      </c>
      <c r="W91" s="18" t="s">
        <v>95</v>
      </c>
      <c r="X91" s="18" t="s">
        <v>118</v>
      </c>
      <c r="Y91" s="18" t="s">
        <v>85</v>
      </c>
      <c r="Z91" s="18" t="s">
        <v>86</v>
      </c>
      <c r="AA91" s="18" t="s">
        <v>119</v>
      </c>
      <c r="AB91" s="18" t="s">
        <v>262</v>
      </c>
      <c r="AC91" s="18" t="s">
        <v>263</v>
      </c>
      <c r="AD91" s="18" t="s">
        <v>85</v>
      </c>
      <c r="AE91" s="18" t="s">
        <v>90</v>
      </c>
      <c r="AF91" s="18" t="s">
        <v>177</v>
      </c>
      <c r="AG91" s="18" t="s">
        <v>139</v>
      </c>
      <c r="AH91" s="18" t="s">
        <v>165</v>
      </c>
      <c r="AI91" s="18" t="s">
        <v>94</v>
      </c>
      <c r="AJ91" s="19">
        <v>44901</v>
      </c>
      <c r="AK91" s="22" t="s">
        <v>95</v>
      </c>
      <c r="AL91" s="18" t="s">
        <v>95</v>
      </c>
      <c r="AM91" s="18" t="s">
        <v>95</v>
      </c>
      <c r="AN91" s="18" t="s">
        <v>95</v>
      </c>
      <c r="AO91" s="18" t="s">
        <v>95</v>
      </c>
      <c r="AP91" s="18" t="s">
        <v>95</v>
      </c>
      <c r="AQ91" s="18" t="s">
        <v>95</v>
      </c>
      <c r="AR91" s="18" t="s">
        <v>95</v>
      </c>
      <c r="AS91" s="18" t="s">
        <v>83</v>
      </c>
      <c r="AT91" s="18" t="s">
        <v>83</v>
      </c>
      <c r="AU91" s="18" t="s">
        <v>81</v>
      </c>
      <c r="AV91" s="18" t="s">
        <v>95</v>
      </c>
      <c r="AW91" s="18" t="s">
        <v>95</v>
      </c>
      <c r="AX91" s="18"/>
      <c r="AY91" s="18" t="str">
        <f>Pospago[[#This Row],[NUM_TELEFONICO]]&amp;"POSPAGOSI"</f>
        <v>962808069POSPAGOSI</v>
      </c>
      <c r="AZ91" s="18" t="str">
        <f>VLOOKUP(Pospago[[#This Row],[NOM_PLAZA_FINAL]],[1]!Locales[#Data],3,0)</f>
        <v>TIENDA RECREO</v>
      </c>
      <c r="BA91" s="18" t="str">
        <f>IFERROR(VLOOKUP(Pospago[[#This Row],[USUARIO]],[1]!Personal[#Data],6,0),"EJECUTIVO NO REGISTRADO")</f>
        <v>CHICAIZA TOAPANTA ALEX DANILO</v>
      </c>
      <c r="BB91" s="18" t="str">
        <f>Pospago[[#This Row],[TIPO_MOVIMIENTO]]&amp;" "&amp;Pospago[[#This Row],[FORMA_PAGO_FINAL]]</f>
        <v>TRANSFERENCIAS PAGO EN CAJA</v>
      </c>
      <c r="BC91" s="18">
        <f>DAY(Pospago[[#This Row],[FECHA_ALTA]])</f>
        <v>6</v>
      </c>
      <c r="BD91" s="18">
        <f>IF(Pospago[[#This Row],[TARIFA_BASICA]]=11.42,1,0)</f>
        <v>1</v>
      </c>
      <c r="BE91" s="18">
        <f>IF(Pospago[[#This Row],[PLANES TELEVENTAS]]="SI",1,0)</f>
        <v>0</v>
      </c>
      <c r="BF91" s="18">
        <f>1</f>
        <v>1</v>
      </c>
      <c r="BG91" s="18">
        <f>IF(OR(Pospago[[#This Row],[TARIFA_BASICA]]=11.42,Pospago[[#This Row],[PLANES TELEVENTAS]]="SI"),1,0)</f>
        <v>1</v>
      </c>
      <c r="BH91" s="18" t="str">
        <f>IF(MID(Pospago[[#This Row],[PlanDesc]],1,4) = "PLAN","POSPAGO",IF(MID(Pospago[[#This Row],[PlanDesc]],1,4)="FULL","FULL MEGAS","PREVIOPAGO"))</f>
        <v>PREVIOPAGO</v>
      </c>
      <c r="BI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1" s="21">
        <f>Pospago[[#This Row],[TARIFA_BASICA]]*1.5</f>
        <v>17.13</v>
      </c>
    </row>
    <row r="92" spans="1:63" x14ac:dyDescent="0.25">
      <c r="A92" s="18" t="s">
        <v>154</v>
      </c>
      <c r="B92" s="18" t="s">
        <v>816</v>
      </c>
      <c r="C92" s="18" t="s">
        <v>817</v>
      </c>
      <c r="D92" s="19">
        <v>44906</v>
      </c>
      <c r="E92" s="18" t="s">
        <v>67</v>
      </c>
      <c r="F92" s="18" t="s">
        <v>818</v>
      </c>
      <c r="G92" s="18" t="s">
        <v>819</v>
      </c>
      <c r="H92" s="18" t="s">
        <v>159</v>
      </c>
      <c r="I92" s="18" t="s">
        <v>194</v>
      </c>
      <c r="J92" s="18" t="s">
        <v>268</v>
      </c>
      <c r="K92" s="18" t="s">
        <v>132</v>
      </c>
      <c r="L92" s="20" t="s">
        <v>820</v>
      </c>
      <c r="M92" s="18" t="s">
        <v>75</v>
      </c>
      <c r="N92" s="20" t="s">
        <v>821</v>
      </c>
      <c r="O92" s="18" t="s">
        <v>164</v>
      </c>
      <c r="P92" s="18" t="s">
        <v>78</v>
      </c>
      <c r="Q92" s="19">
        <v>44914</v>
      </c>
      <c r="R92" s="21">
        <v>14.28</v>
      </c>
      <c r="S92" s="18" t="s">
        <v>79</v>
      </c>
      <c r="T92" s="18" t="s">
        <v>174</v>
      </c>
      <c r="U92" s="18" t="s">
        <v>83</v>
      </c>
      <c r="V92" s="18" t="s">
        <v>95</v>
      </c>
      <c r="W92" s="18" t="s">
        <v>95</v>
      </c>
      <c r="X92" s="18" t="s">
        <v>84</v>
      </c>
      <c r="Y92" s="18" t="s">
        <v>85</v>
      </c>
      <c r="Z92" s="18" t="s">
        <v>86</v>
      </c>
      <c r="AA92" s="18" t="s">
        <v>87</v>
      </c>
      <c r="AB92" s="18" t="s">
        <v>822</v>
      </c>
      <c r="AC92" s="18" t="s">
        <v>823</v>
      </c>
      <c r="AD92" s="18" t="s">
        <v>85</v>
      </c>
      <c r="AE92" s="18" t="s">
        <v>90</v>
      </c>
      <c r="AF92" s="18" t="s">
        <v>177</v>
      </c>
      <c r="AG92" s="18" t="s">
        <v>139</v>
      </c>
      <c r="AH92" s="18" t="s">
        <v>165</v>
      </c>
      <c r="AI92" s="18" t="s">
        <v>94</v>
      </c>
      <c r="AJ92" s="19">
        <v>44906</v>
      </c>
      <c r="AK92" s="22" t="s">
        <v>95</v>
      </c>
      <c r="AL92" s="18" t="s">
        <v>95</v>
      </c>
      <c r="AM92" s="18" t="s">
        <v>95</v>
      </c>
      <c r="AN92" s="18" t="s">
        <v>95</v>
      </c>
      <c r="AO92" s="18" t="s">
        <v>95</v>
      </c>
      <c r="AP92" s="18" t="s">
        <v>95</v>
      </c>
      <c r="AQ92" s="18" t="s">
        <v>95</v>
      </c>
      <c r="AR92" s="18" t="s">
        <v>95</v>
      </c>
      <c r="AS92" s="18" t="s">
        <v>83</v>
      </c>
      <c r="AT92" s="18" t="s">
        <v>81</v>
      </c>
      <c r="AU92" s="18" t="s">
        <v>81</v>
      </c>
      <c r="AV92" s="18" t="s">
        <v>95</v>
      </c>
      <c r="AW92" s="18" t="s">
        <v>95</v>
      </c>
      <c r="AX92" s="18"/>
      <c r="AY92" s="18" t="str">
        <f>Pospago[[#This Row],[NUM_TELEFONICO]]&amp;"POSPAGOSI"</f>
        <v>962809728POSPAGOSI</v>
      </c>
      <c r="AZ92" s="18" t="str">
        <f>VLOOKUP(Pospago[[#This Row],[NOM_PLAZA_FINAL]],[1]!Locales[#Data],3,0)</f>
        <v>TIENDA RECREO</v>
      </c>
      <c r="BA92" s="18" t="str">
        <f>IFERROR(VLOOKUP(Pospago[[#This Row],[USUARIO]],[1]!Personal[#Data],6,0),"EJECUTIVO NO REGISTRADO")</f>
        <v>SALAS PARRA MARIA JOSE</v>
      </c>
      <c r="BB92" s="18" t="str">
        <f>Pospago[[#This Row],[TIPO_MOVIMIENTO]]&amp;" "&amp;Pospago[[#This Row],[FORMA_PAGO_FINAL]]</f>
        <v>TRANSFERENCIAS DOMICILIADO</v>
      </c>
      <c r="BC92" s="18">
        <f>DAY(Pospago[[#This Row],[FECHA_ALTA]])</f>
        <v>11</v>
      </c>
      <c r="BD92" s="18">
        <f>IF(Pospago[[#This Row],[TARIFA_BASICA]]=11.42,1,0)</f>
        <v>0</v>
      </c>
      <c r="BE92" s="18">
        <f>IF(Pospago[[#This Row],[PLANES TELEVENTAS]]="SI",1,0)</f>
        <v>1</v>
      </c>
      <c r="BF92" s="18">
        <f>1</f>
        <v>1</v>
      </c>
      <c r="BG92" s="18">
        <f>IF(OR(Pospago[[#This Row],[TARIFA_BASICA]]=11.42,Pospago[[#This Row],[PLANES TELEVENTAS]]="SI"),1,0)</f>
        <v>1</v>
      </c>
      <c r="BH92" s="18" t="str">
        <f>IF(MID(Pospago[[#This Row],[PlanDesc]],1,4) = "PLAN","POSPAGO",IF(MID(Pospago[[#This Row],[PlanDesc]],1,4)="FULL","FULL MEGAS","PREVIOPAGO"))</f>
        <v>PREVIOPAGO</v>
      </c>
      <c r="BI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2" s="21">
        <f>Pospago[[#This Row],[TARIFA_BASICA]]*1.5</f>
        <v>21.419999999999998</v>
      </c>
    </row>
    <row r="93" spans="1:63" x14ac:dyDescent="0.25">
      <c r="A93" s="18" t="s">
        <v>64</v>
      </c>
      <c r="B93" s="18" t="s">
        <v>824</v>
      </c>
      <c r="C93" s="18" t="s">
        <v>825</v>
      </c>
      <c r="D93" s="19">
        <v>44897</v>
      </c>
      <c r="E93" s="18" t="s">
        <v>67</v>
      </c>
      <c r="F93" s="18" t="s">
        <v>826</v>
      </c>
      <c r="G93" s="18" t="s">
        <v>827</v>
      </c>
      <c r="H93" s="18" t="s">
        <v>70</v>
      </c>
      <c r="I93" s="18" t="s">
        <v>160</v>
      </c>
      <c r="J93" s="18" t="s">
        <v>195</v>
      </c>
      <c r="K93" s="18" t="s">
        <v>132</v>
      </c>
      <c r="L93" s="20" t="s">
        <v>828</v>
      </c>
      <c r="M93" s="18" t="s">
        <v>75</v>
      </c>
      <c r="N93" s="20" t="s">
        <v>829</v>
      </c>
      <c r="O93" s="18" t="s">
        <v>77</v>
      </c>
      <c r="P93" s="18" t="s">
        <v>78</v>
      </c>
      <c r="Q93" s="19">
        <v>44914</v>
      </c>
      <c r="R93" s="21">
        <v>14.28</v>
      </c>
      <c r="S93" s="18" t="s">
        <v>79</v>
      </c>
      <c r="T93" s="18" t="s">
        <v>135</v>
      </c>
      <c r="U93" s="18" t="s">
        <v>83</v>
      </c>
      <c r="V93" s="18" t="s">
        <v>95</v>
      </c>
      <c r="W93" s="18" t="s">
        <v>83</v>
      </c>
      <c r="X93" s="18" t="s">
        <v>84</v>
      </c>
      <c r="Y93" s="18" t="s">
        <v>85</v>
      </c>
      <c r="Z93" s="18" t="s">
        <v>86</v>
      </c>
      <c r="AA93" s="18" t="s">
        <v>87</v>
      </c>
      <c r="AB93" s="18" t="s">
        <v>478</v>
      </c>
      <c r="AC93" s="18" t="s">
        <v>479</v>
      </c>
      <c r="AD93" s="18" t="s">
        <v>85</v>
      </c>
      <c r="AE93" s="18" t="s">
        <v>90</v>
      </c>
      <c r="AF93" s="18" t="s">
        <v>138</v>
      </c>
      <c r="AG93" s="18" t="s">
        <v>139</v>
      </c>
      <c r="AH93" s="18" t="s">
        <v>93</v>
      </c>
      <c r="AI93" s="18" t="s">
        <v>94</v>
      </c>
      <c r="AJ93" s="19">
        <v>44897</v>
      </c>
      <c r="AK93" s="22" t="s">
        <v>95</v>
      </c>
      <c r="AL93" s="18" t="s">
        <v>95</v>
      </c>
      <c r="AM93" s="18" t="s">
        <v>95</v>
      </c>
      <c r="AN93" s="18" t="s">
        <v>95</v>
      </c>
      <c r="AO93" s="18" t="s">
        <v>95</v>
      </c>
      <c r="AP93" s="18" t="s">
        <v>95</v>
      </c>
      <c r="AQ93" s="18" t="s">
        <v>95</v>
      </c>
      <c r="AR93" s="18" t="s">
        <v>95</v>
      </c>
      <c r="AS93" s="18" t="s">
        <v>83</v>
      </c>
      <c r="AT93" s="18" t="s">
        <v>83</v>
      </c>
      <c r="AU93" s="18" t="s">
        <v>81</v>
      </c>
      <c r="AV93" s="18" t="s">
        <v>95</v>
      </c>
      <c r="AW93" s="18" t="s">
        <v>95</v>
      </c>
      <c r="AX93" s="18"/>
      <c r="AY93" s="18" t="str">
        <f>Pospago[[#This Row],[NUM_TELEFONICO]]&amp;"POSPAGOSI"</f>
        <v>962821003POSPAGOSI</v>
      </c>
      <c r="AZ93" s="18" t="str">
        <f>VLOOKUP(Pospago[[#This Row],[NOM_PLAZA_FINAL]],[1]!Locales[#Data],3,0)</f>
        <v>TIENDA AMERICA</v>
      </c>
      <c r="BA93" s="18" t="str">
        <f>IFERROR(VLOOKUP(Pospago[[#This Row],[USUARIO]],[1]!Personal[#Data],6,0),"EJECUTIVO NO REGISTRADO")</f>
        <v>REINO TUFINO PAULTEH KATHERINE</v>
      </c>
      <c r="BB93" s="18" t="str">
        <f>Pospago[[#This Row],[TIPO_MOVIMIENTO]]&amp;" "&amp;Pospago[[#This Row],[FORMA_PAGO_FINAL]]</f>
        <v>ALTAS DOMICILIADO</v>
      </c>
      <c r="BC93" s="18">
        <f>DAY(Pospago[[#This Row],[FECHA_ALTA]])</f>
        <v>2</v>
      </c>
      <c r="BD93" s="18">
        <f>IF(Pospago[[#This Row],[TARIFA_BASICA]]=11.42,1,0)</f>
        <v>0</v>
      </c>
      <c r="BE93" s="18">
        <f>IF(Pospago[[#This Row],[PLANES TELEVENTAS]]="SI",1,0)</f>
        <v>0</v>
      </c>
      <c r="BF93" s="18">
        <f>1</f>
        <v>1</v>
      </c>
      <c r="BG93" s="18">
        <f>IF(OR(Pospago[[#This Row],[TARIFA_BASICA]]=11.42,Pospago[[#This Row],[PLANES TELEVENTAS]]="SI"),1,0)</f>
        <v>0</v>
      </c>
      <c r="BH93" s="18" t="str">
        <f>IF(MID(Pospago[[#This Row],[PlanDesc]],1,4) = "PLAN","POSPAGO",IF(MID(Pospago[[#This Row],[PlanDesc]],1,4)="FULL","FULL MEGAS","PREVIOPAGO"))</f>
        <v>PREVIOPAGO</v>
      </c>
      <c r="BI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" s="21">
        <f>Pospago[[#This Row],[TARIFA_BASICA]]*1.5</f>
        <v>21.419999999999998</v>
      </c>
    </row>
    <row r="94" spans="1:63" x14ac:dyDescent="0.25">
      <c r="A94" s="18" t="s">
        <v>64</v>
      </c>
      <c r="B94" s="18" t="s">
        <v>830</v>
      </c>
      <c r="C94" s="18" t="s">
        <v>831</v>
      </c>
      <c r="D94" s="19">
        <v>44903</v>
      </c>
      <c r="E94" s="18" t="s">
        <v>246</v>
      </c>
      <c r="F94" s="18" t="s">
        <v>832</v>
      </c>
      <c r="G94" s="18" t="s">
        <v>833</v>
      </c>
      <c r="H94" s="18" t="s">
        <v>70</v>
      </c>
      <c r="I94" s="18" t="s">
        <v>698</v>
      </c>
      <c r="J94" s="18" t="s">
        <v>607</v>
      </c>
      <c r="K94" s="18" t="s">
        <v>95</v>
      </c>
      <c r="L94" s="20" t="s">
        <v>834</v>
      </c>
      <c r="M94" s="18" t="s">
        <v>75</v>
      </c>
      <c r="N94" s="20" t="s">
        <v>835</v>
      </c>
      <c r="O94" s="18" t="s">
        <v>77</v>
      </c>
      <c r="P94" s="18" t="s">
        <v>78</v>
      </c>
      <c r="Q94" s="19">
        <v>44914</v>
      </c>
      <c r="R94" s="21">
        <v>26.78</v>
      </c>
      <c r="S94" s="18" t="s">
        <v>79</v>
      </c>
      <c r="T94" s="18" t="s">
        <v>232</v>
      </c>
      <c r="U94" s="18" t="s">
        <v>83</v>
      </c>
      <c r="V94" s="18" t="s">
        <v>95</v>
      </c>
      <c r="W94" s="18" t="s">
        <v>83</v>
      </c>
      <c r="X94" s="18" t="s">
        <v>84</v>
      </c>
      <c r="Y94" s="18" t="s">
        <v>85</v>
      </c>
      <c r="Z94" s="18" t="s">
        <v>86</v>
      </c>
      <c r="AA94" s="18" t="s">
        <v>87</v>
      </c>
      <c r="AB94" s="18" t="s">
        <v>233</v>
      </c>
      <c r="AC94" s="18" t="s">
        <v>234</v>
      </c>
      <c r="AD94" s="18" t="s">
        <v>85</v>
      </c>
      <c r="AE94" s="18" t="s">
        <v>90</v>
      </c>
      <c r="AF94" s="18" t="s">
        <v>235</v>
      </c>
      <c r="AG94" s="18" t="s">
        <v>139</v>
      </c>
      <c r="AH94" s="18" t="s">
        <v>93</v>
      </c>
      <c r="AI94" s="18" t="s">
        <v>94</v>
      </c>
      <c r="AJ94" s="19">
        <v>44903</v>
      </c>
      <c r="AK94" s="22" t="s">
        <v>95</v>
      </c>
      <c r="AL94" s="18" t="s">
        <v>95</v>
      </c>
      <c r="AM94" s="18" t="s">
        <v>95</v>
      </c>
      <c r="AN94" s="18" t="s">
        <v>95</v>
      </c>
      <c r="AO94" s="18" t="s">
        <v>95</v>
      </c>
      <c r="AP94" s="18" t="s">
        <v>95</v>
      </c>
      <c r="AQ94" s="18" t="s">
        <v>95</v>
      </c>
      <c r="AR94" s="18" t="s">
        <v>95</v>
      </c>
      <c r="AS94" s="18" t="s">
        <v>83</v>
      </c>
      <c r="AT94" s="18" t="s">
        <v>81</v>
      </c>
      <c r="AU94" s="18" t="s">
        <v>81</v>
      </c>
      <c r="AV94" s="18" t="s">
        <v>95</v>
      </c>
      <c r="AW94" s="18" t="s">
        <v>95</v>
      </c>
      <c r="AX94" s="18"/>
      <c r="AY94" s="18" t="str">
        <f>Pospago[[#This Row],[NUM_TELEFONICO]]&amp;"POSPAGOSI"</f>
        <v>962863017POSPAGOSI</v>
      </c>
      <c r="AZ94" s="18" t="str">
        <f>VLOOKUP(Pospago[[#This Row],[NOM_PLAZA_FINAL]],[1]!Locales[#Data],3,0)</f>
        <v>TIENDA CONDADO</v>
      </c>
      <c r="BA94" s="18" t="str">
        <f>IFERROR(VLOOKUP(Pospago[[#This Row],[USUARIO]],[1]!Personal[#Data],6,0),"EJECUTIVO NO REGISTRADO")</f>
        <v>ROSALES MALDONADO JESSICA GABRIELA</v>
      </c>
      <c r="BB94" s="18" t="str">
        <f>Pospago[[#This Row],[TIPO_MOVIMIENTO]]&amp;" "&amp;Pospago[[#This Row],[FORMA_PAGO_FINAL]]</f>
        <v>ALTAS DOMICILIADO</v>
      </c>
      <c r="BC94" s="18">
        <f>DAY(Pospago[[#This Row],[FECHA_ALTA]])</f>
        <v>8</v>
      </c>
      <c r="BD94" s="18">
        <f>IF(Pospago[[#This Row],[TARIFA_BASICA]]=11.42,1,0)</f>
        <v>0</v>
      </c>
      <c r="BE94" s="18">
        <f>IF(Pospago[[#This Row],[PLANES TELEVENTAS]]="SI",1,0)</f>
        <v>1</v>
      </c>
      <c r="BF94" s="18">
        <f>1</f>
        <v>1</v>
      </c>
      <c r="BG94" s="18">
        <f>IF(OR(Pospago[[#This Row],[TARIFA_BASICA]]=11.42,Pospago[[#This Row],[PLANES TELEVENTAS]]="SI"),1,0)</f>
        <v>1</v>
      </c>
      <c r="BH94" s="18" t="str">
        <f>IF(MID(Pospago[[#This Row],[PlanDesc]],1,4) = "PLAN","POSPAGO",IF(MID(Pospago[[#This Row],[PlanDesc]],1,4)="FULL","FULL MEGAS","PREVIOPAGO"))</f>
        <v>PREVIOPAGO</v>
      </c>
      <c r="BI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" s="21">
        <f>Pospago[[#This Row],[TARIFA_BASICA]]*1.5</f>
        <v>40.17</v>
      </c>
    </row>
    <row r="95" spans="1:63" x14ac:dyDescent="0.25">
      <c r="A95" s="18" t="s">
        <v>154</v>
      </c>
      <c r="B95" s="18" t="s">
        <v>836</v>
      </c>
      <c r="C95" s="18" t="s">
        <v>837</v>
      </c>
      <c r="D95" s="19">
        <v>44911</v>
      </c>
      <c r="E95" s="18" t="s">
        <v>67</v>
      </c>
      <c r="F95" s="18" t="s">
        <v>838</v>
      </c>
      <c r="G95" s="18" t="s">
        <v>839</v>
      </c>
      <c r="H95" s="18" t="s">
        <v>159</v>
      </c>
      <c r="I95" s="18" t="s">
        <v>71</v>
      </c>
      <c r="J95" s="18" t="s">
        <v>258</v>
      </c>
      <c r="K95" s="18" t="s">
        <v>132</v>
      </c>
      <c r="L95" s="20" t="s">
        <v>840</v>
      </c>
      <c r="M95" s="18" t="s">
        <v>75</v>
      </c>
      <c r="N95" s="20" t="s">
        <v>841</v>
      </c>
      <c r="O95" s="18" t="s">
        <v>164</v>
      </c>
      <c r="P95" s="18" t="s">
        <v>78</v>
      </c>
      <c r="Q95" s="19">
        <v>44914</v>
      </c>
      <c r="R95" s="21">
        <v>11.42</v>
      </c>
      <c r="S95" s="18" t="s">
        <v>79</v>
      </c>
      <c r="T95" s="18" t="s">
        <v>148</v>
      </c>
      <c r="U95" s="18" t="s">
        <v>83</v>
      </c>
      <c r="V95" s="18" t="s">
        <v>95</v>
      </c>
      <c r="W95" s="18" t="s">
        <v>95</v>
      </c>
      <c r="X95" s="18" t="s">
        <v>118</v>
      </c>
      <c r="Y95" s="18" t="s">
        <v>85</v>
      </c>
      <c r="Z95" s="18" t="s">
        <v>86</v>
      </c>
      <c r="AA95" s="18" t="s">
        <v>119</v>
      </c>
      <c r="AB95" s="18" t="s">
        <v>149</v>
      </c>
      <c r="AC95" s="18" t="s">
        <v>150</v>
      </c>
      <c r="AD95" s="18" t="s">
        <v>85</v>
      </c>
      <c r="AE95" s="18" t="s">
        <v>90</v>
      </c>
      <c r="AF95" s="18" t="s">
        <v>151</v>
      </c>
      <c r="AG95" s="18" t="s">
        <v>92</v>
      </c>
      <c r="AH95" s="18" t="s">
        <v>165</v>
      </c>
      <c r="AI95" s="18" t="s">
        <v>94</v>
      </c>
      <c r="AJ95" s="19">
        <v>44911</v>
      </c>
      <c r="AK95" s="22" t="s">
        <v>95</v>
      </c>
      <c r="AL95" s="18" t="s">
        <v>95</v>
      </c>
      <c r="AM95" s="18" t="s">
        <v>95</v>
      </c>
      <c r="AN95" s="18" t="s">
        <v>95</v>
      </c>
      <c r="AO95" s="18" t="s">
        <v>95</v>
      </c>
      <c r="AP95" s="18" t="s">
        <v>95</v>
      </c>
      <c r="AQ95" s="18" t="s">
        <v>95</v>
      </c>
      <c r="AR95" s="18" t="s">
        <v>95</v>
      </c>
      <c r="AS95" s="18" t="s">
        <v>83</v>
      </c>
      <c r="AT95" s="18" t="s">
        <v>83</v>
      </c>
      <c r="AU95" s="18" t="s">
        <v>81</v>
      </c>
      <c r="AV95" s="18" t="s">
        <v>95</v>
      </c>
      <c r="AW95" s="18" t="s">
        <v>95</v>
      </c>
      <c r="AX95" s="18"/>
      <c r="AY95" s="18" t="str">
        <f>Pospago[[#This Row],[NUM_TELEFONICO]]&amp;"POSPAGOSI"</f>
        <v>962863707POSPAGOSI</v>
      </c>
      <c r="AZ95" s="18" t="str">
        <f>VLOOKUP(Pospago[[#This Row],[NOM_PLAZA_FINAL]],[1]!Locales[#Data],3,0)</f>
        <v>TIENDA CUENCA REMIGIO</v>
      </c>
      <c r="BA95" s="18" t="str">
        <f>IFERROR(VLOOKUP(Pospago[[#This Row],[USUARIO]],[1]!Personal[#Data],6,0),"EJECUTIVO NO REGISTRADO")</f>
        <v>OSORIO TEJADA ANA ESTEFANIA</v>
      </c>
      <c r="BB95" s="18" t="str">
        <f>Pospago[[#This Row],[TIPO_MOVIMIENTO]]&amp;" "&amp;Pospago[[#This Row],[FORMA_PAGO_FINAL]]</f>
        <v>TRANSFERENCIAS PAGO EN CAJA</v>
      </c>
      <c r="BC95" s="18">
        <f>DAY(Pospago[[#This Row],[FECHA_ALTA]])</f>
        <v>16</v>
      </c>
      <c r="BD95" s="18">
        <f>IF(Pospago[[#This Row],[TARIFA_BASICA]]=11.42,1,0)</f>
        <v>1</v>
      </c>
      <c r="BE95" s="18">
        <f>IF(Pospago[[#This Row],[PLANES TELEVENTAS]]="SI",1,0)</f>
        <v>0</v>
      </c>
      <c r="BF95" s="18">
        <f>1</f>
        <v>1</v>
      </c>
      <c r="BG95" s="18">
        <f>IF(OR(Pospago[[#This Row],[TARIFA_BASICA]]=11.42,Pospago[[#This Row],[PLANES TELEVENTAS]]="SI"),1,0)</f>
        <v>1</v>
      </c>
      <c r="BH95" s="18" t="str">
        <f>IF(MID(Pospago[[#This Row],[PlanDesc]],1,4) = "PLAN","POSPAGO",IF(MID(Pospago[[#This Row],[PlanDesc]],1,4)="FULL","FULL MEGAS","PREVIOPAGO"))</f>
        <v>PREVIOPAGO</v>
      </c>
      <c r="BI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5" s="21">
        <f>Pospago[[#This Row],[TARIFA_BASICA]]*1.5</f>
        <v>17.13</v>
      </c>
    </row>
    <row r="96" spans="1:63" x14ac:dyDescent="0.25">
      <c r="A96" s="18" t="s">
        <v>64</v>
      </c>
      <c r="B96" s="18" t="s">
        <v>842</v>
      </c>
      <c r="C96" s="18" t="s">
        <v>843</v>
      </c>
      <c r="D96" s="19">
        <v>44896</v>
      </c>
      <c r="E96" s="18" t="s">
        <v>67</v>
      </c>
      <c r="F96" s="18" t="s">
        <v>844</v>
      </c>
      <c r="G96" s="18" t="s">
        <v>845</v>
      </c>
      <c r="H96" s="18" t="s">
        <v>70</v>
      </c>
      <c r="I96" s="18" t="s">
        <v>130</v>
      </c>
      <c r="J96" s="18" t="s">
        <v>131</v>
      </c>
      <c r="K96" s="18" t="s">
        <v>132</v>
      </c>
      <c r="L96" s="20" t="s">
        <v>846</v>
      </c>
      <c r="M96" s="18" t="s">
        <v>75</v>
      </c>
      <c r="N96" s="20" t="s">
        <v>847</v>
      </c>
      <c r="O96" s="18" t="s">
        <v>77</v>
      </c>
      <c r="P96" s="18" t="s">
        <v>78</v>
      </c>
      <c r="Q96" s="19">
        <v>44914</v>
      </c>
      <c r="R96" s="21">
        <v>15</v>
      </c>
      <c r="S96" s="18" t="s">
        <v>79</v>
      </c>
      <c r="T96" s="18" t="s">
        <v>232</v>
      </c>
      <c r="U96" s="18" t="s">
        <v>83</v>
      </c>
      <c r="V96" s="18" t="s">
        <v>95</v>
      </c>
      <c r="W96" s="18" t="s">
        <v>83</v>
      </c>
      <c r="X96" s="18" t="s">
        <v>84</v>
      </c>
      <c r="Y96" s="18" t="s">
        <v>85</v>
      </c>
      <c r="Z96" s="18" t="s">
        <v>86</v>
      </c>
      <c r="AA96" s="18" t="s">
        <v>87</v>
      </c>
      <c r="AB96" s="18" t="s">
        <v>377</v>
      </c>
      <c r="AC96" s="18" t="s">
        <v>378</v>
      </c>
      <c r="AD96" s="18" t="s">
        <v>85</v>
      </c>
      <c r="AE96" s="18" t="s">
        <v>90</v>
      </c>
      <c r="AF96" s="18" t="s">
        <v>235</v>
      </c>
      <c r="AG96" s="18" t="s">
        <v>139</v>
      </c>
      <c r="AH96" s="18" t="s">
        <v>93</v>
      </c>
      <c r="AI96" s="18" t="s">
        <v>94</v>
      </c>
      <c r="AJ96" s="19">
        <v>44896</v>
      </c>
      <c r="AK96" s="22" t="s">
        <v>95</v>
      </c>
      <c r="AL96" s="18" t="s">
        <v>95</v>
      </c>
      <c r="AM96" s="18" t="s">
        <v>95</v>
      </c>
      <c r="AN96" s="18" t="s">
        <v>95</v>
      </c>
      <c r="AO96" s="18" t="s">
        <v>95</v>
      </c>
      <c r="AP96" s="18" t="s">
        <v>95</v>
      </c>
      <c r="AQ96" s="18" t="s">
        <v>95</v>
      </c>
      <c r="AR96" s="18" t="s">
        <v>95</v>
      </c>
      <c r="AS96" s="18" t="s">
        <v>83</v>
      </c>
      <c r="AT96" s="18" t="s">
        <v>83</v>
      </c>
      <c r="AU96" s="18" t="s">
        <v>81</v>
      </c>
      <c r="AV96" s="18" t="s">
        <v>95</v>
      </c>
      <c r="AW96" s="18" t="s">
        <v>95</v>
      </c>
      <c r="AX96" s="18"/>
      <c r="AY96" s="18" t="str">
        <f>Pospago[[#This Row],[NUM_TELEFONICO]]&amp;"POSPAGOSI"</f>
        <v>962868315POSPAGOSI</v>
      </c>
      <c r="AZ96" s="18" t="str">
        <f>VLOOKUP(Pospago[[#This Row],[NOM_PLAZA_FINAL]],[1]!Locales[#Data],3,0)</f>
        <v>TIENDA CONDADO</v>
      </c>
      <c r="BA96" s="18" t="str">
        <f>IFERROR(VLOOKUP(Pospago[[#This Row],[USUARIO]],[1]!Personal[#Data],6,0),"EJECUTIVO NO REGISTRADO")</f>
        <v>MELCHIADE ISAAC VALMORE</v>
      </c>
      <c r="BB96" s="18" t="str">
        <f>Pospago[[#This Row],[TIPO_MOVIMIENTO]]&amp;" "&amp;Pospago[[#This Row],[FORMA_PAGO_FINAL]]</f>
        <v>ALTAS DOMICILIADO</v>
      </c>
      <c r="BC96" s="18">
        <f>DAY(Pospago[[#This Row],[FECHA_ALTA]])</f>
        <v>1</v>
      </c>
      <c r="BD96" s="18">
        <f>IF(Pospago[[#This Row],[TARIFA_BASICA]]=11.42,1,0)</f>
        <v>0</v>
      </c>
      <c r="BE96" s="18">
        <f>IF(Pospago[[#This Row],[PLANES TELEVENTAS]]="SI",1,0)</f>
        <v>0</v>
      </c>
      <c r="BF96" s="18">
        <f>1</f>
        <v>1</v>
      </c>
      <c r="BG96" s="18">
        <f>IF(OR(Pospago[[#This Row],[TARIFA_BASICA]]=11.42,Pospago[[#This Row],[PLANES TELEVENTAS]]="SI"),1,0)</f>
        <v>0</v>
      </c>
      <c r="BH96" s="18" t="str">
        <f>IF(MID(Pospago[[#This Row],[PlanDesc]],1,4) = "PLAN","POSPAGO",IF(MID(Pospago[[#This Row],[PlanDesc]],1,4)="FULL","FULL MEGAS","PREVIOPAGO"))</f>
        <v>PREVIOPAGO</v>
      </c>
      <c r="BI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6" s="21">
        <f>Pospago[[#This Row],[TARIFA_BASICA]]*1.5</f>
        <v>22.5</v>
      </c>
    </row>
    <row r="97" spans="1:63" x14ac:dyDescent="0.25">
      <c r="A97" s="18" t="s">
        <v>154</v>
      </c>
      <c r="B97" s="18" t="s">
        <v>848</v>
      </c>
      <c r="C97" s="18" t="s">
        <v>849</v>
      </c>
      <c r="D97" s="19">
        <v>44902</v>
      </c>
      <c r="E97" s="18" t="s">
        <v>67</v>
      </c>
      <c r="F97" s="18" t="s">
        <v>850</v>
      </c>
      <c r="G97" s="18" t="s">
        <v>851</v>
      </c>
      <c r="H97" s="18" t="s">
        <v>159</v>
      </c>
      <c r="I97" s="18" t="s">
        <v>160</v>
      </c>
      <c r="J97" s="18" t="s">
        <v>161</v>
      </c>
      <c r="K97" s="18" t="s">
        <v>132</v>
      </c>
      <c r="L97" s="20" t="s">
        <v>852</v>
      </c>
      <c r="M97" s="18" t="s">
        <v>75</v>
      </c>
      <c r="N97" s="20" t="s">
        <v>853</v>
      </c>
      <c r="O97" s="18" t="s">
        <v>164</v>
      </c>
      <c r="P97" s="18" t="s">
        <v>78</v>
      </c>
      <c r="Q97" s="19">
        <v>44914</v>
      </c>
      <c r="R97" s="21">
        <v>14.28</v>
      </c>
      <c r="S97" s="18" t="s">
        <v>79</v>
      </c>
      <c r="T97" s="18" t="s">
        <v>232</v>
      </c>
      <c r="U97" s="18" t="s">
        <v>83</v>
      </c>
      <c r="V97" s="18" t="s">
        <v>95</v>
      </c>
      <c r="W97" s="18" t="s">
        <v>95</v>
      </c>
      <c r="X97" s="18" t="s">
        <v>118</v>
      </c>
      <c r="Y97" s="18" t="s">
        <v>85</v>
      </c>
      <c r="Z97" s="18" t="s">
        <v>86</v>
      </c>
      <c r="AA97" s="18" t="s">
        <v>119</v>
      </c>
      <c r="AB97" s="18" t="s">
        <v>233</v>
      </c>
      <c r="AC97" s="18" t="s">
        <v>234</v>
      </c>
      <c r="AD97" s="18" t="s">
        <v>85</v>
      </c>
      <c r="AE97" s="18" t="s">
        <v>90</v>
      </c>
      <c r="AF97" s="18" t="s">
        <v>235</v>
      </c>
      <c r="AG97" s="18" t="s">
        <v>139</v>
      </c>
      <c r="AH97" s="18" t="s">
        <v>165</v>
      </c>
      <c r="AI97" s="18" t="s">
        <v>94</v>
      </c>
      <c r="AJ97" s="19">
        <v>44902</v>
      </c>
      <c r="AK97" s="22" t="s">
        <v>95</v>
      </c>
      <c r="AL97" s="18" t="s">
        <v>95</v>
      </c>
      <c r="AM97" s="18" t="s">
        <v>95</v>
      </c>
      <c r="AN97" s="18" t="s">
        <v>95</v>
      </c>
      <c r="AO97" s="18" t="s">
        <v>95</v>
      </c>
      <c r="AP97" s="18" t="s">
        <v>95</v>
      </c>
      <c r="AQ97" s="18" t="s">
        <v>95</v>
      </c>
      <c r="AR97" s="18" t="s">
        <v>95</v>
      </c>
      <c r="AS97" s="18" t="s">
        <v>83</v>
      </c>
      <c r="AT97" s="18" t="s">
        <v>83</v>
      </c>
      <c r="AU97" s="18" t="s">
        <v>81</v>
      </c>
      <c r="AV97" s="18" t="s">
        <v>95</v>
      </c>
      <c r="AW97" s="18" t="s">
        <v>95</v>
      </c>
      <c r="AX97" s="18"/>
      <c r="AY97" s="18" t="str">
        <f>Pospago[[#This Row],[NUM_TELEFONICO]]&amp;"POSPAGOSI"</f>
        <v>962892256POSPAGOSI</v>
      </c>
      <c r="AZ97" s="18" t="str">
        <f>VLOOKUP(Pospago[[#This Row],[NOM_PLAZA_FINAL]],[1]!Locales[#Data],3,0)</f>
        <v>TIENDA CONDADO</v>
      </c>
      <c r="BA97" s="18" t="str">
        <f>IFERROR(VLOOKUP(Pospago[[#This Row],[USUARIO]],[1]!Personal[#Data],6,0),"EJECUTIVO NO REGISTRADO")</f>
        <v>ROSALES MALDONADO JESSICA GABRIELA</v>
      </c>
      <c r="BB97" s="18" t="str">
        <f>Pospago[[#This Row],[TIPO_MOVIMIENTO]]&amp;" "&amp;Pospago[[#This Row],[FORMA_PAGO_FINAL]]</f>
        <v>TRANSFERENCIAS PAGO EN CAJA</v>
      </c>
      <c r="BC97" s="18">
        <f>DAY(Pospago[[#This Row],[FECHA_ALTA]])</f>
        <v>7</v>
      </c>
      <c r="BD97" s="18">
        <f>IF(Pospago[[#This Row],[TARIFA_BASICA]]=11.42,1,0)</f>
        <v>0</v>
      </c>
      <c r="BE97" s="18">
        <f>IF(Pospago[[#This Row],[PLANES TELEVENTAS]]="SI",1,0)</f>
        <v>0</v>
      </c>
      <c r="BF97" s="18">
        <f>1</f>
        <v>1</v>
      </c>
      <c r="BG97" s="18">
        <f>IF(OR(Pospago[[#This Row],[TARIFA_BASICA]]=11.42,Pospago[[#This Row],[PLANES TELEVENTAS]]="SI"),1,0)</f>
        <v>0</v>
      </c>
      <c r="BH97" s="18" t="str">
        <f>IF(MID(Pospago[[#This Row],[PlanDesc]],1,4) = "PLAN","POSPAGO",IF(MID(Pospago[[#This Row],[PlanDesc]],1,4)="FULL","FULL MEGAS","PREVIOPAGO"))</f>
        <v>PREVIOPAGO</v>
      </c>
      <c r="BI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7" s="21">
        <f>Pospago[[#This Row],[TARIFA_BASICA]]*1.5</f>
        <v>21.419999999999998</v>
      </c>
    </row>
    <row r="98" spans="1:63" x14ac:dyDescent="0.25">
      <c r="A98" s="18" t="s">
        <v>154</v>
      </c>
      <c r="B98" s="18" t="s">
        <v>854</v>
      </c>
      <c r="C98" s="18" t="s">
        <v>855</v>
      </c>
      <c r="D98" s="19">
        <v>44901</v>
      </c>
      <c r="E98" s="18" t="s">
        <v>67</v>
      </c>
      <c r="F98" s="18" t="s">
        <v>856</v>
      </c>
      <c r="G98" s="18" t="s">
        <v>857</v>
      </c>
      <c r="H98" s="18" t="s">
        <v>159</v>
      </c>
      <c r="I98" s="18" t="s">
        <v>160</v>
      </c>
      <c r="J98" s="18" t="s">
        <v>161</v>
      </c>
      <c r="K98" s="18" t="s">
        <v>73</v>
      </c>
      <c r="L98" s="20" t="s">
        <v>858</v>
      </c>
      <c r="M98" s="18" t="s">
        <v>75</v>
      </c>
      <c r="N98" s="20" t="s">
        <v>859</v>
      </c>
      <c r="O98" s="18" t="s">
        <v>164</v>
      </c>
      <c r="P98" s="18" t="s">
        <v>78</v>
      </c>
      <c r="Q98" s="19">
        <v>44914</v>
      </c>
      <c r="R98" s="21">
        <v>14.28</v>
      </c>
      <c r="S98" s="18" t="s">
        <v>79</v>
      </c>
      <c r="T98" s="18" t="s">
        <v>174</v>
      </c>
      <c r="U98" s="18" t="s">
        <v>83</v>
      </c>
      <c r="V98" s="18" t="s">
        <v>95</v>
      </c>
      <c r="W98" s="18" t="s">
        <v>95</v>
      </c>
      <c r="X98" s="18" t="s">
        <v>118</v>
      </c>
      <c r="Y98" s="18" t="s">
        <v>85</v>
      </c>
      <c r="Z98" s="18" t="s">
        <v>86</v>
      </c>
      <c r="AA98" s="18" t="s">
        <v>119</v>
      </c>
      <c r="AB98" s="18" t="s">
        <v>251</v>
      </c>
      <c r="AC98" s="18" t="s">
        <v>252</v>
      </c>
      <c r="AD98" s="18" t="s">
        <v>85</v>
      </c>
      <c r="AE98" s="18" t="s">
        <v>90</v>
      </c>
      <c r="AF98" s="18" t="s">
        <v>177</v>
      </c>
      <c r="AG98" s="18" t="s">
        <v>139</v>
      </c>
      <c r="AH98" s="18" t="s">
        <v>165</v>
      </c>
      <c r="AI98" s="18" t="s">
        <v>94</v>
      </c>
      <c r="AJ98" s="19">
        <v>44901</v>
      </c>
      <c r="AK98" s="22" t="s">
        <v>95</v>
      </c>
      <c r="AL98" s="18" t="s">
        <v>95</v>
      </c>
      <c r="AM98" s="18" t="s">
        <v>95</v>
      </c>
      <c r="AN98" s="18" t="s">
        <v>95</v>
      </c>
      <c r="AO98" s="18" t="s">
        <v>95</v>
      </c>
      <c r="AP98" s="18" t="s">
        <v>95</v>
      </c>
      <c r="AQ98" s="18" t="s">
        <v>95</v>
      </c>
      <c r="AR98" s="18" t="s">
        <v>95</v>
      </c>
      <c r="AS98" s="18" t="s">
        <v>83</v>
      </c>
      <c r="AT98" s="18" t="s">
        <v>83</v>
      </c>
      <c r="AU98" s="18" t="s">
        <v>81</v>
      </c>
      <c r="AV98" s="18" t="s">
        <v>95</v>
      </c>
      <c r="AW98" s="18" t="s">
        <v>95</v>
      </c>
      <c r="AX98" s="18"/>
      <c r="AY98" s="18" t="str">
        <f>Pospago[[#This Row],[NUM_TELEFONICO]]&amp;"POSPAGOSI"</f>
        <v>962893591POSPAGOSI</v>
      </c>
      <c r="AZ98" s="18" t="str">
        <f>VLOOKUP(Pospago[[#This Row],[NOM_PLAZA_FINAL]],[1]!Locales[#Data],3,0)</f>
        <v>TIENDA RECREO</v>
      </c>
      <c r="BA98" s="18" t="str">
        <f>IFERROR(VLOOKUP(Pospago[[#This Row],[USUARIO]],[1]!Personal[#Data],6,0),"EJECUTIVO NO REGISTRADO")</f>
        <v>CRUZ MONTUFAR KATHERINE ALEJANDRA</v>
      </c>
      <c r="BB98" s="18" t="str">
        <f>Pospago[[#This Row],[TIPO_MOVIMIENTO]]&amp;" "&amp;Pospago[[#This Row],[FORMA_PAGO_FINAL]]</f>
        <v>TRANSFERENCIAS PAGO EN CAJA</v>
      </c>
      <c r="BC98" s="18">
        <f>DAY(Pospago[[#This Row],[FECHA_ALTA]])</f>
        <v>6</v>
      </c>
      <c r="BD98" s="18">
        <f>IF(Pospago[[#This Row],[TARIFA_BASICA]]=11.42,1,0)</f>
        <v>0</v>
      </c>
      <c r="BE98" s="18">
        <f>IF(Pospago[[#This Row],[PLANES TELEVENTAS]]="SI",1,0)</f>
        <v>0</v>
      </c>
      <c r="BF98" s="18">
        <f>1</f>
        <v>1</v>
      </c>
      <c r="BG98" s="18">
        <f>IF(OR(Pospago[[#This Row],[TARIFA_BASICA]]=11.42,Pospago[[#This Row],[PLANES TELEVENTAS]]="SI"),1,0)</f>
        <v>0</v>
      </c>
      <c r="BH98" s="18" t="str">
        <f>IF(MID(Pospago[[#This Row],[PlanDesc]],1,4) = "PLAN","POSPAGO",IF(MID(Pospago[[#This Row],[PlanDesc]],1,4)="FULL","FULL MEGAS","PREVIOPAGO"))</f>
        <v>PREVIOPAGO</v>
      </c>
      <c r="BI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" s="21">
        <f>Pospago[[#This Row],[TARIFA_BASICA]]*1.5</f>
        <v>21.419999999999998</v>
      </c>
    </row>
    <row r="99" spans="1:63" x14ac:dyDescent="0.25">
      <c r="A99" s="18" t="s">
        <v>64</v>
      </c>
      <c r="B99" s="18" t="s">
        <v>860</v>
      </c>
      <c r="C99" s="18" t="s">
        <v>861</v>
      </c>
      <c r="D99" s="19">
        <v>44908</v>
      </c>
      <c r="E99" s="18" t="s">
        <v>67</v>
      </c>
      <c r="F99" s="18" t="s">
        <v>862</v>
      </c>
      <c r="G99" s="18" t="s">
        <v>863</v>
      </c>
      <c r="H99" s="18" t="s">
        <v>70</v>
      </c>
      <c r="I99" s="18" t="s">
        <v>71</v>
      </c>
      <c r="J99" s="18" t="s">
        <v>72</v>
      </c>
      <c r="K99" s="18" t="s">
        <v>132</v>
      </c>
      <c r="L99" s="20" t="s">
        <v>864</v>
      </c>
      <c r="M99" s="18" t="s">
        <v>75</v>
      </c>
      <c r="N99" s="20" t="s">
        <v>865</v>
      </c>
      <c r="O99" s="18" t="s">
        <v>77</v>
      </c>
      <c r="P99" s="18" t="s">
        <v>78</v>
      </c>
      <c r="Q99" s="19">
        <v>44914</v>
      </c>
      <c r="R99" s="21">
        <v>11.42</v>
      </c>
      <c r="S99" s="18" t="s">
        <v>79</v>
      </c>
      <c r="T99" s="18" t="s">
        <v>135</v>
      </c>
      <c r="U99" s="18" t="s">
        <v>83</v>
      </c>
      <c r="V99" s="18" t="s">
        <v>95</v>
      </c>
      <c r="W99" s="18" t="s">
        <v>83</v>
      </c>
      <c r="X99" s="18" t="s">
        <v>84</v>
      </c>
      <c r="Y99" s="18" t="s">
        <v>85</v>
      </c>
      <c r="Z99" s="18" t="s">
        <v>86</v>
      </c>
      <c r="AA99" s="18" t="s">
        <v>87</v>
      </c>
      <c r="AB99" s="18" t="s">
        <v>866</v>
      </c>
      <c r="AC99" s="18" t="s">
        <v>867</v>
      </c>
      <c r="AD99" s="18" t="s">
        <v>85</v>
      </c>
      <c r="AE99" s="18" t="s">
        <v>90</v>
      </c>
      <c r="AF99" s="18" t="s">
        <v>138</v>
      </c>
      <c r="AG99" s="18" t="s">
        <v>139</v>
      </c>
      <c r="AH99" s="18" t="s">
        <v>93</v>
      </c>
      <c r="AI99" s="18" t="s">
        <v>94</v>
      </c>
      <c r="AJ99" s="19">
        <v>44908</v>
      </c>
      <c r="AK99" s="22" t="s">
        <v>95</v>
      </c>
      <c r="AL99" s="18" t="s">
        <v>95</v>
      </c>
      <c r="AM99" s="18" t="s">
        <v>95</v>
      </c>
      <c r="AN99" s="18" t="s">
        <v>95</v>
      </c>
      <c r="AO99" s="18" t="s">
        <v>95</v>
      </c>
      <c r="AP99" s="18" t="s">
        <v>95</v>
      </c>
      <c r="AQ99" s="18" t="s">
        <v>95</v>
      </c>
      <c r="AR99" s="18" t="s">
        <v>95</v>
      </c>
      <c r="AS99" s="18" t="s">
        <v>83</v>
      </c>
      <c r="AT99" s="18" t="s">
        <v>83</v>
      </c>
      <c r="AU99" s="18" t="s">
        <v>81</v>
      </c>
      <c r="AV99" s="18" t="s">
        <v>95</v>
      </c>
      <c r="AW99" s="18" t="s">
        <v>95</v>
      </c>
      <c r="AX99" s="18"/>
      <c r="AY99" s="18" t="str">
        <f>Pospago[[#This Row],[NUM_TELEFONICO]]&amp;"POSPAGOSI"</f>
        <v>962898293POSPAGOSI</v>
      </c>
      <c r="AZ99" s="18" t="str">
        <f>VLOOKUP(Pospago[[#This Row],[NOM_PLAZA_FINAL]],[1]!Locales[#Data],3,0)</f>
        <v>TIENDA AMERICA</v>
      </c>
      <c r="BA99" s="18" t="str">
        <f>IFERROR(VLOOKUP(Pospago[[#This Row],[USUARIO]],[1]!Personal[#Data],6,0),"EJECUTIVO NO REGISTRADO")</f>
        <v>ORTEGA RUIZ GABRIEL ANTONIO</v>
      </c>
      <c r="BB99" s="18" t="str">
        <f>Pospago[[#This Row],[TIPO_MOVIMIENTO]]&amp;" "&amp;Pospago[[#This Row],[FORMA_PAGO_FINAL]]</f>
        <v>ALTAS DOMICILIADO</v>
      </c>
      <c r="BC99" s="18">
        <f>DAY(Pospago[[#This Row],[FECHA_ALTA]])</f>
        <v>13</v>
      </c>
      <c r="BD99" s="18">
        <f>IF(Pospago[[#This Row],[TARIFA_BASICA]]=11.42,1,0)</f>
        <v>1</v>
      </c>
      <c r="BE99" s="18">
        <f>IF(Pospago[[#This Row],[PLANES TELEVENTAS]]="SI",1,0)</f>
        <v>0</v>
      </c>
      <c r="BF99" s="18">
        <f>1</f>
        <v>1</v>
      </c>
      <c r="BG99" s="18">
        <f>IF(OR(Pospago[[#This Row],[TARIFA_BASICA]]=11.42,Pospago[[#This Row],[PLANES TELEVENTAS]]="SI"),1,0)</f>
        <v>1</v>
      </c>
      <c r="BH99" s="18" t="str">
        <f>IF(MID(Pospago[[#This Row],[PlanDesc]],1,4) = "PLAN","POSPAGO",IF(MID(Pospago[[#This Row],[PlanDesc]],1,4)="FULL","FULL MEGAS","PREVIOPAGO"))</f>
        <v>PREVIOPAGO</v>
      </c>
      <c r="BI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9" s="21">
        <f>Pospago[[#This Row],[TARIFA_BASICA]]*1.5</f>
        <v>17.13</v>
      </c>
    </row>
    <row r="100" spans="1:63" x14ac:dyDescent="0.25">
      <c r="A100" s="18" t="s">
        <v>154</v>
      </c>
      <c r="B100" s="18" t="s">
        <v>868</v>
      </c>
      <c r="C100" s="18" t="s">
        <v>869</v>
      </c>
      <c r="D100" s="19">
        <v>44910</v>
      </c>
      <c r="E100" s="18" t="s">
        <v>67</v>
      </c>
      <c r="F100" s="18" t="s">
        <v>870</v>
      </c>
      <c r="G100" s="18" t="s">
        <v>871</v>
      </c>
      <c r="H100" s="18" t="s">
        <v>159</v>
      </c>
      <c r="I100" s="18" t="s">
        <v>130</v>
      </c>
      <c r="J100" s="18" t="s">
        <v>433</v>
      </c>
      <c r="K100" s="18" t="s">
        <v>132</v>
      </c>
      <c r="L100" s="20" t="s">
        <v>872</v>
      </c>
      <c r="M100" s="18" t="s">
        <v>75</v>
      </c>
      <c r="N100" s="20" t="s">
        <v>873</v>
      </c>
      <c r="O100" s="18" t="s">
        <v>164</v>
      </c>
      <c r="P100" s="18" t="s">
        <v>78</v>
      </c>
      <c r="Q100" s="19">
        <v>44914</v>
      </c>
      <c r="R100" s="21">
        <v>15</v>
      </c>
      <c r="S100" s="18" t="s">
        <v>79</v>
      </c>
      <c r="T100" s="18" t="s">
        <v>174</v>
      </c>
      <c r="U100" s="18" t="s">
        <v>83</v>
      </c>
      <c r="V100" s="18" t="s">
        <v>95</v>
      </c>
      <c r="W100" s="18" t="s">
        <v>95</v>
      </c>
      <c r="X100" s="18" t="s">
        <v>118</v>
      </c>
      <c r="Y100" s="18" t="s">
        <v>85</v>
      </c>
      <c r="Z100" s="18" t="s">
        <v>86</v>
      </c>
      <c r="AA100" s="18" t="s">
        <v>119</v>
      </c>
      <c r="AB100" s="18" t="s">
        <v>369</v>
      </c>
      <c r="AC100" s="18" t="s">
        <v>370</v>
      </c>
      <c r="AD100" s="18" t="s">
        <v>85</v>
      </c>
      <c r="AE100" s="18" t="s">
        <v>90</v>
      </c>
      <c r="AF100" s="18" t="s">
        <v>177</v>
      </c>
      <c r="AG100" s="18" t="s">
        <v>139</v>
      </c>
      <c r="AH100" s="18" t="s">
        <v>165</v>
      </c>
      <c r="AI100" s="18" t="s">
        <v>94</v>
      </c>
      <c r="AJ100" s="19">
        <v>44910</v>
      </c>
      <c r="AK100" s="22" t="s">
        <v>95</v>
      </c>
      <c r="AL100" s="18" t="s">
        <v>95</v>
      </c>
      <c r="AM100" s="18" t="s">
        <v>95</v>
      </c>
      <c r="AN100" s="18" t="s">
        <v>95</v>
      </c>
      <c r="AO100" s="18" t="s">
        <v>95</v>
      </c>
      <c r="AP100" s="18" t="s">
        <v>95</v>
      </c>
      <c r="AQ100" s="18" t="s">
        <v>95</v>
      </c>
      <c r="AR100" s="18" t="s">
        <v>95</v>
      </c>
      <c r="AS100" s="18" t="s">
        <v>83</v>
      </c>
      <c r="AT100" s="18" t="s">
        <v>83</v>
      </c>
      <c r="AU100" s="18" t="s">
        <v>81</v>
      </c>
      <c r="AV100" s="18" t="s">
        <v>95</v>
      </c>
      <c r="AW100" s="18" t="s">
        <v>95</v>
      </c>
      <c r="AX100" s="18"/>
      <c r="AY100" s="18" t="str">
        <f>Pospago[[#This Row],[NUM_TELEFONICO]]&amp;"POSPAGOSI"</f>
        <v>962910852POSPAGOSI</v>
      </c>
      <c r="AZ100" s="18" t="str">
        <f>VLOOKUP(Pospago[[#This Row],[NOM_PLAZA_FINAL]],[1]!Locales[#Data],3,0)</f>
        <v>TIENDA RECREO</v>
      </c>
      <c r="BA100" s="18" t="str">
        <f>IFERROR(VLOOKUP(Pospago[[#This Row],[USUARIO]],[1]!Personal[#Data],6,0),"EJECUTIVO NO REGISTRADO")</f>
        <v>GUAIGUA REINOSO GENESIS CAROLINA</v>
      </c>
      <c r="BB100" s="18" t="str">
        <f>Pospago[[#This Row],[TIPO_MOVIMIENTO]]&amp;" "&amp;Pospago[[#This Row],[FORMA_PAGO_FINAL]]</f>
        <v>TRANSFERENCIAS PAGO EN CAJA</v>
      </c>
      <c r="BC100" s="18">
        <f>DAY(Pospago[[#This Row],[FECHA_ALTA]])</f>
        <v>15</v>
      </c>
      <c r="BD100" s="18">
        <f>IF(Pospago[[#This Row],[TARIFA_BASICA]]=11.42,1,0)</f>
        <v>0</v>
      </c>
      <c r="BE100" s="18">
        <f>IF(Pospago[[#This Row],[PLANES TELEVENTAS]]="SI",1,0)</f>
        <v>0</v>
      </c>
      <c r="BF100" s="18">
        <f>1</f>
        <v>1</v>
      </c>
      <c r="BG100" s="18">
        <f>IF(OR(Pospago[[#This Row],[TARIFA_BASICA]]=11.42,Pospago[[#This Row],[PLANES TELEVENTAS]]="SI"),1,0)</f>
        <v>0</v>
      </c>
      <c r="BH100" s="18" t="str">
        <f>IF(MID(Pospago[[#This Row],[PlanDesc]],1,4) = "PLAN","POSPAGO",IF(MID(Pospago[[#This Row],[PlanDesc]],1,4)="FULL","FULL MEGAS","PREVIOPAGO"))</f>
        <v>PREVIOPAGO</v>
      </c>
      <c r="BI1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0" s="21">
        <f>Pospago[[#This Row],[TARIFA_BASICA]]*1.5</f>
        <v>22.5</v>
      </c>
    </row>
    <row r="101" spans="1:63" x14ac:dyDescent="0.25">
      <c r="A101" s="18" t="s">
        <v>154</v>
      </c>
      <c r="B101" s="18" t="s">
        <v>874</v>
      </c>
      <c r="C101" s="18" t="s">
        <v>875</v>
      </c>
      <c r="D101" s="19">
        <v>44907</v>
      </c>
      <c r="E101" s="18" t="s">
        <v>67</v>
      </c>
      <c r="F101" s="18" t="s">
        <v>876</v>
      </c>
      <c r="G101" s="18" t="s">
        <v>877</v>
      </c>
      <c r="H101" s="18" t="s">
        <v>159</v>
      </c>
      <c r="I101" s="18" t="s">
        <v>160</v>
      </c>
      <c r="J101" s="18" t="s">
        <v>161</v>
      </c>
      <c r="K101" s="18" t="s">
        <v>73</v>
      </c>
      <c r="L101" s="20" t="s">
        <v>878</v>
      </c>
      <c r="M101" s="18" t="s">
        <v>75</v>
      </c>
      <c r="N101" s="20" t="s">
        <v>879</v>
      </c>
      <c r="O101" s="18" t="s">
        <v>164</v>
      </c>
      <c r="P101" s="18" t="s">
        <v>78</v>
      </c>
      <c r="Q101" s="19">
        <v>44914</v>
      </c>
      <c r="R101" s="21">
        <v>14.28</v>
      </c>
      <c r="S101" s="18" t="s">
        <v>79</v>
      </c>
      <c r="T101" s="18" t="s">
        <v>80</v>
      </c>
      <c r="U101" s="18" t="s">
        <v>83</v>
      </c>
      <c r="V101" s="18" t="s">
        <v>95</v>
      </c>
      <c r="W101" s="18" t="s">
        <v>95</v>
      </c>
      <c r="X101" s="18" t="s">
        <v>118</v>
      </c>
      <c r="Y101" s="18" t="s">
        <v>85</v>
      </c>
      <c r="Z101" s="18" t="s">
        <v>86</v>
      </c>
      <c r="AA101" s="18" t="s">
        <v>119</v>
      </c>
      <c r="AB101" s="18" t="s">
        <v>880</v>
      </c>
      <c r="AC101" s="18" t="s">
        <v>881</v>
      </c>
      <c r="AD101" s="18" t="s">
        <v>85</v>
      </c>
      <c r="AE101" s="18" t="s">
        <v>90</v>
      </c>
      <c r="AF101" s="18" t="s">
        <v>91</v>
      </c>
      <c r="AG101" s="18" t="s">
        <v>92</v>
      </c>
      <c r="AH101" s="18" t="s">
        <v>165</v>
      </c>
      <c r="AI101" s="18" t="s">
        <v>94</v>
      </c>
      <c r="AJ101" s="19">
        <v>44907</v>
      </c>
      <c r="AK101" s="22" t="s">
        <v>95</v>
      </c>
      <c r="AL101" s="18" t="s">
        <v>95</v>
      </c>
      <c r="AM101" s="18" t="s">
        <v>95</v>
      </c>
      <c r="AN101" s="18" t="s">
        <v>95</v>
      </c>
      <c r="AO101" s="18" t="s">
        <v>95</v>
      </c>
      <c r="AP101" s="18" t="s">
        <v>95</v>
      </c>
      <c r="AQ101" s="18" t="s">
        <v>95</v>
      </c>
      <c r="AR101" s="18" t="s">
        <v>95</v>
      </c>
      <c r="AS101" s="18" t="s">
        <v>83</v>
      </c>
      <c r="AT101" s="18" t="s">
        <v>83</v>
      </c>
      <c r="AU101" s="18" t="s">
        <v>81</v>
      </c>
      <c r="AV101" s="18" t="s">
        <v>95</v>
      </c>
      <c r="AW101" s="18" t="s">
        <v>95</v>
      </c>
      <c r="AX101" s="18"/>
      <c r="AY101" s="18" t="str">
        <f>Pospago[[#This Row],[NUM_TELEFONICO]]&amp;"POSPAGOSI"</f>
        <v>962911009POSPAGOSI</v>
      </c>
      <c r="AZ101" s="18" t="str">
        <f>VLOOKUP(Pospago[[#This Row],[NOM_PLAZA_FINAL]],[1]!Locales[#Data],3,0)</f>
        <v>TIENDA CUENCA CENTRO</v>
      </c>
      <c r="BA101" s="18" t="str">
        <f>IFERROR(VLOOKUP(Pospago[[#This Row],[USUARIO]],[1]!Personal[#Data],6,0),"EJECUTIVO NO REGISTRADO")</f>
        <v>LUNA JACHO ANDREA GABRIELA</v>
      </c>
      <c r="BB101" s="18" t="str">
        <f>Pospago[[#This Row],[TIPO_MOVIMIENTO]]&amp;" "&amp;Pospago[[#This Row],[FORMA_PAGO_FINAL]]</f>
        <v>TRANSFERENCIAS PAGO EN CAJA</v>
      </c>
      <c r="BC101" s="18">
        <f>DAY(Pospago[[#This Row],[FECHA_ALTA]])</f>
        <v>12</v>
      </c>
      <c r="BD101" s="18">
        <f>IF(Pospago[[#This Row],[TARIFA_BASICA]]=11.42,1,0)</f>
        <v>0</v>
      </c>
      <c r="BE101" s="18">
        <f>IF(Pospago[[#This Row],[PLANES TELEVENTAS]]="SI",1,0)</f>
        <v>0</v>
      </c>
      <c r="BF101" s="18">
        <f>1</f>
        <v>1</v>
      </c>
      <c r="BG101" s="18">
        <f>IF(OR(Pospago[[#This Row],[TARIFA_BASICA]]=11.42,Pospago[[#This Row],[PLANES TELEVENTAS]]="SI"),1,0)</f>
        <v>0</v>
      </c>
      <c r="BH101" s="18" t="str">
        <f>IF(MID(Pospago[[#This Row],[PlanDesc]],1,4) = "PLAN","POSPAGO",IF(MID(Pospago[[#This Row],[PlanDesc]],1,4)="FULL","FULL MEGAS","PREVIOPAGO"))</f>
        <v>PREVIOPAGO</v>
      </c>
      <c r="BI1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" s="21">
        <f>Pospago[[#This Row],[TARIFA_BASICA]]*1.5</f>
        <v>21.419999999999998</v>
      </c>
    </row>
    <row r="102" spans="1:63" x14ac:dyDescent="0.25">
      <c r="A102" s="18" t="s">
        <v>154</v>
      </c>
      <c r="B102" s="18" t="s">
        <v>882</v>
      </c>
      <c r="C102" s="18" t="s">
        <v>883</v>
      </c>
      <c r="D102" s="19">
        <v>44901</v>
      </c>
      <c r="E102" s="18" t="s">
        <v>67</v>
      </c>
      <c r="F102" s="18" t="s">
        <v>884</v>
      </c>
      <c r="G102" s="18" t="s">
        <v>885</v>
      </c>
      <c r="H102" s="18" t="s">
        <v>159</v>
      </c>
      <c r="I102" s="18" t="s">
        <v>71</v>
      </c>
      <c r="J102" s="18" t="s">
        <v>258</v>
      </c>
      <c r="K102" s="18" t="s">
        <v>95</v>
      </c>
      <c r="L102" s="20" t="s">
        <v>886</v>
      </c>
      <c r="M102" s="18" t="s">
        <v>75</v>
      </c>
      <c r="N102" s="20" t="s">
        <v>887</v>
      </c>
      <c r="O102" s="18" t="s">
        <v>164</v>
      </c>
      <c r="P102" s="18" t="s">
        <v>78</v>
      </c>
      <c r="Q102" s="19">
        <v>44914</v>
      </c>
      <c r="R102" s="21">
        <v>11.42</v>
      </c>
      <c r="S102" s="18" t="s">
        <v>79</v>
      </c>
      <c r="T102" s="18" t="s">
        <v>174</v>
      </c>
      <c r="U102" s="18" t="s">
        <v>83</v>
      </c>
      <c r="V102" s="18" t="s">
        <v>95</v>
      </c>
      <c r="W102" s="18" t="s">
        <v>95</v>
      </c>
      <c r="X102" s="18" t="s">
        <v>118</v>
      </c>
      <c r="Y102" s="18" t="s">
        <v>85</v>
      </c>
      <c r="Z102" s="18" t="s">
        <v>86</v>
      </c>
      <c r="AA102" s="18" t="s">
        <v>119</v>
      </c>
      <c r="AB102" s="18" t="s">
        <v>175</v>
      </c>
      <c r="AC102" s="18" t="s">
        <v>176</v>
      </c>
      <c r="AD102" s="18" t="s">
        <v>85</v>
      </c>
      <c r="AE102" s="18" t="s">
        <v>90</v>
      </c>
      <c r="AF102" s="18" t="s">
        <v>177</v>
      </c>
      <c r="AG102" s="18" t="s">
        <v>139</v>
      </c>
      <c r="AH102" s="18" t="s">
        <v>165</v>
      </c>
      <c r="AI102" s="18" t="s">
        <v>94</v>
      </c>
      <c r="AJ102" s="19">
        <v>44901</v>
      </c>
      <c r="AK102" s="22" t="s">
        <v>95</v>
      </c>
      <c r="AL102" s="18" t="s">
        <v>95</v>
      </c>
      <c r="AM102" s="18" t="s">
        <v>95</v>
      </c>
      <c r="AN102" s="18" t="s">
        <v>95</v>
      </c>
      <c r="AO102" s="18" t="s">
        <v>95</v>
      </c>
      <c r="AP102" s="18" t="s">
        <v>95</v>
      </c>
      <c r="AQ102" s="18" t="s">
        <v>95</v>
      </c>
      <c r="AR102" s="18" t="s">
        <v>95</v>
      </c>
      <c r="AS102" s="18" t="s">
        <v>83</v>
      </c>
      <c r="AT102" s="18" t="s">
        <v>83</v>
      </c>
      <c r="AU102" s="18" t="s">
        <v>81</v>
      </c>
      <c r="AV102" s="18" t="s">
        <v>95</v>
      </c>
      <c r="AW102" s="18" t="s">
        <v>95</v>
      </c>
      <c r="AX102" s="18"/>
      <c r="AY102" s="18" t="str">
        <f>Pospago[[#This Row],[NUM_TELEFONICO]]&amp;"POSPAGOSI"</f>
        <v>962923944POSPAGOSI</v>
      </c>
      <c r="AZ102" s="18" t="str">
        <f>VLOOKUP(Pospago[[#This Row],[NOM_PLAZA_FINAL]],[1]!Locales[#Data],3,0)</f>
        <v>TIENDA RECREO</v>
      </c>
      <c r="BA102" s="18" t="str">
        <f>IFERROR(VLOOKUP(Pospago[[#This Row],[USUARIO]],[1]!Personal[#Data],6,0),"EJECUTIVO NO REGISTRADO")</f>
        <v>VARGAS REYES LUIS EDUARDO</v>
      </c>
      <c r="BB102" s="18" t="str">
        <f>Pospago[[#This Row],[TIPO_MOVIMIENTO]]&amp;" "&amp;Pospago[[#This Row],[FORMA_PAGO_FINAL]]</f>
        <v>TRANSFERENCIAS PAGO EN CAJA</v>
      </c>
      <c r="BC102" s="18">
        <f>DAY(Pospago[[#This Row],[FECHA_ALTA]])</f>
        <v>6</v>
      </c>
      <c r="BD102" s="18">
        <f>IF(Pospago[[#This Row],[TARIFA_BASICA]]=11.42,1,0)</f>
        <v>1</v>
      </c>
      <c r="BE102" s="18">
        <f>IF(Pospago[[#This Row],[PLANES TELEVENTAS]]="SI",1,0)</f>
        <v>0</v>
      </c>
      <c r="BF102" s="18">
        <f>1</f>
        <v>1</v>
      </c>
      <c r="BG102" s="18">
        <f>IF(OR(Pospago[[#This Row],[TARIFA_BASICA]]=11.42,Pospago[[#This Row],[PLANES TELEVENTAS]]="SI"),1,0)</f>
        <v>1</v>
      </c>
      <c r="BH102" s="18" t="str">
        <f>IF(MID(Pospago[[#This Row],[PlanDesc]],1,4) = "PLAN","POSPAGO",IF(MID(Pospago[[#This Row],[PlanDesc]],1,4)="FULL","FULL MEGAS","PREVIOPAGO"))</f>
        <v>PREVIOPAGO</v>
      </c>
      <c r="BI1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2" s="21">
        <f>Pospago[[#This Row],[TARIFA_BASICA]]*1.5</f>
        <v>17.13</v>
      </c>
    </row>
    <row r="103" spans="1:63" x14ac:dyDescent="0.25">
      <c r="A103" s="18" t="s">
        <v>64</v>
      </c>
      <c r="B103" s="18" t="s">
        <v>888</v>
      </c>
      <c r="C103" s="18" t="s">
        <v>889</v>
      </c>
      <c r="D103" s="19">
        <v>44896</v>
      </c>
      <c r="E103" s="18" t="s">
        <v>246</v>
      </c>
      <c r="F103" s="18" t="s">
        <v>890</v>
      </c>
      <c r="G103" s="18" t="s">
        <v>891</v>
      </c>
      <c r="H103" s="18" t="s">
        <v>70</v>
      </c>
      <c r="I103" s="18" t="s">
        <v>194</v>
      </c>
      <c r="J103" s="18" t="s">
        <v>195</v>
      </c>
      <c r="K103" s="18" t="s">
        <v>95</v>
      </c>
      <c r="L103" s="20" t="s">
        <v>892</v>
      </c>
      <c r="M103" s="18" t="s">
        <v>75</v>
      </c>
      <c r="N103" s="20" t="s">
        <v>893</v>
      </c>
      <c r="O103" s="18" t="s">
        <v>77</v>
      </c>
      <c r="P103" s="18" t="s">
        <v>78</v>
      </c>
      <c r="Q103" s="19">
        <v>44914</v>
      </c>
      <c r="R103" s="21">
        <v>14.28</v>
      </c>
      <c r="S103" s="18" t="s">
        <v>79</v>
      </c>
      <c r="T103" s="18" t="s">
        <v>232</v>
      </c>
      <c r="U103" s="18" t="s">
        <v>83</v>
      </c>
      <c r="V103" s="18" t="s">
        <v>95</v>
      </c>
      <c r="W103" s="18" t="s">
        <v>83</v>
      </c>
      <c r="X103" s="18" t="s">
        <v>84</v>
      </c>
      <c r="Y103" s="18" t="s">
        <v>85</v>
      </c>
      <c r="Z103" s="18" t="s">
        <v>86</v>
      </c>
      <c r="AA103" s="18" t="s">
        <v>87</v>
      </c>
      <c r="AB103" s="18" t="s">
        <v>412</v>
      </c>
      <c r="AC103" s="18" t="s">
        <v>413</v>
      </c>
      <c r="AD103" s="18" t="s">
        <v>85</v>
      </c>
      <c r="AE103" s="18" t="s">
        <v>90</v>
      </c>
      <c r="AF103" s="18" t="s">
        <v>235</v>
      </c>
      <c r="AG103" s="18" t="s">
        <v>139</v>
      </c>
      <c r="AH103" s="18" t="s">
        <v>93</v>
      </c>
      <c r="AI103" s="18" t="s">
        <v>94</v>
      </c>
      <c r="AJ103" s="19">
        <v>44896</v>
      </c>
      <c r="AK103" s="22" t="s">
        <v>95</v>
      </c>
      <c r="AL103" s="18" t="s">
        <v>95</v>
      </c>
      <c r="AM103" s="18" t="s">
        <v>95</v>
      </c>
      <c r="AN103" s="18" t="s">
        <v>95</v>
      </c>
      <c r="AO103" s="18" t="s">
        <v>95</v>
      </c>
      <c r="AP103" s="18" t="s">
        <v>95</v>
      </c>
      <c r="AQ103" s="18" t="s">
        <v>95</v>
      </c>
      <c r="AR103" s="18" t="s">
        <v>95</v>
      </c>
      <c r="AS103" s="18" t="s">
        <v>83</v>
      </c>
      <c r="AT103" s="18" t="s">
        <v>81</v>
      </c>
      <c r="AU103" s="18" t="s">
        <v>81</v>
      </c>
      <c r="AV103" s="18" t="s">
        <v>95</v>
      </c>
      <c r="AW103" s="18" t="s">
        <v>95</v>
      </c>
      <c r="AX103" s="18"/>
      <c r="AY103" s="18" t="str">
        <f>Pospago[[#This Row],[NUM_TELEFONICO]]&amp;"POSPAGOSI"</f>
        <v>962934289POSPAGOSI</v>
      </c>
      <c r="AZ103" s="18" t="str">
        <f>VLOOKUP(Pospago[[#This Row],[NOM_PLAZA_FINAL]],[1]!Locales[#Data],3,0)</f>
        <v>TIENDA CONDADO</v>
      </c>
      <c r="BA103" s="18" t="str">
        <f>IFERROR(VLOOKUP(Pospago[[#This Row],[USUARIO]],[1]!Personal[#Data],6,0),"EJECUTIVO NO REGISTRADO")</f>
        <v>PADILLA MALDONADO HENRY LEOPOLDO</v>
      </c>
      <c r="BB103" s="18" t="str">
        <f>Pospago[[#This Row],[TIPO_MOVIMIENTO]]&amp;" "&amp;Pospago[[#This Row],[FORMA_PAGO_FINAL]]</f>
        <v>ALTAS DOMICILIADO</v>
      </c>
      <c r="BC103" s="18">
        <f>DAY(Pospago[[#This Row],[FECHA_ALTA]])</f>
        <v>1</v>
      </c>
      <c r="BD103" s="18">
        <f>IF(Pospago[[#This Row],[TARIFA_BASICA]]=11.42,1,0)</f>
        <v>0</v>
      </c>
      <c r="BE103" s="18">
        <f>IF(Pospago[[#This Row],[PLANES TELEVENTAS]]="SI",1,0)</f>
        <v>1</v>
      </c>
      <c r="BF103" s="18">
        <f>1</f>
        <v>1</v>
      </c>
      <c r="BG103" s="18">
        <f>IF(OR(Pospago[[#This Row],[TARIFA_BASICA]]=11.42,Pospago[[#This Row],[PLANES TELEVENTAS]]="SI"),1,0)</f>
        <v>1</v>
      </c>
      <c r="BH103" s="18" t="str">
        <f>IF(MID(Pospago[[#This Row],[PlanDesc]],1,4) = "PLAN","POSPAGO",IF(MID(Pospago[[#This Row],[PlanDesc]],1,4)="FULL","FULL MEGAS","PREVIOPAGO"))</f>
        <v>PREVIOPAGO</v>
      </c>
      <c r="BI1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" s="21">
        <f>Pospago[[#This Row],[TARIFA_BASICA]]*1.5</f>
        <v>21.419999999999998</v>
      </c>
    </row>
    <row r="104" spans="1:63" x14ac:dyDescent="0.25">
      <c r="A104" s="18" t="s">
        <v>154</v>
      </c>
      <c r="B104" s="18" t="s">
        <v>894</v>
      </c>
      <c r="C104" s="18" t="s">
        <v>895</v>
      </c>
      <c r="D104" s="19">
        <v>44898</v>
      </c>
      <c r="E104" s="18" t="s">
        <v>67</v>
      </c>
      <c r="F104" s="18" t="s">
        <v>896</v>
      </c>
      <c r="G104" s="18" t="s">
        <v>897</v>
      </c>
      <c r="H104" s="18" t="s">
        <v>159</v>
      </c>
      <c r="I104" s="18" t="s">
        <v>194</v>
      </c>
      <c r="J104" s="18" t="s">
        <v>268</v>
      </c>
      <c r="K104" s="18" t="s">
        <v>132</v>
      </c>
      <c r="L104" s="20" t="s">
        <v>898</v>
      </c>
      <c r="M104" s="18" t="s">
        <v>75</v>
      </c>
      <c r="N104" s="20" t="s">
        <v>899</v>
      </c>
      <c r="O104" s="18" t="s">
        <v>164</v>
      </c>
      <c r="P104" s="18" t="s">
        <v>78</v>
      </c>
      <c r="Q104" s="19">
        <v>44914</v>
      </c>
      <c r="R104" s="21">
        <v>14.28</v>
      </c>
      <c r="S104" s="18" t="s">
        <v>79</v>
      </c>
      <c r="T104" s="18" t="s">
        <v>232</v>
      </c>
      <c r="U104" s="18" t="s">
        <v>83</v>
      </c>
      <c r="V104" s="18" t="s">
        <v>95</v>
      </c>
      <c r="W104" s="18" t="s">
        <v>95</v>
      </c>
      <c r="X104" s="18" t="s">
        <v>118</v>
      </c>
      <c r="Y104" s="18" t="s">
        <v>85</v>
      </c>
      <c r="Z104" s="18" t="s">
        <v>86</v>
      </c>
      <c r="AA104" s="18" t="s">
        <v>119</v>
      </c>
      <c r="AB104" s="18" t="s">
        <v>280</v>
      </c>
      <c r="AC104" s="18" t="s">
        <v>281</v>
      </c>
      <c r="AD104" s="18" t="s">
        <v>85</v>
      </c>
      <c r="AE104" s="18" t="s">
        <v>90</v>
      </c>
      <c r="AF104" s="18" t="s">
        <v>235</v>
      </c>
      <c r="AG104" s="18" t="s">
        <v>139</v>
      </c>
      <c r="AH104" s="18" t="s">
        <v>165</v>
      </c>
      <c r="AI104" s="18" t="s">
        <v>94</v>
      </c>
      <c r="AJ104" s="19">
        <v>44898</v>
      </c>
      <c r="AK104" s="22" t="s">
        <v>95</v>
      </c>
      <c r="AL104" s="18" t="s">
        <v>95</v>
      </c>
      <c r="AM104" s="18" t="s">
        <v>95</v>
      </c>
      <c r="AN104" s="18" t="s">
        <v>95</v>
      </c>
      <c r="AO104" s="18" t="s">
        <v>95</v>
      </c>
      <c r="AP104" s="18" t="s">
        <v>95</v>
      </c>
      <c r="AQ104" s="18" t="s">
        <v>95</v>
      </c>
      <c r="AR104" s="18" t="s">
        <v>95</v>
      </c>
      <c r="AS104" s="18" t="s">
        <v>83</v>
      </c>
      <c r="AT104" s="18" t="s">
        <v>81</v>
      </c>
      <c r="AU104" s="18" t="s">
        <v>81</v>
      </c>
      <c r="AV104" s="18" t="s">
        <v>95</v>
      </c>
      <c r="AW104" s="18" t="s">
        <v>96</v>
      </c>
      <c r="AX104" s="18"/>
      <c r="AY104" s="18" t="str">
        <f>Pospago[[#This Row],[NUM_TELEFONICO]]&amp;"POSPAGOSI"</f>
        <v>962935530POSPAGOSI</v>
      </c>
      <c r="AZ104" s="18" t="str">
        <f>VLOOKUP(Pospago[[#This Row],[NOM_PLAZA_FINAL]],[1]!Locales[#Data],3,0)</f>
        <v>TIENDA CONDADO</v>
      </c>
      <c r="BA104" s="18" t="str">
        <f>IFERROR(VLOOKUP(Pospago[[#This Row],[USUARIO]],[1]!Personal[#Data],6,0),"EJECUTIVO NO REGISTRADO")</f>
        <v>GUACHAMIN CAZA HUGO ADRIAN</v>
      </c>
      <c r="BB104" s="18" t="str">
        <f>Pospago[[#This Row],[TIPO_MOVIMIENTO]]&amp;" "&amp;Pospago[[#This Row],[FORMA_PAGO_FINAL]]</f>
        <v>TRANSFERENCIAS PAGO EN CAJA</v>
      </c>
      <c r="BC104" s="18">
        <f>DAY(Pospago[[#This Row],[FECHA_ALTA]])</f>
        <v>3</v>
      </c>
      <c r="BD104" s="18">
        <f>IF(Pospago[[#This Row],[TARIFA_BASICA]]=11.42,1,0)</f>
        <v>0</v>
      </c>
      <c r="BE104" s="18">
        <f>IF(Pospago[[#This Row],[PLANES TELEVENTAS]]="SI",1,0)</f>
        <v>1</v>
      </c>
      <c r="BF104" s="18">
        <f>1</f>
        <v>1</v>
      </c>
      <c r="BG104" s="18">
        <f>IF(OR(Pospago[[#This Row],[TARIFA_BASICA]]=11.42,Pospago[[#This Row],[PLANES TELEVENTAS]]="SI"),1,0)</f>
        <v>1</v>
      </c>
      <c r="BH104" s="18" t="str">
        <f>IF(MID(Pospago[[#This Row],[PlanDesc]],1,4) = "PLAN","POSPAGO",IF(MID(Pospago[[#This Row],[PlanDesc]],1,4)="FULL","FULL MEGAS","PREVIOPAGO"))</f>
        <v>PREVIOPAGO</v>
      </c>
      <c r="BI1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4" s="21">
        <f>Pospago[[#This Row],[TARIFA_BASICA]]*1.5</f>
        <v>21.419999999999998</v>
      </c>
    </row>
    <row r="105" spans="1:63" x14ac:dyDescent="0.25">
      <c r="A105" s="18" t="s">
        <v>64</v>
      </c>
      <c r="B105" s="18" t="s">
        <v>900</v>
      </c>
      <c r="C105" s="18" t="s">
        <v>901</v>
      </c>
      <c r="D105" s="19">
        <v>44910</v>
      </c>
      <c r="E105" s="18" t="s">
        <v>67</v>
      </c>
      <c r="F105" s="18" t="s">
        <v>902</v>
      </c>
      <c r="G105" s="18" t="s">
        <v>903</v>
      </c>
      <c r="H105" s="18" t="s">
        <v>70</v>
      </c>
      <c r="I105" s="18" t="s">
        <v>574</v>
      </c>
      <c r="J105" s="18" t="s">
        <v>575</v>
      </c>
      <c r="K105" s="18" t="s">
        <v>114</v>
      </c>
      <c r="L105" s="20" t="s">
        <v>904</v>
      </c>
      <c r="M105" s="18" t="s">
        <v>75</v>
      </c>
      <c r="N105" s="20" t="s">
        <v>905</v>
      </c>
      <c r="O105" s="18" t="s">
        <v>231</v>
      </c>
      <c r="P105" s="18" t="s">
        <v>78</v>
      </c>
      <c r="Q105" s="19">
        <v>44914</v>
      </c>
      <c r="R105" s="21">
        <v>17.850000000000001</v>
      </c>
      <c r="S105" s="18" t="s">
        <v>79</v>
      </c>
      <c r="T105" s="18" t="s">
        <v>117</v>
      </c>
      <c r="U105" s="18" t="s">
        <v>83</v>
      </c>
      <c r="V105" s="18" t="s">
        <v>95</v>
      </c>
      <c r="W105" s="18" t="s">
        <v>83</v>
      </c>
      <c r="X105" s="18" t="s">
        <v>215</v>
      </c>
      <c r="Y105" s="18" t="s">
        <v>85</v>
      </c>
      <c r="Z105" s="18" t="s">
        <v>86</v>
      </c>
      <c r="AA105" s="18" t="s">
        <v>87</v>
      </c>
      <c r="AB105" s="18" t="s">
        <v>120</v>
      </c>
      <c r="AC105" s="18" t="s">
        <v>121</v>
      </c>
      <c r="AD105" s="18" t="s">
        <v>85</v>
      </c>
      <c r="AE105" s="18" t="s">
        <v>90</v>
      </c>
      <c r="AF105" s="18" t="s">
        <v>122</v>
      </c>
      <c r="AG105" s="18" t="s">
        <v>92</v>
      </c>
      <c r="AH105" s="18" t="s">
        <v>93</v>
      </c>
      <c r="AI105" s="18" t="s">
        <v>94</v>
      </c>
      <c r="AJ105" s="19">
        <v>44910</v>
      </c>
      <c r="AK105" s="22" t="s">
        <v>95</v>
      </c>
      <c r="AL105" s="18" t="s">
        <v>95</v>
      </c>
      <c r="AM105" s="18" t="s">
        <v>95</v>
      </c>
      <c r="AN105" s="18" t="s">
        <v>95</v>
      </c>
      <c r="AO105" s="18" t="s">
        <v>95</v>
      </c>
      <c r="AP105" s="18" t="s">
        <v>95</v>
      </c>
      <c r="AQ105" s="18" t="s">
        <v>95</v>
      </c>
      <c r="AR105" s="18" t="s">
        <v>95</v>
      </c>
      <c r="AS105" s="18" t="s">
        <v>83</v>
      </c>
      <c r="AT105" s="18" t="s">
        <v>83</v>
      </c>
      <c r="AU105" s="18" t="s">
        <v>83</v>
      </c>
      <c r="AV105" s="18" t="s">
        <v>95</v>
      </c>
      <c r="AW105" s="18" t="s">
        <v>95</v>
      </c>
      <c r="AX105" s="18"/>
      <c r="AY105" s="18" t="str">
        <f>Pospago[[#This Row],[NUM_TELEFONICO]]&amp;"POSPAGOSI"</f>
        <v>962946177POSPAGOSI</v>
      </c>
      <c r="AZ105" s="18" t="str">
        <f>VLOOKUP(Pospago[[#This Row],[NOM_PLAZA_FINAL]],[1]!Locales[#Data],3,0)</f>
        <v>TIENDA MACHALA</v>
      </c>
      <c r="BA105" s="18" t="str">
        <f>IFERROR(VLOOKUP(Pospago[[#This Row],[USUARIO]],[1]!Personal[#Data],6,0),"EJECUTIVO NO REGISTRADO")</f>
        <v>ARROBO VICENTE YADIRA ESPERANZA</v>
      </c>
      <c r="BB105" s="18" t="str">
        <f>Pospago[[#This Row],[TIPO_MOVIMIENTO]]&amp;" "&amp;Pospago[[#This Row],[FORMA_PAGO_FINAL]]</f>
        <v>ALTAS DOMICILIADO</v>
      </c>
      <c r="BC105" s="18">
        <f>DAY(Pospago[[#This Row],[FECHA_ALTA]])</f>
        <v>15</v>
      </c>
      <c r="BD105" s="18">
        <f>IF(Pospago[[#This Row],[TARIFA_BASICA]]=11.42,1,0)</f>
        <v>0</v>
      </c>
      <c r="BE105" s="18">
        <f>IF(Pospago[[#This Row],[PLANES TELEVENTAS]]="SI",1,0)</f>
        <v>0</v>
      </c>
      <c r="BF105" s="18">
        <f>1</f>
        <v>1</v>
      </c>
      <c r="BG105" s="18">
        <f>IF(OR(Pospago[[#This Row],[TARIFA_BASICA]]=11.42,Pospago[[#This Row],[PLANES TELEVENTAS]]="SI"),1,0)</f>
        <v>0</v>
      </c>
      <c r="BH105" s="18" t="str">
        <f>IF(MID(Pospago[[#This Row],[PlanDesc]],1,4) = "PLAN","POSPAGO",IF(MID(Pospago[[#This Row],[PlanDesc]],1,4)="FULL","FULL MEGAS","PREVIOPAGO"))</f>
        <v>POSPAGO</v>
      </c>
      <c r="BI1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25.212</v>
      </c>
      <c r="BJ1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5" s="21">
        <f>Pospago[[#This Row],[TARIFA_BASICA]]*1.5</f>
        <v>26.775000000000002</v>
      </c>
    </row>
    <row r="106" spans="1:63" x14ac:dyDescent="0.25">
      <c r="A106" s="18" t="s">
        <v>64</v>
      </c>
      <c r="B106" s="18" t="s">
        <v>906</v>
      </c>
      <c r="C106" s="18" t="s">
        <v>907</v>
      </c>
      <c r="D106" s="19">
        <v>44900</v>
      </c>
      <c r="E106" s="18" t="s">
        <v>67</v>
      </c>
      <c r="F106" s="18" t="s">
        <v>908</v>
      </c>
      <c r="G106" s="18" t="s">
        <v>909</v>
      </c>
      <c r="H106" s="18" t="s">
        <v>70</v>
      </c>
      <c r="I106" s="18" t="s">
        <v>112</v>
      </c>
      <c r="J106" s="18" t="s">
        <v>113</v>
      </c>
      <c r="K106" s="18" t="s">
        <v>132</v>
      </c>
      <c r="L106" s="20" t="s">
        <v>910</v>
      </c>
      <c r="M106" s="18" t="s">
        <v>75</v>
      </c>
      <c r="N106" s="20" t="s">
        <v>911</v>
      </c>
      <c r="O106" s="18" t="s">
        <v>77</v>
      </c>
      <c r="P106" s="18" t="s">
        <v>78</v>
      </c>
      <c r="Q106" s="19">
        <v>44914</v>
      </c>
      <c r="R106" s="21">
        <v>17.850000000000001</v>
      </c>
      <c r="S106" s="18" t="s">
        <v>79</v>
      </c>
      <c r="T106" s="18" t="s">
        <v>135</v>
      </c>
      <c r="U106" s="18" t="s">
        <v>83</v>
      </c>
      <c r="V106" s="18" t="s">
        <v>95</v>
      </c>
      <c r="W106" s="18" t="s">
        <v>83</v>
      </c>
      <c r="X106" s="18" t="s">
        <v>84</v>
      </c>
      <c r="Y106" s="18" t="s">
        <v>85</v>
      </c>
      <c r="Z106" s="18" t="s">
        <v>86</v>
      </c>
      <c r="AA106" s="18" t="s">
        <v>87</v>
      </c>
      <c r="AB106" s="18" t="s">
        <v>136</v>
      </c>
      <c r="AC106" s="18" t="s">
        <v>137</v>
      </c>
      <c r="AD106" s="18" t="s">
        <v>85</v>
      </c>
      <c r="AE106" s="18" t="s">
        <v>90</v>
      </c>
      <c r="AF106" s="18" t="s">
        <v>138</v>
      </c>
      <c r="AG106" s="18" t="s">
        <v>139</v>
      </c>
      <c r="AH106" s="18" t="s">
        <v>93</v>
      </c>
      <c r="AI106" s="18" t="s">
        <v>94</v>
      </c>
      <c r="AJ106" s="19">
        <v>44900</v>
      </c>
      <c r="AK106" s="22" t="s">
        <v>95</v>
      </c>
      <c r="AL106" s="18" t="s">
        <v>95</v>
      </c>
      <c r="AM106" s="18" t="s">
        <v>95</v>
      </c>
      <c r="AN106" s="18" t="s">
        <v>95</v>
      </c>
      <c r="AO106" s="18" t="s">
        <v>95</v>
      </c>
      <c r="AP106" s="18" t="s">
        <v>95</v>
      </c>
      <c r="AQ106" s="18" t="s">
        <v>95</v>
      </c>
      <c r="AR106" s="18" t="s">
        <v>95</v>
      </c>
      <c r="AS106" s="18" t="s">
        <v>83</v>
      </c>
      <c r="AT106" s="18" t="s">
        <v>83</v>
      </c>
      <c r="AU106" s="18" t="s">
        <v>81</v>
      </c>
      <c r="AV106" s="18" t="s">
        <v>95</v>
      </c>
      <c r="AW106" s="18" t="s">
        <v>96</v>
      </c>
      <c r="AX106" s="18"/>
      <c r="AY106" s="18" t="str">
        <f>Pospago[[#This Row],[NUM_TELEFONICO]]&amp;"POSPAGOSI"</f>
        <v>962956464POSPAGOSI</v>
      </c>
      <c r="AZ106" s="18" t="str">
        <f>VLOOKUP(Pospago[[#This Row],[NOM_PLAZA_FINAL]],[1]!Locales[#Data],3,0)</f>
        <v>TIENDA AMERICA</v>
      </c>
      <c r="BA106" s="18" t="str">
        <f>IFERROR(VLOOKUP(Pospago[[#This Row],[USUARIO]],[1]!Personal[#Data],6,0),"EJECUTIVO NO REGISTRADO")</f>
        <v>SALVATIERRA GUERRA JULIAN ENRIQUE</v>
      </c>
      <c r="BB106" s="18" t="str">
        <f>Pospago[[#This Row],[TIPO_MOVIMIENTO]]&amp;" "&amp;Pospago[[#This Row],[FORMA_PAGO_FINAL]]</f>
        <v>ALTAS DOMICILIADO</v>
      </c>
      <c r="BC106" s="18">
        <f>DAY(Pospago[[#This Row],[FECHA_ALTA]])</f>
        <v>5</v>
      </c>
      <c r="BD106" s="18">
        <f>IF(Pospago[[#This Row],[TARIFA_BASICA]]=11.42,1,0)</f>
        <v>0</v>
      </c>
      <c r="BE106" s="18">
        <f>IF(Pospago[[#This Row],[PLANES TELEVENTAS]]="SI",1,0)</f>
        <v>0</v>
      </c>
      <c r="BF106" s="18">
        <f>1</f>
        <v>1</v>
      </c>
      <c r="BG106" s="18">
        <f>IF(OR(Pospago[[#This Row],[TARIFA_BASICA]]=11.42,Pospago[[#This Row],[PLANES TELEVENTAS]]="SI"),1,0)</f>
        <v>0</v>
      </c>
      <c r="BH106" s="18" t="str">
        <f>IF(MID(Pospago[[#This Row],[PlanDesc]],1,4) = "PLAN","POSPAGO",IF(MID(Pospago[[#This Row],[PlanDesc]],1,4)="FULL","FULL MEGAS","PREVIOPAGO"))</f>
        <v>PREVIOPAGO</v>
      </c>
      <c r="BI1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6" s="21">
        <f>Pospago[[#This Row],[TARIFA_BASICA]]*1.5</f>
        <v>26.775000000000002</v>
      </c>
    </row>
    <row r="107" spans="1:63" x14ac:dyDescent="0.25">
      <c r="A107" s="18" t="s">
        <v>154</v>
      </c>
      <c r="B107" s="18" t="s">
        <v>912</v>
      </c>
      <c r="C107" s="18" t="s">
        <v>913</v>
      </c>
      <c r="D107" s="19">
        <v>44903</v>
      </c>
      <c r="E107" s="18" t="s">
        <v>67</v>
      </c>
      <c r="F107" s="18" t="s">
        <v>914</v>
      </c>
      <c r="G107" s="18" t="s">
        <v>915</v>
      </c>
      <c r="H107" s="18" t="s">
        <v>159</v>
      </c>
      <c r="I107" s="18" t="s">
        <v>71</v>
      </c>
      <c r="J107" s="18" t="s">
        <v>258</v>
      </c>
      <c r="K107" s="18" t="s">
        <v>73</v>
      </c>
      <c r="L107" s="20" t="s">
        <v>916</v>
      </c>
      <c r="M107" s="18" t="s">
        <v>75</v>
      </c>
      <c r="N107" s="20" t="s">
        <v>917</v>
      </c>
      <c r="O107" s="18" t="s">
        <v>164</v>
      </c>
      <c r="P107" s="18" t="s">
        <v>78</v>
      </c>
      <c r="Q107" s="19">
        <v>44914</v>
      </c>
      <c r="R107" s="21">
        <v>11.42</v>
      </c>
      <c r="S107" s="18" t="s">
        <v>79</v>
      </c>
      <c r="T107" s="18" t="s">
        <v>174</v>
      </c>
      <c r="U107" s="18" t="s">
        <v>83</v>
      </c>
      <c r="V107" s="18" t="s">
        <v>95</v>
      </c>
      <c r="W107" s="18" t="s">
        <v>95</v>
      </c>
      <c r="X107" s="18" t="s">
        <v>118</v>
      </c>
      <c r="Y107" s="18" t="s">
        <v>85</v>
      </c>
      <c r="Z107" s="18" t="s">
        <v>86</v>
      </c>
      <c r="AA107" s="18" t="s">
        <v>119</v>
      </c>
      <c r="AB107" s="18" t="s">
        <v>918</v>
      </c>
      <c r="AC107" s="18" t="s">
        <v>919</v>
      </c>
      <c r="AD107" s="18" t="s">
        <v>85</v>
      </c>
      <c r="AE107" s="18" t="s">
        <v>90</v>
      </c>
      <c r="AF107" s="18" t="s">
        <v>177</v>
      </c>
      <c r="AG107" s="18" t="s">
        <v>139</v>
      </c>
      <c r="AH107" s="18" t="s">
        <v>165</v>
      </c>
      <c r="AI107" s="18" t="s">
        <v>94</v>
      </c>
      <c r="AJ107" s="19">
        <v>44903</v>
      </c>
      <c r="AK107" s="22" t="s">
        <v>95</v>
      </c>
      <c r="AL107" s="18" t="s">
        <v>95</v>
      </c>
      <c r="AM107" s="18" t="s">
        <v>95</v>
      </c>
      <c r="AN107" s="18" t="s">
        <v>95</v>
      </c>
      <c r="AO107" s="18" t="s">
        <v>95</v>
      </c>
      <c r="AP107" s="18" t="s">
        <v>95</v>
      </c>
      <c r="AQ107" s="18" t="s">
        <v>95</v>
      </c>
      <c r="AR107" s="18" t="s">
        <v>95</v>
      </c>
      <c r="AS107" s="18" t="s">
        <v>83</v>
      </c>
      <c r="AT107" s="18" t="s">
        <v>83</v>
      </c>
      <c r="AU107" s="18" t="s">
        <v>81</v>
      </c>
      <c r="AV107" s="18" t="s">
        <v>95</v>
      </c>
      <c r="AW107" s="18" t="s">
        <v>96</v>
      </c>
      <c r="AX107" s="18"/>
      <c r="AY107" s="18" t="str">
        <f>Pospago[[#This Row],[NUM_TELEFONICO]]&amp;"POSPAGOSI"</f>
        <v>962957060POSPAGOSI</v>
      </c>
      <c r="AZ107" s="18" t="str">
        <f>VLOOKUP(Pospago[[#This Row],[NOM_PLAZA_FINAL]],[1]!Locales[#Data],3,0)</f>
        <v>TIENDA RECREO</v>
      </c>
      <c r="BA107" s="18" t="str">
        <f>IFERROR(VLOOKUP(Pospago[[#This Row],[USUARIO]],[1]!Personal[#Data],6,0),"EJECUTIVO NO REGISTRADO")</f>
        <v>ORELLANA CARRERA MICHAEL ALEXANDER</v>
      </c>
      <c r="BB107" s="18" t="str">
        <f>Pospago[[#This Row],[TIPO_MOVIMIENTO]]&amp;" "&amp;Pospago[[#This Row],[FORMA_PAGO_FINAL]]</f>
        <v>TRANSFERENCIAS PAGO EN CAJA</v>
      </c>
      <c r="BC107" s="18">
        <f>DAY(Pospago[[#This Row],[FECHA_ALTA]])</f>
        <v>8</v>
      </c>
      <c r="BD107" s="18">
        <f>IF(Pospago[[#This Row],[TARIFA_BASICA]]=11.42,1,0)</f>
        <v>1</v>
      </c>
      <c r="BE107" s="18">
        <f>IF(Pospago[[#This Row],[PLANES TELEVENTAS]]="SI",1,0)</f>
        <v>0</v>
      </c>
      <c r="BF107" s="18">
        <f>1</f>
        <v>1</v>
      </c>
      <c r="BG107" s="18">
        <f>IF(OR(Pospago[[#This Row],[TARIFA_BASICA]]=11.42,Pospago[[#This Row],[PLANES TELEVENTAS]]="SI"),1,0)</f>
        <v>1</v>
      </c>
      <c r="BH107" s="18" t="str">
        <f>IF(MID(Pospago[[#This Row],[PlanDesc]],1,4) = "PLAN","POSPAGO",IF(MID(Pospago[[#This Row],[PlanDesc]],1,4)="FULL","FULL MEGAS","PREVIOPAGO"))</f>
        <v>PREVIOPAGO</v>
      </c>
      <c r="BI1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7" s="21">
        <f>Pospago[[#This Row],[TARIFA_BASICA]]*1.5</f>
        <v>17.13</v>
      </c>
    </row>
    <row r="108" spans="1:63" x14ac:dyDescent="0.25">
      <c r="A108" s="18" t="s">
        <v>154</v>
      </c>
      <c r="B108" s="18" t="s">
        <v>920</v>
      </c>
      <c r="C108" s="18" t="s">
        <v>921</v>
      </c>
      <c r="D108" s="19">
        <v>44904</v>
      </c>
      <c r="E108" s="18" t="s">
        <v>67</v>
      </c>
      <c r="F108" s="18" t="s">
        <v>922</v>
      </c>
      <c r="G108" s="18" t="s">
        <v>923</v>
      </c>
      <c r="H108" s="18" t="s">
        <v>159</v>
      </c>
      <c r="I108" s="18" t="s">
        <v>160</v>
      </c>
      <c r="J108" s="18" t="s">
        <v>161</v>
      </c>
      <c r="K108" s="18" t="s">
        <v>132</v>
      </c>
      <c r="L108" s="20" t="s">
        <v>924</v>
      </c>
      <c r="M108" s="18" t="s">
        <v>75</v>
      </c>
      <c r="N108" s="20" t="s">
        <v>925</v>
      </c>
      <c r="O108" s="18" t="s">
        <v>164</v>
      </c>
      <c r="P108" s="18" t="s">
        <v>78</v>
      </c>
      <c r="Q108" s="19">
        <v>44914</v>
      </c>
      <c r="R108" s="21">
        <v>14.28</v>
      </c>
      <c r="S108" s="18" t="s">
        <v>79</v>
      </c>
      <c r="T108" s="18" t="s">
        <v>174</v>
      </c>
      <c r="U108" s="18" t="s">
        <v>83</v>
      </c>
      <c r="V108" s="18" t="s">
        <v>95</v>
      </c>
      <c r="W108" s="18" t="s">
        <v>95</v>
      </c>
      <c r="X108" s="18" t="s">
        <v>215</v>
      </c>
      <c r="Y108" s="18" t="s">
        <v>85</v>
      </c>
      <c r="Z108" s="18" t="s">
        <v>86</v>
      </c>
      <c r="AA108" s="18" t="s">
        <v>87</v>
      </c>
      <c r="AB108" s="18" t="s">
        <v>926</v>
      </c>
      <c r="AC108" s="18" t="s">
        <v>927</v>
      </c>
      <c r="AD108" s="18" t="s">
        <v>85</v>
      </c>
      <c r="AE108" s="18" t="s">
        <v>90</v>
      </c>
      <c r="AF108" s="18" t="s">
        <v>177</v>
      </c>
      <c r="AG108" s="18" t="s">
        <v>139</v>
      </c>
      <c r="AH108" s="18" t="s">
        <v>165</v>
      </c>
      <c r="AI108" s="18" t="s">
        <v>94</v>
      </c>
      <c r="AJ108" s="19">
        <v>44904</v>
      </c>
      <c r="AK108" s="22" t="s">
        <v>95</v>
      </c>
      <c r="AL108" s="18" t="s">
        <v>95</v>
      </c>
      <c r="AM108" s="18" t="s">
        <v>95</v>
      </c>
      <c r="AN108" s="18" t="s">
        <v>95</v>
      </c>
      <c r="AO108" s="18" t="s">
        <v>95</v>
      </c>
      <c r="AP108" s="18" t="s">
        <v>95</v>
      </c>
      <c r="AQ108" s="18" t="s">
        <v>95</v>
      </c>
      <c r="AR108" s="18" t="s">
        <v>95</v>
      </c>
      <c r="AS108" s="18" t="s">
        <v>83</v>
      </c>
      <c r="AT108" s="18" t="s">
        <v>83</v>
      </c>
      <c r="AU108" s="18" t="s">
        <v>81</v>
      </c>
      <c r="AV108" s="18" t="s">
        <v>95</v>
      </c>
      <c r="AW108" s="18" t="s">
        <v>95</v>
      </c>
      <c r="AX108" s="18"/>
      <c r="AY108" s="18" t="str">
        <f>Pospago[[#This Row],[NUM_TELEFONICO]]&amp;"POSPAGOSI"</f>
        <v>962962185POSPAGOSI</v>
      </c>
      <c r="AZ108" s="18" t="str">
        <f>VLOOKUP(Pospago[[#This Row],[NOM_PLAZA_FINAL]],[1]!Locales[#Data],3,0)</f>
        <v>TIENDA RECREO</v>
      </c>
      <c r="BA108" s="18" t="str">
        <f>IFERROR(VLOOKUP(Pospago[[#This Row],[USUARIO]],[1]!Personal[#Data],6,0),"EJECUTIVO NO REGISTRADO")</f>
        <v>CABEZAS LOPEZ ROBERTO ALEJANDRO</v>
      </c>
      <c r="BB108" s="18" t="str">
        <f>Pospago[[#This Row],[TIPO_MOVIMIENTO]]&amp;" "&amp;Pospago[[#This Row],[FORMA_PAGO_FINAL]]</f>
        <v>TRANSFERENCIAS DOMICILIADO</v>
      </c>
      <c r="BC108" s="18">
        <f>DAY(Pospago[[#This Row],[FECHA_ALTA]])</f>
        <v>9</v>
      </c>
      <c r="BD108" s="18">
        <f>IF(Pospago[[#This Row],[TARIFA_BASICA]]=11.42,1,0)</f>
        <v>0</v>
      </c>
      <c r="BE108" s="18">
        <f>IF(Pospago[[#This Row],[PLANES TELEVENTAS]]="SI",1,0)</f>
        <v>0</v>
      </c>
      <c r="BF108" s="18">
        <f>1</f>
        <v>1</v>
      </c>
      <c r="BG108" s="18">
        <f>IF(OR(Pospago[[#This Row],[TARIFA_BASICA]]=11.42,Pospago[[#This Row],[PLANES TELEVENTAS]]="SI"),1,0)</f>
        <v>0</v>
      </c>
      <c r="BH108" s="18" t="str">
        <f>IF(MID(Pospago[[#This Row],[PlanDesc]],1,4) = "PLAN","POSPAGO",IF(MID(Pospago[[#This Row],[PlanDesc]],1,4)="FULL","FULL MEGAS","PREVIOPAGO"))</f>
        <v>PREVIOPAGO</v>
      </c>
      <c r="BI1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8" s="21">
        <f>Pospago[[#This Row],[TARIFA_BASICA]]*1.5</f>
        <v>21.419999999999998</v>
      </c>
    </row>
    <row r="109" spans="1:63" x14ac:dyDescent="0.25">
      <c r="A109" s="18" t="s">
        <v>64</v>
      </c>
      <c r="B109" s="18" t="s">
        <v>928</v>
      </c>
      <c r="C109" s="18" t="s">
        <v>929</v>
      </c>
      <c r="D109" s="19">
        <v>44906</v>
      </c>
      <c r="E109" s="18" t="s">
        <v>67</v>
      </c>
      <c r="F109" s="18" t="s">
        <v>930</v>
      </c>
      <c r="G109" s="18" t="s">
        <v>931</v>
      </c>
      <c r="H109" s="18" t="s">
        <v>70</v>
      </c>
      <c r="I109" s="18" t="s">
        <v>227</v>
      </c>
      <c r="J109" s="18" t="s">
        <v>228</v>
      </c>
      <c r="K109" s="18" t="s">
        <v>259</v>
      </c>
      <c r="L109" s="20" t="s">
        <v>932</v>
      </c>
      <c r="M109" s="18" t="s">
        <v>75</v>
      </c>
      <c r="N109" s="20" t="s">
        <v>933</v>
      </c>
      <c r="O109" s="18" t="s">
        <v>231</v>
      </c>
      <c r="P109" s="18" t="s">
        <v>78</v>
      </c>
      <c r="Q109" s="19">
        <v>44914</v>
      </c>
      <c r="R109" s="21">
        <v>21.42</v>
      </c>
      <c r="S109" s="18" t="s">
        <v>79</v>
      </c>
      <c r="T109" s="18" t="s">
        <v>232</v>
      </c>
      <c r="U109" s="18" t="s">
        <v>83</v>
      </c>
      <c r="V109" s="18" t="s">
        <v>95</v>
      </c>
      <c r="W109" s="18" t="s">
        <v>83</v>
      </c>
      <c r="X109" s="18" t="s">
        <v>84</v>
      </c>
      <c r="Y109" s="18" t="s">
        <v>85</v>
      </c>
      <c r="Z109" s="18" t="s">
        <v>86</v>
      </c>
      <c r="AA109" s="18" t="s">
        <v>87</v>
      </c>
      <c r="AB109" s="18" t="s">
        <v>233</v>
      </c>
      <c r="AC109" s="18" t="s">
        <v>234</v>
      </c>
      <c r="AD109" s="18" t="s">
        <v>85</v>
      </c>
      <c r="AE109" s="18" t="s">
        <v>90</v>
      </c>
      <c r="AF109" s="18" t="s">
        <v>235</v>
      </c>
      <c r="AG109" s="18" t="s">
        <v>139</v>
      </c>
      <c r="AH109" s="18" t="s">
        <v>93</v>
      </c>
      <c r="AI109" s="18" t="s">
        <v>94</v>
      </c>
      <c r="AJ109" s="19">
        <v>44906</v>
      </c>
      <c r="AK109" s="22" t="s">
        <v>95</v>
      </c>
      <c r="AL109" s="18" t="s">
        <v>95</v>
      </c>
      <c r="AM109" s="18" t="s">
        <v>95</v>
      </c>
      <c r="AN109" s="18" t="s">
        <v>95</v>
      </c>
      <c r="AO109" s="18" t="s">
        <v>95</v>
      </c>
      <c r="AP109" s="18" t="s">
        <v>95</v>
      </c>
      <c r="AQ109" s="18" t="s">
        <v>95</v>
      </c>
      <c r="AR109" s="18" t="s">
        <v>95</v>
      </c>
      <c r="AS109" s="18" t="s">
        <v>83</v>
      </c>
      <c r="AT109" s="18" t="s">
        <v>83</v>
      </c>
      <c r="AU109" s="18" t="s">
        <v>81</v>
      </c>
      <c r="AV109" s="18" t="s">
        <v>95</v>
      </c>
      <c r="AW109" s="18" t="s">
        <v>291</v>
      </c>
      <c r="AX109" s="18"/>
      <c r="AY109" s="18" t="str">
        <f>Pospago[[#This Row],[NUM_TELEFONICO]]&amp;"POSPAGOSI"</f>
        <v>962962318POSPAGOSI</v>
      </c>
      <c r="AZ109" s="18" t="str">
        <f>VLOOKUP(Pospago[[#This Row],[NOM_PLAZA_FINAL]],[1]!Locales[#Data],3,0)</f>
        <v>TIENDA CONDADO</v>
      </c>
      <c r="BA109" s="18" t="str">
        <f>IFERROR(VLOOKUP(Pospago[[#This Row],[USUARIO]],[1]!Personal[#Data],6,0),"EJECUTIVO NO REGISTRADO")</f>
        <v>ROSALES MALDONADO JESSICA GABRIELA</v>
      </c>
      <c r="BB109" s="18" t="str">
        <f>Pospago[[#This Row],[TIPO_MOVIMIENTO]]&amp;" "&amp;Pospago[[#This Row],[FORMA_PAGO_FINAL]]</f>
        <v>ALTAS DOMICILIADO</v>
      </c>
      <c r="BC109" s="18">
        <f>DAY(Pospago[[#This Row],[FECHA_ALTA]])</f>
        <v>11</v>
      </c>
      <c r="BD109" s="18">
        <f>IF(Pospago[[#This Row],[TARIFA_BASICA]]=11.42,1,0)</f>
        <v>0</v>
      </c>
      <c r="BE109" s="18">
        <f>IF(Pospago[[#This Row],[PLANES TELEVENTAS]]="SI",1,0)</f>
        <v>0</v>
      </c>
      <c r="BF109" s="18">
        <f>1</f>
        <v>1</v>
      </c>
      <c r="BG109" s="18">
        <f>IF(OR(Pospago[[#This Row],[TARIFA_BASICA]]=11.42,Pospago[[#This Row],[PLANES TELEVENTAS]]="SI"),1,0)</f>
        <v>0</v>
      </c>
      <c r="BH109" s="18" t="str">
        <f>IF(MID(Pospago[[#This Row],[PlanDesc]],1,4) = "PLAN","POSPAGO",IF(MID(Pospago[[#This Row],[PlanDesc]],1,4)="FULL","FULL MEGAS","PREVIOPAGO"))</f>
        <v>PREVIOPAGO</v>
      </c>
      <c r="BI1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1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9" s="21">
        <f>Pospago[[#This Row],[TARIFA_BASICA]]*1.5</f>
        <v>32.130000000000003</v>
      </c>
    </row>
    <row r="110" spans="1:63" x14ac:dyDescent="0.25">
      <c r="A110" s="18" t="s">
        <v>154</v>
      </c>
      <c r="B110" s="18" t="s">
        <v>934</v>
      </c>
      <c r="C110" s="18" t="s">
        <v>935</v>
      </c>
      <c r="D110" s="19">
        <v>44909</v>
      </c>
      <c r="E110" s="18" t="s">
        <v>67</v>
      </c>
      <c r="F110" s="18" t="s">
        <v>936</v>
      </c>
      <c r="G110" s="18" t="s">
        <v>937</v>
      </c>
      <c r="H110" s="18" t="s">
        <v>159</v>
      </c>
      <c r="I110" s="18" t="s">
        <v>71</v>
      </c>
      <c r="J110" s="18" t="s">
        <v>258</v>
      </c>
      <c r="K110" s="18" t="s">
        <v>132</v>
      </c>
      <c r="L110" s="20" t="s">
        <v>938</v>
      </c>
      <c r="M110" s="18" t="s">
        <v>75</v>
      </c>
      <c r="N110" s="20" t="s">
        <v>939</v>
      </c>
      <c r="O110" s="18" t="s">
        <v>164</v>
      </c>
      <c r="P110" s="18" t="s">
        <v>78</v>
      </c>
      <c r="Q110" s="19">
        <v>44914</v>
      </c>
      <c r="R110" s="21">
        <v>11.42</v>
      </c>
      <c r="S110" s="18" t="s">
        <v>79</v>
      </c>
      <c r="T110" s="18" t="s">
        <v>174</v>
      </c>
      <c r="U110" s="18" t="s">
        <v>83</v>
      </c>
      <c r="V110" s="18" t="s">
        <v>95</v>
      </c>
      <c r="W110" s="18" t="s">
        <v>95</v>
      </c>
      <c r="X110" s="18" t="s">
        <v>118</v>
      </c>
      <c r="Y110" s="18" t="s">
        <v>85</v>
      </c>
      <c r="Z110" s="18" t="s">
        <v>86</v>
      </c>
      <c r="AA110" s="18" t="s">
        <v>119</v>
      </c>
      <c r="AB110" s="18" t="s">
        <v>187</v>
      </c>
      <c r="AC110" s="18" t="s">
        <v>188</v>
      </c>
      <c r="AD110" s="18" t="s">
        <v>85</v>
      </c>
      <c r="AE110" s="18" t="s">
        <v>90</v>
      </c>
      <c r="AF110" s="18" t="s">
        <v>177</v>
      </c>
      <c r="AG110" s="18" t="s">
        <v>139</v>
      </c>
      <c r="AH110" s="18" t="s">
        <v>165</v>
      </c>
      <c r="AI110" s="18" t="s">
        <v>94</v>
      </c>
      <c r="AJ110" s="19">
        <v>44909</v>
      </c>
      <c r="AK110" s="22" t="s">
        <v>95</v>
      </c>
      <c r="AL110" s="18" t="s">
        <v>95</v>
      </c>
      <c r="AM110" s="18" t="s">
        <v>95</v>
      </c>
      <c r="AN110" s="18" t="s">
        <v>95</v>
      </c>
      <c r="AO110" s="18" t="s">
        <v>95</v>
      </c>
      <c r="AP110" s="18" t="s">
        <v>95</v>
      </c>
      <c r="AQ110" s="18" t="s">
        <v>95</v>
      </c>
      <c r="AR110" s="18" t="s">
        <v>95</v>
      </c>
      <c r="AS110" s="18" t="s">
        <v>83</v>
      </c>
      <c r="AT110" s="18" t="s">
        <v>83</v>
      </c>
      <c r="AU110" s="18" t="s">
        <v>81</v>
      </c>
      <c r="AV110" s="18" t="s">
        <v>95</v>
      </c>
      <c r="AW110" s="18" t="s">
        <v>96</v>
      </c>
      <c r="AX110" s="18"/>
      <c r="AY110" s="18" t="str">
        <f>Pospago[[#This Row],[NUM_TELEFONICO]]&amp;"POSPAGOSI"</f>
        <v>963001002POSPAGOSI</v>
      </c>
      <c r="AZ110" s="18" t="str">
        <f>VLOOKUP(Pospago[[#This Row],[NOM_PLAZA_FINAL]],[1]!Locales[#Data],3,0)</f>
        <v>TIENDA RECREO</v>
      </c>
      <c r="BA110" s="18" t="str">
        <f>IFERROR(VLOOKUP(Pospago[[#This Row],[USUARIO]],[1]!Personal[#Data],6,0),"EJECUTIVO NO REGISTRADO")</f>
        <v>ESPINOZA MARTINES LAURA XIOMARA</v>
      </c>
      <c r="BB110" s="18" t="str">
        <f>Pospago[[#This Row],[TIPO_MOVIMIENTO]]&amp;" "&amp;Pospago[[#This Row],[FORMA_PAGO_FINAL]]</f>
        <v>TRANSFERENCIAS PAGO EN CAJA</v>
      </c>
      <c r="BC110" s="18">
        <f>DAY(Pospago[[#This Row],[FECHA_ALTA]])</f>
        <v>14</v>
      </c>
      <c r="BD110" s="18">
        <f>IF(Pospago[[#This Row],[TARIFA_BASICA]]=11.42,1,0)</f>
        <v>1</v>
      </c>
      <c r="BE110" s="18">
        <f>IF(Pospago[[#This Row],[PLANES TELEVENTAS]]="SI",1,0)</f>
        <v>0</v>
      </c>
      <c r="BF110" s="18">
        <f>1</f>
        <v>1</v>
      </c>
      <c r="BG110" s="18">
        <f>IF(OR(Pospago[[#This Row],[TARIFA_BASICA]]=11.42,Pospago[[#This Row],[PLANES TELEVENTAS]]="SI"),1,0)</f>
        <v>1</v>
      </c>
      <c r="BH110" s="18" t="str">
        <f>IF(MID(Pospago[[#This Row],[PlanDesc]],1,4) = "PLAN","POSPAGO",IF(MID(Pospago[[#This Row],[PlanDesc]],1,4)="FULL","FULL MEGAS","PREVIOPAGO"))</f>
        <v>PREVIOPAGO</v>
      </c>
      <c r="BI1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10" s="21">
        <f>Pospago[[#This Row],[TARIFA_BASICA]]*1.5</f>
        <v>17.13</v>
      </c>
    </row>
    <row r="111" spans="1:63" x14ac:dyDescent="0.25">
      <c r="A111" s="18" t="s">
        <v>154</v>
      </c>
      <c r="B111" s="18" t="s">
        <v>940</v>
      </c>
      <c r="C111" s="18" t="s">
        <v>941</v>
      </c>
      <c r="D111" s="19">
        <v>44902</v>
      </c>
      <c r="E111" s="18" t="s">
        <v>67</v>
      </c>
      <c r="F111" s="18" t="s">
        <v>942</v>
      </c>
      <c r="G111" s="18" t="s">
        <v>943</v>
      </c>
      <c r="H111" s="18" t="s">
        <v>159</v>
      </c>
      <c r="I111" s="18" t="s">
        <v>71</v>
      </c>
      <c r="J111" s="18" t="s">
        <v>258</v>
      </c>
      <c r="K111" s="18" t="s">
        <v>132</v>
      </c>
      <c r="L111" s="20" t="s">
        <v>944</v>
      </c>
      <c r="M111" s="18" t="s">
        <v>75</v>
      </c>
      <c r="N111" s="20" t="s">
        <v>945</v>
      </c>
      <c r="O111" s="18" t="s">
        <v>164</v>
      </c>
      <c r="P111" s="18" t="s">
        <v>78</v>
      </c>
      <c r="Q111" s="19">
        <v>44914</v>
      </c>
      <c r="R111" s="21">
        <v>11.42</v>
      </c>
      <c r="S111" s="18" t="s">
        <v>79</v>
      </c>
      <c r="T111" s="18" t="s">
        <v>174</v>
      </c>
      <c r="U111" s="18" t="s">
        <v>83</v>
      </c>
      <c r="V111" s="18" t="s">
        <v>95</v>
      </c>
      <c r="W111" s="18" t="s">
        <v>95</v>
      </c>
      <c r="X111" s="18" t="s">
        <v>118</v>
      </c>
      <c r="Y111" s="18" t="s">
        <v>85</v>
      </c>
      <c r="Z111" s="18" t="s">
        <v>86</v>
      </c>
      <c r="AA111" s="18" t="s">
        <v>119</v>
      </c>
      <c r="AB111" s="18" t="s">
        <v>760</v>
      </c>
      <c r="AC111" s="18" t="s">
        <v>761</v>
      </c>
      <c r="AD111" s="18" t="s">
        <v>85</v>
      </c>
      <c r="AE111" s="18" t="s">
        <v>90</v>
      </c>
      <c r="AF111" s="18" t="s">
        <v>177</v>
      </c>
      <c r="AG111" s="18" t="s">
        <v>139</v>
      </c>
      <c r="AH111" s="18" t="s">
        <v>165</v>
      </c>
      <c r="AI111" s="18" t="s">
        <v>94</v>
      </c>
      <c r="AJ111" s="19">
        <v>44902</v>
      </c>
      <c r="AK111" s="22" t="s">
        <v>95</v>
      </c>
      <c r="AL111" s="18" t="s">
        <v>95</v>
      </c>
      <c r="AM111" s="18" t="s">
        <v>95</v>
      </c>
      <c r="AN111" s="18" t="s">
        <v>95</v>
      </c>
      <c r="AO111" s="18" t="s">
        <v>95</v>
      </c>
      <c r="AP111" s="18" t="s">
        <v>95</v>
      </c>
      <c r="AQ111" s="18" t="s">
        <v>95</v>
      </c>
      <c r="AR111" s="18" t="s">
        <v>95</v>
      </c>
      <c r="AS111" s="18" t="s">
        <v>83</v>
      </c>
      <c r="AT111" s="18" t="s">
        <v>83</v>
      </c>
      <c r="AU111" s="18" t="s">
        <v>81</v>
      </c>
      <c r="AV111" s="18" t="s">
        <v>95</v>
      </c>
      <c r="AW111" s="18" t="s">
        <v>95</v>
      </c>
      <c r="AX111" s="18"/>
      <c r="AY111" s="18" t="str">
        <f>Pospago[[#This Row],[NUM_TELEFONICO]]&amp;"POSPAGOSI"</f>
        <v>963009428POSPAGOSI</v>
      </c>
      <c r="AZ111" s="18" t="str">
        <f>VLOOKUP(Pospago[[#This Row],[NOM_PLAZA_FINAL]],[1]!Locales[#Data],3,0)</f>
        <v>TIENDA RECREO</v>
      </c>
      <c r="BA111" s="18" t="str">
        <f>IFERROR(VLOOKUP(Pospago[[#This Row],[USUARIO]],[1]!Personal[#Data],6,0),"EJECUTIVO NO REGISTRADO")</f>
        <v>VALBUENA SANCHEZ ALBERT ANTHONY</v>
      </c>
      <c r="BB111" s="18" t="str">
        <f>Pospago[[#This Row],[TIPO_MOVIMIENTO]]&amp;" "&amp;Pospago[[#This Row],[FORMA_PAGO_FINAL]]</f>
        <v>TRANSFERENCIAS PAGO EN CAJA</v>
      </c>
      <c r="BC111" s="18">
        <f>DAY(Pospago[[#This Row],[FECHA_ALTA]])</f>
        <v>7</v>
      </c>
      <c r="BD111" s="18">
        <f>IF(Pospago[[#This Row],[TARIFA_BASICA]]=11.42,1,0)</f>
        <v>1</v>
      </c>
      <c r="BE111" s="18">
        <f>IF(Pospago[[#This Row],[PLANES TELEVENTAS]]="SI",1,0)</f>
        <v>0</v>
      </c>
      <c r="BF111" s="18">
        <f>1</f>
        <v>1</v>
      </c>
      <c r="BG111" s="18">
        <f>IF(OR(Pospago[[#This Row],[TARIFA_BASICA]]=11.42,Pospago[[#This Row],[PLANES TELEVENTAS]]="SI"),1,0)</f>
        <v>1</v>
      </c>
      <c r="BH111" s="18" t="str">
        <f>IF(MID(Pospago[[#This Row],[PlanDesc]],1,4) = "PLAN","POSPAGO",IF(MID(Pospago[[#This Row],[PlanDesc]],1,4)="FULL","FULL MEGAS","PREVIOPAGO"))</f>
        <v>PREVIOPAGO</v>
      </c>
      <c r="BI1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11" s="21">
        <f>Pospago[[#This Row],[TARIFA_BASICA]]*1.5</f>
        <v>17.13</v>
      </c>
    </row>
    <row r="112" spans="1:63" x14ac:dyDescent="0.25">
      <c r="A112" s="18" t="s">
        <v>64</v>
      </c>
      <c r="B112" s="18" t="s">
        <v>946</v>
      </c>
      <c r="C112" s="18" t="s">
        <v>947</v>
      </c>
      <c r="D112" s="19">
        <v>44904</v>
      </c>
      <c r="E112" s="18" t="s">
        <v>67</v>
      </c>
      <c r="F112" s="18" t="s">
        <v>948</v>
      </c>
      <c r="G112" s="18" t="s">
        <v>949</v>
      </c>
      <c r="H112" s="18" t="s">
        <v>70</v>
      </c>
      <c r="I112" s="18" t="s">
        <v>71</v>
      </c>
      <c r="J112" s="18" t="s">
        <v>72</v>
      </c>
      <c r="K112" s="18" t="s">
        <v>73</v>
      </c>
      <c r="L112" s="20" t="s">
        <v>950</v>
      </c>
      <c r="M112" s="18" t="s">
        <v>75</v>
      </c>
      <c r="N112" s="20" t="s">
        <v>951</v>
      </c>
      <c r="O112" s="18" t="s">
        <v>77</v>
      </c>
      <c r="P112" s="18" t="s">
        <v>78</v>
      </c>
      <c r="Q112" s="19">
        <v>44914</v>
      </c>
      <c r="R112" s="21">
        <v>11.42</v>
      </c>
      <c r="S112" s="18" t="s">
        <v>79</v>
      </c>
      <c r="T112" s="18" t="s">
        <v>135</v>
      </c>
      <c r="U112" s="18" t="s">
        <v>83</v>
      </c>
      <c r="V112" s="18" t="s">
        <v>95</v>
      </c>
      <c r="W112" s="18" t="s">
        <v>83</v>
      </c>
      <c r="X112" s="18" t="s">
        <v>84</v>
      </c>
      <c r="Y112" s="18" t="s">
        <v>85</v>
      </c>
      <c r="Z112" s="18" t="s">
        <v>86</v>
      </c>
      <c r="AA112" s="18" t="s">
        <v>87</v>
      </c>
      <c r="AB112" s="18" t="s">
        <v>326</v>
      </c>
      <c r="AC112" s="18" t="s">
        <v>327</v>
      </c>
      <c r="AD112" s="18" t="s">
        <v>85</v>
      </c>
      <c r="AE112" s="18" t="s">
        <v>90</v>
      </c>
      <c r="AF112" s="18" t="s">
        <v>138</v>
      </c>
      <c r="AG112" s="18" t="s">
        <v>139</v>
      </c>
      <c r="AH112" s="18" t="s">
        <v>93</v>
      </c>
      <c r="AI112" s="18" t="s">
        <v>94</v>
      </c>
      <c r="AJ112" s="19">
        <v>44904</v>
      </c>
      <c r="AK112" s="22" t="s">
        <v>95</v>
      </c>
      <c r="AL112" s="18" t="s">
        <v>95</v>
      </c>
      <c r="AM112" s="18" t="s">
        <v>95</v>
      </c>
      <c r="AN112" s="18" t="s">
        <v>95</v>
      </c>
      <c r="AO112" s="18" t="s">
        <v>95</v>
      </c>
      <c r="AP112" s="18" t="s">
        <v>95</v>
      </c>
      <c r="AQ112" s="18" t="s">
        <v>95</v>
      </c>
      <c r="AR112" s="18" t="s">
        <v>95</v>
      </c>
      <c r="AS112" s="18" t="s">
        <v>83</v>
      </c>
      <c r="AT112" s="18" t="s">
        <v>83</v>
      </c>
      <c r="AU112" s="18" t="s">
        <v>81</v>
      </c>
      <c r="AV112" s="18" t="s">
        <v>95</v>
      </c>
      <c r="AW112" s="18" t="s">
        <v>95</v>
      </c>
      <c r="AX112" s="18"/>
      <c r="AY112" s="18" t="str">
        <f>Pospago[[#This Row],[NUM_TELEFONICO]]&amp;"POSPAGOSI"</f>
        <v>963014970POSPAGOSI</v>
      </c>
      <c r="AZ112" s="18" t="str">
        <f>VLOOKUP(Pospago[[#This Row],[NOM_PLAZA_FINAL]],[1]!Locales[#Data],3,0)</f>
        <v>TIENDA AMERICA</v>
      </c>
      <c r="BA112" s="18" t="str">
        <f>IFERROR(VLOOKUP(Pospago[[#This Row],[USUARIO]],[1]!Personal[#Data],6,0),"EJECUTIVO NO REGISTRADO")</f>
        <v>AMBULUDI ROLDAN GIANELLA GRIMANEZA</v>
      </c>
      <c r="BB112" s="18" t="str">
        <f>Pospago[[#This Row],[TIPO_MOVIMIENTO]]&amp;" "&amp;Pospago[[#This Row],[FORMA_PAGO_FINAL]]</f>
        <v>ALTAS DOMICILIADO</v>
      </c>
      <c r="BC112" s="18">
        <f>DAY(Pospago[[#This Row],[FECHA_ALTA]])</f>
        <v>9</v>
      </c>
      <c r="BD112" s="18">
        <f>IF(Pospago[[#This Row],[TARIFA_BASICA]]=11.42,1,0)</f>
        <v>1</v>
      </c>
      <c r="BE112" s="18">
        <f>IF(Pospago[[#This Row],[PLANES TELEVENTAS]]="SI",1,0)</f>
        <v>0</v>
      </c>
      <c r="BF112" s="18">
        <f>1</f>
        <v>1</v>
      </c>
      <c r="BG112" s="18">
        <f>IF(OR(Pospago[[#This Row],[TARIFA_BASICA]]=11.42,Pospago[[#This Row],[PLANES TELEVENTAS]]="SI"),1,0)</f>
        <v>1</v>
      </c>
      <c r="BH112" s="18" t="str">
        <f>IF(MID(Pospago[[#This Row],[PlanDesc]],1,4) = "PLAN","POSPAGO",IF(MID(Pospago[[#This Row],[PlanDesc]],1,4)="FULL","FULL MEGAS","PREVIOPAGO"))</f>
        <v>PREVIOPAGO</v>
      </c>
      <c r="BI1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1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12" s="21">
        <f>Pospago[[#This Row],[TARIFA_BASICA]]*1.5</f>
        <v>17.13</v>
      </c>
    </row>
    <row r="113" spans="1:63" x14ac:dyDescent="0.25">
      <c r="A113" s="18" t="s">
        <v>64</v>
      </c>
      <c r="B113" s="18" t="s">
        <v>952</v>
      </c>
      <c r="C113" s="18" t="s">
        <v>953</v>
      </c>
      <c r="D113" s="19">
        <v>44912</v>
      </c>
      <c r="E113" s="18" t="s">
        <v>67</v>
      </c>
      <c r="F113" s="18" t="s">
        <v>954</v>
      </c>
      <c r="G113" s="18" t="s">
        <v>955</v>
      </c>
      <c r="H113" s="18" t="s">
        <v>70</v>
      </c>
      <c r="I113" s="18" t="s">
        <v>160</v>
      </c>
      <c r="J113" s="18" t="s">
        <v>195</v>
      </c>
      <c r="K113" s="18" t="s">
        <v>132</v>
      </c>
      <c r="L113" s="20" t="s">
        <v>956</v>
      </c>
      <c r="M113" s="18" t="s">
        <v>75</v>
      </c>
      <c r="N113" s="20" t="s">
        <v>957</v>
      </c>
      <c r="O113" s="18" t="s">
        <v>77</v>
      </c>
      <c r="P113" s="18" t="s">
        <v>78</v>
      </c>
      <c r="Q113" s="19">
        <v>44914</v>
      </c>
      <c r="R113" s="21">
        <v>14.28</v>
      </c>
      <c r="S113" s="18" t="s">
        <v>79</v>
      </c>
      <c r="T113" s="18" t="s">
        <v>174</v>
      </c>
      <c r="U113" s="18" t="s">
        <v>83</v>
      </c>
      <c r="V113" s="18" t="s">
        <v>95</v>
      </c>
      <c r="W113" s="18" t="s">
        <v>83</v>
      </c>
      <c r="X113" s="18" t="s">
        <v>84</v>
      </c>
      <c r="Y113" s="18" t="s">
        <v>85</v>
      </c>
      <c r="Z113" s="18" t="s">
        <v>86</v>
      </c>
      <c r="AA113" s="18" t="s">
        <v>87</v>
      </c>
      <c r="AB113" s="18" t="s">
        <v>492</v>
      </c>
      <c r="AC113" s="18" t="s">
        <v>493</v>
      </c>
      <c r="AD113" s="18" t="s">
        <v>85</v>
      </c>
      <c r="AE113" s="18" t="s">
        <v>90</v>
      </c>
      <c r="AF113" s="18" t="s">
        <v>177</v>
      </c>
      <c r="AG113" s="18" t="s">
        <v>139</v>
      </c>
      <c r="AH113" s="18" t="s">
        <v>93</v>
      </c>
      <c r="AI113" s="18" t="s">
        <v>94</v>
      </c>
      <c r="AJ113" s="19">
        <v>44912</v>
      </c>
      <c r="AK113" s="22" t="s">
        <v>95</v>
      </c>
      <c r="AL113" s="18" t="s">
        <v>95</v>
      </c>
      <c r="AM113" s="18" t="s">
        <v>95</v>
      </c>
      <c r="AN113" s="18" t="s">
        <v>95</v>
      </c>
      <c r="AO113" s="18" t="s">
        <v>95</v>
      </c>
      <c r="AP113" s="18" t="s">
        <v>95</v>
      </c>
      <c r="AQ113" s="18" t="s">
        <v>95</v>
      </c>
      <c r="AR113" s="18" t="s">
        <v>95</v>
      </c>
      <c r="AS113" s="18" t="s">
        <v>83</v>
      </c>
      <c r="AT113" s="18" t="s">
        <v>83</v>
      </c>
      <c r="AU113" s="18" t="s">
        <v>81</v>
      </c>
      <c r="AV113" s="18" t="s">
        <v>95</v>
      </c>
      <c r="AW113" s="18" t="s">
        <v>95</v>
      </c>
      <c r="AX113" s="18"/>
      <c r="AY113" s="18" t="str">
        <f>Pospago[[#This Row],[NUM_TELEFONICO]]&amp;"POSPAGOSI"</f>
        <v>963024543POSPAGOSI</v>
      </c>
      <c r="AZ113" s="18" t="str">
        <f>VLOOKUP(Pospago[[#This Row],[NOM_PLAZA_FINAL]],[1]!Locales[#Data],3,0)</f>
        <v>TIENDA RECREO</v>
      </c>
      <c r="BA113" s="18" t="str">
        <f>IFERROR(VLOOKUP(Pospago[[#This Row],[USUARIO]],[1]!Personal[#Data],6,0),"EJECUTIVO NO REGISTRADO")</f>
        <v>CONDO GARCIA NICOLAS MATIAS</v>
      </c>
      <c r="BB113" s="18" t="str">
        <f>Pospago[[#This Row],[TIPO_MOVIMIENTO]]&amp;" "&amp;Pospago[[#This Row],[FORMA_PAGO_FINAL]]</f>
        <v>ALTAS DOMICILIADO</v>
      </c>
      <c r="BC113" s="18">
        <f>DAY(Pospago[[#This Row],[FECHA_ALTA]])</f>
        <v>17</v>
      </c>
      <c r="BD113" s="18">
        <f>IF(Pospago[[#This Row],[TARIFA_BASICA]]=11.42,1,0)</f>
        <v>0</v>
      </c>
      <c r="BE113" s="18">
        <f>IF(Pospago[[#This Row],[PLANES TELEVENTAS]]="SI",1,0)</f>
        <v>0</v>
      </c>
      <c r="BF113" s="18">
        <f>1</f>
        <v>1</v>
      </c>
      <c r="BG113" s="18">
        <f>IF(OR(Pospago[[#This Row],[TARIFA_BASICA]]=11.42,Pospago[[#This Row],[PLANES TELEVENTAS]]="SI"),1,0)</f>
        <v>0</v>
      </c>
      <c r="BH113" s="18" t="str">
        <f>IF(MID(Pospago[[#This Row],[PlanDesc]],1,4) = "PLAN","POSPAGO",IF(MID(Pospago[[#This Row],[PlanDesc]],1,4)="FULL","FULL MEGAS","PREVIOPAGO"))</f>
        <v>PREVIOPAGO</v>
      </c>
      <c r="BI1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3" s="21">
        <f>Pospago[[#This Row],[TARIFA_BASICA]]*1.5</f>
        <v>21.419999999999998</v>
      </c>
    </row>
    <row r="114" spans="1:63" x14ac:dyDescent="0.25">
      <c r="A114" s="18" t="s">
        <v>64</v>
      </c>
      <c r="B114" s="18" t="s">
        <v>958</v>
      </c>
      <c r="C114" s="18" t="s">
        <v>959</v>
      </c>
      <c r="D114" s="19">
        <v>44900</v>
      </c>
      <c r="E114" s="18" t="s">
        <v>67</v>
      </c>
      <c r="F114" s="18" t="s">
        <v>960</v>
      </c>
      <c r="G114" s="18" t="s">
        <v>961</v>
      </c>
      <c r="H114" s="18" t="s">
        <v>70</v>
      </c>
      <c r="I114" s="18" t="s">
        <v>606</v>
      </c>
      <c r="J114" s="18" t="s">
        <v>607</v>
      </c>
      <c r="K114" s="18" t="s">
        <v>132</v>
      </c>
      <c r="L114" s="20" t="s">
        <v>962</v>
      </c>
      <c r="M114" s="18" t="s">
        <v>75</v>
      </c>
      <c r="N114" s="20" t="s">
        <v>963</v>
      </c>
      <c r="O114" s="18" t="s">
        <v>231</v>
      </c>
      <c r="P114" s="18" t="s">
        <v>78</v>
      </c>
      <c r="Q114" s="19">
        <v>44914</v>
      </c>
      <c r="R114" s="21">
        <v>26.78</v>
      </c>
      <c r="S114" s="18" t="s">
        <v>79</v>
      </c>
      <c r="T114" s="18" t="s">
        <v>174</v>
      </c>
      <c r="U114" s="18" t="s">
        <v>83</v>
      </c>
      <c r="V114" s="18" t="s">
        <v>95</v>
      </c>
      <c r="W114" s="18" t="s">
        <v>83</v>
      </c>
      <c r="X114" s="18" t="s">
        <v>215</v>
      </c>
      <c r="Y114" s="18" t="s">
        <v>85</v>
      </c>
      <c r="Z114" s="18" t="s">
        <v>86</v>
      </c>
      <c r="AA114" s="18" t="s">
        <v>87</v>
      </c>
      <c r="AB114" s="18" t="s">
        <v>760</v>
      </c>
      <c r="AC114" s="18" t="s">
        <v>761</v>
      </c>
      <c r="AD114" s="18" t="s">
        <v>85</v>
      </c>
      <c r="AE114" s="18" t="s">
        <v>90</v>
      </c>
      <c r="AF114" s="18" t="s">
        <v>177</v>
      </c>
      <c r="AG114" s="18" t="s">
        <v>139</v>
      </c>
      <c r="AH114" s="18" t="s">
        <v>93</v>
      </c>
      <c r="AI114" s="18" t="s">
        <v>94</v>
      </c>
      <c r="AJ114" s="19">
        <v>44900</v>
      </c>
      <c r="AK114" s="22" t="s">
        <v>95</v>
      </c>
      <c r="AL114" s="18" t="s">
        <v>95</v>
      </c>
      <c r="AM114" s="18" t="s">
        <v>95</v>
      </c>
      <c r="AN114" s="18" t="s">
        <v>95</v>
      </c>
      <c r="AO114" s="18" t="s">
        <v>95</v>
      </c>
      <c r="AP114" s="18" t="s">
        <v>95</v>
      </c>
      <c r="AQ114" s="18" t="s">
        <v>95</v>
      </c>
      <c r="AR114" s="18" t="s">
        <v>95</v>
      </c>
      <c r="AS114" s="18" t="s">
        <v>83</v>
      </c>
      <c r="AT114" s="18" t="s">
        <v>83</v>
      </c>
      <c r="AU114" s="18" t="s">
        <v>81</v>
      </c>
      <c r="AV114" s="18" t="s">
        <v>95</v>
      </c>
      <c r="AW114" s="18" t="s">
        <v>95</v>
      </c>
      <c r="AX114" s="18"/>
      <c r="AY114" s="18" t="str">
        <f>Pospago[[#This Row],[NUM_TELEFONICO]]&amp;"POSPAGOSI"</f>
        <v>963032208POSPAGOSI</v>
      </c>
      <c r="AZ114" s="18" t="str">
        <f>VLOOKUP(Pospago[[#This Row],[NOM_PLAZA_FINAL]],[1]!Locales[#Data],3,0)</f>
        <v>TIENDA RECREO</v>
      </c>
      <c r="BA114" s="18" t="str">
        <f>IFERROR(VLOOKUP(Pospago[[#This Row],[USUARIO]],[1]!Personal[#Data],6,0),"EJECUTIVO NO REGISTRADO")</f>
        <v>VALBUENA SANCHEZ ALBERT ANTHONY</v>
      </c>
      <c r="BB114" s="18" t="str">
        <f>Pospago[[#This Row],[TIPO_MOVIMIENTO]]&amp;" "&amp;Pospago[[#This Row],[FORMA_PAGO_FINAL]]</f>
        <v>ALTAS DOMICILIADO</v>
      </c>
      <c r="BC114" s="18">
        <f>DAY(Pospago[[#This Row],[FECHA_ALTA]])</f>
        <v>5</v>
      </c>
      <c r="BD114" s="18">
        <f>IF(Pospago[[#This Row],[TARIFA_BASICA]]=11.42,1,0)</f>
        <v>0</v>
      </c>
      <c r="BE114" s="18">
        <f>IF(Pospago[[#This Row],[PLANES TELEVENTAS]]="SI",1,0)</f>
        <v>0</v>
      </c>
      <c r="BF114" s="18">
        <f>1</f>
        <v>1</v>
      </c>
      <c r="BG114" s="18">
        <f>IF(OR(Pospago[[#This Row],[TARIFA_BASICA]]=11.42,Pospago[[#This Row],[PLANES TELEVENTAS]]="SI"),1,0)</f>
        <v>0</v>
      </c>
      <c r="BH114" s="18" t="str">
        <f>IF(MID(Pospago[[#This Row],[PlanDesc]],1,4) = "PLAN","POSPAGO",IF(MID(Pospago[[#This Row],[PlanDesc]],1,4)="FULL","FULL MEGAS","PREVIOPAGO"))</f>
        <v>PREVIOPAGO</v>
      </c>
      <c r="BI1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1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4" s="21">
        <f>Pospago[[#This Row],[TARIFA_BASICA]]*1.5</f>
        <v>40.17</v>
      </c>
    </row>
    <row r="115" spans="1:63" x14ac:dyDescent="0.25">
      <c r="A115" s="18" t="s">
        <v>64</v>
      </c>
      <c r="B115" s="18" t="s">
        <v>964</v>
      </c>
      <c r="C115" s="18" t="s">
        <v>965</v>
      </c>
      <c r="D115" s="19">
        <v>44896</v>
      </c>
      <c r="E115" s="18" t="s">
        <v>67</v>
      </c>
      <c r="F115" s="18" t="s">
        <v>966</v>
      </c>
      <c r="G115" s="18" t="s">
        <v>967</v>
      </c>
      <c r="H115" s="18" t="s">
        <v>70</v>
      </c>
      <c r="I115" s="18" t="s">
        <v>160</v>
      </c>
      <c r="J115" s="18" t="s">
        <v>195</v>
      </c>
      <c r="K115" s="18" t="s">
        <v>73</v>
      </c>
      <c r="L115" s="20" t="s">
        <v>968</v>
      </c>
      <c r="M115" s="18" t="s">
        <v>75</v>
      </c>
      <c r="N115" s="20" t="s">
        <v>969</v>
      </c>
      <c r="O115" s="18" t="s">
        <v>77</v>
      </c>
      <c r="P115" s="18" t="s">
        <v>78</v>
      </c>
      <c r="Q115" s="19">
        <v>44914</v>
      </c>
      <c r="R115" s="21">
        <v>14.28</v>
      </c>
      <c r="S115" s="18" t="s">
        <v>79</v>
      </c>
      <c r="T115" s="18" t="s">
        <v>148</v>
      </c>
      <c r="U115" s="18" t="s">
        <v>83</v>
      </c>
      <c r="V115" s="18" t="s">
        <v>95</v>
      </c>
      <c r="W115" s="18" t="s">
        <v>83</v>
      </c>
      <c r="X115" s="18" t="s">
        <v>84</v>
      </c>
      <c r="Y115" s="18" t="s">
        <v>85</v>
      </c>
      <c r="Z115" s="18" t="s">
        <v>86</v>
      </c>
      <c r="AA115" s="18" t="s">
        <v>87</v>
      </c>
      <c r="AB115" s="18" t="s">
        <v>420</v>
      </c>
      <c r="AC115" s="18" t="s">
        <v>421</v>
      </c>
      <c r="AD115" s="18" t="s">
        <v>85</v>
      </c>
      <c r="AE115" s="18" t="s">
        <v>90</v>
      </c>
      <c r="AF115" s="18" t="s">
        <v>151</v>
      </c>
      <c r="AG115" s="18" t="s">
        <v>92</v>
      </c>
      <c r="AH115" s="18" t="s">
        <v>93</v>
      </c>
      <c r="AI115" s="18" t="s">
        <v>94</v>
      </c>
      <c r="AJ115" s="19">
        <v>44896</v>
      </c>
      <c r="AK115" s="22" t="s">
        <v>95</v>
      </c>
      <c r="AL115" s="18" t="s">
        <v>95</v>
      </c>
      <c r="AM115" s="18" t="s">
        <v>95</v>
      </c>
      <c r="AN115" s="18" t="s">
        <v>95</v>
      </c>
      <c r="AO115" s="18" t="s">
        <v>95</v>
      </c>
      <c r="AP115" s="18" t="s">
        <v>95</v>
      </c>
      <c r="AQ115" s="18" t="s">
        <v>95</v>
      </c>
      <c r="AR115" s="18" t="s">
        <v>95</v>
      </c>
      <c r="AS115" s="18" t="s">
        <v>83</v>
      </c>
      <c r="AT115" s="18" t="s">
        <v>83</v>
      </c>
      <c r="AU115" s="18" t="s">
        <v>81</v>
      </c>
      <c r="AV115" s="18" t="s">
        <v>95</v>
      </c>
      <c r="AW115" s="18" t="s">
        <v>95</v>
      </c>
      <c r="AX115" s="18"/>
      <c r="AY115" s="18" t="str">
        <f>Pospago[[#This Row],[NUM_TELEFONICO]]&amp;"POSPAGOSI"</f>
        <v>963038283POSPAGOSI</v>
      </c>
      <c r="AZ115" s="18" t="str">
        <f>VLOOKUP(Pospago[[#This Row],[NOM_PLAZA_FINAL]],[1]!Locales[#Data],3,0)</f>
        <v>TIENDA CUENCA REMIGIO</v>
      </c>
      <c r="BA115" s="18" t="str">
        <f>IFERROR(VLOOKUP(Pospago[[#This Row],[USUARIO]],[1]!Personal[#Data],6,0),"EJECUTIVO NO REGISTRADO")</f>
        <v>YEPEZ PALOMEQUE DIANA PATRICIA</v>
      </c>
      <c r="BB115" s="18" t="str">
        <f>Pospago[[#This Row],[TIPO_MOVIMIENTO]]&amp;" "&amp;Pospago[[#This Row],[FORMA_PAGO_FINAL]]</f>
        <v>ALTAS DOMICILIADO</v>
      </c>
      <c r="BC115" s="18">
        <f>DAY(Pospago[[#This Row],[FECHA_ALTA]])</f>
        <v>1</v>
      </c>
      <c r="BD115" s="18">
        <f>IF(Pospago[[#This Row],[TARIFA_BASICA]]=11.42,1,0)</f>
        <v>0</v>
      </c>
      <c r="BE115" s="18">
        <f>IF(Pospago[[#This Row],[PLANES TELEVENTAS]]="SI",1,0)</f>
        <v>0</v>
      </c>
      <c r="BF115" s="18">
        <f>1</f>
        <v>1</v>
      </c>
      <c r="BG115" s="18">
        <f>IF(OR(Pospago[[#This Row],[TARIFA_BASICA]]=11.42,Pospago[[#This Row],[PLANES TELEVENTAS]]="SI"),1,0)</f>
        <v>0</v>
      </c>
      <c r="BH115" s="18" t="str">
        <f>IF(MID(Pospago[[#This Row],[PlanDesc]],1,4) = "PLAN","POSPAGO",IF(MID(Pospago[[#This Row],[PlanDesc]],1,4)="FULL","FULL MEGAS","PREVIOPAGO"))</f>
        <v>PREVIOPAGO</v>
      </c>
      <c r="BI1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5" s="21">
        <f>Pospago[[#This Row],[TARIFA_BASICA]]*1.5</f>
        <v>21.419999999999998</v>
      </c>
    </row>
    <row r="116" spans="1:63" x14ac:dyDescent="0.25">
      <c r="A116" s="18" t="s">
        <v>154</v>
      </c>
      <c r="B116" s="18" t="s">
        <v>970</v>
      </c>
      <c r="C116" s="18" t="s">
        <v>971</v>
      </c>
      <c r="D116" s="19">
        <v>44910</v>
      </c>
      <c r="E116" s="18" t="s">
        <v>67</v>
      </c>
      <c r="F116" s="18" t="s">
        <v>972</v>
      </c>
      <c r="G116" s="18" t="s">
        <v>973</v>
      </c>
      <c r="H116" s="18" t="s">
        <v>159</v>
      </c>
      <c r="I116" s="18" t="s">
        <v>160</v>
      </c>
      <c r="J116" s="18" t="s">
        <v>161</v>
      </c>
      <c r="K116" s="18" t="s">
        <v>73</v>
      </c>
      <c r="L116" s="20" t="s">
        <v>974</v>
      </c>
      <c r="M116" s="18" t="s">
        <v>75</v>
      </c>
      <c r="N116" s="20" t="s">
        <v>975</v>
      </c>
      <c r="O116" s="18" t="s">
        <v>164</v>
      </c>
      <c r="P116" s="18" t="s">
        <v>78</v>
      </c>
      <c r="Q116" s="19">
        <v>44914</v>
      </c>
      <c r="R116" s="21">
        <v>14.28</v>
      </c>
      <c r="S116" s="18" t="s">
        <v>79</v>
      </c>
      <c r="T116" s="18" t="s">
        <v>174</v>
      </c>
      <c r="U116" s="18" t="s">
        <v>83</v>
      </c>
      <c r="V116" s="18" t="s">
        <v>95</v>
      </c>
      <c r="W116" s="18" t="s">
        <v>95</v>
      </c>
      <c r="X116" s="18" t="s">
        <v>84</v>
      </c>
      <c r="Y116" s="18" t="s">
        <v>85</v>
      </c>
      <c r="Z116" s="18" t="s">
        <v>86</v>
      </c>
      <c r="AA116" s="18" t="s">
        <v>87</v>
      </c>
      <c r="AB116" s="18" t="s">
        <v>303</v>
      </c>
      <c r="AC116" s="18" t="s">
        <v>304</v>
      </c>
      <c r="AD116" s="18" t="s">
        <v>85</v>
      </c>
      <c r="AE116" s="18" t="s">
        <v>90</v>
      </c>
      <c r="AF116" s="18" t="s">
        <v>177</v>
      </c>
      <c r="AG116" s="18" t="s">
        <v>139</v>
      </c>
      <c r="AH116" s="18" t="s">
        <v>165</v>
      </c>
      <c r="AI116" s="18" t="s">
        <v>94</v>
      </c>
      <c r="AJ116" s="19">
        <v>44910</v>
      </c>
      <c r="AK116" s="22" t="s">
        <v>95</v>
      </c>
      <c r="AL116" s="18" t="s">
        <v>95</v>
      </c>
      <c r="AM116" s="18" t="s">
        <v>95</v>
      </c>
      <c r="AN116" s="18" t="s">
        <v>95</v>
      </c>
      <c r="AO116" s="18" t="s">
        <v>95</v>
      </c>
      <c r="AP116" s="18" t="s">
        <v>95</v>
      </c>
      <c r="AQ116" s="18" t="s">
        <v>95</v>
      </c>
      <c r="AR116" s="18" t="s">
        <v>95</v>
      </c>
      <c r="AS116" s="18" t="s">
        <v>83</v>
      </c>
      <c r="AT116" s="18" t="s">
        <v>83</v>
      </c>
      <c r="AU116" s="18" t="s">
        <v>81</v>
      </c>
      <c r="AV116" s="18" t="s">
        <v>95</v>
      </c>
      <c r="AW116" s="18" t="s">
        <v>95</v>
      </c>
      <c r="AX116" s="18"/>
      <c r="AY116" s="18" t="str">
        <f>Pospago[[#This Row],[NUM_TELEFONICO]]&amp;"POSPAGOSI"</f>
        <v>963038672POSPAGOSI</v>
      </c>
      <c r="AZ116" s="18" t="str">
        <f>VLOOKUP(Pospago[[#This Row],[NOM_PLAZA_FINAL]],[1]!Locales[#Data],3,0)</f>
        <v>TIENDA RECREO</v>
      </c>
      <c r="BA116" s="18" t="str">
        <f>IFERROR(VLOOKUP(Pospago[[#This Row],[USUARIO]],[1]!Personal[#Data],6,0),"EJECUTIVO NO REGISTRADO")</f>
        <v>CORDOVA GAIBOR JONATHAN HERNAN</v>
      </c>
      <c r="BB116" s="18" t="str">
        <f>Pospago[[#This Row],[TIPO_MOVIMIENTO]]&amp;" "&amp;Pospago[[#This Row],[FORMA_PAGO_FINAL]]</f>
        <v>TRANSFERENCIAS DOMICILIADO</v>
      </c>
      <c r="BC116" s="18">
        <f>DAY(Pospago[[#This Row],[FECHA_ALTA]])</f>
        <v>15</v>
      </c>
      <c r="BD116" s="18">
        <f>IF(Pospago[[#This Row],[TARIFA_BASICA]]=11.42,1,0)</f>
        <v>0</v>
      </c>
      <c r="BE116" s="18">
        <f>IF(Pospago[[#This Row],[PLANES TELEVENTAS]]="SI",1,0)</f>
        <v>0</v>
      </c>
      <c r="BF116" s="18">
        <f>1</f>
        <v>1</v>
      </c>
      <c r="BG116" s="18">
        <f>IF(OR(Pospago[[#This Row],[TARIFA_BASICA]]=11.42,Pospago[[#This Row],[PLANES TELEVENTAS]]="SI"),1,0)</f>
        <v>0</v>
      </c>
      <c r="BH116" s="18" t="str">
        <f>IF(MID(Pospago[[#This Row],[PlanDesc]],1,4) = "PLAN","POSPAGO",IF(MID(Pospago[[#This Row],[PlanDesc]],1,4)="FULL","FULL MEGAS","PREVIOPAGO"))</f>
        <v>PREVIOPAGO</v>
      </c>
      <c r="BI1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6" s="21">
        <f>Pospago[[#This Row],[TARIFA_BASICA]]*1.5</f>
        <v>21.419999999999998</v>
      </c>
    </row>
    <row r="117" spans="1:63" x14ac:dyDescent="0.25">
      <c r="A117" s="18" t="s">
        <v>154</v>
      </c>
      <c r="B117" s="18" t="s">
        <v>976</v>
      </c>
      <c r="C117" s="18" t="s">
        <v>977</v>
      </c>
      <c r="D117" s="19">
        <v>44911</v>
      </c>
      <c r="E117" s="18" t="s">
        <v>67</v>
      </c>
      <c r="F117" s="18" t="s">
        <v>978</v>
      </c>
      <c r="G117" s="18" t="s">
        <v>979</v>
      </c>
      <c r="H117" s="18" t="s">
        <v>159</v>
      </c>
      <c r="I117" s="18" t="s">
        <v>160</v>
      </c>
      <c r="J117" s="18" t="s">
        <v>161</v>
      </c>
      <c r="K117" s="18" t="s">
        <v>980</v>
      </c>
      <c r="L117" s="20" t="s">
        <v>981</v>
      </c>
      <c r="M117" s="18" t="s">
        <v>75</v>
      </c>
      <c r="N117" s="20" t="s">
        <v>982</v>
      </c>
      <c r="O117" s="18" t="s">
        <v>164</v>
      </c>
      <c r="P117" s="18" t="s">
        <v>78</v>
      </c>
      <c r="Q117" s="19">
        <v>44914</v>
      </c>
      <c r="R117" s="21">
        <v>14.28</v>
      </c>
      <c r="S117" s="18" t="s">
        <v>79</v>
      </c>
      <c r="T117" s="18" t="s">
        <v>148</v>
      </c>
      <c r="U117" s="18" t="s">
        <v>83</v>
      </c>
      <c r="V117" s="18" t="s">
        <v>95</v>
      </c>
      <c r="W117" s="18" t="s">
        <v>95</v>
      </c>
      <c r="X117" s="18" t="s">
        <v>84</v>
      </c>
      <c r="Y117" s="18" t="s">
        <v>85</v>
      </c>
      <c r="Z117" s="18" t="s">
        <v>86</v>
      </c>
      <c r="AA117" s="18" t="s">
        <v>87</v>
      </c>
      <c r="AB117" s="18" t="s">
        <v>385</v>
      </c>
      <c r="AC117" s="18" t="s">
        <v>386</v>
      </c>
      <c r="AD117" s="18" t="s">
        <v>85</v>
      </c>
      <c r="AE117" s="18" t="s">
        <v>90</v>
      </c>
      <c r="AF117" s="18" t="s">
        <v>151</v>
      </c>
      <c r="AG117" s="18" t="s">
        <v>92</v>
      </c>
      <c r="AH117" s="18" t="s">
        <v>165</v>
      </c>
      <c r="AI117" s="18" t="s">
        <v>94</v>
      </c>
      <c r="AJ117" s="19">
        <v>44911</v>
      </c>
      <c r="AK117" s="22" t="s">
        <v>95</v>
      </c>
      <c r="AL117" s="18" t="s">
        <v>95</v>
      </c>
      <c r="AM117" s="18" t="s">
        <v>95</v>
      </c>
      <c r="AN117" s="18" t="s">
        <v>95</v>
      </c>
      <c r="AO117" s="18" t="s">
        <v>95</v>
      </c>
      <c r="AP117" s="18" t="s">
        <v>95</v>
      </c>
      <c r="AQ117" s="18" t="s">
        <v>95</v>
      </c>
      <c r="AR117" s="18" t="s">
        <v>95</v>
      </c>
      <c r="AS117" s="18" t="s">
        <v>83</v>
      </c>
      <c r="AT117" s="18" t="s">
        <v>83</v>
      </c>
      <c r="AU117" s="18" t="s">
        <v>81</v>
      </c>
      <c r="AV117" s="18" t="s">
        <v>95</v>
      </c>
      <c r="AW117" s="18" t="s">
        <v>95</v>
      </c>
      <c r="AX117" s="18"/>
      <c r="AY117" s="18" t="str">
        <f>Pospago[[#This Row],[NUM_TELEFONICO]]&amp;"POSPAGOSI"</f>
        <v>963038956POSPAGOSI</v>
      </c>
      <c r="AZ117" s="18" t="str">
        <f>VLOOKUP(Pospago[[#This Row],[NOM_PLAZA_FINAL]],[1]!Locales[#Data],3,0)</f>
        <v>TIENDA CUENCA REMIGIO</v>
      </c>
      <c r="BA117" s="18" t="str">
        <f>IFERROR(VLOOKUP(Pospago[[#This Row],[USUARIO]],[1]!Personal[#Data],6,0),"EJECUTIVO NO REGISTRADO")</f>
        <v>RAMIREZ RUBIO NELLY LILIANA</v>
      </c>
      <c r="BB117" s="18" t="str">
        <f>Pospago[[#This Row],[TIPO_MOVIMIENTO]]&amp;" "&amp;Pospago[[#This Row],[FORMA_PAGO_FINAL]]</f>
        <v>TRANSFERENCIAS DOMICILIADO</v>
      </c>
      <c r="BC117" s="18">
        <f>DAY(Pospago[[#This Row],[FECHA_ALTA]])</f>
        <v>16</v>
      </c>
      <c r="BD117" s="18">
        <f>IF(Pospago[[#This Row],[TARIFA_BASICA]]=11.42,1,0)</f>
        <v>0</v>
      </c>
      <c r="BE117" s="18">
        <f>IF(Pospago[[#This Row],[PLANES TELEVENTAS]]="SI",1,0)</f>
        <v>0</v>
      </c>
      <c r="BF117" s="18">
        <f>1</f>
        <v>1</v>
      </c>
      <c r="BG117" s="18">
        <f>IF(OR(Pospago[[#This Row],[TARIFA_BASICA]]=11.42,Pospago[[#This Row],[PLANES TELEVENTAS]]="SI"),1,0)</f>
        <v>0</v>
      </c>
      <c r="BH117" s="18" t="str">
        <f>IF(MID(Pospago[[#This Row],[PlanDesc]],1,4) = "PLAN","POSPAGO",IF(MID(Pospago[[#This Row],[PlanDesc]],1,4)="FULL","FULL MEGAS","PREVIOPAGO"))</f>
        <v>PREVIOPAGO</v>
      </c>
      <c r="BI1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7" s="21">
        <f>Pospago[[#This Row],[TARIFA_BASICA]]*1.5</f>
        <v>21.419999999999998</v>
      </c>
    </row>
    <row r="118" spans="1:63" x14ac:dyDescent="0.25">
      <c r="A118" s="18" t="s">
        <v>154</v>
      </c>
      <c r="B118" s="18" t="s">
        <v>983</v>
      </c>
      <c r="C118" s="18" t="s">
        <v>984</v>
      </c>
      <c r="D118" s="19">
        <v>44909</v>
      </c>
      <c r="E118" s="18" t="s">
        <v>67</v>
      </c>
      <c r="F118" s="18" t="s">
        <v>985</v>
      </c>
      <c r="G118" s="18" t="s">
        <v>986</v>
      </c>
      <c r="H118" s="18" t="s">
        <v>391</v>
      </c>
      <c r="I118" s="18" t="s">
        <v>194</v>
      </c>
      <c r="J118" s="18" t="s">
        <v>268</v>
      </c>
      <c r="K118" s="18" t="s">
        <v>132</v>
      </c>
      <c r="L118" s="20" t="s">
        <v>987</v>
      </c>
      <c r="M118" s="18" t="s">
        <v>75</v>
      </c>
      <c r="N118" s="20" t="s">
        <v>988</v>
      </c>
      <c r="O118" s="18" t="s">
        <v>164</v>
      </c>
      <c r="P118" s="18" t="s">
        <v>78</v>
      </c>
      <c r="Q118" s="19">
        <v>44914</v>
      </c>
      <c r="R118" s="21">
        <v>14.28</v>
      </c>
      <c r="S118" s="18" t="s">
        <v>79</v>
      </c>
      <c r="T118" s="18" t="s">
        <v>174</v>
      </c>
      <c r="U118" s="18" t="s">
        <v>83</v>
      </c>
      <c r="V118" s="18" t="s">
        <v>95</v>
      </c>
      <c r="W118" s="18" t="s">
        <v>95</v>
      </c>
      <c r="X118" s="18" t="s">
        <v>118</v>
      </c>
      <c r="Y118" s="18" t="s">
        <v>85</v>
      </c>
      <c r="Z118" s="18" t="s">
        <v>86</v>
      </c>
      <c r="AA118" s="18" t="s">
        <v>119</v>
      </c>
      <c r="AB118" s="18" t="s">
        <v>175</v>
      </c>
      <c r="AC118" s="18" t="s">
        <v>176</v>
      </c>
      <c r="AD118" s="18" t="s">
        <v>85</v>
      </c>
      <c r="AE118" s="18" t="s">
        <v>90</v>
      </c>
      <c r="AF118" s="18" t="s">
        <v>177</v>
      </c>
      <c r="AG118" s="18" t="s">
        <v>139</v>
      </c>
      <c r="AH118" s="18" t="s">
        <v>165</v>
      </c>
      <c r="AI118" s="18" t="s">
        <v>94</v>
      </c>
      <c r="AJ118" s="19">
        <v>44909</v>
      </c>
      <c r="AK118" s="22" t="s">
        <v>95</v>
      </c>
      <c r="AL118" s="18" t="s">
        <v>95</v>
      </c>
      <c r="AM118" s="18" t="s">
        <v>95</v>
      </c>
      <c r="AN118" s="18" t="s">
        <v>95</v>
      </c>
      <c r="AO118" s="18" t="s">
        <v>95</v>
      </c>
      <c r="AP118" s="18" t="s">
        <v>95</v>
      </c>
      <c r="AQ118" s="18" t="s">
        <v>95</v>
      </c>
      <c r="AR118" s="18" t="s">
        <v>95</v>
      </c>
      <c r="AS118" s="18" t="s">
        <v>83</v>
      </c>
      <c r="AT118" s="18" t="s">
        <v>81</v>
      </c>
      <c r="AU118" s="18" t="s">
        <v>81</v>
      </c>
      <c r="AV118" s="18" t="s">
        <v>95</v>
      </c>
      <c r="AW118" s="18" t="s">
        <v>95</v>
      </c>
      <c r="AX118" s="18"/>
      <c r="AY118" s="18" t="str">
        <f>Pospago[[#This Row],[NUM_TELEFONICO]]&amp;"POSPAGOSI"</f>
        <v>963041751POSPAGOSI</v>
      </c>
      <c r="AZ118" s="18" t="str">
        <f>VLOOKUP(Pospago[[#This Row],[NOM_PLAZA_FINAL]],[1]!Locales[#Data],3,0)</f>
        <v>TIENDA RECREO</v>
      </c>
      <c r="BA118" s="18" t="str">
        <f>IFERROR(VLOOKUP(Pospago[[#This Row],[USUARIO]],[1]!Personal[#Data],6,0),"EJECUTIVO NO REGISTRADO")</f>
        <v>VARGAS REYES LUIS EDUARDO</v>
      </c>
      <c r="BB118" s="18" t="str">
        <f>Pospago[[#This Row],[TIPO_MOVIMIENTO]]&amp;" "&amp;Pospago[[#This Row],[FORMA_PAGO_FINAL]]</f>
        <v>TRANSFERENCIAS PAGO EN CAJA</v>
      </c>
      <c r="BC118" s="18">
        <f>DAY(Pospago[[#This Row],[FECHA_ALTA]])</f>
        <v>14</v>
      </c>
      <c r="BD118" s="18">
        <f>IF(Pospago[[#This Row],[TARIFA_BASICA]]=11.42,1,0)</f>
        <v>0</v>
      </c>
      <c r="BE118" s="18">
        <f>IF(Pospago[[#This Row],[PLANES TELEVENTAS]]="SI",1,0)</f>
        <v>1</v>
      </c>
      <c r="BF118" s="18">
        <f>1</f>
        <v>1</v>
      </c>
      <c r="BG118" s="18">
        <f>IF(OR(Pospago[[#This Row],[TARIFA_BASICA]]=11.42,Pospago[[#This Row],[PLANES TELEVENTAS]]="SI"),1,0)</f>
        <v>1</v>
      </c>
      <c r="BH118" s="18" t="str">
        <f>IF(MID(Pospago[[#This Row],[PlanDesc]],1,4) = "PLAN","POSPAGO",IF(MID(Pospago[[#This Row],[PlanDesc]],1,4)="FULL","FULL MEGAS","PREVIOPAGO"))</f>
        <v>PREVIOPAGO</v>
      </c>
      <c r="BI1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8" s="21">
        <f>Pospago[[#This Row],[TARIFA_BASICA]]*1.5</f>
        <v>21.419999999999998</v>
      </c>
    </row>
    <row r="119" spans="1:63" x14ac:dyDescent="0.25">
      <c r="A119" s="18" t="s">
        <v>154</v>
      </c>
      <c r="B119" s="18" t="s">
        <v>989</v>
      </c>
      <c r="C119" s="18" t="s">
        <v>990</v>
      </c>
      <c r="D119" s="19">
        <v>44911</v>
      </c>
      <c r="E119" s="18" t="s">
        <v>67</v>
      </c>
      <c r="F119" s="18" t="s">
        <v>991</v>
      </c>
      <c r="G119" s="18" t="s">
        <v>992</v>
      </c>
      <c r="H119" s="18" t="s">
        <v>159</v>
      </c>
      <c r="I119" s="18" t="s">
        <v>160</v>
      </c>
      <c r="J119" s="18" t="s">
        <v>161</v>
      </c>
      <c r="K119" s="18" t="s">
        <v>95</v>
      </c>
      <c r="L119" s="20" t="s">
        <v>993</v>
      </c>
      <c r="M119" s="18" t="s">
        <v>75</v>
      </c>
      <c r="N119" s="20" t="s">
        <v>994</v>
      </c>
      <c r="O119" s="18" t="s">
        <v>164</v>
      </c>
      <c r="P119" s="18" t="s">
        <v>78</v>
      </c>
      <c r="Q119" s="19">
        <v>44914</v>
      </c>
      <c r="R119" s="21">
        <v>14.28</v>
      </c>
      <c r="S119" s="18" t="s">
        <v>79</v>
      </c>
      <c r="T119" s="18" t="s">
        <v>80</v>
      </c>
      <c r="U119" s="18" t="s">
        <v>83</v>
      </c>
      <c r="V119" s="18" t="s">
        <v>95</v>
      </c>
      <c r="W119" s="18" t="s">
        <v>95</v>
      </c>
      <c r="X119" s="18" t="s">
        <v>84</v>
      </c>
      <c r="Y119" s="18" t="s">
        <v>85</v>
      </c>
      <c r="Z119" s="18" t="s">
        <v>86</v>
      </c>
      <c r="AA119" s="18" t="s">
        <v>87</v>
      </c>
      <c r="AB119" s="18" t="s">
        <v>880</v>
      </c>
      <c r="AC119" s="18" t="s">
        <v>881</v>
      </c>
      <c r="AD119" s="18" t="s">
        <v>85</v>
      </c>
      <c r="AE119" s="18" t="s">
        <v>90</v>
      </c>
      <c r="AF119" s="18" t="s">
        <v>91</v>
      </c>
      <c r="AG119" s="18" t="s">
        <v>92</v>
      </c>
      <c r="AH119" s="18" t="s">
        <v>165</v>
      </c>
      <c r="AI119" s="18" t="s">
        <v>94</v>
      </c>
      <c r="AJ119" s="19">
        <v>44911</v>
      </c>
      <c r="AK119" s="22" t="s">
        <v>95</v>
      </c>
      <c r="AL119" s="18" t="s">
        <v>95</v>
      </c>
      <c r="AM119" s="18" t="s">
        <v>95</v>
      </c>
      <c r="AN119" s="18" t="s">
        <v>95</v>
      </c>
      <c r="AO119" s="18" t="s">
        <v>95</v>
      </c>
      <c r="AP119" s="18" t="s">
        <v>95</v>
      </c>
      <c r="AQ119" s="18" t="s">
        <v>95</v>
      </c>
      <c r="AR119" s="18" t="s">
        <v>95</v>
      </c>
      <c r="AS119" s="18" t="s">
        <v>83</v>
      </c>
      <c r="AT119" s="18" t="s">
        <v>83</v>
      </c>
      <c r="AU119" s="18" t="s">
        <v>81</v>
      </c>
      <c r="AV119" s="18" t="s">
        <v>95</v>
      </c>
      <c r="AW119" s="18" t="s">
        <v>96</v>
      </c>
      <c r="AX119" s="18"/>
      <c r="AY119" s="18" t="str">
        <f>Pospago[[#This Row],[NUM_TELEFONICO]]&amp;"POSPAGOSI"</f>
        <v>963047362POSPAGOSI</v>
      </c>
      <c r="AZ119" s="18" t="str">
        <f>VLOOKUP(Pospago[[#This Row],[NOM_PLAZA_FINAL]],[1]!Locales[#Data],3,0)</f>
        <v>TIENDA CUENCA CENTRO</v>
      </c>
      <c r="BA119" s="18" t="str">
        <f>IFERROR(VLOOKUP(Pospago[[#This Row],[USUARIO]],[1]!Personal[#Data],6,0),"EJECUTIVO NO REGISTRADO")</f>
        <v>LUNA JACHO ANDREA GABRIELA</v>
      </c>
      <c r="BB119" s="18" t="str">
        <f>Pospago[[#This Row],[TIPO_MOVIMIENTO]]&amp;" "&amp;Pospago[[#This Row],[FORMA_PAGO_FINAL]]</f>
        <v>TRANSFERENCIAS DOMICILIADO</v>
      </c>
      <c r="BC119" s="18">
        <f>DAY(Pospago[[#This Row],[FECHA_ALTA]])</f>
        <v>16</v>
      </c>
      <c r="BD119" s="18">
        <f>IF(Pospago[[#This Row],[TARIFA_BASICA]]=11.42,1,0)</f>
        <v>0</v>
      </c>
      <c r="BE119" s="18">
        <f>IF(Pospago[[#This Row],[PLANES TELEVENTAS]]="SI",1,0)</f>
        <v>0</v>
      </c>
      <c r="BF119" s="18">
        <f>1</f>
        <v>1</v>
      </c>
      <c r="BG119" s="18">
        <f>IF(OR(Pospago[[#This Row],[TARIFA_BASICA]]=11.42,Pospago[[#This Row],[PLANES TELEVENTAS]]="SI"),1,0)</f>
        <v>0</v>
      </c>
      <c r="BH119" s="18" t="str">
        <f>IF(MID(Pospago[[#This Row],[PlanDesc]],1,4) = "PLAN","POSPAGO",IF(MID(Pospago[[#This Row],[PlanDesc]],1,4)="FULL","FULL MEGAS","PREVIOPAGO"))</f>
        <v>PREVIOPAGO</v>
      </c>
      <c r="BI1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9" s="21">
        <f>Pospago[[#This Row],[TARIFA_BASICA]]*1.5</f>
        <v>21.419999999999998</v>
      </c>
    </row>
    <row r="120" spans="1:63" x14ac:dyDescent="0.25">
      <c r="A120" s="18" t="s">
        <v>154</v>
      </c>
      <c r="B120" s="18" t="s">
        <v>995</v>
      </c>
      <c r="C120" s="18" t="s">
        <v>996</v>
      </c>
      <c r="D120" s="19">
        <v>44899</v>
      </c>
      <c r="E120" s="18" t="s">
        <v>67</v>
      </c>
      <c r="F120" s="18" t="s">
        <v>997</v>
      </c>
      <c r="G120" s="18" t="s">
        <v>998</v>
      </c>
      <c r="H120" s="18" t="s">
        <v>159</v>
      </c>
      <c r="I120" s="18" t="s">
        <v>112</v>
      </c>
      <c r="J120" s="18" t="s">
        <v>781</v>
      </c>
      <c r="K120" s="18" t="s">
        <v>999</v>
      </c>
      <c r="L120" s="20" t="s">
        <v>1000</v>
      </c>
      <c r="M120" s="18" t="s">
        <v>75</v>
      </c>
      <c r="N120" s="20" t="s">
        <v>1001</v>
      </c>
      <c r="O120" s="18" t="s">
        <v>164</v>
      </c>
      <c r="P120" s="18" t="s">
        <v>78</v>
      </c>
      <c r="Q120" s="19">
        <v>44914</v>
      </c>
      <c r="R120" s="21">
        <v>17.850000000000001</v>
      </c>
      <c r="S120" s="18" t="s">
        <v>79</v>
      </c>
      <c r="T120" s="18" t="s">
        <v>174</v>
      </c>
      <c r="U120" s="18" t="s">
        <v>83</v>
      </c>
      <c r="V120" s="18" t="s">
        <v>95</v>
      </c>
      <c r="W120" s="18" t="s">
        <v>95</v>
      </c>
      <c r="X120" s="18" t="s">
        <v>118</v>
      </c>
      <c r="Y120" s="18" t="s">
        <v>85</v>
      </c>
      <c r="Z120" s="18" t="s">
        <v>86</v>
      </c>
      <c r="AA120" s="18" t="s">
        <v>119</v>
      </c>
      <c r="AB120" s="18" t="s">
        <v>369</v>
      </c>
      <c r="AC120" s="18" t="s">
        <v>370</v>
      </c>
      <c r="AD120" s="18" t="s">
        <v>85</v>
      </c>
      <c r="AE120" s="18" t="s">
        <v>90</v>
      </c>
      <c r="AF120" s="18" t="s">
        <v>177</v>
      </c>
      <c r="AG120" s="18" t="s">
        <v>139</v>
      </c>
      <c r="AH120" s="18" t="s">
        <v>165</v>
      </c>
      <c r="AI120" s="18" t="s">
        <v>94</v>
      </c>
      <c r="AJ120" s="19">
        <v>44899</v>
      </c>
      <c r="AK120" s="22" t="s">
        <v>95</v>
      </c>
      <c r="AL120" s="18" t="s">
        <v>95</v>
      </c>
      <c r="AM120" s="18" t="s">
        <v>95</v>
      </c>
      <c r="AN120" s="18" t="s">
        <v>95</v>
      </c>
      <c r="AO120" s="18" t="s">
        <v>95</v>
      </c>
      <c r="AP120" s="18" t="s">
        <v>95</v>
      </c>
      <c r="AQ120" s="18" t="s">
        <v>95</v>
      </c>
      <c r="AR120" s="18" t="s">
        <v>95</v>
      </c>
      <c r="AS120" s="18" t="s">
        <v>83</v>
      </c>
      <c r="AT120" s="18" t="s">
        <v>83</v>
      </c>
      <c r="AU120" s="18" t="s">
        <v>81</v>
      </c>
      <c r="AV120" s="18" t="s">
        <v>95</v>
      </c>
      <c r="AW120" s="18" t="s">
        <v>95</v>
      </c>
      <c r="AX120" s="18"/>
      <c r="AY120" s="18" t="str">
        <f>Pospago[[#This Row],[NUM_TELEFONICO]]&amp;"POSPAGOSI"</f>
        <v>963062095POSPAGOSI</v>
      </c>
      <c r="AZ120" s="18" t="str">
        <f>VLOOKUP(Pospago[[#This Row],[NOM_PLAZA_FINAL]],[1]!Locales[#Data],3,0)</f>
        <v>TIENDA RECREO</v>
      </c>
      <c r="BA120" s="18" t="str">
        <f>IFERROR(VLOOKUP(Pospago[[#This Row],[USUARIO]],[1]!Personal[#Data],6,0),"EJECUTIVO NO REGISTRADO")</f>
        <v>GUAIGUA REINOSO GENESIS CAROLINA</v>
      </c>
      <c r="BB120" s="18" t="str">
        <f>Pospago[[#This Row],[TIPO_MOVIMIENTO]]&amp;" "&amp;Pospago[[#This Row],[FORMA_PAGO_FINAL]]</f>
        <v>TRANSFERENCIAS PAGO EN CAJA</v>
      </c>
      <c r="BC120" s="18">
        <f>DAY(Pospago[[#This Row],[FECHA_ALTA]])</f>
        <v>4</v>
      </c>
      <c r="BD120" s="18">
        <f>IF(Pospago[[#This Row],[TARIFA_BASICA]]=11.42,1,0)</f>
        <v>0</v>
      </c>
      <c r="BE120" s="18">
        <f>IF(Pospago[[#This Row],[PLANES TELEVENTAS]]="SI",1,0)</f>
        <v>0</v>
      </c>
      <c r="BF120" s="18">
        <f>1</f>
        <v>1</v>
      </c>
      <c r="BG120" s="18">
        <f>IF(OR(Pospago[[#This Row],[TARIFA_BASICA]]=11.42,Pospago[[#This Row],[PLANES TELEVENTAS]]="SI"),1,0)</f>
        <v>0</v>
      </c>
      <c r="BH120" s="18" t="str">
        <f>IF(MID(Pospago[[#This Row],[PlanDesc]],1,4) = "PLAN","POSPAGO",IF(MID(Pospago[[#This Row],[PlanDesc]],1,4)="FULL","FULL MEGAS","PREVIOPAGO"))</f>
        <v>PREVIOPAGO</v>
      </c>
      <c r="BI1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7.88</v>
      </c>
      <c r="BJ1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20" s="21">
        <f>Pospago[[#This Row],[TARIFA_BASICA]]*1.5</f>
        <v>26.775000000000002</v>
      </c>
    </row>
    <row r="121" spans="1:63" x14ac:dyDescent="0.25">
      <c r="A121" s="18" t="s">
        <v>154</v>
      </c>
      <c r="B121" s="18" t="s">
        <v>1002</v>
      </c>
      <c r="C121" s="18" t="s">
        <v>1003</v>
      </c>
      <c r="D121" s="19">
        <v>44912</v>
      </c>
      <c r="E121" s="18" t="s">
        <v>67</v>
      </c>
      <c r="F121" s="18" t="s">
        <v>1004</v>
      </c>
      <c r="G121" s="18" t="s">
        <v>1005</v>
      </c>
      <c r="H121" s="18" t="s">
        <v>159</v>
      </c>
      <c r="I121" s="18" t="s">
        <v>71</v>
      </c>
      <c r="J121" s="18" t="s">
        <v>258</v>
      </c>
      <c r="K121" s="18" t="s">
        <v>73</v>
      </c>
      <c r="L121" s="20" t="s">
        <v>1006</v>
      </c>
      <c r="M121" s="18" t="s">
        <v>75</v>
      </c>
      <c r="N121" s="20" t="s">
        <v>1007</v>
      </c>
      <c r="O121" s="18" t="s">
        <v>164</v>
      </c>
      <c r="P121" s="18" t="s">
        <v>78</v>
      </c>
      <c r="Q121" s="19">
        <v>44914</v>
      </c>
      <c r="R121" s="21">
        <v>11.42</v>
      </c>
      <c r="S121" s="18" t="s">
        <v>79</v>
      </c>
      <c r="T121" s="18" t="s">
        <v>174</v>
      </c>
      <c r="U121" s="18" t="s">
        <v>83</v>
      </c>
      <c r="V121" s="18" t="s">
        <v>95</v>
      </c>
      <c r="W121" s="18" t="s">
        <v>95</v>
      </c>
      <c r="X121" s="18" t="s">
        <v>118</v>
      </c>
      <c r="Y121" s="18" t="s">
        <v>85</v>
      </c>
      <c r="Z121" s="18" t="s">
        <v>86</v>
      </c>
      <c r="AA121" s="18" t="s">
        <v>119</v>
      </c>
      <c r="AB121" s="18" t="s">
        <v>760</v>
      </c>
      <c r="AC121" s="18" t="s">
        <v>761</v>
      </c>
      <c r="AD121" s="18" t="s">
        <v>85</v>
      </c>
      <c r="AE121" s="18" t="s">
        <v>90</v>
      </c>
      <c r="AF121" s="18" t="s">
        <v>177</v>
      </c>
      <c r="AG121" s="18" t="s">
        <v>139</v>
      </c>
      <c r="AH121" s="18" t="s">
        <v>165</v>
      </c>
      <c r="AI121" s="18" t="s">
        <v>94</v>
      </c>
      <c r="AJ121" s="19">
        <v>44912</v>
      </c>
      <c r="AK121" s="22" t="s">
        <v>95</v>
      </c>
      <c r="AL121" s="18" t="s">
        <v>95</v>
      </c>
      <c r="AM121" s="18" t="s">
        <v>95</v>
      </c>
      <c r="AN121" s="18" t="s">
        <v>95</v>
      </c>
      <c r="AO121" s="18" t="s">
        <v>95</v>
      </c>
      <c r="AP121" s="18" t="s">
        <v>95</v>
      </c>
      <c r="AQ121" s="18" t="s">
        <v>95</v>
      </c>
      <c r="AR121" s="18" t="s">
        <v>95</v>
      </c>
      <c r="AS121" s="18" t="s">
        <v>83</v>
      </c>
      <c r="AT121" s="18" t="s">
        <v>83</v>
      </c>
      <c r="AU121" s="18" t="s">
        <v>81</v>
      </c>
      <c r="AV121" s="18" t="s">
        <v>95</v>
      </c>
      <c r="AW121" s="18" t="s">
        <v>95</v>
      </c>
      <c r="AX121" s="18"/>
      <c r="AY121" s="18" t="str">
        <f>Pospago[[#This Row],[NUM_TELEFONICO]]&amp;"POSPAGOSI"</f>
        <v>963063591POSPAGOSI</v>
      </c>
      <c r="AZ121" s="18" t="str">
        <f>VLOOKUP(Pospago[[#This Row],[NOM_PLAZA_FINAL]],[1]!Locales[#Data],3,0)</f>
        <v>TIENDA RECREO</v>
      </c>
      <c r="BA121" s="18" t="str">
        <f>IFERROR(VLOOKUP(Pospago[[#This Row],[USUARIO]],[1]!Personal[#Data],6,0),"EJECUTIVO NO REGISTRADO")</f>
        <v>VALBUENA SANCHEZ ALBERT ANTHONY</v>
      </c>
      <c r="BB121" s="18" t="str">
        <f>Pospago[[#This Row],[TIPO_MOVIMIENTO]]&amp;" "&amp;Pospago[[#This Row],[FORMA_PAGO_FINAL]]</f>
        <v>TRANSFERENCIAS PAGO EN CAJA</v>
      </c>
      <c r="BC121" s="18">
        <f>DAY(Pospago[[#This Row],[FECHA_ALTA]])</f>
        <v>17</v>
      </c>
      <c r="BD121" s="18">
        <f>IF(Pospago[[#This Row],[TARIFA_BASICA]]=11.42,1,0)</f>
        <v>1</v>
      </c>
      <c r="BE121" s="18">
        <f>IF(Pospago[[#This Row],[PLANES TELEVENTAS]]="SI",1,0)</f>
        <v>0</v>
      </c>
      <c r="BF121" s="18">
        <f>1</f>
        <v>1</v>
      </c>
      <c r="BG121" s="18">
        <f>IF(OR(Pospago[[#This Row],[TARIFA_BASICA]]=11.42,Pospago[[#This Row],[PLANES TELEVENTAS]]="SI"),1,0)</f>
        <v>1</v>
      </c>
      <c r="BH121" s="18" t="str">
        <f>IF(MID(Pospago[[#This Row],[PlanDesc]],1,4) = "PLAN","POSPAGO",IF(MID(Pospago[[#This Row],[PlanDesc]],1,4)="FULL","FULL MEGAS","PREVIOPAGO"))</f>
        <v>PREVIOPAGO</v>
      </c>
      <c r="BI1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21" s="21">
        <f>Pospago[[#This Row],[TARIFA_BASICA]]*1.5</f>
        <v>17.13</v>
      </c>
    </row>
    <row r="122" spans="1:63" x14ac:dyDescent="0.25">
      <c r="A122" s="18" t="s">
        <v>64</v>
      </c>
      <c r="B122" s="18" t="s">
        <v>1008</v>
      </c>
      <c r="C122" s="18" t="s">
        <v>1009</v>
      </c>
      <c r="D122" s="19">
        <v>44911</v>
      </c>
      <c r="E122" s="18" t="s">
        <v>246</v>
      </c>
      <c r="F122" s="18" t="s">
        <v>1010</v>
      </c>
      <c r="G122" s="18" t="s">
        <v>1011</v>
      </c>
      <c r="H122" s="18" t="s">
        <v>70</v>
      </c>
      <c r="I122" s="18" t="s">
        <v>130</v>
      </c>
      <c r="J122" s="18" t="s">
        <v>131</v>
      </c>
      <c r="K122" s="18" t="s">
        <v>132</v>
      </c>
      <c r="L122" s="20" t="s">
        <v>1012</v>
      </c>
      <c r="M122" s="18" t="s">
        <v>75</v>
      </c>
      <c r="N122" s="20" t="s">
        <v>1013</v>
      </c>
      <c r="O122" s="18" t="s">
        <v>77</v>
      </c>
      <c r="P122" s="18" t="s">
        <v>78</v>
      </c>
      <c r="Q122" s="19">
        <v>44914</v>
      </c>
      <c r="R122" s="21">
        <v>15</v>
      </c>
      <c r="S122" s="18" t="s">
        <v>79</v>
      </c>
      <c r="T122" s="18" t="s">
        <v>174</v>
      </c>
      <c r="U122" s="18" t="s">
        <v>83</v>
      </c>
      <c r="V122" s="18" t="s">
        <v>95</v>
      </c>
      <c r="W122" s="18" t="s">
        <v>83</v>
      </c>
      <c r="X122" s="18" t="s">
        <v>84</v>
      </c>
      <c r="Y122" s="18" t="s">
        <v>85</v>
      </c>
      <c r="Z122" s="18" t="s">
        <v>86</v>
      </c>
      <c r="AA122" s="18" t="s">
        <v>87</v>
      </c>
      <c r="AB122" s="18" t="s">
        <v>926</v>
      </c>
      <c r="AC122" s="18" t="s">
        <v>927</v>
      </c>
      <c r="AD122" s="18" t="s">
        <v>85</v>
      </c>
      <c r="AE122" s="18" t="s">
        <v>90</v>
      </c>
      <c r="AF122" s="18" t="s">
        <v>177</v>
      </c>
      <c r="AG122" s="18" t="s">
        <v>139</v>
      </c>
      <c r="AH122" s="18" t="s">
        <v>93</v>
      </c>
      <c r="AI122" s="18" t="s">
        <v>94</v>
      </c>
      <c r="AJ122" s="19">
        <v>44911</v>
      </c>
      <c r="AK122" s="22" t="s">
        <v>95</v>
      </c>
      <c r="AL122" s="18" t="s">
        <v>95</v>
      </c>
      <c r="AM122" s="18" t="s">
        <v>95</v>
      </c>
      <c r="AN122" s="18" t="s">
        <v>95</v>
      </c>
      <c r="AO122" s="18" t="s">
        <v>95</v>
      </c>
      <c r="AP122" s="18" t="s">
        <v>95</v>
      </c>
      <c r="AQ122" s="18" t="s">
        <v>95</v>
      </c>
      <c r="AR122" s="18" t="s">
        <v>95</v>
      </c>
      <c r="AS122" s="18" t="s">
        <v>83</v>
      </c>
      <c r="AT122" s="18" t="s">
        <v>83</v>
      </c>
      <c r="AU122" s="18" t="s">
        <v>81</v>
      </c>
      <c r="AV122" s="18" t="s">
        <v>95</v>
      </c>
      <c r="AW122" s="18" t="s">
        <v>95</v>
      </c>
      <c r="AX122" s="18"/>
      <c r="AY122" s="18" t="str">
        <f>Pospago[[#This Row],[NUM_TELEFONICO]]&amp;"POSPAGOSI"</f>
        <v>963077297POSPAGOSI</v>
      </c>
      <c r="AZ122" s="18" t="str">
        <f>VLOOKUP(Pospago[[#This Row],[NOM_PLAZA_FINAL]],[1]!Locales[#Data],3,0)</f>
        <v>TIENDA RECREO</v>
      </c>
      <c r="BA122" s="18" t="str">
        <f>IFERROR(VLOOKUP(Pospago[[#This Row],[USUARIO]],[1]!Personal[#Data],6,0),"EJECUTIVO NO REGISTRADO")</f>
        <v>CABEZAS LOPEZ ROBERTO ALEJANDRO</v>
      </c>
      <c r="BB122" s="18" t="str">
        <f>Pospago[[#This Row],[TIPO_MOVIMIENTO]]&amp;" "&amp;Pospago[[#This Row],[FORMA_PAGO_FINAL]]</f>
        <v>ALTAS DOMICILIADO</v>
      </c>
      <c r="BC122" s="18">
        <f>DAY(Pospago[[#This Row],[FECHA_ALTA]])</f>
        <v>16</v>
      </c>
      <c r="BD122" s="18">
        <f>IF(Pospago[[#This Row],[TARIFA_BASICA]]=11.42,1,0)</f>
        <v>0</v>
      </c>
      <c r="BE122" s="18">
        <f>IF(Pospago[[#This Row],[PLANES TELEVENTAS]]="SI",1,0)</f>
        <v>0</v>
      </c>
      <c r="BF122" s="18">
        <f>1</f>
        <v>1</v>
      </c>
      <c r="BG122" s="18">
        <f>IF(OR(Pospago[[#This Row],[TARIFA_BASICA]]=11.42,Pospago[[#This Row],[PLANES TELEVENTAS]]="SI"),1,0)</f>
        <v>0</v>
      </c>
      <c r="BH122" s="18" t="str">
        <f>IF(MID(Pospago[[#This Row],[PlanDesc]],1,4) = "PLAN","POSPAGO",IF(MID(Pospago[[#This Row],[PlanDesc]],1,4)="FULL","FULL MEGAS","PREVIOPAGO"))</f>
        <v>PREVIOPAGO</v>
      </c>
      <c r="BI1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1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22" s="21">
        <f>Pospago[[#This Row],[TARIFA_BASICA]]*1.5</f>
        <v>22.5</v>
      </c>
    </row>
    <row r="123" spans="1:63" x14ac:dyDescent="0.25">
      <c r="A123" s="18" t="s">
        <v>64</v>
      </c>
      <c r="B123" s="18" t="s">
        <v>1014</v>
      </c>
      <c r="C123" s="18" t="s">
        <v>1015</v>
      </c>
      <c r="D123" s="19">
        <v>44907</v>
      </c>
      <c r="E123" s="18" t="s">
        <v>67</v>
      </c>
      <c r="F123" s="18" t="s">
        <v>1016</v>
      </c>
      <c r="G123" s="18" t="s">
        <v>1017</v>
      </c>
      <c r="H123" s="18" t="s">
        <v>70</v>
      </c>
      <c r="I123" s="18" t="s">
        <v>160</v>
      </c>
      <c r="J123" s="18" t="s">
        <v>195</v>
      </c>
      <c r="K123" s="18" t="s">
        <v>73</v>
      </c>
      <c r="L123" s="20" t="s">
        <v>1018</v>
      </c>
      <c r="M123" s="18" t="s">
        <v>287</v>
      </c>
      <c r="N123" s="20" t="s">
        <v>1019</v>
      </c>
      <c r="O123" s="18" t="s">
        <v>77</v>
      </c>
      <c r="P123" s="18" t="s">
        <v>78</v>
      </c>
      <c r="Q123" s="19">
        <v>44914</v>
      </c>
      <c r="R123" s="21">
        <v>14.28</v>
      </c>
      <c r="S123" s="18" t="s">
        <v>79</v>
      </c>
      <c r="T123" s="18" t="s">
        <v>80</v>
      </c>
      <c r="U123" s="18" t="s">
        <v>83</v>
      </c>
      <c r="V123" s="18" t="s">
        <v>95</v>
      </c>
      <c r="W123" s="18" t="s">
        <v>83</v>
      </c>
      <c r="X123" s="18" t="s">
        <v>84</v>
      </c>
      <c r="Y123" s="18" t="s">
        <v>85</v>
      </c>
      <c r="Z123" s="18" t="s">
        <v>86</v>
      </c>
      <c r="AA123" s="18" t="s">
        <v>87</v>
      </c>
      <c r="AB123" s="18" t="s">
        <v>1020</v>
      </c>
      <c r="AC123" s="18" t="s">
        <v>1021</v>
      </c>
      <c r="AD123" s="18" t="s">
        <v>85</v>
      </c>
      <c r="AE123" s="18" t="s">
        <v>90</v>
      </c>
      <c r="AF123" s="18" t="s">
        <v>91</v>
      </c>
      <c r="AG123" s="18" t="s">
        <v>92</v>
      </c>
      <c r="AH123" s="18" t="s">
        <v>93</v>
      </c>
      <c r="AI123" s="18" t="s">
        <v>94</v>
      </c>
      <c r="AJ123" s="19">
        <v>44907</v>
      </c>
      <c r="AK123" s="22">
        <v>44907</v>
      </c>
      <c r="AL123" s="18" t="s">
        <v>291</v>
      </c>
      <c r="AM123" s="18" t="s">
        <v>292</v>
      </c>
      <c r="AN123" s="18" t="s">
        <v>293</v>
      </c>
      <c r="AO123" s="18" t="s">
        <v>1022</v>
      </c>
      <c r="AP123" s="18">
        <v>1</v>
      </c>
      <c r="AQ123" s="18">
        <v>334.82143000000002</v>
      </c>
      <c r="AR123" s="18" t="s">
        <v>295</v>
      </c>
      <c r="AS123" s="18" t="s">
        <v>81</v>
      </c>
      <c r="AT123" s="18" t="s">
        <v>83</v>
      </c>
      <c r="AU123" s="18" t="s">
        <v>81</v>
      </c>
      <c r="AV123" s="18" t="s">
        <v>95</v>
      </c>
      <c r="AW123" s="18" t="s">
        <v>95</v>
      </c>
      <c r="AX123" s="18"/>
      <c r="AY123" s="18" t="str">
        <f>Pospago[[#This Row],[NUM_TELEFONICO]]&amp;"POSPAGOSI"</f>
        <v>963077379POSPAGOSI</v>
      </c>
      <c r="AZ123" s="18" t="str">
        <f>VLOOKUP(Pospago[[#This Row],[NOM_PLAZA_FINAL]],[1]!Locales[#Data],3,0)</f>
        <v>TIENDA CUENCA CENTRO</v>
      </c>
      <c r="BA123" s="18" t="str">
        <f>IFERROR(VLOOKUP(Pospago[[#This Row],[USUARIO]],[1]!Personal[#Data],6,0),"EJECUTIVO NO REGISTRADO")</f>
        <v>GONZALES ALVARRACIN PAOLA YESSENIA</v>
      </c>
      <c r="BB123" s="18" t="str">
        <f>Pospago[[#This Row],[TIPO_MOVIMIENTO]]&amp;" "&amp;Pospago[[#This Row],[FORMA_PAGO_FINAL]]</f>
        <v>ALTAS DOMICILIADO</v>
      </c>
      <c r="BC123" s="18">
        <f>DAY(Pospago[[#This Row],[FECHA_ALTA]])</f>
        <v>12</v>
      </c>
      <c r="BD123" s="18">
        <f>IF(Pospago[[#This Row],[TARIFA_BASICA]]=11.42,1,0)</f>
        <v>0</v>
      </c>
      <c r="BE123" s="18">
        <f>IF(Pospago[[#This Row],[PLANES TELEVENTAS]]="SI",1,0)</f>
        <v>0</v>
      </c>
      <c r="BF123" s="18">
        <f>1</f>
        <v>1</v>
      </c>
      <c r="BG123" s="18">
        <f>IF(OR(Pospago[[#This Row],[TARIFA_BASICA]]=11.42,Pospago[[#This Row],[PLANES TELEVENTAS]]="SI"),1,0)</f>
        <v>0</v>
      </c>
      <c r="BH123" s="18" t="str">
        <f>IF(MID(Pospago[[#This Row],[PlanDesc]],1,4) = "PLAN","POSPAGO",IF(MID(Pospago[[#This Row],[PlanDesc]],1,4)="FULL","FULL MEGAS","PREVIOPAGO"))</f>
        <v>PREVIOPAGO</v>
      </c>
      <c r="BI1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23" s="21">
        <f>Pospago[[#This Row],[TARIFA_BASICA]]*1.5</f>
        <v>21.419999999999998</v>
      </c>
    </row>
    <row r="124" spans="1:63" x14ac:dyDescent="0.25">
      <c r="A124" s="18" t="s">
        <v>64</v>
      </c>
      <c r="B124" s="18" t="s">
        <v>1023</v>
      </c>
      <c r="C124" s="18" t="s">
        <v>1024</v>
      </c>
      <c r="D124" s="19">
        <v>44902</v>
      </c>
      <c r="E124" s="18" t="s">
        <v>67</v>
      </c>
      <c r="F124" s="18" t="s">
        <v>1025</v>
      </c>
      <c r="G124" s="18" t="s">
        <v>1026</v>
      </c>
      <c r="H124" s="18" t="s">
        <v>70</v>
      </c>
      <c r="I124" s="18" t="s">
        <v>160</v>
      </c>
      <c r="J124" s="18" t="s">
        <v>195</v>
      </c>
      <c r="K124" s="18" t="s">
        <v>73</v>
      </c>
      <c r="L124" s="20" t="s">
        <v>1027</v>
      </c>
      <c r="M124" s="18" t="s">
        <v>75</v>
      </c>
      <c r="N124" s="20" t="s">
        <v>1028</v>
      </c>
      <c r="O124" s="18" t="s">
        <v>77</v>
      </c>
      <c r="P124" s="18" t="s">
        <v>78</v>
      </c>
      <c r="Q124" s="19">
        <v>44914</v>
      </c>
      <c r="R124" s="21">
        <v>14.28</v>
      </c>
      <c r="S124" s="18" t="s">
        <v>79</v>
      </c>
      <c r="T124" s="18" t="s">
        <v>80</v>
      </c>
      <c r="U124" s="18" t="s">
        <v>81</v>
      </c>
      <c r="V124" s="18" t="s">
        <v>1029</v>
      </c>
      <c r="W124" s="18" t="s">
        <v>83</v>
      </c>
      <c r="X124" s="18" t="s">
        <v>118</v>
      </c>
      <c r="Y124" s="18" t="s">
        <v>85</v>
      </c>
      <c r="Z124" s="18" t="s">
        <v>86</v>
      </c>
      <c r="AA124" s="18" t="s">
        <v>119</v>
      </c>
      <c r="AB124" s="18" t="s">
        <v>242</v>
      </c>
      <c r="AC124" s="18" t="s">
        <v>243</v>
      </c>
      <c r="AD124" s="18" t="s">
        <v>85</v>
      </c>
      <c r="AE124" s="18" t="s">
        <v>90</v>
      </c>
      <c r="AF124" s="18" t="s">
        <v>91</v>
      </c>
      <c r="AG124" s="18" t="s">
        <v>92</v>
      </c>
      <c r="AH124" s="18" t="s">
        <v>93</v>
      </c>
      <c r="AI124" s="18" t="s">
        <v>94</v>
      </c>
      <c r="AJ124" s="19">
        <v>44902</v>
      </c>
      <c r="AK124" s="22" t="s">
        <v>95</v>
      </c>
      <c r="AL124" s="18" t="s">
        <v>95</v>
      </c>
      <c r="AM124" s="18" t="s">
        <v>95</v>
      </c>
      <c r="AN124" s="18" t="s">
        <v>95</v>
      </c>
      <c r="AO124" s="18" t="s">
        <v>95</v>
      </c>
      <c r="AP124" s="18" t="s">
        <v>95</v>
      </c>
      <c r="AQ124" s="18" t="s">
        <v>95</v>
      </c>
      <c r="AR124" s="18" t="s">
        <v>95</v>
      </c>
      <c r="AS124" s="18" t="s">
        <v>83</v>
      </c>
      <c r="AT124" s="18" t="s">
        <v>83</v>
      </c>
      <c r="AU124" s="18" t="s">
        <v>81</v>
      </c>
      <c r="AV124" s="18" t="s">
        <v>95</v>
      </c>
      <c r="AW124" s="18" t="s">
        <v>96</v>
      </c>
      <c r="AX124" s="18"/>
      <c r="AY124" s="18" t="str">
        <f>Pospago[[#This Row],[NUM_TELEFONICO]]&amp;"POSPAGOSI"</f>
        <v>963399533POSPAGOSI</v>
      </c>
      <c r="AZ124" s="18" t="str">
        <f>VLOOKUP(Pospago[[#This Row],[NOM_PLAZA_FINAL]],[1]!Locales[#Data],3,0)</f>
        <v>TIENDA CUENCA CENTRO</v>
      </c>
      <c r="BA124" s="18" t="str">
        <f>IFERROR(VLOOKUP(Pospago[[#This Row],[USUARIO]],[1]!Personal[#Data],6,0),"EJECUTIVO NO REGISTRADO")</f>
        <v>VALLEJO DELEG ROMAN NICOLAS</v>
      </c>
      <c r="BB124" s="18" t="str">
        <f>Pospago[[#This Row],[TIPO_MOVIMIENTO]]&amp;" "&amp;Pospago[[#This Row],[FORMA_PAGO_FINAL]]</f>
        <v>ALTAS PAGO EN CAJA</v>
      </c>
      <c r="BC124" s="18">
        <f>DAY(Pospago[[#This Row],[FECHA_ALTA]])</f>
        <v>7</v>
      </c>
      <c r="BD124" s="18">
        <f>IF(Pospago[[#This Row],[TARIFA_BASICA]]=11.42,1,0)</f>
        <v>0</v>
      </c>
      <c r="BE124" s="18">
        <f>IF(Pospago[[#This Row],[PLANES TELEVENTAS]]="SI",1,0)</f>
        <v>0</v>
      </c>
      <c r="BF124" s="18">
        <f>1</f>
        <v>1</v>
      </c>
      <c r="BG124" s="18">
        <f>IF(OR(Pospago[[#This Row],[TARIFA_BASICA]]=11.42,Pospago[[#This Row],[PLANES TELEVENTAS]]="SI"),1,0)</f>
        <v>0</v>
      </c>
      <c r="BH124" s="18" t="str">
        <f>IF(MID(Pospago[[#This Row],[PlanDesc]],1,4) = "PLAN","POSPAGO",IF(MID(Pospago[[#This Row],[PlanDesc]],1,4)="FULL","FULL MEGAS","PREVIOPAGO"))</f>
        <v>PREVIOPAGO</v>
      </c>
      <c r="BI1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24" s="21">
        <f>Pospago[[#This Row],[TARIFA_BASICA]]*1.5</f>
        <v>21.419999999999998</v>
      </c>
    </row>
    <row r="125" spans="1:63" x14ac:dyDescent="0.25">
      <c r="A125" s="18" t="s">
        <v>154</v>
      </c>
      <c r="B125" s="18" t="s">
        <v>1030</v>
      </c>
      <c r="C125" s="18" t="s">
        <v>1031</v>
      </c>
      <c r="D125" s="19">
        <v>44904</v>
      </c>
      <c r="E125" s="18" t="s">
        <v>67</v>
      </c>
      <c r="F125" s="18" t="s">
        <v>1032</v>
      </c>
      <c r="G125" s="18" t="s">
        <v>1033</v>
      </c>
      <c r="H125" s="18" t="s">
        <v>159</v>
      </c>
      <c r="I125" s="18" t="s">
        <v>160</v>
      </c>
      <c r="J125" s="18" t="s">
        <v>161</v>
      </c>
      <c r="K125" s="18" t="s">
        <v>73</v>
      </c>
      <c r="L125" s="20" t="s">
        <v>1034</v>
      </c>
      <c r="M125" s="18" t="s">
        <v>75</v>
      </c>
      <c r="N125" s="20" t="s">
        <v>1035</v>
      </c>
      <c r="O125" s="18" t="s">
        <v>1036</v>
      </c>
      <c r="P125" s="18" t="s">
        <v>78</v>
      </c>
      <c r="Q125" s="19">
        <v>44914</v>
      </c>
      <c r="R125" s="21">
        <v>14.28</v>
      </c>
      <c r="S125" s="18" t="s">
        <v>79</v>
      </c>
      <c r="T125" s="18" t="s">
        <v>148</v>
      </c>
      <c r="U125" s="18" t="s">
        <v>83</v>
      </c>
      <c r="V125" s="18" t="s">
        <v>95</v>
      </c>
      <c r="W125" s="18" t="s">
        <v>95</v>
      </c>
      <c r="X125" s="18" t="s">
        <v>84</v>
      </c>
      <c r="Y125" s="18" t="s">
        <v>85</v>
      </c>
      <c r="Z125" s="18" t="s">
        <v>86</v>
      </c>
      <c r="AA125" s="18" t="s">
        <v>87</v>
      </c>
      <c r="AB125" s="18" t="s">
        <v>610</v>
      </c>
      <c r="AC125" s="18" t="s">
        <v>611</v>
      </c>
      <c r="AD125" s="18" t="s">
        <v>85</v>
      </c>
      <c r="AE125" s="18" t="s">
        <v>90</v>
      </c>
      <c r="AF125" s="18" t="s">
        <v>151</v>
      </c>
      <c r="AG125" s="18" t="s">
        <v>92</v>
      </c>
      <c r="AH125" s="18" t="s">
        <v>165</v>
      </c>
      <c r="AI125" s="18" t="s">
        <v>94</v>
      </c>
      <c r="AJ125" s="19">
        <v>44904</v>
      </c>
      <c r="AK125" s="22" t="s">
        <v>95</v>
      </c>
      <c r="AL125" s="18" t="s">
        <v>95</v>
      </c>
      <c r="AM125" s="18" t="s">
        <v>95</v>
      </c>
      <c r="AN125" s="18" t="s">
        <v>95</v>
      </c>
      <c r="AO125" s="18" t="s">
        <v>95</v>
      </c>
      <c r="AP125" s="18" t="s">
        <v>95</v>
      </c>
      <c r="AQ125" s="18" t="s">
        <v>95</v>
      </c>
      <c r="AR125" s="18" t="s">
        <v>95</v>
      </c>
      <c r="AS125" s="18" t="s">
        <v>83</v>
      </c>
      <c r="AT125" s="18" t="s">
        <v>83</v>
      </c>
      <c r="AU125" s="18" t="s">
        <v>81</v>
      </c>
      <c r="AV125" s="18" t="s">
        <v>95</v>
      </c>
      <c r="AW125" s="18" t="s">
        <v>96</v>
      </c>
      <c r="AX125" s="18"/>
      <c r="AY125" s="18" t="str">
        <f>Pospago[[#This Row],[NUM_TELEFONICO]]&amp;"POSPAGOSI"</f>
        <v>963697270POSPAGOSI</v>
      </c>
      <c r="AZ125" s="18" t="str">
        <f>VLOOKUP(Pospago[[#This Row],[NOM_PLAZA_FINAL]],[1]!Locales[#Data],3,0)</f>
        <v>TIENDA CUENCA REMIGIO</v>
      </c>
      <c r="BA125" s="18" t="str">
        <f>IFERROR(VLOOKUP(Pospago[[#This Row],[USUARIO]],[1]!Personal[#Data],6,0),"EJECUTIVO NO REGISTRADO")</f>
        <v>PATIÑO TAPIA ANDRES SANTIAGO</v>
      </c>
      <c r="BB125" s="18" t="str">
        <f>Pospago[[#This Row],[TIPO_MOVIMIENTO]]&amp;" "&amp;Pospago[[#This Row],[FORMA_PAGO_FINAL]]</f>
        <v>TRANSFERENCIAS DOMICILIADO</v>
      </c>
      <c r="BC125" s="18">
        <f>DAY(Pospago[[#This Row],[FECHA_ALTA]])</f>
        <v>9</v>
      </c>
      <c r="BD125" s="18">
        <f>IF(Pospago[[#This Row],[TARIFA_BASICA]]=11.42,1,0)</f>
        <v>0</v>
      </c>
      <c r="BE125" s="18">
        <f>IF(Pospago[[#This Row],[PLANES TELEVENTAS]]="SI",1,0)</f>
        <v>0</v>
      </c>
      <c r="BF125" s="18">
        <f>1</f>
        <v>1</v>
      </c>
      <c r="BG125" s="18">
        <f>IF(OR(Pospago[[#This Row],[TARIFA_BASICA]]=11.42,Pospago[[#This Row],[PLANES TELEVENTAS]]="SI"),1,0)</f>
        <v>0</v>
      </c>
      <c r="BH125" s="18" t="str">
        <f>IF(MID(Pospago[[#This Row],[PlanDesc]],1,4) = "PLAN","POSPAGO",IF(MID(Pospago[[#This Row],[PlanDesc]],1,4)="FULL","FULL MEGAS","PREVIOPAGO"))</f>
        <v>PREVIOPAGO</v>
      </c>
      <c r="BI1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25" s="21">
        <f>Pospago[[#This Row],[TARIFA_BASICA]]*1.5</f>
        <v>21.419999999999998</v>
      </c>
    </row>
    <row r="126" spans="1:63" x14ac:dyDescent="0.25">
      <c r="A126" s="18" t="s">
        <v>64</v>
      </c>
      <c r="B126" s="18" t="s">
        <v>1037</v>
      </c>
      <c r="C126" s="18" t="s">
        <v>1038</v>
      </c>
      <c r="D126" s="19">
        <v>44910</v>
      </c>
      <c r="E126" s="18" t="s">
        <v>67</v>
      </c>
      <c r="F126" s="18" t="s">
        <v>1039</v>
      </c>
      <c r="G126" s="18" t="s">
        <v>1040</v>
      </c>
      <c r="H126" s="18" t="s">
        <v>70</v>
      </c>
      <c r="I126" s="18" t="s">
        <v>160</v>
      </c>
      <c r="J126" s="18" t="s">
        <v>195</v>
      </c>
      <c r="K126" s="18" t="s">
        <v>114</v>
      </c>
      <c r="L126" s="20" t="s">
        <v>1041</v>
      </c>
      <c r="M126" s="18" t="s">
        <v>75</v>
      </c>
      <c r="N126" s="20" t="s">
        <v>1042</v>
      </c>
      <c r="O126" s="18" t="s">
        <v>77</v>
      </c>
      <c r="P126" s="18" t="s">
        <v>78</v>
      </c>
      <c r="Q126" s="19">
        <v>44914</v>
      </c>
      <c r="R126" s="21">
        <v>14.28</v>
      </c>
      <c r="S126" s="18" t="s">
        <v>79</v>
      </c>
      <c r="T126" s="18" t="s">
        <v>117</v>
      </c>
      <c r="U126" s="18" t="s">
        <v>83</v>
      </c>
      <c r="V126" s="18" t="s">
        <v>95</v>
      </c>
      <c r="W126" s="18" t="s">
        <v>83</v>
      </c>
      <c r="X126" s="18" t="s">
        <v>84</v>
      </c>
      <c r="Y126" s="18" t="s">
        <v>85</v>
      </c>
      <c r="Z126" s="18" t="s">
        <v>86</v>
      </c>
      <c r="AA126" s="18" t="s">
        <v>87</v>
      </c>
      <c r="AB126" s="18" t="s">
        <v>1043</v>
      </c>
      <c r="AC126" s="18" t="s">
        <v>1044</v>
      </c>
      <c r="AD126" s="18" t="s">
        <v>85</v>
      </c>
      <c r="AE126" s="18" t="s">
        <v>90</v>
      </c>
      <c r="AF126" s="18" t="s">
        <v>122</v>
      </c>
      <c r="AG126" s="18" t="s">
        <v>92</v>
      </c>
      <c r="AH126" s="18" t="s">
        <v>93</v>
      </c>
      <c r="AI126" s="18" t="s">
        <v>94</v>
      </c>
      <c r="AJ126" s="19">
        <v>44910</v>
      </c>
      <c r="AK126" s="22" t="s">
        <v>95</v>
      </c>
      <c r="AL126" s="18" t="s">
        <v>95</v>
      </c>
      <c r="AM126" s="18" t="s">
        <v>95</v>
      </c>
      <c r="AN126" s="18" t="s">
        <v>95</v>
      </c>
      <c r="AO126" s="18" t="s">
        <v>95</v>
      </c>
      <c r="AP126" s="18" t="s">
        <v>95</v>
      </c>
      <c r="AQ126" s="18" t="s">
        <v>95</v>
      </c>
      <c r="AR126" s="18" t="s">
        <v>95</v>
      </c>
      <c r="AS126" s="18" t="s">
        <v>83</v>
      </c>
      <c r="AT126" s="18" t="s">
        <v>83</v>
      </c>
      <c r="AU126" s="18" t="s">
        <v>81</v>
      </c>
      <c r="AV126" s="18" t="s">
        <v>95</v>
      </c>
      <c r="AW126" s="18" t="s">
        <v>95</v>
      </c>
      <c r="AX126" s="18"/>
      <c r="AY126" s="18" t="str">
        <f>Pospago[[#This Row],[NUM_TELEFONICO]]&amp;"POSPAGOSI"</f>
        <v>963963869POSPAGOSI</v>
      </c>
      <c r="AZ126" s="18" t="str">
        <f>VLOOKUP(Pospago[[#This Row],[NOM_PLAZA_FINAL]],[1]!Locales[#Data],3,0)</f>
        <v>TIENDA MACHALA</v>
      </c>
      <c r="BA126" s="18" t="str">
        <f>IFERROR(VLOOKUP(Pospago[[#This Row],[USUARIO]],[1]!Personal[#Data],6,0),"EJECUTIVO NO REGISTRADO")</f>
        <v>GONZAGA YUPANGUI LIZBETH KATHERINE</v>
      </c>
      <c r="BB126" s="18" t="str">
        <f>Pospago[[#This Row],[TIPO_MOVIMIENTO]]&amp;" "&amp;Pospago[[#This Row],[FORMA_PAGO_FINAL]]</f>
        <v>ALTAS DOMICILIADO</v>
      </c>
      <c r="BC126" s="18">
        <f>DAY(Pospago[[#This Row],[FECHA_ALTA]])</f>
        <v>15</v>
      </c>
      <c r="BD126" s="18">
        <f>IF(Pospago[[#This Row],[TARIFA_BASICA]]=11.42,1,0)</f>
        <v>0</v>
      </c>
      <c r="BE126" s="18">
        <f>IF(Pospago[[#This Row],[PLANES TELEVENTAS]]="SI",1,0)</f>
        <v>0</v>
      </c>
      <c r="BF126" s="18">
        <f>1</f>
        <v>1</v>
      </c>
      <c r="BG126" s="18">
        <f>IF(OR(Pospago[[#This Row],[TARIFA_BASICA]]=11.42,Pospago[[#This Row],[PLANES TELEVENTAS]]="SI"),1,0)</f>
        <v>0</v>
      </c>
      <c r="BH126" s="18" t="str">
        <f>IF(MID(Pospago[[#This Row],[PlanDesc]],1,4) = "PLAN","POSPAGO",IF(MID(Pospago[[#This Row],[PlanDesc]],1,4)="FULL","FULL MEGAS","PREVIOPAGO"))</f>
        <v>PREVIOPAGO</v>
      </c>
      <c r="BI1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1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26" s="21">
        <f>Pospago[[#This Row],[TARIFA_BASICA]]*1.5</f>
        <v>21.419999999999998</v>
      </c>
    </row>
    <row r="127" spans="1:63" x14ac:dyDescent="0.25">
      <c r="A127" s="18" t="s">
        <v>64</v>
      </c>
      <c r="B127" s="18" t="s">
        <v>1045</v>
      </c>
      <c r="C127" s="18" t="s">
        <v>1046</v>
      </c>
      <c r="D127" s="19">
        <v>44896</v>
      </c>
      <c r="E127" s="18" t="s">
        <v>67</v>
      </c>
      <c r="F127" s="18" t="s">
        <v>1047</v>
      </c>
      <c r="G127" s="18" t="s">
        <v>1048</v>
      </c>
      <c r="H127" s="18" t="s">
        <v>70</v>
      </c>
      <c r="I127" s="18" t="s">
        <v>227</v>
      </c>
      <c r="J127" s="18" t="s">
        <v>228</v>
      </c>
      <c r="K127" s="18" t="s">
        <v>132</v>
      </c>
      <c r="L127" s="20" t="s">
        <v>1049</v>
      </c>
      <c r="M127" s="18" t="s">
        <v>75</v>
      </c>
      <c r="N127" s="20" t="s">
        <v>1050</v>
      </c>
      <c r="O127" s="18" t="s">
        <v>77</v>
      </c>
      <c r="P127" s="18" t="s">
        <v>78</v>
      </c>
      <c r="Q127" s="19">
        <v>44914</v>
      </c>
      <c r="R127" s="21">
        <v>21.42</v>
      </c>
      <c r="S127" s="18" t="s">
        <v>79</v>
      </c>
      <c r="T127" s="18" t="s">
        <v>117</v>
      </c>
      <c r="U127" s="18" t="s">
        <v>83</v>
      </c>
      <c r="V127" s="18" t="s">
        <v>95</v>
      </c>
      <c r="W127" s="18" t="s">
        <v>83</v>
      </c>
      <c r="X127" s="18" t="s">
        <v>84</v>
      </c>
      <c r="Y127" s="18" t="s">
        <v>85</v>
      </c>
      <c r="Z127" s="18" t="s">
        <v>86</v>
      </c>
      <c r="AA127" s="18" t="s">
        <v>87</v>
      </c>
      <c r="AB127" s="18" t="s">
        <v>120</v>
      </c>
      <c r="AC127" s="18" t="s">
        <v>121</v>
      </c>
      <c r="AD127" s="18" t="s">
        <v>85</v>
      </c>
      <c r="AE127" s="18" t="s">
        <v>90</v>
      </c>
      <c r="AF127" s="18" t="s">
        <v>122</v>
      </c>
      <c r="AG127" s="18" t="s">
        <v>92</v>
      </c>
      <c r="AH127" s="18" t="s">
        <v>93</v>
      </c>
      <c r="AI127" s="18" t="s">
        <v>94</v>
      </c>
      <c r="AJ127" s="19">
        <v>44896</v>
      </c>
      <c r="AK127" s="22" t="s">
        <v>95</v>
      </c>
      <c r="AL127" s="18" t="s">
        <v>95</v>
      </c>
      <c r="AM127" s="18" t="s">
        <v>95</v>
      </c>
      <c r="AN127" s="18" t="s">
        <v>95</v>
      </c>
      <c r="AO127" s="18" t="s">
        <v>95</v>
      </c>
      <c r="AP127" s="18" t="s">
        <v>95</v>
      </c>
      <c r="AQ127" s="18" t="s">
        <v>95</v>
      </c>
      <c r="AR127" s="18" t="s">
        <v>95</v>
      </c>
      <c r="AS127" s="18" t="s">
        <v>83</v>
      </c>
      <c r="AT127" s="18" t="s">
        <v>83</v>
      </c>
      <c r="AU127" s="18" t="s">
        <v>81</v>
      </c>
      <c r="AV127" s="18" t="s">
        <v>95</v>
      </c>
      <c r="AW127" s="18" t="s">
        <v>95</v>
      </c>
      <c r="AX127" s="18"/>
      <c r="AY127" s="18" t="str">
        <f>Pospago[[#This Row],[NUM_TELEFONICO]]&amp;"POSPAGOSI"</f>
        <v>967051873POSPAGOSI</v>
      </c>
      <c r="AZ127" s="18" t="str">
        <f>VLOOKUP(Pospago[[#This Row],[NOM_PLAZA_FINAL]],[1]!Locales[#Data],3,0)</f>
        <v>TIENDA MACHALA</v>
      </c>
      <c r="BA127" s="18" t="str">
        <f>IFERROR(VLOOKUP(Pospago[[#This Row],[USUARIO]],[1]!Personal[#Data],6,0),"EJECUTIVO NO REGISTRADO")</f>
        <v>ARROBO VICENTE YADIRA ESPERANZA</v>
      </c>
      <c r="BB127" s="18" t="str">
        <f>Pospago[[#This Row],[TIPO_MOVIMIENTO]]&amp;" "&amp;Pospago[[#This Row],[FORMA_PAGO_FINAL]]</f>
        <v>ALTAS DOMICILIADO</v>
      </c>
      <c r="BC127" s="18">
        <f>DAY(Pospago[[#This Row],[FECHA_ALTA]])</f>
        <v>1</v>
      </c>
      <c r="BD127" s="18">
        <f>IF(Pospago[[#This Row],[TARIFA_BASICA]]=11.42,1,0)</f>
        <v>0</v>
      </c>
      <c r="BE127" s="18">
        <f>IF(Pospago[[#This Row],[PLANES TELEVENTAS]]="SI",1,0)</f>
        <v>0</v>
      </c>
      <c r="BF127" s="18">
        <f>1</f>
        <v>1</v>
      </c>
      <c r="BG127" s="18">
        <f>IF(OR(Pospago[[#This Row],[TARIFA_BASICA]]=11.42,Pospago[[#This Row],[PLANES TELEVENTAS]]="SI"),1,0)</f>
        <v>0</v>
      </c>
      <c r="BH127" s="18" t="str">
        <f>IF(MID(Pospago[[#This Row],[PlanDesc]],1,4) = "PLAN","POSPAGO",IF(MID(Pospago[[#This Row],[PlanDesc]],1,4)="FULL","FULL MEGAS","PREVIOPAGO"))</f>
        <v>PREVIOPAGO</v>
      </c>
      <c r="BI1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36</v>
      </c>
      <c r="BJ1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27" s="21">
        <f>Pospago[[#This Row],[TARIFA_BASICA]]*1.5</f>
        <v>32.130000000000003</v>
      </c>
    </row>
    <row r="128" spans="1:63" x14ac:dyDescent="0.25">
      <c r="A128" s="18" t="s">
        <v>64</v>
      </c>
      <c r="B128" s="18" t="s">
        <v>1051</v>
      </c>
      <c r="C128" s="18" t="s">
        <v>1052</v>
      </c>
      <c r="D128" s="19">
        <v>44903</v>
      </c>
      <c r="E128" s="18" t="s">
        <v>67</v>
      </c>
      <c r="F128" s="18" t="s">
        <v>1053</v>
      </c>
      <c r="G128" s="18" t="s">
        <v>1054</v>
      </c>
      <c r="H128" s="18" t="s">
        <v>70</v>
      </c>
      <c r="I128" s="18" t="s">
        <v>160</v>
      </c>
      <c r="J128" s="18" t="s">
        <v>195</v>
      </c>
      <c r="K128" s="18" t="s">
        <v>73</v>
      </c>
      <c r="L128" s="20" t="s">
        <v>1055</v>
      </c>
      <c r="M128" s="18" t="s">
        <v>75</v>
      </c>
      <c r="N128" s="20" t="s">
        <v>1056</v>
      </c>
      <c r="O128" s="18" t="s">
        <v>77</v>
      </c>
      <c r="P128" s="18" t="s">
        <v>78</v>
      </c>
      <c r="Q128" s="19">
        <v>44914</v>
      </c>
      <c r="R128" s="21">
        <v>14.28</v>
      </c>
      <c r="S128" s="18" t="s">
        <v>79</v>
      </c>
      <c r="T128" s="18" t="s">
        <v>80</v>
      </c>
      <c r="U128" s="18" t="s">
        <v>81</v>
      </c>
      <c r="V128" s="18" t="s">
        <v>82</v>
      </c>
      <c r="W128" s="18" t="s">
        <v>83</v>
      </c>
      <c r="X128" s="18" t="s">
        <v>84</v>
      </c>
      <c r="Y128" s="18" t="s">
        <v>85</v>
      </c>
      <c r="Z128" s="18" t="s">
        <v>86</v>
      </c>
      <c r="AA128" s="18" t="s">
        <v>87</v>
      </c>
      <c r="AB128" s="18" t="s">
        <v>1020</v>
      </c>
      <c r="AC128" s="18" t="s">
        <v>1021</v>
      </c>
      <c r="AD128" s="18" t="s">
        <v>85</v>
      </c>
      <c r="AE128" s="18" t="s">
        <v>90</v>
      </c>
      <c r="AF128" s="18" t="s">
        <v>91</v>
      </c>
      <c r="AG128" s="18" t="s">
        <v>92</v>
      </c>
      <c r="AH128" s="18" t="s">
        <v>93</v>
      </c>
      <c r="AI128" s="18" t="s">
        <v>94</v>
      </c>
      <c r="AJ128" s="19">
        <v>44903</v>
      </c>
      <c r="AK128" s="22" t="s">
        <v>95</v>
      </c>
      <c r="AL128" s="18" t="s">
        <v>95</v>
      </c>
      <c r="AM128" s="18" t="s">
        <v>95</v>
      </c>
      <c r="AN128" s="18" t="s">
        <v>95</v>
      </c>
      <c r="AO128" s="18" t="s">
        <v>95</v>
      </c>
      <c r="AP128" s="18" t="s">
        <v>95</v>
      </c>
      <c r="AQ128" s="18" t="s">
        <v>95</v>
      </c>
      <c r="AR128" s="18" t="s">
        <v>95</v>
      </c>
      <c r="AS128" s="18" t="s">
        <v>83</v>
      </c>
      <c r="AT128" s="18" t="s">
        <v>83</v>
      </c>
      <c r="AU128" s="18" t="s">
        <v>81</v>
      </c>
      <c r="AV128" s="18" t="s">
        <v>95</v>
      </c>
      <c r="AW128" s="18" t="s">
        <v>95</v>
      </c>
      <c r="AX128" s="18"/>
      <c r="AY128" s="18" t="str">
        <f>Pospago[[#This Row],[NUM_TELEFONICO]]&amp;"POSPAGOSI"</f>
        <v>967098209POSPAGOSI</v>
      </c>
      <c r="AZ128" s="18" t="str">
        <f>VLOOKUP(Pospago[[#This Row],[NOM_PLAZA_FINAL]],[1]!Locales[#Data],3,0)</f>
        <v>TIENDA CUENCA CENTRO</v>
      </c>
      <c r="BA128" s="18" t="str">
        <f>IFERROR(VLOOKUP(Pospago[[#This Row],[USUARIO]],[1]!Personal[#Data],6,0),"EJECUTIVO NO REGISTRADO")</f>
        <v>GONZALES ALVARRACIN PAOLA YESSENIA</v>
      </c>
      <c r="BB128" s="18" t="str">
        <f>Pospago[[#This Row],[TIPO_MOVIMIENTO]]&amp;" "&amp;Pospago[[#This Row],[FORMA_PAGO_FINAL]]</f>
        <v>ALTAS DOMICILIADO</v>
      </c>
      <c r="BC128" s="18">
        <f>DAY(Pospago[[#This Row],[FECHA_ALTA]])</f>
        <v>8</v>
      </c>
      <c r="BD128" s="18">
        <f>IF(Pospago[[#This Row],[TARIFA_BASICA]]=11.42,1,0)</f>
        <v>0</v>
      </c>
      <c r="BE128" s="18">
        <f>IF(Pospago[[#This Row],[PLANES TELEVENTAS]]="SI",1,0)</f>
        <v>0</v>
      </c>
      <c r="BF128" s="18">
        <f>1</f>
        <v>1</v>
      </c>
      <c r="BG128" s="18">
        <f>IF(OR(Pospago[[#This Row],[TARIFA_BASICA]]=11.42,Pospago[[#This Row],[PLANES TELEVENTAS]]="SI"),1,0)</f>
        <v>0</v>
      </c>
      <c r="BH128" s="18" t="str">
        <f>IF(MID(Pospago[[#This Row],[PlanDesc]],1,4) = "PLAN","POSPAGO",IF(MID(Pospago[[#This Row],[PlanDesc]],1,4)="FULL","FULL MEGAS","PREVIOPAGO"))</f>
        <v>PREVIOPAGO</v>
      </c>
      <c r="BI1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28" s="21">
        <f>Pospago[[#This Row],[TARIFA_BASICA]]*1.5</f>
        <v>21.419999999999998</v>
      </c>
    </row>
    <row r="129" spans="1:63" x14ac:dyDescent="0.25">
      <c r="A129" s="18" t="s">
        <v>154</v>
      </c>
      <c r="B129" s="18" t="s">
        <v>1057</v>
      </c>
      <c r="C129" s="18" t="s">
        <v>1058</v>
      </c>
      <c r="D129" s="19">
        <v>44907</v>
      </c>
      <c r="E129" s="18" t="s">
        <v>67</v>
      </c>
      <c r="F129" s="18" t="s">
        <v>1059</v>
      </c>
      <c r="G129" s="18" t="s">
        <v>1060</v>
      </c>
      <c r="H129" s="18" t="s">
        <v>159</v>
      </c>
      <c r="I129" s="18" t="s">
        <v>130</v>
      </c>
      <c r="J129" s="18" t="s">
        <v>433</v>
      </c>
      <c r="K129" s="18" t="s">
        <v>132</v>
      </c>
      <c r="L129" s="20" t="s">
        <v>1061</v>
      </c>
      <c r="M129" s="18" t="s">
        <v>75</v>
      </c>
      <c r="N129" s="20" t="s">
        <v>1062</v>
      </c>
      <c r="O129" s="18" t="s">
        <v>164</v>
      </c>
      <c r="P129" s="18" t="s">
        <v>78</v>
      </c>
      <c r="Q129" s="19">
        <v>44914</v>
      </c>
      <c r="R129" s="21">
        <v>15</v>
      </c>
      <c r="S129" s="18" t="s">
        <v>79</v>
      </c>
      <c r="T129" s="18" t="s">
        <v>117</v>
      </c>
      <c r="U129" s="18" t="s">
        <v>83</v>
      </c>
      <c r="V129" s="18" t="s">
        <v>95</v>
      </c>
      <c r="W129" s="18" t="s">
        <v>95</v>
      </c>
      <c r="X129" s="18" t="s">
        <v>84</v>
      </c>
      <c r="Y129" s="18" t="s">
        <v>85</v>
      </c>
      <c r="Z129" s="18" t="s">
        <v>86</v>
      </c>
      <c r="AA129" s="18" t="s">
        <v>87</v>
      </c>
      <c r="AB129" s="18" t="s">
        <v>1043</v>
      </c>
      <c r="AC129" s="18" t="s">
        <v>1044</v>
      </c>
      <c r="AD129" s="18" t="s">
        <v>85</v>
      </c>
      <c r="AE129" s="18" t="s">
        <v>90</v>
      </c>
      <c r="AF129" s="18" t="s">
        <v>122</v>
      </c>
      <c r="AG129" s="18" t="s">
        <v>92</v>
      </c>
      <c r="AH129" s="18" t="s">
        <v>165</v>
      </c>
      <c r="AI129" s="18" t="s">
        <v>94</v>
      </c>
      <c r="AJ129" s="19">
        <v>44907</v>
      </c>
      <c r="AK129" s="22" t="s">
        <v>95</v>
      </c>
      <c r="AL129" s="18" t="s">
        <v>95</v>
      </c>
      <c r="AM129" s="18" t="s">
        <v>95</v>
      </c>
      <c r="AN129" s="18" t="s">
        <v>95</v>
      </c>
      <c r="AO129" s="18" t="s">
        <v>95</v>
      </c>
      <c r="AP129" s="18" t="s">
        <v>95</v>
      </c>
      <c r="AQ129" s="18" t="s">
        <v>95</v>
      </c>
      <c r="AR129" s="18" t="s">
        <v>95</v>
      </c>
      <c r="AS129" s="18" t="s">
        <v>83</v>
      </c>
      <c r="AT129" s="18" t="s">
        <v>83</v>
      </c>
      <c r="AU129" s="18" t="s">
        <v>81</v>
      </c>
      <c r="AV129" s="18" t="s">
        <v>95</v>
      </c>
      <c r="AW129" s="18" t="s">
        <v>95</v>
      </c>
      <c r="AX129" s="18"/>
      <c r="AY129" s="18" t="str">
        <f>Pospago[[#This Row],[NUM_TELEFONICO]]&amp;"POSPAGOSI"</f>
        <v>967424398POSPAGOSI</v>
      </c>
      <c r="AZ129" s="18" t="str">
        <f>VLOOKUP(Pospago[[#This Row],[NOM_PLAZA_FINAL]],[1]!Locales[#Data],3,0)</f>
        <v>TIENDA MACHALA</v>
      </c>
      <c r="BA129" s="18" t="str">
        <f>IFERROR(VLOOKUP(Pospago[[#This Row],[USUARIO]],[1]!Personal[#Data],6,0),"EJECUTIVO NO REGISTRADO")</f>
        <v>GONZAGA YUPANGUI LIZBETH KATHERINE</v>
      </c>
      <c r="BB129" s="18" t="str">
        <f>Pospago[[#This Row],[TIPO_MOVIMIENTO]]&amp;" "&amp;Pospago[[#This Row],[FORMA_PAGO_FINAL]]</f>
        <v>TRANSFERENCIAS DOMICILIADO</v>
      </c>
      <c r="BC129" s="18">
        <f>DAY(Pospago[[#This Row],[FECHA_ALTA]])</f>
        <v>12</v>
      </c>
      <c r="BD129" s="18">
        <f>IF(Pospago[[#This Row],[TARIFA_BASICA]]=11.42,1,0)</f>
        <v>0</v>
      </c>
      <c r="BE129" s="18">
        <f>IF(Pospago[[#This Row],[PLANES TELEVENTAS]]="SI",1,0)</f>
        <v>0</v>
      </c>
      <c r="BF129" s="18">
        <f>1</f>
        <v>1</v>
      </c>
      <c r="BG129" s="18">
        <f>IF(OR(Pospago[[#This Row],[TARIFA_BASICA]]=11.42,Pospago[[#This Row],[PLANES TELEVENTAS]]="SI"),1,0)</f>
        <v>0</v>
      </c>
      <c r="BH129" s="18" t="str">
        <f>IF(MID(Pospago[[#This Row],[PlanDesc]],1,4) = "PLAN","POSPAGO",IF(MID(Pospago[[#This Row],[PlanDesc]],1,4)="FULL","FULL MEGAS","PREVIOPAGO"))</f>
        <v>PREVIOPAGO</v>
      </c>
      <c r="BI1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</v>
      </c>
      <c r="BJ1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29" s="21">
        <f>Pospago[[#This Row],[TARIFA_BASICA]]*1.5</f>
        <v>22.5</v>
      </c>
    </row>
    <row r="130" spans="1:63" x14ac:dyDescent="0.25">
      <c r="A130" s="18" t="s">
        <v>64</v>
      </c>
      <c r="B130" s="18" t="s">
        <v>1063</v>
      </c>
      <c r="C130" s="18" t="s">
        <v>1064</v>
      </c>
      <c r="D130" s="19">
        <v>44909</v>
      </c>
      <c r="E130" s="18" t="s">
        <v>67</v>
      </c>
      <c r="F130" s="18" t="s">
        <v>786</v>
      </c>
      <c r="G130" s="18" t="s">
        <v>787</v>
      </c>
      <c r="H130" s="18" t="s">
        <v>70</v>
      </c>
      <c r="I130" s="18" t="s">
        <v>359</v>
      </c>
      <c r="J130" s="18" t="s">
        <v>360</v>
      </c>
      <c r="K130" s="18" t="s">
        <v>114</v>
      </c>
      <c r="L130" s="20" t="s">
        <v>1065</v>
      </c>
      <c r="M130" s="18" t="s">
        <v>75</v>
      </c>
      <c r="N130" s="20" t="s">
        <v>1066</v>
      </c>
      <c r="O130" s="18" t="s">
        <v>77</v>
      </c>
      <c r="P130" s="18" t="s">
        <v>78</v>
      </c>
      <c r="Q130" s="19">
        <v>44914</v>
      </c>
      <c r="R130" s="21">
        <v>14.28</v>
      </c>
      <c r="S130" s="18" t="s">
        <v>79</v>
      </c>
      <c r="T130" s="18" t="s">
        <v>117</v>
      </c>
      <c r="U130" s="18" t="s">
        <v>81</v>
      </c>
      <c r="V130" s="18" t="s">
        <v>82</v>
      </c>
      <c r="W130" s="18" t="s">
        <v>83</v>
      </c>
      <c r="X130" s="18" t="s">
        <v>84</v>
      </c>
      <c r="Y130" s="18" t="s">
        <v>85</v>
      </c>
      <c r="Z130" s="18" t="s">
        <v>86</v>
      </c>
      <c r="AA130" s="18" t="s">
        <v>87</v>
      </c>
      <c r="AB130" s="18" t="s">
        <v>120</v>
      </c>
      <c r="AC130" s="18" t="s">
        <v>121</v>
      </c>
      <c r="AD130" s="18" t="s">
        <v>85</v>
      </c>
      <c r="AE130" s="18" t="s">
        <v>90</v>
      </c>
      <c r="AF130" s="18" t="s">
        <v>122</v>
      </c>
      <c r="AG130" s="18" t="s">
        <v>92</v>
      </c>
      <c r="AH130" s="18" t="s">
        <v>93</v>
      </c>
      <c r="AI130" s="18" t="s">
        <v>94</v>
      </c>
      <c r="AJ130" s="19">
        <v>44909</v>
      </c>
      <c r="AK130" s="22" t="s">
        <v>95</v>
      </c>
      <c r="AL130" s="18" t="s">
        <v>95</v>
      </c>
      <c r="AM130" s="18" t="s">
        <v>95</v>
      </c>
      <c r="AN130" s="18" t="s">
        <v>95</v>
      </c>
      <c r="AO130" s="18" t="s">
        <v>95</v>
      </c>
      <c r="AP130" s="18" t="s">
        <v>95</v>
      </c>
      <c r="AQ130" s="18" t="s">
        <v>95</v>
      </c>
      <c r="AR130" s="18" t="s">
        <v>95</v>
      </c>
      <c r="AS130" s="18" t="s">
        <v>83</v>
      </c>
      <c r="AT130" s="18" t="s">
        <v>83</v>
      </c>
      <c r="AU130" s="18" t="s">
        <v>83</v>
      </c>
      <c r="AV130" s="18" t="s">
        <v>95</v>
      </c>
      <c r="AW130" s="18" t="s">
        <v>95</v>
      </c>
      <c r="AX130" s="18"/>
      <c r="AY130" s="18" t="str">
        <f>Pospago[[#This Row],[NUM_TELEFONICO]]&amp;"POSPAGOSI"</f>
        <v>967425795POSPAGOSI</v>
      </c>
      <c r="AZ130" s="18" t="str">
        <f>VLOOKUP(Pospago[[#This Row],[NOM_PLAZA_FINAL]],[1]!Locales[#Data],3,0)</f>
        <v>TIENDA MACHALA</v>
      </c>
      <c r="BA130" s="18" t="str">
        <f>IFERROR(VLOOKUP(Pospago[[#This Row],[USUARIO]],[1]!Personal[#Data],6,0),"EJECUTIVO NO REGISTRADO")</f>
        <v>ARROBO VICENTE YADIRA ESPERANZA</v>
      </c>
      <c r="BB130" s="18" t="str">
        <f>Pospago[[#This Row],[TIPO_MOVIMIENTO]]&amp;" "&amp;Pospago[[#This Row],[FORMA_PAGO_FINAL]]</f>
        <v>ALTAS DOMICILIADO</v>
      </c>
      <c r="BC130" s="18">
        <f>DAY(Pospago[[#This Row],[FECHA_ALTA]])</f>
        <v>14</v>
      </c>
      <c r="BD130" s="18">
        <f>IF(Pospago[[#This Row],[TARIFA_BASICA]]=11.42,1,0)</f>
        <v>0</v>
      </c>
      <c r="BE130" s="18">
        <f>IF(Pospago[[#This Row],[PLANES TELEVENTAS]]="SI",1,0)</f>
        <v>0</v>
      </c>
      <c r="BF130" s="18">
        <f>1</f>
        <v>1</v>
      </c>
      <c r="BG130" s="18">
        <f>IF(OR(Pospago[[#This Row],[TARIFA_BASICA]]=11.42,Pospago[[#This Row],[PLANES TELEVENTAS]]="SI"),1,0)</f>
        <v>0</v>
      </c>
      <c r="BH130" s="18" t="str">
        <f>IF(MID(Pospago[[#This Row],[PlanDesc]],1,4) = "PLAN","POSPAGO",IF(MID(Pospago[[#This Row],[PlanDesc]],1,4)="FULL","FULL MEGAS","PREVIOPAGO"))</f>
        <v>POSPAGO</v>
      </c>
      <c r="BI1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1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30" s="21">
        <f>Pospago[[#This Row],[TARIFA_BASICA]]*1.5</f>
        <v>21.419999999999998</v>
      </c>
    </row>
    <row r="131" spans="1:63" x14ac:dyDescent="0.25">
      <c r="A131" s="18" t="s">
        <v>64</v>
      </c>
      <c r="B131" s="18" t="s">
        <v>1067</v>
      </c>
      <c r="C131" s="18" t="s">
        <v>1068</v>
      </c>
      <c r="D131" s="19">
        <v>44911</v>
      </c>
      <c r="E131" s="18" t="s">
        <v>67</v>
      </c>
      <c r="F131" s="18" t="s">
        <v>1069</v>
      </c>
      <c r="G131" s="18" t="s">
        <v>1070</v>
      </c>
      <c r="H131" s="18" t="s">
        <v>70</v>
      </c>
      <c r="I131" s="18" t="s">
        <v>574</v>
      </c>
      <c r="J131" s="18" t="s">
        <v>575</v>
      </c>
      <c r="K131" s="18" t="s">
        <v>132</v>
      </c>
      <c r="L131" s="20" t="s">
        <v>1071</v>
      </c>
      <c r="M131" s="18" t="s">
        <v>75</v>
      </c>
      <c r="N131" s="20" t="s">
        <v>1072</v>
      </c>
      <c r="O131" s="18" t="s">
        <v>77</v>
      </c>
      <c r="P131" s="18" t="s">
        <v>78</v>
      </c>
      <c r="Q131" s="19">
        <v>44914</v>
      </c>
      <c r="R131" s="21">
        <v>17.850000000000001</v>
      </c>
      <c r="S131" s="18" t="s">
        <v>79</v>
      </c>
      <c r="T131" s="18" t="s">
        <v>148</v>
      </c>
      <c r="U131" s="18" t="s">
        <v>81</v>
      </c>
      <c r="V131" s="18" t="s">
        <v>82</v>
      </c>
      <c r="W131" s="18" t="s">
        <v>83</v>
      </c>
      <c r="X131" s="18" t="s">
        <v>84</v>
      </c>
      <c r="Y131" s="18" t="s">
        <v>85</v>
      </c>
      <c r="Z131" s="18" t="s">
        <v>86</v>
      </c>
      <c r="AA131" s="18" t="s">
        <v>87</v>
      </c>
      <c r="AB131" s="18" t="s">
        <v>610</v>
      </c>
      <c r="AC131" s="18" t="s">
        <v>611</v>
      </c>
      <c r="AD131" s="18" t="s">
        <v>85</v>
      </c>
      <c r="AE131" s="18" t="s">
        <v>90</v>
      </c>
      <c r="AF131" s="18" t="s">
        <v>151</v>
      </c>
      <c r="AG131" s="18" t="s">
        <v>92</v>
      </c>
      <c r="AH131" s="18" t="s">
        <v>93</v>
      </c>
      <c r="AI131" s="18" t="s">
        <v>94</v>
      </c>
      <c r="AJ131" s="19">
        <v>44911</v>
      </c>
      <c r="AK131" s="22" t="s">
        <v>95</v>
      </c>
      <c r="AL131" s="18" t="s">
        <v>95</v>
      </c>
      <c r="AM131" s="18" t="s">
        <v>95</v>
      </c>
      <c r="AN131" s="18" t="s">
        <v>95</v>
      </c>
      <c r="AO131" s="18" t="s">
        <v>95</v>
      </c>
      <c r="AP131" s="18" t="s">
        <v>95</v>
      </c>
      <c r="AQ131" s="18" t="s">
        <v>95</v>
      </c>
      <c r="AR131" s="18" t="s">
        <v>95</v>
      </c>
      <c r="AS131" s="18" t="s">
        <v>83</v>
      </c>
      <c r="AT131" s="18" t="s">
        <v>83</v>
      </c>
      <c r="AU131" s="18" t="s">
        <v>83</v>
      </c>
      <c r="AV131" s="18" t="s">
        <v>95</v>
      </c>
      <c r="AW131" s="18" t="s">
        <v>95</v>
      </c>
      <c r="AX131" s="18"/>
      <c r="AY131" s="18" t="str">
        <f>Pospago[[#This Row],[NUM_TELEFONICO]]&amp;"POSPAGOSI"</f>
        <v>967576988POSPAGOSI</v>
      </c>
      <c r="AZ131" s="18" t="str">
        <f>VLOOKUP(Pospago[[#This Row],[NOM_PLAZA_FINAL]],[1]!Locales[#Data],3,0)</f>
        <v>TIENDA CUENCA REMIGIO</v>
      </c>
      <c r="BA131" s="18" t="str">
        <f>IFERROR(VLOOKUP(Pospago[[#This Row],[USUARIO]],[1]!Personal[#Data],6,0),"EJECUTIVO NO REGISTRADO")</f>
        <v>PATIÑO TAPIA ANDRES SANTIAGO</v>
      </c>
      <c r="BB131" s="18" t="str">
        <f>Pospago[[#This Row],[TIPO_MOVIMIENTO]]&amp;" "&amp;Pospago[[#This Row],[FORMA_PAGO_FINAL]]</f>
        <v>ALTAS DOMICILIADO</v>
      </c>
      <c r="BC131" s="18">
        <f>DAY(Pospago[[#This Row],[FECHA_ALTA]])</f>
        <v>16</v>
      </c>
      <c r="BD131" s="18">
        <f>IF(Pospago[[#This Row],[TARIFA_BASICA]]=11.42,1,0)</f>
        <v>0</v>
      </c>
      <c r="BE131" s="18">
        <f>IF(Pospago[[#This Row],[PLANES TELEVENTAS]]="SI",1,0)</f>
        <v>0</v>
      </c>
      <c r="BF131" s="18">
        <f>1</f>
        <v>1</v>
      </c>
      <c r="BG131" s="18">
        <f>IF(OR(Pospago[[#This Row],[TARIFA_BASICA]]=11.42,Pospago[[#This Row],[PLANES TELEVENTAS]]="SI"),1,0)</f>
        <v>0</v>
      </c>
      <c r="BH131" s="18" t="str">
        <f>IF(MID(Pospago[[#This Row],[PlanDesc]],1,4) = "PLAN","POSPAGO",IF(MID(Pospago[[#This Row],[PlanDesc]],1,4)="FULL","FULL MEGAS","PREVIOPAGO"))</f>
        <v>POSPAGO</v>
      </c>
      <c r="BI1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31" s="21">
        <f>Pospago[[#This Row],[TARIFA_BASICA]]*1.5</f>
        <v>26.775000000000002</v>
      </c>
    </row>
    <row r="132" spans="1:63" x14ac:dyDescent="0.25">
      <c r="A132" s="18" t="s">
        <v>64</v>
      </c>
      <c r="B132" s="18" t="s">
        <v>1073</v>
      </c>
      <c r="C132" s="18" t="s">
        <v>1074</v>
      </c>
      <c r="D132" s="19">
        <v>44904</v>
      </c>
      <c r="E132" s="18" t="s">
        <v>67</v>
      </c>
      <c r="F132" s="18" t="s">
        <v>1075</v>
      </c>
      <c r="G132" s="18" t="s">
        <v>1076</v>
      </c>
      <c r="H132" s="18" t="s">
        <v>70</v>
      </c>
      <c r="I132" s="18" t="s">
        <v>71</v>
      </c>
      <c r="J132" s="18" t="s">
        <v>72</v>
      </c>
      <c r="K132" s="18" t="s">
        <v>95</v>
      </c>
      <c r="L132" s="20" t="s">
        <v>1077</v>
      </c>
      <c r="M132" s="18" t="s">
        <v>75</v>
      </c>
      <c r="N132" s="20" t="s">
        <v>1078</v>
      </c>
      <c r="O132" s="18" t="s">
        <v>77</v>
      </c>
      <c r="P132" s="18" t="s">
        <v>78</v>
      </c>
      <c r="Q132" s="19">
        <v>44914</v>
      </c>
      <c r="R132" s="21">
        <v>11.42</v>
      </c>
      <c r="S132" s="18" t="s">
        <v>79</v>
      </c>
      <c r="T132" s="18" t="s">
        <v>148</v>
      </c>
      <c r="U132" s="18" t="s">
        <v>81</v>
      </c>
      <c r="V132" s="18" t="s">
        <v>82</v>
      </c>
      <c r="W132" s="18" t="s">
        <v>83</v>
      </c>
      <c r="X132" s="18" t="s">
        <v>84</v>
      </c>
      <c r="Y132" s="18" t="s">
        <v>85</v>
      </c>
      <c r="Z132" s="18" t="s">
        <v>86</v>
      </c>
      <c r="AA132" s="18" t="s">
        <v>87</v>
      </c>
      <c r="AB132" s="18" t="s">
        <v>610</v>
      </c>
      <c r="AC132" s="18" t="s">
        <v>611</v>
      </c>
      <c r="AD132" s="18" t="s">
        <v>85</v>
      </c>
      <c r="AE132" s="18" t="s">
        <v>90</v>
      </c>
      <c r="AF132" s="18" t="s">
        <v>151</v>
      </c>
      <c r="AG132" s="18" t="s">
        <v>92</v>
      </c>
      <c r="AH132" s="18" t="s">
        <v>93</v>
      </c>
      <c r="AI132" s="18" t="s">
        <v>94</v>
      </c>
      <c r="AJ132" s="19">
        <v>44904</v>
      </c>
      <c r="AK132" s="22" t="s">
        <v>95</v>
      </c>
      <c r="AL132" s="18" t="s">
        <v>95</v>
      </c>
      <c r="AM132" s="18" t="s">
        <v>95</v>
      </c>
      <c r="AN132" s="18" t="s">
        <v>95</v>
      </c>
      <c r="AO132" s="18" t="s">
        <v>95</v>
      </c>
      <c r="AP132" s="18" t="s">
        <v>95</v>
      </c>
      <c r="AQ132" s="18" t="s">
        <v>95</v>
      </c>
      <c r="AR132" s="18" t="s">
        <v>95</v>
      </c>
      <c r="AS132" s="18" t="s">
        <v>83</v>
      </c>
      <c r="AT132" s="18" t="s">
        <v>83</v>
      </c>
      <c r="AU132" s="18" t="s">
        <v>81</v>
      </c>
      <c r="AV132" s="18" t="s">
        <v>95</v>
      </c>
      <c r="AW132" s="18" t="s">
        <v>95</v>
      </c>
      <c r="AX132" s="18"/>
      <c r="AY132" s="18" t="str">
        <f>Pospago[[#This Row],[NUM_TELEFONICO]]&amp;"POSPAGOSI"</f>
        <v>968462851POSPAGOSI</v>
      </c>
      <c r="AZ132" s="18" t="str">
        <f>VLOOKUP(Pospago[[#This Row],[NOM_PLAZA_FINAL]],[1]!Locales[#Data],3,0)</f>
        <v>TIENDA CUENCA REMIGIO</v>
      </c>
      <c r="BA132" s="18" t="str">
        <f>IFERROR(VLOOKUP(Pospago[[#This Row],[USUARIO]],[1]!Personal[#Data],6,0),"EJECUTIVO NO REGISTRADO")</f>
        <v>PATIÑO TAPIA ANDRES SANTIAGO</v>
      </c>
      <c r="BB132" s="18" t="str">
        <f>Pospago[[#This Row],[TIPO_MOVIMIENTO]]&amp;" "&amp;Pospago[[#This Row],[FORMA_PAGO_FINAL]]</f>
        <v>ALTAS DOMICILIADO</v>
      </c>
      <c r="BC132" s="18">
        <f>DAY(Pospago[[#This Row],[FECHA_ALTA]])</f>
        <v>9</v>
      </c>
      <c r="BD132" s="18">
        <f>IF(Pospago[[#This Row],[TARIFA_BASICA]]=11.42,1,0)</f>
        <v>1</v>
      </c>
      <c r="BE132" s="18">
        <f>IF(Pospago[[#This Row],[PLANES TELEVENTAS]]="SI",1,0)</f>
        <v>0</v>
      </c>
      <c r="BF132" s="18">
        <f>1</f>
        <v>1</v>
      </c>
      <c r="BG132" s="18">
        <f>IF(OR(Pospago[[#This Row],[TARIFA_BASICA]]=11.42,Pospago[[#This Row],[PLANES TELEVENTAS]]="SI"),1,0)</f>
        <v>1</v>
      </c>
      <c r="BH132" s="18" t="str">
        <f>IF(MID(Pospago[[#This Row],[PlanDesc]],1,4) = "PLAN","POSPAGO",IF(MID(Pospago[[#This Row],[PlanDesc]],1,4)="FULL","FULL MEGAS","PREVIOPAGO"))</f>
        <v>PREVIOPAGO</v>
      </c>
      <c r="BI1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1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32" s="21">
        <f>Pospago[[#This Row],[TARIFA_BASICA]]*1.5</f>
        <v>17.13</v>
      </c>
    </row>
    <row r="133" spans="1:63" x14ac:dyDescent="0.25">
      <c r="A133" s="18" t="s">
        <v>64</v>
      </c>
      <c r="B133" s="18" t="s">
        <v>1079</v>
      </c>
      <c r="C133" s="18" t="s">
        <v>1080</v>
      </c>
      <c r="D133" s="19">
        <v>44900</v>
      </c>
      <c r="E133" s="18" t="s">
        <v>67</v>
      </c>
      <c r="F133" s="18" t="s">
        <v>1081</v>
      </c>
      <c r="G133" s="18" t="s">
        <v>1082</v>
      </c>
      <c r="H133" s="18" t="s">
        <v>70</v>
      </c>
      <c r="I133" s="18" t="s">
        <v>112</v>
      </c>
      <c r="J133" s="18" t="s">
        <v>113</v>
      </c>
      <c r="K133" s="18" t="s">
        <v>73</v>
      </c>
      <c r="L133" s="20" t="s">
        <v>1083</v>
      </c>
      <c r="M133" s="18" t="s">
        <v>75</v>
      </c>
      <c r="N133" s="20" t="s">
        <v>1084</v>
      </c>
      <c r="O133" s="18" t="s">
        <v>77</v>
      </c>
      <c r="P133" s="18" t="s">
        <v>78</v>
      </c>
      <c r="Q133" s="19">
        <v>44914</v>
      </c>
      <c r="R133" s="21">
        <v>17.850000000000001</v>
      </c>
      <c r="S133" s="18" t="s">
        <v>79</v>
      </c>
      <c r="T133" s="18" t="s">
        <v>174</v>
      </c>
      <c r="U133" s="18" t="s">
        <v>83</v>
      </c>
      <c r="V133" s="18" t="s">
        <v>95</v>
      </c>
      <c r="W133" s="18" t="s">
        <v>83</v>
      </c>
      <c r="X133" s="18" t="s">
        <v>84</v>
      </c>
      <c r="Y133" s="18" t="s">
        <v>85</v>
      </c>
      <c r="Z133" s="18" t="s">
        <v>86</v>
      </c>
      <c r="AA133" s="18" t="s">
        <v>87</v>
      </c>
      <c r="AB133" s="18" t="s">
        <v>760</v>
      </c>
      <c r="AC133" s="18" t="s">
        <v>761</v>
      </c>
      <c r="AD133" s="18" t="s">
        <v>85</v>
      </c>
      <c r="AE133" s="18" t="s">
        <v>90</v>
      </c>
      <c r="AF133" s="18" t="s">
        <v>177</v>
      </c>
      <c r="AG133" s="18" t="s">
        <v>139</v>
      </c>
      <c r="AH133" s="18" t="s">
        <v>93</v>
      </c>
      <c r="AI133" s="18" t="s">
        <v>94</v>
      </c>
      <c r="AJ133" s="19">
        <v>44900</v>
      </c>
      <c r="AK133" s="22" t="s">
        <v>95</v>
      </c>
      <c r="AL133" s="18" t="s">
        <v>95</v>
      </c>
      <c r="AM133" s="18" t="s">
        <v>95</v>
      </c>
      <c r="AN133" s="18" t="s">
        <v>95</v>
      </c>
      <c r="AO133" s="18" t="s">
        <v>95</v>
      </c>
      <c r="AP133" s="18" t="s">
        <v>95</v>
      </c>
      <c r="AQ133" s="18" t="s">
        <v>95</v>
      </c>
      <c r="AR133" s="18" t="s">
        <v>95</v>
      </c>
      <c r="AS133" s="18" t="s">
        <v>83</v>
      </c>
      <c r="AT133" s="18" t="s">
        <v>83</v>
      </c>
      <c r="AU133" s="18" t="s">
        <v>81</v>
      </c>
      <c r="AV133" s="18" t="s">
        <v>95</v>
      </c>
      <c r="AW133" s="18" t="s">
        <v>95</v>
      </c>
      <c r="AX133" s="18"/>
      <c r="AY133" s="18" t="str">
        <f>Pospago[[#This Row],[NUM_TELEFONICO]]&amp;"POSPAGOSI"</f>
        <v>969000407POSPAGOSI</v>
      </c>
      <c r="AZ133" s="18" t="str">
        <f>VLOOKUP(Pospago[[#This Row],[NOM_PLAZA_FINAL]],[1]!Locales[#Data],3,0)</f>
        <v>TIENDA RECREO</v>
      </c>
      <c r="BA133" s="18" t="str">
        <f>IFERROR(VLOOKUP(Pospago[[#This Row],[USUARIO]],[1]!Personal[#Data],6,0),"EJECUTIVO NO REGISTRADO")</f>
        <v>VALBUENA SANCHEZ ALBERT ANTHONY</v>
      </c>
      <c r="BB133" s="18" t="str">
        <f>Pospago[[#This Row],[TIPO_MOVIMIENTO]]&amp;" "&amp;Pospago[[#This Row],[FORMA_PAGO_FINAL]]</f>
        <v>ALTAS DOMICILIADO</v>
      </c>
      <c r="BC133" s="18">
        <f>DAY(Pospago[[#This Row],[FECHA_ALTA]])</f>
        <v>5</v>
      </c>
      <c r="BD133" s="18">
        <f>IF(Pospago[[#This Row],[TARIFA_BASICA]]=11.42,1,0)</f>
        <v>0</v>
      </c>
      <c r="BE133" s="18">
        <f>IF(Pospago[[#This Row],[PLANES TELEVENTAS]]="SI",1,0)</f>
        <v>0</v>
      </c>
      <c r="BF133" s="18">
        <f>1</f>
        <v>1</v>
      </c>
      <c r="BG133" s="18">
        <f>IF(OR(Pospago[[#This Row],[TARIFA_BASICA]]=11.42,Pospago[[#This Row],[PLANES TELEVENTAS]]="SI"),1,0)</f>
        <v>0</v>
      </c>
      <c r="BH133" s="18" t="str">
        <f>IF(MID(Pospago[[#This Row],[PlanDesc]],1,4) = "PLAN","POSPAGO",IF(MID(Pospago[[#This Row],[PlanDesc]],1,4)="FULL","FULL MEGAS","PREVIOPAGO"))</f>
        <v>PREVIOPAGO</v>
      </c>
      <c r="BI1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33" s="21">
        <f>Pospago[[#This Row],[TARIFA_BASICA]]*1.5</f>
        <v>26.775000000000002</v>
      </c>
    </row>
    <row r="134" spans="1:63" x14ac:dyDescent="0.25">
      <c r="A134" s="18" t="s">
        <v>64</v>
      </c>
      <c r="B134" s="18" t="s">
        <v>1085</v>
      </c>
      <c r="C134" s="18" t="s">
        <v>1086</v>
      </c>
      <c r="D134" s="19">
        <v>44905</v>
      </c>
      <c r="E134" s="18" t="s">
        <v>67</v>
      </c>
      <c r="F134" s="18" t="s">
        <v>1087</v>
      </c>
      <c r="G134" s="18" t="s">
        <v>1088</v>
      </c>
      <c r="H134" s="18" t="s">
        <v>70</v>
      </c>
      <c r="I134" s="18" t="s">
        <v>1089</v>
      </c>
      <c r="J134" s="18" t="s">
        <v>1090</v>
      </c>
      <c r="K134" s="18" t="s">
        <v>73</v>
      </c>
      <c r="L134" s="20" t="s">
        <v>1091</v>
      </c>
      <c r="M134" s="18" t="s">
        <v>75</v>
      </c>
      <c r="N134" s="20" t="s">
        <v>1092</v>
      </c>
      <c r="O134" s="18" t="s">
        <v>77</v>
      </c>
      <c r="P134" s="18" t="s">
        <v>78</v>
      </c>
      <c r="Q134" s="19">
        <v>44914</v>
      </c>
      <c r="R134" s="21">
        <v>21.42</v>
      </c>
      <c r="S134" s="18" t="s">
        <v>79</v>
      </c>
      <c r="T134" s="18" t="s">
        <v>80</v>
      </c>
      <c r="U134" s="18" t="s">
        <v>83</v>
      </c>
      <c r="V134" s="18" t="s">
        <v>95</v>
      </c>
      <c r="W134" s="18" t="s">
        <v>83</v>
      </c>
      <c r="X134" s="18" t="s">
        <v>118</v>
      </c>
      <c r="Y134" s="18" t="s">
        <v>85</v>
      </c>
      <c r="Z134" s="18" t="s">
        <v>86</v>
      </c>
      <c r="AA134" s="18" t="s">
        <v>119</v>
      </c>
      <c r="AB134" s="18" t="s">
        <v>880</v>
      </c>
      <c r="AC134" s="18" t="s">
        <v>881</v>
      </c>
      <c r="AD134" s="18" t="s">
        <v>85</v>
      </c>
      <c r="AE134" s="18" t="s">
        <v>90</v>
      </c>
      <c r="AF134" s="18" t="s">
        <v>91</v>
      </c>
      <c r="AG134" s="18" t="s">
        <v>92</v>
      </c>
      <c r="AH134" s="18" t="s">
        <v>93</v>
      </c>
      <c r="AI134" s="18" t="s">
        <v>94</v>
      </c>
      <c r="AJ134" s="19">
        <v>44905</v>
      </c>
      <c r="AK134" s="22" t="s">
        <v>95</v>
      </c>
      <c r="AL134" s="18" t="s">
        <v>95</v>
      </c>
      <c r="AM134" s="18" t="s">
        <v>95</v>
      </c>
      <c r="AN134" s="18" t="s">
        <v>95</v>
      </c>
      <c r="AO134" s="18" t="s">
        <v>95</v>
      </c>
      <c r="AP134" s="18" t="s">
        <v>95</v>
      </c>
      <c r="AQ134" s="18" t="s">
        <v>95</v>
      </c>
      <c r="AR134" s="18" t="s">
        <v>95</v>
      </c>
      <c r="AS134" s="18" t="s">
        <v>83</v>
      </c>
      <c r="AT134" s="18" t="s">
        <v>81</v>
      </c>
      <c r="AU134" s="18" t="s">
        <v>83</v>
      </c>
      <c r="AV134" s="18" t="s">
        <v>95</v>
      </c>
      <c r="AW134" s="18" t="s">
        <v>95</v>
      </c>
      <c r="AX134" s="18"/>
      <c r="AY134" s="18" t="str">
        <f>Pospago[[#This Row],[NUM_TELEFONICO]]&amp;"POSPAGOSI"</f>
        <v>969010002POSPAGOSI</v>
      </c>
      <c r="AZ134" s="18" t="str">
        <f>VLOOKUP(Pospago[[#This Row],[NOM_PLAZA_FINAL]],[1]!Locales[#Data],3,0)</f>
        <v>TIENDA CUENCA CENTRO</v>
      </c>
      <c r="BA134" s="18" t="str">
        <f>IFERROR(VLOOKUP(Pospago[[#This Row],[USUARIO]],[1]!Personal[#Data],6,0),"EJECUTIVO NO REGISTRADO")</f>
        <v>LUNA JACHO ANDREA GABRIELA</v>
      </c>
      <c r="BB134" s="18" t="str">
        <f>Pospago[[#This Row],[TIPO_MOVIMIENTO]]&amp;" "&amp;Pospago[[#This Row],[FORMA_PAGO_FINAL]]</f>
        <v>ALTAS PAGO EN CAJA</v>
      </c>
      <c r="BC134" s="18">
        <f>DAY(Pospago[[#This Row],[FECHA_ALTA]])</f>
        <v>10</v>
      </c>
      <c r="BD134" s="18">
        <f>IF(Pospago[[#This Row],[TARIFA_BASICA]]=11.42,1,0)</f>
        <v>0</v>
      </c>
      <c r="BE134" s="18">
        <f>IF(Pospago[[#This Row],[PLANES TELEVENTAS]]="SI",1,0)</f>
        <v>1</v>
      </c>
      <c r="BF134" s="18">
        <f>1</f>
        <v>1</v>
      </c>
      <c r="BG134" s="18">
        <f>IF(OR(Pospago[[#This Row],[TARIFA_BASICA]]=11.42,Pospago[[#This Row],[PLANES TELEVENTAS]]="SI"),1,0)</f>
        <v>1</v>
      </c>
      <c r="BH134" s="18" t="str">
        <f>IF(MID(Pospago[[#This Row],[PlanDesc]],1,4) = "PLAN","POSPAGO",IF(MID(Pospago[[#This Row],[PlanDesc]],1,4)="FULL","FULL MEGAS","PREVIOPAGO"))</f>
        <v>POSPAGO</v>
      </c>
      <c r="BI1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22.5</v>
      </c>
      <c r="BJ1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34" s="21">
        <f>Pospago[[#This Row],[TARIFA_BASICA]]*1.5</f>
        <v>32.130000000000003</v>
      </c>
    </row>
    <row r="135" spans="1:63" x14ac:dyDescent="0.25">
      <c r="A135" s="18" t="s">
        <v>64</v>
      </c>
      <c r="B135" s="18" t="s">
        <v>1093</v>
      </c>
      <c r="C135" s="18" t="s">
        <v>1094</v>
      </c>
      <c r="D135" s="19">
        <v>44901</v>
      </c>
      <c r="E135" s="18" t="s">
        <v>67</v>
      </c>
      <c r="F135" s="18" t="s">
        <v>1095</v>
      </c>
      <c r="G135" s="18" t="s">
        <v>1096</v>
      </c>
      <c r="H135" s="18" t="s">
        <v>193</v>
      </c>
      <c r="I135" s="18" t="s">
        <v>392</v>
      </c>
      <c r="J135" s="18" t="s">
        <v>131</v>
      </c>
      <c r="K135" s="18" t="s">
        <v>73</v>
      </c>
      <c r="L135" s="20" t="s">
        <v>1097</v>
      </c>
      <c r="M135" s="18" t="s">
        <v>75</v>
      </c>
      <c r="N135" s="20" t="s">
        <v>1098</v>
      </c>
      <c r="O135" s="18" t="s">
        <v>77</v>
      </c>
      <c r="P135" s="18" t="s">
        <v>78</v>
      </c>
      <c r="Q135" s="19">
        <v>44914</v>
      </c>
      <c r="R135" s="21">
        <v>15</v>
      </c>
      <c r="S135" s="18" t="s">
        <v>79</v>
      </c>
      <c r="T135" s="18" t="s">
        <v>80</v>
      </c>
      <c r="U135" s="18" t="s">
        <v>83</v>
      </c>
      <c r="V135" s="18" t="s">
        <v>95</v>
      </c>
      <c r="W135" s="18" t="s">
        <v>83</v>
      </c>
      <c r="X135" s="18" t="s">
        <v>118</v>
      </c>
      <c r="Y135" s="18" t="s">
        <v>85</v>
      </c>
      <c r="Z135" s="18" t="s">
        <v>86</v>
      </c>
      <c r="AA135" s="18" t="s">
        <v>119</v>
      </c>
      <c r="AB135" s="18" t="s">
        <v>242</v>
      </c>
      <c r="AC135" s="18" t="s">
        <v>243</v>
      </c>
      <c r="AD135" s="18" t="s">
        <v>85</v>
      </c>
      <c r="AE135" s="18" t="s">
        <v>90</v>
      </c>
      <c r="AF135" s="18" t="s">
        <v>91</v>
      </c>
      <c r="AG135" s="18" t="s">
        <v>92</v>
      </c>
      <c r="AH135" s="18" t="s">
        <v>93</v>
      </c>
      <c r="AI135" s="18" t="s">
        <v>94</v>
      </c>
      <c r="AJ135" s="19">
        <v>44901</v>
      </c>
      <c r="AK135" s="22" t="s">
        <v>95</v>
      </c>
      <c r="AL135" s="18" t="s">
        <v>95</v>
      </c>
      <c r="AM135" s="18" t="s">
        <v>95</v>
      </c>
      <c r="AN135" s="18" t="s">
        <v>95</v>
      </c>
      <c r="AO135" s="18" t="s">
        <v>95</v>
      </c>
      <c r="AP135" s="18" t="s">
        <v>95</v>
      </c>
      <c r="AQ135" s="18" t="s">
        <v>95</v>
      </c>
      <c r="AR135" s="18" t="s">
        <v>95</v>
      </c>
      <c r="AS135" s="18" t="s">
        <v>83</v>
      </c>
      <c r="AT135" s="18" t="s">
        <v>81</v>
      </c>
      <c r="AU135" s="18" t="s">
        <v>81</v>
      </c>
      <c r="AV135" s="18" t="s">
        <v>95</v>
      </c>
      <c r="AW135" s="18" t="s">
        <v>95</v>
      </c>
      <c r="AX135" s="18"/>
      <c r="AY135" s="18" t="str">
        <f>Pospago[[#This Row],[NUM_TELEFONICO]]&amp;"POSPAGOSI"</f>
        <v>969015503POSPAGOSI</v>
      </c>
      <c r="AZ135" s="18" t="str">
        <f>VLOOKUP(Pospago[[#This Row],[NOM_PLAZA_FINAL]],[1]!Locales[#Data],3,0)</f>
        <v>TIENDA CUENCA CENTRO</v>
      </c>
      <c r="BA135" s="18" t="str">
        <f>IFERROR(VLOOKUP(Pospago[[#This Row],[USUARIO]],[1]!Personal[#Data],6,0),"EJECUTIVO NO REGISTRADO")</f>
        <v>VALLEJO DELEG ROMAN NICOLAS</v>
      </c>
      <c r="BB135" s="18" t="str">
        <f>Pospago[[#This Row],[TIPO_MOVIMIENTO]]&amp;" "&amp;Pospago[[#This Row],[FORMA_PAGO_FINAL]]</f>
        <v>ALTAS PAGO EN CAJA</v>
      </c>
      <c r="BC135" s="18">
        <f>DAY(Pospago[[#This Row],[FECHA_ALTA]])</f>
        <v>6</v>
      </c>
      <c r="BD135" s="18">
        <f>IF(Pospago[[#This Row],[TARIFA_BASICA]]=11.42,1,0)</f>
        <v>0</v>
      </c>
      <c r="BE135" s="18">
        <f>IF(Pospago[[#This Row],[PLANES TELEVENTAS]]="SI",1,0)</f>
        <v>1</v>
      </c>
      <c r="BF135" s="18">
        <f>1</f>
        <v>1</v>
      </c>
      <c r="BG135" s="18">
        <f>IF(OR(Pospago[[#This Row],[TARIFA_BASICA]]=11.42,Pospago[[#This Row],[PLANES TELEVENTAS]]="SI"),1,0)</f>
        <v>1</v>
      </c>
      <c r="BH135" s="18" t="str">
        <f>IF(MID(Pospago[[#This Row],[PlanDesc]],1,4) = "PLAN","POSPAGO",IF(MID(Pospago[[#This Row],[PlanDesc]],1,4)="FULL","FULL MEGAS","PREVIOPAGO"))</f>
        <v>PREVIOPAGO</v>
      </c>
      <c r="BI1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1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35" s="21">
        <f>Pospago[[#This Row],[TARIFA_BASICA]]*1.5</f>
        <v>22.5</v>
      </c>
    </row>
    <row r="136" spans="1:63" x14ac:dyDescent="0.25">
      <c r="A136" s="18" t="s">
        <v>154</v>
      </c>
      <c r="B136" s="18" t="s">
        <v>1099</v>
      </c>
      <c r="C136" s="18" t="s">
        <v>1100</v>
      </c>
      <c r="D136" s="19">
        <v>44911</v>
      </c>
      <c r="E136" s="18" t="s">
        <v>67</v>
      </c>
      <c r="F136" s="18" t="s">
        <v>1101</v>
      </c>
      <c r="G136" s="18" t="s">
        <v>1102</v>
      </c>
      <c r="H136" s="18" t="s">
        <v>159</v>
      </c>
      <c r="I136" s="18" t="s">
        <v>71</v>
      </c>
      <c r="J136" s="18" t="s">
        <v>258</v>
      </c>
      <c r="K136" s="18" t="s">
        <v>114</v>
      </c>
      <c r="L136" s="20" t="s">
        <v>1103</v>
      </c>
      <c r="M136" s="18" t="s">
        <v>75</v>
      </c>
      <c r="N136" s="20" t="s">
        <v>1104</v>
      </c>
      <c r="O136" s="18" t="s">
        <v>164</v>
      </c>
      <c r="P136" s="18" t="s">
        <v>78</v>
      </c>
      <c r="Q136" s="19">
        <v>44914</v>
      </c>
      <c r="R136" s="21">
        <v>11.42</v>
      </c>
      <c r="S136" s="18" t="s">
        <v>79</v>
      </c>
      <c r="T136" s="18" t="s">
        <v>117</v>
      </c>
      <c r="U136" s="18" t="s">
        <v>83</v>
      </c>
      <c r="V136" s="18" t="s">
        <v>95</v>
      </c>
      <c r="W136" s="18" t="s">
        <v>95</v>
      </c>
      <c r="X136" s="18" t="s">
        <v>118</v>
      </c>
      <c r="Y136" s="18" t="s">
        <v>85</v>
      </c>
      <c r="Z136" s="18" t="s">
        <v>86</v>
      </c>
      <c r="AA136" s="18" t="s">
        <v>119</v>
      </c>
      <c r="AB136" s="18" t="s">
        <v>808</v>
      </c>
      <c r="AC136" s="18" t="s">
        <v>809</v>
      </c>
      <c r="AD136" s="18" t="s">
        <v>85</v>
      </c>
      <c r="AE136" s="18" t="s">
        <v>90</v>
      </c>
      <c r="AF136" s="18" t="s">
        <v>122</v>
      </c>
      <c r="AG136" s="18" t="s">
        <v>92</v>
      </c>
      <c r="AH136" s="18" t="s">
        <v>165</v>
      </c>
      <c r="AI136" s="18" t="s">
        <v>94</v>
      </c>
      <c r="AJ136" s="19">
        <v>44911</v>
      </c>
      <c r="AK136" s="22" t="s">
        <v>95</v>
      </c>
      <c r="AL136" s="18" t="s">
        <v>95</v>
      </c>
      <c r="AM136" s="18" t="s">
        <v>95</v>
      </c>
      <c r="AN136" s="18" t="s">
        <v>95</v>
      </c>
      <c r="AO136" s="18" t="s">
        <v>95</v>
      </c>
      <c r="AP136" s="18" t="s">
        <v>95</v>
      </c>
      <c r="AQ136" s="18" t="s">
        <v>95</v>
      </c>
      <c r="AR136" s="18" t="s">
        <v>95</v>
      </c>
      <c r="AS136" s="18" t="s">
        <v>83</v>
      </c>
      <c r="AT136" s="18" t="s">
        <v>83</v>
      </c>
      <c r="AU136" s="18" t="s">
        <v>81</v>
      </c>
      <c r="AV136" s="18" t="s">
        <v>95</v>
      </c>
      <c r="AW136" s="18" t="s">
        <v>95</v>
      </c>
      <c r="AX136" s="18"/>
      <c r="AY136" s="18" t="str">
        <f>Pospago[[#This Row],[NUM_TELEFONICO]]&amp;"POSPAGOSI"</f>
        <v>969015807POSPAGOSI</v>
      </c>
      <c r="AZ136" s="18" t="str">
        <f>VLOOKUP(Pospago[[#This Row],[NOM_PLAZA_FINAL]],[1]!Locales[#Data],3,0)</f>
        <v>TIENDA MACHALA</v>
      </c>
      <c r="BA136" s="18" t="str">
        <f>IFERROR(VLOOKUP(Pospago[[#This Row],[USUARIO]],[1]!Personal[#Data],6,0),"EJECUTIVO NO REGISTRADO")</f>
        <v>ALICIA ROMINA GONZALEZ SANDOYA</v>
      </c>
      <c r="BB136" s="18" t="str">
        <f>Pospago[[#This Row],[TIPO_MOVIMIENTO]]&amp;" "&amp;Pospago[[#This Row],[FORMA_PAGO_FINAL]]</f>
        <v>TRANSFERENCIAS PAGO EN CAJA</v>
      </c>
      <c r="BC136" s="18">
        <f>DAY(Pospago[[#This Row],[FECHA_ALTA]])</f>
        <v>16</v>
      </c>
      <c r="BD136" s="18">
        <f>IF(Pospago[[#This Row],[TARIFA_BASICA]]=11.42,1,0)</f>
        <v>1</v>
      </c>
      <c r="BE136" s="18">
        <f>IF(Pospago[[#This Row],[PLANES TELEVENTAS]]="SI",1,0)</f>
        <v>0</v>
      </c>
      <c r="BF136" s="18">
        <f>1</f>
        <v>1</v>
      </c>
      <c r="BG136" s="18">
        <f>IF(OR(Pospago[[#This Row],[TARIFA_BASICA]]=11.42,Pospago[[#This Row],[PLANES TELEVENTAS]]="SI"),1,0)</f>
        <v>1</v>
      </c>
      <c r="BH136" s="18" t="str">
        <f>IF(MID(Pospago[[#This Row],[PlanDesc]],1,4) = "PLAN","POSPAGO",IF(MID(Pospago[[#This Row],[PlanDesc]],1,4)="FULL","FULL MEGAS","PREVIOPAGO"))</f>
        <v>PREVIOPAGO</v>
      </c>
      <c r="BI1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3.7439999999999998</v>
      </c>
      <c r="BJ1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36" s="21">
        <f>Pospago[[#This Row],[TARIFA_BASICA]]*1.5</f>
        <v>17.13</v>
      </c>
    </row>
    <row r="137" spans="1:63" x14ac:dyDescent="0.25">
      <c r="A137" s="18" t="s">
        <v>154</v>
      </c>
      <c r="B137" s="18" t="s">
        <v>1105</v>
      </c>
      <c r="C137" s="18" t="s">
        <v>1106</v>
      </c>
      <c r="D137" s="19">
        <v>44906</v>
      </c>
      <c r="E137" s="18" t="s">
        <v>67</v>
      </c>
      <c r="F137" s="18" t="s">
        <v>1107</v>
      </c>
      <c r="G137" s="18" t="s">
        <v>1108</v>
      </c>
      <c r="H137" s="18" t="s">
        <v>159</v>
      </c>
      <c r="I137" s="18" t="s">
        <v>160</v>
      </c>
      <c r="J137" s="18" t="s">
        <v>161</v>
      </c>
      <c r="K137" s="18" t="s">
        <v>73</v>
      </c>
      <c r="L137" s="20" t="s">
        <v>1109</v>
      </c>
      <c r="M137" s="18" t="s">
        <v>75</v>
      </c>
      <c r="N137" s="20" t="s">
        <v>1110</v>
      </c>
      <c r="O137" s="18" t="s">
        <v>164</v>
      </c>
      <c r="P137" s="18" t="s">
        <v>78</v>
      </c>
      <c r="Q137" s="19">
        <v>44914</v>
      </c>
      <c r="R137" s="21">
        <v>14.28</v>
      </c>
      <c r="S137" s="18" t="s">
        <v>79</v>
      </c>
      <c r="T137" s="18" t="s">
        <v>174</v>
      </c>
      <c r="U137" s="18" t="s">
        <v>83</v>
      </c>
      <c r="V137" s="18" t="s">
        <v>95</v>
      </c>
      <c r="W137" s="18" t="s">
        <v>95</v>
      </c>
      <c r="X137" s="18" t="s">
        <v>215</v>
      </c>
      <c r="Y137" s="18" t="s">
        <v>85</v>
      </c>
      <c r="Z137" s="18" t="s">
        <v>86</v>
      </c>
      <c r="AA137" s="18" t="s">
        <v>87</v>
      </c>
      <c r="AB137" s="18" t="s">
        <v>303</v>
      </c>
      <c r="AC137" s="18" t="s">
        <v>304</v>
      </c>
      <c r="AD137" s="18" t="s">
        <v>85</v>
      </c>
      <c r="AE137" s="18" t="s">
        <v>90</v>
      </c>
      <c r="AF137" s="18" t="s">
        <v>177</v>
      </c>
      <c r="AG137" s="18" t="s">
        <v>139</v>
      </c>
      <c r="AH137" s="18" t="s">
        <v>165</v>
      </c>
      <c r="AI137" s="18" t="s">
        <v>94</v>
      </c>
      <c r="AJ137" s="19">
        <v>44906</v>
      </c>
      <c r="AK137" s="22" t="s">
        <v>95</v>
      </c>
      <c r="AL137" s="18" t="s">
        <v>95</v>
      </c>
      <c r="AM137" s="18" t="s">
        <v>95</v>
      </c>
      <c r="AN137" s="18" t="s">
        <v>95</v>
      </c>
      <c r="AO137" s="18" t="s">
        <v>95</v>
      </c>
      <c r="AP137" s="18" t="s">
        <v>95</v>
      </c>
      <c r="AQ137" s="18" t="s">
        <v>95</v>
      </c>
      <c r="AR137" s="18" t="s">
        <v>95</v>
      </c>
      <c r="AS137" s="18" t="s">
        <v>83</v>
      </c>
      <c r="AT137" s="18" t="s">
        <v>83</v>
      </c>
      <c r="AU137" s="18" t="s">
        <v>81</v>
      </c>
      <c r="AV137" s="18" t="s">
        <v>95</v>
      </c>
      <c r="AW137" s="18" t="s">
        <v>95</v>
      </c>
      <c r="AX137" s="18"/>
      <c r="AY137" s="18" t="str">
        <f>Pospago[[#This Row],[NUM_TELEFONICO]]&amp;"POSPAGOSI"</f>
        <v>969016993POSPAGOSI</v>
      </c>
      <c r="AZ137" s="18" t="str">
        <f>VLOOKUP(Pospago[[#This Row],[NOM_PLAZA_FINAL]],[1]!Locales[#Data],3,0)</f>
        <v>TIENDA RECREO</v>
      </c>
      <c r="BA137" s="18" t="str">
        <f>IFERROR(VLOOKUP(Pospago[[#This Row],[USUARIO]],[1]!Personal[#Data],6,0),"EJECUTIVO NO REGISTRADO")</f>
        <v>CORDOVA GAIBOR JONATHAN HERNAN</v>
      </c>
      <c r="BB137" s="18" t="str">
        <f>Pospago[[#This Row],[TIPO_MOVIMIENTO]]&amp;" "&amp;Pospago[[#This Row],[FORMA_PAGO_FINAL]]</f>
        <v>TRANSFERENCIAS DOMICILIADO</v>
      </c>
      <c r="BC137" s="18">
        <f>DAY(Pospago[[#This Row],[FECHA_ALTA]])</f>
        <v>11</v>
      </c>
      <c r="BD137" s="18">
        <f>IF(Pospago[[#This Row],[TARIFA_BASICA]]=11.42,1,0)</f>
        <v>0</v>
      </c>
      <c r="BE137" s="18">
        <f>IF(Pospago[[#This Row],[PLANES TELEVENTAS]]="SI",1,0)</f>
        <v>0</v>
      </c>
      <c r="BF137" s="18">
        <f>1</f>
        <v>1</v>
      </c>
      <c r="BG137" s="18">
        <f>IF(OR(Pospago[[#This Row],[TARIFA_BASICA]]=11.42,Pospago[[#This Row],[PLANES TELEVENTAS]]="SI"),1,0)</f>
        <v>0</v>
      </c>
      <c r="BH137" s="18" t="str">
        <f>IF(MID(Pospago[[#This Row],[PlanDesc]],1,4) = "PLAN","POSPAGO",IF(MID(Pospago[[#This Row],[PlanDesc]],1,4)="FULL","FULL MEGAS","PREVIOPAGO"))</f>
        <v>PREVIOPAGO</v>
      </c>
      <c r="BI1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37" s="21">
        <f>Pospago[[#This Row],[TARIFA_BASICA]]*1.5</f>
        <v>21.419999999999998</v>
      </c>
    </row>
    <row r="138" spans="1:63" x14ac:dyDescent="0.25">
      <c r="A138" s="18" t="s">
        <v>154</v>
      </c>
      <c r="B138" s="18" t="s">
        <v>1111</v>
      </c>
      <c r="C138" s="18" t="s">
        <v>1112</v>
      </c>
      <c r="D138" s="19">
        <v>44906</v>
      </c>
      <c r="E138" s="18" t="s">
        <v>67</v>
      </c>
      <c r="F138" s="18" t="s">
        <v>1113</v>
      </c>
      <c r="G138" s="18" t="s">
        <v>1114</v>
      </c>
      <c r="H138" s="18" t="s">
        <v>159</v>
      </c>
      <c r="I138" s="18" t="s">
        <v>160</v>
      </c>
      <c r="J138" s="18" t="s">
        <v>161</v>
      </c>
      <c r="K138" s="18" t="s">
        <v>132</v>
      </c>
      <c r="L138" s="20" t="s">
        <v>1115</v>
      </c>
      <c r="M138" s="18" t="s">
        <v>287</v>
      </c>
      <c r="N138" s="20" t="s">
        <v>1116</v>
      </c>
      <c r="O138" s="18" t="s">
        <v>164</v>
      </c>
      <c r="P138" s="18" t="s">
        <v>78</v>
      </c>
      <c r="Q138" s="19">
        <v>44914</v>
      </c>
      <c r="R138" s="21">
        <v>14.28</v>
      </c>
      <c r="S138" s="18" t="s">
        <v>79</v>
      </c>
      <c r="T138" s="18" t="s">
        <v>174</v>
      </c>
      <c r="U138" s="18" t="s">
        <v>83</v>
      </c>
      <c r="V138" s="18" t="s">
        <v>95</v>
      </c>
      <c r="W138" s="18" t="s">
        <v>95</v>
      </c>
      <c r="X138" s="18" t="s">
        <v>118</v>
      </c>
      <c r="Y138" s="18" t="s">
        <v>85</v>
      </c>
      <c r="Z138" s="18" t="s">
        <v>86</v>
      </c>
      <c r="AA138" s="18" t="s">
        <v>119</v>
      </c>
      <c r="AB138" s="18" t="s">
        <v>740</v>
      </c>
      <c r="AC138" s="18" t="s">
        <v>741</v>
      </c>
      <c r="AD138" s="18" t="s">
        <v>85</v>
      </c>
      <c r="AE138" s="18" t="s">
        <v>90</v>
      </c>
      <c r="AF138" s="18" t="s">
        <v>177</v>
      </c>
      <c r="AG138" s="18" t="s">
        <v>139</v>
      </c>
      <c r="AH138" s="18" t="s">
        <v>165</v>
      </c>
      <c r="AI138" s="18" t="s">
        <v>94</v>
      </c>
      <c r="AJ138" s="19">
        <v>44906</v>
      </c>
      <c r="AK138" s="22" t="s">
        <v>95</v>
      </c>
      <c r="AL138" s="18" t="s">
        <v>95</v>
      </c>
      <c r="AM138" s="18" t="s">
        <v>95</v>
      </c>
      <c r="AN138" s="18" t="s">
        <v>95</v>
      </c>
      <c r="AO138" s="18" t="s">
        <v>95</v>
      </c>
      <c r="AP138" s="18" t="s">
        <v>95</v>
      </c>
      <c r="AQ138" s="18" t="s">
        <v>95</v>
      </c>
      <c r="AR138" s="18" t="s">
        <v>95</v>
      </c>
      <c r="AS138" s="18" t="s">
        <v>83</v>
      </c>
      <c r="AT138" s="18" t="s">
        <v>83</v>
      </c>
      <c r="AU138" s="18" t="s">
        <v>81</v>
      </c>
      <c r="AV138" s="18" t="s">
        <v>95</v>
      </c>
      <c r="AW138" s="18" t="s">
        <v>95</v>
      </c>
      <c r="AX138" s="18"/>
      <c r="AY138" s="18" t="str">
        <f>Pospago[[#This Row],[NUM_TELEFONICO]]&amp;"POSPAGOSI"</f>
        <v>969043348POSPAGOSI</v>
      </c>
      <c r="AZ138" s="18" t="str">
        <f>VLOOKUP(Pospago[[#This Row],[NOM_PLAZA_FINAL]],[1]!Locales[#Data],3,0)</f>
        <v>TIENDA RECREO</v>
      </c>
      <c r="BA138" s="18" t="str">
        <f>IFERROR(VLOOKUP(Pospago[[#This Row],[USUARIO]],[1]!Personal[#Data],6,0),"EJECUTIVO NO REGISTRADO")</f>
        <v>CHAVEZ VASQUEZ YESSENIA KATHERINE</v>
      </c>
      <c r="BB138" s="18" t="str">
        <f>Pospago[[#This Row],[TIPO_MOVIMIENTO]]&amp;" "&amp;Pospago[[#This Row],[FORMA_PAGO_FINAL]]</f>
        <v>TRANSFERENCIAS PAGO EN CAJA</v>
      </c>
      <c r="BC138" s="18">
        <f>DAY(Pospago[[#This Row],[FECHA_ALTA]])</f>
        <v>11</v>
      </c>
      <c r="BD138" s="18">
        <f>IF(Pospago[[#This Row],[TARIFA_BASICA]]=11.42,1,0)</f>
        <v>0</v>
      </c>
      <c r="BE138" s="18">
        <f>IF(Pospago[[#This Row],[PLANES TELEVENTAS]]="SI",1,0)</f>
        <v>0</v>
      </c>
      <c r="BF138" s="18">
        <f>1</f>
        <v>1</v>
      </c>
      <c r="BG138" s="18">
        <f>IF(OR(Pospago[[#This Row],[TARIFA_BASICA]]=11.42,Pospago[[#This Row],[PLANES TELEVENTAS]]="SI"),1,0)</f>
        <v>0</v>
      </c>
      <c r="BH138" s="18" t="str">
        <f>IF(MID(Pospago[[#This Row],[PlanDesc]],1,4) = "PLAN","POSPAGO",IF(MID(Pospago[[#This Row],[PlanDesc]],1,4)="FULL","FULL MEGAS","PREVIOPAGO"))</f>
        <v>PREVIOPAGO</v>
      </c>
      <c r="BI1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38" s="21">
        <f>Pospago[[#This Row],[TARIFA_BASICA]]*1.5</f>
        <v>21.419999999999998</v>
      </c>
    </row>
    <row r="139" spans="1:63" x14ac:dyDescent="0.25">
      <c r="A139" s="18" t="s">
        <v>154</v>
      </c>
      <c r="B139" s="18" t="s">
        <v>1117</v>
      </c>
      <c r="C139" s="18" t="s">
        <v>1118</v>
      </c>
      <c r="D139" s="19">
        <v>44896</v>
      </c>
      <c r="E139" s="18" t="s">
        <v>67</v>
      </c>
      <c r="F139" s="18" t="s">
        <v>1119</v>
      </c>
      <c r="G139" s="18" t="s">
        <v>1120</v>
      </c>
      <c r="H139" s="18" t="s">
        <v>159</v>
      </c>
      <c r="I139" s="18" t="s">
        <v>160</v>
      </c>
      <c r="J139" s="18" t="s">
        <v>161</v>
      </c>
      <c r="K139" s="18" t="s">
        <v>132</v>
      </c>
      <c r="L139" s="20" t="s">
        <v>1121</v>
      </c>
      <c r="M139" s="18" t="s">
        <v>75</v>
      </c>
      <c r="N139" s="20" t="s">
        <v>1122</v>
      </c>
      <c r="O139" s="18" t="s">
        <v>164</v>
      </c>
      <c r="P139" s="18" t="s">
        <v>78</v>
      </c>
      <c r="Q139" s="19">
        <v>44914</v>
      </c>
      <c r="R139" s="21">
        <v>14.28</v>
      </c>
      <c r="S139" s="18" t="s">
        <v>79</v>
      </c>
      <c r="T139" s="18" t="s">
        <v>232</v>
      </c>
      <c r="U139" s="18" t="s">
        <v>83</v>
      </c>
      <c r="V139" s="18" t="s">
        <v>95</v>
      </c>
      <c r="W139" s="18" t="s">
        <v>95</v>
      </c>
      <c r="X139" s="18" t="s">
        <v>118</v>
      </c>
      <c r="Y139" s="18" t="s">
        <v>85</v>
      </c>
      <c r="Z139" s="18" t="s">
        <v>86</v>
      </c>
      <c r="AA139" s="18" t="s">
        <v>119</v>
      </c>
      <c r="AB139" s="18" t="s">
        <v>443</v>
      </c>
      <c r="AC139" s="18" t="s">
        <v>444</v>
      </c>
      <c r="AD139" s="18" t="s">
        <v>85</v>
      </c>
      <c r="AE139" s="18" t="s">
        <v>90</v>
      </c>
      <c r="AF139" s="18" t="s">
        <v>235</v>
      </c>
      <c r="AG139" s="18" t="s">
        <v>139</v>
      </c>
      <c r="AH139" s="18" t="s">
        <v>165</v>
      </c>
      <c r="AI139" s="18" t="s">
        <v>94</v>
      </c>
      <c r="AJ139" s="19">
        <v>44896</v>
      </c>
      <c r="AK139" s="22" t="s">
        <v>95</v>
      </c>
      <c r="AL139" s="18" t="s">
        <v>95</v>
      </c>
      <c r="AM139" s="18" t="s">
        <v>95</v>
      </c>
      <c r="AN139" s="18" t="s">
        <v>95</v>
      </c>
      <c r="AO139" s="18" t="s">
        <v>95</v>
      </c>
      <c r="AP139" s="18" t="s">
        <v>95</v>
      </c>
      <c r="AQ139" s="18" t="s">
        <v>95</v>
      </c>
      <c r="AR139" s="18" t="s">
        <v>95</v>
      </c>
      <c r="AS139" s="18" t="s">
        <v>83</v>
      </c>
      <c r="AT139" s="18" t="s">
        <v>83</v>
      </c>
      <c r="AU139" s="18" t="s">
        <v>81</v>
      </c>
      <c r="AV139" s="18" t="s">
        <v>95</v>
      </c>
      <c r="AW139" s="18" t="s">
        <v>96</v>
      </c>
      <c r="AX139" s="18"/>
      <c r="AY139" s="18" t="str">
        <f>Pospago[[#This Row],[NUM_TELEFONICO]]&amp;"POSPAGOSI"</f>
        <v>969046003POSPAGOSI</v>
      </c>
      <c r="AZ139" s="18" t="str">
        <f>VLOOKUP(Pospago[[#This Row],[NOM_PLAZA_FINAL]],[1]!Locales[#Data],3,0)</f>
        <v>TIENDA CONDADO</v>
      </c>
      <c r="BA139" s="18" t="str">
        <f>IFERROR(VLOOKUP(Pospago[[#This Row],[USUARIO]],[1]!Personal[#Data],6,0),"EJECUTIVO NO REGISTRADO")</f>
        <v>JARAMILLO ESPINOZA KENIA KATRINA</v>
      </c>
      <c r="BB139" s="18" t="str">
        <f>Pospago[[#This Row],[TIPO_MOVIMIENTO]]&amp;" "&amp;Pospago[[#This Row],[FORMA_PAGO_FINAL]]</f>
        <v>TRANSFERENCIAS PAGO EN CAJA</v>
      </c>
      <c r="BC139" s="18">
        <f>DAY(Pospago[[#This Row],[FECHA_ALTA]])</f>
        <v>1</v>
      </c>
      <c r="BD139" s="18">
        <f>IF(Pospago[[#This Row],[TARIFA_BASICA]]=11.42,1,0)</f>
        <v>0</v>
      </c>
      <c r="BE139" s="18">
        <f>IF(Pospago[[#This Row],[PLANES TELEVENTAS]]="SI",1,0)</f>
        <v>0</v>
      </c>
      <c r="BF139" s="18">
        <f>1</f>
        <v>1</v>
      </c>
      <c r="BG139" s="18">
        <f>IF(OR(Pospago[[#This Row],[TARIFA_BASICA]]=11.42,Pospago[[#This Row],[PLANES TELEVENTAS]]="SI"),1,0)</f>
        <v>0</v>
      </c>
      <c r="BH139" s="18" t="str">
        <f>IF(MID(Pospago[[#This Row],[PlanDesc]],1,4) = "PLAN","POSPAGO",IF(MID(Pospago[[#This Row],[PlanDesc]],1,4)="FULL","FULL MEGAS","PREVIOPAGO"))</f>
        <v>PREVIOPAGO</v>
      </c>
      <c r="BI1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39" s="21">
        <f>Pospago[[#This Row],[TARIFA_BASICA]]*1.5</f>
        <v>21.419999999999998</v>
      </c>
    </row>
    <row r="140" spans="1:63" x14ac:dyDescent="0.25">
      <c r="A140" s="18" t="s">
        <v>64</v>
      </c>
      <c r="B140" s="18" t="s">
        <v>1123</v>
      </c>
      <c r="C140" s="18" t="s">
        <v>1124</v>
      </c>
      <c r="D140" s="19">
        <v>44896</v>
      </c>
      <c r="E140" s="18" t="s">
        <v>67</v>
      </c>
      <c r="F140" s="18" t="s">
        <v>1125</v>
      </c>
      <c r="G140" s="18" t="s">
        <v>1126</v>
      </c>
      <c r="H140" s="18" t="s">
        <v>70</v>
      </c>
      <c r="I140" s="18" t="s">
        <v>160</v>
      </c>
      <c r="J140" s="18" t="s">
        <v>195</v>
      </c>
      <c r="K140" s="18" t="s">
        <v>132</v>
      </c>
      <c r="L140" s="20" t="s">
        <v>1127</v>
      </c>
      <c r="M140" s="18" t="s">
        <v>75</v>
      </c>
      <c r="N140" s="20" t="s">
        <v>1128</v>
      </c>
      <c r="O140" s="18" t="s">
        <v>77</v>
      </c>
      <c r="P140" s="18" t="s">
        <v>78</v>
      </c>
      <c r="Q140" s="19">
        <v>44914</v>
      </c>
      <c r="R140" s="21">
        <v>14.28</v>
      </c>
      <c r="S140" s="18" t="s">
        <v>79</v>
      </c>
      <c r="T140" s="18" t="s">
        <v>174</v>
      </c>
      <c r="U140" s="18" t="s">
        <v>83</v>
      </c>
      <c r="V140" s="18" t="s">
        <v>95</v>
      </c>
      <c r="W140" s="18" t="s">
        <v>83</v>
      </c>
      <c r="X140" s="18" t="s">
        <v>118</v>
      </c>
      <c r="Y140" s="18" t="s">
        <v>85</v>
      </c>
      <c r="Z140" s="18" t="s">
        <v>86</v>
      </c>
      <c r="AA140" s="18" t="s">
        <v>119</v>
      </c>
      <c r="AB140" s="18" t="s">
        <v>175</v>
      </c>
      <c r="AC140" s="18" t="s">
        <v>176</v>
      </c>
      <c r="AD140" s="18" t="s">
        <v>85</v>
      </c>
      <c r="AE140" s="18" t="s">
        <v>90</v>
      </c>
      <c r="AF140" s="18" t="s">
        <v>177</v>
      </c>
      <c r="AG140" s="18" t="s">
        <v>139</v>
      </c>
      <c r="AH140" s="18" t="s">
        <v>93</v>
      </c>
      <c r="AI140" s="18" t="s">
        <v>94</v>
      </c>
      <c r="AJ140" s="19">
        <v>44896</v>
      </c>
      <c r="AK140" s="22" t="s">
        <v>95</v>
      </c>
      <c r="AL140" s="18" t="s">
        <v>95</v>
      </c>
      <c r="AM140" s="18" t="s">
        <v>95</v>
      </c>
      <c r="AN140" s="18" t="s">
        <v>95</v>
      </c>
      <c r="AO140" s="18" t="s">
        <v>95</v>
      </c>
      <c r="AP140" s="18" t="s">
        <v>95</v>
      </c>
      <c r="AQ140" s="18" t="s">
        <v>95</v>
      </c>
      <c r="AR140" s="18" t="s">
        <v>95</v>
      </c>
      <c r="AS140" s="18" t="s">
        <v>83</v>
      </c>
      <c r="AT140" s="18" t="s">
        <v>83</v>
      </c>
      <c r="AU140" s="18" t="s">
        <v>81</v>
      </c>
      <c r="AV140" s="18" t="s">
        <v>95</v>
      </c>
      <c r="AW140" s="18" t="s">
        <v>95</v>
      </c>
      <c r="AX140" s="18"/>
      <c r="AY140" s="18" t="str">
        <f>Pospago[[#This Row],[NUM_TELEFONICO]]&amp;"POSPAGOSI"</f>
        <v>969055720POSPAGOSI</v>
      </c>
      <c r="AZ140" s="18" t="str">
        <f>VLOOKUP(Pospago[[#This Row],[NOM_PLAZA_FINAL]],[1]!Locales[#Data],3,0)</f>
        <v>TIENDA RECREO</v>
      </c>
      <c r="BA140" s="18" t="str">
        <f>IFERROR(VLOOKUP(Pospago[[#This Row],[USUARIO]],[1]!Personal[#Data],6,0),"EJECUTIVO NO REGISTRADO")</f>
        <v>VARGAS REYES LUIS EDUARDO</v>
      </c>
      <c r="BB140" s="18" t="str">
        <f>Pospago[[#This Row],[TIPO_MOVIMIENTO]]&amp;" "&amp;Pospago[[#This Row],[FORMA_PAGO_FINAL]]</f>
        <v>ALTAS PAGO EN CAJA</v>
      </c>
      <c r="BC140" s="18">
        <f>DAY(Pospago[[#This Row],[FECHA_ALTA]])</f>
        <v>1</v>
      </c>
      <c r="BD140" s="18">
        <f>IF(Pospago[[#This Row],[TARIFA_BASICA]]=11.42,1,0)</f>
        <v>0</v>
      </c>
      <c r="BE140" s="18">
        <f>IF(Pospago[[#This Row],[PLANES TELEVENTAS]]="SI",1,0)</f>
        <v>0</v>
      </c>
      <c r="BF140" s="18">
        <f>1</f>
        <v>1</v>
      </c>
      <c r="BG140" s="18">
        <f>IF(OR(Pospago[[#This Row],[TARIFA_BASICA]]=11.42,Pospago[[#This Row],[PLANES TELEVENTAS]]="SI"),1,0)</f>
        <v>0</v>
      </c>
      <c r="BH140" s="18" t="str">
        <f>IF(MID(Pospago[[#This Row],[PlanDesc]],1,4) = "PLAN","POSPAGO",IF(MID(Pospago[[#This Row],[PlanDesc]],1,4)="FULL","FULL MEGAS","PREVIOPAGO"))</f>
        <v>PREVIOPAGO</v>
      </c>
      <c r="BI1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0" s="21">
        <f>Pospago[[#This Row],[TARIFA_BASICA]]*1.5</f>
        <v>21.419999999999998</v>
      </c>
    </row>
    <row r="141" spans="1:63" x14ac:dyDescent="0.25">
      <c r="A141" s="18" t="s">
        <v>64</v>
      </c>
      <c r="B141" s="18" t="s">
        <v>1129</v>
      </c>
      <c r="C141" s="18" t="s">
        <v>1130</v>
      </c>
      <c r="D141" s="19">
        <v>44903</v>
      </c>
      <c r="E141" s="18" t="s">
        <v>67</v>
      </c>
      <c r="F141" s="18" t="s">
        <v>1131</v>
      </c>
      <c r="G141" s="18" t="s">
        <v>1132</v>
      </c>
      <c r="H141" s="18" t="s">
        <v>70</v>
      </c>
      <c r="I141" s="18" t="s">
        <v>194</v>
      </c>
      <c r="J141" s="18" t="s">
        <v>195</v>
      </c>
      <c r="K141" s="18" t="s">
        <v>73</v>
      </c>
      <c r="L141" s="20" t="s">
        <v>1133</v>
      </c>
      <c r="M141" s="18" t="s">
        <v>75</v>
      </c>
      <c r="N141" s="20" t="s">
        <v>1134</v>
      </c>
      <c r="O141" s="18" t="s">
        <v>77</v>
      </c>
      <c r="P141" s="18" t="s">
        <v>78</v>
      </c>
      <c r="Q141" s="19">
        <v>44914</v>
      </c>
      <c r="R141" s="21">
        <v>14.28</v>
      </c>
      <c r="S141" s="18" t="s">
        <v>79</v>
      </c>
      <c r="T141" s="18" t="s">
        <v>232</v>
      </c>
      <c r="U141" s="18" t="s">
        <v>83</v>
      </c>
      <c r="V141" s="18" t="s">
        <v>95</v>
      </c>
      <c r="W141" s="18" t="s">
        <v>83</v>
      </c>
      <c r="X141" s="18" t="s">
        <v>84</v>
      </c>
      <c r="Y141" s="18" t="s">
        <v>85</v>
      </c>
      <c r="Z141" s="18" t="s">
        <v>86</v>
      </c>
      <c r="AA141" s="18" t="s">
        <v>87</v>
      </c>
      <c r="AB141" s="18" t="s">
        <v>443</v>
      </c>
      <c r="AC141" s="18" t="s">
        <v>444</v>
      </c>
      <c r="AD141" s="18" t="s">
        <v>85</v>
      </c>
      <c r="AE141" s="18" t="s">
        <v>90</v>
      </c>
      <c r="AF141" s="18" t="s">
        <v>235</v>
      </c>
      <c r="AG141" s="18" t="s">
        <v>139</v>
      </c>
      <c r="AH141" s="18" t="s">
        <v>93</v>
      </c>
      <c r="AI141" s="18" t="s">
        <v>94</v>
      </c>
      <c r="AJ141" s="19">
        <v>44903</v>
      </c>
      <c r="AK141" s="22" t="s">
        <v>95</v>
      </c>
      <c r="AL141" s="18" t="s">
        <v>95</v>
      </c>
      <c r="AM141" s="18" t="s">
        <v>95</v>
      </c>
      <c r="AN141" s="18" t="s">
        <v>95</v>
      </c>
      <c r="AO141" s="18" t="s">
        <v>95</v>
      </c>
      <c r="AP141" s="18" t="s">
        <v>95</v>
      </c>
      <c r="AQ141" s="18" t="s">
        <v>95</v>
      </c>
      <c r="AR141" s="18" t="s">
        <v>95</v>
      </c>
      <c r="AS141" s="18" t="s">
        <v>83</v>
      </c>
      <c r="AT141" s="18" t="s">
        <v>81</v>
      </c>
      <c r="AU141" s="18" t="s">
        <v>81</v>
      </c>
      <c r="AV141" s="18" t="s">
        <v>95</v>
      </c>
      <c r="AW141" s="18" t="s">
        <v>95</v>
      </c>
      <c r="AX141" s="18"/>
      <c r="AY141" s="18" t="str">
        <f>Pospago[[#This Row],[NUM_TELEFONICO]]&amp;"POSPAGOSI"</f>
        <v>969059295POSPAGOSI</v>
      </c>
      <c r="AZ141" s="18" t="str">
        <f>VLOOKUP(Pospago[[#This Row],[NOM_PLAZA_FINAL]],[1]!Locales[#Data],3,0)</f>
        <v>TIENDA CONDADO</v>
      </c>
      <c r="BA141" s="18" t="str">
        <f>IFERROR(VLOOKUP(Pospago[[#This Row],[USUARIO]],[1]!Personal[#Data],6,0),"EJECUTIVO NO REGISTRADO")</f>
        <v>JARAMILLO ESPINOZA KENIA KATRINA</v>
      </c>
      <c r="BB141" s="18" t="str">
        <f>Pospago[[#This Row],[TIPO_MOVIMIENTO]]&amp;" "&amp;Pospago[[#This Row],[FORMA_PAGO_FINAL]]</f>
        <v>ALTAS DOMICILIADO</v>
      </c>
      <c r="BC141" s="18">
        <f>DAY(Pospago[[#This Row],[FECHA_ALTA]])</f>
        <v>8</v>
      </c>
      <c r="BD141" s="18">
        <f>IF(Pospago[[#This Row],[TARIFA_BASICA]]=11.42,1,0)</f>
        <v>0</v>
      </c>
      <c r="BE141" s="18">
        <f>IF(Pospago[[#This Row],[PLANES TELEVENTAS]]="SI",1,0)</f>
        <v>1</v>
      </c>
      <c r="BF141" s="18">
        <f>1</f>
        <v>1</v>
      </c>
      <c r="BG141" s="18">
        <f>IF(OR(Pospago[[#This Row],[TARIFA_BASICA]]=11.42,Pospago[[#This Row],[PLANES TELEVENTAS]]="SI"),1,0)</f>
        <v>1</v>
      </c>
      <c r="BH141" s="18" t="str">
        <f>IF(MID(Pospago[[#This Row],[PlanDesc]],1,4) = "PLAN","POSPAGO",IF(MID(Pospago[[#This Row],[PlanDesc]],1,4)="FULL","FULL MEGAS","PREVIOPAGO"))</f>
        <v>PREVIOPAGO</v>
      </c>
      <c r="BI1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1" s="21">
        <f>Pospago[[#This Row],[TARIFA_BASICA]]*1.5</f>
        <v>21.419999999999998</v>
      </c>
    </row>
    <row r="142" spans="1:63" x14ac:dyDescent="0.25">
      <c r="A142" s="18" t="s">
        <v>64</v>
      </c>
      <c r="B142" s="18" t="s">
        <v>1135</v>
      </c>
      <c r="C142" s="18" t="s">
        <v>1136</v>
      </c>
      <c r="D142" s="19">
        <v>44900</v>
      </c>
      <c r="E142" s="18" t="s">
        <v>67</v>
      </c>
      <c r="F142" s="18" t="s">
        <v>1137</v>
      </c>
      <c r="G142" s="18" t="s">
        <v>1138</v>
      </c>
      <c r="H142" s="18" t="s">
        <v>70</v>
      </c>
      <c r="I142" s="18" t="s">
        <v>71</v>
      </c>
      <c r="J142" s="18" t="s">
        <v>72</v>
      </c>
      <c r="K142" s="18" t="s">
        <v>132</v>
      </c>
      <c r="L142" s="20" t="s">
        <v>1139</v>
      </c>
      <c r="M142" s="18" t="s">
        <v>75</v>
      </c>
      <c r="N142" s="20" t="s">
        <v>1140</v>
      </c>
      <c r="O142" s="18" t="s">
        <v>77</v>
      </c>
      <c r="P142" s="18" t="s">
        <v>78</v>
      </c>
      <c r="Q142" s="19">
        <v>44914</v>
      </c>
      <c r="R142" s="21">
        <v>11.42</v>
      </c>
      <c r="S142" s="18" t="s">
        <v>79</v>
      </c>
      <c r="T142" s="18" t="s">
        <v>174</v>
      </c>
      <c r="U142" s="18" t="s">
        <v>81</v>
      </c>
      <c r="V142" s="18" t="s">
        <v>1029</v>
      </c>
      <c r="W142" s="18" t="s">
        <v>83</v>
      </c>
      <c r="X142" s="18" t="s">
        <v>118</v>
      </c>
      <c r="Y142" s="18" t="s">
        <v>85</v>
      </c>
      <c r="Z142" s="18" t="s">
        <v>86</v>
      </c>
      <c r="AA142" s="18" t="s">
        <v>119</v>
      </c>
      <c r="AB142" s="18" t="s">
        <v>396</v>
      </c>
      <c r="AC142" s="18" t="s">
        <v>397</v>
      </c>
      <c r="AD142" s="18" t="s">
        <v>85</v>
      </c>
      <c r="AE142" s="18" t="s">
        <v>90</v>
      </c>
      <c r="AF142" s="18" t="s">
        <v>177</v>
      </c>
      <c r="AG142" s="18" t="s">
        <v>139</v>
      </c>
      <c r="AH142" s="18" t="s">
        <v>93</v>
      </c>
      <c r="AI142" s="18" t="s">
        <v>94</v>
      </c>
      <c r="AJ142" s="19">
        <v>44900</v>
      </c>
      <c r="AK142" s="22" t="s">
        <v>95</v>
      </c>
      <c r="AL142" s="18" t="s">
        <v>95</v>
      </c>
      <c r="AM142" s="18" t="s">
        <v>95</v>
      </c>
      <c r="AN142" s="18" t="s">
        <v>95</v>
      </c>
      <c r="AO142" s="18" t="s">
        <v>95</v>
      </c>
      <c r="AP142" s="18" t="s">
        <v>95</v>
      </c>
      <c r="AQ142" s="18" t="s">
        <v>95</v>
      </c>
      <c r="AR142" s="18" t="s">
        <v>95</v>
      </c>
      <c r="AS142" s="18" t="s">
        <v>83</v>
      </c>
      <c r="AT142" s="18" t="s">
        <v>83</v>
      </c>
      <c r="AU142" s="18" t="s">
        <v>81</v>
      </c>
      <c r="AV142" s="18" t="s">
        <v>95</v>
      </c>
      <c r="AW142" s="18" t="s">
        <v>95</v>
      </c>
      <c r="AX142" s="18"/>
      <c r="AY142" s="18" t="str">
        <f>Pospago[[#This Row],[NUM_TELEFONICO]]&amp;"POSPAGOSI"</f>
        <v>969059882POSPAGOSI</v>
      </c>
      <c r="AZ142" s="18" t="str">
        <f>VLOOKUP(Pospago[[#This Row],[NOM_PLAZA_FINAL]],[1]!Locales[#Data],3,0)</f>
        <v>TIENDA RECREO</v>
      </c>
      <c r="BA142" s="18" t="str">
        <f>IFERROR(VLOOKUP(Pospago[[#This Row],[USUARIO]],[1]!Personal[#Data],6,0),"EJECUTIVO NO REGISTRADO")</f>
        <v>VINUEZA VELASCO ANGY DAYANA</v>
      </c>
      <c r="BB142" s="18" t="str">
        <f>Pospago[[#This Row],[TIPO_MOVIMIENTO]]&amp;" "&amp;Pospago[[#This Row],[FORMA_PAGO_FINAL]]</f>
        <v>ALTAS PAGO EN CAJA</v>
      </c>
      <c r="BC142" s="18">
        <f>DAY(Pospago[[#This Row],[FECHA_ALTA]])</f>
        <v>5</v>
      </c>
      <c r="BD142" s="18">
        <f>IF(Pospago[[#This Row],[TARIFA_BASICA]]=11.42,1,0)</f>
        <v>1</v>
      </c>
      <c r="BE142" s="18">
        <f>IF(Pospago[[#This Row],[PLANES TELEVENTAS]]="SI",1,0)</f>
        <v>0</v>
      </c>
      <c r="BF142" s="18">
        <f>1</f>
        <v>1</v>
      </c>
      <c r="BG142" s="18">
        <f>IF(OR(Pospago[[#This Row],[TARIFA_BASICA]]=11.42,Pospago[[#This Row],[PLANES TELEVENTAS]]="SI"),1,0)</f>
        <v>1</v>
      </c>
      <c r="BH142" s="18" t="str">
        <f>IF(MID(Pospago[[#This Row],[PlanDesc]],1,4) = "PLAN","POSPAGO",IF(MID(Pospago[[#This Row],[PlanDesc]],1,4)="FULL","FULL MEGAS","PREVIOPAGO"))</f>
        <v>PREVIOPAGO</v>
      </c>
      <c r="BI1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42" s="21">
        <f>Pospago[[#This Row],[TARIFA_BASICA]]*1.5</f>
        <v>17.13</v>
      </c>
    </row>
    <row r="143" spans="1:63" x14ac:dyDescent="0.25">
      <c r="A143" s="18" t="s">
        <v>64</v>
      </c>
      <c r="B143" s="18" t="s">
        <v>1141</v>
      </c>
      <c r="C143" s="18" t="s">
        <v>1142</v>
      </c>
      <c r="D143" s="19">
        <v>44909</v>
      </c>
      <c r="E143" s="18" t="s">
        <v>67</v>
      </c>
      <c r="F143" s="18" t="s">
        <v>1143</v>
      </c>
      <c r="G143" s="18" t="s">
        <v>1144</v>
      </c>
      <c r="H143" s="18" t="s">
        <v>70</v>
      </c>
      <c r="I143" s="18" t="s">
        <v>160</v>
      </c>
      <c r="J143" s="18" t="s">
        <v>195</v>
      </c>
      <c r="K143" s="18" t="s">
        <v>132</v>
      </c>
      <c r="L143" s="20" t="s">
        <v>1145</v>
      </c>
      <c r="M143" s="18" t="s">
        <v>75</v>
      </c>
      <c r="N143" s="20" t="s">
        <v>1146</v>
      </c>
      <c r="O143" s="18" t="s">
        <v>77</v>
      </c>
      <c r="P143" s="18" t="s">
        <v>78</v>
      </c>
      <c r="Q143" s="19">
        <v>44914</v>
      </c>
      <c r="R143" s="21">
        <v>14.28</v>
      </c>
      <c r="S143" s="18" t="s">
        <v>79</v>
      </c>
      <c r="T143" s="18" t="s">
        <v>232</v>
      </c>
      <c r="U143" s="18" t="s">
        <v>83</v>
      </c>
      <c r="V143" s="18" t="s">
        <v>95</v>
      </c>
      <c r="W143" s="18" t="s">
        <v>83</v>
      </c>
      <c r="X143" s="18" t="s">
        <v>84</v>
      </c>
      <c r="Y143" s="18" t="s">
        <v>85</v>
      </c>
      <c r="Z143" s="18" t="s">
        <v>86</v>
      </c>
      <c r="AA143" s="18" t="s">
        <v>87</v>
      </c>
      <c r="AB143" s="18" t="s">
        <v>412</v>
      </c>
      <c r="AC143" s="18" t="s">
        <v>413</v>
      </c>
      <c r="AD143" s="18" t="s">
        <v>85</v>
      </c>
      <c r="AE143" s="18" t="s">
        <v>90</v>
      </c>
      <c r="AF143" s="18" t="s">
        <v>235</v>
      </c>
      <c r="AG143" s="18" t="s">
        <v>139</v>
      </c>
      <c r="AH143" s="18" t="s">
        <v>93</v>
      </c>
      <c r="AI143" s="18" t="s">
        <v>94</v>
      </c>
      <c r="AJ143" s="19">
        <v>44909</v>
      </c>
      <c r="AK143" s="22" t="s">
        <v>95</v>
      </c>
      <c r="AL143" s="18" t="s">
        <v>95</v>
      </c>
      <c r="AM143" s="18" t="s">
        <v>95</v>
      </c>
      <c r="AN143" s="18" t="s">
        <v>95</v>
      </c>
      <c r="AO143" s="18" t="s">
        <v>95</v>
      </c>
      <c r="AP143" s="18" t="s">
        <v>95</v>
      </c>
      <c r="AQ143" s="18" t="s">
        <v>95</v>
      </c>
      <c r="AR143" s="18" t="s">
        <v>95</v>
      </c>
      <c r="AS143" s="18" t="s">
        <v>83</v>
      </c>
      <c r="AT143" s="18" t="s">
        <v>83</v>
      </c>
      <c r="AU143" s="18" t="s">
        <v>81</v>
      </c>
      <c r="AV143" s="18" t="s">
        <v>95</v>
      </c>
      <c r="AW143" s="18" t="s">
        <v>95</v>
      </c>
      <c r="AX143" s="18"/>
      <c r="AY143" s="18" t="str">
        <f>Pospago[[#This Row],[NUM_TELEFONICO]]&amp;"POSPAGOSI"</f>
        <v>969060793POSPAGOSI</v>
      </c>
      <c r="AZ143" s="18" t="str">
        <f>VLOOKUP(Pospago[[#This Row],[NOM_PLAZA_FINAL]],[1]!Locales[#Data],3,0)</f>
        <v>TIENDA CONDADO</v>
      </c>
      <c r="BA143" s="18" t="str">
        <f>IFERROR(VLOOKUP(Pospago[[#This Row],[USUARIO]],[1]!Personal[#Data],6,0),"EJECUTIVO NO REGISTRADO")</f>
        <v>PADILLA MALDONADO HENRY LEOPOLDO</v>
      </c>
      <c r="BB143" s="18" t="str">
        <f>Pospago[[#This Row],[TIPO_MOVIMIENTO]]&amp;" "&amp;Pospago[[#This Row],[FORMA_PAGO_FINAL]]</f>
        <v>ALTAS DOMICILIADO</v>
      </c>
      <c r="BC143" s="18">
        <f>DAY(Pospago[[#This Row],[FECHA_ALTA]])</f>
        <v>14</v>
      </c>
      <c r="BD143" s="18">
        <f>IF(Pospago[[#This Row],[TARIFA_BASICA]]=11.42,1,0)</f>
        <v>0</v>
      </c>
      <c r="BE143" s="18">
        <f>IF(Pospago[[#This Row],[PLANES TELEVENTAS]]="SI",1,0)</f>
        <v>0</v>
      </c>
      <c r="BF143" s="18">
        <f>1</f>
        <v>1</v>
      </c>
      <c r="BG143" s="18">
        <f>IF(OR(Pospago[[#This Row],[TARIFA_BASICA]]=11.42,Pospago[[#This Row],[PLANES TELEVENTAS]]="SI"),1,0)</f>
        <v>0</v>
      </c>
      <c r="BH143" s="18" t="str">
        <f>IF(MID(Pospago[[#This Row],[PlanDesc]],1,4) = "PLAN","POSPAGO",IF(MID(Pospago[[#This Row],[PlanDesc]],1,4)="FULL","FULL MEGAS","PREVIOPAGO"))</f>
        <v>PREVIOPAGO</v>
      </c>
      <c r="BI1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3" s="21">
        <f>Pospago[[#This Row],[TARIFA_BASICA]]*1.5</f>
        <v>21.419999999999998</v>
      </c>
    </row>
    <row r="144" spans="1:63" x14ac:dyDescent="0.25">
      <c r="A144" s="18" t="s">
        <v>154</v>
      </c>
      <c r="B144" s="18" t="s">
        <v>1147</v>
      </c>
      <c r="C144" s="18" t="s">
        <v>1148</v>
      </c>
      <c r="D144" s="19">
        <v>44911</v>
      </c>
      <c r="E144" s="18" t="s">
        <v>67</v>
      </c>
      <c r="F144" s="18" t="s">
        <v>1149</v>
      </c>
      <c r="G144" s="18" t="s">
        <v>1150</v>
      </c>
      <c r="H144" s="18" t="s">
        <v>159</v>
      </c>
      <c r="I144" s="18" t="s">
        <v>160</v>
      </c>
      <c r="J144" s="18" t="s">
        <v>161</v>
      </c>
      <c r="K144" s="18" t="s">
        <v>132</v>
      </c>
      <c r="L144" s="20" t="s">
        <v>1151</v>
      </c>
      <c r="M144" s="18" t="s">
        <v>287</v>
      </c>
      <c r="N144" s="20" t="s">
        <v>1152</v>
      </c>
      <c r="O144" s="18" t="s">
        <v>164</v>
      </c>
      <c r="P144" s="18" t="s">
        <v>78</v>
      </c>
      <c r="Q144" s="19">
        <v>44914</v>
      </c>
      <c r="R144" s="21">
        <v>14.28</v>
      </c>
      <c r="S144" s="18" t="s">
        <v>79</v>
      </c>
      <c r="T144" s="18" t="s">
        <v>232</v>
      </c>
      <c r="U144" s="18" t="s">
        <v>83</v>
      </c>
      <c r="V144" s="18" t="s">
        <v>95</v>
      </c>
      <c r="W144" s="18" t="s">
        <v>95</v>
      </c>
      <c r="X144" s="18" t="s">
        <v>84</v>
      </c>
      <c r="Y144" s="18" t="s">
        <v>85</v>
      </c>
      <c r="Z144" s="18" t="s">
        <v>86</v>
      </c>
      <c r="AA144" s="18" t="s">
        <v>87</v>
      </c>
      <c r="AB144" s="18" t="s">
        <v>280</v>
      </c>
      <c r="AC144" s="18" t="s">
        <v>281</v>
      </c>
      <c r="AD144" s="18" t="s">
        <v>85</v>
      </c>
      <c r="AE144" s="18" t="s">
        <v>90</v>
      </c>
      <c r="AF144" s="18" t="s">
        <v>235</v>
      </c>
      <c r="AG144" s="18" t="s">
        <v>139</v>
      </c>
      <c r="AH144" s="18" t="s">
        <v>165</v>
      </c>
      <c r="AI144" s="18" t="s">
        <v>94</v>
      </c>
      <c r="AJ144" s="19">
        <v>44911</v>
      </c>
      <c r="AK144" s="22">
        <v>44911</v>
      </c>
      <c r="AL144" s="18" t="s">
        <v>291</v>
      </c>
      <c r="AM144" s="18" t="s">
        <v>292</v>
      </c>
      <c r="AN144" s="18" t="s">
        <v>494</v>
      </c>
      <c r="AO144" s="18" t="s">
        <v>543</v>
      </c>
      <c r="AP144" s="18">
        <v>1</v>
      </c>
      <c r="AQ144" s="18">
        <v>156.25</v>
      </c>
      <c r="AR144" s="18" t="s">
        <v>496</v>
      </c>
      <c r="AS144" s="18" t="s">
        <v>81</v>
      </c>
      <c r="AT144" s="18" t="s">
        <v>83</v>
      </c>
      <c r="AU144" s="18" t="s">
        <v>81</v>
      </c>
      <c r="AV144" s="18" t="s">
        <v>95</v>
      </c>
      <c r="AW144" s="18" t="s">
        <v>95</v>
      </c>
      <c r="AX144" s="18"/>
      <c r="AY144" s="18" t="str">
        <f>Pospago[[#This Row],[NUM_TELEFONICO]]&amp;"POSPAGOSI"</f>
        <v>969068078POSPAGOSI</v>
      </c>
      <c r="AZ144" s="18" t="str">
        <f>VLOOKUP(Pospago[[#This Row],[NOM_PLAZA_FINAL]],[1]!Locales[#Data],3,0)</f>
        <v>TIENDA CONDADO</v>
      </c>
      <c r="BA144" s="18" t="str">
        <f>IFERROR(VLOOKUP(Pospago[[#This Row],[USUARIO]],[1]!Personal[#Data],6,0),"EJECUTIVO NO REGISTRADO")</f>
        <v>GUACHAMIN CAZA HUGO ADRIAN</v>
      </c>
      <c r="BB144" s="18" t="str">
        <f>Pospago[[#This Row],[TIPO_MOVIMIENTO]]&amp;" "&amp;Pospago[[#This Row],[FORMA_PAGO_FINAL]]</f>
        <v>TRANSFERENCIAS DOMICILIADO</v>
      </c>
      <c r="BC144" s="18">
        <f>DAY(Pospago[[#This Row],[FECHA_ALTA]])</f>
        <v>16</v>
      </c>
      <c r="BD144" s="18">
        <f>IF(Pospago[[#This Row],[TARIFA_BASICA]]=11.42,1,0)</f>
        <v>0</v>
      </c>
      <c r="BE144" s="18">
        <f>IF(Pospago[[#This Row],[PLANES TELEVENTAS]]="SI",1,0)</f>
        <v>0</v>
      </c>
      <c r="BF144" s="18">
        <f>1</f>
        <v>1</v>
      </c>
      <c r="BG144" s="18">
        <f>IF(OR(Pospago[[#This Row],[TARIFA_BASICA]]=11.42,Pospago[[#This Row],[PLANES TELEVENTAS]]="SI"),1,0)</f>
        <v>0</v>
      </c>
      <c r="BH144" s="18" t="str">
        <f>IF(MID(Pospago[[#This Row],[PlanDesc]],1,4) = "PLAN","POSPAGO",IF(MID(Pospago[[#This Row],[PlanDesc]],1,4)="FULL","FULL MEGAS","PREVIOPAGO"))</f>
        <v>PREVIOPAGO</v>
      </c>
      <c r="BI1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4" s="21">
        <f>Pospago[[#This Row],[TARIFA_BASICA]]*1.5</f>
        <v>21.419999999999998</v>
      </c>
    </row>
    <row r="145" spans="1:63" x14ac:dyDescent="0.25">
      <c r="A145" s="18" t="s">
        <v>154</v>
      </c>
      <c r="B145" s="18" t="s">
        <v>1153</v>
      </c>
      <c r="C145" s="18" t="s">
        <v>1154</v>
      </c>
      <c r="D145" s="19">
        <v>44898</v>
      </c>
      <c r="E145" s="18" t="s">
        <v>67</v>
      </c>
      <c r="F145" s="18" t="s">
        <v>1155</v>
      </c>
      <c r="G145" s="18" t="s">
        <v>1156</v>
      </c>
      <c r="H145" s="18" t="s">
        <v>159</v>
      </c>
      <c r="I145" s="18" t="s">
        <v>112</v>
      </c>
      <c r="J145" s="18" t="s">
        <v>781</v>
      </c>
      <c r="K145" s="18" t="s">
        <v>73</v>
      </c>
      <c r="L145" s="20" t="s">
        <v>1157</v>
      </c>
      <c r="M145" s="18" t="s">
        <v>75</v>
      </c>
      <c r="N145" s="20" t="s">
        <v>1158</v>
      </c>
      <c r="O145" s="18" t="s">
        <v>164</v>
      </c>
      <c r="P145" s="18" t="s">
        <v>78</v>
      </c>
      <c r="Q145" s="19">
        <v>44914</v>
      </c>
      <c r="R145" s="21">
        <v>17.850000000000001</v>
      </c>
      <c r="S145" s="18" t="s">
        <v>79</v>
      </c>
      <c r="T145" s="18" t="s">
        <v>117</v>
      </c>
      <c r="U145" s="18" t="s">
        <v>83</v>
      </c>
      <c r="V145" s="18" t="s">
        <v>95</v>
      </c>
      <c r="W145" s="18" t="s">
        <v>95</v>
      </c>
      <c r="X145" s="18" t="s">
        <v>118</v>
      </c>
      <c r="Y145" s="18" t="s">
        <v>85</v>
      </c>
      <c r="Z145" s="18" t="s">
        <v>86</v>
      </c>
      <c r="AA145" s="18" t="s">
        <v>119</v>
      </c>
      <c r="AB145" s="18" t="s">
        <v>651</v>
      </c>
      <c r="AC145" s="18" t="s">
        <v>652</v>
      </c>
      <c r="AD145" s="18" t="s">
        <v>85</v>
      </c>
      <c r="AE145" s="18" t="s">
        <v>90</v>
      </c>
      <c r="AF145" s="18" t="s">
        <v>122</v>
      </c>
      <c r="AG145" s="18" t="s">
        <v>92</v>
      </c>
      <c r="AH145" s="18" t="s">
        <v>165</v>
      </c>
      <c r="AI145" s="18" t="s">
        <v>94</v>
      </c>
      <c r="AJ145" s="19">
        <v>44898</v>
      </c>
      <c r="AK145" s="22" t="s">
        <v>95</v>
      </c>
      <c r="AL145" s="18" t="s">
        <v>95</v>
      </c>
      <c r="AM145" s="18" t="s">
        <v>95</v>
      </c>
      <c r="AN145" s="18" t="s">
        <v>95</v>
      </c>
      <c r="AO145" s="18" t="s">
        <v>95</v>
      </c>
      <c r="AP145" s="18" t="s">
        <v>95</v>
      </c>
      <c r="AQ145" s="18" t="s">
        <v>95</v>
      </c>
      <c r="AR145" s="18" t="s">
        <v>95</v>
      </c>
      <c r="AS145" s="18" t="s">
        <v>83</v>
      </c>
      <c r="AT145" s="18" t="s">
        <v>83</v>
      </c>
      <c r="AU145" s="18" t="s">
        <v>81</v>
      </c>
      <c r="AV145" s="18" t="s">
        <v>95</v>
      </c>
      <c r="AW145" s="18" t="s">
        <v>95</v>
      </c>
      <c r="AX145" s="18"/>
      <c r="AY145" s="18" t="str">
        <f>Pospago[[#This Row],[NUM_TELEFONICO]]&amp;"POSPAGOSI"</f>
        <v>969079294POSPAGOSI</v>
      </c>
      <c r="AZ145" s="18" t="str">
        <f>VLOOKUP(Pospago[[#This Row],[NOM_PLAZA_FINAL]],[1]!Locales[#Data],3,0)</f>
        <v>TIENDA MACHALA</v>
      </c>
      <c r="BA145" s="18" t="str">
        <f>IFERROR(VLOOKUP(Pospago[[#This Row],[USUARIO]],[1]!Personal[#Data],6,0),"EJECUTIVO NO REGISTRADO")</f>
        <v>SANCHEZ SARITAMA JOEL LUIS</v>
      </c>
      <c r="BB145" s="18" t="str">
        <f>Pospago[[#This Row],[TIPO_MOVIMIENTO]]&amp;" "&amp;Pospago[[#This Row],[FORMA_PAGO_FINAL]]</f>
        <v>TRANSFERENCIAS PAGO EN CAJA</v>
      </c>
      <c r="BC145" s="18">
        <f>DAY(Pospago[[#This Row],[FECHA_ALTA]])</f>
        <v>3</v>
      </c>
      <c r="BD145" s="18">
        <f>IF(Pospago[[#This Row],[TARIFA_BASICA]]=11.42,1,0)</f>
        <v>0</v>
      </c>
      <c r="BE145" s="18">
        <f>IF(Pospago[[#This Row],[PLANES TELEVENTAS]]="SI",1,0)</f>
        <v>0</v>
      </c>
      <c r="BF145" s="18">
        <f>1</f>
        <v>1</v>
      </c>
      <c r="BG145" s="18">
        <f>IF(OR(Pospago[[#This Row],[TARIFA_BASICA]]=11.42,Pospago[[#This Row],[PLANES TELEVENTAS]]="SI"),1,0)</f>
        <v>0</v>
      </c>
      <c r="BH145" s="18" t="str">
        <f>IF(MID(Pospago[[#This Row],[PlanDesc]],1,4) = "PLAN","POSPAGO",IF(MID(Pospago[[#This Row],[PlanDesc]],1,4)="FULL","FULL MEGAS","PREVIOPAGO"))</f>
        <v>PREVIOPAGO</v>
      </c>
      <c r="BI1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9.4559999999999995</v>
      </c>
      <c r="BJ1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5" s="21">
        <f>Pospago[[#This Row],[TARIFA_BASICA]]*1.5</f>
        <v>26.775000000000002</v>
      </c>
    </row>
    <row r="146" spans="1:63" x14ac:dyDescent="0.25">
      <c r="A146" s="18" t="s">
        <v>154</v>
      </c>
      <c r="B146" s="18" t="s">
        <v>1159</v>
      </c>
      <c r="C146" s="18" t="s">
        <v>1160</v>
      </c>
      <c r="D146" s="19">
        <v>44903</v>
      </c>
      <c r="E146" s="18" t="s">
        <v>67</v>
      </c>
      <c r="F146" s="18" t="s">
        <v>1161</v>
      </c>
      <c r="G146" s="18" t="s">
        <v>1162</v>
      </c>
      <c r="H146" s="18" t="s">
        <v>159</v>
      </c>
      <c r="I146" s="18" t="s">
        <v>160</v>
      </c>
      <c r="J146" s="18" t="s">
        <v>161</v>
      </c>
      <c r="K146" s="18" t="s">
        <v>95</v>
      </c>
      <c r="L146" s="20" t="s">
        <v>1163</v>
      </c>
      <c r="M146" s="18" t="s">
        <v>75</v>
      </c>
      <c r="N146" s="20" t="s">
        <v>1164</v>
      </c>
      <c r="O146" s="18" t="s">
        <v>164</v>
      </c>
      <c r="P146" s="18" t="s">
        <v>78</v>
      </c>
      <c r="Q146" s="19">
        <v>44914</v>
      </c>
      <c r="R146" s="21">
        <v>14.28</v>
      </c>
      <c r="S146" s="18" t="s">
        <v>79</v>
      </c>
      <c r="T146" s="18" t="s">
        <v>232</v>
      </c>
      <c r="U146" s="18" t="s">
        <v>83</v>
      </c>
      <c r="V146" s="18" t="s">
        <v>95</v>
      </c>
      <c r="W146" s="18" t="s">
        <v>95</v>
      </c>
      <c r="X146" s="18" t="s">
        <v>84</v>
      </c>
      <c r="Y146" s="18" t="s">
        <v>85</v>
      </c>
      <c r="Z146" s="18" t="s">
        <v>86</v>
      </c>
      <c r="AA146" s="18" t="s">
        <v>87</v>
      </c>
      <c r="AB146" s="18" t="s">
        <v>271</v>
      </c>
      <c r="AC146" s="18" t="s">
        <v>272</v>
      </c>
      <c r="AD146" s="18" t="s">
        <v>85</v>
      </c>
      <c r="AE146" s="18" t="s">
        <v>90</v>
      </c>
      <c r="AF146" s="18" t="s">
        <v>235</v>
      </c>
      <c r="AG146" s="18" t="s">
        <v>139</v>
      </c>
      <c r="AH146" s="18" t="s">
        <v>165</v>
      </c>
      <c r="AI146" s="18" t="s">
        <v>94</v>
      </c>
      <c r="AJ146" s="19">
        <v>44903</v>
      </c>
      <c r="AK146" s="22" t="s">
        <v>95</v>
      </c>
      <c r="AL146" s="18" t="s">
        <v>95</v>
      </c>
      <c r="AM146" s="18" t="s">
        <v>95</v>
      </c>
      <c r="AN146" s="18" t="s">
        <v>95</v>
      </c>
      <c r="AO146" s="18" t="s">
        <v>95</v>
      </c>
      <c r="AP146" s="18" t="s">
        <v>95</v>
      </c>
      <c r="AQ146" s="18" t="s">
        <v>95</v>
      </c>
      <c r="AR146" s="18" t="s">
        <v>95</v>
      </c>
      <c r="AS146" s="18" t="s">
        <v>83</v>
      </c>
      <c r="AT146" s="18" t="s">
        <v>83</v>
      </c>
      <c r="AU146" s="18" t="s">
        <v>81</v>
      </c>
      <c r="AV146" s="18" t="s">
        <v>95</v>
      </c>
      <c r="AW146" s="18" t="s">
        <v>95</v>
      </c>
      <c r="AX146" s="18"/>
      <c r="AY146" s="18" t="str">
        <f>Pospago[[#This Row],[NUM_TELEFONICO]]&amp;"POSPAGOSI"</f>
        <v>978605363POSPAGOSI</v>
      </c>
      <c r="AZ146" s="18" t="str">
        <f>VLOOKUP(Pospago[[#This Row],[NOM_PLAZA_FINAL]],[1]!Locales[#Data],3,0)</f>
        <v>TIENDA CONDADO</v>
      </c>
      <c r="BA146" s="18" t="str">
        <f>IFERROR(VLOOKUP(Pospago[[#This Row],[USUARIO]],[1]!Personal[#Data],6,0),"EJECUTIVO NO REGISTRADO")</f>
        <v>CASTILLO AGUIRRE EDWIN MODESTO</v>
      </c>
      <c r="BB146" s="18" t="str">
        <f>Pospago[[#This Row],[TIPO_MOVIMIENTO]]&amp;" "&amp;Pospago[[#This Row],[FORMA_PAGO_FINAL]]</f>
        <v>TRANSFERENCIAS DOMICILIADO</v>
      </c>
      <c r="BC146" s="18">
        <f>DAY(Pospago[[#This Row],[FECHA_ALTA]])</f>
        <v>8</v>
      </c>
      <c r="BD146" s="18">
        <f>IF(Pospago[[#This Row],[TARIFA_BASICA]]=11.42,1,0)</f>
        <v>0</v>
      </c>
      <c r="BE146" s="18">
        <f>IF(Pospago[[#This Row],[PLANES TELEVENTAS]]="SI",1,0)</f>
        <v>0</v>
      </c>
      <c r="BF146" s="18">
        <f>1</f>
        <v>1</v>
      </c>
      <c r="BG146" s="18">
        <f>IF(OR(Pospago[[#This Row],[TARIFA_BASICA]]=11.42,Pospago[[#This Row],[PLANES TELEVENTAS]]="SI"),1,0)</f>
        <v>0</v>
      </c>
      <c r="BH146" s="18" t="str">
        <f>IF(MID(Pospago[[#This Row],[PlanDesc]],1,4) = "PLAN","POSPAGO",IF(MID(Pospago[[#This Row],[PlanDesc]],1,4)="FULL","FULL MEGAS","PREVIOPAGO"))</f>
        <v>PREVIOPAGO</v>
      </c>
      <c r="BI1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6" s="21">
        <f>Pospago[[#This Row],[TARIFA_BASICA]]*1.5</f>
        <v>21.419999999999998</v>
      </c>
    </row>
    <row r="147" spans="1:63" x14ac:dyDescent="0.25">
      <c r="A147" s="18" t="s">
        <v>154</v>
      </c>
      <c r="B147" s="18" t="s">
        <v>1165</v>
      </c>
      <c r="C147" s="18" t="s">
        <v>1166</v>
      </c>
      <c r="D147" s="19">
        <v>44896</v>
      </c>
      <c r="E147" s="18" t="s">
        <v>67</v>
      </c>
      <c r="F147" s="18" t="s">
        <v>1167</v>
      </c>
      <c r="G147" s="18" t="s">
        <v>1168</v>
      </c>
      <c r="H147" s="18" t="s">
        <v>159</v>
      </c>
      <c r="I147" s="18" t="s">
        <v>160</v>
      </c>
      <c r="J147" s="18" t="s">
        <v>161</v>
      </c>
      <c r="K147" s="18" t="s">
        <v>95</v>
      </c>
      <c r="L147" s="20" t="s">
        <v>1169</v>
      </c>
      <c r="M147" s="18" t="s">
        <v>75</v>
      </c>
      <c r="N147" s="20" t="s">
        <v>1170</v>
      </c>
      <c r="O147" s="18" t="s">
        <v>164</v>
      </c>
      <c r="P147" s="18" t="s">
        <v>78</v>
      </c>
      <c r="Q147" s="19">
        <v>44914</v>
      </c>
      <c r="R147" s="21">
        <v>14.28</v>
      </c>
      <c r="S147" s="18" t="s">
        <v>79</v>
      </c>
      <c r="T147" s="18" t="s">
        <v>174</v>
      </c>
      <c r="U147" s="18" t="s">
        <v>83</v>
      </c>
      <c r="V147" s="18" t="s">
        <v>95</v>
      </c>
      <c r="W147" s="18" t="s">
        <v>95</v>
      </c>
      <c r="X147" s="18" t="s">
        <v>118</v>
      </c>
      <c r="Y147" s="18" t="s">
        <v>85</v>
      </c>
      <c r="Z147" s="18" t="s">
        <v>86</v>
      </c>
      <c r="AA147" s="18" t="s">
        <v>119</v>
      </c>
      <c r="AB147" s="18" t="s">
        <v>760</v>
      </c>
      <c r="AC147" s="18" t="s">
        <v>761</v>
      </c>
      <c r="AD147" s="18" t="s">
        <v>85</v>
      </c>
      <c r="AE147" s="18" t="s">
        <v>90</v>
      </c>
      <c r="AF147" s="18" t="s">
        <v>177</v>
      </c>
      <c r="AG147" s="18" t="s">
        <v>139</v>
      </c>
      <c r="AH147" s="18" t="s">
        <v>165</v>
      </c>
      <c r="AI147" s="18" t="s">
        <v>94</v>
      </c>
      <c r="AJ147" s="19">
        <v>44896</v>
      </c>
      <c r="AK147" s="22" t="s">
        <v>95</v>
      </c>
      <c r="AL147" s="18" t="s">
        <v>95</v>
      </c>
      <c r="AM147" s="18" t="s">
        <v>95</v>
      </c>
      <c r="AN147" s="18" t="s">
        <v>95</v>
      </c>
      <c r="AO147" s="18" t="s">
        <v>95</v>
      </c>
      <c r="AP147" s="18" t="s">
        <v>95</v>
      </c>
      <c r="AQ147" s="18" t="s">
        <v>95</v>
      </c>
      <c r="AR147" s="18" t="s">
        <v>95</v>
      </c>
      <c r="AS147" s="18" t="s">
        <v>83</v>
      </c>
      <c r="AT147" s="18" t="s">
        <v>83</v>
      </c>
      <c r="AU147" s="18" t="s">
        <v>81</v>
      </c>
      <c r="AV147" s="18" t="s">
        <v>95</v>
      </c>
      <c r="AW147" s="18" t="s">
        <v>95</v>
      </c>
      <c r="AX147" s="18"/>
      <c r="AY147" s="18" t="str">
        <f>Pospago[[#This Row],[NUM_TELEFONICO]]&amp;"POSPAGOSI"</f>
        <v>978609369POSPAGOSI</v>
      </c>
      <c r="AZ147" s="18" t="str">
        <f>VLOOKUP(Pospago[[#This Row],[NOM_PLAZA_FINAL]],[1]!Locales[#Data],3,0)</f>
        <v>TIENDA RECREO</v>
      </c>
      <c r="BA147" s="18" t="str">
        <f>IFERROR(VLOOKUP(Pospago[[#This Row],[USUARIO]],[1]!Personal[#Data],6,0),"EJECUTIVO NO REGISTRADO")</f>
        <v>VALBUENA SANCHEZ ALBERT ANTHONY</v>
      </c>
      <c r="BB147" s="18" t="str">
        <f>Pospago[[#This Row],[TIPO_MOVIMIENTO]]&amp;" "&amp;Pospago[[#This Row],[FORMA_PAGO_FINAL]]</f>
        <v>TRANSFERENCIAS PAGO EN CAJA</v>
      </c>
      <c r="BC147" s="18">
        <f>DAY(Pospago[[#This Row],[FECHA_ALTA]])</f>
        <v>1</v>
      </c>
      <c r="BD147" s="18">
        <f>IF(Pospago[[#This Row],[TARIFA_BASICA]]=11.42,1,0)</f>
        <v>0</v>
      </c>
      <c r="BE147" s="18">
        <f>IF(Pospago[[#This Row],[PLANES TELEVENTAS]]="SI",1,0)</f>
        <v>0</v>
      </c>
      <c r="BF147" s="18">
        <f>1</f>
        <v>1</v>
      </c>
      <c r="BG147" s="18">
        <f>IF(OR(Pospago[[#This Row],[TARIFA_BASICA]]=11.42,Pospago[[#This Row],[PLANES TELEVENTAS]]="SI"),1,0)</f>
        <v>0</v>
      </c>
      <c r="BH147" s="18" t="str">
        <f>IF(MID(Pospago[[#This Row],[PlanDesc]],1,4) = "PLAN","POSPAGO",IF(MID(Pospago[[#This Row],[PlanDesc]],1,4)="FULL","FULL MEGAS","PREVIOPAGO"))</f>
        <v>PREVIOPAGO</v>
      </c>
      <c r="BI1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7" s="21">
        <f>Pospago[[#This Row],[TARIFA_BASICA]]*1.5</f>
        <v>21.419999999999998</v>
      </c>
    </row>
    <row r="148" spans="1:63" x14ac:dyDescent="0.25">
      <c r="A148" s="18" t="s">
        <v>64</v>
      </c>
      <c r="B148" s="18" t="s">
        <v>1171</v>
      </c>
      <c r="C148" s="18" t="s">
        <v>1172</v>
      </c>
      <c r="D148" s="19">
        <v>44896</v>
      </c>
      <c r="E148" s="18" t="s">
        <v>67</v>
      </c>
      <c r="F148" s="18" t="s">
        <v>1173</v>
      </c>
      <c r="G148" s="18" t="s">
        <v>1174</v>
      </c>
      <c r="H148" s="18" t="s">
        <v>70</v>
      </c>
      <c r="I148" s="18" t="s">
        <v>574</v>
      </c>
      <c r="J148" s="18" t="s">
        <v>575</v>
      </c>
      <c r="K148" s="18" t="s">
        <v>73</v>
      </c>
      <c r="L148" s="20" t="s">
        <v>1175</v>
      </c>
      <c r="M148" s="18" t="s">
        <v>75</v>
      </c>
      <c r="N148" s="20" t="s">
        <v>1176</v>
      </c>
      <c r="O148" s="18" t="s">
        <v>77</v>
      </c>
      <c r="P148" s="18" t="s">
        <v>78</v>
      </c>
      <c r="Q148" s="19">
        <v>44914</v>
      </c>
      <c r="R148" s="21">
        <v>17.850000000000001</v>
      </c>
      <c r="S148" s="18" t="s">
        <v>79</v>
      </c>
      <c r="T148" s="18" t="s">
        <v>174</v>
      </c>
      <c r="U148" s="18" t="s">
        <v>83</v>
      </c>
      <c r="V148" s="18" t="s">
        <v>95</v>
      </c>
      <c r="W148" s="18" t="s">
        <v>83</v>
      </c>
      <c r="X148" s="18" t="s">
        <v>84</v>
      </c>
      <c r="Y148" s="18" t="s">
        <v>85</v>
      </c>
      <c r="Z148" s="18" t="s">
        <v>86</v>
      </c>
      <c r="AA148" s="18" t="s">
        <v>87</v>
      </c>
      <c r="AB148" s="18" t="s">
        <v>262</v>
      </c>
      <c r="AC148" s="18" t="s">
        <v>263</v>
      </c>
      <c r="AD148" s="18" t="s">
        <v>85</v>
      </c>
      <c r="AE148" s="18" t="s">
        <v>90</v>
      </c>
      <c r="AF148" s="18" t="s">
        <v>177</v>
      </c>
      <c r="AG148" s="18" t="s">
        <v>139</v>
      </c>
      <c r="AH148" s="18" t="s">
        <v>93</v>
      </c>
      <c r="AI148" s="18" t="s">
        <v>94</v>
      </c>
      <c r="AJ148" s="19">
        <v>44896</v>
      </c>
      <c r="AK148" s="22" t="s">
        <v>95</v>
      </c>
      <c r="AL148" s="18" t="s">
        <v>95</v>
      </c>
      <c r="AM148" s="18" t="s">
        <v>95</v>
      </c>
      <c r="AN148" s="18" t="s">
        <v>95</v>
      </c>
      <c r="AO148" s="18" t="s">
        <v>95</v>
      </c>
      <c r="AP148" s="18" t="s">
        <v>95</v>
      </c>
      <c r="AQ148" s="18" t="s">
        <v>95</v>
      </c>
      <c r="AR148" s="18" t="s">
        <v>95</v>
      </c>
      <c r="AS148" s="18" t="s">
        <v>83</v>
      </c>
      <c r="AT148" s="18" t="s">
        <v>83</v>
      </c>
      <c r="AU148" s="18" t="s">
        <v>83</v>
      </c>
      <c r="AV148" s="18" t="s">
        <v>95</v>
      </c>
      <c r="AW148" s="18" t="s">
        <v>95</v>
      </c>
      <c r="AX148" s="18"/>
      <c r="AY148" s="18" t="str">
        <f>Pospago[[#This Row],[NUM_TELEFONICO]]&amp;"POSPAGOSI"</f>
        <v>978728018POSPAGOSI</v>
      </c>
      <c r="AZ148" s="18" t="str">
        <f>VLOOKUP(Pospago[[#This Row],[NOM_PLAZA_FINAL]],[1]!Locales[#Data],3,0)</f>
        <v>TIENDA RECREO</v>
      </c>
      <c r="BA148" s="18" t="str">
        <f>IFERROR(VLOOKUP(Pospago[[#This Row],[USUARIO]],[1]!Personal[#Data],6,0),"EJECUTIVO NO REGISTRADO")</f>
        <v>CHICAIZA TOAPANTA ALEX DANILO</v>
      </c>
      <c r="BB148" s="18" t="str">
        <f>Pospago[[#This Row],[TIPO_MOVIMIENTO]]&amp;" "&amp;Pospago[[#This Row],[FORMA_PAGO_FINAL]]</f>
        <v>ALTAS DOMICILIADO</v>
      </c>
      <c r="BC148" s="18">
        <f>DAY(Pospago[[#This Row],[FECHA_ALTA]])</f>
        <v>1</v>
      </c>
      <c r="BD148" s="18">
        <f>IF(Pospago[[#This Row],[TARIFA_BASICA]]=11.42,1,0)</f>
        <v>0</v>
      </c>
      <c r="BE148" s="18">
        <f>IF(Pospago[[#This Row],[PLANES TELEVENTAS]]="SI",1,0)</f>
        <v>0</v>
      </c>
      <c r="BF148" s="18">
        <f>1</f>
        <v>1</v>
      </c>
      <c r="BG148" s="18">
        <f>IF(OR(Pospago[[#This Row],[TARIFA_BASICA]]=11.42,Pospago[[#This Row],[PLANES TELEVENTAS]]="SI"),1,0)</f>
        <v>0</v>
      </c>
      <c r="BH148" s="18" t="str">
        <f>IF(MID(Pospago[[#This Row],[PlanDesc]],1,4) = "PLAN","POSPAGO",IF(MID(Pospago[[#This Row],[PlanDesc]],1,4)="FULL","FULL MEGAS","PREVIOPAGO"))</f>
        <v>POSPAGO</v>
      </c>
      <c r="BI1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8" s="21">
        <f>Pospago[[#This Row],[TARIFA_BASICA]]*1.5</f>
        <v>26.775000000000002</v>
      </c>
    </row>
    <row r="149" spans="1:63" x14ac:dyDescent="0.25">
      <c r="A149" s="18" t="s">
        <v>64</v>
      </c>
      <c r="B149" s="18" t="s">
        <v>1177</v>
      </c>
      <c r="C149" s="18" t="s">
        <v>1178</v>
      </c>
      <c r="D149" s="19">
        <v>44909</v>
      </c>
      <c r="E149" s="18" t="s">
        <v>67</v>
      </c>
      <c r="F149" s="18" t="s">
        <v>1179</v>
      </c>
      <c r="G149" s="18" t="s">
        <v>1180</v>
      </c>
      <c r="H149" s="18" t="s">
        <v>70</v>
      </c>
      <c r="I149" s="18" t="s">
        <v>160</v>
      </c>
      <c r="J149" s="18" t="s">
        <v>195</v>
      </c>
      <c r="K149" s="18" t="s">
        <v>132</v>
      </c>
      <c r="L149" s="20" t="s">
        <v>1181</v>
      </c>
      <c r="M149" s="18" t="s">
        <v>75</v>
      </c>
      <c r="N149" s="20" t="s">
        <v>1182</v>
      </c>
      <c r="O149" s="18" t="s">
        <v>77</v>
      </c>
      <c r="P149" s="18" t="s">
        <v>78</v>
      </c>
      <c r="Q149" s="19">
        <v>44914</v>
      </c>
      <c r="R149" s="21">
        <v>14.28</v>
      </c>
      <c r="S149" s="18" t="s">
        <v>79</v>
      </c>
      <c r="T149" s="18" t="s">
        <v>232</v>
      </c>
      <c r="U149" s="18" t="s">
        <v>81</v>
      </c>
      <c r="V149" s="18" t="s">
        <v>1029</v>
      </c>
      <c r="W149" s="18" t="s">
        <v>83</v>
      </c>
      <c r="X149" s="18" t="s">
        <v>84</v>
      </c>
      <c r="Y149" s="18" t="s">
        <v>85</v>
      </c>
      <c r="Z149" s="18" t="s">
        <v>86</v>
      </c>
      <c r="AA149" s="18" t="s">
        <v>87</v>
      </c>
      <c r="AB149" s="18" t="s">
        <v>233</v>
      </c>
      <c r="AC149" s="18" t="s">
        <v>234</v>
      </c>
      <c r="AD149" s="18" t="s">
        <v>85</v>
      </c>
      <c r="AE149" s="18" t="s">
        <v>90</v>
      </c>
      <c r="AF149" s="18" t="s">
        <v>235</v>
      </c>
      <c r="AG149" s="18" t="s">
        <v>139</v>
      </c>
      <c r="AH149" s="18" t="s">
        <v>93</v>
      </c>
      <c r="AI149" s="18" t="s">
        <v>94</v>
      </c>
      <c r="AJ149" s="19">
        <v>44909</v>
      </c>
      <c r="AK149" s="22" t="s">
        <v>95</v>
      </c>
      <c r="AL149" s="18" t="s">
        <v>95</v>
      </c>
      <c r="AM149" s="18" t="s">
        <v>95</v>
      </c>
      <c r="AN149" s="18" t="s">
        <v>95</v>
      </c>
      <c r="AO149" s="18" t="s">
        <v>95</v>
      </c>
      <c r="AP149" s="18" t="s">
        <v>95</v>
      </c>
      <c r="AQ149" s="18" t="s">
        <v>95</v>
      </c>
      <c r="AR149" s="18" t="s">
        <v>95</v>
      </c>
      <c r="AS149" s="18" t="s">
        <v>83</v>
      </c>
      <c r="AT149" s="18" t="s">
        <v>83</v>
      </c>
      <c r="AU149" s="18" t="s">
        <v>81</v>
      </c>
      <c r="AV149" s="18" t="s">
        <v>95</v>
      </c>
      <c r="AW149" s="18" t="s">
        <v>95</v>
      </c>
      <c r="AX149" s="18"/>
      <c r="AY149" s="18" t="str">
        <f>Pospago[[#This Row],[NUM_TELEFONICO]]&amp;"POSPAGOSI"</f>
        <v>978773976POSPAGOSI</v>
      </c>
      <c r="AZ149" s="18" t="str">
        <f>VLOOKUP(Pospago[[#This Row],[NOM_PLAZA_FINAL]],[1]!Locales[#Data],3,0)</f>
        <v>TIENDA CONDADO</v>
      </c>
      <c r="BA149" s="18" t="str">
        <f>IFERROR(VLOOKUP(Pospago[[#This Row],[USUARIO]],[1]!Personal[#Data],6,0),"EJECUTIVO NO REGISTRADO")</f>
        <v>ROSALES MALDONADO JESSICA GABRIELA</v>
      </c>
      <c r="BB149" s="18" t="str">
        <f>Pospago[[#This Row],[TIPO_MOVIMIENTO]]&amp;" "&amp;Pospago[[#This Row],[FORMA_PAGO_FINAL]]</f>
        <v>ALTAS DOMICILIADO</v>
      </c>
      <c r="BC149" s="18">
        <f>DAY(Pospago[[#This Row],[FECHA_ALTA]])</f>
        <v>14</v>
      </c>
      <c r="BD149" s="18">
        <f>IF(Pospago[[#This Row],[TARIFA_BASICA]]=11.42,1,0)</f>
        <v>0</v>
      </c>
      <c r="BE149" s="18">
        <f>IF(Pospago[[#This Row],[PLANES TELEVENTAS]]="SI",1,0)</f>
        <v>0</v>
      </c>
      <c r="BF149" s="18">
        <f>1</f>
        <v>1</v>
      </c>
      <c r="BG149" s="18">
        <f>IF(OR(Pospago[[#This Row],[TARIFA_BASICA]]=11.42,Pospago[[#This Row],[PLANES TELEVENTAS]]="SI"),1,0)</f>
        <v>0</v>
      </c>
      <c r="BH149" s="18" t="str">
        <f>IF(MID(Pospago[[#This Row],[PlanDesc]],1,4) = "PLAN","POSPAGO",IF(MID(Pospago[[#This Row],[PlanDesc]],1,4)="FULL","FULL MEGAS","PREVIOPAGO"))</f>
        <v>PREVIOPAGO</v>
      </c>
      <c r="BI1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49" s="21">
        <f>Pospago[[#This Row],[TARIFA_BASICA]]*1.5</f>
        <v>21.419999999999998</v>
      </c>
    </row>
    <row r="150" spans="1:63" x14ac:dyDescent="0.25">
      <c r="A150" s="18" t="s">
        <v>64</v>
      </c>
      <c r="B150" s="18" t="s">
        <v>1183</v>
      </c>
      <c r="C150" s="18" t="s">
        <v>1184</v>
      </c>
      <c r="D150" s="19">
        <v>44909</v>
      </c>
      <c r="E150" s="18" t="s">
        <v>67</v>
      </c>
      <c r="F150" s="18" t="s">
        <v>1185</v>
      </c>
      <c r="G150" s="18" t="s">
        <v>1186</v>
      </c>
      <c r="H150" s="18" t="s">
        <v>70</v>
      </c>
      <c r="I150" s="18" t="s">
        <v>359</v>
      </c>
      <c r="J150" s="18" t="s">
        <v>360</v>
      </c>
      <c r="K150" s="18" t="s">
        <v>73</v>
      </c>
      <c r="L150" s="20" t="s">
        <v>1187</v>
      </c>
      <c r="M150" s="18" t="s">
        <v>75</v>
      </c>
      <c r="N150" s="20" t="s">
        <v>1188</v>
      </c>
      <c r="O150" s="18" t="s">
        <v>77</v>
      </c>
      <c r="P150" s="18" t="s">
        <v>78</v>
      </c>
      <c r="Q150" s="19">
        <v>44914</v>
      </c>
      <c r="R150" s="21">
        <v>14.28</v>
      </c>
      <c r="S150" s="18" t="s">
        <v>79</v>
      </c>
      <c r="T150" s="18" t="s">
        <v>80</v>
      </c>
      <c r="U150" s="18" t="s">
        <v>83</v>
      </c>
      <c r="V150" s="18" t="s">
        <v>95</v>
      </c>
      <c r="W150" s="18" t="s">
        <v>83</v>
      </c>
      <c r="X150" s="18" t="s">
        <v>84</v>
      </c>
      <c r="Y150" s="18" t="s">
        <v>85</v>
      </c>
      <c r="Z150" s="18" t="s">
        <v>86</v>
      </c>
      <c r="AA150" s="18" t="s">
        <v>87</v>
      </c>
      <c r="AB150" s="18" t="s">
        <v>242</v>
      </c>
      <c r="AC150" s="18" t="s">
        <v>243</v>
      </c>
      <c r="AD150" s="18" t="s">
        <v>85</v>
      </c>
      <c r="AE150" s="18" t="s">
        <v>90</v>
      </c>
      <c r="AF150" s="18" t="s">
        <v>91</v>
      </c>
      <c r="AG150" s="18" t="s">
        <v>92</v>
      </c>
      <c r="AH150" s="18" t="s">
        <v>93</v>
      </c>
      <c r="AI150" s="18" t="s">
        <v>94</v>
      </c>
      <c r="AJ150" s="19">
        <v>44909</v>
      </c>
      <c r="AK150" s="22" t="s">
        <v>95</v>
      </c>
      <c r="AL150" s="18" t="s">
        <v>95</v>
      </c>
      <c r="AM150" s="18" t="s">
        <v>95</v>
      </c>
      <c r="AN150" s="18" t="s">
        <v>95</v>
      </c>
      <c r="AO150" s="18" t="s">
        <v>95</v>
      </c>
      <c r="AP150" s="18" t="s">
        <v>95</v>
      </c>
      <c r="AQ150" s="18" t="s">
        <v>95</v>
      </c>
      <c r="AR150" s="18" t="s">
        <v>95</v>
      </c>
      <c r="AS150" s="18" t="s">
        <v>83</v>
      </c>
      <c r="AT150" s="18" t="s">
        <v>83</v>
      </c>
      <c r="AU150" s="18" t="s">
        <v>83</v>
      </c>
      <c r="AV150" s="18" t="s">
        <v>95</v>
      </c>
      <c r="AW150" s="18" t="s">
        <v>95</v>
      </c>
      <c r="AX150" s="18"/>
      <c r="AY150" s="18" t="str">
        <f>Pospago[[#This Row],[NUM_TELEFONICO]]&amp;"POSPAGOSI"</f>
        <v>979004094POSPAGOSI</v>
      </c>
      <c r="AZ150" s="18" t="str">
        <f>VLOOKUP(Pospago[[#This Row],[NOM_PLAZA_FINAL]],[1]!Locales[#Data],3,0)</f>
        <v>TIENDA CUENCA CENTRO</v>
      </c>
      <c r="BA150" s="18" t="str">
        <f>IFERROR(VLOOKUP(Pospago[[#This Row],[USUARIO]],[1]!Personal[#Data],6,0),"EJECUTIVO NO REGISTRADO")</f>
        <v>VALLEJO DELEG ROMAN NICOLAS</v>
      </c>
      <c r="BB150" s="18" t="str">
        <f>Pospago[[#This Row],[TIPO_MOVIMIENTO]]&amp;" "&amp;Pospago[[#This Row],[FORMA_PAGO_FINAL]]</f>
        <v>ALTAS DOMICILIADO</v>
      </c>
      <c r="BC150" s="18">
        <f>DAY(Pospago[[#This Row],[FECHA_ALTA]])</f>
        <v>14</v>
      </c>
      <c r="BD150" s="18">
        <f>IF(Pospago[[#This Row],[TARIFA_BASICA]]=11.42,1,0)</f>
        <v>0</v>
      </c>
      <c r="BE150" s="18">
        <f>IF(Pospago[[#This Row],[PLANES TELEVENTAS]]="SI",1,0)</f>
        <v>0</v>
      </c>
      <c r="BF150" s="18">
        <f>1</f>
        <v>1</v>
      </c>
      <c r="BG150" s="18">
        <f>IF(OR(Pospago[[#This Row],[TARIFA_BASICA]]=11.42,Pospago[[#This Row],[PLANES TELEVENTAS]]="SI"),1,0)</f>
        <v>0</v>
      </c>
      <c r="BH150" s="18" t="str">
        <f>IF(MID(Pospago[[#This Row],[PlanDesc]],1,4) = "PLAN","POSPAGO",IF(MID(Pospago[[#This Row],[PlanDesc]],1,4)="FULL","FULL MEGAS","PREVIOPAGO"))</f>
        <v>POSPAGO</v>
      </c>
      <c r="BI1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50" s="21">
        <f>Pospago[[#This Row],[TARIFA_BASICA]]*1.5</f>
        <v>21.419999999999998</v>
      </c>
    </row>
    <row r="151" spans="1:63" x14ac:dyDescent="0.25">
      <c r="A151" s="18" t="s">
        <v>154</v>
      </c>
      <c r="B151" s="18" t="s">
        <v>1189</v>
      </c>
      <c r="C151" s="18" t="s">
        <v>1190</v>
      </c>
      <c r="D151" s="19">
        <v>44908</v>
      </c>
      <c r="E151" s="18" t="s">
        <v>67</v>
      </c>
      <c r="F151" s="18" t="s">
        <v>1191</v>
      </c>
      <c r="G151" s="18" t="s">
        <v>1192</v>
      </c>
      <c r="H151" s="18" t="s">
        <v>159</v>
      </c>
      <c r="I151" s="18" t="s">
        <v>160</v>
      </c>
      <c r="J151" s="18" t="s">
        <v>161</v>
      </c>
      <c r="K151" s="18" t="s">
        <v>95</v>
      </c>
      <c r="L151" s="20" t="s">
        <v>1193</v>
      </c>
      <c r="M151" s="18" t="s">
        <v>75</v>
      </c>
      <c r="N151" s="20" t="s">
        <v>1194</v>
      </c>
      <c r="O151" s="18" t="s">
        <v>164</v>
      </c>
      <c r="P151" s="18" t="s">
        <v>78</v>
      </c>
      <c r="Q151" s="19">
        <v>44914</v>
      </c>
      <c r="R151" s="21">
        <v>14.28</v>
      </c>
      <c r="S151" s="18" t="s">
        <v>79</v>
      </c>
      <c r="T151" s="18" t="s">
        <v>174</v>
      </c>
      <c r="U151" s="18" t="s">
        <v>83</v>
      </c>
      <c r="V151" s="18" t="s">
        <v>95</v>
      </c>
      <c r="W151" s="18" t="s">
        <v>95</v>
      </c>
      <c r="X151" s="18" t="s">
        <v>84</v>
      </c>
      <c r="Y151" s="18" t="s">
        <v>85</v>
      </c>
      <c r="Z151" s="18" t="s">
        <v>86</v>
      </c>
      <c r="AA151" s="18" t="s">
        <v>87</v>
      </c>
      <c r="AB151" s="18" t="s">
        <v>369</v>
      </c>
      <c r="AC151" s="18" t="s">
        <v>370</v>
      </c>
      <c r="AD151" s="18" t="s">
        <v>85</v>
      </c>
      <c r="AE151" s="18" t="s">
        <v>90</v>
      </c>
      <c r="AF151" s="18" t="s">
        <v>177</v>
      </c>
      <c r="AG151" s="18" t="s">
        <v>139</v>
      </c>
      <c r="AH151" s="18" t="s">
        <v>165</v>
      </c>
      <c r="AI151" s="18" t="s">
        <v>94</v>
      </c>
      <c r="AJ151" s="19">
        <v>44908</v>
      </c>
      <c r="AK151" s="22" t="s">
        <v>95</v>
      </c>
      <c r="AL151" s="18" t="s">
        <v>95</v>
      </c>
      <c r="AM151" s="18" t="s">
        <v>95</v>
      </c>
      <c r="AN151" s="18" t="s">
        <v>95</v>
      </c>
      <c r="AO151" s="18" t="s">
        <v>95</v>
      </c>
      <c r="AP151" s="18" t="s">
        <v>95</v>
      </c>
      <c r="AQ151" s="18" t="s">
        <v>95</v>
      </c>
      <c r="AR151" s="18" t="s">
        <v>95</v>
      </c>
      <c r="AS151" s="18" t="s">
        <v>83</v>
      </c>
      <c r="AT151" s="18" t="s">
        <v>83</v>
      </c>
      <c r="AU151" s="18" t="s">
        <v>81</v>
      </c>
      <c r="AV151" s="18" t="s">
        <v>95</v>
      </c>
      <c r="AW151" s="18" t="s">
        <v>95</v>
      </c>
      <c r="AX151" s="18"/>
      <c r="AY151" s="18" t="str">
        <f>Pospago[[#This Row],[NUM_TELEFONICO]]&amp;"POSPAGOSI"</f>
        <v>979027584POSPAGOSI</v>
      </c>
      <c r="AZ151" s="18" t="str">
        <f>VLOOKUP(Pospago[[#This Row],[NOM_PLAZA_FINAL]],[1]!Locales[#Data],3,0)</f>
        <v>TIENDA RECREO</v>
      </c>
      <c r="BA151" s="18" t="str">
        <f>IFERROR(VLOOKUP(Pospago[[#This Row],[USUARIO]],[1]!Personal[#Data],6,0),"EJECUTIVO NO REGISTRADO")</f>
        <v>GUAIGUA REINOSO GENESIS CAROLINA</v>
      </c>
      <c r="BB151" s="18" t="str">
        <f>Pospago[[#This Row],[TIPO_MOVIMIENTO]]&amp;" "&amp;Pospago[[#This Row],[FORMA_PAGO_FINAL]]</f>
        <v>TRANSFERENCIAS DOMICILIADO</v>
      </c>
      <c r="BC151" s="18">
        <f>DAY(Pospago[[#This Row],[FECHA_ALTA]])</f>
        <v>13</v>
      </c>
      <c r="BD151" s="18">
        <f>IF(Pospago[[#This Row],[TARIFA_BASICA]]=11.42,1,0)</f>
        <v>0</v>
      </c>
      <c r="BE151" s="18">
        <f>IF(Pospago[[#This Row],[PLANES TELEVENTAS]]="SI",1,0)</f>
        <v>0</v>
      </c>
      <c r="BF151" s="18">
        <f>1</f>
        <v>1</v>
      </c>
      <c r="BG151" s="18">
        <f>IF(OR(Pospago[[#This Row],[TARIFA_BASICA]]=11.42,Pospago[[#This Row],[PLANES TELEVENTAS]]="SI"),1,0)</f>
        <v>0</v>
      </c>
      <c r="BH151" s="18" t="str">
        <f>IF(MID(Pospago[[#This Row],[PlanDesc]],1,4) = "PLAN","POSPAGO",IF(MID(Pospago[[#This Row],[PlanDesc]],1,4)="FULL","FULL MEGAS","PREVIOPAGO"))</f>
        <v>PREVIOPAGO</v>
      </c>
      <c r="BI1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51" s="21">
        <f>Pospago[[#This Row],[TARIFA_BASICA]]*1.5</f>
        <v>21.419999999999998</v>
      </c>
    </row>
    <row r="152" spans="1:63" x14ac:dyDescent="0.25">
      <c r="A152" s="18" t="s">
        <v>64</v>
      </c>
      <c r="B152" s="18" t="s">
        <v>1195</v>
      </c>
      <c r="C152" s="18" t="s">
        <v>1196</v>
      </c>
      <c r="D152" s="19">
        <v>44911</v>
      </c>
      <c r="E152" s="18" t="s">
        <v>67</v>
      </c>
      <c r="F152" s="18" t="s">
        <v>1197</v>
      </c>
      <c r="G152" s="18" t="s">
        <v>1198</v>
      </c>
      <c r="H152" s="18" t="s">
        <v>70</v>
      </c>
      <c r="I152" s="18" t="s">
        <v>71</v>
      </c>
      <c r="J152" s="18" t="s">
        <v>72</v>
      </c>
      <c r="K152" s="18" t="s">
        <v>73</v>
      </c>
      <c r="L152" s="20" t="s">
        <v>1199</v>
      </c>
      <c r="M152" s="18" t="s">
        <v>75</v>
      </c>
      <c r="N152" s="20" t="s">
        <v>1200</v>
      </c>
      <c r="O152" s="18" t="s">
        <v>77</v>
      </c>
      <c r="P152" s="18" t="s">
        <v>78</v>
      </c>
      <c r="Q152" s="19">
        <v>44914</v>
      </c>
      <c r="R152" s="21">
        <v>11.42</v>
      </c>
      <c r="S152" s="18" t="s">
        <v>79</v>
      </c>
      <c r="T152" s="18" t="s">
        <v>148</v>
      </c>
      <c r="U152" s="18" t="s">
        <v>83</v>
      </c>
      <c r="V152" s="18" t="s">
        <v>95</v>
      </c>
      <c r="W152" s="18" t="s">
        <v>83</v>
      </c>
      <c r="X152" s="18" t="s">
        <v>118</v>
      </c>
      <c r="Y152" s="18" t="s">
        <v>85</v>
      </c>
      <c r="Z152" s="18" t="s">
        <v>86</v>
      </c>
      <c r="AA152" s="18" t="s">
        <v>119</v>
      </c>
      <c r="AB152" s="18" t="s">
        <v>420</v>
      </c>
      <c r="AC152" s="18" t="s">
        <v>421</v>
      </c>
      <c r="AD152" s="18" t="s">
        <v>85</v>
      </c>
      <c r="AE152" s="18" t="s">
        <v>90</v>
      </c>
      <c r="AF152" s="18" t="s">
        <v>151</v>
      </c>
      <c r="AG152" s="18" t="s">
        <v>92</v>
      </c>
      <c r="AH152" s="18" t="s">
        <v>93</v>
      </c>
      <c r="AI152" s="18" t="s">
        <v>94</v>
      </c>
      <c r="AJ152" s="19">
        <v>44911</v>
      </c>
      <c r="AK152" s="22" t="s">
        <v>95</v>
      </c>
      <c r="AL152" s="18" t="s">
        <v>95</v>
      </c>
      <c r="AM152" s="18" t="s">
        <v>95</v>
      </c>
      <c r="AN152" s="18" t="s">
        <v>95</v>
      </c>
      <c r="AO152" s="18" t="s">
        <v>95</v>
      </c>
      <c r="AP152" s="18" t="s">
        <v>95</v>
      </c>
      <c r="AQ152" s="18" t="s">
        <v>95</v>
      </c>
      <c r="AR152" s="18" t="s">
        <v>95</v>
      </c>
      <c r="AS152" s="18" t="s">
        <v>83</v>
      </c>
      <c r="AT152" s="18" t="s">
        <v>83</v>
      </c>
      <c r="AU152" s="18" t="s">
        <v>81</v>
      </c>
      <c r="AV152" s="18" t="s">
        <v>95</v>
      </c>
      <c r="AW152" s="18" t="s">
        <v>95</v>
      </c>
      <c r="AX152" s="18"/>
      <c r="AY152" s="18" t="str">
        <f>Pospago[[#This Row],[NUM_TELEFONICO]]&amp;"POSPAGOSI"</f>
        <v>979051091POSPAGOSI</v>
      </c>
      <c r="AZ152" s="18" t="str">
        <f>VLOOKUP(Pospago[[#This Row],[NOM_PLAZA_FINAL]],[1]!Locales[#Data],3,0)</f>
        <v>TIENDA CUENCA REMIGIO</v>
      </c>
      <c r="BA152" s="18" t="str">
        <f>IFERROR(VLOOKUP(Pospago[[#This Row],[USUARIO]],[1]!Personal[#Data],6,0),"EJECUTIVO NO REGISTRADO")</f>
        <v>YEPEZ PALOMEQUE DIANA PATRICIA</v>
      </c>
      <c r="BB152" s="18" t="str">
        <f>Pospago[[#This Row],[TIPO_MOVIMIENTO]]&amp;" "&amp;Pospago[[#This Row],[FORMA_PAGO_FINAL]]</f>
        <v>ALTAS PAGO EN CAJA</v>
      </c>
      <c r="BC152" s="18">
        <f>DAY(Pospago[[#This Row],[FECHA_ALTA]])</f>
        <v>16</v>
      </c>
      <c r="BD152" s="18">
        <f>IF(Pospago[[#This Row],[TARIFA_BASICA]]=11.42,1,0)</f>
        <v>1</v>
      </c>
      <c r="BE152" s="18">
        <f>IF(Pospago[[#This Row],[PLANES TELEVENTAS]]="SI",1,0)</f>
        <v>0</v>
      </c>
      <c r="BF152" s="18">
        <f>1</f>
        <v>1</v>
      </c>
      <c r="BG152" s="18">
        <f>IF(OR(Pospago[[#This Row],[TARIFA_BASICA]]=11.42,Pospago[[#This Row],[PLANES TELEVENTAS]]="SI"),1,0)</f>
        <v>1</v>
      </c>
      <c r="BH152" s="18" t="str">
        <f>IF(MID(Pospago[[#This Row],[PlanDesc]],1,4) = "PLAN","POSPAGO",IF(MID(Pospago[[#This Row],[PlanDesc]],1,4)="FULL","FULL MEGAS","PREVIOPAGO"))</f>
        <v>PREVIOPAGO</v>
      </c>
      <c r="BI1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52" s="21">
        <f>Pospago[[#This Row],[TARIFA_BASICA]]*1.5</f>
        <v>17.13</v>
      </c>
    </row>
    <row r="153" spans="1:63" x14ac:dyDescent="0.25">
      <c r="A153" s="18" t="s">
        <v>64</v>
      </c>
      <c r="B153" s="18" t="s">
        <v>1201</v>
      </c>
      <c r="C153" s="18" t="s">
        <v>1202</v>
      </c>
      <c r="D153" s="19">
        <v>44896</v>
      </c>
      <c r="E153" s="18" t="s">
        <v>67</v>
      </c>
      <c r="F153" s="18" t="s">
        <v>1203</v>
      </c>
      <c r="G153" s="18" t="s">
        <v>1204</v>
      </c>
      <c r="H153" s="18" t="s">
        <v>70</v>
      </c>
      <c r="I153" s="18" t="s">
        <v>71</v>
      </c>
      <c r="J153" s="18" t="s">
        <v>72</v>
      </c>
      <c r="K153" s="18" t="s">
        <v>73</v>
      </c>
      <c r="L153" s="20" t="s">
        <v>1205</v>
      </c>
      <c r="M153" s="18" t="s">
        <v>75</v>
      </c>
      <c r="N153" s="20" t="s">
        <v>1206</v>
      </c>
      <c r="O153" s="18" t="s">
        <v>77</v>
      </c>
      <c r="P153" s="18" t="s">
        <v>78</v>
      </c>
      <c r="Q153" s="19">
        <v>44914</v>
      </c>
      <c r="R153" s="21">
        <v>11.42</v>
      </c>
      <c r="S153" s="18" t="s">
        <v>79</v>
      </c>
      <c r="T153" s="18" t="s">
        <v>80</v>
      </c>
      <c r="U153" s="18" t="s">
        <v>83</v>
      </c>
      <c r="V153" s="18" t="s">
        <v>95</v>
      </c>
      <c r="W153" s="18" t="s">
        <v>83</v>
      </c>
      <c r="X153" s="18" t="s">
        <v>84</v>
      </c>
      <c r="Y153" s="18" t="s">
        <v>85</v>
      </c>
      <c r="Z153" s="18" t="s">
        <v>86</v>
      </c>
      <c r="AA153" s="18" t="s">
        <v>87</v>
      </c>
      <c r="AB153" s="18" t="s">
        <v>1020</v>
      </c>
      <c r="AC153" s="18" t="s">
        <v>1021</v>
      </c>
      <c r="AD153" s="18" t="s">
        <v>85</v>
      </c>
      <c r="AE153" s="18" t="s">
        <v>90</v>
      </c>
      <c r="AF153" s="18" t="s">
        <v>91</v>
      </c>
      <c r="AG153" s="18" t="s">
        <v>92</v>
      </c>
      <c r="AH153" s="18" t="s">
        <v>93</v>
      </c>
      <c r="AI153" s="18" t="s">
        <v>94</v>
      </c>
      <c r="AJ153" s="19">
        <v>44896</v>
      </c>
      <c r="AK153" s="22" t="s">
        <v>95</v>
      </c>
      <c r="AL153" s="18" t="s">
        <v>95</v>
      </c>
      <c r="AM153" s="18" t="s">
        <v>95</v>
      </c>
      <c r="AN153" s="18" t="s">
        <v>95</v>
      </c>
      <c r="AO153" s="18" t="s">
        <v>95</v>
      </c>
      <c r="AP153" s="18" t="s">
        <v>95</v>
      </c>
      <c r="AQ153" s="18" t="s">
        <v>95</v>
      </c>
      <c r="AR153" s="18" t="s">
        <v>95</v>
      </c>
      <c r="AS153" s="18" t="s">
        <v>83</v>
      </c>
      <c r="AT153" s="18" t="s">
        <v>83</v>
      </c>
      <c r="AU153" s="18" t="s">
        <v>81</v>
      </c>
      <c r="AV153" s="18" t="s">
        <v>95</v>
      </c>
      <c r="AW153" s="18" t="s">
        <v>95</v>
      </c>
      <c r="AX153" s="18"/>
      <c r="AY153" s="18" t="str">
        <f>Pospago[[#This Row],[NUM_TELEFONICO]]&amp;"POSPAGOSI"</f>
        <v>979053876POSPAGOSI</v>
      </c>
      <c r="AZ153" s="18" t="str">
        <f>VLOOKUP(Pospago[[#This Row],[NOM_PLAZA_FINAL]],[1]!Locales[#Data],3,0)</f>
        <v>TIENDA CUENCA CENTRO</v>
      </c>
      <c r="BA153" s="18" t="str">
        <f>IFERROR(VLOOKUP(Pospago[[#This Row],[USUARIO]],[1]!Personal[#Data],6,0),"EJECUTIVO NO REGISTRADO")</f>
        <v>GONZALES ALVARRACIN PAOLA YESSENIA</v>
      </c>
      <c r="BB153" s="18" t="str">
        <f>Pospago[[#This Row],[TIPO_MOVIMIENTO]]&amp;" "&amp;Pospago[[#This Row],[FORMA_PAGO_FINAL]]</f>
        <v>ALTAS DOMICILIADO</v>
      </c>
      <c r="BC153" s="18">
        <f>DAY(Pospago[[#This Row],[FECHA_ALTA]])</f>
        <v>1</v>
      </c>
      <c r="BD153" s="18">
        <f>IF(Pospago[[#This Row],[TARIFA_BASICA]]=11.42,1,0)</f>
        <v>1</v>
      </c>
      <c r="BE153" s="18">
        <f>IF(Pospago[[#This Row],[PLANES TELEVENTAS]]="SI",1,0)</f>
        <v>0</v>
      </c>
      <c r="BF153" s="18">
        <f>1</f>
        <v>1</v>
      </c>
      <c r="BG153" s="18">
        <f>IF(OR(Pospago[[#This Row],[TARIFA_BASICA]]=11.42,Pospago[[#This Row],[PLANES TELEVENTAS]]="SI"),1,0)</f>
        <v>1</v>
      </c>
      <c r="BH153" s="18" t="str">
        <f>IF(MID(Pospago[[#This Row],[PlanDesc]],1,4) = "PLAN","POSPAGO",IF(MID(Pospago[[#This Row],[PlanDesc]],1,4)="FULL","FULL MEGAS","PREVIOPAGO"))</f>
        <v>PREVIOPAGO</v>
      </c>
      <c r="BI1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1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53" s="21">
        <f>Pospago[[#This Row],[TARIFA_BASICA]]*1.5</f>
        <v>17.13</v>
      </c>
    </row>
    <row r="154" spans="1:63" x14ac:dyDescent="0.25">
      <c r="A154" s="18" t="s">
        <v>64</v>
      </c>
      <c r="B154" s="18" t="s">
        <v>1207</v>
      </c>
      <c r="C154" s="18" t="s">
        <v>1208</v>
      </c>
      <c r="D154" s="19">
        <v>44911</v>
      </c>
      <c r="E154" s="18" t="s">
        <v>67</v>
      </c>
      <c r="F154" s="18" t="s">
        <v>1209</v>
      </c>
      <c r="G154" s="18" t="s">
        <v>1210</v>
      </c>
      <c r="H154" s="18" t="s">
        <v>70</v>
      </c>
      <c r="I154" s="18" t="s">
        <v>160</v>
      </c>
      <c r="J154" s="18" t="s">
        <v>195</v>
      </c>
      <c r="K154" s="18" t="s">
        <v>73</v>
      </c>
      <c r="L154" s="20" t="s">
        <v>1211</v>
      </c>
      <c r="M154" s="18" t="s">
        <v>75</v>
      </c>
      <c r="N154" s="20" t="s">
        <v>1212</v>
      </c>
      <c r="O154" s="18" t="s">
        <v>77</v>
      </c>
      <c r="P154" s="18" t="s">
        <v>78</v>
      </c>
      <c r="Q154" s="19">
        <v>44914</v>
      </c>
      <c r="R154" s="21">
        <v>14.28</v>
      </c>
      <c r="S154" s="18" t="s">
        <v>79</v>
      </c>
      <c r="T154" s="18" t="s">
        <v>232</v>
      </c>
      <c r="U154" s="18" t="s">
        <v>83</v>
      </c>
      <c r="V154" s="18" t="s">
        <v>95</v>
      </c>
      <c r="W154" s="18" t="s">
        <v>83</v>
      </c>
      <c r="X154" s="18" t="s">
        <v>84</v>
      </c>
      <c r="Y154" s="18" t="s">
        <v>85</v>
      </c>
      <c r="Z154" s="18" t="s">
        <v>86</v>
      </c>
      <c r="AA154" s="18" t="s">
        <v>87</v>
      </c>
      <c r="AB154" s="18" t="s">
        <v>443</v>
      </c>
      <c r="AC154" s="18" t="s">
        <v>444</v>
      </c>
      <c r="AD154" s="18" t="s">
        <v>85</v>
      </c>
      <c r="AE154" s="18" t="s">
        <v>90</v>
      </c>
      <c r="AF154" s="18" t="s">
        <v>235</v>
      </c>
      <c r="AG154" s="18" t="s">
        <v>139</v>
      </c>
      <c r="AH154" s="18" t="s">
        <v>93</v>
      </c>
      <c r="AI154" s="18" t="s">
        <v>94</v>
      </c>
      <c r="AJ154" s="19">
        <v>44911</v>
      </c>
      <c r="AK154" s="22" t="s">
        <v>95</v>
      </c>
      <c r="AL154" s="18" t="s">
        <v>95</v>
      </c>
      <c r="AM154" s="18" t="s">
        <v>95</v>
      </c>
      <c r="AN154" s="18" t="s">
        <v>95</v>
      </c>
      <c r="AO154" s="18" t="s">
        <v>95</v>
      </c>
      <c r="AP154" s="18" t="s">
        <v>95</v>
      </c>
      <c r="AQ154" s="18" t="s">
        <v>95</v>
      </c>
      <c r="AR154" s="18" t="s">
        <v>95</v>
      </c>
      <c r="AS154" s="18" t="s">
        <v>83</v>
      </c>
      <c r="AT154" s="18" t="s">
        <v>83</v>
      </c>
      <c r="AU154" s="18" t="s">
        <v>81</v>
      </c>
      <c r="AV154" s="18" t="s">
        <v>95</v>
      </c>
      <c r="AW154" s="18" t="s">
        <v>95</v>
      </c>
      <c r="AX154" s="18"/>
      <c r="AY154" s="18" t="str">
        <f>Pospago[[#This Row],[NUM_TELEFONICO]]&amp;"POSPAGOSI"</f>
        <v>979077711POSPAGOSI</v>
      </c>
      <c r="AZ154" s="18" t="str">
        <f>VLOOKUP(Pospago[[#This Row],[NOM_PLAZA_FINAL]],[1]!Locales[#Data],3,0)</f>
        <v>TIENDA CONDADO</v>
      </c>
      <c r="BA154" s="18" t="str">
        <f>IFERROR(VLOOKUP(Pospago[[#This Row],[USUARIO]],[1]!Personal[#Data],6,0),"EJECUTIVO NO REGISTRADO")</f>
        <v>JARAMILLO ESPINOZA KENIA KATRINA</v>
      </c>
      <c r="BB154" s="18" t="str">
        <f>Pospago[[#This Row],[TIPO_MOVIMIENTO]]&amp;" "&amp;Pospago[[#This Row],[FORMA_PAGO_FINAL]]</f>
        <v>ALTAS DOMICILIADO</v>
      </c>
      <c r="BC154" s="18">
        <f>DAY(Pospago[[#This Row],[FECHA_ALTA]])</f>
        <v>16</v>
      </c>
      <c r="BD154" s="18">
        <f>IF(Pospago[[#This Row],[TARIFA_BASICA]]=11.42,1,0)</f>
        <v>0</v>
      </c>
      <c r="BE154" s="18">
        <f>IF(Pospago[[#This Row],[PLANES TELEVENTAS]]="SI",1,0)</f>
        <v>0</v>
      </c>
      <c r="BF154" s="18">
        <f>1</f>
        <v>1</v>
      </c>
      <c r="BG154" s="18">
        <f>IF(OR(Pospago[[#This Row],[TARIFA_BASICA]]=11.42,Pospago[[#This Row],[PLANES TELEVENTAS]]="SI"),1,0)</f>
        <v>0</v>
      </c>
      <c r="BH154" s="18" t="str">
        <f>IF(MID(Pospago[[#This Row],[PlanDesc]],1,4) = "PLAN","POSPAGO",IF(MID(Pospago[[#This Row],[PlanDesc]],1,4)="FULL","FULL MEGAS","PREVIOPAGO"))</f>
        <v>PREVIOPAGO</v>
      </c>
      <c r="BI1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54" s="21">
        <f>Pospago[[#This Row],[TARIFA_BASICA]]*1.5</f>
        <v>21.419999999999998</v>
      </c>
    </row>
    <row r="155" spans="1:63" x14ac:dyDescent="0.25">
      <c r="A155" s="18" t="s">
        <v>154</v>
      </c>
      <c r="B155" s="18" t="s">
        <v>1213</v>
      </c>
      <c r="C155" s="18" t="s">
        <v>1214</v>
      </c>
      <c r="D155" s="19">
        <v>44898</v>
      </c>
      <c r="E155" s="18" t="s">
        <v>67</v>
      </c>
      <c r="F155" s="18" t="s">
        <v>1215</v>
      </c>
      <c r="G155" s="18" t="s">
        <v>1216</v>
      </c>
      <c r="H155" s="18" t="s">
        <v>159</v>
      </c>
      <c r="I155" s="18" t="s">
        <v>160</v>
      </c>
      <c r="J155" s="18" t="s">
        <v>161</v>
      </c>
      <c r="K155" s="18" t="s">
        <v>132</v>
      </c>
      <c r="L155" s="20" t="s">
        <v>1217</v>
      </c>
      <c r="M155" s="18" t="s">
        <v>75</v>
      </c>
      <c r="N155" s="20" t="s">
        <v>1218</v>
      </c>
      <c r="O155" s="18" t="s">
        <v>164</v>
      </c>
      <c r="P155" s="18" t="s">
        <v>78</v>
      </c>
      <c r="Q155" s="19">
        <v>44914</v>
      </c>
      <c r="R155" s="21">
        <v>14.28</v>
      </c>
      <c r="S155" s="18" t="s">
        <v>79</v>
      </c>
      <c r="T155" s="18" t="s">
        <v>174</v>
      </c>
      <c r="U155" s="18" t="s">
        <v>83</v>
      </c>
      <c r="V155" s="18" t="s">
        <v>95</v>
      </c>
      <c r="W155" s="18" t="s">
        <v>95</v>
      </c>
      <c r="X155" s="18" t="s">
        <v>118</v>
      </c>
      <c r="Y155" s="18" t="s">
        <v>85</v>
      </c>
      <c r="Z155" s="18" t="s">
        <v>86</v>
      </c>
      <c r="AA155" s="18" t="s">
        <v>119</v>
      </c>
      <c r="AB155" s="18" t="s">
        <v>822</v>
      </c>
      <c r="AC155" s="18" t="s">
        <v>823</v>
      </c>
      <c r="AD155" s="18" t="s">
        <v>85</v>
      </c>
      <c r="AE155" s="18" t="s">
        <v>90</v>
      </c>
      <c r="AF155" s="18" t="s">
        <v>177</v>
      </c>
      <c r="AG155" s="18" t="s">
        <v>139</v>
      </c>
      <c r="AH155" s="18" t="s">
        <v>165</v>
      </c>
      <c r="AI155" s="18" t="s">
        <v>94</v>
      </c>
      <c r="AJ155" s="19">
        <v>44898</v>
      </c>
      <c r="AK155" s="22" t="s">
        <v>95</v>
      </c>
      <c r="AL155" s="18" t="s">
        <v>95</v>
      </c>
      <c r="AM155" s="18" t="s">
        <v>95</v>
      </c>
      <c r="AN155" s="18" t="s">
        <v>95</v>
      </c>
      <c r="AO155" s="18" t="s">
        <v>95</v>
      </c>
      <c r="AP155" s="18" t="s">
        <v>95</v>
      </c>
      <c r="AQ155" s="18" t="s">
        <v>95</v>
      </c>
      <c r="AR155" s="18" t="s">
        <v>95</v>
      </c>
      <c r="AS155" s="18" t="s">
        <v>83</v>
      </c>
      <c r="AT155" s="18" t="s">
        <v>83</v>
      </c>
      <c r="AU155" s="18" t="s">
        <v>81</v>
      </c>
      <c r="AV155" s="18" t="s">
        <v>95</v>
      </c>
      <c r="AW155" s="18" t="s">
        <v>95</v>
      </c>
      <c r="AX155" s="18"/>
      <c r="AY155" s="18" t="str">
        <f>Pospago[[#This Row],[NUM_TELEFONICO]]&amp;"POSPAGOSI"</f>
        <v>979083163POSPAGOSI</v>
      </c>
      <c r="AZ155" s="18" t="str">
        <f>VLOOKUP(Pospago[[#This Row],[NOM_PLAZA_FINAL]],[1]!Locales[#Data],3,0)</f>
        <v>TIENDA RECREO</v>
      </c>
      <c r="BA155" s="18" t="str">
        <f>IFERROR(VLOOKUP(Pospago[[#This Row],[USUARIO]],[1]!Personal[#Data],6,0),"EJECUTIVO NO REGISTRADO")</f>
        <v>SALAS PARRA MARIA JOSE</v>
      </c>
      <c r="BB155" s="18" t="str">
        <f>Pospago[[#This Row],[TIPO_MOVIMIENTO]]&amp;" "&amp;Pospago[[#This Row],[FORMA_PAGO_FINAL]]</f>
        <v>TRANSFERENCIAS PAGO EN CAJA</v>
      </c>
      <c r="BC155" s="18">
        <f>DAY(Pospago[[#This Row],[FECHA_ALTA]])</f>
        <v>3</v>
      </c>
      <c r="BD155" s="18">
        <f>IF(Pospago[[#This Row],[TARIFA_BASICA]]=11.42,1,0)</f>
        <v>0</v>
      </c>
      <c r="BE155" s="18">
        <f>IF(Pospago[[#This Row],[PLANES TELEVENTAS]]="SI",1,0)</f>
        <v>0</v>
      </c>
      <c r="BF155" s="18">
        <f>1</f>
        <v>1</v>
      </c>
      <c r="BG155" s="18">
        <f>IF(OR(Pospago[[#This Row],[TARIFA_BASICA]]=11.42,Pospago[[#This Row],[PLANES TELEVENTAS]]="SI"),1,0)</f>
        <v>0</v>
      </c>
      <c r="BH155" s="18" t="str">
        <f>IF(MID(Pospago[[#This Row],[PlanDesc]],1,4) = "PLAN","POSPAGO",IF(MID(Pospago[[#This Row],[PlanDesc]],1,4)="FULL","FULL MEGAS","PREVIOPAGO"))</f>
        <v>PREVIOPAGO</v>
      </c>
      <c r="BI1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55" s="21">
        <f>Pospago[[#This Row],[TARIFA_BASICA]]*1.5</f>
        <v>21.419999999999998</v>
      </c>
    </row>
    <row r="156" spans="1:63" x14ac:dyDescent="0.25">
      <c r="A156" s="18" t="s">
        <v>64</v>
      </c>
      <c r="B156" s="18" t="s">
        <v>1219</v>
      </c>
      <c r="C156" s="18" t="s">
        <v>1220</v>
      </c>
      <c r="D156" s="19">
        <v>44897</v>
      </c>
      <c r="E156" s="18" t="s">
        <v>67</v>
      </c>
      <c r="F156" s="18" t="s">
        <v>1221</v>
      </c>
      <c r="G156" s="18" t="s">
        <v>1222</v>
      </c>
      <c r="H156" s="18" t="s">
        <v>70</v>
      </c>
      <c r="I156" s="18" t="s">
        <v>160</v>
      </c>
      <c r="J156" s="18" t="s">
        <v>195</v>
      </c>
      <c r="K156" s="18" t="s">
        <v>95</v>
      </c>
      <c r="L156" s="20" t="s">
        <v>1223</v>
      </c>
      <c r="M156" s="18" t="s">
        <v>75</v>
      </c>
      <c r="N156" s="20" t="s">
        <v>1224</v>
      </c>
      <c r="O156" s="18" t="s">
        <v>77</v>
      </c>
      <c r="P156" s="18" t="s">
        <v>78</v>
      </c>
      <c r="Q156" s="19">
        <v>44914</v>
      </c>
      <c r="R156" s="21">
        <v>14.28</v>
      </c>
      <c r="S156" s="18" t="s">
        <v>79</v>
      </c>
      <c r="T156" s="18" t="s">
        <v>232</v>
      </c>
      <c r="U156" s="18" t="s">
        <v>83</v>
      </c>
      <c r="V156" s="18" t="s">
        <v>95</v>
      </c>
      <c r="W156" s="18" t="s">
        <v>83</v>
      </c>
      <c r="X156" s="18" t="s">
        <v>84</v>
      </c>
      <c r="Y156" s="18" t="s">
        <v>85</v>
      </c>
      <c r="Z156" s="18" t="s">
        <v>86</v>
      </c>
      <c r="AA156" s="18" t="s">
        <v>87</v>
      </c>
      <c r="AB156" s="18" t="s">
        <v>412</v>
      </c>
      <c r="AC156" s="18" t="s">
        <v>413</v>
      </c>
      <c r="AD156" s="18" t="s">
        <v>85</v>
      </c>
      <c r="AE156" s="18" t="s">
        <v>90</v>
      </c>
      <c r="AF156" s="18" t="s">
        <v>235</v>
      </c>
      <c r="AG156" s="18" t="s">
        <v>139</v>
      </c>
      <c r="AH156" s="18" t="s">
        <v>93</v>
      </c>
      <c r="AI156" s="18" t="s">
        <v>94</v>
      </c>
      <c r="AJ156" s="19">
        <v>44897</v>
      </c>
      <c r="AK156" s="22" t="s">
        <v>95</v>
      </c>
      <c r="AL156" s="18" t="s">
        <v>95</v>
      </c>
      <c r="AM156" s="18" t="s">
        <v>95</v>
      </c>
      <c r="AN156" s="18" t="s">
        <v>95</v>
      </c>
      <c r="AO156" s="18" t="s">
        <v>95</v>
      </c>
      <c r="AP156" s="18" t="s">
        <v>95</v>
      </c>
      <c r="AQ156" s="18" t="s">
        <v>95</v>
      </c>
      <c r="AR156" s="18" t="s">
        <v>95</v>
      </c>
      <c r="AS156" s="18" t="s">
        <v>83</v>
      </c>
      <c r="AT156" s="18" t="s">
        <v>83</v>
      </c>
      <c r="AU156" s="18" t="s">
        <v>81</v>
      </c>
      <c r="AV156" s="18" t="s">
        <v>95</v>
      </c>
      <c r="AW156" s="18" t="s">
        <v>95</v>
      </c>
      <c r="AX156" s="18"/>
      <c r="AY156" s="18" t="str">
        <f>Pospago[[#This Row],[NUM_TELEFONICO]]&amp;"POSPAGOSI"</f>
        <v>979084803POSPAGOSI</v>
      </c>
      <c r="AZ156" s="18" t="str">
        <f>VLOOKUP(Pospago[[#This Row],[NOM_PLAZA_FINAL]],[1]!Locales[#Data],3,0)</f>
        <v>TIENDA CONDADO</v>
      </c>
      <c r="BA156" s="18" t="str">
        <f>IFERROR(VLOOKUP(Pospago[[#This Row],[USUARIO]],[1]!Personal[#Data],6,0),"EJECUTIVO NO REGISTRADO")</f>
        <v>PADILLA MALDONADO HENRY LEOPOLDO</v>
      </c>
      <c r="BB156" s="18" t="str">
        <f>Pospago[[#This Row],[TIPO_MOVIMIENTO]]&amp;" "&amp;Pospago[[#This Row],[FORMA_PAGO_FINAL]]</f>
        <v>ALTAS DOMICILIADO</v>
      </c>
      <c r="BC156" s="18">
        <f>DAY(Pospago[[#This Row],[FECHA_ALTA]])</f>
        <v>2</v>
      </c>
      <c r="BD156" s="18">
        <f>IF(Pospago[[#This Row],[TARIFA_BASICA]]=11.42,1,0)</f>
        <v>0</v>
      </c>
      <c r="BE156" s="18">
        <f>IF(Pospago[[#This Row],[PLANES TELEVENTAS]]="SI",1,0)</f>
        <v>0</v>
      </c>
      <c r="BF156" s="18">
        <f>1</f>
        <v>1</v>
      </c>
      <c r="BG156" s="18">
        <f>IF(OR(Pospago[[#This Row],[TARIFA_BASICA]]=11.42,Pospago[[#This Row],[PLANES TELEVENTAS]]="SI"),1,0)</f>
        <v>0</v>
      </c>
      <c r="BH156" s="18" t="str">
        <f>IF(MID(Pospago[[#This Row],[PlanDesc]],1,4) = "PLAN","POSPAGO",IF(MID(Pospago[[#This Row],[PlanDesc]],1,4)="FULL","FULL MEGAS","PREVIOPAGO"))</f>
        <v>PREVIOPAGO</v>
      </c>
      <c r="BI1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56" s="21">
        <f>Pospago[[#This Row],[TARIFA_BASICA]]*1.5</f>
        <v>21.419999999999998</v>
      </c>
    </row>
    <row r="157" spans="1:63" x14ac:dyDescent="0.25">
      <c r="A157" s="18" t="s">
        <v>154</v>
      </c>
      <c r="B157" s="18" t="s">
        <v>1225</v>
      </c>
      <c r="C157" s="18" t="s">
        <v>1226</v>
      </c>
      <c r="D157" s="19">
        <v>44908</v>
      </c>
      <c r="E157" s="18" t="s">
        <v>67</v>
      </c>
      <c r="F157" s="18" t="s">
        <v>1227</v>
      </c>
      <c r="G157" s="18" t="s">
        <v>1228</v>
      </c>
      <c r="H157" s="18" t="s">
        <v>159</v>
      </c>
      <c r="I157" s="18" t="s">
        <v>160</v>
      </c>
      <c r="J157" s="18" t="s">
        <v>161</v>
      </c>
      <c r="K157" s="18" t="s">
        <v>132</v>
      </c>
      <c r="L157" s="20" t="s">
        <v>1229</v>
      </c>
      <c r="M157" s="18" t="s">
        <v>75</v>
      </c>
      <c r="N157" s="20" t="s">
        <v>1230</v>
      </c>
      <c r="O157" s="18" t="s">
        <v>164</v>
      </c>
      <c r="P157" s="18" t="s">
        <v>78</v>
      </c>
      <c r="Q157" s="19">
        <v>44914</v>
      </c>
      <c r="R157" s="21">
        <v>14.28</v>
      </c>
      <c r="S157" s="18" t="s">
        <v>79</v>
      </c>
      <c r="T157" s="18" t="s">
        <v>174</v>
      </c>
      <c r="U157" s="18" t="s">
        <v>83</v>
      </c>
      <c r="V157" s="18" t="s">
        <v>95</v>
      </c>
      <c r="W157" s="18" t="s">
        <v>95</v>
      </c>
      <c r="X157" s="18" t="s">
        <v>84</v>
      </c>
      <c r="Y157" s="18" t="s">
        <v>85</v>
      </c>
      <c r="Z157" s="18" t="s">
        <v>86</v>
      </c>
      <c r="AA157" s="18" t="s">
        <v>87</v>
      </c>
      <c r="AB157" s="18" t="s">
        <v>303</v>
      </c>
      <c r="AC157" s="18" t="s">
        <v>304</v>
      </c>
      <c r="AD157" s="18" t="s">
        <v>85</v>
      </c>
      <c r="AE157" s="18" t="s">
        <v>90</v>
      </c>
      <c r="AF157" s="18" t="s">
        <v>177</v>
      </c>
      <c r="AG157" s="18" t="s">
        <v>139</v>
      </c>
      <c r="AH157" s="18" t="s">
        <v>165</v>
      </c>
      <c r="AI157" s="18" t="s">
        <v>94</v>
      </c>
      <c r="AJ157" s="19">
        <v>44908</v>
      </c>
      <c r="AK157" s="22" t="s">
        <v>95</v>
      </c>
      <c r="AL157" s="18" t="s">
        <v>95</v>
      </c>
      <c r="AM157" s="18" t="s">
        <v>95</v>
      </c>
      <c r="AN157" s="18" t="s">
        <v>95</v>
      </c>
      <c r="AO157" s="18" t="s">
        <v>95</v>
      </c>
      <c r="AP157" s="18" t="s">
        <v>95</v>
      </c>
      <c r="AQ157" s="18" t="s">
        <v>95</v>
      </c>
      <c r="AR157" s="18" t="s">
        <v>95</v>
      </c>
      <c r="AS157" s="18" t="s">
        <v>83</v>
      </c>
      <c r="AT157" s="18" t="s">
        <v>83</v>
      </c>
      <c r="AU157" s="18" t="s">
        <v>81</v>
      </c>
      <c r="AV157" s="18" t="s">
        <v>95</v>
      </c>
      <c r="AW157" s="18" t="s">
        <v>95</v>
      </c>
      <c r="AX157" s="18"/>
      <c r="AY157" s="18" t="str">
        <f>Pospago[[#This Row],[NUM_TELEFONICO]]&amp;"POSPAGOSI"</f>
        <v>979103845POSPAGOSI</v>
      </c>
      <c r="AZ157" s="18" t="str">
        <f>VLOOKUP(Pospago[[#This Row],[NOM_PLAZA_FINAL]],[1]!Locales[#Data],3,0)</f>
        <v>TIENDA RECREO</v>
      </c>
      <c r="BA157" s="18" t="str">
        <f>IFERROR(VLOOKUP(Pospago[[#This Row],[USUARIO]],[1]!Personal[#Data],6,0),"EJECUTIVO NO REGISTRADO")</f>
        <v>CORDOVA GAIBOR JONATHAN HERNAN</v>
      </c>
      <c r="BB157" s="18" t="str">
        <f>Pospago[[#This Row],[TIPO_MOVIMIENTO]]&amp;" "&amp;Pospago[[#This Row],[FORMA_PAGO_FINAL]]</f>
        <v>TRANSFERENCIAS DOMICILIADO</v>
      </c>
      <c r="BC157" s="18">
        <f>DAY(Pospago[[#This Row],[FECHA_ALTA]])</f>
        <v>13</v>
      </c>
      <c r="BD157" s="18">
        <f>IF(Pospago[[#This Row],[TARIFA_BASICA]]=11.42,1,0)</f>
        <v>0</v>
      </c>
      <c r="BE157" s="18">
        <f>IF(Pospago[[#This Row],[PLANES TELEVENTAS]]="SI",1,0)</f>
        <v>0</v>
      </c>
      <c r="BF157" s="18">
        <f>1</f>
        <v>1</v>
      </c>
      <c r="BG157" s="18">
        <f>IF(OR(Pospago[[#This Row],[TARIFA_BASICA]]=11.42,Pospago[[#This Row],[PLANES TELEVENTAS]]="SI"),1,0)</f>
        <v>0</v>
      </c>
      <c r="BH157" s="18" t="str">
        <f>IF(MID(Pospago[[#This Row],[PlanDesc]],1,4) = "PLAN","POSPAGO",IF(MID(Pospago[[#This Row],[PlanDesc]],1,4)="FULL","FULL MEGAS","PREVIOPAGO"))</f>
        <v>PREVIOPAGO</v>
      </c>
      <c r="BI1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57" s="21">
        <f>Pospago[[#This Row],[TARIFA_BASICA]]*1.5</f>
        <v>21.419999999999998</v>
      </c>
    </row>
    <row r="158" spans="1:63" x14ac:dyDescent="0.25">
      <c r="A158" s="18" t="s">
        <v>64</v>
      </c>
      <c r="B158" s="18" t="s">
        <v>1231</v>
      </c>
      <c r="C158" s="18" t="s">
        <v>1232</v>
      </c>
      <c r="D158" s="19">
        <v>44906</v>
      </c>
      <c r="E158" s="18" t="s">
        <v>67</v>
      </c>
      <c r="F158" s="18" t="s">
        <v>1233</v>
      </c>
      <c r="G158" s="18" t="s">
        <v>1234</v>
      </c>
      <c r="H158" s="18" t="s">
        <v>70</v>
      </c>
      <c r="I158" s="18" t="s">
        <v>71</v>
      </c>
      <c r="J158" s="18" t="s">
        <v>72</v>
      </c>
      <c r="K158" s="18" t="s">
        <v>132</v>
      </c>
      <c r="L158" s="20" t="s">
        <v>1235</v>
      </c>
      <c r="M158" s="18" t="s">
        <v>75</v>
      </c>
      <c r="N158" s="20" t="s">
        <v>1236</v>
      </c>
      <c r="O158" s="18" t="s">
        <v>77</v>
      </c>
      <c r="P158" s="18" t="s">
        <v>78</v>
      </c>
      <c r="Q158" s="19">
        <v>44914</v>
      </c>
      <c r="R158" s="21">
        <v>11.42</v>
      </c>
      <c r="S158" s="18" t="s">
        <v>79</v>
      </c>
      <c r="T158" s="18" t="s">
        <v>174</v>
      </c>
      <c r="U158" s="18" t="s">
        <v>83</v>
      </c>
      <c r="V158" s="18" t="s">
        <v>95</v>
      </c>
      <c r="W158" s="18" t="s">
        <v>83</v>
      </c>
      <c r="X158" s="18" t="s">
        <v>118</v>
      </c>
      <c r="Y158" s="18" t="s">
        <v>85</v>
      </c>
      <c r="Z158" s="18" t="s">
        <v>86</v>
      </c>
      <c r="AA158" s="18" t="s">
        <v>119</v>
      </c>
      <c r="AB158" s="18" t="s">
        <v>492</v>
      </c>
      <c r="AC158" s="18" t="s">
        <v>493</v>
      </c>
      <c r="AD158" s="18" t="s">
        <v>85</v>
      </c>
      <c r="AE158" s="18" t="s">
        <v>90</v>
      </c>
      <c r="AF158" s="18" t="s">
        <v>177</v>
      </c>
      <c r="AG158" s="18" t="s">
        <v>139</v>
      </c>
      <c r="AH158" s="18" t="s">
        <v>93</v>
      </c>
      <c r="AI158" s="18" t="s">
        <v>94</v>
      </c>
      <c r="AJ158" s="19">
        <v>44906</v>
      </c>
      <c r="AK158" s="22" t="s">
        <v>95</v>
      </c>
      <c r="AL158" s="18" t="s">
        <v>95</v>
      </c>
      <c r="AM158" s="18" t="s">
        <v>95</v>
      </c>
      <c r="AN158" s="18" t="s">
        <v>95</v>
      </c>
      <c r="AO158" s="18" t="s">
        <v>95</v>
      </c>
      <c r="AP158" s="18" t="s">
        <v>95</v>
      </c>
      <c r="AQ158" s="18" t="s">
        <v>95</v>
      </c>
      <c r="AR158" s="18" t="s">
        <v>95</v>
      </c>
      <c r="AS158" s="18" t="s">
        <v>83</v>
      </c>
      <c r="AT158" s="18" t="s">
        <v>83</v>
      </c>
      <c r="AU158" s="18" t="s">
        <v>81</v>
      </c>
      <c r="AV158" s="18" t="s">
        <v>95</v>
      </c>
      <c r="AW158" s="18" t="s">
        <v>95</v>
      </c>
      <c r="AX158" s="18"/>
      <c r="AY158" s="18" t="str">
        <f>Pospago[[#This Row],[NUM_TELEFONICO]]&amp;"POSPAGOSI"</f>
        <v>979105784POSPAGOSI</v>
      </c>
      <c r="AZ158" s="18" t="str">
        <f>VLOOKUP(Pospago[[#This Row],[NOM_PLAZA_FINAL]],[1]!Locales[#Data],3,0)</f>
        <v>TIENDA RECREO</v>
      </c>
      <c r="BA158" s="18" t="str">
        <f>IFERROR(VLOOKUP(Pospago[[#This Row],[USUARIO]],[1]!Personal[#Data],6,0),"EJECUTIVO NO REGISTRADO")</f>
        <v>CONDO GARCIA NICOLAS MATIAS</v>
      </c>
      <c r="BB158" s="18" t="str">
        <f>Pospago[[#This Row],[TIPO_MOVIMIENTO]]&amp;" "&amp;Pospago[[#This Row],[FORMA_PAGO_FINAL]]</f>
        <v>ALTAS PAGO EN CAJA</v>
      </c>
      <c r="BC158" s="18">
        <f>DAY(Pospago[[#This Row],[FECHA_ALTA]])</f>
        <v>11</v>
      </c>
      <c r="BD158" s="18">
        <f>IF(Pospago[[#This Row],[TARIFA_BASICA]]=11.42,1,0)</f>
        <v>1</v>
      </c>
      <c r="BE158" s="18">
        <f>IF(Pospago[[#This Row],[PLANES TELEVENTAS]]="SI",1,0)</f>
        <v>0</v>
      </c>
      <c r="BF158" s="18">
        <f>1</f>
        <v>1</v>
      </c>
      <c r="BG158" s="18">
        <f>IF(OR(Pospago[[#This Row],[TARIFA_BASICA]]=11.42,Pospago[[#This Row],[PLANES TELEVENTAS]]="SI"),1,0)</f>
        <v>1</v>
      </c>
      <c r="BH158" s="18" t="str">
        <f>IF(MID(Pospago[[#This Row],[PlanDesc]],1,4) = "PLAN","POSPAGO",IF(MID(Pospago[[#This Row],[PlanDesc]],1,4)="FULL","FULL MEGAS","PREVIOPAGO"))</f>
        <v>PREVIOPAGO</v>
      </c>
      <c r="BI1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58" s="21">
        <f>Pospago[[#This Row],[TARIFA_BASICA]]*1.5</f>
        <v>17.13</v>
      </c>
    </row>
    <row r="159" spans="1:63" x14ac:dyDescent="0.25">
      <c r="A159" s="18" t="s">
        <v>154</v>
      </c>
      <c r="B159" s="18" t="s">
        <v>1237</v>
      </c>
      <c r="C159" s="18" t="s">
        <v>1238</v>
      </c>
      <c r="D159" s="19">
        <v>44907</v>
      </c>
      <c r="E159" s="18" t="s">
        <v>67</v>
      </c>
      <c r="F159" s="18" t="s">
        <v>1239</v>
      </c>
      <c r="G159" s="18" t="s">
        <v>1240</v>
      </c>
      <c r="H159" s="18" t="s">
        <v>159</v>
      </c>
      <c r="I159" s="18" t="s">
        <v>160</v>
      </c>
      <c r="J159" s="18" t="s">
        <v>161</v>
      </c>
      <c r="K159" s="18" t="s">
        <v>73</v>
      </c>
      <c r="L159" s="20" t="s">
        <v>1241</v>
      </c>
      <c r="M159" s="18" t="s">
        <v>75</v>
      </c>
      <c r="N159" s="20" t="s">
        <v>1242</v>
      </c>
      <c r="O159" s="18" t="s">
        <v>164</v>
      </c>
      <c r="P159" s="18" t="s">
        <v>78</v>
      </c>
      <c r="Q159" s="19">
        <v>44914</v>
      </c>
      <c r="R159" s="21">
        <v>14.28</v>
      </c>
      <c r="S159" s="18" t="s">
        <v>79</v>
      </c>
      <c r="T159" s="18" t="s">
        <v>148</v>
      </c>
      <c r="U159" s="18" t="s">
        <v>83</v>
      </c>
      <c r="V159" s="18" t="s">
        <v>95</v>
      </c>
      <c r="W159" s="18" t="s">
        <v>95</v>
      </c>
      <c r="X159" s="18" t="s">
        <v>84</v>
      </c>
      <c r="Y159" s="18" t="s">
        <v>85</v>
      </c>
      <c r="Z159" s="18" t="s">
        <v>86</v>
      </c>
      <c r="AA159" s="18" t="s">
        <v>87</v>
      </c>
      <c r="AB159" s="18" t="s">
        <v>318</v>
      </c>
      <c r="AC159" s="18" t="s">
        <v>319</v>
      </c>
      <c r="AD159" s="18" t="s">
        <v>85</v>
      </c>
      <c r="AE159" s="18" t="s">
        <v>90</v>
      </c>
      <c r="AF159" s="18" t="s">
        <v>151</v>
      </c>
      <c r="AG159" s="18" t="s">
        <v>92</v>
      </c>
      <c r="AH159" s="18" t="s">
        <v>165</v>
      </c>
      <c r="AI159" s="18" t="s">
        <v>94</v>
      </c>
      <c r="AJ159" s="19">
        <v>44907</v>
      </c>
      <c r="AK159" s="22" t="s">
        <v>95</v>
      </c>
      <c r="AL159" s="18" t="s">
        <v>95</v>
      </c>
      <c r="AM159" s="18" t="s">
        <v>95</v>
      </c>
      <c r="AN159" s="18" t="s">
        <v>95</v>
      </c>
      <c r="AO159" s="18" t="s">
        <v>95</v>
      </c>
      <c r="AP159" s="18" t="s">
        <v>95</v>
      </c>
      <c r="AQ159" s="18" t="s">
        <v>95</v>
      </c>
      <c r="AR159" s="18" t="s">
        <v>95</v>
      </c>
      <c r="AS159" s="18" t="s">
        <v>83</v>
      </c>
      <c r="AT159" s="18" t="s">
        <v>83</v>
      </c>
      <c r="AU159" s="18" t="s">
        <v>81</v>
      </c>
      <c r="AV159" s="18" t="s">
        <v>95</v>
      </c>
      <c r="AW159" s="18" t="s">
        <v>95</v>
      </c>
      <c r="AX159" s="18"/>
      <c r="AY159" s="18" t="str">
        <f>Pospago[[#This Row],[NUM_TELEFONICO]]&amp;"POSPAGOSI"</f>
        <v>979112067POSPAGOSI</v>
      </c>
      <c r="AZ159" s="18" t="str">
        <f>VLOOKUP(Pospago[[#This Row],[NOM_PLAZA_FINAL]],[1]!Locales[#Data],3,0)</f>
        <v>TIENDA CUENCA REMIGIO</v>
      </c>
      <c r="BA159" s="18" t="str">
        <f>IFERROR(VLOOKUP(Pospago[[#This Row],[USUARIO]],[1]!Personal[#Data],6,0),"EJECUTIVO NO REGISTRADO")</f>
        <v>RODRIGUEZ QUITO JESSICA GABRIELA</v>
      </c>
      <c r="BB159" s="18" t="str">
        <f>Pospago[[#This Row],[TIPO_MOVIMIENTO]]&amp;" "&amp;Pospago[[#This Row],[FORMA_PAGO_FINAL]]</f>
        <v>TRANSFERENCIAS DOMICILIADO</v>
      </c>
      <c r="BC159" s="18">
        <f>DAY(Pospago[[#This Row],[FECHA_ALTA]])</f>
        <v>12</v>
      </c>
      <c r="BD159" s="18">
        <f>IF(Pospago[[#This Row],[TARIFA_BASICA]]=11.42,1,0)</f>
        <v>0</v>
      </c>
      <c r="BE159" s="18">
        <f>IF(Pospago[[#This Row],[PLANES TELEVENTAS]]="SI",1,0)</f>
        <v>0</v>
      </c>
      <c r="BF159" s="18">
        <f>1</f>
        <v>1</v>
      </c>
      <c r="BG159" s="18">
        <f>IF(OR(Pospago[[#This Row],[TARIFA_BASICA]]=11.42,Pospago[[#This Row],[PLANES TELEVENTAS]]="SI"),1,0)</f>
        <v>0</v>
      </c>
      <c r="BH159" s="18" t="str">
        <f>IF(MID(Pospago[[#This Row],[PlanDesc]],1,4) = "PLAN","POSPAGO",IF(MID(Pospago[[#This Row],[PlanDesc]],1,4)="FULL","FULL MEGAS","PREVIOPAGO"))</f>
        <v>PREVIOPAGO</v>
      </c>
      <c r="BI1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59" s="21">
        <f>Pospago[[#This Row],[TARIFA_BASICA]]*1.5</f>
        <v>21.419999999999998</v>
      </c>
    </row>
    <row r="160" spans="1:63" x14ac:dyDescent="0.25">
      <c r="A160" s="18" t="s">
        <v>64</v>
      </c>
      <c r="B160" s="18" t="s">
        <v>1243</v>
      </c>
      <c r="C160" s="18" t="s">
        <v>1244</v>
      </c>
      <c r="D160" s="19">
        <v>44896</v>
      </c>
      <c r="E160" s="18" t="s">
        <v>67</v>
      </c>
      <c r="F160" s="18" t="s">
        <v>1245</v>
      </c>
      <c r="G160" s="18" t="s">
        <v>1246</v>
      </c>
      <c r="H160" s="18" t="s">
        <v>70</v>
      </c>
      <c r="I160" s="18" t="s">
        <v>160</v>
      </c>
      <c r="J160" s="18" t="s">
        <v>195</v>
      </c>
      <c r="K160" s="18" t="s">
        <v>73</v>
      </c>
      <c r="L160" s="20" t="s">
        <v>1247</v>
      </c>
      <c r="M160" s="18" t="s">
        <v>75</v>
      </c>
      <c r="N160" s="20" t="s">
        <v>1248</v>
      </c>
      <c r="O160" s="18" t="s">
        <v>77</v>
      </c>
      <c r="P160" s="18" t="s">
        <v>78</v>
      </c>
      <c r="Q160" s="19">
        <v>44914</v>
      </c>
      <c r="R160" s="21">
        <v>14.28</v>
      </c>
      <c r="S160" s="18" t="s">
        <v>79</v>
      </c>
      <c r="T160" s="18" t="s">
        <v>148</v>
      </c>
      <c r="U160" s="18" t="s">
        <v>83</v>
      </c>
      <c r="V160" s="18" t="s">
        <v>95</v>
      </c>
      <c r="W160" s="18" t="s">
        <v>83</v>
      </c>
      <c r="X160" s="18" t="s">
        <v>215</v>
      </c>
      <c r="Y160" s="18" t="s">
        <v>85</v>
      </c>
      <c r="Z160" s="18" t="s">
        <v>86</v>
      </c>
      <c r="AA160" s="18" t="s">
        <v>87</v>
      </c>
      <c r="AB160" s="18" t="s">
        <v>318</v>
      </c>
      <c r="AC160" s="18" t="s">
        <v>319</v>
      </c>
      <c r="AD160" s="18" t="s">
        <v>85</v>
      </c>
      <c r="AE160" s="18" t="s">
        <v>90</v>
      </c>
      <c r="AF160" s="18" t="s">
        <v>151</v>
      </c>
      <c r="AG160" s="18" t="s">
        <v>92</v>
      </c>
      <c r="AH160" s="18" t="s">
        <v>93</v>
      </c>
      <c r="AI160" s="18" t="s">
        <v>94</v>
      </c>
      <c r="AJ160" s="19">
        <v>44896</v>
      </c>
      <c r="AK160" s="22" t="s">
        <v>95</v>
      </c>
      <c r="AL160" s="18" t="s">
        <v>95</v>
      </c>
      <c r="AM160" s="18" t="s">
        <v>95</v>
      </c>
      <c r="AN160" s="18" t="s">
        <v>95</v>
      </c>
      <c r="AO160" s="18" t="s">
        <v>95</v>
      </c>
      <c r="AP160" s="18" t="s">
        <v>95</v>
      </c>
      <c r="AQ160" s="18" t="s">
        <v>95</v>
      </c>
      <c r="AR160" s="18" t="s">
        <v>95</v>
      </c>
      <c r="AS160" s="18" t="s">
        <v>83</v>
      </c>
      <c r="AT160" s="18" t="s">
        <v>83</v>
      </c>
      <c r="AU160" s="18" t="s">
        <v>81</v>
      </c>
      <c r="AV160" s="18" t="s">
        <v>95</v>
      </c>
      <c r="AW160" s="18" t="s">
        <v>95</v>
      </c>
      <c r="AX160" s="18"/>
      <c r="AY160" s="18" t="str">
        <f>Pospago[[#This Row],[NUM_TELEFONICO]]&amp;"POSPAGOSI"</f>
        <v>979119879POSPAGOSI</v>
      </c>
      <c r="AZ160" s="18" t="str">
        <f>VLOOKUP(Pospago[[#This Row],[NOM_PLAZA_FINAL]],[1]!Locales[#Data],3,0)</f>
        <v>TIENDA CUENCA REMIGIO</v>
      </c>
      <c r="BA160" s="18" t="str">
        <f>IFERROR(VLOOKUP(Pospago[[#This Row],[USUARIO]],[1]!Personal[#Data],6,0),"EJECUTIVO NO REGISTRADO")</f>
        <v>RODRIGUEZ QUITO JESSICA GABRIELA</v>
      </c>
      <c r="BB160" s="18" t="str">
        <f>Pospago[[#This Row],[TIPO_MOVIMIENTO]]&amp;" "&amp;Pospago[[#This Row],[FORMA_PAGO_FINAL]]</f>
        <v>ALTAS DOMICILIADO</v>
      </c>
      <c r="BC160" s="18">
        <f>DAY(Pospago[[#This Row],[FECHA_ALTA]])</f>
        <v>1</v>
      </c>
      <c r="BD160" s="18">
        <f>IF(Pospago[[#This Row],[TARIFA_BASICA]]=11.42,1,0)</f>
        <v>0</v>
      </c>
      <c r="BE160" s="18">
        <f>IF(Pospago[[#This Row],[PLANES TELEVENTAS]]="SI",1,0)</f>
        <v>0</v>
      </c>
      <c r="BF160" s="18">
        <f>1</f>
        <v>1</v>
      </c>
      <c r="BG160" s="18">
        <f>IF(OR(Pospago[[#This Row],[TARIFA_BASICA]]=11.42,Pospago[[#This Row],[PLANES TELEVENTAS]]="SI"),1,0)</f>
        <v>0</v>
      </c>
      <c r="BH160" s="18" t="str">
        <f>IF(MID(Pospago[[#This Row],[PlanDesc]],1,4) = "PLAN","POSPAGO",IF(MID(Pospago[[#This Row],[PlanDesc]],1,4)="FULL","FULL MEGAS","PREVIOPAGO"))</f>
        <v>PREVIOPAGO</v>
      </c>
      <c r="BI1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60" s="21">
        <f>Pospago[[#This Row],[TARIFA_BASICA]]*1.5</f>
        <v>21.419999999999998</v>
      </c>
    </row>
    <row r="161" spans="1:63" x14ac:dyDescent="0.25">
      <c r="A161" s="18" t="s">
        <v>64</v>
      </c>
      <c r="B161" s="18" t="s">
        <v>1249</v>
      </c>
      <c r="C161" s="18" t="s">
        <v>1250</v>
      </c>
      <c r="D161" s="19">
        <v>44900</v>
      </c>
      <c r="E161" s="18" t="s">
        <v>67</v>
      </c>
      <c r="F161" s="18" t="s">
        <v>1251</v>
      </c>
      <c r="G161" s="18" t="s">
        <v>1252</v>
      </c>
      <c r="H161" s="18" t="s">
        <v>70</v>
      </c>
      <c r="I161" s="18" t="s">
        <v>160</v>
      </c>
      <c r="J161" s="18" t="s">
        <v>195</v>
      </c>
      <c r="K161" s="18" t="s">
        <v>95</v>
      </c>
      <c r="L161" s="20" t="s">
        <v>1253</v>
      </c>
      <c r="M161" s="18" t="s">
        <v>75</v>
      </c>
      <c r="N161" s="20" t="s">
        <v>1254</v>
      </c>
      <c r="O161" s="18" t="s">
        <v>77</v>
      </c>
      <c r="P161" s="18" t="s">
        <v>78</v>
      </c>
      <c r="Q161" s="19">
        <v>44914</v>
      </c>
      <c r="R161" s="21">
        <v>14.28</v>
      </c>
      <c r="S161" s="18" t="s">
        <v>79</v>
      </c>
      <c r="T161" s="18" t="s">
        <v>174</v>
      </c>
      <c r="U161" s="18" t="s">
        <v>83</v>
      </c>
      <c r="V161" s="18" t="s">
        <v>95</v>
      </c>
      <c r="W161" s="18" t="s">
        <v>83</v>
      </c>
      <c r="X161" s="18" t="s">
        <v>84</v>
      </c>
      <c r="Y161" s="18" t="s">
        <v>85</v>
      </c>
      <c r="Z161" s="18" t="s">
        <v>86</v>
      </c>
      <c r="AA161" s="18" t="s">
        <v>87</v>
      </c>
      <c r="AB161" s="18" t="s">
        <v>760</v>
      </c>
      <c r="AC161" s="18" t="s">
        <v>761</v>
      </c>
      <c r="AD161" s="18" t="s">
        <v>85</v>
      </c>
      <c r="AE161" s="18" t="s">
        <v>90</v>
      </c>
      <c r="AF161" s="18" t="s">
        <v>177</v>
      </c>
      <c r="AG161" s="18" t="s">
        <v>139</v>
      </c>
      <c r="AH161" s="18" t="s">
        <v>93</v>
      </c>
      <c r="AI161" s="18" t="s">
        <v>94</v>
      </c>
      <c r="AJ161" s="19">
        <v>44900</v>
      </c>
      <c r="AK161" s="22" t="s">
        <v>95</v>
      </c>
      <c r="AL161" s="18" t="s">
        <v>95</v>
      </c>
      <c r="AM161" s="18" t="s">
        <v>95</v>
      </c>
      <c r="AN161" s="18" t="s">
        <v>95</v>
      </c>
      <c r="AO161" s="18" t="s">
        <v>95</v>
      </c>
      <c r="AP161" s="18" t="s">
        <v>95</v>
      </c>
      <c r="AQ161" s="18" t="s">
        <v>95</v>
      </c>
      <c r="AR161" s="18" t="s">
        <v>95</v>
      </c>
      <c r="AS161" s="18" t="s">
        <v>83</v>
      </c>
      <c r="AT161" s="18" t="s">
        <v>83</v>
      </c>
      <c r="AU161" s="18" t="s">
        <v>81</v>
      </c>
      <c r="AV161" s="18" t="s">
        <v>95</v>
      </c>
      <c r="AW161" s="18" t="s">
        <v>95</v>
      </c>
      <c r="AX161" s="18"/>
      <c r="AY161" s="18" t="str">
        <f>Pospago[[#This Row],[NUM_TELEFONICO]]&amp;"POSPAGOSI"</f>
        <v>979149670POSPAGOSI</v>
      </c>
      <c r="AZ161" s="18" t="str">
        <f>VLOOKUP(Pospago[[#This Row],[NOM_PLAZA_FINAL]],[1]!Locales[#Data],3,0)</f>
        <v>TIENDA RECREO</v>
      </c>
      <c r="BA161" s="18" t="str">
        <f>IFERROR(VLOOKUP(Pospago[[#This Row],[USUARIO]],[1]!Personal[#Data],6,0),"EJECUTIVO NO REGISTRADO")</f>
        <v>VALBUENA SANCHEZ ALBERT ANTHONY</v>
      </c>
      <c r="BB161" s="18" t="str">
        <f>Pospago[[#This Row],[TIPO_MOVIMIENTO]]&amp;" "&amp;Pospago[[#This Row],[FORMA_PAGO_FINAL]]</f>
        <v>ALTAS DOMICILIADO</v>
      </c>
      <c r="BC161" s="18">
        <f>DAY(Pospago[[#This Row],[FECHA_ALTA]])</f>
        <v>5</v>
      </c>
      <c r="BD161" s="18">
        <f>IF(Pospago[[#This Row],[TARIFA_BASICA]]=11.42,1,0)</f>
        <v>0</v>
      </c>
      <c r="BE161" s="18">
        <f>IF(Pospago[[#This Row],[PLANES TELEVENTAS]]="SI",1,0)</f>
        <v>0</v>
      </c>
      <c r="BF161" s="18">
        <f>1</f>
        <v>1</v>
      </c>
      <c r="BG161" s="18">
        <f>IF(OR(Pospago[[#This Row],[TARIFA_BASICA]]=11.42,Pospago[[#This Row],[PLANES TELEVENTAS]]="SI"),1,0)</f>
        <v>0</v>
      </c>
      <c r="BH161" s="18" t="str">
        <f>IF(MID(Pospago[[#This Row],[PlanDesc]],1,4) = "PLAN","POSPAGO",IF(MID(Pospago[[#This Row],[PlanDesc]],1,4)="FULL","FULL MEGAS","PREVIOPAGO"))</f>
        <v>PREVIOPAGO</v>
      </c>
      <c r="BI1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61" s="21">
        <f>Pospago[[#This Row],[TARIFA_BASICA]]*1.5</f>
        <v>21.419999999999998</v>
      </c>
    </row>
    <row r="162" spans="1:63" x14ac:dyDescent="0.25">
      <c r="A162" s="18" t="s">
        <v>64</v>
      </c>
      <c r="B162" s="18" t="s">
        <v>1255</v>
      </c>
      <c r="C162" s="18" t="s">
        <v>1256</v>
      </c>
      <c r="D162" s="19">
        <v>44899</v>
      </c>
      <c r="E162" s="18" t="s">
        <v>67</v>
      </c>
      <c r="F162" s="18" t="s">
        <v>1257</v>
      </c>
      <c r="G162" s="18" t="s">
        <v>1258</v>
      </c>
      <c r="H162" s="18" t="s">
        <v>70</v>
      </c>
      <c r="I162" s="18" t="s">
        <v>71</v>
      </c>
      <c r="J162" s="18" t="s">
        <v>72</v>
      </c>
      <c r="K162" s="18" t="s">
        <v>73</v>
      </c>
      <c r="L162" s="20" t="s">
        <v>1259</v>
      </c>
      <c r="M162" s="18" t="s">
        <v>75</v>
      </c>
      <c r="N162" s="20" t="s">
        <v>1260</v>
      </c>
      <c r="O162" s="18" t="s">
        <v>77</v>
      </c>
      <c r="P162" s="18" t="s">
        <v>78</v>
      </c>
      <c r="Q162" s="19">
        <v>44914</v>
      </c>
      <c r="R162" s="21">
        <v>11.42</v>
      </c>
      <c r="S162" s="18" t="s">
        <v>79</v>
      </c>
      <c r="T162" s="18" t="s">
        <v>232</v>
      </c>
      <c r="U162" s="18" t="s">
        <v>83</v>
      </c>
      <c r="V162" s="18" t="s">
        <v>95</v>
      </c>
      <c r="W162" s="18" t="s">
        <v>83</v>
      </c>
      <c r="X162" s="18" t="s">
        <v>215</v>
      </c>
      <c r="Y162" s="18" t="s">
        <v>85</v>
      </c>
      <c r="Z162" s="18" t="s">
        <v>86</v>
      </c>
      <c r="AA162" s="18" t="s">
        <v>87</v>
      </c>
      <c r="AB162" s="18" t="s">
        <v>769</v>
      </c>
      <c r="AC162" s="18" t="s">
        <v>770</v>
      </c>
      <c r="AD162" s="18" t="s">
        <v>85</v>
      </c>
      <c r="AE162" s="18" t="s">
        <v>90</v>
      </c>
      <c r="AF162" s="18" t="s">
        <v>235</v>
      </c>
      <c r="AG162" s="18" t="s">
        <v>139</v>
      </c>
      <c r="AH162" s="18" t="s">
        <v>93</v>
      </c>
      <c r="AI162" s="18" t="s">
        <v>94</v>
      </c>
      <c r="AJ162" s="19">
        <v>44899</v>
      </c>
      <c r="AK162" s="22" t="s">
        <v>95</v>
      </c>
      <c r="AL162" s="18" t="s">
        <v>95</v>
      </c>
      <c r="AM162" s="18" t="s">
        <v>95</v>
      </c>
      <c r="AN162" s="18" t="s">
        <v>95</v>
      </c>
      <c r="AO162" s="18" t="s">
        <v>95</v>
      </c>
      <c r="AP162" s="18" t="s">
        <v>95</v>
      </c>
      <c r="AQ162" s="18" t="s">
        <v>95</v>
      </c>
      <c r="AR162" s="18" t="s">
        <v>95</v>
      </c>
      <c r="AS162" s="18" t="s">
        <v>83</v>
      </c>
      <c r="AT162" s="18" t="s">
        <v>83</v>
      </c>
      <c r="AU162" s="18" t="s">
        <v>81</v>
      </c>
      <c r="AV162" s="18" t="s">
        <v>95</v>
      </c>
      <c r="AW162" s="18" t="s">
        <v>95</v>
      </c>
      <c r="AX162" s="18"/>
      <c r="AY162" s="18" t="str">
        <f>Pospago[[#This Row],[NUM_TELEFONICO]]&amp;"POSPAGOSI"</f>
        <v>979150166POSPAGOSI</v>
      </c>
      <c r="AZ162" s="18" t="str">
        <f>VLOOKUP(Pospago[[#This Row],[NOM_PLAZA_FINAL]],[1]!Locales[#Data],3,0)</f>
        <v>TIENDA CONDADO</v>
      </c>
      <c r="BA162" s="18" t="str">
        <f>IFERROR(VLOOKUP(Pospago[[#This Row],[USUARIO]],[1]!Personal[#Data],6,0),"EJECUTIVO NO REGISTRADO")</f>
        <v>ROJAS VEGA JHOSMERY MICHELE</v>
      </c>
      <c r="BB162" s="18" t="str">
        <f>Pospago[[#This Row],[TIPO_MOVIMIENTO]]&amp;" "&amp;Pospago[[#This Row],[FORMA_PAGO_FINAL]]</f>
        <v>ALTAS DOMICILIADO</v>
      </c>
      <c r="BC162" s="18">
        <f>DAY(Pospago[[#This Row],[FECHA_ALTA]])</f>
        <v>4</v>
      </c>
      <c r="BD162" s="18">
        <f>IF(Pospago[[#This Row],[TARIFA_BASICA]]=11.42,1,0)</f>
        <v>1</v>
      </c>
      <c r="BE162" s="18">
        <f>IF(Pospago[[#This Row],[PLANES TELEVENTAS]]="SI",1,0)</f>
        <v>0</v>
      </c>
      <c r="BF162" s="18">
        <f>1</f>
        <v>1</v>
      </c>
      <c r="BG162" s="18">
        <f>IF(OR(Pospago[[#This Row],[TARIFA_BASICA]]=11.42,Pospago[[#This Row],[PLANES TELEVENTAS]]="SI"),1,0)</f>
        <v>1</v>
      </c>
      <c r="BH162" s="18" t="str">
        <f>IF(MID(Pospago[[#This Row],[PlanDesc]],1,4) = "PLAN","POSPAGO",IF(MID(Pospago[[#This Row],[PlanDesc]],1,4)="FULL","FULL MEGAS","PREVIOPAGO"))</f>
        <v>PREVIOPAGO</v>
      </c>
      <c r="BI1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1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62" s="21">
        <f>Pospago[[#This Row],[TARIFA_BASICA]]*1.5</f>
        <v>17.13</v>
      </c>
    </row>
    <row r="163" spans="1:63" x14ac:dyDescent="0.25">
      <c r="A163" s="18" t="s">
        <v>154</v>
      </c>
      <c r="B163" s="18" t="s">
        <v>1261</v>
      </c>
      <c r="C163" s="18" t="s">
        <v>1262</v>
      </c>
      <c r="D163" s="19">
        <v>44906</v>
      </c>
      <c r="E163" s="18" t="s">
        <v>67</v>
      </c>
      <c r="F163" s="18" t="s">
        <v>1263</v>
      </c>
      <c r="G163" s="18" t="s">
        <v>1264</v>
      </c>
      <c r="H163" s="18" t="s">
        <v>159</v>
      </c>
      <c r="I163" s="18" t="s">
        <v>112</v>
      </c>
      <c r="J163" s="18" t="s">
        <v>781</v>
      </c>
      <c r="K163" s="18" t="s">
        <v>95</v>
      </c>
      <c r="L163" s="20" t="s">
        <v>1265</v>
      </c>
      <c r="M163" s="18" t="s">
        <v>75</v>
      </c>
      <c r="N163" s="20" t="s">
        <v>1266</v>
      </c>
      <c r="O163" s="18" t="s">
        <v>164</v>
      </c>
      <c r="P163" s="18" t="s">
        <v>78</v>
      </c>
      <c r="Q163" s="19">
        <v>44914</v>
      </c>
      <c r="R163" s="21">
        <v>17.850000000000001</v>
      </c>
      <c r="S163" s="18" t="s">
        <v>79</v>
      </c>
      <c r="T163" s="18" t="s">
        <v>174</v>
      </c>
      <c r="U163" s="18" t="s">
        <v>83</v>
      </c>
      <c r="V163" s="18" t="s">
        <v>95</v>
      </c>
      <c r="W163" s="18" t="s">
        <v>95</v>
      </c>
      <c r="X163" s="18" t="s">
        <v>118</v>
      </c>
      <c r="Y163" s="18" t="s">
        <v>85</v>
      </c>
      <c r="Z163" s="18" t="s">
        <v>86</v>
      </c>
      <c r="AA163" s="18" t="s">
        <v>119</v>
      </c>
      <c r="AB163" s="18" t="s">
        <v>760</v>
      </c>
      <c r="AC163" s="18" t="s">
        <v>761</v>
      </c>
      <c r="AD163" s="18" t="s">
        <v>85</v>
      </c>
      <c r="AE163" s="18" t="s">
        <v>90</v>
      </c>
      <c r="AF163" s="18" t="s">
        <v>177</v>
      </c>
      <c r="AG163" s="18" t="s">
        <v>139</v>
      </c>
      <c r="AH163" s="18" t="s">
        <v>165</v>
      </c>
      <c r="AI163" s="18" t="s">
        <v>94</v>
      </c>
      <c r="AJ163" s="19">
        <v>44906</v>
      </c>
      <c r="AK163" s="22" t="s">
        <v>95</v>
      </c>
      <c r="AL163" s="18" t="s">
        <v>95</v>
      </c>
      <c r="AM163" s="18" t="s">
        <v>95</v>
      </c>
      <c r="AN163" s="18" t="s">
        <v>95</v>
      </c>
      <c r="AO163" s="18" t="s">
        <v>95</v>
      </c>
      <c r="AP163" s="18" t="s">
        <v>95</v>
      </c>
      <c r="AQ163" s="18" t="s">
        <v>95</v>
      </c>
      <c r="AR163" s="18" t="s">
        <v>95</v>
      </c>
      <c r="AS163" s="18" t="s">
        <v>83</v>
      </c>
      <c r="AT163" s="18" t="s">
        <v>83</v>
      </c>
      <c r="AU163" s="18" t="s">
        <v>81</v>
      </c>
      <c r="AV163" s="18" t="s">
        <v>95</v>
      </c>
      <c r="AW163" s="18" t="s">
        <v>95</v>
      </c>
      <c r="AX163" s="18"/>
      <c r="AY163" s="18" t="str">
        <f>Pospago[[#This Row],[NUM_TELEFONICO]]&amp;"POSPAGOSI"</f>
        <v>979153797POSPAGOSI</v>
      </c>
      <c r="AZ163" s="18" t="str">
        <f>VLOOKUP(Pospago[[#This Row],[NOM_PLAZA_FINAL]],[1]!Locales[#Data],3,0)</f>
        <v>TIENDA RECREO</v>
      </c>
      <c r="BA163" s="18" t="str">
        <f>IFERROR(VLOOKUP(Pospago[[#This Row],[USUARIO]],[1]!Personal[#Data],6,0),"EJECUTIVO NO REGISTRADO")</f>
        <v>VALBUENA SANCHEZ ALBERT ANTHONY</v>
      </c>
      <c r="BB163" s="18" t="str">
        <f>Pospago[[#This Row],[TIPO_MOVIMIENTO]]&amp;" "&amp;Pospago[[#This Row],[FORMA_PAGO_FINAL]]</f>
        <v>TRANSFERENCIAS PAGO EN CAJA</v>
      </c>
      <c r="BC163" s="18">
        <f>DAY(Pospago[[#This Row],[FECHA_ALTA]])</f>
        <v>11</v>
      </c>
      <c r="BD163" s="18">
        <f>IF(Pospago[[#This Row],[TARIFA_BASICA]]=11.42,1,0)</f>
        <v>0</v>
      </c>
      <c r="BE163" s="18">
        <f>IF(Pospago[[#This Row],[PLANES TELEVENTAS]]="SI",1,0)</f>
        <v>0</v>
      </c>
      <c r="BF163" s="18">
        <f>1</f>
        <v>1</v>
      </c>
      <c r="BG163" s="18">
        <f>IF(OR(Pospago[[#This Row],[TARIFA_BASICA]]=11.42,Pospago[[#This Row],[PLANES TELEVENTAS]]="SI"),1,0)</f>
        <v>0</v>
      </c>
      <c r="BH163" s="18" t="str">
        <f>IF(MID(Pospago[[#This Row],[PlanDesc]],1,4) = "PLAN","POSPAGO",IF(MID(Pospago[[#This Row],[PlanDesc]],1,4)="FULL","FULL MEGAS","PREVIOPAGO"))</f>
        <v>PREVIOPAGO</v>
      </c>
      <c r="BI1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7.88</v>
      </c>
      <c r="BJ1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63" s="21">
        <f>Pospago[[#This Row],[TARIFA_BASICA]]*1.5</f>
        <v>26.775000000000002</v>
      </c>
    </row>
    <row r="164" spans="1:63" x14ac:dyDescent="0.25">
      <c r="A164" s="18" t="s">
        <v>154</v>
      </c>
      <c r="B164" s="18" t="s">
        <v>1267</v>
      </c>
      <c r="C164" s="18" t="s">
        <v>1268</v>
      </c>
      <c r="D164" s="19">
        <v>44902</v>
      </c>
      <c r="E164" s="18" t="s">
        <v>67</v>
      </c>
      <c r="F164" s="18" t="s">
        <v>1269</v>
      </c>
      <c r="G164" s="18" t="s">
        <v>1270</v>
      </c>
      <c r="H164" s="18" t="s">
        <v>159</v>
      </c>
      <c r="I164" s="18" t="s">
        <v>359</v>
      </c>
      <c r="J164" s="18" t="s">
        <v>360</v>
      </c>
      <c r="K164" s="18" t="s">
        <v>73</v>
      </c>
      <c r="L164" s="20" t="s">
        <v>1271</v>
      </c>
      <c r="M164" s="18" t="s">
        <v>75</v>
      </c>
      <c r="N164" s="20" t="s">
        <v>1272</v>
      </c>
      <c r="O164" s="18" t="s">
        <v>231</v>
      </c>
      <c r="P164" s="18" t="s">
        <v>78</v>
      </c>
      <c r="Q164" s="19">
        <v>44914</v>
      </c>
      <c r="R164" s="21">
        <v>14.28</v>
      </c>
      <c r="S164" s="18" t="s">
        <v>79</v>
      </c>
      <c r="T164" s="18" t="s">
        <v>148</v>
      </c>
      <c r="U164" s="18" t="s">
        <v>83</v>
      </c>
      <c r="V164" s="18" t="s">
        <v>95</v>
      </c>
      <c r="W164" s="18" t="s">
        <v>95</v>
      </c>
      <c r="X164" s="18" t="s">
        <v>118</v>
      </c>
      <c r="Y164" s="18" t="s">
        <v>85</v>
      </c>
      <c r="Z164" s="18" t="s">
        <v>86</v>
      </c>
      <c r="AA164" s="18" t="s">
        <v>119</v>
      </c>
      <c r="AB164" s="18" t="s">
        <v>420</v>
      </c>
      <c r="AC164" s="18" t="s">
        <v>421</v>
      </c>
      <c r="AD164" s="18" t="s">
        <v>85</v>
      </c>
      <c r="AE164" s="18" t="s">
        <v>90</v>
      </c>
      <c r="AF164" s="18" t="s">
        <v>151</v>
      </c>
      <c r="AG164" s="18" t="s">
        <v>92</v>
      </c>
      <c r="AH164" s="18" t="s">
        <v>165</v>
      </c>
      <c r="AI164" s="18" t="s">
        <v>94</v>
      </c>
      <c r="AJ164" s="19">
        <v>44902</v>
      </c>
      <c r="AK164" s="22" t="s">
        <v>95</v>
      </c>
      <c r="AL164" s="18" t="s">
        <v>95</v>
      </c>
      <c r="AM164" s="18" t="s">
        <v>95</v>
      </c>
      <c r="AN164" s="18" t="s">
        <v>95</v>
      </c>
      <c r="AO164" s="18" t="s">
        <v>95</v>
      </c>
      <c r="AP164" s="18" t="s">
        <v>95</v>
      </c>
      <c r="AQ164" s="18" t="s">
        <v>95</v>
      </c>
      <c r="AR164" s="18" t="s">
        <v>95</v>
      </c>
      <c r="AS164" s="18" t="s">
        <v>83</v>
      </c>
      <c r="AT164" s="18" t="s">
        <v>83</v>
      </c>
      <c r="AU164" s="18" t="s">
        <v>83</v>
      </c>
      <c r="AV164" s="18" t="s">
        <v>95</v>
      </c>
      <c r="AW164" s="18" t="s">
        <v>291</v>
      </c>
      <c r="AX164" s="18"/>
      <c r="AY164" s="18" t="str">
        <f>Pospago[[#This Row],[NUM_TELEFONICO]]&amp;"POSPAGOSI"</f>
        <v>979163585POSPAGOSI</v>
      </c>
      <c r="AZ164" s="18" t="str">
        <f>VLOOKUP(Pospago[[#This Row],[NOM_PLAZA_FINAL]],[1]!Locales[#Data],3,0)</f>
        <v>TIENDA CUENCA REMIGIO</v>
      </c>
      <c r="BA164" s="18" t="str">
        <f>IFERROR(VLOOKUP(Pospago[[#This Row],[USUARIO]],[1]!Personal[#Data],6,0),"EJECUTIVO NO REGISTRADO")</f>
        <v>YEPEZ PALOMEQUE DIANA PATRICIA</v>
      </c>
      <c r="BB164" s="18" t="str">
        <f>Pospago[[#This Row],[TIPO_MOVIMIENTO]]&amp;" "&amp;Pospago[[#This Row],[FORMA_PAGO_FINAL]]</f>
        <v>TRANSFERENCIAS PAGO EN CAJA</v>
      </c>
      <c r="BC164" s="18">
        <f>DAY(Pospago[[#This Row],[FECHA_ALTA]])</f>
        <v>7</v>
      </c>
      <c r="BD164" s="18">
        <f>IF(Pospago[[#This Row],[TARIFA_BASICA]]=11.42,1,0)</f>
        <v>0</v>
      </c>
      <c r="BE164" s="18">
        <f>IF(Pospago[[#This Row],[PLANES TELEVENTAS]]="SI",1,0)</f>
        <v>0</v>
      </c>
      <c r="BF164" s="18">
        <f>1</f>
        <v>1</v>
      </c>
      <c r="BG164" s="18">
        <f>IF(OR(Pospago[[#This Row],[TARIFA_BASICA]]=11.42,Pospago[[#This Row],[PLANES TELEVENTAS]]="SI"),1,0)</f>
        <v>0</v>
      </c>
      <c r="BH164" s="18" t="str">
        <f>IF(MID(Pospago[[#This Row],[PlanDesc]],1,4) = "PLAN","POSPAGO",IF(MID(Pospago[[#This Row],[PlanDesc]],1,4)="FULL","FULL MEGAS","PREVIOPAGO"))</f>
        <v>POSPAGO</v>
      </c>
      <c r="BI1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64" s="21">
        <f>Pospago[[#This Row],[TARIFA_BASICA]]*1.5</f>
        <v>21.419999999999998</v>
      </c>
    </row>
    <row r="165" spans="1:63" x14ac:dyDescent="0.25">
      <c r="A165" s="18" t="s">
        <v>154</v>
      </c>
      <c r="B165" s="18" t="s">
        <v>1273</v>
      </c>
      <c r="C165" s="18" t="s">
        <v>1274</v>
      </c>
      <c r="D165" s="19">
        <v>44911</v>
      </c>
      <c r="E165" s="18" t="s">
        <v>67</v>
      </c>
      <c r="F165" s="18" t="s">
        <v>1275</v>
      </c>
      <c r="G165" s="18" t="s">
        <v>1276</v>
      </c>
      <c r="H165" s="18" t="s">
        <v>159</v>
      </c>
      <c r="I165" s="18" t="s">
        <v>130</v>
      </c>
      <c r="J165" s="18" t="s">
        <v>433</v>
      </c>
      <c r="K165" s="18" t="s">
        <v>132</v>
      </c>
      <c r="L165" s="20" t="s">
        <v>1277</v>
      </c>
      <c r="M165" s="18" t="s">
        <v>75</v>
      </c>
      <c r="N165" s="20" t="s">
        <v>1278</v>
      </c>
      <c r="O165" s="18" t="s">
        <v>164</v>
      </c>
      <c r="P165" s="18" t="s">
        <v>78</v>
      </c>
      <c r="Q165" s="19">
        <v>44914</v>
      </c>
      <c r="R165" s="21">
        <v>15</v>
      </c>
      <c r="S165" s="18" t="s">
        <v>79</v>
      </c>
      <c r="T165" s="18" t="s">
        <v>80</v>
      </c>
      <c r="U165" s="18" t="s">
        <v>83</v>
      </c>
      <c r="V165" s="18" t="s">
        <v>95</v>
      </c>
      <c r="W165" s="18" t="s">
        <v>95</v>
      </c>
      <c r="X165" s="18" t="s">
        <v>118</v>
      </c>
      <c r="Y165" s="18" t="s">
        <v>85</v>
      </c>
      <c r="Z165" s="18" t="s">
        <v>86</v>
      </c>
      <c r="AA165" s="18" t="s">
        <v>119</v>
      </c>
      <c r="AB165" s="18" t="s">
        <v>88</v>
      </c>
      <c r="AC165" s="18" t="s">
        <v>89</v>
      </c>
      <c r="AD165" s="18" t="s">
        <v>85</v>
      </c>
      <c r="AE165" s="18" t="s">
        <v>90</v>
      </c>
      <c r="AF165" s="18" t="s">
        <v>91</v>
      </c>
      <c r="AG165" s="18" t="s">
        <v>92</v>
      </c>
      <c r="AH165" s="18" t="s">
        <v>165</v>
      </c>
      <c r="AI165" s="18" t="s">
        <v>94</v>
      </c>
      <c r="AJ165" s="19">
        <v>44911</v>
      </c>
      <c r="AK165" s="22" t="s">
        <v>95</v>
      </c>
      <c r="AL165" s="18" t="s">
        <v>95</v>
      </c>
      <c r="AM165" s="18" t="s">
        <v>95</v>
      </c>
      <c r="AN165" s="18" t="s">
        <v>95</v>
      </c>
      <c r="AO165" s="18" t="s">
        <v>95</v>
      </c>
      <c r="AP165" s="18" t="s">
        <v>95</v>
      </c>
      <c r="AQ165" s="18" t="s">
        <v>95</v>
      </c>
      <c r="AR165" s="18" t="s">
        <v>95</v>
      </c>
      <c r="AS165" s="18" t="s">
        <v>83</v>
      </c>
      <c r="AT165" s="18" t="s">
        <v>83</v>
      </c>
      <c r="AU165" s="18" t="s">
        <v>81</v>
      </c>
      <c r="AV165" s="18" t="s">
        <v>95</v>
      </c>
      <c r="AW165" s="18" t="s">
        <v>95</v>
      </c>
      <c r="AX165" s="18"/>
      <c r="AY165" s="18" t="str">
        <f>Pospago[[#This Row],[NUM_TELEFONICO]]&amp;"POSPAGOSI"</f>
        <v>979165260POSPAGOSI</v>
      </c>
      <c r="AZ165" s="18" t="str">
        <f>VLOOKUP(Pospago[[#This Row],[NOM_PLAZA_FINAL]],[1]!Locales[#Data],3,0)</f>
        <v>TIENDA CUENCA CENTRO</v>
      </c>
      <c r="BA165" s="18" t="str">
        <f>IFERROR(VLOOKUP(Pospago[[#This Row],[USUARIO]],[1]!Personal[#Data],6,0),"EJECUTIVO NO REGISTRADO")</f>
        <v>ANDRADE CONDO CHRISTIAN EDUARDO</v>
      </c>
      <c r="BB165" s="18" t="str">
        <f>Pospago[[#This Row],[TIPO_MOVIMIENTO]]&amp;" "&amp;Pospago[[#This Row],[FORMA_PAGO_FINAL]]</f>
        <v>TRANSFERENCIAS PAGO EN CAJA</v>
      </c>
      <c r="BC165" s="18">
        <f>DAY(Pospago[[#This Row],[FECHA_ALTA]])</f>
        <v>16</v>
      </c>
      <c r="BD165" s="18">
        <f>IF(Pospago[[#This Row],[TARIFA_BASICA]]=11.42,1,0)</f>
        <v>0</v>
      </c>
      <c r="BE165" s="18">
        <f>IF(Pospago[[#This Row],[PLANES TELEVENTAS]]="SI",1,0)</f>
        <v>0</v>
      </c>
      <c r="BF165" s="18">
        <f>1</f>
        <v>1</v>
      </c>
      <c r="BG165" s="18">
        <f>IF(OR(Pospago[[#This Row],[TARIFA_BASICA]]=11.42,Pospago[[#This Row],[PLANES TELEVENTAS]]="SI"),1,0)</f>
        <v>0</v>
      </c>
      <c r="BH165" s="18" t="str">
        <f>IF(MID(Pospago[[#This Row],[PlanDesc]],1,4) = "PLAN","POSPAGO",IF(MID(Pospago[[#This Row],[PlanDesc]],1,4)="FULL","FULL MEGAS","PREVIOPAGO"))</f>
        <v>PREVIOPAGO</v>
      </c>
      <c r="BI1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65" s="21">
        <f>Pospago[[#This Row],[TARIFA_BASICA]]*1.5</f>
        <v>22.5</v>
      </c>
    </row>
    <row r="166" spans="1:63" x14ac:dyDescent="0.25">
      <c r="A166" s="18" t="s">
        <v>64</v>
      </c>
      <c r="B166" s="18" t="s">
        <v>1279</v>
      </c>
      <c r="C166" s="18" t="s">
        <v>1280</v>
      </c>
      <c r="D166" s="19">
        <v>44904</v>
      </c>
      <c r="E166" s="18" t="s">
        <v>67</v>
      </c>
      <c r="F166" s="18" t="s">
        <v>1281</v>
      </c>
      <c r="G166" s="18" t="s">
        <v>1282</v>
      </c>
      <c r="H166" s="18" t="s">
        <v>70</v>
      </c>
      <c r="I166" s="18" t="s">
        <v>227</v>
      </c>
      <c r="J166" s="18" t="s">
        <v>228</v>
      </c>
      <c r="K166" s="18" t="s">
        <v>132</v>
      </c>
      <c r="L166" s="20" t="s">
        <v>1283</v>
      </c>
      <c r="M166" s="18" t="s">
        <v>75</v>
      </c>
      <c r="N166" s="20" t="s">
        <v>1284</v>
      </c>
      <c r="O166" s="18" t="s">
        <v>77</v>
      </c>
      <c r="P166" s="18" t="s">
        <v>78</v>
      </c>
      <c r="Q166" s="19">
        <v>44914</v>
      </c>
      <c r="R166" s="21">
        <v>21.42</v>
      </c>
      <c r="S166" s="18" t="s">
        <v>79</v>
      </c>
      <c r="T166" s="18" t="s">
        <v>80</v>
      </c>
      <c r="U166" s="18" t="s">
        <v>81</v>
      </c>
      <c r="V166" s="18" t="s">
        <v>82</v>
      </c>
      <c r="W166" s="18" t="s">
        <v>83</v>
      </c>
      <c r="X166" s="18" t="s">
        <v>84</v>
      </c>
      <c r="Y166" s="18" t="s">
        <v>85</v>
      </c>
      <c r="Z166" s="18" t="s">
        <v>86</v>
      </c>
      <c r="AA166" s="18" t="s">
        <v>87</v>
      </c>
      <c r="AB166" s="18" t="s">
        <v>880</v>
      </c>
      <c r="AC166" s="18" t="s">
        <v>881</v>
      </c>
      <c r="AD166" s="18" t="s">
        <v>85</v>
      </c>
      <c r="AE166" s="18" t="s">
        <v>90</v>
      </c>
      <c r="AF166" s="18" t="s">
        <v>91</v>
      </c>
      <c r="AG166" s="18" t="s">
        <v>92</v>
      </c>
      <c r="AH166" s="18" t="s">
        <v>93</v>
      </c>
      <c r="AI166" s="18" t="s">
        <v>94</v>
      </c>
      <c r="AJ166" s="19">
        <v>44904</v>
      </c>
      <c r="AK166" s="22" t="s">
        <v>95</v>
      </c>
      <c r="AL166" s="18" t="s">
        <v>95</v>
      </c>
      <c r="AM166" s="18" t="s">
        <v>95</v>
      </c>
      <c r="AN166" s="18" t="s">
        <v>95</v>
      </c>
      <c r="AO166" s="18" t="s">
        <v>95</v>
      </c>
      <c r="AP166" s="18" t="s">
        <v>95</v>
      </c>
      <c r="AQ166" s="18" t="s">
        <v>95</v>
      </c>
      <c r="AR166" s="18" t="s">
        <v>95</v>
      </c>
      <c r="AS166" s="18" t="s">
        <v>83</v>
      </c>
      <c r="AT166" s="18" t="s">
        <v>83</v>
      </c>
      <c r="AU166" s="18" t="s">
        <v>81</v>
      </c>
      <c r="AV166" s="18" t="s">
        <v>95</v>
      </c>
      <c r="AW166" s="18" t="s">
        <v>291</v>
      </c>
      <c r="AX166" s="18"/>
      <c r="AY166" s="18" t="str">
        <f>Pospago[[#This Row],[NUM_TELEFONICO]]&amp;"POSPAGOSI"</f>
        <v>979165366POSPAGOSI</v>
      </c>
      <c r="AZ166" s="18" t="str">
        <f>VLOOKUP(Pospago[[#This Row],[NOM_PLAZA_FINAL]],[1]!Locales[#Data],3,0)</f>
        <v>TIENDA CUENCA CENTRO</v>
      </c>
      <c r="BA166" s="18" t="str">
        <f>IFERROR(VLOOKUP(Pospago[[#This Row],[USUARIO]],[1]!Personal[#Data],6,0),"EJECUTIVO NO REGISTRADO")</f>
        <v>LUNA JACHO ANDREA GABRIELA</v>
      </c>
      <c r="BB166" s="18" t="str">
        <f>Pospago[[#This Row],[TIPO_MOVIMIENTO]]&amp;" "&amp;Pospago[[#This Row],[FORMA_PAGO_FINAL]]</f>
        <v>ALTAS DOMICILIADO</v>
      </c>
      <c r="BC166" s="18">
        <f>DAY(Pospago[[#This Row],[FECHA_ALTA]])</f>
        <v>9</v>
      </c>
      <c r="BD166" s="18">
        <f>IF(Pospago[[#This Row],[TARIFA_BASICA]]=11.42,1,0)</f>
        <v>0</v>
      </c>
      <c r="BE166" s="18">
        <f>IF(Pospago[[#This Row],[PLANES TELEVENTAS]]="SI",1,0)</f>
        <v>0</v>
      </c>
      <c r="BF166" s="18">
        <f>1</f>
        <v>1</v>
      </c>
      <c r="BG166" s="18">
        <f>IF(OR(Pospago[[#This Row],[TARIFA_BASICA]]=11.42,Pospago[[#This Row],[PLANES TELEVENTAS]]="SI"),1,0)</f>
        <v>0</v>
      </c>
      <c r="BH166" s="18" t="str">
        <f>IF(MID(Pospago[[#This Row],[PlanDesc]],1,4) = "PLAN","POSPAGO",IF(MID(Pospago[[#This Row],[PlanDesc]],1,4)="FULL","FULL MEGAS","PREVIOPAGO"))</f>
        <v>PREVIOPAGO</v>
      </c>
      <c r="BI1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1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66" s="21">
        <f>Pospago[[#This Row],[TARIFA_BASICA]]*1.5</f>
        <v>32.130000000000003</v>
      </c>
    </row>
    <row r="167" spans="1:63" x14ac:dyDescent="0.25">
      <c r="A167" s="18" t="s">
        <v>154</v>
      </c>
      <c r="B167" s="18" t="s">
        <v>1285</v>
      </c>
      <c r="C167" s="18" t="s">
        <v>1286</v>
      </c>
      <c r="D167" s="19">
        <v>44905</v>
      </c>
      <c r="E167" s="18" t="s">
        <v>67</v>
      </c>
      <c r="F167" s="18" t="s">
        <v>1287</v>
      </c>
      <c r="G167" s="18" t="s">
        <v>1288</v>
      </c>
      <c r="H167" s="18" t="s">
        <v>159</v>
      </c>
      <c r="I167" s="18" t="s">
        <v>71</v>
      </c>
      <c r="J167" s="18" t="s">
        <v>258</v>
      </c>
      <c r="K167" s="18" t="s">
        <v>95</v>
      </c>
      <c r="L167" s="20" t="s">
        <v>1289</v>
      </c>
      <c r="M167" s="18" t="s">
        <v>75</v>
      </c>
      <c r="N167" s="20" t="s">
        <v>1290</v>
      </c>
      <c r="O167" s="18" t="s">
        <v>164</v>
      </c>
      <c r="P167" s="18" t="s">
        <v>78</v>
      </c>
      <c r="Q167" s="19">
        <v>44914</v>
      </c>
      <c r="R167" s="21">
        <v>11.42</v>
      </c>
      <c r="S167" s="18" t="s">
        <v>79</v>
      </c>
      <c r="T167" s="18" t="s">
        <v>80</v>
      </c>
      <c r="U167" s="18" t="s">
        <v>83</v>
      </c>
      <c r="V167" s="18" t="s">
        <v>95</v>
      </c>
      <c r="W167" s="18" t="s">
        <v>95</v>
      </c>
      <c r="X167" s="18" t="s">
        <v>84</v>
      </c>
      <c r="Y167" s="18" t="s">
        <v>85</v>
      </c>
      <c r="Z167" s="18" t="s">
        <v>86</v>
      </c>
      <c r="AA167" s="18" t="s">
        <v>87</v>
      </c>
      <c r="AB167" s="18" t="s">
        <v>289</v>
      </c>
      <c r="AC167" s="18" t="s">
        <v>290</v>
      </c>
      <c r="AD167" s="18" t="s">
        <v>85</v>
      </c>
      <c r="AE167" s="18" t="s">
        <v>90</v>
      </c>
      <c r="AF167" s="18" t="s">
        <v>91</v>
      </c>
      <c r="AG167" s="18" t="s">
        <v>92</v>
      </c>
      <c r="AH167" s="18" t="s">
        <v>165</v>
      </c>
      <c r="AI167" s="18" t="s">
        <v>94</v>
      </c>
      <c r="AJ167" s="19">
        <v>44905</v>
      </c>
      <c r="AK167" s="22" t="s">
        <v>95</v>
      </c>
      <c r="AL167" s="18" t="s">
        <v>95</v>
      </c>
      <c r="AM167" s="18" t="s">
        <v>95</v>
      </c>
      <c r="AN167" s="18" t="s">
        <v>95</v>
      </c>
      <c r="AO167" s="18" t="s">
        <v>95</v>
      </c>
      <c r="AP167" s="18" t="s">
        <v>95</v>
      </c>
      <c r="AQ167" s="18" t="s">
        <v>95</v>
      </c>
      <c r="AR167" s="18" t="s">
        <v>95</v>
      </c>
      <c r="AS167" s="18" t="s">
        <v>83</v>
      </c>
      <c r="AT167" s="18" t="s">
        <v>83</v>
      </c>
      <c r="AU167" s="18" t="s">
        <v>81</v>
      </c>
      <c r="AV167" s="18" t="s">
        <v>95</v>
      </c>
      <c r="AW167" s="18" t="s">
        <v>95</v>
      </c>
      <c r="AX167" s="18"/>
      <c r="AY167" s="18" t="str">
        <f>Pospago[[#This Row],[NUM_TELEFONICO]]&amp;"POSPAGOSI"</f>
        <v>979181836POSPAGOSI</v>
      </c>
      <c r="AZ167" s="18" t="str">
        <f>VLOOKUP(Pospago[[#This Row],[NOM_PLAZA_FINAL]],[1]!Locales[#Data],3,0)</f>
        <v>TIENDA CUENCA CENTRO</v>
      </c>
      <c r="BA167" s="18" t="str">
        <f>IFERROR(VLOOKUP(Pospago[[#This Row],[USUARIO]],[1]!Personal[#Data],6,0),"EJECUTIVO NO REGISTRADO")</f>
        <v>CALLE CHACA JORGE VINICIO</v>
      </c>
      <c r="BB167" s="18" t="str">
        <f>Pospago[[#This Row],[TIPO_MOVIMIENTO]]&amp;" "&amp;Pospago[[#This Row],[FORMA_PAGO_FINAL]]</f>
        <v>TRANSFERENCIAS DOMICILIADO</v>
      </c>
      <c r="BC167" s="18">
        <f>DAY(Pospago[[#This Row],[FECHA_ALTA]])</f>
        <v>10</v>
      </c>
      <c r="BD167" s="18">
        <f>IF(Pospago[[#This Row],[TARIFA_BASICA]]=11.42,1,0)</f>
        <v>1</v>
      </c>
      <c r="BE167" s="18">
        <f>IF(Pospago[[#This Row],[PLANES TELEVENTAS]]="SI",1,0)</f>
        <v>0</v>
      </c>
      <c r="BF167" s="18">
        <f>1</f>
        <v>1</v>
      </c>
      <c r="BG167" s="18">
        <f>IF(OR(Pospago[[#This Row],[TARIFA_BASICA]]=11.42,Pospago[[#This Row],[PLANES TELEVENTAS]]="SI"),1,0)</f>
        <v>1</v>
      </c>
      <c r="BH167" s="18" t="str">
        <f>IF(MID(Pospago[[#This Row],[PlanDesc]],1,4) = "PLAN","POSPAGO",IF(MID(Pospago[[#This Row],[PlanDesc]],1,4)="FULL","FULL MEGAS","PREVIOPAGO"))</f>
        <v>PREVIOPAGO</v>
      </c>
      <c r="BI1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1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67" s="21">
        <f>Pospago[[#This Row],[TARIFA_BASICA]]*1.5</f>
        <v>17.13</v>
      </c>
    </row>
    <row r="168" spans="1:63" x14ac:dyDescent="0.25">
      <c r="A168" s="18" t="s">
        <v>64</v>
      </c>
      <c r="B168" s="18" t="s">
        <v>1291</v>
      </c>
      <c r="C168" s="18" t="s">
        <v>1292</v>
      </c>
      <c r="D168" s="19">
        <v>44903</v>
      </c>
      <c r="E168" s="18" t="s">
        <v>67</v>
      </c>
      <c r="F168" s="18" t="s">
        <v>1293</v>
      </c>
      <c r="G168" s="18" t="s">
        <v>1294</v>
      </c>
      <c r="H168" s="18" t="s">
        <v>70</v>
      </c>
      <c r="I168" s="18" t="s">
        <v>160</v>
      </c>
      <c r="J168" s="18" t="s">
        <v>195</v>
      </c>
      <c r="K168" s="18" t="s">
        <v>73</v>
      </c>
      <c r="L168" s="20" t="s">
        <v>1295</v>
      </c>
      <c r="M168" s="18" t="s">
        <v>75</v>
      </c>
      <c r="N168" s="20" t="s">
        <v>1296</v>
      </c>
      <c r="O168" s="18" t="s">
        <v>77</v>
      </c>
      <c r="P168" s="18" t="s">
        <v>78</v>
      </c>
      <c r="Q168" s="19">
        <v>44914</v>
      </c>
      <c r="R168" s="21">
        <v>14.28</v>
      </c>
      <c r="S168" s="18" t="s">
        <v>79</v>
      </c>
      <c r="T168" s="18" t="s">
        <v>80</v>
      </c>
      <c r="U168" s="18" t="s">
        <v>83</v>
      </c>
      <c r="V168" s="18" t="s">
        <v>95</v>
      </c>
      <c r="W168" s="18" t="s">
        <v>83</v>
      </c>
      <c r="X168" s="18" t="s">
        <v>118</v>
      </c>
      <c r="Y168" s="18" t="s">
        <v>85</v>
      </c>
      <c r="Z168" s="18" t="s">
        <v>86</v>
      </c>
      <c r="AA168" s="18" t="s">
        <v>119</v>
      </c>
      <c r="AB168" s="18" t="s">
        <v>88</v>
      </c>
      <c r="AC168" s="18" t="s">
        <v>89</v>
      </c>
      <c r="AD168" s="18" t="s">
        <v>85</v>
      </c>
      <c r="AE168" s="18" t="s">
        <v>90</v>
      </c>
      <c r="AF168" s="18" t="s">
        <v>91</v>
      </c>
      <c r="AG168" s="18" t="s">
        <v>92</v>
      </c>
      <c r="AH168" s="18" t="s">
        <v>93</v>
      </c>
      <c r="AI168" s="18" t="s">
        <v>94</v>
      </c>
      <c r="AJ168" s="19">
        <v>44903</v>
      </c>
      <c r="AK168" s="22" t="s">
        <v>95</v>
      </c>
      <c r="AL168" s="18" t="s">
        <v>95</v>
      </c>
      <c r="AM168" s="18" t="s">
        <v>95</v>
      </c>
      <c r="AN168" s="18" t="s">
        <v>95</v>
      </c>
      <c r="AO168" s="18" t="s">
        <v>95</v>
      </c>
      <c r="AP168" s="18" t="s">
        <v>95</v>
      </c>
      <c r="AQ168" s="18" t="s">
        <v>95</v>
      </c>
      <c r="AR168" s="18" t="s">
        <v>95</v>
      </c>
      <c r="AS168" s="18" t="s">
        <v>83</v>
      </c>
      <c r="AT168" s="18" t="s">
        <v>83</v>
      </c>
      <c r="AU168" s="18" t="s">
        <v>81</v>
      </c>
      <c r="AV168" s="18" t="s">
        <v>95</v>
      </c>
      <c r="AW168" s="18" t="s">
        <v>95</v>
      </c>
      <c r="AX168" s="18"/>
      <c r="AY168" s="18" t="str">
        <f>Pospago[[#This Row],[NUM_TELEFONICO]]&amp;"POSPAGOSI"</f>
        <v>979182956POSPAGOSI</v>
      </c>
      <c r="AZ168" s="18" t="str">
        <f>VLOOKUP(Pospago[[#This Row],[NOM_PLAZA_FINAL]],[1]!Locales[#Data],3,0)</f>
        <v>TIENDA CUENCA CENTRO</v>
      </c>
      <c r="BA168" s="18" t="str">
        <f>IFERROR(VLOOKUP(Pospago[[#This Row],[USUARIO]],[1]!Personal[#Data],6,0),"EJECUTIVO NO REGISTRADO")</f>
        <v>ANDRADE CONDO CHRISTIAN EDUARDO</v>
      </c>
      <c r="BB168" s="18" t="str">
        <f>Pospago[[#This Row],[TIPO_MOVIMIENTO]]&amp;" "&amp;Pospago[[#This Row],[FORMA_PAGO_FINAL]]</f>
        <v>ALTAS PAGO EN CAJA</v>
      </c>
      <c r="BC168" s="18">
        <f>DAY(Pospago[[#This Row],[FECHA_ALTA]])</f>
        <v>8</v>
      </c>
      <c r="BD168" s="18">
        <f>IF(Pospago[[#This Row],[TARIFA_BASICA]]=11.42,1,0)</f>
        <v>0</v>
      </c>
      <c r="BE168" s="18">
        <f>IF(Pospago[[#This Row],[PLANES TELEVENTAS]]="SI",1,0)</f>
        <v>0</v>
      </c>
      <c r="BF168" s="18">
        <f>1</f>
        <v>1</v>
      </c>
      <c r="BG168" s="18">
        <f>IF(OR(Pospago[[#This Row],[TARIFA_BASICA]]=11.42,Pospago[[#This Row],[PLANES TELEVENTAS]]="SI"),1,0)</f>
        <v>0</v>
      </c>
      <c r="BH168" s="18" t="str">
        <f>IF(MID(Pospago[[#This Row],[PlanDesc]],1,4) = "PLAN","POSPAGO",IF(MID(Pospago[[#This Row],[PlanDesc]],1,4)="FULL","FULL MEGAS","PREVIOPAGO"))</f>
        <v>PREVIOPAGO</v>
      </c>
      <c r="BI1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68" s="21">
        <f>Pospago[[#This Row],[TARIFA_BASICA]]*1.5</f>
        <v>21.419999999999998</v>
      </c>
    </row>
    <row r="169" spans="1:63" x14ac:dyDescent="0.25">
      <c r="A169" s="18" t="s">
        <v>154</v>
      </c>
      <c r="B169" s="18" t="s">
        <v>1297</v>
      </c>
      <c r="C169" s="18" t="s">
        <v>1298</v>
      </c>
      <c r="D169" s="19">
        <v>44905</v>
      </c>
      <c r="E169" s="18" t="s">
        <v>67</v>
      </c>
      <c r="F169" s="18" t="s">
        <v>1299</v>
      </c>
      <c r="G169" s="18" t="s">
        <v>1300</v>
      </c>
      <c r="H169" s="18" t="s">
        <v>159</v>
      </c>
      <c r="I169" s="18" t="s">
        <v>194</v>
      </c>
      <c r="J169" s="18" t="s">
        <v>268</v>
      </c>
      <c r="K169" s="18" t="s">
        <v>132</v>
      </c>
      <c r="L169" s="20" t="s">
        <v>1301</v>
      </c>
      <c r="M169" s="18" t="s">
        <v>75</v>
      </c>
      <c r="N169" s="20" t="s">
        <v>1302</v>
      </c>
      <c r="O169" s="18" t="s">
        <v>164</v>
      </c>
      <c r="P169" s="18" t="s">
        <v>78</v>
      </c>
      <c r="Q169" s="19">
        <v>44914</v>
      </c>
      <c r="R169" s="21">
        <v>14.28</v>
      </c>
      <c r="S169" s="18" t="s">
        <v>79</v>
      </c>
      <c r="T169" s="18" t="s">
        <v>232</v>
      </c>
      <c r="U169" s="18" t="s">
        <v>83</v>
      </c>
      <c r="V169" s="18" t="s">
        <v>95</v>
      </c>
      <c r="W169" s="18" t="s">
        <v>95</v>
      </c>
      <c r="X169" s="18" t="s">
        <v>118</v>
      </c>
      <c r="Y169" s="18" t="s">
        <v>85</v>
      </c>
      <c r="Z169" s="18" t="s">
        <v>86</v>
      </c>
      <c r="AA169" s="18" t="s">
        <v>119</v>
      </c>
      <c r="AB169" s="18" t="s">
        <v>280</v>
      </c>
      <c r="AC169" s="18" t="s">
        <v>281</v>
      </c>
      <c r="AD169" s="18" t="s">
        <v>85</v>
      </c>
      <c r="AE169" s="18" t="s">
        <v>90</v>
      </c>
      <c r="AF169" s="18" t="s">
        <v>235</v>
      </c>
      <c r="AG169" s="18" t="s">
        <v>139</v>
      </c>
      <c r="AH169" s="18" t="s">
        <v>165</v>
      </c>
      <c r="AI169" s="18" t="s">
        <v>94</v>
      </c>
      <c r="AJ169" s="19">
        <v>44905</v>
      </c>
      <c r="AK169" s="22" t="s">
        <v>95</v>
      </c>
      <c r="AL169" s="18" t="s">
        <v>95</v>
      </c>
      <c r="AM169" s="18" t="s">
        <v>95</v>
      </c>
      <c r="AN169" s="18" t="s">
        <v>95</v>
      </c>
      <c r="AO169" s="18" t="s">
        <v>95</v>
      </c>
      <c r="AP169" s="18" t="s">
        <v>95</v>
      </c>
      <c r="AQ169" s="18" t="s">
        <v>95</v>
      </c>
      <c r="AR169" s="18" t="s">
        <v>95</v>
      </c>
      <c r="AS169" s="18" t="s">
        <v>83</v>
      </c>
      <c r="AT169" s="18" t="s">
        <v>81</v>
      </c>
      <c r="AU169" s="18" t="s">
        <v>81</v>
      </c>
      <c r="AV169" s="18" t="s">
        <v>95</v>
      </c>
      <c r="AW169" s="18" t="s">
        <v>96</v>
      </c>
      <c r="AX169" s="18"/>
      <c r="AY169" s="18" t="str">
        <f>Pospago[[#This Row],[NUM_TELEFONICO]]&amp;"POSPAGOSI"</f>
        <v>979214849POSPAGOSI</v>
      </c>
      <c r="AZ169" s="18" t="str">
        <f>VLOOKUP(Pospago[[#This Row],[NOM_PLAZA_FINAL]],[1]!Locales[#Data],3,0)</f>
        <v>TIENDA CONDADO</v>
      </c>
      <c r="BA169" s="18" t="str">
        <f>IFERROR(VLOOKUP(Pospago[[#This Row],[USUARIO]],[1]!Personal[#Data],6,0),"EJECUTIVO NO REGISTRADO")</f>
        <v>GUACHAMIN CAZA HUGO ADRIAN</v>
      </c>
      <c r="BB169" s="18" t="str">
        <f>Pospago[[#This Row],[TIPO_MOVIMIENTO]]&amp;" "&amp;Pospago[[#This Row],[FORMA_PAGO_FINAL]]</f>
        <v>TRANSFERENCIAS PAGO EN CAJA</v>
      </c>
      <c r="BC169" s="18">
        <f>DAY(Pospago[[#This Row],[FECHA_ALTA]])</f>
        <v>10</v>
      </c>
      <c r="BD169" s="18">
        <f>IF(Pospago[[#This Row],[TARIFA_BASICA]]=11.42,1,0)</f>
        <v>0</v>
      </c>
      <c r="BE169" s="18">
        <f>IF(Pospago[[#This Row],[PLANES TELEVENTAS]]="SI",1,0)</f>
        <v>1</v>
      </c>
      <c r="BF169" s="18">
        <f>1</f>
        <v>1</v>
      </c>
      <c r="BG169" s="18">
        <f>IF(OR(Pospago[[#This Row],[TARIFA_BASICA]]=11.42,Pospago[[#This Row],[PLANES TELEVENTAS]]="SI"),1,0)</f>
        <v>1</v>
      </c>
      <c r="BH169" s="18" t="str">
        <f>IF(MID(Pospago[[#This Row],[PlanDesc]],1,4) = "PLAN","POSPAGO",IF(MID(Pospago[[#This Row],[PlanDesc]],1,4)="FULL","FULL MEGAS","PREVIOPAGO"))</f>
        <v>PREVIOPAGO</v>
      </c>
      <c r="BI1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69" s="21">
        <f>Pospago[[#This Row],[TARIFA_BASICA]]*1.5</f>
        <v>21.419999999999998</v>
      </c>
    </row>
    <row r="170" spans="1:63" x14ac:dyDescent="0.25">
      <c r="A170" s="18" t="s">
        <v>64</v>
      </c>
      <c r="B170" s="18" t="s">
        <v>1303</v>
      </c>
      <c r="C170" s="18" t="s">
        <v>1304</v>
      </c>
      <c r="D170" s="19">
        <v>44906</v>
      </c>
      <c r="E170" s="18" t="s">
        <v>67</v>
      </c>
      <c r="F170" s="18" t="s">
        <v>1305</v>
      </c>
      <c r="G170" s="18" t="s">
        <v>1306</v>
      </c>
      <c r="H170" s="18" t="s">
        <v>70</v>
      </c>
      <c r="I170" s="18" t="s">
        <v>194</v>
      </c>
      <c r="J170" s="18" t="s">
        <v>195</v>
      </c>
      <c r="K170" s="18" t="s">
        <v>95</v>
      </c>
      <c r="L170" s="20" t="s">
        <v>1307</v>
      </c>
      <c r="M170" s="18" t="s">
        <v>287</v>
      </c>
      <c r="N170" s="20" t="s">
        <v>1308</v>
      </c>
      <c r="O170" s="18" t="s">
        <v>77</v>
      </c>
      <c r="P170" s="18" t="s">
        <v>78</v>
      </c>
      <c r="Q170" s="19">
        <v>44914</v>
      </c>
      <c r="R170" s="21">
        <v>14.28</v>
      </c>
      <c r="S170" s="18" t="s">
        <v>79</v>
      </c>
      <c r="T170" s="18" t="s">
        <v>232</v>
      </c>
      <c r="U170" s="18" t="s">
        <v>83</v>
      </c>
      <c r="V170" s="18" t="s">
        <v>95</v>
      </c>
      <c r="W170" s="18" t="s">
        <v>83</v>
      </c>
      <c r="X170" s="18" t="s">
        <v>118</v>
      </c>
      <c r="Y170" s="18" t="s">
        <v>85</v>
      </c>
      <c r="Z170" s="18" t="s">
        <v>86</v>
      </c>
      <c r="AA170" s="18" t="s">
        <v>119</v>
      </c>
      <c r="AB170" s="18" t="s">
        <v>280</v>
      </c>
      <c r="AC170" s="18" t="s">
        <v>281</v>
      </c>
      <c r="AD170" s="18" t="s">
        <v>85</v>
      </c>
      <c r="AE170" s="18" t="s">
        <v>90</v>
      </c>
      <c r="AF170" s="18" t="s">
        <v>235</v>
      </c>
      <c r="AG170" s="18" t="s">
        <v>139</v>
      </c>
      <c r="AH170" s="18" t="s">
        <v>93</v>
      </c>
      <c r="AI170" s="18" t="s">
        <v>94</v>
      </c>
      <c r="AJ170" s="19">
        <v>44906</v>
      </c>
      <c r="AK170" s="22">
        <v>44906</v>
      </c>
      <c r="AL170" s="18" t="s">
        <v>291</v>
      </c>
      <c r="AM170" s="18" t="s">
        <v>292</v>
      </c>
      <c r="AN170" s="18" t="s">
        <v>494</v>
      </c>
      <c r="AO170" s="18" t="s">
        <v>543</v>
      </c>
      <c r="AP170" s="18">
        <v>1</v>
      </c>
      <c r="AQ170" s="18">
        <v>156.25</v>
      </c>
      <c r="AR170" s="18" t="s">
        <v>496</v>
      </c>
      <c r="AS170" s="18" t="s">
        <v>81</v>
      </c>
      <c r="AT170" s="18" t="s">
        <v>81</v>
      </c>
      <c r="AU170" s="18" t="s">
        <v>81</v>
      </c>
      <c r="AV170" s="18" t="s">
        <v>95</v>
      </c>
      <c r="AW170" s="18" t="s">
        <v>96</v>
      </c>
      <c r="AX170" s="18"/>
      <c r="AY170" s="18" t="str">
        <f>Pospago[[#This Row],[NUM_TELEFONICO]]&amp;"POSPAGOSI"</f>
        <v>979224217POSPAGOSI</v>
      </c>
      <c r="AZ170" s="18" t="str">
        <f>VLOOKUP(Pospago[[#This Row],[NOM_PLAZA_FINAL]],[1]!Locales[#Data],3,0)</f>
        <v>TIENDA CONDADO</v>
      </c>
      <c r="BA170" s="18" t="str">
        <f>IFERROR(VLOOKUP(Pospago[[#This Row],[USUARIO]],[1]!Personal[#Data],6,0),"EJECUTIVO NO REGISTRADO")</f>
        <v>GUACHAMIN CAZA HUGO ADRIAN</v>
      </c>
      <c r="BB170" s="18" t="str">
        <f>Pospago[[#This Row],[TIPO_MOVIMIENTO]]&amp;" "&amp;Pospago[[#This Row],[FORMA_PAGO_FINAL]]</f>
        <v>ALTAS PAGO EN CAJA</v>
      </c>
      <c r="BC170" s="18">
        <f>DAY(Pospago[[#This Row],[FECHA_ALTA]])</f>
        <v>11</v>
      </c>
      <c r="BD170" s="18">
        <f>IF(Pospago[[#This Row],[TARIFA_BASICA]]=11.42,1,0)</f>
        <v>0</v>
      </c>
      <c r="BE170" s="18">
        <f>IF(Pospago[[#This Row],[PLANES TELEVENTAS]]="SI",1,0)</f>
        <v>1</v>
      </c>
      <c r="BF170" s="18">
        <f>1</f>
        <v>1</v>
      </c>
      <c r="BG170" s="18">
        <f>IF(OR(Pospago[[#This Row],[TARIFA_BASICA]]=11.42,Pospago[[#This Row],[PLANES TELEVENTAS]]="SI"),1,0)</f>
        <v>1</v>
      </c>
      <c r="BH170" s="18" t="str">
        <f>IF(MID(Pospago[[#This Row],[PlanDesc]],1,4) = "PLAN","POSPAGO",IF(MID(Pospago[[#This Row],[PlanDesc]],1,4)="FULL","FULL MEGAS","PREVIOPAGO"))</f>
        <v>PREVIOPAGO</v>
      </c>
      <c r="BI1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70" s="21">
        <f>Pospago[[#This Row],[TARIFA_BASICA]]*1.5</f>
        <v>21.419999999999998</v>
      </c>
    </row>
    <row r="171" spans="1:63" x14ac:dyDescent="0.25">
      <c r="A171" s="18" t="s">
        <v>64</v>
      </c>
      <c r="B171" s="18" t="s">
        <v>1309</v>
      </c>
      <c r="C171" s="18" t="s">
        <v>1310</v>
      </c>
      <c r="D171" s="19">
        <v>44911</v>
      </c>
      <c r="E171" s="18" t="s">
        <v>67</v>
      </c>
      <c r="F171" s="18" t="s">
        <v>1311</v>
      </c>
      <c r="G171" s="18" t="s">
        <v>1312</v>
      </c>
      <c r="H171" s="18" t="s">
        <v>70</v>
      </c>
      <c r="I171" s="18" t="s">
        <v>211</v>
      </c>
      <c r="J171" s="18" t="s">
        <v>212</v>
      </c>
      <c r="K171" s="18" t="s">
        <v>95</v>
      </c>
      <c r="L171" s="20" t="s">
        <v>1313</v>
      </c>
      <c r="M171" s="18" t="s">
        <v>75</v>
      </c>
      <c r="N171" s="20" t="s">
        <v>1314</v>
      </c>
      <c r="O171" s="18" t="s">
        <v>77</v>
      </c>
      <c r="P171" s="18" t="s">
        <v>78</v>
      </c>
      <c r="Q171" s="19">
        <v>44914</v>
      </c>
      <c r="R171" s="21">
        <v>25</v>
      </c>
      <c r="S171" s="18" t="s">
        <v>79</v>
      </c>
      <c r="T171" s="18" t="s">
        <v>174</v>
      </c>
      <c r="U171" s="18" t="s">
        <v>83</v>
      </c>
      <c r="V171" s="18" t="s">
        <v>95</v>
      </c>
      <c r="W171" s="18" t="s">
        <v>83</v>
      </c>
      <c r="X171" s="18" t="s">
        <v>118</v>
      </c>
      <c r="Y171" s="18" t="s">
        <v>85</v>
      </c>
      <c r="Z171" s="18" t="s">
        <v>86</v>
      </c>
      <c r="AA171" s="18" t="s">
        <v>119</v>
      </c>
      <c r="AB171" s="18" t="s">
        <v>1315</v>
      </c>
      <c r="AC171" s="18" t="s">
        <v>1316</v>
      </c>
      <c r="AD171" s="18" t="s">
        <v>85</v>
      </c>
      <c r="AE171" s="18" t="s">
        <v>90</v>
      </c>
      <c r="AF171" s="18" t="s">
        <v>177</v>
      </c>
      <c r="AG171" s="18" t="s">
        <v>139</v>
      </c>
      <c r="AH171" s="18" t="s">
        <v>93</v>
      </c>
      <c r="AI171" s="18" t="s">
        <v>94</v>
      </c>
      <c r="AJ171" s="19">
        <v>44911</v>
      </c>
      <c r="AK171" s="22" t="s">
        <v>95</v>
      </c>
      <c r="AL171" s="18" t="s">
        <v>95</v>
      </c>
      <c r="AM171" s="18" t="s">
        <v>95</v>
      </c>
      <c r="AN171" s="18" t="s">
        <v>95</v>
      </c>
      <c r="AO171" s="18" t="s">
        <v>95</v>
      </c>
      <c r="AP171" s="18" t="s">
        <v>95</v>
      </c>
      <c r="AQ171" s="18" t="s">
        <v>95</v>
      </c>
      <c r="AR171" s="18" t="s">
        <v>95</v>
      </c>
      <c r="AS171" s="18" t="s">
        <v>83</v>
      </c>
      <c r="AT171" s="18" t="s">
        <v>95</v>
      </c>
      <c r="AU171" s="18" t="s">
        <v>95</v>
      </c>
      <c r="AV171" s="18" t="s">
        <v>95</v>
      </c>
      <c r="AW171" s="18" t="s">
        <v>95</v>
      </c>
      <c r="AX171" s="18"/>
      <c r="AY171" s="18" t="str">
        <f>Pospago[[#This Row],[NUM_TELEFONICO]]&amp;"POSPAGOSI"</f>
        <v>979236087POSPAGOSI</v>
      </c>
      <c r="AZ171" s="18" t="str">
        <f>VLOOKUP(Pospago[[#This Row],[NOM_PLAZA_FINAL]],[1]!Locales[#Data],3,0)</f>
        <v>TIENDA RECREO</v>
      </c>
      <c r="BA171" s="18" t="str">
        <f>IFERROR(VLOOKUP(Pospago[[#This Row],[USUARIO]],[1]!Personal[#Data],6,0),"EJECUTIVO NO REGISTRADO")</f>
        <v>ORTEGA  NATALIE MÉNDEZ</v>
      </c>
      <c r="BB171" s="18" t="str">
        <f>Pospago[[#This Row],[TIPO_MOVIMIENTO]]&amp;" "&amp;Pospago[[#This Row],[FORMA_PAGO_FINAL]]</f>
        <v>ALTAS PAGO EN CAJA</v>
      </c>
      <c r="BC171" s="18">
        <f>DAY(Pospago[[#This Row],[FECHA_ALTA]])</f>
        <v>16</v>
      </c>
      <c r="BD171" s="18">
        <f>IF(Pospago[[#This Row],[TARIFA_BASICA]]=11.42,1,0)</f>
        <v>0</v>
      </c>
      <c r="BE171" s="18">
        <f>IF(Pospago[[#This Row],[PLANES TELEVENTAS]]="SI",1,0)</f>
        <v>0</v>
      </c>
      <c r="BF171" s="18">
        <f>1</f>
        <v>1</v>
      </c>
      <c r="BG171" s="18">
        <f>IF(OR(Pospago[[#This Row],[TARIFA_BASICA]]=11.42,Pospago[[#This Row],[PLANES TELEVENTAS]]="SI"),1,0)</f>
        <v>0</v>
      </c>
      <c r="BH171" s="18" t="str">
        <f>IF(MID(Pospago[[#This Row],[PlanDesc]],1,4) = "PLAN","POSPAGO",IF(MID(Pospago[[#This Row],[PlanDesc]],1,4)="FULL","FULL MEGAS","PREVIOPAGO"))</f>
        <v>FULL MEGAS</v>
      </c>
      <c r="BI1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32</v>
      </c>
      <c r="BJ1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71" s="21">
        <f>Pospago[[#This Row],[TARIFA_BASICA]]*1.5</f>
        <v>37.5</v>
      </c>
    </row>
    <row r="172" spans="1:63" x14ac:dyDescent="0.25">
      <c r="A172" s="18" t="s">
        <v>154</v>
      </c>
      <c r="B172" s="18" t="s">
        <v>1317</v>
      </c>
      <c r="C172" s="18" t="s">
        <v>1318</v>
      </c>
      <c r="D172" s="19">
        <v>44896</v>
      </c>
      <c r="E172" s="18" t="s">
        <v>67</v>
      </c>
      <c r="F172" s="18" t="s">
        <v>1319</v>
      </c>
      <c r="G172" s="18" t="s">
        <v>1320</v>
      </c>
      <c r="H172" s="18" t="s">
        <v>159</v>
      </c>
      <c r="I172" s="18" t="s">
        <v>130</v>
      </c>
      <c r="J172" s="18" t="s">
        <v>433</v>
      </c>
      <c r="K172" s="18" t="s">
        <v>132</v>
      </c>
      <c r="L172" s="20" t="s">
        <v>1321</v>
      </c>
      <c r="M172" s="18" t="s">
        <v>75</v>
      </c>
      <c r="N172" s="20" t="s">
        <v>1322</v>
      </c>
      <c r="O172" s="18" t="s">
        <v>164</v>
      </c>
      <c r="P172" s="18" t="s">
        <v>78</v>
      </c>
      <c r="Q172" s="19">
        <v>44914</v>
      </c>
      <c r="R172" s="21">
        <v>15</v>
      </c>
      <c r="S172" s="18" t="s">
        <v>79</v>
      </c>
      <c r="T172" s="18" t="s">
        <v>174</v>
      </c>
      <c r="U172" s="18" t="s">
        <v>83</v>
      </c>
      <c r="V172" s="18" t="s">
        <v>95</v>
      </c>
      <c r="W172" s="18" t="s">
        <v>95</v>
      </c>
      <c r="X172" s="18" t="s">
        <v>118</v>
      </c>
      <c r="Y172" s="18" t="s">
        <v>85</v>
      </c>
      <c r="Z172" s="18" t="s">
        <v>86</v>
      </c>
      <c r="AA172" s="18" t="s">
        <v>119</v>
      </c>
      <c r="AB172" s="18" t="s">
        <v>396</v>
      </c>
      <c r="AC172" s="18" t="s">
        <v>397</v>
      </c>
      <c r="AD172" s="18" t="s">
        <v>85</v>
      </c>
      <c r="AE172" s="18" t="s">
        <v>90</v>
      </c>
      <c r="AF172" s="18" t="s">
        <v>177</v>
      </c>
      <c r="AG172" s="18" t="s">
        <v>139</v>
      </c>
      <c r="AH172" s="18" t="s">
        <v>165</v>
      </c>
      <c r="AI172" s="18" t="s">
        <v>94</v>
      </c>
      <c r="AJ172" s="19">
        <v>44896</v>
      </c>
      <c r="AK172" s="22" t="s">
        <v>95</v>
      </c>
      <c r="AL172" s="18" t="s">
        <v>95</v>
      </c>
      <c r="AM172" s="18" t="s">
        <v>95</v>
      </c>
      <c r="AN172" s="18" t="s">
        <v>95</v>
      </c>
      <c r="AO172" s="18" t="s">
        <v>95</v>
      </c>
      <c r="AP172" s="18" t="s">
        <v>95</v>
      </c>
      <c r="AQ172" s="18" t="s">
        <v>95</v>
      </c>
      <c r="AR172" s="18" t="s">
        <v>95</v>
      </c>
      <c r="AS172" s="18" t="s">
        <v>83</v>
      </c>
      <c r="AT172" s="18" t="s">
        <v>83</v>
      </c>
      <c r="AU172" s="18" t="s">
        <v>81</v>
      </c>
      <c r="AV172" s="18" t="s">
        <v>95</v>
      </c>
      <c r="AW172" s="18" t="s">
        <v>95</v>
      </c>
      <c r="AX172" s="18"/>
      <c r="AY172" s="18" t="str">
        <f>Pospago[[#This Row],[NUM_TELEFONICO]]&amp;"POSPAGOSI"</f>
        <v>979263302POSPAGOSI</v>
      </c>
      <c r="AZ172" s="18" t="str">
        <f>VLOOKUP(Pospago[[#This Row],[NOM_PLAZA_FINAL]],[1]!Locales[#Data],3,0)</f>
        <v>TIENDA RECREO</v>
      </c>
      <c r="BA172" s="18" t="str">
        <f>IFERROR(VLOOKUP(Pospago[[#This Row],[USUARIO]],[1]!Personal[#Data],6,0),"EJECUTIVO NO REGISTRADO")</f>
        <v>VINUEZA VELASCO ANGY DAYANA</v>
      </c>
      <c r="BB172" s="18" t="str">
        <f>Pospago[[#This Row],[TIPO_MOVIMIENTO]]&amp;" "&amp;Pospago[[#This Row],[FORMA_PAGO_FINAL]]</f>
        <v>TRANSFERENCIAS PAGO EN CAJA</v>
      </c>
      <c r="BC172" s="18">
        <f>DAY(Pospago[[#This Row],[FECHA_ALTA]])</f>
        <v>1</v>
      </c>
      <c r="BD172" s="18">
        <f>IF(Pospago[[#This Row],[TARIFA_BASICA]]=11.42,1,0)</f>
        <v>0</v>
      </c>
      <c r="BE172" s="18">
        <f>IF(Pospago[[#This Row],[PLANES TELEVENTAS]]="SI",1,0)</f>
        <v>0</v>
      </c>
      <c r="BF172" s="18">
        <f>1</f>
        <v>1</v>
      </c>
      <c r="BG172" s="18">
        <f>IF(OR(Pospago[[#This Row],[TARIFA_BASICA]]=11.42,Pospago[[#This Row],[PLANES TELEVENTAS]]="SI"),1,0)</f>
        <v>0</v>
      </c>
      <c r="BH172" s="18" t="str">
        <f>IF(MID(Pospago[[#This Row],[PlanDesc]],1,4) = "PLAN","POSPAGO",IF(MID(Pospago[[#This Row],[PlanDesc]],1,4)="FULL","FULL MEGAS","PREVIOPAGO"))</f>
        <v>PREVIOPAGO</v>
      </c>
      <c r="BI1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72" s="21">
        <f>Pospago[[#This Row],[TARIFA_BASICA]]*1.5</f>
        <v>22.5</v>
      </c>
    </row>
    <row r="173" spans="1:63" x14ac:dyDescent="0.25">
      <c r="A173" s="18" t="s">
        <v>64</v>
      </c>
      <c r="B173" s="18" t="s">
        <v>1323</v>
      </c>
      <c r="C173" s="18" t="s">
        <v>1324</v>
      </c>
      <c r="D173" s="19">
        <v>44912</v>
      </c>
      <c r="E173" s="18" t="s">
        <v>67</v>
      </c>
      <c r="F173" s="18" t="s">
        <v>1325</v>
      </c>
      <c r="G173" s="18" t="s">
        <v>1326</v>
      </c>
      <c r="H173" s="18" t="s">
        <v>70</v>
      </c>
      <c r="I173" s="18" t="s">
        <v>71</v>
      </c>
      <c r="J173" s="18" t="s">
        <v>72</v>
      </c>
      <c r="K173" s="18" t="s">
        <v>114</v>
      </c>
      <c r="L173" s="20" t="s">
        <v>1327</v>
      </c>
      <c r="M173" s="18" t="s">
        <v>75</v>
      </c>
      <c r="N173" s="20" t="s">
        <v>1328</v>
      </c>
      <c r="O173" s="18" t="s">
        <v>77</v>
      </c>
      <c r="P173" s="18" t="s">
        <v>78</v>
      </c>
      <c r="Q173" s="19">
        <v>44914</v>
      </c>
      <c r="R173" s="21">
        <v>11.42</v>
      </c>
      <c r="S173" s="18" t="s">
        <v>79</v>
      </c>
      <c r="T173" s="18" t="s">
        <v>117</v>
      </c>
      <c r="U173" s="18" t="s">
        <v>83</v>
      </c>
      <c r="V173" s="18" t="s">
        <v>95</v>
      </c>
      <c r="W173" s="18" t="s">
        <v>83</v>
      </c>
      <c r="X173" s="18" t="s">
        <v>118</v>
      </c>
      <c r="Y173" s="18" t="s">
        <v>85</v>
      </c>
      <c r="Z173" s="18" t="s">
        <v>86</v>
      </c>
      <c r="AA173" s="18" t="s">
        <v>119</v>
      </c>
      <c r="AB173" s="18" t="s">
        <v>651</v>
      </c>
      <c r="AC173" s="18" t="s">
        <v>652</v>
      </c>
      <c r="AD173" s="18" t="s">
        <v>85</v>
      </c>
      <c r="AE173" s="18" t="s">
        <v>90</v>
      </c>
      <c r="AF173" s="18" t="s">
        <v>122</v>
      </c>
      <c r="AG173" s="18" t="s">
        <v>92</v>
      </c>
      <c r="AH173" s="18" t="s">
        <v>93</v>
      </c>
      <c r="AI173" s="18" t="s">
        <v>94</v>
      </c>
      <c r="AJ173" s="19">
        <v>44912</v>
      </c>
      <c r="AK173" s="22" t="s">
        <v>95</v>
      </c>
      <c r="AL173" s="18" t="s">
        <v>95</v>
      </c>
      <c r="AM173" s="18" t="s">
        <v>95</v>
      </c>
      <c r="AN173" s="18" t="s">
        <v>95</v>
      </c>
      <c r="AO173" s="18" t="s">
        <v>95</v>
      </c>
      <c r="AP173" s="18" t="s">
        <v>95</v>
      </c>
      <c r="AQ173" s="18" t="s">
        <v>95</v>
      </c>
      <c r="AR173" s="18" t="s">
        <v>95</v>
      </c>
      <c r="AS173" s="18" t="s">
        <v>83</v>
      </c>
      <c r="AT173" s="18" t="s">
        <v>83</v>
      </c>
      <c r="AU173" s="18" t="s">
        <v>81</v>
      </c>
      <c r="AV173" s="18" t="s">
        <v>95</v>
      </c>
      <c r="AW173" s="18" t="s">
        <v>95</v>
      </c>
      <c r="AX173" s="18"/>
      <c r="AY173" s="18" t="str">
        <f>Pospago[[#This Row],[NUM_TELEFONICO]]&amp;"POSPAGOSI"</f>
        <v>979272947POSPAGOSI</v>
      </c>
      <c r="AZ173" s="18" t="str">
        <f>VLOOKUP(Pospago[[#This Row],[NOM_PLAZA_FINAL]],[1]!Locales[#Data],3,0)</f>
        <v>TIENDA MACHALA</v>
      </c>
      <c r="BA173" s="18" t="str">
        <f>IFERROR(VLOOKUP(Pospago[[#This Row],[USUARIO]],[1]!Personal[#Data],6,0),"EJECUTIVO NO REGISTRADO")</f>
        <v>SANCHEZ SARITAMA JOEL LUIS</v>
      </c>
      <c r="BB173" s="18" t="str">
        <f>Pospago[[#This Row],[TIPO_MOVIMIENTO]]&amp;" "&amp;Pospago[[#This Row],[FORMA_PAGO_FINAL]]</f>
        <v>ALTAS PAGO EN CAJA</v>
      </c>
      <c r="BC173" s="18">
        <f>DAY(Pospago[[#This Row],[FECHA_ALTA]])</f>
        <v>17</v>
      </c>
      <c r="BD173" s="18">
        <f>IF(Pospago[[#This Row],[TARIFA_BASICA]]=11.42,1,0)</f>
        <v>1</v>
      </c>
      <c r="BE173" s="18">
        <f>IF(Pospago[[#This Row],[PLANES TELEVENTAS]]="SI",1,0)</f>
        <v>0</v>
      </c>
      <c r="BF173" s="18">
        <f>1</f>
        <v>1</v>
      </c>
      <c r="BG173" s="18">
        <f>IF(OR(Pospago[[#This Row],[TARIFA_BASICA]]=11.42,Pospago[[#This Row],[PLANES TELEVENTAS]]="SI"),1,0)</f>
        <v>1</v>
      </c>
      <c r="BH173" s="18" t="str">
        <f>IF(MID(Pospago[[#This Row],[PlanDesc]],1,4) = "PLAN","POSPAGO",IF(MID(Pospago[[#This Row],[PlanDesc]],1,4)="FULL","FULL MEGAS","PREVIOPAGO"))</f>
        <v>PREVIOPAGO</v>
      </c>
      <c r="BI1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7.4879999999999995</v>
      </c>
      <c r="BJ1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73" s="21">
        <f>Pospago[[#This Row],[TARIFA_BASICA]]*1.5</f>
        <v>17.13</v>
      </c>
    </row>
    <row r="174" spans="1:63" x14ac:dyDescent="0.25">
      <c r="A174" s="18" t="s">
        <v>154</v>
      </c>
      <c r="B174" s="18" t="s">
        <v>1329</v>
      </c>
      <c r="C174" s="18" t="s">
        <v>1330</v>
      </c>
      <c r="D174" s="19">
        <v>44900</v>
      </c>
      <c r="E174" s="18" t="s">
        <v>67</v>
      </c>
      <c r="F174" s="18" t="s">
        <v>1331</v>
      </c>
      <c r="G174" s="18" t="s">
        <v>1332</v>
      </c>
      <c r="H174" s="18" t="s">
        <v>159</v>
      </c>
      <c r="I174" s="18" t="s">
        <v>160</v>
      </c>
      <c r="J174" s="18" t="s">
        <v>161</v>
      </c>
      <c r="K174" s="18" t="s">
        <v>73</v>
      </c>
      <c r="L174" s="20" t="s">
        <v>1333</v>
      </c>
      <c r="M174" s="18" t="s">
        <v>75</v>
      </c>
      <c r="N174" s="20" t="s">
        <v>1334</v>
      </c>
      <c r="O174" s="18" t="s">
        <v>164</v>
      </c>
      <c r="P174" s="18" t="s">
        <v>78</v>
      </c>
      <c r="Q174" s="19">
        <v>44914</v>
      </c>
      <c r="R174" s="21">
        <v>14.28</v>
      </c>
      <c r="S174" s="18" t="s">
        <v>79</v>
      </c>
      <c r="T174" s="18" t="s">
        <v>174</v>
      </c>
      <c r="U174" s="18" t="s">
        <v>83</v>
      </c>
      <c r="V174" s="18" t="s">
        <v>95</v>
      </c>
      <c r="W174" s="18" t="s">
        <v>95</v>
      </c>
      <c r="X174" s="18" t="s">
        <v>84</v>
      </c>
      <c r="Y174" s="18" t="s">
        <v>85</v>
      </c>
      <c r="Z174" s="18" t="s">
        <v>86</v>
      </c>
      <c r="AA174" s="18" t="s">
        <v>87</v>
      </c>
      <c r="AB174" s="18" t="s">
        <v>303</v>
      </c>
      <c r="AC174" s="18" t="s">
        <v>304</v>
      </c>
      <c r="AD174" s="18" t="s">
        <v>85</v>
      </c>
      <c r="AE174" s="18" t="s">
        <v>90</v>
      </c>
      <c r="AF174" s="18" t="s">
        <v>177</v>
      </c>
      <c r="AG174" s="18" t="s">
        <v>139</v>
      </c>
      <c r="AH174" s="18" t="s">
        <v>165</v>
      </c>
      <c r="AI174" s="18" t="s">
        <v>94</v>
      </c>
      <c r="AJ174" s="19">
        <v>44900</v>
      </c>
      <c r="AK174" s="22" t="s">
        <v>95</v>
      </c>
      <c r="AL174" s="18" t="s">
        <v>95</v>
      </c>
      <c r="AM174" s="18" t="s">
        <v>95</v>
      </c>
      <c r="AN174" s="18" t="s">
        <v>95</v>
      </c>
      <c r="AO174" s="18" t="s">
        <v>95</v>
      </c>
      <c r="AP174" s="18" t="s">
        <v>95</v>
      </c>
      <c r="AQ174" s="18" t="s">
        <v>95</v>
      </c>
      <c r="AR174" s="18" t="s">
        <v>95</v>
      </c>
      <c r="AS174" s="18" t="s">
        <v>83</v>
      </c>
      <c r="AT174" s="18" t="s">
        <v>83</v>
      </c>
      <c r="AU174" s="18" t="s">
        <v>81</v>
      </c>
      <c r="AV174" s="18" t="s">
        <v>95</v>
      </c>
      <c r="AW174" s="18" t="s">
        <v>95</v>
      </c>
      <c r="AX174" s="18"/>
      <c r="AY174" s="18" t="str">
        <f>Pospago[[#This Row],[NUM_TELEFONICO]]&amp;"POSPAGOSI"</f>
        <v>979273379POSPAGOSI</v>
      </c>
      <c r="AZ174" s="18" t="str">
        <f>VLOOKUP(Pospago[[#This Row],[NOM_PLAZA_FINAL]],[1]!Locales[#Data],3,0)</f>
        <v>TIENDA RECREO</v>
      </c>
      <c r="BA174" s="18" t="str">
        <f>IFERROR(VLOOKUP(Pospago[[#This Row],[USUARIO]],[1]!Personal[#Data],6,0),"EJECUTIVO NO REGISTRADO")</f>
        <v>CORDOVA GAIBOR JONATHAN HERNAN</v>
      </c>
      <c r="BB174" s="18" t="str">
        <f>Pospago[[#This Row],[TIPO_MOVIMIENTO]]&amp;" "&amp;Pospago[[#This Row],[FORMA_PAGO_FINAL]]</f>
        <v>TRANSFERENCIAS DOMICILIADO</v>
      </c>
      <c r="BC174" s="18">
        <f>DAY(Pospago[[#This Row],[FECHA_ALTA]])</f>
        <v>5</v>
      </c>
      <c r="BD174" s="18">
        <f>IF(Pospago[[#This Row],[TARIFA_BASICA]]=11.42,1,0)</f>
        <v>0</v>
      </c>
      <c r="BE174" s="18">
        <f>IF(Pospago[[#This Row],[PLANES TELEVENTAS]]="SI",1,0)</f>
        <v>0</v>
      </c>
      <c r="BF174" s="18">
        <f>1</f>
        <v>1</v>
      </c>
      <c r="BG174" s="18">
        <f>IF(OR(Pospago[[#This Row],[TARIFA_BASICA]]=11.42,Pospago[[#This Row],[PLANES TELEVENTAS]]="SI"),1,0)</f>
        <v>0</v>
      </c>
      <c r="BH174" s="18" t="str">
        <f>IF(MID(Pospago[[#This Row],[PlanDesc]],1,4) = "PLAN","POSPAGO",IF(MID(Pospago[[#This Row],[PlanDesc]],1,4)="FULL","FULL MEGAS","PREVIOPAGO"))</f>
        <v>PREVIOPAGO</v>
      </c>
      <c r="BI1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74" s="21">
        <f>Pospago[[#This Row],[TARIFA_BASICA]]*1.5</f>
        <v>21.419999999999998</v>
      </c>
    </row>
    <row r="175" spans="1:63" x14ac:dyDescent="0.25">
      <c r="A175" s="18" t="s">
        <v>154</v>
      </c>
      <c r="B175" s="18" t="s">
        <v>1335</v>
      </c>
      <c r="C175" s="18" t="s">
        <v>1336</v>
      </c>
      <c r="D175" s="19">
        <v>44903</v>
      </c>
      <c r="E175" s="18" t="s">
        <v>67</v>
      </c>
      <c r="F175" s="18" t="s">
        <v>1337</v>
      </c>
      <c r="G175" s="18" t="s">
        <v>1338</v>
      </c>
      <c r="H175" s="18" t="s">
        <v>159</v>
      </c>
      <c r="I175" s="18" t="s">
        <v>160</v>
      </c>
      <c r="J175" s="18" t="s">
        <v>161</v>
      </c>
      <c r="K175" s="18" t="s">
        <v>95</v>
      </c>
      <c r="L175" s="20" t="s">
        <v>1339</v>
      </c>
      <c r="M175" s="18" t="s">
        <v>75</v>
      </c>
      <c r="N175" s="20" t="s">
        <v>1340</v>
      </c>
      <c r="O175" s="18" t="s">
        <v>164</v>
      </c>
      <c r="P175" s="18" t="s">
        <v>78</v>
      </c>
      <c r="Q175" s="19">
        <v>44914</v>
      </c>
      <c r="R175" s="21">
        <v>14.28</v>
      </c>
      <c r="S175" s="18" t="s">
        <v>79</v>
      </c>
      <c r="T175" s="18" t="s">
        <v>174</v>
      </c>
      <c r="U175" s="18" t="s">
        <v>83</v>
      </c>
      <c r="V175" s="18" t="s">
        <v>95</v>
      </c>
      <c r="W175" s="18" t="s">
        <v>95</v>
      </c>
      <c r="X175" s="18" t="s">
        <v>84</v>
      </c>
      <c r="Y175" s="18" t="s">
        <v>85</v>
      </c>
      <c r="Z175" s="18" t="s">
        <v>86</v>
      </c>
      <c r="AA175" s="18" t="s">
        <v>87</v>
      </c>
      <c r="AB175" s="18" t="s">
        <v>262</v>
      </c>
      <c r="AC175" s="18" t="s">
        <v>263</v>
      </c>
      <c r="AD175" s="18" t="s">
        <v>85</v>
      </c>
      <c r="AE175" s="18" t="s">
        <v>90</v>
      </c>
      <c r="AF175" s="18" t="s">
        <v>177</v>
      </c>
      <c r="AG175" s="18" t="s">
        <v>139</v>
      </c>
      <c r="AH175" s="18" t="s">
        <v>165</v>
      </c>
      <c r="AI175" s="18" t="s">
        <v>94</v>
      </c>
      <c r="AJ175" s="19">
        <v>44903</v>
      </c>
      <c r="AK175" s="22" t="s">
        <v>95</v>
      </c>
      <c r="AL175" s="18" t="s">
        <v>95</v>
      </c>
      <c r="AM175" s="18" t="s">
        <v>95</v>
      </c>
      <c r="AN175" s="18" t="s">
        <v>95</v>
      </c>
      <c r="AO175" s="18" t="s">
        <v>95</v>
      </c>
      <c r="AP175" s="18" t="s">
        <v>95</v>
      </c>
      <c r="AQ175" s="18" t="s">
        <v>95</v>
      </c>
      <c r="AR175" s="18" t="s">
        <v>95</v>
      </c>
      <c r="AS175" s="18" t="s">
        <v>83</v>
      </c>
      <c r="AT175" s="18" t="s">
        <v>83</v>
      </c>
      <c r="AU175" s="18" t="s">
        <v>81</v>
      </c>
      <c r="AV175" s="18" t="s">
        <v>95</v>
      </c>
      <c r="AW175" s="18" t="s">
        <v>95</v>
      </c>
      <c r="AX175" s="18"/>
      <c r="AY175" s="18" t="str">
        <f>Pospago[[#This Row],[NUM_TELEFONICO]]&amp;"POSPAGOSI"</f>
        <v>979284131POSPAGOSI</v>
      </c>
      <c r="AZ175" s="18" t="str">
        <f>VLOOKUP(Pospago[[#This Row],[NOM_PLAZA_FINAL]],[1]!Locales[#Data],3,0)</f>
        <v>TIENDA RECREO</v>
      </c>
      <c r="BA175" s="18" t="str">
        <f>IFERROR(VLOOKUP(Pospago[[#This Row],[USUARIO]],[1]!Personal[#Data],6,0),"EJECUTIVO NO REGISTRADO")</f>
        <v>CHICAIZA TOAPANTA ALEX DANILO</v>
      </c>
      <c r="BB175" s="18" t="str">
        <f>Pospago[[#This Row],[TIPO_MOVIMIENTO]]&amp;" "&amp;Pospago[[#This Row],[FORMA_PAGO_FINAL]]</f>
        <v>TRANSFERENCIAS DOMICILIADO</v>
      </c>
      <c r="BC175" s="18">
        <f>DAY(Pospago[[#This Row],[FECHA_ALTA]])</f>
        <v>8</v>
      </c>
      <c r="BD175" s="18">
        <f>IF(Pospago[[#This Row],[TARIFA_BASICA]]=11.42,1,0)</f>
        <v>0</v>
      </c>
      <c r="BE175" s="18">
        <f>IF(Pospago[[#This Row],[PLANES TELEVENTAS]]="SI",1,0)</f>
        <v>0</v>
      </c>
      <c r="BF175" s="18">
        <f>1</f>
        <v>1</v>
      </c>
      <c r="BG175" s="18">
        <f>IF(OR(Pospago[[#This Row],[TARIFA_BASICA]]=11.42,Pospago[[#This Row],[PLANES TELEVENTAS]]="SI"),1,0)</f>
        <v>0</v>
      </c>
      <c r="BH175" s="18" t="str">
        <f>IF(MID(Pospago[[#This Row],[PlanDesc]],1,4) = "PLAN","POSPAGO",IF(MID(Pospago[[#This Row],[PlanDesc]],1,4)="FULL","FULL MEGAS","PREVIOPAGO"))</f>
        <v>PREVIOPAGO</v>
      </c>
      <c r="BI1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75" s="21">
        <f>Pospago[[#This Row],[TARIFA_BASICA]]*1.5</f>
        <v>21.419999999999998</v>
      </c>
    </row>
    <row r="176" spans="1:63" x14ac:dyDescent="0.25">
      <c r="A176" s="18" t="s">
        <v>64</v>
      </c>
      <c r="B176" s="18" t="s">
        <v>1341</v>
      </c>
      <c r="C176" s="18" t="s">
        <v>1342</v>
      </c>
      <c r="D176" s="19">
        <v>44912</v>
      </c>
      <c r="E176" s="18" t="s">
        <v>67</v>
      </c>
      <c r="F176" s="18" t="s">
        <v>1343</v>
      </c>
      <c r="G176" s="18" t="s">
        <v>1344</v>
      </c>
      <c r="H176" s="18" t="s">
        <v>70</v>
      </c>
      <c r="I176" s="18" t="s">
        <v>160</v>
      </c>
      <c r="J176" s="18" t="s">
        <v>195</v>
      </c>
      <c r="K176" s="18" t="s">
        <v>95</v>
      </c>
      <c r="L176" s="20" t="s">
        <v>1345</v>
      </c>
      <c r="M176" s="18" t="s">
        <v>75</v>
      </c>
      <c r="N176" s="20" t="s">
        <v>1346</v>
      </c>
      <c r="O176" s="18" t="s">
        <v>77</v>
      </c>
      <c r="P176" s="18" t="s">
        <v>78</v>
      </c>
      <c r="Q176" s="19">
        <v>44914</v>
      </c>
      <c r="R176" s="21">
        <v>14.28</v>
      </c>
      <c r="S176" s="18" t="s">
        <v>79</v>
      </c>
      <c r="T176" s="18" t="s">
        <v>232</v>
      </c>
      <c r="U176" s="18" t="s">
        <v>83</v>
      </c>
      <c r="V176" s="18" t="s">
        <v>95</v>
      </c>
      <c r="W176" s="18" t="s">
        <v>83</v>
      </c>
      <c r="X176" s="18" t="s">
        <v>84</v>
      </c>
      <c r="Y176" s="18" t="s">
        <v>85</v>
      </c>
      <c r="Z176" s="18" t="s">
        <v>86</v>
      </c>
      <c r="AA176" s="18" t="s">
        <v>87</v>
      </c>
      <c r="AB176" s="18" t="s">
        <v>233</v>
      </c>
      <c r="AC176" s="18" t="s">
        <v>234</v>
      </c>
      <c r="AD176" s="18" t="s">
        <v>85</v>
      </c>
      <c r="AE176" s="18" t="s">
        <v>90</v>
      </c>
      <c r="AF176" s="18" t="s">
        <v>235</v>
      </c>
      <c r="AG176" s="18" t="s">
        <v>139</v>
      </c>
      <c r="AH176" s="18" t="s">
        <v>93</v>
      </c>
      <c r="AI176" s="18" t="s">
        <v>94</v>
      </c>
      <c r="AJ176" s="19">
        <v>44912</v>
      </c>
      <c r="AK176" s="22" t="s">
        <v>95</v>
      </c>
      <c r="AL176" s="18" t="s">
        <v>95</v>
      </c>
      <c r="AM176" s="18" t="s">
        <v>95</v>
      </c>
      <c r="AN176" s="18" t="s">
        <v>95</v>
      </c>
      <c r="AO176" s="18" t="s">
        <v>95</v>
      </c>
      <c r="AP176" s="18" t="s">
        <v>95</v>
      </c>
      <c r="AQ176" s="18" t="s">
        <v>95</v>
      </c>
      <c r="AR176" s="18" t="s">
        <v>95</v>
      </c>
      <c r="AS176" s="18" t="s">
        <v>83</v>
      </c>
      <c r="AT176" s="18" t="s">
        <v>83</v>
      </c>
      <c r="AU176" s="18" t="s">
        <v>81</v>
      </c>
      <c r="AV176" s="18" t="s">
        <v>95</v>
      </c>
      <c r="AW176" s="18" t="s">
        <v>95</v>
      </c>
      <c r="AX176" s="18"/>
      <c r="AY176" s="18" t="str">
        <f>Pospago[[#This Row],[NUM_TELEFONICO]]&amp;"POSPAGOSI"</f>
        <v>979286196POSPAGOSI</v>
      </c>
      <c r="AZ176" s="18" t="str">
        <f>VLOOKUP(Pospago[[#This Row],[NOM_PLAZA_FINAL]],[1]!Locales[#Data],3,0)</f>
        <v>TIENDA CONDADO</v>
      </c>
      <c r="BA176" s="18" t="str">
        <f>IFERROR(VLOOKUP(Pospago[[#This Row],[USUARIO]],[1]!Personal[#Data],6,0),"EJECUTIVO NO REGISTRADO")</f>
        <v>ROSALES MALDONADO JESSICA GABRIELA</v>
      </c>
      <c r="BB176" s="18" t="str">
        <f>Pospago[[#This Row],[TIPO_MOVIMIENTO]]&amp;" "&amp;Pospago[[#This Row],[FORMA_PAGO_FINAL]]</f>
        <v>ALTAS DOMICILIADO</v>
      </c>
      <c r="BC176" s="18">
        <f>DAY(Pospago[[#This Row],[FECHA_ALTA]])</f>
        <v>17</v>
      </c>
      <c r="BD176" s="18">
        <f>IF(Pospago[[#This Row],[TARIFA_BASICA]]=11.42,1,0)</f>
        <v>0</v>
      </c>
      <c r="BE176" s="18">
        <f>IF(Pospago[[#This Row],[PLANES TELEVENTAS]]="SI",1,0)</f>
        <v>0</v>
      </c>
      <c r="BF176" s="18">
        <f>1</f>
        <v>1</v>
      </c>
      <c r="BG176" s="18">
        <f>IF(OR(Pospago[[#This Row],[TARIFA_BASICA]]=11.42,Pospago[[#This Row],[PLANES TELEVENTAS]]="SI"),1,0)</f>
        <v>0</v>
      </c>
      <c r="BH176" s="18" t="str">
        <f>IF(MID(Pospago[[#This Row],[PlanDesc]],1,4) = "PLAN","POSPAGO",IF(MID(Pospago[[#This Row],[PlanDesc]],1,4)="FULL","FULL MEGAS","PREVIOPAGO"))</f>
        <v>PREVIOPAGO</v>
      </c>
      <c r="BI1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76" s="21">
        <f>Pospago[[#This Row],[TARIFA_BASICA]]*1.5</f>
        <v>21.419999999999998</v>
      </c>
    </row>
    <row r="177" spans="1:63" x14ac:dyDescent="0.25">
      <c r="A177" s="18" t="s">
        <v>64</v>
      </c>
      <c r="B177" s="18" t="s">
        <v>1347</v>
      </c>
      <c r="C177" s="18" t="s">
        <v>1348</v>
      </c>
      <c r="D177" s="19">
        <v>44912</v>
      </c>
      <c r="E177" s="18" t="s">
        <v>67</v>
      </c>
      <c r="F177" s="18" t="s">
        <v>1349</v>
      </c>
      <c r="G177" s="18" t="s">
        <v>1350</v>
      </c>
      <c r="H177" s="18" t="s">
        <v>70</v>
      </c>
      <c r="I177" s="18" t="s">
        <v>160</v>
      </c>
      <c r="J177" s="18" t="s">
        <v>195</v>
      </c>
      <c r="K177" s="18" t="s">
        <v>132</v>
      </c>
      <c r="L177" s="20" t="s">
        <v>1351</v>
      </c>
      <c r="M177" s="18" t="s">
        <v>75</v>
      </c>
      <c r="N177" s="20" t="s">
        <v>1352</v>
      </c>
      <c r="O177" s="18" t="s">
        <v>77</v>
      </c>
      <c r="P177" s="18" t="s">
        <v>78</v>
      </c>
      <c r="Q177" s="19">
        <v>44914</v>
      </c>
      <c r="R177" s="21">
        <v>14.28</v>
      </c>
      <c r="S177" s="18" t="s">
        <v>79</v>
      </c>
      <c r="T177" s="18" t="s">
        <v>232</v>
      </c>
      <c r="U177" s="18" t="s">
        <v>83</v>
      </c>
      <c r="V177" s="18" t="s">
        <v>95</v>
      </c>
      <c r="W177" s="18" t="s">
        <v>83</v>
      </c>
      <c r="X177" s="18" t="s">
        <v>84</v>
      </c>
      <c r="Y177" s="18" t="s">
        <v>85</v>
      </c>
      <c r="Z177" s="18" t="s">
        <v>86</v>
      </c>
      <c r="AA177" s="18" t="s">
        <v>87</v>
      </c>
      <c r="AB177" s="18" t="s">
        <v>377</v>
      </c>
      <c r="AC177" s="18" t="s">
        <v>378</v>
      </c>
      <c r="AD177" s="18" t="s">
        <v>85</v>
      </c>
      <c r="AE177" s="18" t="s">
        <v>90</v>
      </c>
      <c r="AF177" s="18" t="s">
        <v>235</v>
      </c>
      <c r="AG177" s="18" t="s">
        <v>139</v>
      </c>
      <c r="AH177" s="18" t="s">
        <v>93</v>
      </c>
      <c r="AI177" s="18" t="s">
        <v>94</v>
      </c>
      <c r="AJ177" s="19">
        <v>44912</v>
      </c>
      <c r="AK177" s="22" t="s">
        <v>95</v>
      </c>
      <c r="AL177" s="18" t="s">
        <v>95</v>
      </c>
      <c r="AM177" s="18" t="s">
        <v>95</v>
      </c>
      <c r="AN177" s="18" t="s">
        <v>95</v>
      </c>
      <c r="AO177" s="18" t="s">
        <v>95</v>
      </c>
      <c r="AP177" s="18" t="s">
        <v>95</v>
      </c>
      <c r="AQ177" s="18" t="s">
        <v>95</v>
      </c>
      <c r="AR177" s="18" t="s">
        <v>95</v>
      </c>
      <c r="AS177" s="18" t="s">
        <v>83</v>
      </c>
      <c r="AT177" s="18" t="s">
        <v>83</v>
      </c>
      <c r="AU177" s="18" t="s">
        <v>81</v>
      </c>
      <c r="AV177" s="18" t="s">
        <v>95</v>
      </c>
      <c r="AW177" s="18" t="s">
        <v>95</v>
      </c>
      <c r="AX177" s="18"/>
      <c r="AY177" s="18" t="str">
        <f>Pospago[[#This Row],[NUM_TELEFONICO]]&amp;"POSPAGOSI"</f>
        <v>979288927POSPAGOSI</v>
      </c>
      <c r="AZ177" s="18" t="str">
        <f>VLOOKUP(Pospago[[#This Row],[NOM_PLAZA_FINAL]],[1]!Locales[#Data],3,0)</f>
        <v>TIENDA CONDADO</v>
      </c>
      <c r="BA177" s="18" t="str">
        <f>IFERROR(VLOOKUP(Pospago[[#This Row],[USUARIO]],[1]!Personal[#Data],6,0),"EJECUTIVO NO REGISTRADO")</f>
        <v>MELCHIADE ISAAC VALMORE</v>
      </c>
      <c r="BB177" s="18" t="str">
        <f>Pospago[[#This Row],[TIPO_MOVIMIENTO]]&amp;" "&amp;Pospago[[#This Row],[FORMA_PAGO_FINAL]]</f>
        <v>ALTAS DOMICILIADO</v>
      </c>
      <c r="BC177" s="18">
        <f>DAY(Pospago[[#This Row],[FECHA_ALTA]])</f>
        <v>17</v>
      </c>
      <c r="BD177" s="18">
        <f>IF(Pospago[[#This Row],[TARIFA_BASICA]]=11.42,1,0)</f>
        <v>0</v>
      </c>
      <c r="BE177" s="18">
        <f>IF(Pospago[[#This Row],[PLANES TELEVENTAS]]="SI",1,0)</f>
        <v>0</v>
      </c>
      <c r="BF177" s="18">
        <f>1</f>
        <v>1</v>
      </c>
      <c r="BG177" s="18">
        <f>IF(OR(Pospago[[#This Row],[TARIFA_BASICA]]=11.42,Pospago[[#This Row],[PLANES TELEVENTAS]]="SI"),1,0)</f>
        <v>0</v>
      </c>
      <c r="BH177" s="18" t="str">
        <f>IF(MID(Pospago[[#This Row],[PlanDesc]],1,4) = "PLAN","POSPAGO",IF(MID(Pospago[[#This Row],[PlanDesc]],1,4)="FULL","FULL MEGAS","PREVIOPAGO"))</f>
        <v>PREVIOPAGO</v>
      </c>
      <c r="BI1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77" s="21">
        <f>Pospago[[#This Row],[TARIFA_BASICA]]*1.5</f>
        <v>21.419999999999998</v>
      </c>
    </row>
    <row r="178" spans="1:63" x14ac:dyDescent="0.25">
      <c r="A178" s="18" t="s">
        <v>64</v>
      </c>
      <c r="B178" s="18" t="s">
        <v>1353</v>
      </c>
      <c r="C178" s="18" t="s">
        <v>1354</v>
      </c>
      <c r="D178" s="19">
        <v>44897</v>
      </c>
      <c r="E178" s="18" t="s">
        <v>67</v>
      </c>
      <c r="F178" s="18" t="s">
        <v>1355</v>
      </c>
      <c r="G178" s="18" t="s">
        <v>1356</v>
      </c>
      <c r="H178" s="18" t="s">
        <v>70</v>
      </c>
      <c r="I178" s="18" t="s">
        <v>1357</v>
      </c>
      <c r="J178" s="18" t="s">
        <v>72</v>
      </c>
      <c r="K178" s="18" t="s">
        <v>95</v>
      </c>
      <c r="L178" s="20" t="s">
        <v>1358</v>
      </c>
      <c r="M178" s="18" t="s">
        <v>75</v>
      </c>
      <c r="N178" s="20" t="s">
        <v>1359</v>
      </c>
      <c r="O178" s="18" t="s">
        <v>77</v>
      </c>
      <c r="P178" s="18" t="s">
        <v>78</v>
      </c>
      <c r="Q178" s="19">
        <v>44914</v>
      </c>
      <c r="R178" s="21">
        <v>11.42</v>
      </c>
      <c r="S178" s="18" t="s">
        <v>79</v>
      </c>
      <c r="T178" s="18" t="s">
        <v>232</v>
      </c>
      <c r="U178" s="18" t="s">
        <v>83</v>
      </c>
      <c r="V178" s="18" t="s">
        <v>95</v>
      </c>
      <c r="W178" s="18" t="s">
        <v>83</v>
      </c>
      <c r="X178" s="18" t="s">
        <v>118</v>
      </c>
      <c r="Y178" s="18" t="s">
        <v>85</v>
      </c>
      <c r="Z178" s="18" t="s">
        <v>86</v>
      </c>
      <c r="AA178" s="18" t="s">
        <v>119</v>
      </c>
      <c r="AB178" s="18" t="s">
        <v>233</v>
      </c>
      <c r="AC178" s="18" t="s">
        <v>234</v>
      </c>
      <c r="AD178" s="18" t="s">
        <v>85</v>
      </c>
      <c r="AE178" s="18" t="s">
        <v>90</v>
      </c>
      <c r="AF178" s="18" t="s">
        <v>235</v>
      </c>
      <c r="AG178" s="18" t="s">
        <v>139</v>
      </c>
      <c r="AH178" s="18" t="s">
        <v>93</v>
      </c>
      <c r="AI178" s="18" t="s">
        <v>94</v>
      </c>
      <c r="AJ178" s="19">
        <v>44897</v>
      </c>
      <c r="AK178" s="22" t="s">
        <v>95</v>
      </c>
      <c r="AL178" s="18" t="s">
        <v>95</v>
      </c>
      <c r="AM178" s="18" t="s">
        <v>95</v>
      </c>
      <c r="AN178" s="18" t="s">
        <v>95</v>
      </c>
      <c r="AO178" s="18" t="s">
        <v>95</v>
      </c>
      <c r="AP178" s="18" t="s">
        <v>95</v>
      </c>
      <c r="AQ178" s="18" t="s">
        <v>95</v>
      </c>
      <c r="AR178" s="18" t="s">
        <v>95</v>
      </c>
      <c r="AS178" s="18" t="s">
        <v>83</v>
      </c>
      <c r="AT178" s="18" t="s">
        <v>81</v>
      </c>
      <c r="AU178" s="18" t="s">
        <v>81</v>
      </c>
      <c r="AV178" s="18" t="s">
        <v>95</v>
      </c>
      <c r="AW178" s="18" t="s">
        <v>95</v>
      </c>
      <c r="AX178" s="18"/>
      <c r="AY178" s="18" t="str">
        <f>Pospago[[#This Row],[NUM_TELEFONICO]]&amp;"POSPAGOSI"</f>
        <v>979292883POSPAGOSI</v>
      </c>
      <c r="AZ178" s="18" t="str">
        <f>VLOOKUP(Pospago[[#This Row],[NOM_PLAZA_FINAL]],[1]!Locales[#Data],3,0)</f>
        <v>TIENDA CONDADO</v>
      </c>
      <c r="BA178" s="18" t="str">
        <f>IFERROR(VLOOKUP(Pospago[[#This Row],[USUARIO]],[1]!Personal[#Data],6,0),"EJECUTIVO NO REGISTRADO")</f>
        <v>ROSALES MALDONADO JESSICA GABRIELA</v>
      </c>
      <c r="BB178" s="18" t="str">
        <f>Pospago[[#This Row],[TIPO_MOVIMIENTO]]&amp;" "&amp;Pospago[[#This Row],[FORMA_PAGO_FINAL]]</f>
        <v>ALTAS PAGO EN CAJA</v>
      </c>
      <c r="BC178" s="18">
        <f>DAY(Pospago[[#This Row],[FECHA_ALTA]])</f>
        <v>2</v>
      </c>
      <c r="BD178" s="18">
        <f>IF(Pospago[[#This Row],[TARIFA_BASICA]]=11.42,1,0)</f>
        <v>1</v>
      </c>
      <c r="BE178" s="18">
        <f>IF(Pospago[[#This Row],[PLANES TELEVENTAS]]="SI",1,0)</f>
        <v>1</v>
      </c>
      <c r="BF178" s="18">
        <f>1</f>
        <v>1</v>
      </c>
      <c r="BG178" s="18">
        <f>IF(OR(Pospago[[#This Row],[TARIFA_BASICA]]=11.42,Pospago[[#This Row],[PLANES TELEVENTAS]]="SI"),1,0)</f>
        <v>1</v>
      </c>
      <c r="BH178" s="18" t="str">
        <f>IF(MID(Pospago[[#This Row],[PlanDesc]],1,4) = "PLAN","POSPAGO",IF(MID(Pospago[[#This Row],[PlanDesc]],1,4)="FULL","FULL MEGAS","PREVIOPAGO"))</f>
        <v>PREVIOPAGO</v>
      </c>
      <c r="BI1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78" s="21">
        <f>Pospago[[#This Row],[TARIFA_BASICA]]*1.5</f>
        <v>17.13</v>
      </c>
    </row>
    <row r="179" spans="1:63" x14ac:dyDescent="0.25">
      <c r="A179" s="18" t="s">
        <v>154</v>
      </c>
      <c r="B179" s="18" t="s">
        <v>1360</v>
      </c>
      <c r="C179" s="18" t="s">
        <v>1361</v>
      </c>
      <c r="D179" s="19">
        <v>44904</v>
      </c>
      <c r="E179" s="18" t="s">
        <v>67</v>
      </c>
      <c r="F179" s="18" t="s">
        <v>1362</v>
      </c>
      <c r="G179" s="18" t="s">
        <v>1363</v>
      </c>
      <c r="H179" s="18" t="s">
        <v>159</v>
      </c>
      <c r="I179" s="18" t="s">
        <v>194</v>
      </c>
      <c r="J179" s="18" t="s">
        <v>268</v>
      </c>
      <c r="K179" s="18" t="s">
        <v>73</v>
      </c>
      <c r="L179" s="20" t="s">
        <v>1364</v>
      </c>
      <c r="M179" s="18" t="s">
        <v>75</v>
      </c>
      <c r="N179" s="20" t="s">
        <v>1365</v>
      </c>
      <c r="O179" s="18" t="s">
        <v>164</v>
      </c>
      <c r="P179" s="18" t="s">
        <v>78</v>
      </c>
      <c r="Q179" s="19">
        <v>44914</v>
      </c>
      <c r="R179" s="21">
        <v>14.28</v>
      </c>
      <c r="S179" s="18" t="s">
        <v>79</v>
      </c>
      <c r="T179" s="18" t="s">
        <v>232</v>
      </c>
      <c r="U179" s="18" t="s">
        <v>83</v>
      </c>
      <c r="V179" s="18" t="s">
        <v>95</v>
      </c>
      <c r="W179" s="18" t="s">
        <v>95</v>
      </c>
      <c r="X179" s="18" t="s">
        <v>84</v>
      </c>
      <c r="Y179" s="18" t="s">
        <v>85</v>
      </c>
      <c r="Z179" s="18" t="s">
        <v>86</v>
      </c>
      <c r="AA179" s="18" t="s">
        <v>87</v>
      </c>
      <c r="AB179" s="18" t="s">
        <v>443</v>
      </c>
      <c r="AC179" s="18" t="s">
        <v>444</v>
      </c>
      <c r="AD179" s="18" t="s">
        <v>85</v>
      </c>
      <c r="AE179" s="18" t="s">
        <v>90</v>
      </c>
      <c r="AF179" s="18" t="s">
        <v>235</v>
      </c>
      <c r="AG179" s="18" t="s">
        <v>139</v>
      </c>
      <c r="AH179" s="18" t="s">
        <v>165</v>
      </c>
      <c r="AI179" s="18" t="s">
        <v>94</v>
      </c>
      <c r="AJ179" s="19">
        <v>44904</v>
      </c>
      <c r="AK179" s="22" t="s">
        <v>95</v>
      </c>
      <c r="AL179" s="18" t="s">
        <v>95</v>
      </c>
      <c r="AM179" s="18" t="s">
        <v>95</v>
      </c>
      <c r="AN179" s="18" t="s">
        <v>95</v>
      </c>
      <c r="AO179" s="18" t="s">
        <v>95</v>
      </c>
      <c r="AP179" s="18" t="s">
        <v>95</v>
      </c>
      <c r="AQ179" s="18" t="s">
        <v>95</v>
      </c>
      <c r="AR179" s="18" t="s">
        <v>95</v>
      </c>
      <c r="AS179" s="18" t="s">
        <v>83</v>
      </c>
      <c r="AT179" s="18" t="s">
        <v>81</v>
      </c>
      <c r="AU179" s="18" t="s">
        <v>81</v>
      </c>
      <c r="AV179" s="18" t="s">
        <v>95</v>
      </c>
      <c r="AW179" s="18" t="s">
        <v>95</v>
      </c>
      <c r="AX179" s="18"/>
      <c r="AY179" s="18" t="str">
        <f>Pospago[[#This Row],[NUM_TELEFONICO]]&amp;"POSPAGOSI"</f>
        <v>979297716POSPAGOSI</v>
      </c>
      <c r="AZ179" s="18" t="str">
        <f>VLOOKUP(Pospago[[#This Row],[NOM_PLAZA_FINAL]],[1]!Locales[#Data],3,0)</f>
        <v>TIENDA CONDADO</v>
      </c>
      <c r="BA179" s="18" t="str">
        <f>IFERROR(VLOOKUP(Pospago[[#This Row],[USUARIO]],[1]!Personal[#Data],6,0),"EJECUTIVO NO REGISTRADO")</f>
        <v>JARAMILLO ESPINOZA KENIA KATRINA</v>
      </c>
      <c r="BB179" s="18" t="str">
        <f>Pospago[[#This Row],[TIPO_MOVIMIENTO]]&amp;" "&amp;Pospago[[#This Row],[FORMA_PAGO_FINAL]]</f>
        <v>TRANSFERENCIAS DOMICILIADO</v>
      </c>
      <c r="BC179" s="18">
        <f>DAY(Pospago[[#This Row],[FECHA_ALTA]])</f>
        <v>9</v>
      </c>
      <c r="BD179" s="18">
        <f>IF(Pospago[[#This Row],[TARIFA_BASICA]]=11.42,1,0)</f>
        <v>0</v>
      </c>
      <c r="BE179" s="18">
        <f>IF(Pospago[[#This Row],[PLANES TELEVENTAS]]="SI",1,0)</f>
        <v>1</v>
      </c>
      <c r="BF179" s="18">
        <f>1</f>
        <v>1</v>
      </c>
      <c r="BG179" s="18">
        <f>IF(OR(Pospago[[#This Row],[TARIFA_BASICA]]=11.42,Pospago[[#This Row],[PLANES TELEVENTAS]]="SI"),1,0)</f>
        <v>1</v>
      </c>
      <c r="BH179" s="18" t="str">
        <f>IF(MID(Pospago[[#This Row],[PlanDesc]],1,4) = "PLAN","POSPAGO",IF(MID(Pospago[[#This Row],[PlanDesc]],1,4)="FULL","FULL MEGAS","PREVIOPAGO"))</f>
        <v>PREVIOPAGO</v>
      </c>
      <c r="BI1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79" s="21">
        <f>Pospago[[#This Row],[TARIFA_BASICA]]*1.5</f>
        <v>21.419999999999998</v>
      </c>
    </row>
    <row r="180" spans="1:63" x14ac:dyDescent="0.25">
      <c r="A180" s="18" t="s">
        <v>64</v>
      </c>
      <c r="B180" s="18" t="s">
        <v>1366</v>
      </c>
      <c r="C180" s="18" t="s">
        <v>1367</v>
      </c>
      <c r="D180" s="19">
        <v>44902</v>
      </c>
      <c r="E180" s="18" t="s">
        <v>67</v>
      </c>
      <c r="F180" s="18" t="s">
        <v>1368</v>
      </c>
      <c r="G180" s="18" t="s">
        <v>1369</v>
      </c>
      <c r="H180" s="18" t="s">
        <v>70</v>
      </c>
      <c r="I180" s="18" t="s">
        <v>160</v>
      </c>
      <c r="J180" s="18" t="s">
        <v>195</v>
      </c>
      <c r="K180" s="18" t="s">
        <v>132</v>
      </c>
      <c r="L180" s="20" t="s">
        <v>1370</v>
      </c>
      <c r="M180" s="18" t="s">
        <v>75</v>
      </c>
      <c r="N180" s="20" t="s">
        <v>1371</v>
      </c>
      <c r="O180" s="18" t="s">
        <v>77</v>
      </c>
      <c r="P180" s="18" t="s">
        <v>78</v>
      </c>
      <c r="Q180" s="19">
        <v>44914</v>
      </c>
      <c r="R180" s="21">
        <v>14.28</v>
      </c>
      <c r="S180" s="18" t="s">
        <v>79</v>
      </c>
      <c r="T180" s="18" t="s">
        <v>232</v>
      </c>
      <c r="U180" s="18" t="s">
        <v>83</v>
      </c>
      <c r="V180" s="18" t="s">
        <v>95</v>
      </c>
      <c r="W180" s="18" t="s">
        <v>83</v>
      </c>
      <c r="X180" s="18" t="s">
        <v>84</v>
      </c>
      <c r="Y180" s="18" t="s">
        <v>85</v>
      </c>
      <c r="Z180" s="18" t="s">
        <v>86</v>
      </c>
      <c r="AA180" s="18" t="s">
        <v>87</v>
      </c>
      <c r="AB180" s="18" t="s">
        <v>443</v>
      </c>
      <c r="AC180" s="18" t="s">
        <v>444</v>
      </c>
      <c r="AD180" s="18" t="s">
        <v>85</v>
      </c>
      <c r="AE180" s="18" t="s">
        <v>90</v>
      </c>
      <c r="AF180" s="18" t="s">
        <v>235</v>
      </c>
      <c r="AG180" s="18" t="s">
        <v>139</v>
      </c>
      <c r="AH180" s="18" t="s">
        <v>93</v>
      </c>
      <c r="AI180" s="18" t="s">
        <v>94</v>
      </c>
      <c r="AJ180" s="19">
        <v>44902</v>
      </c>
      <c r="AK180" s="22" t="s">
        <v>95</v>
      </c>
      <c r="AL180" s="18" t="s">
        <v>95</v>
      </c>
      <c r="AM180" s="18" t="s">
        <v>95</v>
      </c>
      <c r="AN180" s="18" t="s">
        <v>95</v>
      </c>
      <c r="AO180" s="18" t="s">
        <v>95</v>
      </c>
      <c r="AP180" s="18" t="s">
        <v>95</v>
      </c>
      <c r="AQ180" s="18" t="s">
        <v>95</v>
      </c>
      <c r="AR180" s="18" t="s">
        <v>95</v>
      </c>
      <c r="AS180" s="18" t="s">
        <v>83</v>
      </c>
      <c r="AT180" s="18" t="s">
        <v>83</v>
      </c>
      <c r="AU180" s="18" t="s">
        <v>81</v>
      </c>
      <c r="AV180" s="18" t="s">
        <v>95</v>
      </c>
      <c r="AW180" s="18" t="s">
        <v>95</v>
      </c>
      <c r="AX180" s="18"/>
      <c r="AY180" s="18" t="str">
        <f>Pospago[[#This Row],[NUM_TELEFONICO]]&amp;"POSPAGOSI"</f>
        <v>979311555POSPAGOSI</v>
      </c>
      <c r="AZ180" s="18" t="str">
        <f>VLOOKUP(Pospago[[#This Row],[NOM_PLAZA_FINAL]],[1]!Locales[#Data],3,0)</f>
        <v>TIENDA CONDADO</v>
      </c>
      <c r="BA180" s="18" t="str">
        <f>IFERROR(VLOOKUP(Pospago[[#This Row],[USUARIO]],[1]!Personal[#Data],6,0),"EJECUTIVO NO REGISTRADO")</f>
        <v>JARAMILLO ESPINOZA KENIA KATRINA</v>
      </c>
      <c r="BB180" s="18" t="str">
        <f>Pospago[[#This Row],[TIPO_MOVIMIENTO]]&amp;" "&amp;Pospago[[#This Row],[FORMA_PAGO_FINAL]]</f>
        <v>ALTAS DOMICILIADO</v>
      </c>
      <c r="BC180" s="18">
        <f>DAY(Pospago[[#This Row],[FECHA_ALTA]])</f>
        <v>7</v>
      </c>
      <c r="BD180" s="18">
        <f>IF(Pospago[[#This Row],[TARIFA_BASICA]]=11.42,1,0)</f>
        <v>0</v>
      </c>
      <c r="BE180" s="18">
        <f>IF(Pospago[[#This Row],[PLANES TELEVENTAS]]="SI",1,0)</f>
        <v>0</v>
      </c>
      <c r="BF180" s="18">
        <f>1</f>
        <v>1</v>
      </c>
      <c r="BG180" s="18">
        <f>IF(OR(Pospago[[#This Row],[TARIFA_BASICA]]=11.42,Pospago[[#This Row],[PLANES TELEVENTAS]]="SI"),1,0)</f>
        <v>0</v>
      </c>
      <c r="BH180" s="18" t="str">
        <f>IF(MID(Pospago[[#This Row],[PlanDesc]],1,4) = "PLAN","POSPAGO",IF(MID(Pospago[[#This Row],[PlanDesc]],1,4)="FULL","FULL MEGAS","PREVIOPAGO"))</f>
        <v>PREVIOPAGO</v>
      </c>
      <c r="BI1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0" s="21">
        <f>Pospago[[#This Row],[TARIFA_BASICA]]*1.5</f>
        <v>21.419999999999998</v>
      </c>
    </row>
    <row r="181" spans="1:63" x14ac:dyDescent="0.25">
      <c r="A181" s="18" t="s">
        <v>154</v>
      </c>
      <c r="B181" s="18" t="s">
        <v>1372</v>
      </c>
      <c r="C181" s="18" t="s">
        <v>1373</v>
      </c>
      <c r="D181" s="19">
        <v>44899</v>
      </c>
      <c r="E181" s="18" t="s">
        <v>67</v>
      </c>
      <c r="F181" s="18" t="s">
        <v>1374</v>
      </c>
      <c r="G181" s="18" t="s">
        <v>1375</v>
      </c>
      <c r="H181" s="18" t="s">
        <v>159</v>
      </c>
      <c r="I181" s="18" t="s">
        <v>194</v>
      </c>
      <c r="J181" s="18" t="s">
        <v>268</v>
      </c>
      <c r="K181" s="18" t="s">
        <v>132</v>
      </c>
      <c r="L181" s="20" t="s">
        <v>1376</v>
      </c>
      <c r="M181" s="18" t="s">
        <v>287</v>
      </c>
      <c r="N181" s="20" t="s">
        <v>1377</v>
      </c>
      <c r="O181" s="18" t="s">
        <v>1378</v>
      </c>
      <c r="P181" s="18" t="s">
        <v>78</v>
      </c>
      <c r="Q181" s="19">
        <v>44914</v>
      </c>
      <c r="R181" s="21">
        <v>14.28</v>
      </c>
      <c r="S181" s="18" t="s">
        <v>79</v>
      </c>
      <c r="T181" s="18" t="s">
        <v>232</v>
      </c>
      <c r="U181" s="18" t="s">
        <v>83</v>
      </c>
      <c r="V181" s="18" t="s">
        <v>95</v>
      </c>
      <c r="W181" s="18" t="s">
        <v>95</v>
      </c>
      <c r="X181" s="18" t="s">
        <v>118</v>
      </c>
      <c r="Y181" s="18" t="s">
        <v>85</v>
      </c>
      <c r="Z181" s="18" t="s">
        <v>86</v>
      </c>
      <c r="AA181" s="18" t="s">
        <v>119</v>
      </c>
      <c r="AB181" s="18" t="s">
        <v>280</v>
      </c>
      <c r="AC181" s="18" t="s">
        <v>281</v>
      </c>
      <c r="AD181" s="18" t="s">
        <v>85</v>
      </c>
      <c r="AE181" s="18" t="s">
        <v>90</v>
      </c>
      <c r="AF181" s="18" t="s">
        <v>235</v>
      </c>
      <c r="AG181" s="18" t="s">
        <v>139</v>
      </c>
      <c r="AH181" s="18" t="s">
        <v>165</v>
      </c>
      <c r="AI181" s="18" t="s">
        <v>94</v>
      </c>
      <c r="AJ181" s="19">
        <v>44899</v>
      </c>
      <c r="AK181" s="22" t="s">
        <v>95</v>
      </c>
      <c r="AL181" s="18" t="s">
        <v>95</v>
      </c>
      <c r="AM181" s="18" t="s">
        <v>95</v>
      </c>
      <c r="AN181" s="18" t="s">
        <v>95</v>
      </c>
      <c r="AO181" s="18" t="s">
        <v>95</v>
      </c>
      <c r="AP181" s="18" t="s">
        <v>95</v>
      </c>
      <c r="AQ181" s="18" t="s">
        <v>95</v>
      </c>
      <c r="AR181" s="18" t="s">
        <v>95</v>
      </c>
      <c r="AS181" s="18" t="s">
        <v>83</v>
      </c>
      <c r="AT181" s="18" t="s">
        <v>81</v>
      </c>
      <c r="AU181" s="18" t="s">
        <v>81</v>
      </c>
      <c r="AV181" s="18" t="s">
        <v>95</v>
      </c>
      <c r="AW181" s="18" t="s">
        <v>95</v>
      </c>
      <c r="AX181" s="18"/>
      <c r="AY181" s="18" t="str">
        <f>Pospago[[#This Row],[NUM_TELEFONICO]]&amp;"POSPAGOSI"</f>
        <v>979313191POSPAGOSI</v>
      </c>
      <c r="AZ181" s="18" t="str">
        <f>VLOOKUP(Pospago[[#This Row],[NOM_PLAZA_FINAL]],[1]!Locales[#Data],3,0)</f>
        <v>TIENDA CONDADO</v>
      </c>
      <c r="BA181" s="18" t="str">
        <f>IFERROR(VLOOKUP(Pospago[[#This Row],[USUARIO]],[1]!Personal[#Data],6,0),"EJECUTIVO NO REGISTRADO")</f>
        <v>GUACHAMIN CAZA HUGO ADRIAN</v>
      </c>
      <c r="BB181" s="18" t="str">
        <f>Pospago[[#This Row],[TIPO_MOVIMIENTO]]&amp;" "&amp;Pospago[[#This Row],[FORMA_PAGO_FINAL]]</f>
        <v>TRANSFERENCIAS PAGO EN CAJA</v>
      </c>
      <c r="BC181" s="18">
        <f>DAY(Pospago[[#This Row],[FECHA_ALTA]])</f>
        <v>4</v>
      </c>
      <c r="BD181" s="18">
        <f>IF(Pospago[[#This Row],[TARIFA_BASICA]]=11.42,1,0)</f>
        <v>0</v>
      </c>
      <c r="BE181" s="18">
        <f>IF(Pospago[[#This Row],[PLANES TELEVENTAS]]="SI",1,0)</f>
        <v>1</v>
      </c>
      <c r="BF181" s="18">
        <f>1</f>
        <v>1</v>
      </c>
      <c r="BG181" s="18">
        <f>IF(OR(Pospago[[#This Row],[TARIFA_BASICA]]=11.42,Pospago[[#This Row],[PLANES TELEVENTAS]]="SI"),1,0)</f>
        <v>1</v>
      </c>
      <c r="BH181" s="18" t="str">
        <f>IF(MID(Pospago[[#This Row],[PlanDesc]],1,4) = "PLAN","POSPAGO",IF(MID(Pospago[[#This Row],[PlanDesc]],1,4)="FULL","FULL MEGAS","PREVIOPAGO"))</f>
        <v>PREVIOPAGO</v>
      </c>
      <c r="BI1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1" s="21">
        <f>Pospago[[#This Row],[TARIFA_BASICA]]*1.5</f>
        <v>21.419999999999998</v>
      </c>
    </row>
    <row r="182" spans="1:63" x14ac:dyDescent="0.25">
      <c r="A182" s="18" t="s">
        <v>154</v>
      </c>
      <c r="B182" s="18" t="s">
        <v>1379</v>
      </c>
      <c r="C182" s="18" t="s">
        <v>1380</v>
      </c>
      <c r="D182" s="19">
        <v>44908</v>
      </c>
      <c r="E182" s="18" t="s">
        <v>67</v>
      </c>
      <c r="F182" s="18" t="s">
        <v>1381</v>
      </c>
      <c r="G182" s="18" t="s">
        <v>1382</v>
      </c>
      <c r="H182" s="18" t="s">
        <v>159</v>
      </c>
      <c r="I182" s="18" t="s">
        <v>71</v>
      </c>
      <c r="J182" s="18" t="s">
        <v>258</v>
      </c>
      <c r="K182" s="18" t="s">
        <v>95</v>
      </c>
      <c r="L182" s="20" t="s">
        <v>1383</v>
      </c>
      <c r="M182" s="18" t="s">
        <v>75</v>
      </c>
      <c r="N182" s="20" t="s">
        <v>1384</v>
      </c>
      <c r="O182" s="18" t="s">
        <v>164</v>
      </c>
      <c r="P182" s="18" t="s">
        <v>78</v>
      </c>
      <c r="Q182" s="19">
        <v>44914</v>
      </c>
      <c r="R182" s="21">
        <v>11.42</v>
      </c>
      <c r="S182" s="18" t="s">
        <v>79</v>
      </c>
      <c r="T182" s="18" t="s">
        <v>148</v>
      </c>
      <c r="U182" s="18" t="s">
        <v>83</v>
      </c>
      <c r="V182" s="18" t="s">
        <v>95</v>
      </c>
      <c r="W182" s="18" t="s">
        <v>95</v>
      </c>
      <c r="X182" s="18" t="s">
        <v>84</v>
      </c>
      <c r="Y182" s="18" t="s">
        <v>85</v>
      </c>
      <c r="Z182" s="18" t="s">
        <v>86</v>
      </c>
      <c r="AA182" s="18" t="s">
        <v>87</v>
      </c>
      <c r="AB182" s="18" t="s">
        <v>318</v>
      </c>
      <c r="AC182" s="18" t="s">
        <v>319</v>
      </c>
      <c r="AD182" s="18" t="s">
        <v>85</v>
      </c>
      <c r="AE182" s="18" t="s">
        <v>90</v>
      </c>
      <c r="AF182" s="18" t="s">
        <v>151</v>
      </c>
      <c r="AG182" s="18" t="s">
        <v>92</v>
      </c>
      <c r="AH182" s="18" t="s">
        <v>165</v>
      </c>
      <c r="AI182" s="18" t="s">
        <v>94</v>
      </c>
      <c r="AJ182" s="19">
        <v>44908</v>
      </c>
      <c r="AK182" s="22" t="s">
        <v>95</v>
      </c>
      <c r="AL182" s="18" t="s">
        <v>95</v>
      </c>
      <c r="AM182" s="18" t="s">
        <v>95</v>
      </c>
      <c r="AN182" s="18" t="s">
        <v>95</v>
      </c>
      <c r="AO182" s="18" t="s">
        <v>95</v>
      </c>
      <c r="AP182" s="18" t="s">
        <v>95</v>
      </c>
      <c r="AQ182" s="18" t="s">
        <v>95</v>
      </c>
      <c r="AR182" s="18" t="s">
        <v>95</v>
      </c>
      <c r="AS182" s="18" t="s">
        <v>83</v>
      </c>
      <c r="AT182" s="18" t="s">
        <v>83</v>
      </c>
      <c r="AU182" s="18" t="s">
        <v>81</v>
      </c>
      <c r="AV182" s="18" t="s">
        <v>95</v>
      </c>
      <c r="AW182" s="18" t="s">
        <v>95</v>
      </c>
      <c r="AX182" s="18"/>
      <c r="AY182" s="18" t="str">
        <f>Pospago[[#This Row],[NUM_TELEFONICO]]&amp;"POSPAGOSI"</f>
        <v>979313277POSPAGOSI</v>
      </c>
      <c r="AZ182" s="18" t="str">
        <f>VLOOKUP(Pospago[[#This Row],[NOM_PLAZA_FINAL]],[1]!Locales[#Data],3,0)</f>
        <v>TIENDA CUENCA REMIGIO</v>
      </c>
      <c r="BA182" s="18" t="str">
        <f>IFERROR(VLOOKUP(Pospago[[#This Row],[USUARIO]],[1]!Personal[#Data],6,0),"EJECUTIVO NO REGISTRADO")</f>
        <v>RODRIGUEZ QUITO JESSICA GABRIELA</v>
      </c>
      <c r="BB182" s="18" t="str">
        <f>Pospago[[#This Row],[TIPO_MOVIMIENTO]]&amp;" "&amp;Pospago[[#This Row],[FORMA_PAGO_FINAL]]</f>
        <v>TRANSFERENCIAS DOMICILIADO</v>
      </c>
      <c r="BC182" s="18">
        <f>DAY(Pospago[[#This Row],[FECHA_ALTA]])</f>
        <v>13</v>
      </c>
      <c r="BD182" s="18">
        <f>IF(Pospago[[#This Row],[TARIFA_BASICA]]=11.42,1,0)</f>
        <v>1</v>
      </c>
      <c r="BE182" s="18">
        <f>IF(Pospago[[#This Row],[PLANES TELEVENTAS]]="SI",1,0)</f>
        <v>0</v>
      </c>
      <c r="BF182" s="18">
        <f>1</f>
        <v>1</v>
      </c>
      <c r="BG182" s="18">
        <f>IF(OR(Pospago[[#This Row],[TARIFA_BASICA]]=11.42,Pospago[[#This Row],[PLANES TELEVENTAS]]="SI"),1,0)</f>
        <v>1</v>
      </c>
      <c r="BH182" s="18" t="str">
        <f>IF(MID(Pospago[[#This Row],[PlanDesc]],1,4) = "PLAN","POSPAGO",IF(MID(Pospago[[#This Row],[PlanDesc]],1,4)="FULL","FULL MEGAS","PREVIOPAGO"))</f>
        <v>PREVIOPAGO</v>
      </c>
      <c r="BI1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1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82" s="21">
        <f>Pospago[[#This Row],[TARIFA_BASICA]]*1.5</f>
        <v>17.13</v>
      </c>
    </row>
    <row r="183" spans="1:63" x14ac:dyDescent="0.25">
      <c r="A183" s="18" t="s">
        <v>154</v>
      </c>
      <c r="B183" s="18" t="s">
        <v>1385</v>
      </c>
      <c r="C183" s="18" t="s">
        <v>1386</v>
      </c>
      <c r="D183" s="19">
        <v>44904</v>
      </c>
      <c r="E183" s="18" t="s">
        <v>67</v>
      </c>
      <c r="F183" s="18" t="s">
        <v>1387</v>
      </c>
      <c r="G183" s="18" t="s">
        <v>1388</v>
      </c>
      <c r="H183" s="18" t="s">
        <v>159</v>
      </c>
      <c r="I183" s="18" t="s">
        <v>112</v>
      </c>
      <c r="J183" s="18" t="s">
        <v>781</v>
      </c>
      <c r="K183" s="18" t="s">
        <v>196</v>
      </c>
      <c r="L183" s="20" t="s">
        <v>1389</v>
      </c>
      <c r="M183" s="18" t="s">
        <v>75</v>
      </c>
      <c r="N183" s="20" t="s">
        <v>1390</v>
      </c>
      <c r="O183" s="18" t="s">
        <v>164</v>
      </c>
      <c r="P183" s="18" t="s">
        <v>78</v>
      </c>
      <c r="Q183" s="19">
        <v>44914</v>
      </c>
      <c r="R183" s="21">
        <v>17.850000000000001</v>
      </c>
      <c r="S183" s="18" t="s">
        <v>79</v>
      </c>
      <c r="T183" s="18" t="s">
        <v>135</v>
      </c>
      <c r="U183" s="18" t="s">
        <v>83</v>
      </c>
      <c r="V183" s="18" t="s">
        <v>95</v>
      </c>
      <c r="W183" s="18" t="s">
        <v>95</v>
      </c>
      <c r="X183" s="18" t="s">
        <v>118</v>
      </c>
      <c r="Y183" s="18" t="s">
        <v>85</v>
      </c>
      <c r="Z183" s="18" t="s">
        <v>86</v>
      </c>
      <c r="AA183" s="18" t="s">
        <v>119</v>
      </c>
      <c r="AB183" s="18" t="s">
        <v>541</v>
      </c>
      <c r="AC183" s="18" t="s">
        <v>542</v>
      </c>
      <c r="AD183" s="18" t="s">
        <v>85</v>
      </c>
      <c r="AE183" s="18" t="s">
        <v>90</v>
      </c>
      <c r="AF183" s="18" t="s">
        <v>138</v>
      </c>
      <c r="AG183" s="18" t="s">
        <v>139</v>
      </c>
      <c r="AH183" s="18" t="s">
        <v>165</v>
      </c>
      <c r="AI183" s="18" t="s">
        <v>94</v>
      </c>
      <c r="AJ183" s="19">
        <v>44904</v>
      </c>
      <c r="AK183" s="22" t="s">
        <v>95</v>
      </c>
      <c r="AL183" s="18" t="s">
        <v>95</v>
      </c>
      <c r="AM183" s="18" t="s">
        <v>95</v>
      </c>
      <c r="AN183" s="18" t="s">
        <v>95</v>
      </c>
      <c r="AO183" s="18" t="s">
        <v>95</v>
      </c>
      <c r="AP183" s="18" t="s">
        <v>95</v>
      </c>
      <c r="AQ183" s="18" t="s">
        <v>95</v>
      </c>
      <c r="AR183" s="18" t="s">
        <v>95</v>
      </c>
      <c r="AS183" s="18" t="s">
        <v>83</v>
      </c>
      <c r="AT183" s="18" t="s">
        <v>83</v>
      </c>
      <c r="AU183" s="18" t="s">
        <v>81</v>
      </c>
      <c r="AV183" s="18" t="s">
        <v>95</v>
      </c>
      <c r="AW183" s="18" t="s">
        <v>95</v>
      </c>
      <c r="AX183" s="18"/>
      <c r="AY183" s="18" t="str">
        <f>Pospago[[#This Row],[NUM_TELEFONICO]]&amp;"POSPAGOSI"</f>
        <v>979315902POSPAGOSI</v>
      </c>
      <c r="AZ183" s="18" t="str">
        <f>VLOOKUP(Pospago[[#This Row],[NOM_PLAZA_FINAL]],[1]!Locales[#Data],3,0)</f>
        <v>TIENDA AMERICA</v>
      </c>
      <c r="BA183" s="18" t="str">
        <f>IFERROR(VLOOKUP(Pospago[[#This Row],[USUARIO]],[1]!Personal[#Data],6,0),"EJECUTIVO NO REGISTRADO")</f>
        <v>CEVALLOS PONCE DIANA CAROLINA</v>
      </c>
      <c r="BB183" s="18" t="str">
        <f>Pospago[[#This Row],[TIPO_MOVIMIENTO]]&amp;" "&amp;Pospago[[#This Row],[FORMA_PAGO_FINAL]]</f>
        <v>TRANSFERENCIAS PAGO EN CAJA</v>
      </c>
      <c r="BC183" s="18">
        <f>DAY(Pospago[[#This Row],[FECHA_ALTA]])</f>
        <v>9</v>
      </c>
      <c r="BD183" s="18">
        <f>IF(Pospago[[#This Row],[TARIFA_BASICA]]=11.42,1,0)</f>
        <v>0</v>
      </c>
      <c r="BE183" s="18">
        <f>IF(Pospago[[#This Row],[PLANES TELEVENTAS]]="SI",1,0)</f>
        <v>0</v>
      </c>
      <c r="BF183" s="18">
        <f>1</f>
        <v>1</v>
      </c>
      <c r="BG183" s="18">
        <f>IF(OR(Pospago[[#This Row],[TARIFA_BASICA]]=11.42,Pospago[[#This Row],[PLANES TELEVENTAS]]="SI"),1,0)</f>
        <v>0</v>
      </c>
      <c r="BH183" s="18" t="str">
        <f>IF(MID(Pospago[[#This Row],[PlanDesc]],1,4) = "PLAN","POSPAGO",IF(MID(Pospago[[#This Row],[PlanDesc]],1,4)="FULL","FULL MEGAS","PREVIOPAGO"))</f>
        <v>PREVIOPAGO</v>
      </c>
      <c r="BI1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7.88</v>
      </c>
      <c r="BJ1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3" s="21">
        <f>Pospago[[#This Row],[TARIFA_BASICA]]*1.5</f>
        <v>26.775000000000002</v>
      </c>
    </row>
    <row r="184" spans="1:63" x14ac:dyDescent="0.25">
      <c r="A184" s="18" t="s">
        <v>154</v>
      </c>
      <c r="B184" s="18" t="s">
        <v>1391</v>
      </c>
      <c r="C184" s="18" t="s">
        <v>1392</v>
      </c>
      <c r="D184" s="19">
        <v>44902</v>
      </c>
      <c r="E184" s="18" t="s">
        <v>67</v>
      </c>
      <c r="F184" s="18" t="s">
        <v>1393</v>
      </c>
      <c r="G184" s="18" t="s">
        <v>1394</v>
      </c>
      <c r="H184" s="18" t="s">
        <v>159</v>
      </c>
      <c r="I184" s="18" t="s">
        <v>130</v>
      </c>
      <c r="J184" s="18" t="s">
        <v>433</v>
      </c>
      <c r="K184" s="18" t="s">
        <v>132</v>
      </c>
      <c r="L184" s="20" t="s">
        <v>1395</v>
      </c>
      <c r="M184" s="18" t="s">
        <v>75</v>
      </c>
      <c r="N184" s="20" t="s">
        <v>1396</v>
      </c>
      <c r="O184" s="18" t="s">
        <v>164</v>
      </c>
      <c r="P184" s="18" t="s">
        <v>78</v>
      </c>
      <c r="Q184" s="19">
        <v>44914</v>
      </c>
      <c r="R184" s="21">
        <v>15</v>
      </c>
      <c r="S184" s="18" t="s">
        <v>79</v>
      </c>
      <c r="T184" s="18" t="s">
        <v>232</v>
      </c>
      <c r="U184" s="18" t="s">
        <v>83</v>
      </c>
      <c r="V184" s="18" t="s">
        <v>95</v>
      </c>
      <c r="W184" s="18" t="s">
        <v>95</v>
      </c>
      <c r="X184" s="18" t="s">
        <v>118</v>
      </c>
      <c r="Y184" s="18" t="s">
        <v>85</v>
      </c>
      <c r="Z184" s="18" t="s">
        <v>86</v>
      </c>
      <c r="AA184" s="18" t="s">
        <v>119</v>
      </c>
      <c r="AB184" s="18" t="s">
        <v>233</v>
      </c>
      <c r="AC184" s="18" t="s">
        <v>234</v>
      </c>
      <c r="AD184" s="18" t="s">
        <v>85</v>
      </c>
      <c r="AE184" s="18" t="s">
        <v>90</v>
      </c>
      <c r="AF184" s="18" t="s">
        <v>235</v>
      </c>
      <c r="AG184" s="18" t="s">
        <v>139</v>
      </c>
      <c r="AH184" s="18" t="s">
        <v>165</v>
      </c>
      <c r="AI184" s="18" t="s">
        <v>94</v>
      </c>
      <c r="AJ184" s="19">
        <v>44902</v>
      </c>
      <c r="AK184" s="22" t="s">
        <v>95</v>
      </c>
      <c r="AL184" s="18" t="s">
        <v>95</v>
      </c>
      <c r="AM184" s="18" t="s">
        <v>95</v>
      </c>
      <c r="AN184" s="18" t="s">
        <v>95</v>
      </c>
      <c r="AO184" s="18" t="s">
        <v>95</v>
      </c>
      <c r="AP184" s="18" t="s">
        <v>95</v>
      </c>
      <c r="AQ184" s="18" t="s">
        <v>95</v>
      </c>
      <c r="AR184" s="18" t="s">
        <v>95</v>
      </c>
      <c r="AS184" s="18" t="s">
        <v>83</v>
      </c>
      <c r="AT184" s="18" t="s">
        <v>83</v>
      </c>
      <c r="AU184" s="18" t="s">
        <v>81</v>
      </c>
      <c r="AV184" s="18" t="s">
        <v>95</v>
      </c>
      <c r="AW184" s="18" t="s">
        <v>95</v>
      </c>
      <c r="AX184" s="18"/>
      <c r="AY184" s="18" t="str">
        <f>Pospago[[#This Row],[NUM_TELEFONICO]]&amp;"POSPAGOSI"</f>
        <v>979316236POSPAGOSI</v>
      </c>
      <c r="AZ184" s="18" t="str">
        <f>VLOOKUP(Pospago[[#This Row],[NOM_PLAZA_FINAL]],[1]!Locales[#Data],3,0)</f>
        <v>TIENDA CONDADO</v>
      </c>
      <c r="BA184" s="18" t="str">
        <f>IFERROR(VLOOKUP(Pospago[[#This Row],[USUARIO]],[1]!Personal[#Data],6,0),"EJECUTIVO NO REGISTRADO")</f>
        <v>ROSALES MALDONADO JESSICA GABRIELA</v>
      </c>
      <c r="BB184" s="18" t="str">
        <f>Pospago[[#This Row],[TIPO_MOVIMIENTO]]&amp;" "&amp;Pospago[[#This Row],[FORMA_PAGO_FINAL]]</f>
        <v>TRANSFERENCIAS PAGO EN CAJA</v>
      </c>
      <c r="BC184" s="18">
        <f>DAY(Pospago[[#This Row],[FECHA_ALTA]])</f>
        <v>7</v>
      </c>
      <c r="BD184" s="18">
        <f>IF(Pospago[[#This Row],[TARIFA_BASICA]]=11.42,1,0)</f>
        <v>0</v>
      </c>
      <c r="BE184" s="18">
        <f>IF(Pospago[[#This Row],[PLANES TELEVENTAS]]="SI",1,0)</f>
        <v>0</v>
      </c>
      <c r="BF184" s="18">
        <f>1</f>
        <v>1</v>
      </c>
      <c r="BG184" s="18">
        <f>IF(OR(Pospago[[#This Row],[TARIFA_BASICA]]=11.42,Pospago[[#This Row],[PLANES TELEVENTAS]]="SI"),1,0)</f>
        <v>0</v>
      </c>
      <c r="BH184" s="18" t="str">
        <f>IF(MID(Pospago[[#This Row],[PlanDesc]],1,4) = "PLAN","POSPAGO",IF(MID(Pospago[[#This Row],[PlanDesc]],1,4)="FULL","FULL MEGAS","PREVIOPAGO"))</f>
        <v>PREVIOPAGO</v>
      </c>
      <c r="BI1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4" s="21">
        <f>Pospago[[#This Row],[TARIFA_BASICA]]*1.5</f>
        <v>22.5</v>
      </c>
    </row>
    <row r="185" spans="1:63" x14ac:dyDescent="0.25">
      <c r="A185" s="18" t="s">
        <v>154</v>
      </c>
      <c r="B185" s="18" t="s">
        <v>1397</v>
      </c>
      <c r="C185" s="18" t="s">
        <v>1398</v>
      </c>
      <c r="D185" s="19">
        <v>44896</v>
      </c>
      <c r="E185" s="18" t="s">
        <v>67</v>
      </c>
      <c r="F185" s="18" t="s">
        <v>1399</v>
      </c>
      <c r="G185" s="18" t="s">
        <v>1400</v>
      </c>
      <c r="H185" s="18" t="s">
        <v>159</v>
      </c>
      <c r="I185" s="18" t="s">
        <v>112</v>
      </c>
      <c r="J185" s="18" t="s">
        <v>781</v>
      </c>
      <c r="K185" s="18" t="s">
        <v>132</v>
      </c>
      <c r="L185" s="20" t="s">
        <v>1401</v>
      </c>
      <c r="M185" s="18" t="s">
        <v>75</v>
      </c>
      <c r="N185" s="20" t="s">
        <v>1402</v>
      </c>
      <c r="O185" s="18" t="s">
        <v>164</v>
      </c>
      <c r="P185" s="18" t="s">
        <v>78</v>
      </c>
      <c r="Q185" s="19">
        <v>44914</v>
      </c>
      <c r="R185" s="21">
        <v>17.850000000000001</v>
      </c>
      <c r="S185" s="18" t="s">
        <v>79</v>
      </c>
      <c r="T185" s="18" t="s">
        <v>117</v>
      </c>
      <c r="U185" s="18" t="s">
        <v>83</v>
      </c>
      <c r="V185" s="18" t="s">
        <v>95</v>
      </c>
      <c r="W185" s="18" t="s">
        <v>95</v>
      </c>
      <c r="X185" s="18" t="s">
        <v>84</v>
      </c>
      <c r="Y185" s="18" t="s">
        <v>85</v>
      </c>
      <c r="Z185" s="18" t="s">
        <v>86</v>
      </c>
      <c r="AA185" s="18" t="s">
        <v>87</v>
      </c>
      <c r="AB185" s="18" t="s">
        <v>120</v>
      </c>
      <c r="AC185" s="18" t="s">
        <v>121</v>
      </c>
      <c r="AD185" s="18" t="s">
        <v>85</v>
      </c>
      <c r="AE185" s="18" t="s">
        <v>90</v>
      </c>
      <c r="AF185" s="18" t="s">
        <v>122</v>
      </c>
      <c r="AG185" s="18" t="s">
        <v>92</v>
      </c>
      <c r="AH185" s="18" t="s">
        <v>165</v>
      </c>
      <c r="AI185" s="18" t="s">
        <v>94</v>
      </c>
      <c r="AJ185" s="19">
        <v>44896</v>
      </c>
      <c r="AK185" s="22" t="s">
        <v>95</v>
      </c>
      <c r="AL185" s="18" t="s">
        <v>95</v>
      </c>
      <c r="AM185" s="18" t="s">
        <v>95</v>
      </c>
      <c r="AN185" s="18" t="s">
        <v>95</v>
      </c>
      <c r="AO185" s="18" t="s">
        <v>95</v>
      </c>
      <c r="AP185" s="18" t="s">
        <v>95</v>
      </c>
      <c r="AQ185" s="18" t="s">
        <v>95</v>
      </c>
      <c r="AR185" s="18" t="s">
        <v>95</v>
      </c>
      <c r="AS185" s="18" t="s">
        <v>83</v>
      </c>
      <c r="AT185" s="18" t="s">
        <v>83</v>
      </c>
      <c r="AU185" s="18" t="s">
        <v>81</v>
      </c>
      <c r="AV185" s="18" t="s">
        <v>95</v>
      </c>
      <c r="AW185" s="18" t="s">
        <v>95</v>
      </c>
      <c r="AX185" s="18"/>
      <c r="AY185" s="18" t="str">
        <f>Pospago[[#This Row],[NUM_TELEFONICO]]&amp;"POSPAGOSI"</f>
        <v>979320757POSPAGOSI</v>
      </c>
      <c r="AZ185" s="18" t="str">
        <f>VLOOKUP(Pospago[[#This Row],[NOM_PLAZA_FINAL]],[1]!Locales[#Data],3,0)</f>
        <v>TIENDA MACHALA</v>
      </c>
      <c r="BA185" s="18" t="str">
        <f>IFERROR(VLOOKUP(Pospago[[#This Row],[USUARIO]],[1]!Personal[#Data],6,0),"EJECUTIVO NO REGISTRADO")</f>
        <v>ARROBO VICENTE YADIRA ESPERANZA</v>
      </c>
      <c r="BB185" s="18" t="str">
        <f>Pospago[[#This Row],[TIPO_MOVIMIENTO]]&amp;" "&amp;Pospago[[#This Row],[FORMA_PAGO_FINAL]]</f>
        <v>TRANSFERENCIAS DOMICILIADO</v>
      </c>
      <c r="BC185" s="18">
        <f>DAY(Pospago[[#This Row],[FECHA_ALTA]])</f>
        <v>1</v>
      </c>
      <c r="BD185" s="18">
        <f>IF(Pospago[[#This Row],[TARIFA_BASICA]]=11.42,1,0)</f>
        <v>0</v>
      </c>
      <c r="BE185" s="18">
        <f>IF(Pospago[[#This Row],[PLANES TELEVENTAS]]="SI",1,0)</f>
        <v>0</v>
      </c>
      <c r="BF185" s="18">
        <f>1</f>
        <v>1</v>
      </c>
      <c r="BG185" s="18">
        <f>IF(OR(Pospago[[#This Row],[TARIFA_BASICA]]=11.42,Pospago[[#This Row],[PLANES TELEVENTAS]]="SI"),1,0)</f>
        <v>0</v>
      </c>
      <c r="BH185" s="18" t="str">
        <f>IF(MID(Pospago[[#This Row],[PlanDesc]],1,4) = "PLAN","POSPAGO",IF(MID(Pospago[[#This Row],[PlanDesc]],1,4)="FULL","FULL MEGAS","PREVIOPAGO"))</f>
        <v>PREVIOPAGO</v>
      </c>
      <c r="BI1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12.612</v>
      </c>
      <c r="BJ1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5" s="21">
        <f>Pospago[[#This Row],[TARIFA_BASICA]]*1.5</f>
        <v>26.775000000000002</v>
      </c>
    </row>
    <row r="186" spans="1:63" x14ac:dyDescent="0.25">
      <c r="A186" s="18" t="s">
        <v>64</v>
      </c>
      <c r="B186" s="18" t="s">
        <v>1403</v>
      </c>
      <c r="C186" s="18" t="s">
        <v>1404</v>
      </c>
      <c r="D186" s="19">
        <v>44910</v>
      </c>
      <c r="E186" s="18" t="s">
        <v>67</v>
      </c>
      <c r="F186" s="18" t="s">
        <v>1405</v>
      </c>
      <c r="G186" s="18" t="s">
        <v>1406</v>
      </c>
      <c r="H186" s="18" t="s">
        <v>70</v>
      </c>
      <c r="I186" s="18" t="s">
        <v>160</v>
      </c>
      <c r="J186" s="18" t="s">
        <v>195</v>
      </c>
      <c r="K186" s="18" t="s">
        <v>73</v>
      </c>
      <c r="L186" s="20" t="s">
        <v>1407</v>
      </c>
      <c r="M186" s="18" t="s">
        <v>75</v>
      </c>
      <c r="N186" s="20" t="s">
        <v>1408</v>
      </c>
      <c r="O186" s="18" t="s">
        <v>77</v>
      </c>
      <c r="P186" s="18" t="s">
        <v>78</v>
      </c>
      <c r="Q186" s="19">
        <v>44914</v>
      </c>
      <c r="R186" s="21">
        <v>14.28</v>
      </c>
      <c r="S186" s="18" t="s">
        <v>79</v>
      </c>
      <c r="T186" s="18" t="s">
        <v>174</v>
      </c>
      <c r="U186" s="18" t="s">
        <v>83</v>
      </c>
      <c r="V186" s="18" t="s">
        <v>95</v>
      </c>
      <c r="W186" s="18" t="s">
        <v>83</v>
      </c>
      <c r="X186" s="18" t="s">
        <v>84</v>
      </c>
      <c r="Y186" s="18" t="s">
        <v>85</v>
      </c>
      <c r="Z186" s="18" t="s">
        <v>86</v>
      </c>
      <c r="AA186" s="18" t="s">
        <v>87</v>
      </c>
      <c r="AB186" s="18" t="s">
        <v>926</v>
      </c>
      <c r="AC186" s="18" t="s">
        <v>927</v>
      </c>
      <c r="AD186" s="18" t="s">
        <v>85</v>
      </c>
      <c r="AE186" s="18" t="s">
        <v>90</v>
      </c>
      <c r="AF186" s="18" t="s">
        <v>177</v>
      </c>
      <c r="AG186" s="18" t="s">
        <v>139</v>
      </c>
      <c r="AH186" s="18" t="s">
        <v>93</v>
      </c>
      <c r="AI186" s="18" t="s">
        <v>94</v>
      </c>
      <c r="AJ186" s="19">
        <v>44910</v>
      </c>
      <c r="AK186" s="22" t="s">
        <v>95</v>
      </c>
      <c r="AL186" s="18" t="s">
        <v>95</v>
      </c>
      <c r="AM186" s="18" t="s">
        <v>95</v>
      </c>
      <c r="AN186" s="18" t="s">
        <v>95</v>
      </c>
      <c r="AO186" s="18" t="s">
        <v>95</v>
      </c>
      <c r="AP186" s="18" t="s">
        <v>95</v>
      </c>
      <c r="AQ186" s="18" t="s">
        <v>95</v>
      </c>
      <c r="AR186" s="18" t="s">
        <v>95</v>
      </c>
      <c r="AS186" s="18" t="s">
        <v>83</v>
      </c>
      <c r="AT186" s="18" t="s">
        <v>83</v>
      </c>
      <c r="AU186" s="18" t="s">
        <v>81</v>
      </c>
      <c r="AV186" s="18" t="s">
        <v>95</v>
      </c>
      <c r="AW186" s="18" t="s">
        <v>95</v>
      </c>
      <c r="AX186" s="18"/>
      <c r="AY186" s="18" t="str">
        <f>Pospago[[#This Row],[NUM_TELEFONICO]]&amp;"POSPAGOSI"</f>
        <v>979331888POSPAGOSI</v>
      </c>
      <c r="AZ186" s="18" t="str">
        <f>VLOOKUP(Pospago[[#This Row],[NOM_PLAZA_FINAL]],[1]!Locales[#Data],3,0)</f>
        <v>TIENDA RECREO</v>
      </c>
      <c r="BA186" s="18" t="str">
        <f>IFERROR(VLOOKUP(Pospago[[#This Row],[USUARIO]],[1]!Personal[#Data],6,0),"EJECUTIVO NO REGISTRADO")</f>
        <v>CABEZAS LOPEZ ROBERTO ALEJANDRO</v>
      </c>
      <c r="BB186" s="18" t="str">
        <f>Pospago[[#This Row],[TIPO_MOVIMIENTO]]&amp;" "&amp;Pospago[[#This Row],[FORMA_PAGO_FINAL]]</f>
        <v>ALTAS DOMICILIADO</v>
      </c>
      <c r="BC186" s="18">
        <f>DAY(Pospago[[#This Row],[FECHA_ALTA]])</f>
        <v>15</v>
      </c>
      <c r="BD186" s="18">
        <f>IF(Pospago[[#This Row],[TARIFA_BASICA]]=11.42,1,0)</f>
        <v>0</v>
      </c>
      <c r="BE186" s="18">
        <f>IF(Pospago[[#This Row],[PLANES TELEVENTAS]]="SI",1,0)</f>
        <v>0</v>
      </c>
      <c r="BF186" s="18">
        <f>1</f>
        <v>1</v>
      </c>
      <c r="BG186" s="18">
        <f>IF(OR(Pospago[[#This Row],[TARIFA_BASICA]]=11.42,Pospago[[#This Row],[PLANES TELEVENTAS]]="SI"),1,0)</f>
        <v>0</v>
      </c>
      <c r="BH186" s="18" t="str">
        <f>IF(MID(Pospago[[#This Row],[PlanDesc]],1,4) = "PLAN","POSPAGO",IF(MID(Pospago[[#This Row],[PlanDesc]],1,4)="FULL","FULL MEGAS","PREVIOPAGO"))</f>
        <v>PREVIOPAGO</v>
      </c>
      <c r="BI1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6" s="21">
        <f>Pospago[[#This Row],[TARIFA_BASICA]]*1.5</f>
        <v>21.419999999999998</v>
      </c>
    </row>
    <row r="187" spans="1:63" x14ac:dyDescent="0.25">
      <c r="A187" s="18" t="s">
        <v>64</v>
      </c>
      <c r="B187" s="18" t="s">
        <v>1409</v>
      </c>
      <c r="C187" s="18" t="s">
        <v>1410</v>
      </c>
      <c r="D187" s="19">
        <v>44908</v>
      </c>
      <c r="E187" s="18" t="s">
        <v>67</v>
      </c>
      <c r="F187" s="18" t="s">
        <v>1411</v>
      </c>
      <c r="G187" s="18" t="s">
        <v>1412</v>
      </c>
      <c r="H187" s="18" t="s">
        <v>70</v>
      </c>
      <c r="I187" s="18" t="s">
        <v>227</v>
      </c>
      <c r="J187" s="18" t="s">
        <v>228</v>
      </c>
      <c r="K187" s="18" t="s">
        <v>73</v>
      </c>
      <c r="L187" s="20" t="s">
        <v>1413</v>
      </c>
      <c r="M187" s="18" t="s">
        <v>75</v>
      </c>
      <c r="N187" s="20" t="s">
        <v>1414</v>
      </c>
      <c r="O187" s="18" t="s">
        <v>77</v>
      </c>
      <c r="P187" s="18" t="s">
        <v>78</v>
      </c>
      <c r="Q187" s="19">
        <v>44914</v>
      </c>
      <c r="R187" s="21">
        <v>21.42</v>
      </c>
      <c r="S187" s="18" t="s">
        <v>79</v>
      </c>
      <c r="T187" s="18" t="s">
        <v>80</v>
      </c>
      <c r="U187" s="18" t="s">
        <v>83</v>
      </c>
      <c r="V187" s="18" t="s">
        <v>95</v>
      </c>
      <c r="W187" s="18" t="s">
        <v>83</v>
      </c>
      <c r="X187" s="18" t="s">
        <v>118</v>
      </c>
      <c r="Y187" s="18" t="s">
        <v>85</v>
      </c>
      <c r="Z187" s="18" t="s">
        <v>86</v>
      </c>
      <c r="AA187" s="18" t="s">
        <v>119</v>
      </c>
      <c r="AB187" s="18" t="s">
        <v>1415</v>
      </c>
      <c r="AC187" s="18" t="s">
        <v>1416</v>
      </c>
      <c r="AD187" s="18" t="s">
        <v>85</v>
      </c>
      <c r="AE187" s="18" t="s">
        <v>90</v>
      </c>
      <c r="AF187" s="18" t="s">
        <v>91</v>
      </c>
      <c r="AG187" s="18" t="s">
        <v>92</v>
      </c>
      <c r="AH187" s="18" t="s">
        <v>93</v>
      </c>
      <c r="AI187" s="18" t="s">
        <v>94</v>
      </c>
      <c r="AJ187" s="19">
        <v>44908</v>
      </c>
      <c r="AK187" s="22" t="s">
        <v>95</v>
      </c>
      <c r="AL187" s="18" t="s">
        <v>95</v>
      </c>
      <c r="AM187" s="18" t="s">
        <v>95</v>
      </c>
      <c r="AN187" s="18" t="s">
        <v>95</v>
      </c>
      <c r="AO187" s="18" t="s">
        <v>95</v>
      </c>
      <c r="AP187" s="18" t="s">
        <v>95</v>
      </c>
      <c r="AQ187" s="18" t="s">
        <v>95</v>
      </c>
      <c r="AR187" s="18" t="s">
        <v>95</v>
      </c>
      <c r="AS187" s="18" t="s">
        <v>83</v>
      </c>
      <c r="AT187" s="18" t="s">
        <v>83</v>
      </c>
      <c r="AU187" s="18" t="s">
        <v>81</v>
      </c>
      <c r="AV187" s="18" t="s">
        <v>95</v>
      </c>
      <c r="AW187" s="18" t="s">
        <v>95</v>
      </c>
      <c r="AX187" s="18"/>
      <c r="AY187" s="18" t="str">
        <f>Pospago[[#This Row],[NUM_TELEFONICO]]&amp;"POSPAGOSI"</f>
        <v>979333430POSPAGOSI</v>
      </c>
      <c r="AZ187" s="18" t="str">
        <f>VLOOKUP(Pospago[[#This Row],[NOM_PLAZA_FINAL]],[1]!Locales[#Data],3,0)</f>
        <v>TIENDA CUENCA CENTRO</v>
      </c>
      <c r="BA187" s="18" t="str">
        <f>IFERROR(VLOOKUP(Pospago[[#This Row],[USUARIO]],[1]!Personal[#Data],6,0),"EJECUTIVO NO REGISTRADO")</f>
        <v>PATIÑO URGILES DIANA CATALINA</v>
      </c>
      <c r="BB187" s="18" t="str">
        <f>Pospago[[#This Row],[TIPO_MOVIMIENTO]]&amp;" "&amp;Pospago[[#This Row],[FORMA_PAGO_FINAL]]</f>
        <v>ALTAS PAGO EN CAJA</v>
      </c>
      <c r="BC187" s="18">
        <f>DAY(Pospago[[#This Row],[FECHA_ALTA]])</f>
        <v>13</v>
      </c>
      <c r="BD187" s="18">
        <f>IF(Pospago[[#This Row],[TARIFA_BASICA]]=11.42,1,0)</f>
        <v>0</v>
      </c>
      <c r="BE187" s="18">
        <f>IF(Pospago[[#This Row],[PLANES TELEVENTAS]]="SI",1,0)</f>
        <v>0</v>
      </c>
      <c r="BF187" s="18">
        <f>1</f>
        <v>1</v>
      </c>
      <c r="BG187" s="18">
        <f>IF(OR(Pospago[[#This Row],[TARIFA_BASICA]]=11.42,Pospago[[#This Row],[PLANES TELEVENTAS]]="SI"),1,0)</f>
        <v>0</v>
      </c>
      <c r="BH187" s="18" t="str">
        <f>IF(MID(Pospago[[#This Row],[PlanDesc]],1,4) = "PLAN","POSPAGO",IF(MID(Pospago[[#This Row],[PlanDesc]],1,4)="FULL","FULL MEGAS","PREVIOPAGO"))</f>
        <v>PREVIOPAGO</v>
      </c>
      <c r="BI1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22.5</v>
      </c>
      <c r="BJ1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7" s="21">
        <f>Pospago[[#This Row],[TARIFA_BASICA]]*1.5</f>
        <v>32.130000000000003</v>
      </c>
    </row>
    <row r="188" spans="1:63" x14ac:dyDescent="0.25">
      <c r="A188" s="18" t="s">
        <v>64</v>
      </c>
      <c r="B188" s="18" t="s">
        <v>1417</v>
      </c>
      <c r="C188" s="18" t="s">
        <v>1418</v>
      </c>
      <c r="D188" s="19">
        <v>44897</v>
      </c>
      <c r="E188" s="18" t="s">
        <v>67</v>
      </c>
      <c r="F188" s="18" t="s">
        <v>1419</v>
      </c>
      <c r="G188" s="18" t="s">
        <v>1420</v>
      </c>
      <c r="H188" s="18" t="s">
        <v>70</v>
      </c>
      <c r="I188" s="18" t="s">
        <v>227</v>
      </c>
      <c r="J188" s="18" t="s">
        <v>228</v>
      </c>
      <c r="K188" s="18" t="s">
        <v>114</v>
      </c>
      <c r="L188" s="20" t="s">
        <v>1421</v>
      </c>
      <c r="M188" s="18" t="s">
        <v>75</v>
      </c>
      <c r="N188" s="20" t="s">
        <v>1422</v>
      </c>
      <c r="O188" s="18" t="s">
        <v>77</v>
      </c>
      <c r="P188" s="18" t="s">
        <v>78</v>
      </c>
      <c r="Q188" s="19">
        <v>44914</v>
      </c>
      <c r="R188" s="21">
        <v>21.42</v>
      </c>
      <c r="S188" s="18" t="s">
        <v>79</v>
      </c>
      <c r="T188" s="18" t="s">
        <v>174</v>
      </c>
      <c r="U188" s="18" t="s">
        <v>83</v>
      </c>
      <c r="V188" s="18" t="s">
        <v>95</v>
      </c>
      <c r="W188" s="18" t="s">
        <v>83</v>
      </c>
      <c r="X188" s="18" t="s">
        <v>215</v>
      </c>
      <c r="Y188" s="18" t="s">
        <v>85</v>
      </c>
      <c r="Z188" s="18" t="s">
        <v>86</v>
      </c>
      <c r="AA188" s="18" t="s">
        <v>87</v>
      </c>
      <c r="AB188" s="18" t="s">
        <v>808</v>
      </c>
      <c r="AC188" s="18" t="s">
        <v>809</v>
      </c>
      <c r="AD188" s="18" t="s">
        <v>85</v>
      </c>
      <c r="AE188" s="18" t="s">
        <v>90</v>
      </c>
      <c r="AF188" s="18" t="s">
        <v>122</v>
      </c>
      <c r="AG188" s="18" t="s">
        <v>92</v>
      </c>
      <c r="AH188" s="18" t="s">
        <v>93</v>
      </c>
      <c r="AI188" s="18" t="s">
        <v>94</v>
      </c>
      <c r="AJ188" s="19">
        <v>44897</v>
      </c>
      <c r="AK188" s="22" t="s">
        <v>95</v>
      </c>
      <c r="AL188" s="18" t="s">
        <v>95</v>
      </c>
      <c r="AM188" s="18" t="s">
        <v>95</v>
      </c>
      <c r="AN188" s="18" t="s">
        <v>95</v>
      </c>
      <c r="AO188" s="18" t="s">
        <v>95</v>
      </c>
      <c r="AP188" s="18" t="s">
        <v>95</v>
      </c>
      <c r="AQ188" s="18" t="s">
        <v>95</v>
      </c>
      <c r="AR188" s="18" t="s">
        <v>95</v>
      </c>
      <c r="AS188" s="18" t="s">
        <v>83</v>
      </c>
      <c r="AT188" s="18" t="s">
        <v>83</v>
      </c>
      <c r="AU188" s="18" t="s">
        <v>81</v>
      </c>
      <c r="AV188" s="18" t="s">
        <v>95</v>
      </c>
      <c r="AW188" s="18" t="s">
        <v>95</v>
      </c>
      <c r="AX188" s="18"/>
      <c r="AY188" s="18" t="str">
        <f>Pospago[[#This Row],[NUM_TELEFONICO]]&amp;"POSPAGOSI"</f>
        <v>979340146POSPAGOSI</v>
      </c>
      <c r="AZ188" s="18" t="str">
        <f>VLOOKUP(Pospago[[#This Row],[NOM_PLAZA_FINAL]],[1]!Locales[#Data],3,0)</f>
        <v>TIENDA MACHALA</v>
      </c>
      <c r="BA188" s="18" t="str">
        <f>IFERROR(VLOOKUP(Pospago[[#This Row],[USUARIO]],[1]!Personal[#Data],6,0),"EJECUTIVO NO REGISTRADO")</f>
        <v>ALICIA ROMINA GONZALEZ SANDOYA</v>
      </c>
      <c r="BB188" s="18" t="str">
        <f>Pospago[[#This Row],[TIPO_MOVIMIENTO]]&amp;" "&amp;Pospago[[#This Row],[FORMA_PAGO_FINAL]]</f>
        <v>ALTAS DOMICILIADO</v>
      </c>
      <c r="BC188" s="18">
        <f>DAY(Pospago[[#This Row],[FECHA_ALTA]])</f>
        <v>2</v>
      </c>
      <c r="BD188" s="18">
        <f>IF(Pospago[[#This Row],[TARIFA_BASICA]]=11.42,1,0)</f>
        <v>0</v>
      </c>
      <c r="BE188" s="18">
        <f>IF(Pospago[[#This Row],[PLANES TELEVENTAS]]="SI",1,0)</f>
        <v>0</v>
      </c>
      <c r="BF188" s="18">
        <f>1</f>
        <v>1</v>
      </c>
      <c r="BG188" s="18">
        <f>IF(OR(Pospago[[#This Row],[TARIFA_BASICA]]=11.42,Pospago[[#This Row],[PLANES TELEVENTAS]]="SI"),1,0)</f>
        <v>0</v>
      </c>
      <c r="BH188" s="18" t="str">
        <f>IF(MID(Pospago[[#This Row],[PlanDesc]],1,4) = "PLAN","POSPAGO",IF(MID(Pospago[[#This Row],[PlanDesc]],1,4)="FULL","FULL MEGAS","PREVIOPAGO"))</f>
        <v>PREVIOPAGO</v>
      </c>
      <c r="BI1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36</v>
      </c>
      <c r="BJ1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8" s="21">
        <f>Pospago[[#This Row],[TARIFA_BASICA]]*1.5</f>
        <v>32.130000000000003</v>
      </c>
    </row>
    <row r="189" spans="1:63" x14ac:dyDescent="0.25">
      <c r="A189" s="18" t="s">
        <v>64</v>
      </c>
      <c r="B189" s="18" t="s">
        <v>1423</v>
      </c>
      <c r="C189" s="18" t="s">
        <v>1424</v>
      </c>
      <c r="D189" s="19">
        <v>44909</v>
      </c>
      <c r="E189" s="18" t="s">
        <v>67</v>
      </c>
      <c r="F189" s="18" t="s">
        <v>1425</v>
      </c>
      <c r="G189" s="18" t="s">
        <v>1426</v>
      </c>
      <c r="H189" s="18" t="s">
        <v>193</v>
      </c>
      <c r="I189" s="18" t="s">
        <v>392</v>
      </c>
      <c r="J189" s="18" t="s">
        <v>131</v>
      </c>
      <c r="K189" s="18" t="s">
        <v>132</v>
      </c>
      <c r="L189" s="20" t="s">
        <v>1427</v>
      </c>
      <c r="M189" s="18" t="s">
        <v>75</v>
      </c>
      <c r="N189" s="20" t="s">
        <v>1428</v>
      </c>
      <c r="O189" s="18" t="s">
        <v>77</v>
      </c>
      <c r="P189" s="18" t="s">
        <v>78</v>
      </c>
      <c r="Q189" s="19">
        <v>44914</v>
      </c>
      <c r="R189" s="21">
        <v>15</v>
      </c>
      <c r="S189" s="18" t="s">
        <v>79</v>
      </c>
      <c r="T189" s="18" t="s">
        <v>232</v>
      </c>
      <c r="U189" s="18" t="s">
        <v>83</v>
      </c>
      <c r="V189" s="18" t="s">
        <v>95</v>
      </c>
      <c r="W189" s="18" t="s">
        <v>83</v>
      </c>
      <c r="X189" s="18" t="s">
        <v>118</v>
      </c>
      <c r="Y189" s="18" t="s">
        <v>85</v>
      </c>
      <c r="Z189" s="18" t="s">
        <v>86</v>
      </c>
      <c r="AA189" s="18" t="s">
        <v>119</v>
      </c>
      <c r="AB189" s="18" t="s">
        <v>377</v>
      </c>
      <c r="AC189" s="18" t="s">
        <v>378</v>
      </c>
      <c r="AD189" s="18" t="s">
        <v>85</v>
      </c>
      <c r="AE189" s="18" t="s">
        <v>90</v>
      </c>
      <c r="AF189" s="18" t="s">
        <v>235</v>
      </c>
      <c r="AG189" s="18" t="s">
        <v>139</v>
      </c>
      <c r="AH189" s="18" t="s">
        <v>93</v>
      </c>
      <c r="AI189" s="18" t="s">
        <v>94</v>
      </c>
      <c r="AJ189" s="19">
        <v>44909</v>
      </c>
      <c r="AK189" s="22" t="s">
        <v>95</v>
      </c>
      <c r="AL189" s="18" t="s">
        <v>95</v>
      </c>
      <c r="AM189" s="18" t="s">
        <v>95</v>
      </c>
      <c r="AN189" s="18" t="s">
        <v>95</v>
      </c>
      <c r="AO189" s="18" t="s">
        <v>95</v>
      </c>
      <c r="AP189" s="18" t="s">
        <v>95</v>
      </c>
      <c r="AQ189" s="18" t="s">
        <v>95</v>
      </c>
      <c r="AR189" s="18" t="s">
        <v>95</v>
      </c>
      <c r="AS189" s="18" t="s">
        <v>83</v>
      </c>
      <c r="AT189" s="18" t="s">
        <v>81</v>
      </c>
      <c r="AU189" s="18" t="s">
        <v>81</v>
      </c>
      <c r="AV189" s="18" t="s">
        <v>95</v>
      </c>
      <c r="AW189" s="18" t="s">
        <v>95</v>
      </c>
      <c r="AX189" s="18"/>
      <c r="AY189" s="18" t="str">
        <f>Pospago[[#This Row],[NUM_TELEFONICO]]&amp;"POSPAGOSI"</f>
        <v>979342165POSPAGOSI</v>
      </c>
      <c r="AZ189" s="18" t="str">
        <f>VLOOKUP(Pospago[[#This Row],[NOM_PLAZA_FINAL]],[1]!Locales[#Data],3,0)</f>
        <v>TIENDA CONDADO</v>
      </c>
      <c r="BA189" s="18" t="str">
        <f>IFERROR(VLOOKUP(Pospago[[#This Row],[USUARIO]],[1]!Personal[#Data],6,0),"EJECUTIVO NO REGISTRADO")</f>
        <v>MELCHIADE ISAAC VALMORE</v>
      </c>
      <c r="BB189" s="18" t="str">
        <f>Pospago[[#This Row],[TIPO_MOVIMIENTO]]&amp;" "&amp;Pospago[[#This Row],[FORMA_PAGO_FINAL]]</f>
        <v>ALTAS PAGO EN CAJA</v>
      </c>
      <c r="BC189" s="18">
        <f>DAY(Pospago[[#This Row],[FECHA_ALTA]])</f>
        <v>14</v>
      </c>
      <c r="BD189" s="18">
        <f>IF(Pospago[[#This Row],[TARIFA_BASICA]]=11.42,1,0)</f>
        <v>0</v>
      </c>
      <c r="BE189" s="18">
        <f>IF(Pospago[[#This Row],[PLANES TELEVENTAS]]="SI",1,0)</f>
        <v>1</v>
      </c>
      <c r="BF189" s="18">
        <f>1</f>
        <v>1</v>
      </c>
      <c r="BG189" s="18">
        <f>IF(OR(Pospago[[#This Row],[TARIFA_BASICA]]=11.42,Pospago[[#This Row],[PLANES TELEVENTAS]]="SI"),1,0)</f>
        <v>1</v>
      </c>
      <c r="BH189" s="18" t="str">
        <f>IF(MID(Pospago[[#This Row],[PlanDesc]],1,4) = "PLAN","POSPAGO",IF(MID(Pospago[[#This Row],[PlanDesc]],1,4)="FULL","FULL MEGAS","PREVIOPAGO"))</f>
        <v>PREVIOPAGO</v>
      </c>
      <c r="BI1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1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89" s="21">
        <f>Pospago[[#This Row],[TARIFA_BASICA]]*1.5</f>
        <v>22.5</v>
      </c>
    </row>
    <row r="190" spans="1:63" x14ac:dyDescent="0.25">
      <c r="A190" s="18" t="s">
        <v>154</v>
      </c>
      <c r="B190" s="18" t="s">
        <v>1429</v>
      </c>
      <c r="C190" s="18" t="s">
        <v>1430</v>
      </c>
      <c r="D190" s="19">
        <v>44901</v>
      </c>
      <c r="E190" s="18" t="s">
        <v>67</v>
      </c>
      <c r="F190" s="18" t="s">
        <v>1431</v>
      </c>
      <c r="G190" s="18" t="s">
        <v>1432</v>
      </c>
      <c r="H190" s="18" t="s">
        <v>159</v>
      </c>
      <c r="I190" s="18" t="s">
        <v>130</v>
      </c>
      <c r="J190" s="18" t="s">
        <v>433</v>
      </c>
      <c r="K190" s="18" t="s">
        <v>95</v>
      </c>
      <c r="L190" s="20" t="s">
        <v>1433</v>
      </c>
      <c r="M190" s="18" t="s">
        <v>75</v>
      </c>
      <c r="N190" s="20" t="s">
        <v>1434</v>
      </c>
      <c r="O190" s="18" t="s">
        <v>164</v>
      </c>
      <c r="P190" s="18" t="s">
        <v>78</v>
      </c>
      <c r="Q190" s="19">
        <v>44914</v>
      </c>
      <c r="R190" s="21">
        <v>15</v>
      </c>
      <c r="S190" s="18" t="s">
        <v>79</v>
      </c>
      <c r="T190" s="18" t="s">
        <v>232</v>
      </c>
      <c r="U190" s="18" t="s">
        <v>83</v>
      </c>
      <c r="V190" s="18" t="s">
        <v>95</v>
      </c>
      <c r="W190" s="18" t="s">
        <v>95</v>
      </c>
      <c r="X190" s="18" t="s">
        <v>84</v>
      </c>
      <c r="Y190" s="18" t="s">
        <v>85</v>
      </c>
      <c r="Z190" s="18" t="s">
        <v>86</v>
      </c>
      <c r="AA190" s="18" t="s">
        <v>87</v>
      </c>
      <c r="AB190" s="18" t="s">
        <v>377</v>
      </c>
      <c r="AC190" s="18" t="s">
        <v>378</v>
      </c>
      <c r="AD190" s="18" t="s">
        <v>85</v>
      </c>
      <c r="AE190" s="18" t="s">
        <v>90</v>
      </c>
      <c r="AF190" s="18" t="s">
        <v>235</v>
      </c>
      <c r="AG190" s="18" t="s">
        <v>139</v>
      </c>
      <c r="AH190" s="18" t="s">
        <v>165</v>
      </c>
      <c r="AI190" s="18" t="s">
        <v>94</v>
      </c>
      <c r="AJ190" s="19">
        <v>44901</v>
      </c>
      <c r="AK190" s="22" t="s">
        <v>95</v>
      </c>
      <c r="AL190" s="18" t="s">
        <v>95</v>
      </c>
      <c r="AM190" s="18" t="s">
        <v>95</v>
      </c>
      <c r="AN190" s="18" t="s">
        <v>95</v>
      </c>
      <c r="AO190" s="18" t="s">
        <v>95</v>
      </c>
      <c r="AP190" s="18" t="s">
        <v>95</v>
      </c>
      <c r="AQ190" s="18" t="s">
        <v>95</v>
      </c>
      <c r="AR190" s="18" t="s">
        <v>95</v>
      </c>
      <c r="AS190" s="18" t="s">
        <v>83</v>
      </c>
      <c r="AT190" s="18" t="s">
        <v>83</v>
      </c>
      <c r="AU190" s="18" t="s">
        <v>81</v>
      </c>
      <c r="AV190" s="18" t="s">
        <v>95</v>
      </c>
      <c r="AW190" s="18" t="s">
        <v>95</v>
      </c>
      <c r="AX190" s="18"/>
      <c r="AY190" s="18" t="str">
        <f>Pospago[[#This Row],[NUM_TELEFONICO]]&amp;"POSPAGOSI"</f>
        <v>979351408POSPAGOSI</v>
      </c>
      <c r="AZ190" s="18" t="str">
        <f>VLOOKUP(Pospago[[#This Row],[NOM_PLAZA_FINAL]],[1]!Locales[#Data],3,0)</f>
        <v>TIENDA CONDADO</v>
      </c>
      <c r="BA190" s="18" t="str">
        <f>IFERROR(VLOOKUP(Pospago[[#This Row],[USUARIO]],[1]!Personal[#Data],6,0),"EJECUTIVO NO REGISTRADO")</f>
        <v>MELCHIADE ISAAC VALMORE</v>
      </c>
      <c r="BB190" s="18" t="str">
        <f>Pospago[[#This Row],[TIPO_MOVIMIENTO]]&amp;" "&amp;Pospago[[#This Row],[FORMA_PAGO_FINAL]]</f>
        <v>TRANSFERENCIAS DOMICILIADO</v>
      </c>
      <c r="BC190" s="18">
        <f>DAY(Pospago[[#This Row],[FECHA_ALTA]])</f>
        <v>6</v>
      </c>
      <c r="BD190" s="18">
        <f>IF(Pospago[[#This Row],[TARIFA_BASICA]]=11.42,1,0)</f>
        <v>0</v>
      </c>
      <c r="BE190" s="18">
        <f>IF(Pospago[[#This Row],[PLANES TELEVENTAS]]="SI",1,0)</f>
        <v>0</v>
      </c>
      <c r="BF190" s="18">
        <f>1</f>
        <v>1</v>
      </c>
      <c r="BG190" s="18">
        <f>IF(OR(Pospago[[#This Row],[TARIFA_BASICA]]=11.42,Pospago[[#This Row],[PLANES TELEVENTAS]]="SI"),1,0)</f>
        <v>0</v>
      </c>
      <c r="BH190" s="18" t="str">
        <f>IF(MID(Pospago[[#This Row],[PlanDesc]],1,4) = "PLAN","POSPAGO",IF(MID(Pospago[[#This Row],[PlanDesc]],1,4)="FULL","FULL MEGAS","PREVIOPAGO"))</f>
        <v>PREVIOPAGO</v>
      </c>
      <c r="BI1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1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90" s="21">
        <f>Pospago[[#This Row],[TARIFA_BASICA]]*1.5</f>
        <v>22.5</v>
      </c>
    </row>
    <row r="191" spans="1:63" x14ac:dyDescent="0.25">
      <c r="A191" s="18" t="s">
        <v>64</v>
      </c>
      <c r="B191" s="18" t="s">
        <v>1435</v>
      </c>
      <c r="C191" s="18" t="s">
        <v>1436</v>
      </c>
      <c r="D191" s="19">
        <v>44907</v>
      </c>
      <c r="E191" s="18" t="s">
        <v>67</v>
      </c>
      <c r="F191" s="18" t="s">
        <v>1437</v>
      </c>
      <c r="G191" s="18" t="s">
        <v>1438</v>
      </c>
      <c r="H191" s="18" t="s">
        <v>70</v>
      </c>
      <c r="I191" s="18" t="s">
        <v>160</v>
      </c>
      <c r="J191" s="18" t="s">
        <v>195</v>
      </c>
      <c r="K191" s="18" t="s">
        <v>73</v>
      </c>
      <c r="L191" s="20" t="s">
        <v>1439</v>
      </c>
      <c r="M191" s="18" t="s">
        <v>75</v>
      </c>
      <c r="N191" s="20" t="s">
        <v>1440</v>
      </c>
      <c r="O191" s="18" t="s">
        <v>77</v>
      </c>
      <c r="P191" s="18" t="s">
        <v>78</v>
      </c>
      <c r="Q191" s="19">
        <v>44914</v>
      </c>
      <c r="R191" s="21">
        <v>14.28</v>
      </c>
      <c r="S191" s="18" t="s">
        <v>79</v>
      </c>
      <c r="T191" s="18" t="s">
        <v>174</v>
      </c>
      <c r="U191" s="18" t="s">
        <v>83</v>
      </c>
      <c r="V191" s="18" t="s">
        <v>95</v>
      </c>
      <c r="W191" s="18" t="s">
        <v>83</v>
      </c>
      <c r="X191" s="18" t="s">
        <v>118</v>
      </c>
      <c r="Y191" s="18" t="s">
        <v>85</v>
      </c>
      <c r="Z191" s="18" t="s">
        <v>86</v>
      </c>
      <c r="AA191" s="18" t="s">
        <v>119</v>
      </c>
      <c r="AB191" s="18" t="s">
        <v>492</v>
      </c>
      <c r="AC191" s="18" t="s">
        <v>493</v>
      </c>
      <c r="AD191" s="18" t="s">
        <v>85</v>
      </c>
      <c r="AE191" s="18" t="s">
        <v>90</v>
      </c>
      <c r="AF191" s="18" t="s">
        <v>177</v>
      </c>
      <c r="AG191" s="18" t="s">
        <v>139</v>
      </c>
      <c r="AH191" s="18" t="s">
        <v>93</v>
      </c>
      <c r="AI191" s="18" t="s">
        <v>94</v>
      </c>
      <c r="AJ191" s="19">
        <v>44907</v>
      </c>
      <c r="AK191" s="22" t="s">
        <v>95</v>
      </c>
      <c r="AL191" s="18" t="s">
        <v>95</v>
      </c>
      <c r="AM191" s="18" t="s">
        <v>95</v>
      </c>
      <c r="AN191" s="18" t="s">
        <v>95</v>
      </c>
      <c r="AO191" s="18" t="s">
        <v>95</v>
      </c>
      <c r="AP191" s="18" t="s">
        <v>95</v>
      </c>
      <c r="AQ191" s="18" t="s">
        <v>95</v>
      </c>
      <c r="AR191" s="18" t="s">
        <v>95</v>
      </c>
      <c r="AS191" s="18" t="s">
        <v>83</v>
      </c>
      <c r="AT191" s="18" t="s">
        <v>83</v>
      </c>
      <c r="AU191" s="18" t="s">
        <v>81</v>
      </c>
      <c r="AV191" s="18" t="s">
        <v>95</v>
      </c>
      <c r="AW191" s="18" t="s">
        <v>95</v>
      </c>
      <c r="AX191" s="18"/>
      <c r="AY191" s="18" t="str">
        <f>Pospago[[#This Row],[NUM_TELEFONICO]]&amp;"POSPAGOSI"</f>
        <v>979355015POSPAGOSI</v>
      </c>
      <c r="AZ191" s="18" t="str">
        <f>VLOOKUP(Pospago[[#This Row],[NOM_PLAZA_FINAL]],[1]!Locales[#Data],3,0)</f>
        <v>TIENDA RECREO</v>
      </c>
      <c r="BA191" s="18" t="str">
        <f>IFERROR(VLOOKUP(Pospago[[#This Row],[USUARIO]],[1]!Personal[#Data],6,0),"EJECUTIVO NO REGISTRADO")</f>
        <v>CONDO GARCIA NICOLAS MATIAS</v>
      </c>
      <c r="BB191" s="18" t="str">
        <f>Pospago[[#This Row],[TIPO_MOVIMIENTO]]&amp;" "&amp;Pospago[[#This Row],[FORMA_PAGO_FINAL]]</f>
        <v>ALTAS PAGO EN CAJA</v>
      </c>
      <c r="BC191" s="18">
        <f>DAY(Pospago[[#This Row],[FECHA_ALTA]])</f>
        <v>12</v>
      </c>
      <c r="BD191" s="18">
        <f>IF(Pospago[[#This Row],[TARIFA_BASICA]]=11.42,1,0)</f>
        <v>0</v>
      </c>
      <c r="BE191" s="18">
        <f>IF(Pospago[[#This Row],[PLANES TELEVENTAS]]="SI",1,0)</f>
        <v>0</v>
      </c>
      <c r="BF191" s="18">
        <f>1</f>
        <v>1</v>
      </c>
      <c r="BG191" s="18">
        <f>IF(OR(Pospago[[#This Row],[TARIFA_BASICA]]=11.42,Pospago[[#This Row],[PLANES TELEVENTAS]]="SI"),1,0)</f>
        <v>0</v>
      </c>
      <c r="BH191" s="18" t="str">
        <f>IF(MID(Pospago[[#This Row],[PlanDesc]],1,4) = "PLAN","POSPAGO",IF(MID(Pospago[[#This Row],[PlanDesc]],1,4)="FULL","FULL MEGAS","PREVIOPAGO"))</f>
        <v>PREVIOPAGO</v>
      </c>
      <c r="BI1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91" s="21">
        <f>Pospago[[#This Row],[TARIFA_BASICA]]*1.5</f>
        <v>21.419999999999998</v>
      </c>
    </row>
    <row r="192" spans="1:63" x14ac:dyDescent="0.25">
      <c r="A192" s="18" t="s">
        <v>154</v>
      </c>
      <c r="B192" s="18" t="s">
        <v>1441</v>
      </c>
      <c r="C192" s="18" t="s">
        <v>1442</v>
      </c>
      <c r="D192" s="19">
        <v>44908</v>
      </c>
      <c r="E192" s="18" t="s">
        <v>67</v>
      </c>
      <c r="F192" s="18" t="s">
        <v>1443</v>
      </c>
      <c r="G192" s="18" t="s">
        <v>1444</v>
      </c>
      <c r="H192" s="18" t="s">
        <v>159</v>
      </c>
      <c r="I192" s="18" t="s">
        <v>71</v>
      </c>
      <c r="J192" s="18" t="s">
        <v>258</v>
      </c>
      <c r="K192" s="18" t="s">
        <v>73</v>
      </c>
      <c r="L192" s="20" t="s">
        <v>1445</v>
      </c>
      <c r="M192" s="18" t="s">
        <v>75</v>
      </c>
      <c r="N192" s="20" t="s">
        <v>1446</v>
      </c>
      <c r="O192" s="18" t="s">
        <v>164</v>
      </c>
      <c r="P192" s="18" t="s">
        <v>78</v>
      </c>
      <c r="Q192" s="19">
        <v>44914</v>
      </c>
      <c r="R192" s="21">
        <v>11.42</v>
      </c>
      <c r="S192" s="18" t="s">
        <v>79</v>
      </c>
      <c r="T192" s="18" t="s">
        <v>80</v>
      </c>
      <c r="U192" s="18" t="s">
        <v>83</v>
      </c>
      <c r="V192" s="18" t="s">
        <v>95</v>
      </c>
      <c r="W192" s="18" t="s">
        <v>95</v>
      </c>
      <c r="X192" s="18" t="s">
        <v>118</v>
      </c>
      <c r="Y192" s="18" t="s">
        <v>85</v>
      </c>
      <c r="Z192" s="18" t="s">
        <v>86</v>
      </c>
      <c r="AA192" s="18" t="s">
        <v>119</v>
      </c>
      <c r="AB192" s="18" t="s">
        <v>1415</v>
      </c>
      <c r="AC192" s="18" t="s">
        <v>1416</v>
      </c>
      <c r="AD192" s="18" t="s">
        <v>85</v>
      </c>
      <c r="AE192" s="18" t="s">
        <v>90</v>
      </c>
      <c r="AF192" s="18" t="s">
        <v>91</v>
      </c>
      <c r="AG192" s="18" t="s">
        <v>92</v>
      </c>
      <c r="AH192" s="18" t="s">
        <v>165</v>
      </c>
      <c r="AI192" s="18" t="s">
        <v>94</v>
      </c>
      <c r="AJ192" s="19">
        <v>44908</v>
      </c>
      <c r="AK192" s="22" t="s">
        <v>95</v>
      </c>
      <c r="AL192" s="18" t="s">
        <v>95</v>
      </c>
      <c r="AM192" s="18" t="s">
        <v>95</v>
      </c>
      <c r="AN192" s="18" t="s">
        <v>95</v>
      </c>
      <c r="AO192" s="18" t="s">
        <v>95</v>
      </c>
      <c r="AP192" s="18" t="s">
        <v>95</v>
      </c>
      <c r="AQ192" s="18" t="s">
        <v>95</v>
      </c>
      <c r="AR192" s="18" t="s">
        <v>95</v>
      </c>
      <c r="AS192" s="18" t="s">
        <v>83</v>
      </c>
      <c r="AT192" s="18" t="s">
        <v>83</v>
      </c>
      <c r="AU192" s="18" t="s">
        <v>81</v>
      </c>
      <c r="AV192" s="18" t="s">
        <v>95</v>
      </c>
      <c r="AW192" s="18" t="s">
        <v>95</v>
      </c>
      <c r="AX192" s="18"/>
      <c r="AY192" s="18" t="str">
        <f>Pospago[[#This Row],[NUM_TELEFONICO]]&amp;"POSPAGOSI"</f>
        <v>979359462POSPAGOSI</v>
      </c>
      <c r="AZ192" s="18" t="str">
        <f>VLOOKUP(Pospago[[#This Row],[NOM_PLAZA_FINAL]],[1]!Locales[#Data],3,0)</f>
        <v>TIENDA CUENCA CENTRO</v>
      </c>
      <c r="BA192" s="18" t="str">
        <f>IFERROR(VLOOKUP(Pospago[[#This Row],[USUARIO]],[1]!Personal[#Data],6,0),"EJECUTIVO NO REGISTRADO")</f>
        <v>PATIÑO URGILES DIANA CATALINA</v>
      </c>
      <c r="BB192" s="18" t="str">
        <f>Pospago[[#This Row],[TIPO_MOVIMIENTO]]&amp;" "&amp;Pospago[[#This Row],[FORMA_PAGO_FINAL]]</f>
        <v>TRANSFERENCIAS PAGO EN CAJA</v>
      </c>
      <c r="BC192" s="18">
        <f>DAY(Pospago[[#This Row],[FECHA_ALTA]])</f>
        <v>13</v>
      </c>
      <c r="BD192" s="18">
        <f>IF(Pospago[[#This Row],[TARIFA_BASICA]]=11.42,1,0)</f>
        <v>1</v>
      </c>
      <c r="BE192" s="18">
        <f>IF(Pospago[[#This Row],[PLANES TELEVENTAS]]="SI",1,0)</f>
        <v>0</v>
      </c>
      <c r="BF192" s="18">
        <f>1</f>
        <v>1</v>
      </c>
      <c r="BG192" s="18">
        <f>IF(OR(Pospago[[#This Row],[TARIFA_BASICA]]=11.42,Pospago[[#This Row],[PLANES TELEVENTAS]]="SI"),1,0)</f>
        <v>1</v>
      </c>
      <c r="BH192" s="18" t="str">
        <f>IF(MID(Pospago[[#This Row],[PlanDesc]],1,4) = "PLAN","POSPAGO",IF(MID(Pospago[[#This Row],[PlanDesc]],1,4)="FULL","FULL MEGAS","PREVIOPAGO"))</f>
        <v>PREVIOPAGO</v>
      </c>
      <c r="BI1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92" s="21">
        <f>Pospago[[#This Row],[TARIFA_BASICA]]*1.5</f>
        <v>17.13</v>
      </c>
    </row>
    <row r="193" spans="1:63" x14ac:dyDescent="0.25">
      <c r="A193" s="18" t="s">
        <v>154</v>
      </c>
      <c r="B193" s="18" t="s">
        <v>1447</v>
      </c>
      <c r="C193" s="18" t="s">
        <v>1448</v>
      </c>
      <c r="D193" s="19">
        <v>44897</v>
      </c>
      <c r="E193" s="18" t="s">
        <v>67</v>
      </c>
      <c r="F193" s="18" t="s">
        <v>1449</v>
      </c>
      <c r="G193" s="18" t="s">
        <v>1450</v>
      </c>
      <c r="H193" s="18" t="s">
        <v>159</v>
      </c>
      <c r="I193" s="18" t="s">
        <v>71</v>
      </c>
      <c r="J193" s="18" t="s">
        <v>258</v>
      </c>
      <c r="K193" s="18" t="s">
        <v>73</v>
      </c>
      <c r="L193" s="20" t="s">
        <v>1451</v>
      </c>
      <c r="M193" s="18" t="s">
        <v>75</v>
      </c>
      <c r="N193" s="20" t="s">
        <v>1452</v>
      </c>
      <c r="O193" s="18" t="s">
        <v>164</v>
      </c>
      <c r="P193" s="18" t="s">
        <v>78</v>
      </c>
      <c r="Q193" s="19">
        <v>44914</v>
      </c>
      <c r="R193" s="21">
        <v>11.42</v>
      </c>
      <c r="S193" s="18" t="s">
        <v>79</v>
      </c>
      <c r="T193" s="18" t="s">
        <v>80</v>
      </c>
      <c r="U193" s="18" t="s">
        <v>83</v>
      </c>
      <c r="V193" s="18" t="s">
        <v>95</v>
      </c>
      <c r="W193" s="18" t="s">
        <v>95</v>
      </c>
      <c r="X193" s="18" t="s">
        <v>118</v>
      </c>
      <c r="Y193" s="18" t="s">
        <v>85</v>
      </c>
      <c r="Z193" s="18" t="s">
        <v>86</v>
      </c>
      <c r="AA193" s="18" t="s">
        <v>119</v>
      </c>
      <c r="AB193" s="18" t="s">
        <v>242</v>
      </c>
      <c r="AC193" s="18" t="s">
        <v>243</v>
      </c>
      <c r="AD193" s="18" t="s">
        <v>85</v>
      </c>
      <c r="AE193" s="18" t="s">
        <v>90</v>
      </c>
      <c r="AF193" s="18" t="s">
        <v>91</v>
      </c>
      <c r="AG193" s="18" t="s">
        <v>92</v>
      </c>
      <c r="AH193" s="18" t="s">
        <v>165</v>
      </c>
      <c r="AI193" s="18" t="s">
        <v>94</v>
      </c>
      <c r="AJ193" s="19">
        <v>44897</v>
      </c>
      <c r="AK193" s="22" t="s">
        <v>95</v>
      </c>
      <c r="AL193" s="18" t="s">
        <v>95</v>
      </c>
      <c r="AM193" s="18" t="s">
        <v>95</v>
      </c>
      <c r="AN193" s="18" t="s">
        <v>95</v>
      </c>
      <c r="AO193" s="18" t="s">
        <v>95</v>
      </c>
      <c r="AP193" s="18" t="s">
        <v>95</v>
      </c>
      <c r="AQ193" s="18" t="s">
        <v>95</v>
      </c>
      <c r="AR193" s="18" t="s">
        <v>95</v>
      </c>
      <c r="AS193" s="18" t="s">
        <v>83</v>
      </c>
      <c r="AT193" s="18" t="s">
        <v>83</v>
      </c>
      <c r="AU193" s="18" t="s">
        <v>81</v>
      </c>
      <c r="AV193" s="18" t="s">
        <v>95</v>
      </c>
      <c r="AW193" s="18" t="s">
        <v>95</v>
      </c>
      <c r="AX193" s="18"/>
      <c r="AY193" s="18" t="str">
        <f>Pospago[[#This Row],[NUM_TELEFONICO]]&amp;"POSPAGOSI"</f>
        <v>979369569POSPAGOSI</v>
      </c>
      <c r="AZ193" s="18" t="str">
        <f>VLOOKUP(Pospago[[#This Row],[NOM_PLAZA_FINAL]],[1]!Locales[#Data],3,0)</f>
        <v>TIENDA CUENCA CENTRO</v>
      </c>
      <c r="BA193" s="18" t="str">
        <f>IFERROR(VLOOKUP(Pospago[[#This Row],[USUARIO]],[1]!Personal[#Data],6,0),"EJECUTIVO NO REGISTRADO")</f>
        <v>VALLEJO DELEG ROMAN NICOLAS</v>
      </c>
      <c r="BB193" s="18" t="str">
        <f>Pospago[[#This Row],[TIPO_MOVIMIENTO]]&amp;" "&amp;Pospago[[#This Row],[FORMA_PAGO_FINAL]]</f>
        <v>TRANSFERENCIAS PAGO EN CAJA</v>
      </c>
      <c r="BC193" s="18">
        <f>DAY(Pospago[[#This Row],[FECHA_ALTA]])</f>
        <v>2</v>
      </c>
      <c r="BD193" s="18">
        <f>IF(Pospago[[#This Row],[TARIFA_BASICA]]=11.42,1,0)</f>
        <v>1</v>
      </c>
      <c r="BE193" s="18">
        <f>IF(Pospago[[#This Row],[PLANES TELEVENTAS]]="SI",1,0)</f>
        <v>0</v>
      </c>
      <c r="BF193" s="18">
        <f>1</f>
        <v>1</v>
      </c>
      <c r="BG193" s="18">
        <f>IF(OR(Pospago[[#This Row],[TARIFA_BASICA]]=11.42,Pospago[[#This Row],[PLANES TELEVENTAS]]="SI"),1,0)</f>
        <v>1</v>
      </c>
      <c r="BH193" s="18" t="str">
        <f>IF(MID(Pospago[[#This Row],[PlanDesc]],1,4) = "PLAN","POSPAGO",IF(MID(Pospago[[#This Row],[PlanDesc]],1,4)="FULL","FULL MEGAS","PREVIOPAGO"))</f>
        <v>PREVIOPAGO</v>
      </c>
      <c r="BI1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93" s="21">
        <f>Pospago[[#This Row],[TARIFA_BASICA]]*1.5</f>
        <v>17.13</v>
      </c>
    </row>
    <row r="194" spans="1:63" x14ac:dyDescent="0.25">
      <c r="A194" s="18" t="s">
        <v>64</v>
      </c>
      <c r="B194" s="18" t="s">
        <v>1453</v>
      </c>
      <c r="C194" s="18" t="s">
        <v>1454</v>
      </c>
      <c r="D194" s="19">
        <v>44896</v>
      </c>
      <c r="E194" s="18" t="s">
        <v>67</v>
      </c>
      <c r="F194" s="18" t="s">
        <v>1455</v>
      </c>
      <c r="G194" s="18" t="s">
        <v>1456</v>
      </c>
      <c r="H194" s="18" t="s">
        <v>70</v>
      </c>
      <c r="I194" s="18" t="s">
        <v>112</v>
      </c>
      <c r="J194" s="18" t="s">
        <v>113</v>
      </c>
      <c r="K194" s="18" t="s">
        <v>73</v>
      </c>
      <c r="L194" s="20" t="s">
        <v>1457</v>
      </c>
      <c r="M194" s="18" t="s">
        <v>75</v>
      </c>
      <c r="N194" s="20" t="s">
        <v>1458</v>
      </c>
      <c r="O194" s="18" t="s">
        <v>77</v>
      </c>
      <c r="P194" s="18" t="s">
        <v>78</v>
      </c>
      <c r="Q194" s="19">
        <v>44914</v>
      </c>
      <c r="R194" s="21">
        <v>17.850000000000001</v>
      </c>
      <c r="S194" s="18" t="s">
        <v>79</v>
      </c>
      <c r="T194" s="18" t="s">
        <v>135</v>
      </c>
      <c r="U194" s="18" t="s">
        <v>83</v>
      </c>
      <c r="V194" s="18" t="s">
        <v>95</v>
      </c>
      <c r="W194" s="18" t="s">
        <v>83</v>
      </c>
      <c r="X194" s="18" t="s">
        <v>118</v>
      </c>
      <c r="Y194" s="18" t="s">
        <v>85</v>
      </c>
      <c r="Z194" s="18" t="s">
        <v>86</v>
      </c>
      <c r="AA194" s="18" t="s">
        <v>119</v>
      </c>
      <c r="AB194" s="18" t="s">
        <v>541</v>
      </c>
      <c r="AC194" s="18" t="s">
        <v>542</v>
      </c>
      <c r="AD194" s="18" t="s">
        <v>85</v>
      </c>
      <c r="AE194" s="18" t="s">
        <v>90</v>
      </c>
      <c r="AF194" s="18" t="s">
        <v>138</v>
      </c>
      <c r="AG194" s="18" t="s">
        <v>139</v>
      </c>
      <c r="AH194" s="18" t="s">
        <v>93</v>
      </c>
      <c r="AI194" s="18" t="s">
        <v>94</v>
      </c>
      <c r="AJ194" s="19">
        <v>44896</v>
      </c>
      <c r="AK194" s="22" t="s">
        <v>95</v>
      </c>
      <c r="AL194" s="18" t="s">
        <v>95</v>
      </c>
      <c r="AM194" s="18" t="s">
        <v>95</v>
      </c>
      <c r="AN194" s="18" t="s">
        <v>95</v>
      </c>
      <c r="AO194" s="18" t="s">
        <v>95</v>
      </c>
      <c r="AP194" s="18" t="s">
        <v>95</v>
      </c>
      <c r="AQ194" s="18" t="s">
        <v>95</v>
      </c>
      <c r="AR194" s="18" t="s">
        <v>95</v>
      </c>
      <c r="AS194" s="18" t="s">
        <v>83</v>
      </c>
      <c r="AT194" s="18" t="s">
        <v>83</v>
      </c>
      <c r="AU194" s="18" t="s">
        <v>81</v>
      </c>
      <c r="AV194" s="18" t="s">
        <v>95</v>
      </c>
      <c r="AW194" s="18" t="s">
        <v>95</v>
      </c>
      <c r="AX194" s="18"/>
      <c r="AY194" s="18" t="str">
        <f>Pospago[[#This Row],[NUM_TELEFONICO]]&amp;"POSPAGOSI"</f>
        <v>979377168POSPAGOSI</v>
      </c>
      <c r="AZ194" s="18" t="str">
        <f>VLOOKUP(Pospago[[#This Row],[NOM_PLAZA_FINAL]],[1]!Locales[#Data],3,0)</f>
        <v>TIENDA AMERICA</v>
      </c>
      <c r="BA194" s="18" t="str">
        <f>IFERROR(VLOOKUP(Pospago[[#This Row],[USUARIO]],[1]!Personal[#Data],6,0),"EJECUTIVO NO REGISTRADO")</f>
        <v>CEVALLOS PONCE DIANA CAROLINA</v>
      </c>
      <c r="BB194" s="18" t="str">
        <f>Pospago[[#This Row],[TIPO_MOVIMIENTO]]&amp;" "&amp;Pospago[[#This Row],[FORMA_PAGO_FINAL]]</f>
        <v>ALTAS PAGO EN CAJA</v>
      </c>
      <c r="BC194" s="18">
        <f>DAY(Pospago[[#This Row],[FECHA_ALTA]])</f>
        <v>1</v>
      </c>
      <c r="BD194" s="18">
        <f>IF(Pospago[[#This Row],[TARIFA_BASICA]]=11.42,1,0)</f>
        <v>0</v>
      </c>
      <c r="BE194" s="18">
        <f>IF(Pospago[[#This Row],[PLANES TELEVENTAS]]="SI",1,0)</f>
        <v>0</v>
      </c>
      <c r="BF194" s="18">
        <f>1</f>
        <v>1</v>
      </c>
      <c r="BG194" s="18">
        <f>IF(OR(Pospago[[#This Row],[TARIFA_BASICA]]=11.42,Pospago[[#This Row],[PLANES TELEVENTAS]]="SI"),1,0)</f>
        <v>0</v>
      </c>
      <c r="BH194" s="18" t="str">
        <f>IF(MID(Pospago[[#This Row],[PlanDesc]],1,4) = "PLAN","POSPAGO",IF(MID(Pospago[[#This Row],[PlanDesc]],1,4)="FULL","FULL MEGAS","PREVIOPAGO"))</f>
        <v>PREVIOPAGO</v>
      </c>
      <c r="BI1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1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94" s="21">
        <f>Pospago[[#This Row],[TARIFA_BASICA]]*1.5</f>
        <v>26.775000000000002</v>
      </c>
    </row>
    <row r="195" spans="1:63" x14ac:dyDescent="0.25">
      <c r="A195" s="18" t="s">
        <v>64</v>
      </c>
      <c r="B195" s="18" t="s">
        <v>1459</v>
      </c>
      <c r="C195" s="18" t="s">
        <v>1460</v>
      </c>
      <c r="D195" s="19">
        <v>44911</v>
      </c>
      <c r="E195" s="18" t="s">
        <v>67</v>
      </c>
      <c r="F195" s="18" t="s">
        <v>1461</v>
      </c>
      <c r="G195" s="18" t="s">
        <v>1462</v>
      </c>
      <c r="H195" s="18" t="s">
        <v>70</v>
      </c>
      <c r="I195" s="18" t="s">
        <v>160</v>
      </c>
      <c r="J195" s="18" t="s">
        <v>195</v>
      </c>
      <c r="K195" s="18" t="s">
        <v>114</v>
      </c>
      <c r="L195" s="20" t="s">
        <v>1463</v>
      </c>
      <c r="M195" s="18" t="s">
        <v>75</v>
      </c>
      <c r="N195" s="20" t="s">
        <v>1464</v>
      </c>
      <c r="O195" s="18" t="s">
        <v>77</v>
      </c>
      <c r="P195" s="18" t="s">
        <v>78</v>
      </c>
      <c r="Q195" s="19">
        <v>44914</v>
      </c>
      <c r="R195" s="21">
        <v>14.28</v>
      </c>
      <c r="S195" s="18" t="s">
        <v>79</v>
      </c>
      <c r="T195" s="18" t="s">
        <v>117</v>
      </c>
      <c r="U195" s="18" t="s">
        <v>83</v>
      </c>
      <c r="V195" s="18" t="s">
        <v>95</v>
      </c>
      <c r="W195" s="18" t="s">
        <v>83</v>
      </c>
      <c r="X195" s="18" t="s">
        <v>118</v>
      </c>
      <c r="Y195" s="18" t="s">
        <v>85</v>
      </c>
      <c r="Z195" s="18" t="s">
        <v>86</v>
      </c>
      <c r="AA195" s="18" t="s">
        <v>119</v>
      </c>
      <c r="AB195" s="18" t="s">
        <v>808</v>
      </c>
      <c r="AC195" s="18" t="s">
        <v>809</v>
      </c>
      <c r="AD195" s="18" t="s">
        <v>85</v>
      </c>
      <c r="AE195" s="18" t="s">
        <v>90</v>
      </c>
      <c r="AF195" s="18" t="s">
        <v>122</v>
      </c>
      <c r="AG195" s="18" t="s">
        <v>92</v>
      </c>
      <c r="AH195" s="18" t="s">
        <v>93</v>
      </c>
      <c r="AI195" s="18" t="s">
        <v>94</v>
      </c>
      <c r="AJ195" s="19">
        <v>44911</v>
      </c>
      <c r="AK195" s="22" t="s">
        <v>95</v>
      </c>
      <c r="AL195" s="18" t="s">
        <v>95</v>
      </c>
      <c r="AM195" s="18" t="s">
        <v>95</v>
      </c>
      <c r="AN195" s="18" t="s">
        <v>95</v>
      </c>
      <c r="AO195" s="18" t="s">
        <v>95</v>
      </c>
      <c r="AP195" s="18" t="s">
        <v>95</v>
      </c>
      <c r="AQ195" s="18" t="s">
        <v>95</v>
      </c>
      <c r="AR195" s="18" t="s">
        <v>95</v>
      </c>
      <c r="AS195" s="18" t="s">
        <v>83</v>
      </c>
      <c r="AT195" s="18" t="s">
        <v>83</v>
      </c>
      <c r="AU195" s="18" t="s">
        <v>81</v>
      </c>
      <c r="AV195" s="18" t="s">
        <v>95</v>
      </c>
      <c r="AW195" s="18" t="s">
        <v>95</v>
      </c>
      <c r="AX195" s="18"/>
      <c r="AY195" s="18" t="str">
        <f>Pospago[[#This Row],[NUM_TELEFONICO]]&amp;"POSPAGOSI"</f>
        <v>979384668POSPAGOSI</v>
      </c>
      <c r="AZ195" s="18" t="str">
        <f>VLOOKUP(Pospago[[#This Row],[NOM_PLAZA_FINAL]],[1]!Locales[#Data],3,0)</f>
        <v>TIENDA MACHALA</v>
      </c>
      <c r="BA195" s="18" t="str">
        <f>IFERROR(VLOOKUP(Pospago[[#This Row],[USUARIO]],[1]!Personal[#Data],6,0),"EJECUTIVO NO REGISTRADO")</f>
        <v>ALICIA ROMINA GONZALEZ SANDOYA</v>
      </c>
      <c r="BB195" s="18" t="str">
        <f>Pospago[[#This Row],[TIPO_MOVIMIENTO]]&amp;" "&amp;Pospago[[#This Row],[FORMA_PAGO_FINAL]]</f>
        <v>ALTAS PAGO EN CAJA</v>
      </c>
      <c r="BC195" s="18">
        <f>DAY(Pospago[[#This Row],[FECHA_ALTA]])</f>
        <v>16</v>
      </c>
      <c r="BD195" s="18">
        <f>IF(Pospago[[#This Row],[TARIFA_BASICA]]=11.42,1,0)</f>
        <v>0</v>
      </c>
      <c r="BE195" s="18">
        <f>IF(Pospago[[#This Row],[PLANES TELEVENTAS]]="SI",1,0)</f>
        <v>0</v>
      </c>
      <c r="BF195" s="18">
        <f>1</f>
        <v>1</v>
      </c>
      <c r="BG195" s="18">
        <f>IF(OR(Pospago[[#This Row],[TARIFA_BASICA]]=11.42,Pospago[[#This Row],[PLANES TELEVENTAS]]="SI"),1,0)</f>
        <v>0</v>
      </c>
      <c r="BH195" s="18" t="str">
        <f>IF(MID(Pospago[[#This Row],[PlanDesc]],1,4) = "PLAN","POSPAGO",IF(MID(Pospago[[#This Row],[PlanDesc]],1,4)="FULL","FULL MEGAS","PREVIOPAGO"))</f>
        <v>PREVIOPAGO</v>
      </c>
      <c r="BI1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10.884</v>
      </c>
      <c r="BJ1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95" s="21">
        <f>Pospago[[#This Row],[TARIFA_BASICA]]*1.5</f>
        <v>21.419999999999998</v>
      </c>
    </row>
    <row r="196" spans="1:63" x14ac:dyDescent="0.25">
      <c r="A196" s="18" t="s">
        <v>64</v>
      </c>
      <c r="B196" s="18" t="s">
        <v>1465</v>
      </c>
      <c r="C196" s="18" t="s">
        <v>1466</v>
      </c>
      <c r="D196" s="19">
        <v>44906</v>
      </c>
      <c r="E196" s="18" t="s">
        <v>67</v>
      </c>
      <c r="F196" s="18" t="s">
        <v>1467</v>
      </c>
      <c r="G196" s="18" t="s">
        <v>1468</v>
      </c>
      <c r="H196" s="18" t="s">
        <v>70</v>
      </c>
      <c r="I196" s="18" t="s">
        <v>194</v>
      </c>
      <c r="J196" s="18" t="s">
        <v>195</v>
      </c>
      <c r="K196" s="18" t="s">
        <v>132</v>
      </c>
      <c r="L196" s="20" t="s">
        <v>1469</v>
      </c>
      <c r="M196" s="18" t="s">
        <v>75</v>
      </c>
      <c r="N196" s="20" t="s">
        <v>1470</v>
      </c>
      <c r="O196" s="18" t="s">
        <v>77</v>
      </c>
      <c r="P196" s="18" t="s">
        <v>78</v>
      </c>
      <c r="Q196" s="19">
        <v>44914</v>
      </c>
      <c r="R196" s="21">
        <v>14.28</v>
      </c>
      <c r="S196" s="18" t="s">
        <v>79</v>
      </c>
      <c r="T196" s="18" t="s">
        <v>174</v>
      </c>
      <c r="U196" s="18" t="s">
        <v>83</v>
      </c>
      <c r="V196" s="18" t="s">
        <v>95</v>
      </c>
      <c r="W196" s="18" t="s">
        <v>83</v>
      </c>
      <c r="X196" s="18" t="s">
        <v>118</v>
      </c>
      <c r="Y196" s="18" t="s">
        <v>85</v>
      </c>
      <c r="Z196" s="18" t="s">
        <v>86</v>
      </c>
      <c r="AA196" s="18" t="s">
        <v>119</v>
      </c>
      <c r="AB196" s="18" t="s">
        <v>492</v>
      </c>
      <c r="AC196" s="18" t="s">
        <v>493</v>
      </c>
      <c r="AD196" s="18" t="s">
        <v>85</v>
      </c>
      <c r="AE196" s="18" t="s">
        <v>90</v>
      </c>
      <c r="AF196" s="18" t="s">
        <v>177</v>
      </c>
      <c r="AG196" s="18" t="s">
        <v>139</v>
      </c>
      <c r="AH196" s="18" t="s">
        <v>93</v>
      </c>
      <c r="AI196" s="18" t="s">
        <v>94</v>
      </c>
      <c r="AJ196" s="19">
        <v>44906</v>
      </c>
      <c r="AK196" s="22" t="s">
        <v>95</v>
      </c>
      <c r="AL196" s="18" t="s">
        <v>95</v>
      </c>
      <c r="AM196" s="18" t="s">
        <v>95</v>
      </c>
      <c r="AN196" s="18" t="s">
        <v>95</v>
      </c>
      <c r="AO196" s="18" t="s">
        <v>95</v>
      </c>
      <c r="AP196" s="18" t="s">
        <v>95</v>
      </c>
      <c r="AQ196" s="18" t="s">
        <v>95</v>
      </c>
      <c r="AR196" s="18" t="s">
        <v>95</v>
      </c>
      <c r="AS196" s="18" t="s">
        <v>83</v>
      </c>
      <c r="AT196" s="18" t="s">
        <v>81</v>
      </c>
      <c r="AU196" s="18" t="s">
        <v>81</v>
      </c>
      <c r="AV196" s="18" t="s">
        <v>95</v>
      </c>
      <c r="AW196" s="18" t="s">
        <v>95</v>
      </c>
      <c r="AX196" s="18"/>
      <c r="AY196" s="18" t="str">
        <f>Pospago[[#This Row],[NUM_TELEFONICO]]&amp;"POSPAGOSI"</f>
        <v>979392464POSPAGOSI</v>
      </c>
      <c r="AZ196" s="18" t="str">
        <f>VLOOKUP(Pospago[[#This Row],[NOM_PLAZA_FINAL]],[1]!Locales[#Data],3,0)</f>
        <v>TIENDA RECREO</v>
      </c>
      <c r="BA196" s="18" t="str">
        <f>IFERROR(VLOOKUP(Pospago[[#This Row],[USUARIO]],[1]!Personal[#Data],6,0),"EJECUTIVO NO REGISTRADO")</f>
        <v>CONDO GARCIA NICOLAS MATIAS</v>
      </c>
      <c r="BB196" s="18" t="str">
        <f>Pospago[[#This Row],[TIPO_MOVIMIENTO]]&amp;" "&amp;Pospago[[#This Row],[FORMA_PAGO_FINAL]]</f>
        <v>ALTAS PAGO EN CAJA</v>
      </c>
      <c r="BC196" s="18">
        <f>DAY(Pospago[[#This Row],[FECHA_ALTA]])</f>
        <v>11</v>
      </c>
      <c r="BD196" s="18">
        <f>IF(Pospago[[#This Row],[TARIFA_BASICA]]=11.42,1,0)</f>
        <v>0</v>
      </c>
      <c r="BE196" s="18">
        <f>IF(Pospago[[#This Row],[PLANES TELEVENTAS]]="SI",1,0)</f>
        <v>1</v>
      </c>
      <c r="BF196" s="18">
        <f>1</f>
        <v>1</v>
      </c>
      <c r="BG196" s="18">
        <f>IF(OR(Pospago[[#This Row],[TARIFA_BASICA]]=11.42,Pospago[[#This Row],[PLANES TELEVENTAS]]="SI"),1,0)</f>
        <v>1</v>
      </c>
      <c r="BH196" s="18" t="str">
        <f>IF(MID(Pospago[[#This Row],[PlanDesc]],1,4) = "PLAN","POSPAGO",IF(MID(Pospago[[#This Row],[PlanDesc]],1,4)="FULL","FULL MEGAS","PREVIOPAGO"))</f>
        <v>PREVIOPAGO</v>
      </c>
      <c r="BI1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96" s="21">
        <f>Pospago[[#This Row],[TARIFA_BASICA]]*1.5</f>
        <v>21.419999999999998</v>
      </c>
    </row>
    <row r="197" spans="1:63" x14ac:dyDescent="0.25">
      <c r="A197" s="18" t="s">
        <v>64</v>
      </c>
      <c r="B197" s="18" t="s">
        <v>1471</v>
      </c>
      <c r="C197" s="18" t="s">
        <v>1472</v>
      </c>
      <c r="D197" s="19">
        <v>44901</v>
      </c>
      <c r="E197" s="18" t="s">
        <v>67</v>
      </c>
      <c r="F197" s="18" t="s">
        <v>1473</v>
      </c>
      <c r="G197" s="18" t="s">
        <v>1474</v>
      </c>
      <c r="H197" s="18" t="s">
        <v>70</v>
      </c>
      <c r="I197" s="18" t="s">
        <v>130</v>
      </c>
      <c r="J197" s="18" t="s">
        <v>131</v>
      </c>
      <c r="K197" s="18" t="s">
        <v>73</v>
      </c>
      <c r="L197" s="20" t="s">
        <v>1475</v>
      </c>
      <c r="M197" s="18" t="s">
        <v>75</v>
      </c>
      <c r="N197" s="20" t="s">
        <v>1476</v>
      </c>
      <c r="O197" s="18" t="s">
        <v>77</v>
      </c>
      <c r="P197" s="18" t="s">
        <v>78</v>
      </c>
      <c r="Q197" s="19">
        <v>44914</v>
      </c>
      <c r="R197" s="21">
        <v>15</v>
      </c>
      <c r="S197" s="18" t="s">
        <v>79</v>
      </c>
      <c r="T197" s="18" t="s">
        <v>148</v>
      </c>
      <c r="U197" s="18" t="s">
        <v>81</v>
      </c>
      <c r="V197" s="18" t="s">
        <v>82</v>
      </c>
      <c r="W197" s="18" t="s">
        <v>83</v>
      </c>
      <c r="X197" s="18" t="s">
        <v>118</v>
      </c>
      <c r="Y197" s="18" t="s">
        <v>85</v>
      </c>
      <c r="Z197" s="18" t="s">
        <v>86</v>
      </c>
      <c r="AA197" s="18" t="s">
        <v>119</v>
      </c>
      <c r="AB197" s="18" t="s">
        <v>610</v>
      </c>
      <c r="AC197" s="18" t="s">
        <v>611</v>
      </c>
      <c r="AD197" s="18" t="s">
        <v>85</v>
      </c>
      <c r="AE197" s="18" t="s">
        <v>90</v>
      </c>
      <c r="AF197" s="18" t="s">
        <v>151</v>
      </c>
      <c r="AG197" s="18" t="s">
        <v>92</v>
      </c>
      <c r="AH197" s="18" t="s">
        <v>93</v>
      </c>
      <c r="AI197" s="18" t="s">
        <v>94</v>
      </c>
      <c r="AJ197" s="19">
        <v>44901</v>
      </c>
      <c r="AK197" s="22" t="s">
        <v>95</v>
      </c>
      <c r="AL197" s="18" t="s">
        <v>95</v>
      </c>
      <c r="AM197" s="18" t="s">
        <v>95</v>
      </c>
      <c r="AN197" s="18" t="s">
        <v>95</v>
      </c>
      <c r="AO197" s="18" t="s">
        <v>95</v>
      </c>
      <c r="AP197" s="18" t="s">
        <v>95</v>
      </c>
      <c r="AQ197" s="18" t="s">
        <v>95</v>
      </c>
      <c r="AR197" s="18" t="s">
        <v>95</v>
      </c>
      <c r="AS197" s="18" t="s">
        <v>83</v>
      </c>
      <c r="AT197" s="18" t="s">
        <v>83</v>
      </c>
      <c r="AU197" s="18" t="s">
        <v>81</v>
      </c>
      <c r="AV197" s="18" t="s">
        <v>95</v>
      </c>
      <c r="AW197" s="18" t="s">
        <v>95</v>
      </c>
      <c r="AX197" s="18"/>
      <c r="AY197" s="18" t="str">
        <f>Pospago[[#This Row],[NUM_TELEFONICO]]&amp;"POSPAGOSI"</f>
        <v>979533928POSPAGOSI</v>
      </c>
      <c r="AZ197" s="18" t="str">
        <f>VLOOKUP(Pospago[[#This Row],[NOM_PLAZA_FINAL]],[1]!Locales[#Data],3,0)</f>
        <v>TIENDA CUENCA REMIGIO</v>
      </c>
      <c r="BA197" s="18" t="str">
        <f>IFERROR(VLOOKUP(Pospago[[#This Row],[USUARIO]],[1]!Personal[#Data],6,0),"EJECUTIVO NO REGISTRADO")</f>
        <v>PATIÑO TAPIA ANDRES SANTIAGO</v>
      </c>
      <c r="BB197" s="18" t="str">
        <f>Pospago[[#This Row],[TIPO_MOVIMIENTO]]&amp;" "&amp;Pospago[[#This Row],[FORMA_PAGO_FINAL]]</f>
        <v>ALTAS PAGO EN CAJA</v>
      </c>
      <c r="BC197" s="18">
        <f>DAY(Pospago[[#This Row],[FECHA_ALTA]])</f>
        <v>6</v>
      </c>
      <c r="BD197" s="18">
        <f>IF(Pospago[[#This Row],[TARIFA_BASICA]]=11.42,1,0)</f>
        <v>0</v>
      </c>
      <c r="BE197" s="18">
        <f>IF(Pospago[[#This Row],[PLANES TELEVENTAS]]="SI",1,0)</f>
        <v>0</v>
      </c>
      <c r="BF197" s="18">
        <f>1</f>
        <v>1</v>
      </c>
      <c r="BG197" s="18">
        <f>IF(OR(Pospago[[#This Row],[TARIFA_BASICA]]=11.42,Pospago[[#This Row],[PLANES TELEVENTAS]]="SI"),1,0)</f>
        <v>0</v>
      </c>
      <c r="BH197" s="18" t="str">
        <f>IF(MID(Pospago[[#This Row],[PlanDesc]],1,4) = "PLAN","POSPAGO",IF(MID(Pospago[[#This Row],[PlanDesc]],1,4)="FULL","FULL MEGAS","PREVIOPAGO"))</f>
        <v>PREVIOPAGO</v>
      </c>
      <c r="BI1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1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97" s="21">
        <f>Pospago[[#This Row],[TARIFA_BASICA]]*1.5</f>
        <v>22.5</v>
      </c>
    </row>
    <row r="198" spans="1:63" x14ac:dyDescent="0.25">
      <c r="A198" s="18" t="s">
        <v>154</v>
      </c>
      <c r="B198" s="18" t="s">
        <v>1477</v>
      </c>
      <c r="C198" s="18" t="s">
        <v>1478</v>
      </c>
      <c r="D198" s="19">
        <v>44902</v>
      </c>
      <c r="E198" s="18" t="s">
        <v>67</v>
      </c>
      <c r="F198" s="18" t="s">
        <v>1479</v>
      </c>
      <c r="G198" s="18" t="s">
        <v>1480</v>
      </c>
      <c r="H198" s="18" t="s">
        <v>159</v>
      </c>
      <c r="I198" s="18" t="s">
        <v>160</v>
      </c>
      <c r="J198" s="18" t="s">
        <v>161</v>
      </c>
      <c r="K198" s="18" t="s">
        <v>132</v>
      </c>
      <c r="L198" s="20" t="s">
        <v>1481</v>
      </c>
      <c r="M198" s="18" t="s">
        <v>75</v>
      </c>
      <c r="N198" s="20" t="s">
        <v>1482</v>
      </c>
      <c r="O198" s="18" t="s">
        <v>164</v>
      </c>
      <c r="P198" s="18" t="s">
        <v>78</v>
      </c>
      <c r="Q198" s="19">
        <v>44914</v>
      </c>
      <c r="R198" s="21">
        <v>14.28</v>
      </c>
      <c r="S198" s="18" t="s">
        <v>79</v>
      </c>
      <c r="T198" s="18" t="s">
        <v>135</v>
      </c>
      <c r="U198" s="18" t="s">
        <v>83</v>
      </c>
      <c r="V198" s="18" t="s">
        <v>95</v>
      </c>
      <c r="W198" s="18" t="s">
        <v>95</v>
      </c>
      <c r="X198" s="18" t="s">
        <v>118</v>
      </c>
      <c r="Y198" s="18" t="s">
        <v>85</v>
      </c>
      <c r="Z198" s="18" t="s">
        <v>86</v>
      </c>
      <c r="AA198" s="18" t="s">
        <v>119</v>
      </c>
      <c r="AB198" s="18" t="s">
        <v>136</v>
      </c>
      <c r="AC198" s="18" t="s">
        <v>137</v>
      </c>
      <c r="AD198" s="18" t="s">
        <v>85</v>
      </c>
      <c r="AE198" s="18" t="s">
        <v>90</v>
      </c>
      <c r="AF198" s="18" t="s">
        <v>138</v>
      </c>
      <c r="AG198" s="18" t="s">
        <v>139</v>
      </c>
      <c r="AH198" s="18" t="s">
        <v>165</v>
      </c>
      <c r="AI198" s="18" t="s">
        <v>94</v>
      </c>
      <c r="AJ198" s="19">
        <v>44902</v>
      </c>
      <c r="AK198" s="22" t="s">
        <v>95</v>
      </c>
      <c r="AL198" s="18" t="s">
        <v>95</v>
      </c>
      <c r="AM198" s="18" t="s">
        <v>95</v>
      </c>
      <c r="AN198" s="18" t="s">
        <v>95</v>
      </c>
      <c r="AO198" s="18" t="s">
        <v>95</v>
      </c>
      <c r="AP198" s="18" t="s">
        <v>95</v>
      </c>
      <c r="AQ198" s="18" t="s">
        <v>95</v>
      </c>
      <c r="AR198" s="18" t="s">
        <v>95</v>
      </c>
      <c r="AS198" s="18" t="s">
        <v>83</v>
      </c>
      <c r="AT198" s="18" t="s">
        <v>83</v>
      </c>
      <c r="AU198" s="18" t="s">
        <v>81</v>
      </c>
      <c r="AV198" s="18" t="s">
        <v>95</v>
      </c>
      <c r="AW198" s="18" t="s">
        <v>95</v>
      </c>
      <c r="AX198" s="18"/>
      <c r="AY198" s="18" t="str">
        <f>Pospago[[#This Row],[NUM_TELEFONICO]]&amp;"POSPAGOSI"</f>
        <v>980000082POSPAGOSI</v>
      </c>
      <c r="AZ198" s="18" t="str">
        <f>VLOOKUP(Pospago[[#This Row],[NOM_PLAZA_FINAL]],[1]!Locales[#Data],3,0)</f>
        <v>TIENDA AMERICA</v>
      </c>
      <c r="BA198" s="18" t="str">
        <f>IFERROR(VLOOKUP(Pospago[[#This Row],[USUARIO]],[1]!Personal[#Data],6,0),"EJECUTIVO NO REGISTRADO")</f>
        <v>SALVATIERRA GUERRA JULIAN ENRIQUE</v>
      </c>
      <c r="BB198" s="18" t="str">
        <f>Pospago[[#This Row],[TIPO_MOVIMIENTO]]&amp;" "&amp;Pospago[[#This Row],[FORMA_PAGO_FINAL]]</f>
        <v>TRANSFERENCIAS PAGO EN CAJA</v>
      </c>
      <c r="BC198" s="18">
        <f>DAY(Pospago[[#This Row],[FECHA_ALTA]])</f>
        <v>7</v>
      </c>
      <c r="BD198" s="18">
        <f>IF(Pospago[[#This Row],[TARIFA_BASICA]]=11.42,1,0)</f>
        <v>0</v>
      </c>
      <c r="BE198" s="18">
        <f>IF(Pospago[[#This Row],[PLANES TELEVENTAS]]="SI",1,0)</f>
        <v>0</v>
      </c>
      <c r="BF198" s="18">
        <f>1</f>
        <v>1</v>
      </c>
      <c r="BG198" s="18">
        <f>IF(OR(Pospago[[#This Row],[TARIFA_BASICA]]=11.42,Pospago[[#This Row],[PLANES TELEVENTAS]]="SI"),1,0)</f>
        <v>0</v>
      </c>
      <c r="BH198" s="18" t="str">
        <f>IF(MID(Pospago[[#This Row],[PlanDesc]],1,4) = "PLAN","POSPAGO",IF(MID(Pospago[[#This Row],[PlanDesc]],1,4)="FULL","FULL MEGAS","PREVIOPAGO"))</f>
        <v>PREVIOPAGO</v>
      </c>
      <c r="BI1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98" s="21">
        <f>Pospago[[#This Row],[TARIFA_BASICA]]*1.5</f>
        <v>21.419999999999998</v>
      </c>
    </row>
    <row r="199" spans="1:63" x14ac:dyDescent="0.25">
      <c r="A199" s="18" t="s">
        <v>64</v>
      </c>
      <c r="B199" s="18" t="s">
        <v>1483</v>
      </c>
      <c r="C199" s="18" t="s">
        <v>1484</v>
      </c>
      <c r="D199" s="19">
        <v>44900</v>
      </c>
      <c r="E199" s="18" t="s">
        <v>67</v>
      </c>
      <c r="F199" s="18" t="s">
        <v>1485</v>
      </c>
      <c r="G199" s="18" t="s">
        <v>1486</v>
      </c>
      <c r="H199" s="18" t="s">
        <v>70</v>
      </c>
      <c r="I199" s="18" t="s">
        <v>1487</v>
      </c>
      <c r="J199" s="18" t="s">
        <v>228</v>
      </c>
      <c r="K199" s="18" t="s">
        <v>73</v>
      </c>
      <c r="L199" s="20" t="s">
        <v>1488</v>
      </c>
      <c r="M199" s="18" t="s">
        <v>75</v>
      </c>
      <c r="N199" s="20" t="s">
        <v>1489</v>
      </c>
      <c r="O199" s="18" t="s">
        <v>77</v>
      </c>
      <c r="P199" s="18" t="s">
        <v>78</v>
      </c>
      <c r="Q199" s="19">
        <v>44914</v>
      </c>
      <c r="R199" s="21">
        <v>21.42</v>
      </c>
      <c r="S199" s="18" t="s">
        <v>79</v>
      </c>
      <c r="T199" s="18" t="s">
        <v>80</v>
      </c>
      <c r="U199" s="18" t="s">
        <v>81</v>
      </c>
      <c r="V199" s="18" t="s">
        <v>82</v>
      </c>
      <c r="W199" s="18" t="s">
        <v>83</v>
      </c>
      <c r="X199" s="18" t="s">
        <v>118</v>
      </c>
      <c r="Y199" s="18" t="s">
        <v>85</v>
      </c>
      <c r="Z199" s="18" t="s">
        <v>86</v>
      </c>
      <c r="AA199" s="18" t="s">
        <v>119</v>
      </c>
      <c r="AB199" s="18" t="s">
        <v>880</v>
      </c>
      <c r="AC199" s="18" t="s">
        <v>881</v>
      </c>
      <c r="AD199" s="18" t="s">
        <v>85</v>
      </c>
      <c r="AE199" s="18" t="s">
        <v>90</v>
      </c>
      <c r="AF199" s="18" t="s">
        <v>91</v>
      </c>
      <c r="AG199" s="18" t="s">
        <v>92</v>
      </c>
      <c r="AH199" s="18" t="s">
        <v>93</v>
      </c>
      <c r="AI199" s="18" t="s">
        <v>94</v>
      </c>
      <c r="AJ199" s="19">
        <v>44900</v>
      </c>
      <c r="AK199" s="22" t="s">
        <v>95</v>
      </c>
      <c r="AL199" s="18" t="s">
        <v>95</v>
      </c>
      <c r="AM199" s="18" t="s">
        <v>95</v>
      </c>
      <c r="AN199" s="18" t="s">
        <v>95</v>
      </c>
      <c r="AO199" s="18" t="s">
        <v>95</v>
      </c>
      <c r="AP199" s="18" t="s">
        <v>95</v>
      </c>
      <c r="AQ199" s="18" t="s">
        <v>95</v>
      </c>
      <c r="AR199" s="18" t="s">
        <v>95</v>
      </c>
      <c r="AS199" s="18" t="s">
        <v>83</v>
      </c>
      <c r="AT199" s="18" t="s">
        <v>81</v>
      </c>
      <c r="AU199" s="18" t="s">
        <v>81</v>
      </c>
      <c r="AV199" s="18" t="s">
        <v>95</v>
      </c>
      <c r="AW199" s="18" t="s">
        <v>95</v>
      </c>
      <c r="AX199" s="18"/>
      <c r="AY199" s="18" t="str">
        <f>Pospago[[#This Row],[NUM_TELEFONICO]]&amp;"POSPAGOSI"</f>
        <v>980096871POSPAGOSI</v>
      </c>
      <c r="AZ199" s="18" t="str">
        <f>VLOOKUP(Pospago[[#This Row],[NOM_PLAZA_FINAL]],[1]!Locales[#Data],3,0)</f>
        <v>TIENDA CUENCA CENTRO</v>
      </c>
      <c r="BA199" s="18" t="str">
        <f>IFERROR(VLOOKUP(Pospago[[#This Row],[USUARIO]],[1]!Personal[#Data],6,0),"EJECUTIVO NO REGISTRADO")</f>
        <v>LUNA JACHO ANDREA GABRIELA</v>
      </c>
      <c r="BB199" s="18" t="str">
        <f>Pospago[[#This Row],[TIPO_MOVIMIENTO]]&amp;" "&amp;Pospago[[#This Row],[FORMA_PAGO_FINAL]]</f>
        <v>ALTAS PAGO EN CAJA</v>
      </c>
      <c r="BC199" s="18">
        <f>DAY(Pospago[[#This Row],[FECHA_ALTA]])</f>
        <v>5</v>
      </c>
      <c r="BD199" s="18">
        <f>IF(Pospago[[#This Row],[TARIFA_BASICA]]=11.42,1,0)</f>
        <v>0</v>
      </c>
      <c r="BE199" s="18">
        <f>IF(Pospago[[#This Row],[PLANES TELEVENTAS]]="SI",1,0)</f>
        <v>1</v>
      </c>
      <c r="BF199" s="18">
        <f>1</f>
        <v>1</v>
      </c>
      <c r="BG199" s="18">
        <f>IF(OR(Pospago[[#This Row],[TARIFA_BASICA]]=11.42,Pospago[[#This Row],[PLANES TELEVENTAS]]="SI"),1,0)</f>
        <v>1</v>
      </c>
      <c r="BH199" s="18" t="str">
        <f>IF(MID(Pospago[[#This Row],[PlanDesc]],1,4) = "PLAN","POSPAGO",IF(MID(Pospago[[#This Row],[PlanDesc]],1,4)="FULL","FULL MEGAS","PREVIOPAGO"))</f>
        <v>PREVIOPAGO</v>
      </c>
      <c r="BI1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22.5</v>
      </c>
      <c r="BJ1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99" s="21">
        <f>Pospago[[#This Row],[TARIFA_BASICA]]*1.5</f>
        <v>32.130000000000003</v>
      </c>
    </row>
    <row r="200" spans="1:63" x14ac:dyDescent="0.25">
      <c r="A200" s="18" t="s">
        <v>154</v>
      </c>
      <c r="B200" s="18" t="s">
        <v>1490</v>
      </c>
      <c r="C200" s="18" t="s">
        <v>1491</v>
      </c>
      <c r="D200" s="19">
        <v>44903</v>
      </c>
      <c r="E200" s="18" t="s">
        <v>67</v>
      </c>
      <c r="F200" s="18" t="s">
        <v>1492</v>
      </c>
      <c r="G200" s="18" t="s">
        <v>1493</v>
      </c>
      <c r="H200" s="18" t="s">
        <v>159</v>
      </c>
      <c r="I200" s="18" t="s">
        <v>160</v>
      </c>
      <c r="J200" s="18" t="s">
        <v>161</v>
      </c>
      <c r="K200" s="18" t="s">
        <v>95</v>
      </c>
      <c r="L200" s="20" t="s">
        <v>1494</v>
      </c>
      <c r="M200" s="18" t="s">
        <v>75</v>
      </c>
      <c r="N200" s="20" t="s">
        <v>1495</v>
      </c>
      <c r="O200" s="18" t="s">
        <v>164</v>
      </c>
      <c r="P200" s="18" t="s">
        <v>78</v>
      </c>
      <c r="Q200" s="19">
        <v>44914</v>
      </c>
      <c r="R200" s="21">
        <v>14.28</v>
      </c>
      <c r="S200" s="18" t="s">
        <v>79</v>
      </c>
      <c r="T200" s="18" t="s">
        <v>174</v>
      </c>
      <c r="U200" s="18" t="s">
        <v>83</v>
      </c>
      <c r="V200" s="18" t="s">
        <v>95</v>
      </c>
      <c r="W200" s="18" t="s">
        <v>95</v>
      </c>
      <c r="X200" s="18" t="s">
        <v>84</v>
      </c>
      <c r="Y200" s="18" t="s">
        <v>85</v>
      </c>
      <c r="Z200" s="18" t="s">
        <v>86</v>
      </c>
      <c r="AA200" s="18" t="s">
        <v>87</v>
      </c>
      <c r="AB200" s="18" t="s">
        <v>740</v>
      </c>
      <c r="AC200" s="18" t="s">
        <v>741</v>
      </c>
      <c r="AD200" s="18" t="s">
        <v>85</v>
      </c>
      <c r="AE200" s="18" t="s">
        <v>90</v>
      </c>
      <c r="AF200" s="18" t="s">
        <v>177</v>
      </c>
      <c r="AG200" s="18" t="s">
        <v>139</v>
      </c>
      <c r="AH200" s="18" t="s">
        <v>165</v>
      </c>
      <c r="AI200" s="18" t="s">
        <v>94</v>
      </c>
      <c r="AJ200" s="19">
        <v>44903</v>
      </c>
      <c r="AK200" s="22" t="s">
        <v>95</v>
      </c>
      <c r="AL200" s="18" t="s">
        <v>95</v>
      </c>
      <c r="AM200" s="18" t="s">
        <v>95</v>
      </c>
      <c r="AN200" s="18" t="s">
        <v>95</v>
      </c>
      <c r="AO200" s="18" t="s">
        <v>95</v>
      </c>
      <c r="AP200" s="18" t="s">
        <v>95</v>
      </c>
      <c r="AQ200" s="18" t="s">
        <v>95</v>
      </c>
      <c r="AR200" s="18" t="s">
        <v>95</v>
      </c>
      <c r="AS200" s="18" t="s">
        <v>83</v>
      </c>
      <c r="AT200" s="18" t="s">
        <v>83</v>
      </c>
      <c r="AU200" s="18" t="s">
        <v>81</v>
      </c>
      <c r="AV200" s="18" t="s">
        <v>95</v>
      </c>
      <c r="AW200" s="18" t="s">
        <v>95</v>
      </c>
      <c r="AX200" s="18"/>
      <c r="AY200" s="18" t="str">
        <f>Pospago[[#This Row],[NUM_TELEFONICO]]&amp;"POSPAGOSI"</f>
        <v>980271406POSPAGOSI</v>
      </c>
      <c r="AZ200" s="18" t="str">
        <f>VLOOKUP(Pospago[[#This Row],[NOM_PLAZA_FINAL]],[1]!Locales[#Data],3,0)</f>
        <v>TIENDA RECREO</v>
      </c>
      <c r="BA200" s="18" t="str">
        <f>IFERROR(VLOOKUP(Pospago[[#This Row],[USUARIO]],[1]!Personal[#Data],6,0),"EJECUTIVO NO REGISTRADO")</f>
        <v>CHAVEZ VASQUEZ YESSENIA KATHERINE</v>
      </c>
      <c r="BB200" s="18" t="str">
        <f>Pospago[[#This Row],[TIPO_MOVIMIENTO]]&amp;" "&amp;Pospago[[#This Row],[FORMA_PAGO_FINAL]]</f>
        <v>TRANSFERENCIAS DOMICILIADO</v>
      </c>
      <c r="BC200" s="18">
        <f>DAY(Pospago[[#This Row],[FECHA_ALTA]])</f>
        <v>8</v>
      </c>
      <c r="BD200" s="18">
        <f>IF(Pospago[[#This Row],[TARIFA_BASICA]]=11.42,1,0)</f>
        <v>0</v>
      </c>
      <c r="BE200" s="18">
        <f>IF(Pospago[[#This Row],[PLANES TELEVENTAS]]="SI",1,0)</f>
        <v>0</v>
      </c>
      <c r="BF200" s="18">
        <f>1</f>
        <v>1</v>
      </c>
      <c r="BG200" s="18">
        <f>IF(OR(Pospago[[#This Row],[TARIFA_BASICA]]=11.42,Pospago[[#This Row],[PLANES TELEVENTAS]]="SI"),1,0)</f>
        <v>0</v>
      </c>
      <c r="BH200" s="18" t="str">
        <f>IF(MID(Pospago[[#This Row],[PlanDesc]],1,4) = "PLAN","POSPAGO",IF(MID(Pospago[[#This Row],[PlanDesc]],1,4)="FULL","FULL MEGAS","PREVIOPAGO"))</f>
        <v>PREVIOPAGO</v>
      </c>
      <c r="BI2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0" s="21">
        <f>Pospago[[#This Row],[TARIFA_BASICA]]*1.5</f>
        <v>21.419999999999998</v>
      </c>
    </row>
    <row r="201" spans="1:63" x14ac:dyDescent="0.25">
      <c r="A201" s="18" t="s">
        <v>154</v>
      </c>
      <c r="B201" s="18" t="s">
        <v>1496</v>
      </c>
      <c r="C201" s="18" t="s">
        <v>1497</v>
      </c>
      <c r="D201" s="19">
        <v>44899</v>
      </c>
      <c r="E201" s="18" t="s">
        <v>67</v>
      </c>
      <c r="F201" s="18" t="s">
        <v>1498</v>
      </c>
      <c r="G201" s="18" t="s">
        <v>1499</v>
      </c>
      <c r="H201" s="18" t="s">
        <v>159</v>
      </c>
      <c r="I201" s="18" t="s">
        <v>160</v>
      </c>
      <c r="J201" s="18" t="s">
        <v>161</v>
      </c>
      <c r="K201" s="18" t="s">
        <v>132</v>
      </c>
      <c r="L201" s="20" t="s">
        <v>1500</v>
      </c>
      <c r="M201" s="18" t="s">
        <v>75</v>
      </c>
      <c r="N201" s="20" t="s">
        <v>1501</v>
      </c>
      <c r="O201" s="18" t="s">
        <v>164</v>
      </c>
      <c r="P201" s="18" t="s">
        <v>78</v>
      </c>
      <c r="Q201" s="19">
        <v>44914</v>
      </c>
      <c r="R201" s="21">
        <v>14.28</v>
      </c>
      <c r="S201" s="18" t="s">
        <v>79</v>
      </c>
      <c r="T201" s="18" t="s">
        <v>174</v>
      </c>
      <c r="U201" s="18" t="s">
        <v>83</v>
      </c>
      <c r="V201" s="18" t="s">
        <v>95</v>
      </c>
      <c r="W201" s="18" t="s">
        <v>95</v>
      </c>
      <c r="X201" s="18" t="s">
        <v>118</v>
      </c>
      <c r="Y201" s="18" t="s">
        <v>85</v>
      </c>
      <c r="Z201" s="18" t="s">
        <v>86</v>
      </c>
      <c r="AA201" s="18" t="s">
        <v>119</v>
      </c>
      <c r="AB201" s="18" t="s">
        <v>303</v>
      </c>
      <c r="AC201" s="18" t="s">
        <v>304</v>
      </c>
      <c r="AD201" s="18" t="s">
        <v>85</v>
      </c>
      <c r="AE201" s="18" t="s">
        <v>90</v>
      </c>
      <c r="AF201" s="18" t="s">
        <v>177</v>
      </c>
      <c r="AG201" s="18" t="s">
        <v>139</v>
      </c>
      <c r="AH201" s="18" t="s">
        <v>165</v>
      </c>
      <c r="AI201" s="18" t="s">
        <v>94</v>
      </c>
      <c r="AJ201" s="19">
        <v>44899</v>
      </c>
      <c r="AK201" s="22" t="s">
        <v>95</v>
      </c>
      <c r="AL201" s="18" t="s">
        <v>95</v>
      </c>
      <c r="AM201" s="18" t="s">
        <v>95</v>
      </c>
      <c r="AN201" s="18" t="s">
        <v>95</v>
      </c>
      <c r="AO201" s="18" t="s">
        <v>95</v>
      </c>
      <c r="AP201" s="18" t="s">
        <v>95</v>
      </c>
      <c r="AQ201" s="18" t="s">
        <v>95</v>
      </c>
      <c r="AR201" s="18" t="s">
        <v>95</v>
      </c>
      <c r="AS201" s="18" t="s">
        <v>83</v>
      </c>
      <c r="AT201" s="18" t="s">
        <v>83</v>
      </c>
      <c r="AU201" s="18" t="s">
        <v>81</v>
      </c>
      <c r="AV201" s="18" t="s">
        <v>95</v>
      </c>
      <c r="AW201" s="18" t="s">
        <v>95</v>
      </c>
      <c r="AX201" s="18"/>
      <c r="AY201" s="18" t="str">
        <f>Pospago[[#This Row],[NUM_TELEFONICO]]&amp;"POSPAGOSI"</f>
        <v>980588458POSPAGOSI</v>
      </c>
      <c r="AZ201" s="18" t="str">
        <f>VLOOKUP(Pospago[[#This Row],[NOM_PLAZA_FINAL]],[1]!Locales[#Data],3,0)</f>
        <v>TIENDA RECREO</v>
      </c>
      <c r="BA201" s="18" t="str">
        <f>IFERROR(VLOOKUP(Pospago[[#This Row],[USUARIO]],[1]!Personal[#Data],6,0),"EJECUTIVO NO REGISTRADO")</f>
        <v>CORDOVA GAIBOR JONATHAN HERNAN</v>
      </c>
      <c r="BB201" s="18" t="str">
        <f>Pospago[[#This Row],[TIPO_MOVIMIENTO]]&amp;" "&amp;Pospago[[#This Row],[FORMA_PAGO_FINAL]]</f>
        <v>TRANSFERENCIAS PAGO EN CAJA</v>
      </c>
      <c r="BC201" s="18">
        <f>DAY(Pospago[[#This Row],[FECHA_ALTA]])</f>
        <v>4</v>
      </c>
      <c r="BD201" s="18">
        <f>IF(Pospago[[#This Row],[TARIFA_BASICA]]=11.42,1,0)</f>
        <v>0</v>
      </c>
      <c r="BE201" s="18">
        <f>IF(Pospago[[#This Row],[PLANES TELEVENTAS]]="SI",1,0)</f>
        <v>0</v>
      </c>
      <c r="BF201" s="18">
        <f>1</f>
        <v>1</v>
      </c>
      <c r="BG201" s="18">
        <f>IF(OR(Pospago[[#This Row],[TARIFA_BASICA]]=11.42,Pospago[[#This Row],[PLANES TELEVENTAS]]="SI"),1,0)</f>
        <v>0</v>
      </c>
      <c r="BH201" s="18" t="str">
        <f>IF(MID(Pospago[[#This Row],[PlanDesc]],1,4) = "PLAN","POSPAGO",IF(MID(Pospago[[#This Row],[PlanDesc]],1,4)="FULL","FULL MEGAS","PREVIOPAGO"))</f>
        <v>PREVIOPAGO</v>
      </c>
      <c r="BI2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1" s="21">
        <f>Pospago[[#This Row],[TARIFA_BASICA]]*1.5</f>
        <v>21.419999999999998</v>
      </c>
    </row>
    <row r="202" spans="1:63" x14ac:dyDescent="0.25">
      <c r="A202" s="18" t="s">
        <v>64</v>
      </c>
      <c r="B202" s="18" t="s">
        <v>1502</v>
      </c>
      <c r="C202" s="18" t="s">
        <v>1503</v>
      </c>
      <c r="D202" s="19">
        <v>44902</v>
      </c>
      <c r="E202" s="18" t="s">
        <v>67</v>
      </c>
      <c r="F202" s="18" t="s">
        <v>1504</v>
      </c>
      <c r="G202" s="18" t="s">
        <v>1505</v>
      </c>
      <c r="H202" s="18" t="s">
        <v>70</v>
      </c>
      <c r="I202" s="18" t="s">
        <v>71</v>
      </c>
      <c r="J202" s="18" t="s">
        <v>72</v>
      </c>
      <c r="K202" s="18" t="s">
        <v>132</v>
      </c>
      <c r="L202" s="20" t="s">
        <v>1506</v>
      </c>
      <c r="M202" s="18" t="s">
        <v>75</v>
      </c>
      <c r="N202" s="20" t="s">
        <v>1507</v>
      </c>
      <c r="O202" s="18" t="s">
        <v>77</v>
      </c>
      <c r="P202" s="18" t="s">
        <v>78</v>
      </c>
      <c r="Q202" s="19">
        <v>44914</v>
      </c>
      <c r="R202" s="21">
        <v>11.42</v>
      </c>
      <c r="S202" s="18" t="s">
        <v>79</v>
      </c>
      <c r="T202" s="18" t="s">
        <v>148</v>
      </c>
      <c r="U202" s="18" t="s">
        <v>81</v>
      </c>
      <c r="V202" s="18" t="s">
        <v>1029</v>
      </c>
      <c r="W202" s="18" t="s">
        <v>83</v>
      </c>
      <c r="X202" s="18" t="s">
        <v>84</v>
      </c>
      <c r="Y202" s="18" t="s">
        <v>85</v>
      </c>
      <c r="Z202" s="18" t="s">
        <v>86</v>
      </c>
      <c r="AA202" s="18" t="s">
        <v>87</v>
      </c>
      <c r="AB202" s="18" t="s">
        <v>385</v>
      </c>
      <c r="AC202" s="18" t="s">
        <v>386</v>
      </c>
      <c r="AD202" s="18" t="s">
        <v>85</v>
      </c>
      <c r="AE202" s="18" t="s">
        <v>90</v>
      </c>
      <c r="AF202" s="18" t="s">
        <v>151</v>
      </c>
      <c r="AG202" s="18" t="s">
        <v>92</v>
      </c>
      <c r="AH202" s="18" t="s">
        <v>93</v>
      </c>
      <c r="AI202" s="18" t="s">
        <v>94</v>
      </c>
      <c r="AJ202" s="19">
        <v>44902</v>
      </c>
      <c r="AK202" s="22" t="s">
        <v>95</v>
      </c>
      <c r="AL202" s="18" t="s">
        <v>95</v>
      </c>
      <c r="AM202" s="18" t="s">
        <v>95</v>
      </c>
      <c r="AN202" s="18" t="s">
        <v>95</v>
      </c>
      <c r="AO202" s="18" t="s">
        <v>95</v>
      </c>
      <c r="AP202" s="18" t="s">
        <v>95</v>
      </c>
      <c r="AQ202" s="18" t="s">
        <v>95</v>
      </c>
      <c r="AR202" s="18" t="s">
        <v>95</v>
      </c>
      <c r="AS202" s="18" t="s">
        <v>83</v>
      </c>
      <c r="AT202" s="18" t="s">
        <v>83</v>
      </c>
      <c r="AU202" s="18" t="s">
        <v>81</v>
      </c>
      <c r="AV202" s="18" t="s">
        <v>95</v>
      </c>
      <c r="AW202" s="18" t="s">
        <v>95</v>
      </c>
      <c r="AX202" s="18"/>
      <c r="AY202" s="18" t="str">
        <f>Pospago[[#This Row],[NUM_TELEFONICO]]&amp;"POSPAGOSI"</f>
        <v>980883146POSPAGOSI</v>
      </c>
      <c r="AZ202" s="18" t="str">
        <f>VLOOKUP(Pospago[[#This Row],[NOM_PLAZA_FINAL]],[1]!Locales[#Data],3,0)</f>
        <v>TIENDA CUENCA REMIGIO</v>
      </c>
      <c r="BA202" s="18" t="str">
        <f>IFERROR(VLOOKUP(Pospago[[#This Row],[USUARIO]],[1]!Personal[#Data],6,0),"EJECUTIVO NO REGISTRADO")</f>
        <v>RAMIREZ RUBIO NELLY LILIANA</v>
      </c>
      <c r="BB202" s="18" t="str">
        <f>Pospago[[#This Row],[TIPO_MOVIMIENTO]]&amp;" "&amp;Pospago[[#This Row],[FORMA_PAGO_FINAL]]</f>
        <v>ALTAS DOMICILIADO</v>
      </c>
      <c r="BC202" s="18">
        <f>DAY(Pospago[[#This Row],[FECHA_ALTA]])</f>
        <v>7</v>
      </c>
      <c r="BD202" s="18">
        <f>IF(Pospago[[#This Row],[TARIFA_BASICA]]=11.42,1,0)</f>
        <v>1</v>
      </c>
      <c r="BE202" s="18">
        <f>IF(Pospago[[#This Row],[PLANES TELEVENTAS]]="SI",1,0)</f>
        <v>0</v>
      </c>
      <c r="BF202" s="18">
        <f>1</f>
        <v>1</v>
      </c>
      <c r="BG202" s="18">
        <f>IF(OR(Pospago[[#This Row],[TARIFA_BASICA]]=11.42,Pospago[[#This Row],[PLANES TELEVENTAS]]="SI"),1,0)</f>
        <v>1</v>
      </c>
      <c r="BH202" s="18" t="str">
        <f>IF(MID(Pospago[[#This Row],[PlanDesc]],1,4) = "PLAN","POSPAGO",IF(MID(Pospago[[#This Row],[PlanDesc]],1,4)="FULL","FULL MEGAS","PREVIOPAGO"))</f>
        <v>PREVIOPAGO</v>
      </c>
      <c r="BI2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2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02" s="21">
        <f>Pospago[[#This Row],[TARIFA_BASICA]]*1.5</f>
        <v>17.13</v>
      </c>
    </row>
    <row r="203" spans="1:63" x14ac:dyDescent="0.25">
      <c r="A203" s="18" t="s">
        <v>64</v>
      </c>
      <c r="B203" s="18" t="s">
        <v>1508</v>
      </c>
      <c r="C203" s="18" t="s">
        <v>1509</v>
      </c>
      <c r="D203" s="19">
        <v>44911</v>
      </c>
      <c r="E203" s="18" t="s">
        <v>67</v>
      </c>
      <c r="F203" s="18" t="s">
        <v>1510</v>
      </c>
      <c r="G203" s="18" t="s">
        <v>1511</v>
      </c>
      <c r="H203" s="18" t="s">
        <v>70</v>
      </c>
      <c r="I203" s="18" t="s">
        <v>574</v>
      </c>
      <c r="J203" s="18" t="s">
        <v>575</v>
      </c>
      <c r="K203" s="18" t="s">
        <v>560</v>
      </c>
      <c r="L203" s="20" t="s">
        <v>1512</v>
      </c>
      <c r="M203" s="18" t="s">
        <v>75</v>
      </c>
      <c r="N203" s="20" t="s">
        <v>1513</v>
      </c>
      <c r="O203" s="18" t="s">
        <v>77</v>
      </c>
      <c r="P203" s="18" t="s">
        <v>78</v>
      </c>
      <c r="Q203" s="19">
        <v>44914</v>
      </c>
      <c r="R203" s="21">
        <v>17.850000000000001</v>
      </c>
      <c r="S203" s="18" t="s">
        <v>79</v>
      </c>
      <c r="T203" s="18" t="s">
        <v>232</v>
      </c>
      <c r="U203" s="18" t="s">
        <v>81</v>
      </c>
      <c r="V203" s="18" t="s">
        <v>1029</v>
      </c>
      <c r="W203" s="18" t="s">
        <v>83</v>
      </c>
      <c r="X203" s="18" t="s">
        <v>84</v>
      </c>
      <c r="Y203" s="18" t="s">
        <v>85</v>
      </c>
      <c r="Z203" s="18" t="s">
        <v>86</v>
      </c>
      <c r="AA203" s="18" t="s">
        <v>87</v>
      </c>
      <c r="AB203" s="18" t="s">
        <v>233</v>
      </c>
      <c r="AC203" s="18" t="s">
        <v>234</v>
      </c>
      <c r="AD203" s="18" t="s">
        <v>85</v>
      </c>
      <c r="AE203" s="18" t="s">
        <v>90</v>
      </c>
      <c r="AF203" s="18" t="s">
        <v>235</v>
      </c>
      <c r="AG203" s="18" t="s">
        <v>139</v>
      </c>
      <c r="AH203" s="18" t="s">
        <v>93</v>
      </c>
      <c r="AI203" s="18" t="s">
        <v>94</v>
      </c>
      <c r="AJ203" s="19">
        <v>44911</v>
      </c>
      <c r="AK203" s="22" t="s">
        <v>95</v>
      </c>
      <c r="AL203" s="18" t="s">
        <v>95</v>
      </c>
      <c r="AM203" s="18" t="s">
        <v>95</v>
      </c>
      <c r="AN203" s="18" t="s">
        <v>95</v>
      </c>
      <c r="AO203" s="18" t="s">
        <v>95</v>
      </c>
      <c r="AP203" s="18" t="s">
        <v>95</v>
      </c>
      <c r="AQ203" s="18" t="s">
        <v>95</v>
      </c>
      <c r="AR203" s="18" t="s">
        <v>95</v>
      </c>
      <c r="AS203" s="18" t="s">
        <v>83</v>
      </c>
      <c r="AT203" s="18" t="s">
        <v>83</v>
      </c>
      <c r="AU203" s="18" t="s">
        <v>83</v>
      </c>
      <c r="AV203" s="18" t="s">
        <v>95</v>
      </c>
      <c r="AW203" s="18" t="s">
        <v>95</v>
      </c>
      <c r="AX203" s="18"/>
      <c r="AY203" s="18" t="str">
        <f>Pospago[[#This Row],[NUM_TELEFONICO]]&amp;"POSPAGOSI"</f>
        <v>981033091POSPAGOSI</v>
      </c>
      <c r="AZ203" s="18" t="str">
        <f>VLOOKUP(Pospago[[#This Row],[NOM_PLAZA_FINAL]],[1]!Locales[#Data],3,0)</f>
        <v>TIENDA CONDADO</v>
      </c>
      <c r="BA203" s="18" t="str">
        <f>IFERROR(VLOOKUP(Pospago[[#This Row],[USUARIO]],[1]!Personal[#Data],6,0),"EJECUTIVO NO REGISTRADO")</f>
        <v>ROSALES MALDONADO JESSICA GABRIELA</v>
      </c>
      <c r="BB203" s="18" t="str">
        <f>Pospago[[#This Row],[TIPO_MOVIMIENTO]]&amp;" "&amp;Pospago[[#This Row],[FORMA_PAGO_FINAL]]</f>
        <v>ALTAS DOMICILIADO</v>
      </c>
      <c r="BC203" s="18">
        <f>DAY(Pospago[[#This Row],[FECHA_ALTA]])</f>
        <v>16</v>
      </c>
      <c r="BD203" s="18">
        <f>IF(Pospago[[#This Row],[TARIFA_BASICA]]=11.42,1,0)</f>
        <v>0</v>
      </c>
      <c r="BE203" s="18">
        <f>IF(Pospago[[#This Row],[PLANES TELEVENTAS]]="SI",1,0)</f>
        <v>0</v>
      </c>
      <c r="BF203" s="18">
        <f>1</f>
        <v>1</v>
      </c>
      <c r="BG203" s="18">
        <f>IF(OR(Pospago[[#This Row],[TARIFA_BASICA]]=11.42,Pospago[[#This Row],[PLANES TELEVENTAS]]="SI"),1,0)</f>
        <v>0</v>
      </c>
      <c r="BH203" s="18" t="str">
        <f>IF(MID(Pospago[[#This Row],[PlanDesc]],1,4) = "PLAN","POSPAGO",IF(MID(Pospago[[#This Row],[PlanDesc]],1,4)="FULL","FULL MEGAS","PREVIOPAGO"))</f>
        <v>POSPAGO</v>
      </c>
      <c r="BI2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2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3" s="21">
        <f>Pospago[[#This Row],[TARIFA_BASICA]]*1.5</f>
        <v>26.775000000000002</v>
      </c>
    </row>
    <row r="204" spans="1:63" x14ac:dyDescent="0.25">
      <c r="A204" s="18" t="s">
        <v>64</v>
      </c>
      <c r="B204" s="18" t="s">
        <v>1514</v>
      </c>
      <c r="C204" s="18" t="s">
        <v>1515</v>
      </c>
      <c r="D204" s="19">
        <v>44900</v>
      </c>
      <c r="E204" s="18" t="s">
        <v>67</v>
      </c>
      <c r="F204" s="18" t="s">
        <v>1516</v>
      </c>
      <c r="G204" s="18" t="s">
        <v>1517</v>
      </c>
      <c r="H204" s="18" t="s">
        <v>70</v>
      </c>
      <c r="I204" s="18" t="s">
        <v>606</v>
      </c>
      <c r="J204" s="18" t="s">
        <v>607</v>
      </c>
      <c r="K204" s="18" t="s">
        <v>73</v>
      </c>
      <c r="L204" s="20" t="s">
        <v>1518</v>
      </c>
      <c r="M204" s="18" t="s">
        <v>75</v>
      </c>
      <c r="N204" s="20" t="s">
        <v>1519</v>
      </c>
      <c r="O204" s="18" t="s">
        <v>77</v>
      </c>
      <c r="P204" s="18" t="s">
        <v>78</v>
      </c>
      <c r="Q204" s="19">
        <v>44914</v>
      </c>
      <c r="R204" s="21">
        <v>26.78</v>
      </c>
      <c r="S204" s="18" t="s">
        <v>79</v>
      </c>
      <c r="T204" s="18" t="s">
        <v>148</v>
      </c>
      <c r="U204" s="18" t="s">
        <v>81</v>
      </c>
      <c r="V204" s="18" t="s">
        <v>82</v>
      </c>
      <c r="W204" s="18" t="s">
        <v>83</v>
      </c>
      <c r="X204" s="18" t="s">
        <v>84</v>
      </c>
      <c r="Y204" s="18" t="s">
        <v>85</v>
      </c>
      <c r="Z204" s="18" t="s">
        <v>86</v>
      </c>
      <c r="AA204" s="18" t="s">
        <v>87</v>
      </c>
      <c r="AB204" s="18" t="s">
        <v>149</v>
      </c>
      <c r="AC204" s="18" t="s">
        <v>150</v>
      </c>
      <c r="AD204" s="18" t="s">
        <v>85</v>
      </c>
      <c r="AE204" s="18" t="s">
        <v>90</v>
      </c>
      <c r="AF204" s="18" t="s">
        <v>151</v>
      </c>
      <c r="AG204" s="18" t="s">
        <v>92</v>
      </c>
      <c r="AH204" s="18" t="s">
        <v>93</v>
      </c>
      <c r="AI204" s="18" t="s">
        <v>94</v>
      </c>
      <c r="AJ204" s="19">
        <v>44900</v>
      </c>
      <c r="AK204" s="22" t="s">
        <v>95</v>
      </c>
      <c r="AL204" s="18" t="s">
        <v>95</v>
      </c>
      <c r="AM204" s="18" t="s">
        <v>95</v>
      </c>
      <c r="AN204" s="18" t="s">
        <v>95</v>
      </c>
      <c r="AO204" s="18" t="s">
        <v>95</v>
      </c>
      <c r="AP204" s="18" t="s">
        <v>95</v>
      </c>
      <c r="AQ204" s="18" t="s">
        <v>95</v>
      </c>
      <c r="AR204" s="18" t="s">
        <v>95</v>
      </c>
      <c r="AS204" s="18" t="s">
        <v>83</v>
      </c>
      <c r="AT204" s="18" t="s">
        <v>83</v>
      </c>
      <c r="AU204" s="18" t="s">
        <v>81</v>
      </c>
      <c r="AV204" s="18" t="s">
        <v>95</v>
      </c>
      <c r="AW204" s="18" t="s">
        <v>95</v>
      </c>
      <c r="AX204" s="18"/>
      <c r="AY204" s="18" t="str">
        <f>Pospago[[#This Row],[NUM_TELEFONICO]]&amp;"POSPAGOSI"</f>
        <v>981485889POSPAGOSI</v>
      </c>
      <c r="AZ204" s="18" t="str">
        <f>VLOOKUP(Pospago[[#This Row],[NOM_PLAZA_FINAL]],[1]!Locales[#Data],3,0)</f>
        <v>TIENDA CUENCA REMIGIO</v>
      </c>
      <c r="BA204" s="18" t="str">
        <f>IFERROR(VLOOKUP(Pospago[[#This Row],[USUARIO]],[1]!Personal[#Data],6,0),"EJECUTIVO NO REGISTRADO")</f>
        <v>OSORIO TEJADA ANA ESTEFANIA</v>
      </c>
      <c r="BB204" s="18" t="str">
        <f>Pospago[[#This Row],[TIPO_MOVIMIENTO]]&amp;" "&amp;Pospago[[#This Row],[FORMA_PAGO_FINAL]]</f>
        <v>ALTAS DOMICILIADO</v>
      </c>
      <c r="BC204" s="18">
        <f>DAY(Pospago[[#This Row],[FECHA_ALTA]])</f>
        <v>5</v>
      </c>
      <c r="BD204" s="18">
        <f>IF(Pospago[[#This Row],[TARIFA_BASICA]]=11.42,1,0)</f>
        <v>0</v>
      </c>
      <c r="BE204" s="18">
        <f>IF(Pospago[[#This Row],[PLANES TELEVENTAS]]="SI",1,0)</f>
        <v>0</v>
      </c>
      <c r="BF204" s="18">
        <f>1</f>
        <v>1</v>
      </c>
      <c r="BG204" s="18">
        <f>IF(OR(Pospago[[#This Row],[TARIFA_BASICA]]=11.42,Pospago[[#This Row],[PLANES TELEVENTAS]]="SI"),1,0)</f>
        <v>0</v>
      </c>
      <c r="BH204" s="18" t="str">
        <f>IF(MID(Pospago[[#This Row],[PlanDesc]],1,4) = "PLAN","POSPAGO",IF(MID(Pospago[[#This Row],[PlanDesc]],1,4)="FULL","FULL MEGAS","PREVIOPAGO"))</f>
        <v>PREVIOPAGO</v>
      </c>
      <c r="BI2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2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4" s="21">
        <f>Pospago[[#This Row],[TARIFA_BASICA]]*1.5</f>
        <v>40.17</v>
      </c>
    </row>
    <row r="205" spans="1:63" x14ac:dyDescent="0.25">
      <c r="A205" s="18" t="s">
        <v>64</v>
      </c>
      <c r="B205" s="18" t="s">
        <v>1520</v>
      </c>
      <c r="C205" s="18" t="s">
        <v>1521</v>
      </c>
      <c r="D205" s="19">
        <v>44910</v>
      </c>
      <c r="E205" s="18" t="s">
        <v>67</v>
      </c>
      <c r="F205" s="18" t="s">
        <v>1522</v>
      </c>
      <c r="G205" s="18" t="s">
        <v>1523</v>
      </c>
      <c r="H205" s="18" t="s">
        <v>70</v>
      </c>
      <c r="I205" s="18" t="s">
        <v>130</v>
      </c>
      <c r="J205" s="18" t="s">
        <v>131</v>
      </c>
      <c r="K205" s="18" t="s">
        <v>95</v>
      </c>
      <c r="L205" s="20" t="s">
        <v>1524</v>
      </c>
      <c r="M205" s="18" t="s">
        <v>75</v>
      </c>
      <c r="N205" s="20" t="s">
        <v>1525</v>
      </c>
      <c r="O205" s="18" t="s">
        <v>77</v>
      </c>
      <c r="P205" s="18" t="s">
        <v>78</v>
      </c>
      <c r="Q205" s="19">
        <v>44914</v>
      </c>
      <c r="R205" s="21">
        <v>15</v>
      </c>
      <c r="S205" s="18" t="s">
        <v>79</v>
      </c>
      <c r="T205" s="18" t="s">
        <v>174</v>
      </c>
      <c r="U205" s="18" t="s">
        <v>81</v>
      </c>
      <c r="V205" s="18" t="s">
        <v>82</v>
      </c>
      <c r="W205" s="18" t="s">
        <v>83</v>
      </c>
      <c r="X205" s="18" t="s">
        <v>118</v>
      </c>
      <c r="Y205" s="18" t="s">
        <v>85</v>
      </c>
      <c r="Z205" s="18" t="s">
        <v>86</v>
      </c>
      <c r="AA205" s="18" t="s">
        <v>119</v>
      </c>
      <c r="AB205" s="18" t="s">
        <v>262</v>
      </c>
      <c r="AC205" s="18" t="s">
        <v>263</v>
      </c>
      <c r="AD205" s="18" t="s">
        <v>85</v>
      </c>
      <c r="AE205" s="18" t="s">
        <v>90</v>
      </c>
      <c r="AF205" s="18" t="s">
        <v>177</v>
      </c>
      <c r="AG205" s="18" t="s">
        <v>139</v>
      </c>
      <c r="AH205" s="18" t="s">
        <v>93</v>
      </c>
      <c r="AI205" s="18" t="s">
        <v>94</v>
      </c>
      <c r="AJ205" s="19">
        <v>44910</v>
      </c>
      <c r="AK205" s="22" t="s">
        <v>95</v>
      </c>
      <c r="AL205" s="18" t="s">
        <v>95</v>
      </c>
      <c r="AM205" s="18" t="s">
        <v>95</v>
      </c>
      <c r="AN205" s="18" t="s">
        <v>95</v>
      </c>
      <c r="AO205" s="18" t="s">
        <v>95</v>
      </c>
      <c r="AP205" s="18" t="s">
        <v>95</v>
      </c>
      <c r="AQ205" s="18" t="s">
        <v>95</v>
      </c>
      <c r="AR205" s="18" t="s">
        <v>95</v>
      </c>
      <c r="AS205" s="18" t="s">
        <v>83</v>
      </c>
      <c r="AT205" s="18" t="s">
        <v>83</v>
      </c>
      <c r="AU205" s="18" t="s">
        <v>81</v>
      </c>
      <c r="AV205" s="18" t="s">
        <v>95</v>
      </c>
      <c r="AW205" s="18" t="s">
        <v>95</v>
      </c>
      <c r="AX205" s="18"/>
      <c r="AY205" s="18" t="str">
        <f>Pospago[[#This Row],[NUM_TELEFONICO]]&amp;"POSPAGOSI"</f>
        <v>981905595POSPAGOSI</v>
      </c>
      <c r="AZ205" s="18" t="str">
        <f>VLOOKUP(Pospago[[#This Row],[NOM_PLAZA_FINAL]],[1]!Locales[#Data],3,0)</f>
        <v>TIENDA RECREO</v>
      </c>
      <c r="BA205" s="18" t="str">
        <f>IFERROR(VLOOKUP(Pospago[[#This Row],[USUARIO]],[1]!Personal[#Data],6,0),"EJECUTIVO NO REGISTRADO")</f>
        <v>CHICAIZA TOAPANTA ALEX DANILO</v>
      </c>
      <c r="BB205" s="18" t="str">
        <f>Pospago[[#This Row],[TIPO_MOVIMIENTO]]&amp;" "&amp;Pospago[[#This Row],[FORMA_PAGO_FINAL]]</f>
        <v>ALTAS PAGO EN CAJA</v>
      </c>
      <c r="BC205" s="18">
        <f>DAY(Pospago[[#This Row],[FECHA_ALTA]])</f>
        <v>15</v>
      </c>
      <c r="BD205" s="18">
        <f>IF(Pospago[[#This Row],[TARIFA_BASICA]]=11.42,1,0)</f>
        <v>0</v>
      </c>
      <c r="BE205" s="18">
        <f>IF(Pospago[[#This Row],[PLANES TELEVENTAS]]="SI",1,0)</f>
        <v>0</v>
      </c>
      <c r="BF205" s="18">
        <f>1</f>
        <v>1</v>
      </c>
      <c r="BG205" s="18">
        <f>IF(OR(Pospago[[#This Row],[TARIFA_BASICA]]=11.42,Pospago[[#This Row],[PLANES TELEVENTAS]]="SI"),1,0)</f>
        <v>0</v>
      </c>
      <c r="BH205" s="18" t="str">
        <f>IF(MID(Pospago[[#This Row],[PlanDesc]],1,4) = "PLAN","POSPAGO",IF(MID(Pospago[[#This Row],[PlanDesc]],1,4)="FULL","FULL MEGAS","PREVIOPAGO"))</f>
        <v>PREVIOPAGO</v>
      </c>
      <c r="BI2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2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5" s="21">
        <f>Pospago[[#This Row],[TARIFA_BASICA]]*1.5</f>
        <v>22.5</v>
      </c>
    </row>
    <row r="206" spans="1:63" x14ac:dyDescent="0.25">
      <c r="A206" s="18" t="s">
        <v>154</v>
      </c>
      <c r="B206" s="18" t="s">
        <v>1526</v>
      </c>
      <c r="C206" s="18" t="s">
        <v>1527</v>
      </c>
      <c r="D206" s="19">
        <v>44910</v>
      </c>
      <c r="E206" s="18" t="s">
        <v>67</v>
      </c>
      <c r="F206" s="18" t="s">
        <v>1528</v>
      </c>
      <c r="G206" s="18" t="s">
        <v>1529</v>
      </c>
      <c r="H206" s="18" t="s">
        <v>159</v>
      </c>
      <c r="I206" s="18" t="s">
        <v>359</v>
      </c>
      <c r="J206" s="18" t="s">
        <v>360</v>
      </c>
      <c r="K206" s="18" t="s">
        <v>132</v>
      </c>
      <c r="L206" s="20" t="s">
        <v>1530</v>
      </c>
      <c r="M206" s="18" t="s">
        <v>75</v>
      </c>
      <c r="N206" s="20" t="s">
        <v>1531</v>
      </c>
      <c r="O206" s="18" t="s">
        <v>1532</v>
      </c>
      <c r="P206" s="18" t="s">
        <v>78</v>
      </c>
      <c r="Q206" s="19">
        <v>44914</v>
      </c>
      <c r="R206" s="21">
        <v>14.28</v>
      </c>
      <c r="S206" s="18" t="s">
        <v>79</v>
      </c>
      <c r="T206" s="18" t="s">
        <v>232</v>
      </c>
      <c r="U206" s="18" t="s">
        <v>83</v>
      </c>
      <c r="V206" s="18" t="s">
        <v>95</v>
      </c>
      <c r="W206" s="18" t="s">
        <v>95</v>
      </c>
      <c r="X206" s="18" t="s">
        <v>118</v>
      </c>
      <c r="Y206" s="18" t="s">
        <v>85</v>
      </c>
      <c r="Z206" s="18" t="s">
        <v>86</v>
      </c>
      <c r="AA206" s="18" t="s">
        <v>119</v>
      </c>
      <c r="AB206" s="18" t="s">
        <v>769</v>
      </c>
      <c r="AC206" s="18" t="s">
        <v>770</v>
      </c>
      <c r="AD206" s="18" t="s">
        <v>85</v>
      </c>
      <c r="AE206" s="18" t="s">
        <v>90</v>
      </c>
      <c r="AF206" s="18" t="s">
        <v>235</v>
      </c>
      <c r="AG206" s="18" t="s">
        <v>139</v>
      </c>
      <c r="AH206" s="18" t="s">
        <v>165</v>
      </c>
      <c r="AI206" s="18" t="s">
        <v>94</v>
      </c>
      <c r="AJ206" s="19">
        <v>44910</v>
      </c>
      <c r="AK206" s="22" t="s">
        <v>95</v>
      </c>
      <c r="AL206" s="18" t="s">
        <v>95</v>
      </c>
      <c r="AM206" s="18" t="s">
        <v>95</v>
      </c>
      <c r="AN206" s="18" t="s">
        <v>95</v>
      </c>
      <c r="AO206" s="18" t="s">
        <v>95</v>
      </c>
      <c r="AP206" s="18" t="s">
        <v>95</v>
      </c>
      <c r="AQ206" s="18" t="s">
        <v>95</v>
      </c>
      <c r="AR206" s="18" t="s">
        <v>95</v>
      </c>
      <c r="AS206" s="18" t="s">
        <v>83</v>
      </c>
      <c r="AT206" s="18" t="s">
        <v>83</v>
      </c>
      <c r="AU206" s="18" t="s">
        <v>83</v>
      </c>
      <c r="AV206" s="18" t="s">
        <v>95</v>
      </c>
      <c r="AW206" s="18" t="s">
        <v>95</v>
      </c>
      <c r="AX206" s="18"/>
      <c r="AY206" s="18" t="str">
        <f>Pospago[[#This Row],[NUM_TELEFONICO]]&amp;"POSPAGOSI"</f>
        <v>982704488POSPAGOSI</v>
      </c>
      <c r="AZ206" s="18" t="str">
        <f>VLOOKUP(Pospago[[#This Row],[NOM_PLAZA_FINAL]],[1]!Locales[#Data],3,0)</f>
        <v>TIENDA CONDADO</v>
      </c>
      <c r="BA206" s="18" t="str">
        <f>IFERROR(VLOOKUP(Pospago[[#This Row],[USUARIO]],[1]!Personal[#Data],6,0),"EJECUTIVO NO REGISTRADO")</f>
        <v>ROJAS VEGA JHOSMERY MICHELE</v>
      </c>
      <c r="BB206" s="18" t="str">
        <f>Pospago[[#This Row],[TIPO_MOVIMIENTO]]&amp;" "&amp;Pospago[[#This Row],[FORMA_PAGO_FINAL]]</f>
        <v>TRANSFERENCIAS PAGO EN CAJA</v>
      </c>
      <c r="BC206" s="18">
        <f>DAY(Pospago[[#This Row],[FECHA_ALTA]])</f>
        <v>15</v>
      </c>
      <c r="BD206" s="18">
        <f>IF(Pospago[[#This Row],[TARIFA_BASICA]]=11.42,1,0)</f>
        <v>0</v>
      </c>
      <c r="BE206" s="18">
        <f>IF(Pospago[[#This Row],[PLANES TELEVENTAS]]="SI",1,0)</f>
        <v>0</v>
      </c>
      <c r="BF206" s="18">
        <f>1</f>
        <v>1</v>
      </c>
      <c r="BG206" s="18">
        <f>IF(OR(Pospago[[#This Row],[TARIFA_BASICA]]=11.42,Pospago[[#This Row],[PLANES TELEVENTAS]]="SI"),1,0)</f>
        <v>0</v>
      </c>
      <c r="BH206" s="18" t="str">
        <f>IF(MID(Pospago[[#This Row],[PlanDesc]],1,4) = "PLAN","POSPAGO",IF(MID(Pospago[[#This Row],[PlanDesc]],1,4)="FULL","FULL MEGAS","PREVIOPAGO"))</f>
        <v>POSPAGO</v>
      </c>
      <c r="BI2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6" s="21">
        <f>Pospago[[#This Row],[TARIFA_BASICA]]*1.5</f>
        <v>21.419999999999998</v>
      </c>
    </row>
    <row r="207" spans="1:63" x14ac:dyDescent="0.25">
      <c r="A207" s="18" t="s">
        <v>154</v>
      </c>
      <c r="B207" s="18" t="s">
        <v>1533</v>
      </c>
      <c r="C207" s="18" t="s">
        <v>1534</v>
      </c>
      <c r="D207" s="19">
        <v>44907</v>
      </c>
      <c r="E207" s="18" t="s">
        <v>67</v>
      </c>
      <c r="F207" s="18" t="s">
        <v>1535</v>
      </c>
      <c r="G207" s="18" t="s">
        <v>1536</v>
      </c>
      <c r="H207" s="18" t="s">
        <v>159</v>
      </c>
      <c r="I207" s="18" t="s">
        <v>160</v>
      </c>
      <c r="J207" s="18" t="s">
        <v>161</v>
      </c>
      <c r="K207" s="18" t="s">
        <v>95</v>
      </c>
      <c r="L207" s="20" t="s">
        <v>1537</v>
      </c>
      <c r="M207" s="18" t="s">
        <v>75</v>
      </c>
      <c r="N207" s="20" t="s">
        <v>1538</v>
      </c>
      <c r="O207" s="18" t="s">
        <v>164</v>
      </c>
      <c r="P207" s="18" t="s">
        <v>78</v>
      </c>
      <c r="Q207" s="19">
        <v>44914</v>
      </c>
      <c r="R207" s="21">
        <v>14.28</v>
      </c>
      <c r="S207" s="18" t="s">
        <v>79</v>
      </c>
      <c r="T207" s="18" t="s">
        <v>174</v>
      </c>
      <c r="U207" s="18" t="s">
        <v>83</v>
      </c>
      <c r="V207" s="18" t="s">
        <v>95</v>
      </c>
      <c r="W207" s="18" t="s">
        <v>95</v>
      </c>
      <c r="X207" s="18" t="s">
        <v>118</v>
      </c>
      <c r="Y207" s="18" t="s">
        <v>85</v>
      </c>
      <c r="Z207" s="18" t="s">
        <v>86</v>
      </c>
      <c r="AA207" s="18" t="s">
        <v>119</v>
      </c>
      <c r="AB207" s="18" t="s">
        <v>262</v>
      </c>
      <c r="AC207" s="18" t="s">
        <v>263</v>
      </c>
      <c r="AD207" s="18" t="s">
        <v>85</v>
      </c>
      <c r="AE207" s="18" t="s">
        <v>90</v>
      </c>
      <c r="AF207" s="18" t="s">
        <v>177</v>
      </c>
      <c r="AG207" s="18" t="s">
        <v>139</v>
      </c>
      <c r="AH207" s="18" t="s">
        <v>165</v>
      </c>
      <c r="AI207" s="18" t="s">
        <v>94</v>
      </c>
      <c r="AJ207" s="19">
        <v>44907</v>
      </c>
      <c r="AK207" s="22" t="s">
        <v>95</v>
      </c>
      <c r="AL207" s="18" t="s">
        <v>95</v>
      </c>
      <c r="AM207" s="18" t="s">
        <v>95</v>
      </c>
      <c r="AN207" s="18" t="s">
        <v>95</v>
      </c>
      <c r="AO207" s="18" t="s">
        <v>95</v>
      </c>
      <c r="AP207" s="18" t="s">
        <v>95</v>
      </c>
      <c r="AQ207" s="18" t="s">
        <v>95</v>
      </c>
      <c r="AR207" s="18" t="s">
        <v>95</v>
      </c>
      <c r="AS207" s="18" t="s">
        <v>83</v>
      </c>
      <c r="AT207" s="18" t="s">
        <v>83</v>
      </c>
      <c r="AU207" s="18" t="s">
        <v>81</v>
      </c>
      <c r="AV207" s="18" t="s">
        <v>95</v>
      </c>
      <c r="AW207" s="18" t="s">
        <v>95</v>
      </c>
      <c r="AX207" s="18"/>
      <c r="AY207" s="18" t="str">
        <f>Pospago[[#This Row],[NUM_TELEFONICO]]&amp;"POSPAGOSI"</f>
        <v>983002964POSPAGOSI</v>
      </c>
      <c r="AZ207" s="18" t="str">
        <f>VLOOKUP(Pospago[[#This Row],[NOM_PLAZA_FINAL]],[1]!Locales[#Data],3,0)</f>
        <v>TIENDA RECREO</v>
      </c>
      <c r="BA207" s="18" t="str">
        <f>IFERROR(VLOOKUP(Pospago[[#This Row],[USUARIO]],[1]!Personal[#Data],6,0),"EJECUTIVO NO REGISTRADO")</f>
        <v>CHICAIZA TOAPANTA ALEX DANILO</v>
      </c>
      <c r="BB207" s="18" t="str">
        <f>Pospago[[#This Row],[TIPO_MOVIMIENTO]]&amp;" "&amp;Pospago[[#This Row],[FORMA_PAGO_FINAL]]</f>
        <v>TRANSFERENCIAS PAGO EN CAJA</v>
      </c>
      <c r="BC207" s="18">
        <f>DAY(Pospago[[#This Row],[FECHA_ALTA]])</f>
        <v>12</v>
      </c>
      <c r="BD207" s="18">
        <f>IF(Pospago[[#This Row],[TARIFA_BASICA]]=11.42,1,0)</f>
        <v>0</v>
      </c>
      <c r="BE207" s="18">
        <f>IF(Pospago[[#This Row],[PLANES TELEVENTAS]]="SI",1,0)</f>
        <v>0</v>
      </c>
      <c r="BF207" s="18">
        <f>1</f>
        <v>1</v>
      </c>
      <c r="BG207" s="18">
        <f>IF(OR(Pospago[[#This Row],[TARIFA_BASICA]]=11.42,Pospago[[#This Row],[PLANES TELEVENTAS]]="SI"),1,0)</f>
        <v>0</v>
      </c>
      <c r="BH207" s="18" t="str">
        <f>IF(MID(Pospago[[#This Row],[PlanDesc]],1,4) = "PLAN","POSPAGO",IF(MID(Pospago[[#This Row],[PlanDesc]],1,4)="FULL","FULL MEGAS","PREVIOPAGO"))</f>
        <v>PREVIOPAGO</v>
      </c>
      <c r="BI2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7" s="21">
        <f>Pospago[[#This Row],[TARIFA_BASICA]]*1.5</f>
        <v>21.419999999999998</v>
      </c>
    </row>
    <row r="208" spans="1:63" x14ac:dyDescent="0.25">
      <c r="A208" s="18" t="s">
        <v>64</v>
      </c>
      <c r="B208" s="18" t="s">
        <v>1539</v>
      </c>
      <c r="C208" s="18" t="s">
        <v>1540</v>
      </c>
      <c r="D208" s="19">
        <v>44904</v>
      </c>
      <c r="E208" s="18" t="s">
        <v>67</v>
      </c>
      <c r="F208" s="18" t="s">
        <v>1541</v>
      </c>
      <c r="G208" s="18" t="s">
        <v>1542</v>
      </c>
      <c r="H208" s="18" t="s">
        <v>70</v>
      </c>
      <c r="I208" s="18" t="s">
        <v>712</v>
      </c>
      <c r="J208" s="18" t="s">
        <v>113</v>
      </c>
      <c r="K208" s="18" t="s">
        <v>560</v>
      </c>
      <c r="L208" s="20" t="s">
        <v>1543</v>
      </c>
      <c r="M208" s="18" t="s">
        <v>75</v>
      </c>
      <c r="N208" s="20" t="s">
        <v>1544</v>
      </c>
      <c r="O208" s="18" t="s">
        <v>77</v>
      </c>
      <c r="P208" s="18" t="s">
        <v>78</v>
      </c>
      <c r="Q208" s="19">
        <v>44914</v>
      </c>
      <c r="R208" s="21">
        <v>17.850000000000001</v>
      </c>
      <c r="S208" s="18" t="s">
        <v>79</v>
      </c>
      <c r="T208" s="18" t="s">
        <v>135</v>
      </c>
      <c r="U208" s="18" t="s">
        <v>83</v>
      </c>
      <c r="V208" s="18" t="s">
        <v>95</v>
      </c>
      <c r="W208" s="18" t="s">
        <v>83</v>
      </c>
      <c r="X208" s="18" t="s">
        <v>84</v>
      </c>
      <c r="Y208" s="18" t="s">
        <v>85</v>
      </c>
      <c r="Z208" s="18" t="s">
        <v>86</v>
      </c>
      <c r="AA208" s="18" t="s">
        <v>87</v>
      </c>
      <c r="AB208" s="18" t="s">
        <v>1545</v>
      </c>
      <c r="AC208" s="18" t="s">
        <v>1546</v>
      </c>
      <c r="AD208" s="18" t="s">
        <v>85</v>
      </c>
      <c r="AE208" s="18" t="s">
        <v>90</v>
      </c>
      <c r="AF208" s="18" t="s">
        <v>138</v>
      </c>
      <c r="AG208" s="18" t="s">
        <v>139</v>
      </c>
      <c r="AH208" s="18" t="s">
        <v>93</v>
      </c>
      <c r="AI208" s="18" t="s">
        <v>94</v>
      </c>
      <c r="AJ208" s="19">
        <v>44904</v>
      </c>
      <c r="AK208" s="22" t="s">
        <v>95</v>
      </c>
      <c r="AL208" s="18" t="s">
        <v>95</v>
      </c>
      <c r="AM208" s="18" t="s">
        <v>95</v>
      </c>
      <c r="AN208" s="18" t="s">
        <v>95</v>
      </c>
      <c r="AO208" s="18" t="s">
        <v>95</v>
      </c>
      <c r="AP208" s="18" t="s">
        <v>95</v>
      </c>
      <c r="AQ208" s="18" t="s">
        <v>95</v>
      </c>
      <c r="AR208" s="18" t="s">
        <v>95</v>
      </c>
      <c r="AS208" s="18" t="s">
        <v>83</v>
      </c>
      <c r="AT208" s="18" t="s">
        <v>81</v>
      </c>
      <c r="AU208" s="18" t="s">
        <v>81</v>
      </c>
      <c r="AV208" s="18" t="s">
        <v>95</v>
      </c>
      <c r="AW208" s="18" t="s">
        <v>95</v>
      </c>
      <c r="AX208" s="18"/>
      <c r="AY208" s="18" t="str">
        <f>Pospago[[#This Row],[NUM_TELEFONICO]]&amp;"POSPAGOSI"</f>
        <v>983007328POSPAGOSI</v>
      </c>
      <c r="AZ208" s="18" t="str">
        <f>VLOOKUP(Pospago[[#This Row],[NOM_PLAZA_FINAL]],[1]!Locales[#Data],3,0)</f>
        <v>TIENDA AMERICA</v>
      </c>
      <c r="BA208" s="18" t="str">
        <f>IFERROR(VLOOKUP(Pospago[[#This Row],[USUARIO]],[1]!Personal[#Data],6,0),"EJECUTIVO NO REGISTRADO")</f>
        <v>GRANDA ESPINOZA ANDRES SEBASTIAN</v>
      </c>
      <c r="BB208" s="18" t="str">
        <f>Pospago[[#This Row],[TIPO_MOVIMIENTO]]&amp;" "&amp;Pospago[[#This Row],[FORMA_PAGO_FINAL]]</f>
        <v>ALTAS DOMICILIADO</v>
      </c>
      <c r="BC208" s="18">
        <f>DAY(Pospago[[#This Row],[FECHA_ALTA]])</f>
        <v>9</v>
      </c>
      <c r="BD208" s="18">
        <f>IF(Pospago[[#This Row],[TARIFA_BASICA]]=11.42,1,0)</f>
        <v>0</v>
      </c>
      <c r="BE208" s="18">
        <f>IF(Pospago[[#This Row],[PLANES TELEVENTAS]]="SI",1,0)</f>
        <v>1</v>
      </c>
      <c r="BF208" s="18">
        <f>1</f>
        <v>1</v>
      </c>
      <c r="BG208" s="18">
        <f>IF(OR(Pospago[[#This Row],[TARIFA_BASICA]]=11.42,Pospago[[#This Row],[PLANES TELEVENTAS]]="SI"),1,0)</f>
        <v>1</v>
      </c>
      <c r="BH208" s="18" t="str">
        <f>IF(MID(Pospago[[#This Row],[PlanDesc]],1,4) = "PLAN","POSPAGO",IF(MID(Pospago[[#This Row],[PlanDesc]],1,4)="FULL","FULL MEGAS","PREVIOPAGO"))</f>
        <v>PREVIOPAGO</v>
      </c>
      <c r="BI2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2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8" s="21">
        <f>Pospago[[#This Row],[TARIFA_BASICA]]*1.5</f>
        <v>26.775000000000002</v>
      </c>
    </row>
    <row r="209" spans="1:63" x14ac:dyDescent="0.25">
      <c r="A209" s="18" t="s">
        <v>64</v>
      </c>
      <c r="B209" s="18" t="s">
        <v>1547</v>
      </c>
      <c r="C209" s="18" t="s">
        <v>1540</v>
      </c>
      <c r="D209" s="19">
        <v>44904</v>
      </c>
      <c r="E209" s="18" t="s">
        <v>67</v>
      </c>
      <c r="F209" s="18" t="s">
        <v>1541</v>
      </c>
      <c r="G209" s="18" t="s">
        <v>1542</v>
      </c>
      <c r="H209" s="18" t="s">
        <v>70</v>
      </c>
      <c r="I209" s="18" t="s">
        <v>712</v>
      </c>
      <c r="J209" s="18" t="s">
        <v>113</v>
      </c>
      <c r="K209" s="18" t="s">
        <v>560</v>
      </c>
      <c r="L209" s="20" t="s">
        <v>1548</v>
      </c>
      <c r="M209" s="18" t="s">
        <v>75</v>
      </c>
      <c r="N209" s="20" t="s">
        <v>1549</v>
      </c>
      <c r="O209" s="18" t="s">
        <v>77</v>
      </c>
      <c r="P209" s="18" t="s">
        <v>78</v>
      </c>
      <c r="Q209" s="19">
        <v>44914</v>
      </c>
      <c r="R209" s="21">
        <v>17.850000000000001</v>
      </c>
      <c r="S209" s="18" t="s">
        <v>79</v>
      </c>
      <c r="T209" s="18" t="s">
        <v>135</v>
      </c>
      <c r="U209" s="18" t="s">
        <v>83</v>
      </c>
      <c r="V209" s="18" t="s">
        <v>95</v>
      </c>
      <c r="W209" s="18" t="s">
        <v>83</v>
      </c>
      <c r="X209" s="18" t="s">
        <v>84</v>
      </c>
      <c r="Y209" s="18" t="s">
        <v>85</v>
      </c>
      <c r="Z209" s="18" t="s">
        <v>86</v>
      </c>
      <c r="AA209" s="18" t="s">
        <v>87</v>
      </c>
      <c r="AB209" s="18" t="s">
        <v>1545</v>
      </c>
      <c r="AC209" s="18" t="s">
        <v>1546</v>
      </c>
      <c r="AD209" s="18" t="s">
        <v>85</v>
      </c>
      <c r="AE209" s="18" t="s">
        <v>90</v>
      </c>
      <c r="AF209" s="18" t="s">
        <v>138</v>
      </c>
      <c r="AG209" s="18" t="s">
        <v>139</v>
      </c>
      <c r="AH209" s="18" t="s">
        <v>93</v>
      </c>
      <c r="AI209" s="18" t="s">
        <v>94</v>
      </c>
      <c r="AJ209" s="19">
        <v>44904</v>
      </c>
      <c r="AK209" s="22" t="s">
        <v>95</v>
      </c>
      <c r="AL209" s="18" t="s">
        <v>95</v>
      </c>
      <c r="AM209" s="18" t="s">
        <v>95</v>
      </c>
      <c r="AN209" s="18" t="s">
        <v>95</v>
      </c>
      <c r="AO209" s="18" t="s">
        <v>95</v>
      </c>
      <c r="AP209" s="18" t="s">
        <v>95</v>
      </c>
      <c r="AQ209" s="18" t="s">
        <v>95</v>
      </c>
      <c r="AR209" s="18" t="s">
        <v>95</v>
      </c>
      <c r="AS209" s="18" t="s">
        <v>83</v>
      </c>
      <c r="AT209" s="18" t="s">
        <v>81</v>
      </c>
      <c r="AU209" s="18" t="s">
        <v>81</v>
      </c>
      <c r="AV209" s="18" t="s">
        <v>95</v>
      </c>
      <c r="AW209" s="18" t="s">
        <v>95</v>
      </c>
      <c r="AX209" s="18"/>
      <c r="AY209" s="18" t="str">
        <f>Pospago[[#This Row],[NUM_TELEFONICO]]&amp;"POSPAGOSI"</f>
        <v>983014698POSPAGOSI</v>
      </c>
      <c r="AZ209" s="18" t="str">
        <f>VLOOKUP(Pospago[[#This Row],[NOM_PLAZA_FINAL]],[1]!Locales[#Data],3,0)</f>
        <v>TIENDA AMERICA</v>
      </c>
      <c r="BA209" s="18" t="str">
        <f>IFERROR(VLOOKUP(Pospago[[#This Row],[USUARIO]],[1]!Personal[#Data],6,0),"EJECUTIVO NO REGISTRADO")</f>
        <v>GRANDA ESPINOZA ANDRES SEBASTIAN</v>
      </c>
      <c r="BB209" s="18" t="str">
        <f>Pospago[[#This Row],[TIPO_MOVIMIENTO]]&amp;" "&amp;Pospago[[#This Row],[FORMA_PAGO_FINAL]]</f>
        <v>ALTAS DOMICILIADO</v>
      </c>
      <c r="BC209" s="18">
        <f>DAY(Pospago[[#This Row],[FECHA_ALTA]])</f>
        <v>9</v>
      </c>
      <c r="BD209" s="18">
        <f>IF(Pospago[[#This Row],[TARIFA_BASICA]]=11.42,1,0)</f>
        <v>0</v>
      </c>
      <c r="BE209" s="18">
        <f>IF(Pospago[[#This Row],[PLANES TELEVENTAS]]="SI",1,0)</f>
        <v>1</v>
      </c>
      <c r="BF209" s="18">
        <f>1</f>
        <v>1</v>
      </c>
      <c r="BG209" s="18">
        <f>IF(OR(Pospago[[#This Row],[TARIFA_BASICA]]=11.42,Pospago[[#This Row],[PLANES TELEVENTAS]]="SI"),1,0)</f>
        <v>1</v>
      </c>
      <c r="BH209" s="18" t="str">
        <f>IF(MID(Pospago[[#This Row],[PlanDesc]],1,4) = "PLAN","POSPAGO",IF(MID(Pospago[[#This Row],[PlanDesc]],1,4)="FULL","FULL MEGAS","PREVIOPAGO"))</f>
        <v>PREVIOPAGO</v>
      </c>
      <c r="BI2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2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09" s="21">
        <f>Pospago[[#This Row],[TARIFA_BASICA]]*1.5</f>
        <v>26.775000000000002</v>
      </c>
    </row>
    <row r="210" spans="1:63" x14ac:dyDescent="0.25">
      <c r="A210" s="18" t="s">
        <v>154</v>
      </c>
      <c r="B210" s="18" t="s">
        <v>1550</v>
      </c>
      <c r="C210" s="18" t="s">
        <v>1551</v>
      </c>
      <c r="D210" s="19">
        <v>44900</v>
      </c>
      <c r="E210" s="18" t="s">
        <v>246</v>
      </c>
      <c r="F210" s="18" t="s">
        <v>1552</v>
      </c>
      <c r="G210" s="18" t="s">
        <v>1553</v>
      </c>
      <c r="H210" s="18" t="s">
        <v>159</v>
      </c>
      <c r="I210" s="18" t="s">
        <v>160</v>
      </c>
      <c r="J210" s="18" t="s">
        <v>161</v>
      </c>
      <c r="K210" s="18" t="s">
        <v>95</v>
      </c>
      <c r="L210" s="20" t="s">
        <v>1554</v>
      </c>
      <c r="M210" s="18" t="s">
        <v>75</v>
      </c>
      <c r="N210" s="20" t="s">
        <v>1555</v>
      </c>
      <c r="O210" s="18" t="s">
        <v>164</v>
      </c>
      <c r="P210" s="18" t="s">
        <v>78</v>
      </c>
      <c r="Q210" s="19">
        <v>44914</v>
      </c>
      <c r="R210" s="21">
        <v>14.28</v>
      </c>
      <c r="S210" s="18" t="s">
        <v>79</v>
      </c>
      <c r="T210" s="18" t="s">
        <v>80</v>
      </c>
      <c r="U210" s="18" t="s">
        <v>83</v>
      </c>
      <c r="V210" s="18" t="s">
        <v>95</v>
      </c>
      <c r="W210" s="18" t="s">
        <v>95</v>
      </c>
      <c r="X210" s="18" t="s">
        <v>118</v>
      </c>
      <c r="Y210" s="18" t="s">
        <v>85</v>
      </c>
      <c r="Z210" s="18" t="s">
        <v>86</v>
      </c>
      <c r="AA210" s="18" t="s">
        <v>119</v>
      </c>
      <c r="AB210" s="18" t="s">
        <v>880</v>
      </c>
      <c r="AC210" s="18" t="s">
        <v>881</v>
      </c>
      <c r="AD210" s="18" t="s">
        <v>85</v>
      </c>
      <c r="AE210" s="18" t="s">
        <v>90</v>
      </c>
      <c r="AF210" s="18" t="s">
        <v>91</v>
      </c>
      <c r="AG210" s="18" t="s">
        <v>92</v>
      </c>
      <c r="AH210" s="18" t="s">
        <v>165</v>
      </c>
      <c r="AI210" s="18" t="s">
        <v>94</v>
      </c>
      <c r="AJ210" s="19">
        <v>44900</v>
      </c>
      <c r="AK210" s="22" t="s">
        <v>95</v>
      </c>
      <c r="AL210" s="18" t="s">
        <v>95</v>
      </c>
      <c r="AM210" s="18" t="s">
        <v>95</v>
      </c>
      <c r="AN210" s="18" t="s">
        <v>95</v>
      </c>
      <c r="AO210" s="18" t="s">
        <v>95</v>
      </c>
      <c r="AP210" s="18" t="s">
        <v>95</v>
      </c>
      <c r="AQ210" s="18" t="s">
        <v>95</v>
      </c>
      <c r="AR210" s="18" t="s">
        <v>95</v>
      </c>
      <c r="AS210" s="18" t="s">
        <v>83</v>
      </c>
      <c r="AT210" s="18" t="s">
        <v>83</v>
      </c>
      <c r="AU210" s="18" t="s">
        <v>81</v>
      </c>
      <c r="AV210" s="18" t="s">
        <v>95</v>
      </c>
      <c r="AW210" s="18" t="s">
        <v>95</v>
      </c>
      <c r="AX210" s="18"/>
      <c r="AY210" s="18" t="str">
        <f>Pospago[[#This Row],[NUM_TELEFONICO]]&amp;"POSPAGOSI"</f>
        <v>983014799POSPAGOSI</v>
      </c>
      <c r="AZ210" s="18" t="str">
        <f>VLOOKUP(Pospago[[#This Row],[NOM_PLAZA_FINAL]],[1]!Locales[#Data],3,0)</f>
        <v>TIENDA CUENCA CENTRO</v>
      </c>
      <c r="BA210" s="18" t="str">
        <f>IFERROR(VLOOKUP(Pospago[[#This Row],[USUARIO]],[1]!Personal[#Data],6,0),"EJECUTIVO NO REGISTRADO")</f>
        <v>LUNA JACHO ANDREA GABRIELA</v>
      </c>
      <c r="BB210" s="18" t="str">
        <f>Pospago[[#This Row],[TIPO_MOVIMIENTO]]&amp;" "&amp;Pospago[[#This Row],[FORMA_PAGO_FINAL]]</f>
        <v>TRANSFERENCIAS PAGO EN CAJA</v>
      </c>
      <c r="BC210" s="18">
        <f>DAY(Pospago[[#This Row],[FECHA_ALTA]])</f>
        <v>5</v>
      </c>
      <c r="BD210" s="18">
        <f>IF(Pospago[[#This Row],[TARIFA_BASICA]]=11.42,1,0)</f>
        <v>0</v>
      </c>
      <c r="BE210" s="18">
        <f>IF(Pospago[[#This Row],[PLANES TELEVENTAS]]="SI",1,0)</f>
        <v>0</v>
      </c>
      <c r="BF210" s="18">
        <f>1</f>
        <v>1</v>
      </c>
      <c r="BG210" s="18">
        <f>IF(OR(Pospago[[#This Row],[TARIFA_BASICA]]=11.42,Pospago[[#This Row],[PLANES TELEVENTAS]]="SI"),1,0)</f>
        <v>0</v>
      </c>
      <c r="BH210" s="18" t="str">
        <f>IF(MID(Pospago[[#This Row],[PlanDesc]],1,4) = "PLAN","POSPAGO",IF(MID(Pospago[[#This Row],[PlanDesc]],1,4)="FULL","FULL MEGAS","PREVIOPAGO"))</f>
        <v>PREVIOPAGO</v>
      </c>
      <c r="BI2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0" s="21">
        <f>Pospago[[#This Row],[TARIFA_BASICA]]*1.5</f>
        <v>21.419999999999998</v>
      </c>
    </row>
    <row r="211" spans="1:63" x14ac:dyDescent="0.25">
      <c r="A211" s="18" t="s">
        <v>154</v>
      </c>
      <c r="B211" s="18" t="s">
        <v>1556</v>
      </c>
      <c r="C211" s="18" t="s">
        <v>1557</v>
      </c>
      <c r="D211" s="19">
        <v>44908</v>
      </c>
      <c r="E211" s="18" t="s">
        <v>67</v>
      </c>
      <c r="F211" s="18" t="s">
        <v>1558</v>
      </c>
      <c r="G211" s="18" t="s">
        <v>1559</v>
      </c>
      <c r="H211" s="18" t="s">
        <v>159</v>
      </c>
      <c r="I211" s="18" t="s">
        <v>130</v>
      </c>
      <c r="J211" s="18" t="s">
        <v>433</v>
      </c>
      <c r="K211" s="18" t="s">
        <v>114</v>
      </c>
      <c r="L211" s="20" t="s">
        <v>1560</v>
      </c>
      <c r="M211" s="18" t="s">
        <v>287</v>
      </c>
      <c r="N211" s="20" t="s">
        <v>1561</v>
      </c>
      <c r="O211" s="18" t="s">
        <v>164</v>
      </c>
      <c r="P211" s="18" t="s">
        <v>78</v>
      </c>
      <c r="Q211" s="19">
        <v>44914</v>
      </c>
      <c r="R211" s="21">
        <v>15</v>
      </c>
      <c r="S211" s="18" t="s">
        <v>79</v>
      </c>
      <c r="T211" s="18" t="s">
        <v>117</v>
      </c>
      <c r="U211" s="18" t="s">
        <v>83</v>
      </c>
      <c r="V211" s="18" t="s">
        <v>95</v>
      </c>
      <c r="W211" s="18" t="s">
        <v>95</v>
      </c>
      <c r="X211" s="18" t="s">
        <v>84</v>
      </c>
      <c r="Y211" s="18" t="s">
        <v>85</v>
      </c>
      <c r="Z211" s="18" t="s">
        <v>86</v>
      </c>
      <c r="AA211" s="18" t="s">
        <v>87</v>
      </c>
      <c r="AB211" s="18" t="s">
        <v>1043</v>
      </c>
      <c r="AC211" s="18" t="s">
        <v>1044</v>
      </c>
      <c r="AD211" s="18" t="s">
        <v>85</v>
      </c>
      <c r="AE211" s="18" t="s">
        <v>90</v>
      </c>
      <c r="AF211" s="18" t="s">
        <v>122</v>
      </c>
      <c r="AG211" s="18" t="s">
        <v>92</v>
      </c>
      <c r="AH211" s="18" t="s">
        <v>165</v>
      </c>
      <c r="AI211" s="18" t="s">
        <v>94</v>
      </c>
      <c r="AJ211" s="19">
        <v>44908</v>
      </c>
      <c r="AK211" s="22" t="s">
        <v>95</v>
      </c>
      <c r="AL211" s="18" t="s">
        <v>95</v>
      </c>
      <c r="AM211" s="18" t="s">
        <v>95</v>
      </c>
      <c r="AN211" s="18" t="s">
        <v>95</v>
      </c>
      <c r="AO211" s="18" t="s">
        <v>95</v>
      </c>
      <c r="AP211" s="18" t="s">
        <v>95</v>
      </c>
      <c r="AQ211" s="18" t="s">
        <v>95</v>
      </c>
      <c r="AR211" s="18" t="s">
        <v>95</v>
      </c>
      <c r="AS211" s="18" t="s">
        <v>83</v>
      </c>
      <c r="AT211" s="18" t="s">
        <v>83</v>
      </c>
      <c r="AU211" s="18" t="s">
        <v>81</v>
      </c>
      <c r="AV211" s="18" t="s">
        <v>95</v>
      </c>
      <c r="AW211" s="18" t="s">
        <v>95</v>
      </c>
      <c r="AX211" s="18"/>
      <c r="AY211" s="18" t="str">
        <f>Pospago[[#This Row],[NUM_TELEFONICO]]&amp;"POSPAGOSI"</f>
        <v>983028603POSPAGOSI</v>
      </c>
      <c r="AZ211" s="18" t="str">
        <f>VLOOKUP(Pospago[[#This Row],[NOM_PLAZA_FINAL]],[1]!Locales[#Data],3,0)</f>
        <v>TIENDA MACHALA</v>
      </c>
      <c r="BA211" s="18" t="str">
        <f>IFERROR(VLOOKUP(Pospago[[#This Row],[USUARIO]],[1]!Personal[#Data],6,0),"EJECUTIVO NO REGISTRADO")</f>
        <v>GONZAGA YUPANGUI LIZBETH KATHERINE</v>
      </c>
      <c r="BB211" s="18" t="str">
        <f>Pospago[[#This Row],[TIPO_MOVIMIENTO]]&amp;" "&amp;Pospago[[#This Row],[FORMA_PAGO_FINAL]]</f>
        <v>TRANSFERENCIAS DOMICILIADO</v>
      </c>
      <c r="BC211" s="18">
        <f>DAY(Pospago[[#This Row],[FECHA_ALTA]])</f>
        <v>13</v>
      </c>
      <c r="BD211" s="18">
        <f>IF(Pospago[[#This Row],[TARIFA_BASICA]]=11.42,1,0)</f>
        <v>0</v>
      </c>
      <c r="BE211" s="18">
        <f>IF(Pospago[[#This Row],[PLANES TELEVENTAS]]="SI",1,0)</f>
        <v>0</v>
      </c>
      <c r="BF211" s="18">
        <f>1</f>
        <v>1</v>
      </c>
      <c r="BG211" s="18">
        <f>IF(OR(Pospago[[#This Row],[TARIFA_BASICA]]=11.42,Pospago[[#This Row],[PLANES TELEVENTAS]]="SI"),1,0)</f>
        <v>0</v>
      </c>
      <c r="BH211" s="18" t="str">
        <f>IF(MID(Pospago[[#This Row],[PlanDesc]],1,4) = "PLAN","POSPAGO",IF(MID(Pospago[[#This Row],[PlanDesc]],1,4)="FULL","FULL MEGAS","PREVIOPAGO"))</f>
        <v>PREVIOPAGO</v>
      </c>
      <c r="BI2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</v>
      </c>
      <c r="BJ2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1" s="21">
        <f>Pospago[[#This Row],[TARIFA_BASICA]]*1.5</f>
        <v>22.5</v>
      </c>
    </row>
    <row r="212" spans="1:63" x14ac:dyDescent="0.25">
      <c r="A212" s="18" t="s">
        <v>154</v>
      </c>
      <c r="B212" s="18" t="s">
        <v>1562</v>
      </c>
      <c r="C212" s="18" t="s">
        <v>1563</v>
      </c>
      <c r="D212" s="19">
        <v>44905</v>
      </c>
      <c r="E212" s="18" t="s">
        <v>67</v>
      </c>
      <c r="F212" s="18" t="s">
        <v>1564</v>
      </c>
      <c r="G212" s="18" t="s">
        <v>1565</v>
      </c>
      <c r="H212" s="18" t="s">
        <v>159</v>
      </c>
      <c r="I212" s="18" t="s">
        <v>160</v>
      </c>
      <c r="J212" s="18" t="s">
        <v>161</v>
      </c>
      <c r="K212" s="18" t="s">
        <v>73</v>
      </c>
      <c r="L212" s="20" t="s">
        <v>1566</v>
      </c>
      <c r="M212" s="18" t="s">
        <v>75</v>
      </c>
      <c r="N212" s="20" t="s">
        <v>1567</v>
      </c>
      <c r="O212" s="18" t="s">
        <v>164</v>
      </c>
      <c r="P212" s="18" t="s">
        <v>78</v>
      </c>
      <c r="Q212" s="19">
        <v>44914</v>
      </c>
      <c r="R212" s="21">
        <v>14.28</v>
      </c>
      <c r="S212" s="18" t="s">
        <v>79</v>
      </c>
      <c r="T212" s="18" t="s">
        <v>174</v>
      </c>
      <c r="U212" s="18" t="s">
        <v>83</v>
      </c>
      <c r="V212" s="18" t="s">
        <v>95</v>
      </c>
      <c r="W212" s="18" t="s">
        <v>95</v>
      </c>
      <c r="X212" s="18" t="s">
        <v>118</v>
      </c>
      <c r="Y212" s="18" t="s">
        <v>85</v>
      </c>
      <c r="Z212" s="18" t="s">
        <v>86</v>
      </c>
      <c r="AA212" s="18" t="s">
        <v>119</v>
      </c>
      <c r="AB212" s="18" t="s">
        <v>396</v>
      </c>
      <c r="AC212" s="18" t="s">
        <v>397</v>
      </c>
      <c r="AD212" s="18" t="s">
        <v>85</v>
      </c>
      <c r="AE212" s="18" t="s">
        <v>90</v>
      </c>
      <c r="AF212" s="18" t="s">
        <v>177</v>
      </c>
      <c r="AG212" s="18" t="s">
        <v>139</v>
      </c>
      <c r="AH212" s="18" t="s">
        <v>165</v>
      </c>
      <c r="AI212" s="18" t="s">
        <v>94</v>
      </c>
      <c r="AJ212" s="19">
        <v>44905</v>
      </c>
      <c r="AK212" s="22" t="s">
        <v>95</v>
      </c>
      <c r="AL212" s="18" t="s">
        <v>95</v>
      </c>
      <c r="AM212" s="18" t="s">
        <v>95</v>
      </c>
      <c r="AN212" s="18" t="s">
        <v>95</v>
      </c>
      <c r="AO212" s="18" t="s">
        <v>95</v>
      </c>
      <c r="AP212" s="18" t="s">
        <v>95</v>
      </c>
      <c r="AQ212" s="18" t="s">
        <v>95</v>
      </c>
      <c r="AR212" s="18" t="s">
        <v>95</v>
      </c>
      <c r="AS212" s="18" t="s">
        <v>83</v>
      </c>
      <c r="AT212" s="18" t="s">
        <v>83</v>
      </c>
      <c r="AU212" s="18" t="s">
        <v>81</v>
      </c>
      <c r="AV212" s="18" t="s">
        <v>95</v>
      </c>
      <c r="AW212" s="18" t="s">
        <v>96</v>
      </c>
      <c r="AX212" s="18"/>
      <c r="AY212" s="18" t="str">
        <f>Pospago[[#This Row],[NUM_TELEFONICO]]&amp;"POSPAGOSI"</f>
        <v>983030895POSPAGOSI</v>
      </c>
      <c r="AZ212" s="18" t="str">
        <f>VLOOKUP(Pospago[[#This Row],[NOM_PLAZA_FINAL]],[1]!Locales[#Data],3,0)</f>
        <v>TIENDA RECREO</v>
      </c>
      <c r="BA212" s="18" t="str">
        <f>IFERROR(VLOOKUP(Pospago[[#This Row],[USUARIO]],[1]!Personal[#Data],6,0),"EJECUTIVO NO REGISTRADO")</f>
        <v>VINUEZA VELASCO ANGY DAYANA</v>
      </c>
      <c r="BB212" s="18" t="str">
        <f>Pospago[[#This Row],[TIPO_MOVIMIENTO]]&amp;" "&amp;Pospago[[#This Row],[FORMA_PAGO_FINAL]]</f>
        <v>TRANSFERENCIAS PAGO EN CAJA</v>
      </c>
      <c r="BC212" s="18">
        <f>DAY(Pospago[[#This Row],[FECHA_ALTA]])</f>
        <v>10</v>
      </c>
      <c r="BD212" s="18">
        <f>IF(Pospago[[#This Row],[TARIFA_BASICA]]=11.42,1,0)</f>
        <v>0</v>
      </c>
      <c r="BE212" s="18">
        <f>IF(Pospago[[#This Row],[PLANES TELEVENTAS]]="SI",1,0)</f>
        <v>0</v>
      </c>
      <c r="BF212" s="18">
        <f>1</f>
        <v>1</v>
      </c>
      <c r="BG212" s="18">
        <f>IF(OR(Pospago[[#This Row],[TARIFA_BASICA]]=11.42,Pospago[[#This Row],[PLANES TELEVENTAS]]="SI"),1,0)</f>
        <v>0</v>
      </c>
      <c r="BH212" s="18" t="str">
        <f>IF(MID(Pospago[[#This Row],[PlanDesc]],1,4) = "PLAN","POSPAGO",IF(MID(Pospago[[#This Row],[PlanDesc]],1,4)="FULL","FULL MEGAS","PREVIOPAGO"))</f>
        <v>PREVIOPAGO</v>
      </c>
      <c r="BI2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2" s="21">
        <f>Pospago[[#This Row],[TARIFA_BASICA]]*1.5</f>
        <v>21.419999999999998</v>
      </c>
    </row>
    <row r="213" spans="1:63" x14ac:dyDescent="0.25">
      <c r="A213" s="18" t="s">
        <v>64</v>
      </c>
      <c r="B213" s="18" t="s">
        <v>1568</v>
      </c>
      <c r="C213" s="18" t="s">
        <v>1569</v>
      </c>
      <c r="D213" s="19">
        <v>44896</v>
      </c>
      <c r="E213" s="18" t="s">
        <v>67</v>
      </c>
      <c r="F213" s="18" t="s">
        <v>1570</v>
      </c>
      <c r="G213" s="18" t="s">
        <v>1571</v>
      </c>
      <c r="H213" s="18" t="s">
        <v>70</v>
      </c>
      <c r="I213" s="18" t="s">
        <v>194</v>
      </c>
      <c r="J213" s="18" t="s">
        <v>195</v>
      </c>
      <c r="K213" s="18" t="s">
        <v>73</v>
      </c>
      <c r="L213" s="20" t="s">
        <v>1572</v>
      </c>
      <c r="M213" s="18" t="s">
        <v>75</v>
      </c>
      <c r="N213" s="20" t="s">
        <v>1573</v>
      </c>
      <c r="O213" s="18" t="s">
        <v>77</v>
      </c>
      <c r="P213" s="18" t="s">
        <v>1574</v>
      </c>
      <c r="Q213" s="19">
        <v>44914</v>
      </c>
      <c r="R213" s="21">
        <v>14.28</v>
      </c>
      <c r="S213" s="18" t="s">
        <v>79</v>
      </c>
      <c r="T213" s="18" t="s">
        <v>174</v>
      </c>
      <c r="U213" s="18" t="s">
        <v>83</v>
      </c>
      <c r="V213" s="18" t="s">
        <v>95</v>
      </c>
      <c r="W213" s="18" t="s">
        <v>83</v>
      </c>
      <c r="X213" s="18" t="s">
        <v>118</v>
      </c>
      <c r="Y213" s="18" t="s">
        <v>85</v>
      </c>
      <c r="Z213" s="18" t="s">
        <v>86</v>
      </c>
      <c r="AA213" s="18" t="s">
        <v>119</v>
      </c>
      <c r="AB213" s="18" t="s">
        <v>175</v>
      </c>
      <c r="AC213" s="18" t="s">
        <v>176</v>
      </c>
      <c r="AD213" s="18" t="s">
        <v>85</v>
      </c>
      <c r="AE213" s="18" t="s">
        <v>90</v>
      </c>
      <c r="AF213" s="18" t="s">
        <v>177</v>
      </c>
      <c r="AG213" s="18" t="s">
        <v>139</v>
      </c>
      <c r="AH213" s="18" t="s">
        <v>93</v>
      </c>
      <c r="AI213" s="18" t="s">
        <v>94</v>
      </c>
      <c r="AJ213" s="19">
        <v>44896</v>
      </c>
      <c r="AK213" s="22" t="s">
        <v>95</v>
      </c>
      <c r="AL213" s="18" t="s">
        <v>95</v>
      </c>
      <c r="AM213" s="18" t="s">
        <v>95</v>
      </c>
      <c r="AN213" s="18" t="s">
        <v>95</v>
      </c>
      <c r="AO213" s="18" t="s">
        <v>95</v>
      </c>
      <c r="AP213" s="18" t="s">
        <v>95</v>
      </c>
      <c r="AQ213" s="18" t="s">
        <v>95</v>
      </c>
      <c r="AR213" s="18" t="s">
        <v>95</v>
      </c>
      <c r="AS213" s="18" t="s">
        <v>83</v>
      </c>
      <c r="AT213" s="18" t="s">
        <v>81</v>
      </c>
      <c r="AU213" s="18" t="s">
        <v>81</v>
      </c>
      <c r="AV213" s="18" t="s">
        <v>95</v>
      </c>
      <c r="AW213" s="18" t="s">
        <v>95</v>
      </c>
      <c r="AX213" s="18"/>
      <c r="AY213" s="18" t="str">
        <f>Pospago[[#This Row],[NUM_TELEFONICO]]&amp;"POSPAGOSI"</f>
        <v>983050194POSPAGOSI</v>
      </c>
      <c r="AZ213" s="18" t="str">
        <f>VLOOKUP(Pospago[[#This Row],[NOM_PLAZA_FINAL]],[1]!Locales[#Data],3,0)</f>
        <v>TIENDA RECREO</v>
      </c>
      <c r="BA213" s="18" t="str">
        <f>IFERROR(VLOOKUP(Pospago[[#This Row],[USUARIO]],[1]!Personal[#Data],6,0),"EJECUTIVO NO REGISTRADO")</f>
        <v>VARGAS REYES LUIS EDUARDO</v>
      </c>
      <c r="BB213" s="18" t="str">
        <f>Pospago[[#This Row],[TIPO_MOVIMIENTO]]&amp;" "&amp;Pospago[[#This Row],[FORMA_PAGO_FINAL]]</f>
        <v>ALTAS PAGO EN CAJA</v>
      </c>
      <c r="BC213" s="18">
        <f>DAY(Pospago[[#This Row],[FECHA_ALTA]])</f>
        <v>1</v>
      </c>
      <c r="BD213" s="18">
        <f>IF(Pospago[[#This Row],[TARIFA_BASICA]]=11.42,1,0)</f>
        <v>0</v>
      </c>
      <c r="BE213" s="18">
        <f>IF(Pospago[[#This Row],[PLANES TELEVENTAS]]="SI",1,0)</f>
        <v>1</v>
      </c>
      <c r="BF213" s="18">
        <f>1</f>
        <v>1</v>
      </c>
      <c r="BG213" s="18">
        <f>IF(OR(Pospago[[#This Row],[TARIFA_BASICA]]=11.42,Pospago[[#This Row],[PLANES TELEVENTAS]]="SI"),1,0)</f>
        <v>1</v>
      </c>
      <c r="BH213" s="18" t="str">
        <f>IF(MID(Pospago[[#This Row],[PlanDesc]],1,4) = "PLAN","POSPAGO",IF(MID(Pospago[[#This Row],[PlanDesc]],1,4)="FULL","FULL MEGAS","PREVIOPAGO"))</f>
        <v>PREVIOPAGO</v>
      </c>
      <c r="BI2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2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3" s="21">
        <f>Pospago[[#This Row],[TARIFA_BASICA]]*1.5</f>
        <v>21.419999999999998</v>
      </c>
    </row>
    <row r="214" spans="1:63" x14ac:dyDescent="0.25">
      <c r="A214" s="18" t="s">
        <v>154</v>
      </c>
      <c r="B214" s="18" t="s">
        <v>1575</v>
      </c>
      <c r="C214" s="18" t="s">
        <v>1576</v>
      </c>
      <c r="D214" s="19">
        <v>44907</v>
      </c>
      <c r="E214" s="18" t="s">
        <v>67</v>
      </c>
      <c r="F214" s="18" t="s">
        <v>1577</v>
      </c>
      <c r="G214" s="18" t="s">
        <v>1578</v>
      </c>
      <c r="H214" s="18" t="s">
        <v>159</v>
      </c>
      <c r="I214" s="18" t="s">
        <v>160</v>
      </c>
      <c r="J214" s="18" t="s">
        <v>161</v>
      </c>
      <c r="K214" s="18" t="s">
        <v>132</v>
      </c>
      <c r="L214" s="20" t="s">
        <v>1579</v>
      </c>
      <c r="M214" s="18" t="s">
        <v>75</v>
      </c>
      <c r="N214" s="20" t="s">
        <v>1580</v>
      </c>
      <c r="O214" s="18" t="s">
        <v>164</v>
      </c>
      <c r="P214" s="18" t="s">
        <v>78</v>
      </c>
      <c r="Q214" s="19">
        <v>44914</v>
      </c>
      <c r="R214" s="21">
        <v>14.28</v>
      </c>
      <c r="S214" s="18" t="s">
        <v>79</v>
      </c>
      <c r="T214" s="18" t="s">
        <v>80</v>
      </c>
      <c r="U214" s="18" t="s">
        <v>83</v>
      </c>
      <c r="V214" s="18" t="s">
        <v>95</v>
      </c>
      <c r="W214" s="18" t="s">
        <v>95</v>
      </c>
      <c r="X214" s="18" t="s">
        <v>118</v>
      </c>
      <c r="Y214" s="18" t="s">
        <v>85</v>
      </c>
      <c r="Z214" s="18" t="s">
        <v>86</v>
      </c>
      <c r="AA214" s="18" t="s">
        <v>119</v>
      </c>
      <c r="AB214" s="18" t="s">
        <v>1415</v>
      </c>
      <c r="AC214" s="18" t="s">
        <v>1416</v>
      </c>
      <c r="AD214" s="18" t="s">
        <v>85</v>
      </c>
      <c r="AE214" s="18" t="s">
        <v>90</v>
      </c>
      <c r="AF214" s="18" t="s">
        <v>91</v>
      </c>
      <c r="AG214" s="18" t="s">
        <v>92</v>
      </c>
      <c r="AH214" s="18" t="s">
        <v>165</v>
      </c>
      <c r="AI214" s="18" t="s">
        <v>94</v>
      </c>
      <c r="AJ214" s="19">
        <v>44907</v>
      </c>
      <c r="AK214" s="22" t="s">
        <v>95</v>
      </c>
      <c r="AL214" s="18" t="s">
        <v>95</v>
      </c>
      <c r="AM214" s="18" t="s">
        <v>95</v>
      </c>
      <c r="AN214" s="18" t="s">
        <v>95</v>
      </c>
      <c r="AO214" s="18" t="s">
        <v>95</v>
      </c>
      <c r="AP214" s="18" t="s">
        <v>95</v>
      </c>
      <c r="AQ214" s="18" t="s">
        <v>95</v>
      </c>
      <c r="AR214" s="18" t="s">
        <v>95</v>
      </c>
      <c r="AS214" s="18" t="s">
        <v>83</v>
      </c>
      <c r="AT214" s="18" t="s">
        <v>83</v>
      </c>
      <c r="AU214" s="18" t="s">
        <v>81</v>
      </c>
      <c r="AV214" s="18" t="s">
        <v>95</v>
      </c>
      <c r="AW214" s="18" t="s">
        <v>95</v>
      </c>
      <c r="AX214" s="18"/>
      <c r="AY214" s="18" t="str">
        <f>Pospago[[#This Row],[NUM_TELEFONICO]]&amp;"POSPAGOSI"</f>
        <v>983050428POSPAGOSI</v>
      </c>
      <c r="AZ214" s="18" t="str">
        <f>VLOOKUP(Pospago[[#This Row],[NOM_PLAZA_FINAL]],[1]!Locales[#Data],3,0)</f>
        <v>TIENDA CUENCA CENTRO</v>
      </c>
      <c r="BA214" s="18" t="str">
        <f>IFERROR(VLOOKUP(Pospago[[#This Row],[USUARIO]],[1]!Personal[#Data],6,0),"EJECUTIVO NO REGISTRADO")</f>
        <v>PATIÑO URGILES DIANA CATALINA</v>
      </c>
      <c r="BB214" s="18" t="str">
        <f>Pospago[[#This Row],[TIPO_MOVIMIENTO]]&amp;" "&amp;Pospago[[#This Row],[FORMA_PAGO_FINAL]]</f>
        <v>TRANSFERENCIAS PAGO EN CAJA</v>
      </c>
      <c r="BC214" s="18">
        <f>DAY(Pospago[[#This Row],[FECHA_ALTA]])</f>
        <v>12</v>
      </c>
      <c r="BD214" s="18">
        <f>IF(Pospago[[#This Row],[TARIFA_BASICA]]=11.42,1,0)</f>
        <v>0</v>
      </c>
      <c r="BE214" s="18">
        <f>IF(Pospago[[#This Row],[PLANES TELEVENTAS]]="SI",1,0)</f>
        <v>0</v>
      </c>
      <c r="BF214" s="18">
        <f>1</f>
        <v>1</v>
      </c>
      <c r="BG214" s="18">
        <f>IF(OR(Pospago[[#This Row],[TARIFA_BASICA]]=11.42,Pospago[[#This Row],[PLANES TELEVENTAS]]="SI"),1,0)</f>
        <v>0</v>
      </c>
      <c r="BH214" s="18" t="str">
        <f>IF(MID(Pospago[[#This Row],[PlanDesc]],1,4) = "PLAN","POSPAGO",IF(MID(Pospago[[#This Row],[PlanDesc]],1,4)="FULL","FULL MEGAS","PREVIOPAGO"))</f>
        <v>PREVIOPAGO</v>
      </c>
      <c r="BI2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4" s="21">
        <f>Pospago[[#This Row],[TARIFA_BASICA]]*1.5</f>
        <v>21.419999999999998</v>
      </c>
    </row>
    <row r="215" spans="1:63" x14ac:dyDescent="0.25">
      <c r="A215" s="18" t="s">
        <v>64</v>
      </c>
      <c r="B215" s="18" t="s">
        <v>1581</v>
      </c>
      <c r="C215" s="18" t="s">
        <v>1582</v>
      </c>
      <c r="D215" s="19">
        <v>44911</v>
      </c>
      <c r="E215" s="18" t="s">
        <v>67</v>
      </c>
      <c r="F215" s="18" t="s">
        <v>1583</v>
      </c>
      <c r="G215" s="18" t="s">
        <v>1584</v>
      </c>
      <c r="H215" s="18" t="s">
        <v>70</v>
      </c>
      <c r="I215" s="18" t="s">
        <v>130</v>
      </c>
      <c r="J215" s="18" t="s">
        <v>131</v>
      </c>
      <c r="K215" s="18" t="s">
        <v>132</v>
      </c>
      <c r="L215" s="20" t="s">
        <v>1585</v>
      </c>
      <c r="M215" s="18" t="s">
        <v>75</v>
      </c>
      <c r="N215" s="20" t="s">
        <v>1586</v>
      </c>
      <c r="O215" s="18" t="s">
        <v>77</v>
      </c>
      <c r="P215" s="18" t="s">
        <v>78</v>
      </c>
      <c r="Q215" s="19">
        <v>44914</v>
      </c>
      <c r="R215" s="21">
        <v>15</v>
      </c>
      <c r="S215" s="18" t="s">
        <v>79</v>
      </c>
      <c r="T215" s="18" t="s">
        <v>135</v>
      </c>
      <c r="U215" s="18" t="s">
        <v>83</v>
      </c>
      <c r="V215" s="18" t="s">
        <v>95</v>
      </c>
      <c r="W215" s="18" t="s">
        <v>83</v>
      </c>
      <c r="X215" s="18" t="s">
        <v>215</v>
      </c>
      <c r="Y215" s="18" t="s">
        <v>85</v>
      </c>
      <c r="Z215" s="18" t="s">
        <v>86</v>
      </c>
      <c r="AA215" s="18" t="s">
        <v>87</v>
      </c>
      <c r="AB215" s="18" t="s">
        <v>478</v>
      </c>
      <c r="AC215" s="18" t="s">
        <v>479</v>
      </c>
      <c r="AD215" s="18" t="s">
        <v>85</v>
      </c>
      <c r="AE215" s="18" t="s">
        <v>90</v>
      </c>
      <c r="AF215" s="18" t="s">
        <v>138</v>
      </c>
      <c r="AG215" s="18" t="s">
        <v>139</v>
      </c>
      <c r="AH215" s="18" t="s">
        <v>93</v>
      </c>
      <c r="AI215" s="18" t="s">
        <v>94</v>
      </c>
      <c r="AJ215" s="19">
        <v>44911</v>
      </c>
      <c r="AK215" s="22" t="s">
        <v>95</v>
      </c>
      <c r="AL215" s="18" t="s">
        <v>95</v>
      </c>
      <c r="AM215" s="18" t="s">
        <v>95</v>
      </c>
      <c r="AN215" s="18" t="s">
        <v>95</v>
      </c>
      <c r="AO215" s="18" t="s">
        <v>95</v>
      </c>
      <c r="AP215" s="18" t="s">
        <v>95</v>
      </c>
      <c r="AQ215" s="18" t="s">
        <v>95</v>
      </c>
      <c r="AR215" s="18" t="s">
        <v>95</v>
      </c>
      <c r="AS215" s="18" t="s">
        <v>83</v>
      </c>
      <c r="AT215" s="18" t="s">
        <v>83</v>
      </c>
      <c r="AU215" s="18" t="s">
        <v>81</v>
      </c>
      <c r="AV215" s="18" t="s">
        <v>95</v>
      </c>
      <c r="AW215" s="18" t="s">
        <v>95</v>
      </c>
      <c r="AX215" s="18"/>
      <c r="AY215" s="18" t="str">
        <f>Pospago[[#This Row],[NUM_TELEFONICO]]&amp;"POSPAGOSI"</f>
        <v>983056104POSPAGOSI</v>
      </c>
      <c r="AZ215" s="18" t="str">
        <f>VLOOKUP(Pospago[[#This Row],[NOM_PLAZA_FINAL]],[1]!Locales[#Data],3,0)</f>
        <v>TIENDA AMERICA</v>
      </c>
      <c r="BA215" s="18" t="str">
        <f>IFERROR(VLOOKUP(Pospago[[#This Row],[USUARIO]],[1]!Personal[#Data],6,0),"EJECUTIVO NO REGISTRADO")</f>
        <v>REINO TUFINO PAULTEH KATHERINE</v>
      </c>
      <c r="BB215" s="18" t="str">
        <f>Pospago[[#This Row],[TIPO_MOVIMIENTO]]&amp;" "&amp;Pospago[[#This Row],[FORMA_PAGO_FINAL]]</f>
        <v>ALTAS DOMICILIADO</v>
      </c>
      <c r="BC215" s="18">
        <f>DAY(Pospago[[#This Row],[FECHA_ALTA]])</f>
        <v>16</v>
      </c>
      <c r="BD215" s="18">
        <f>IF(Pospago[[#This Row],[TARIFA_BASICA]]=11.42,1,0)</f>
        <v>0</v>
      </c>
      <c r="BE215" s="18">
        <f>IF(Pospago[[#This Row],[PLANES TELEVENTAS]]="SI",1,0)</f>
        <v>0</v>
      </c>
      <c r="BF215" s="18">
        <f>1</f>
        <v>1</v>
      </c>
      <c r="BG215" s="18">
        <f>IF(OR(Pospago[[#This Row],[TARIFA_BASICA]]=11.42,Pospago[[#This Row],[PLANES TELEVENTAS]]="SI"),1,0)</f>
        <v>0</v>
      </c>
      <c r="BH215" s="18" t="str">
        <f>IF(MID(Pospago[[#This Row],[PlanDesc]],1,4) = "PLAN","POSPAGO",IF(MID(Pospago[[#This Row],[PlanDesc]],1,4)="FULL","FULL MEGAS","PREVIOPAGO"))</f>
        <v>PREVIOPAGO</v>
      </c>
      <c r="BI2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2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5" s="21">
        <f>Pospago[[#This Row],[TARIFA_BASICA]]*1.5</f>
        <v>22.5</v>
      </c>
    </row>
    <row r="216" spans="1:63" x14ac:dyDescent="0.25">
      <c r="A216" s="18" t="s">
        <v>154</v>
      </c>
      <c r="B216" s="18" t="s">
        <v>1587</v>
      </c>
      <c r="C216" s="18" t="s">
        <v>1588</v>
      </c>
      <c r="D216" s="19">
        <v>44906</v>
      </c>
      <c r="E216" s="18" t="s">
        <v>67</v>
      </c>
      <c r="F216" s="18" t="s">
        <v>1589</v>
      </c>
      <c r="G216" s="18" t="s">
        <v>1590</v>
      </c>
      <c r="H216" s="18" t="s">
        <v>159</v>
      </c>
      <c r="I216" s="18" t="s">
        <v>130</v>
      </c>
      <c r="J216" s="18" t="s">
        <v>433</v>
      </c>
      <c r="K216" s="18" t="s">
        <v>95</v>
      </c>
      <c r="L216" s="20" t="s">
        <v>1591</v>
      </c>
      <c r="M216" s="18" t="s">
        <v>75</v>
      </c>
      <c r="N216" s="20" t="s">
        <v>1592</v>
      </c>
      <c r="O216" s="18" t="s">
        <v>164</v>
      </c>
      <c r="P216" s="18" t="s">
        <v>78</v>
      </c>
      <c r="Q216" s="19">
        <v>44914</v>
      </c>
      <c r="R216" s="21">
        <v>15</v>
      </c>
      <c r="S216" s="18" t="s">
        <v>79</v>
      </c>
      <c r="T216" s="18" t="s">
        <v>174</v>
      </c>
      <c r="U216" s="18" t="s">
        <v>83</v>
      </c>
      <c r="V216" s="18" t="s">
        <v>95</v>
      </c>
      <c r="W216" s="18" t="s">
        <v>95</v>
      </c>
      <c r="X216" s="18" t="s">
        <v>118</v>
      </c>
      <c r="Y216" s="18" t="s">
        <v>85</v>
      </c>
      <c r="Z216" s="18" t="s">
        <v>86</v>
      </c>
      <c r="AA216" s="18" t="s">
        <v>119</v>
      </c>
      <c r="AB216" s="18" t="s">
        <v>822</v>
      </c>
      <c r="AC216" s="18" t="s">
        <v>823</v>
      </c>
      <c r="AD216" s="18" t="s">
        <v>85</v>
      </c>
      <c r="AE216" s="18" t="s">
        <v>90</v>
      </c>
      <c r="AF216" s="18" t="s">
        <v>177</v>
      </c>
      <c r="AG216" s="18" t="s">
        <v>139</v>
      </c>
      <c r="AH216" s="18" t="s">
        <v>165</v>
      </c>
      <c r="AI216" s="18" t="s">
        <v>94</v>
      </c>
      <c r="AJ216" s="19">
        <v>44906</v>
      </c>
      <c r="AK216" s="22" t="s">
        <v>95</v>
      </c>
      <c r="AL216" s="18" t="s">
        <v>95</v>
      </c>
      <c r="AM216" s="18" t="s">
        <v>95</v>
      </c>
      <c r="AN216" s="18" t="s">
        <v>95</v>
      </c>
      <c r="AO216" s="18" t="s">
        <v>95</v>
      </c>
      <c r="AP216" s="18" t="s">
        <v>95</v>
      </c>
      <c r="AQ216" s="18" t="s">
        <v>95</v>
      </c>
      <c r="AR216" s="18" t="s">
        <v>95</v>
      </c>
      <c r="AS216" s="18" t="s">
        <v>83</v>
      </c>
      <c r="AT216" s="18" t="s">
        <v>83</v>
      </c>
      <c r="AU216" s="18" t="s">
        <v>81</v>
      </c>
      <c r="AV216" s="18" t="s">
        <v>95</v>
      </c>
      <c r="AW216" s="18" t="s">
        <v>95</v>
      </c>
      <c r="AX216" s="18"/>
      <c r="AY216" s="18" t="str">
        <f>Pospago[[#This Row],[NUM_TELEFONICO]]&amp;"POSPAGOSI"</f>
        <v>983061176POSPAGOSI</v>
      </c>
      <c r="AZ216" s="18" t="str">
        <f>VLOOKUP(Pospago[[#This Row],[NOM_PLAZA_FINAL]],[1]!Locales[#Data],3,0)</f>
        <v>TIENDA RECREO</v>
      </c>
      <c r="BA216" s="18" t="str">
        <f>IFERROR(VLOOKUP(Pospago[[#This Row],[USUARIO]],[1]!Personal[#Data],6,0),"EJECUTIVO NO REGISTRADO")</f>
        <v>SALAS PARRA MARIA JOSE</v>
      </c>
      <c r="BB216" s="18" t="str">
        <f>Pospago[[#This Row],[TIPO_MOVIMIENTO]]&amp;" "&amp;Pospago[[#This Row],[FORMA_PAGO_FINAL]]</f>
        <v>TRANSFERENCIAS PAGO EN CAJA</v>
      </c>
      <c r="BC216" s="18">
        <f>DAY(Pospago[[#This Row],[FECHA_ALTA]])</f>
        <v>11</v>
      </c>
      <c r="BD216" s="18">
        <f>IF(Pospago[[#This Row],[TARIFA_BASICA]]=11.42,1,0)</f>
        <v>0</v>
      </c>
      <c r="BE216" s="18">
        <f>IF(Pospago[[#This Row],[PLANES TELEVENTAS]]="SI",1,0)</f>
        <v>0</v>
      </c>
      <c r="BF216" s="18">
        <f>1</f>
        <v>1</v>
      </c>
      <c r="BG216" s="18">
        <f>IF(OR(Pospago[[#This Row],[TARIFA_BASICA]]=11.42,Pospago[[#This Row],[PLANES TELEVENTAS]]="SI"),1,0)</f>
        <v>0</v>
      </c>
      <c r="BH216" s="18" t="str">
        <f>IF(MID(Pospago[[#This Row],[PlanDesc]],1,4) = "PLAN","POSPAGO",IF(MID(Pospago[[#This Row],[PlanDesc]],1,4)="FULL","FULL MEGAS","PREVIOPAGO"))</f>
        <v>PREVIOPAGO</v>
      </c>
      <c r="BI2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2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6" s="21">
        <f>Pospago[[#This Row],[TARIFA_BASICA]]*1.5</f>
        <v>22.5</v>
      </c>
    </row>
    <row r="217" spans="1:63" x14ac:dyDescent="0.25">
      <c r="A217" s="18" t="s">
        <v>64</v>
      </c>
      <c r="B217" s="18" t="s">
        <v>1593</v>
      </c>
      <c r="C217" s="18" t="s">
        <v>1594</v>
      </c>
      <c r="D217" s="19">
        <v>44896</v>
      </c>
      <c r="E217" s="18" t="s">
        <v>67</v>
      </c>
      <c r="F217" s="18" t="s">
        <v>1595</v>
      </c>
      <c r="G217" s="18" t="s">
        <v>1596</v>
      </c>
      <c r="H217" s="18" t="s">
        <v>70</v>
      </c>
      <c r="I217" s="18" t="s">
        <v>359</v>
      </c>
      <c r="J217" s="18" t="s">
        <v>360</v>
      </c>
      <c r="K217" s="18" t="s">
        <v>132</v>
      </c>
      <c r="L217" s="20" t="s">
        <v>1597</v>
      </c>
      <c r="M217" s="18" t="s">
        <v>75</v>
      </c>
      <c r="N217" s="20" t="s">
        <v>1598</v>
      </c>
      <c r="O217" s="18" t="s">
        <v>311</v>
      </c>
      <c r="P217" s="18" t="s">
        <v>78</v>
      </c>
      <c r="Q217" s="19">
        <v>44914</v>
      </c>
      <c r="R217" s="21">
        <v>14.28</v>
      </c>
      <c r="S217" s="18" t="s">
        <v>79</v>
      </c>
      <c r="T217" s="18" t="s">
        <v>135</v>
      </c>
      <c r="U217" s="18" t="s">
        <v>83</v>
      </c>
      <c r="V217" s="18" t="s">
        <v>95</v>
      </c>
      <c r="W217" s="18" t="s">
        <v>83</v>
      </c>
      <c r="X217" s="18" t="s">
        <v>84</v>
      </c>
      <c r="Y217" s="18" t="s">
        <v>85</v>
      </c>
      <c r="Z217" s="18" t="s">
        <v>86</v>
      </c>
      <c r="AA217" s="18" t="s">
        <v>87</v>
      </c>
      <c r="AB217" s="18" t="s">
        <v>665</v>
      </c>
      <c r="AC217" s="18" t="s">
        <v>666</v>
      </c>
      <c r="AD217" s="18" t="s">
        <v>85</v>
      </c>
      <c r="AE217" s="18" t="s">
        <v>90</v>
      </c>
      <c r="AF217" s="18" t="s">
        <v>138</v>
      </c>
      <c r="AG217" s="18" t="s">
        <v>139</v>
      </c>
      <c r="AH217" s="18" t="s">
        <v>93</v>
      </c>
      <c r="AI217" s="18" t="s">
        <v>94</v>
      </c>
      <c r="AJ217" s="19">
        <v>44896</v>
      </c>
      <c r="AK217" s="22" t="s">
        <v>95</v>
      </c>
      <c r="AL217" s="18" t="s">
        <v>95</v>
      </c>
      <c r="AM217" s="18" t="s">
        <v>95</v>
      </c>
      <c r="AN217" s="18" t="s">
        <v>95</v>
      </c>
      <c r="AO217" s="18" t="s">
        <v>95</v>
      </c>
      <c r="AP217" s="18" t="s">
        <v>95</v>
      </c>
      <c r="AQ217" s="18" t="s">
        <v>95</v>
      </c>
      <c r="AR217" s="18" t="s">
        <v>95</v>
      </c>
      <c r="AS217" s="18" t="s">
        <v>83</v>
      </c>
      <c r="AT217" s="18" t="s">
        <v>83</v>
      </c>
      <c r="AU217" s="18" t="s">
        <v>83</v>
      </c>
      <c r="AV217" s="18" t="s">
        <v>95</v>
      </c>
      <c r="AW217" s="18" t="s">
        <v>95</v>
      </c>
      <c r="AX217" s="18"/>
      <c r="AY217" s="18" t="str">
        <f>Pospago[[#This Row],[NUM_TELEFONICO]]&amp;"POSPAGOSI"</f>
        <v>983063766POSPAGOSI</v>
      </c>
      <c r="AZ217" s="18" t="str">
        <f>VLOOKUP(Pospago[[#This Row],[NOM_PLAZA_FINAL]],[1]!Locales[#Data],3,0)</f>
        <v>TIENDA AMERICA</v>
      </c>
      <c r="BA217" s="18" t="str">
        <f>IFERROR(VLOOKUP(Pospago[[#This Row],[USUARIO]],[1]!Personal[#Data],6,0),"EJECUTIVO NO REGISTRADO")</f>
        <v>ROSERO CAICEDO JAIRO STEFANO</v>
      </c>
      <c r="BB217" s="18" t="str">
        <f>Pospago[[#This Row],[TIPO_MOVIMIENTO]]&amp;" "&amp;Pospago[[#This Row],[FORMA_PAGO_FINAL]]</f>
        <v>ALTAS DOMICILIADO</v>
      </c>
      <c r="BC217" s="18">
        <f>DAY(Pospago[[#This Row],[FECHA_ALTA]])</f>
        <v>1</v>
      </c>
      <c r="BD217" s="18">
        <f>IF(Pospago[[#This Row],[TARIFA_BASICA]]=11.42,1,0)</f>
        <v>0</v>
      </c>
      <c r="BE217" s="18">
        <f>IF(Pospago[[#This Row],[PLANES TELEVENTAS]]="SI",1,0)</f>
        <v>0</v>
      </c>
      <c r="BF217" s="18">
        <f>1</f>
        <v>1</v>
      </c>
      <c r="BG217" s="18">
        <f>IF(OR(Pospago[[#This Row],[TARIFA_BASICA]]=11.42,Pospago[[#This Row],[PLANES TELEVENTAS]]="SI"),1,0)</f>
        <v>0</v>
      </c>
      <c r="BH217" s="18" t="str">
        <f>IF(MID(Pospago[[#This Row],[PlanDesc]],1,4) = "PLAN","POSPAGO",IF(MID(Pospago[[#This Row],[PlanDesc]],1,4)="FULL","FULL MEGAS","PREVIOPAGO"))</f>
        <v>POSPAGO</v>
      </c>
      <c r="BI2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7" s="21">
        <f>Pospago[[#This Row],[TARIFA_BASICA]]*1.5</f>
        <v>21.419999999999998</v>
      </c>
    </row>
    <row r="218" spans="1:63" x14ac:dyDescent="0.25">
      <c r="A218" s="18" t="s">
        <v>154</v>
      </c>
      <c r="B218" s="18" t="s">
        <v>1599</v>
      </c>
      <c r="C218" s="18" t="s">
        <v>1600</v>
      </c>
      <c r="D218" s="19">
        <v>44910</v>
      </c>
      <c r="E218" s="18" t="s">
        <v>67</v>
      </c>
      <c r="F218" s="18" t="s">
        <v>1601</v>
      </c>
      <c r="G218" s="18" t="s">
        <v>1602</v>
      </c>
      <c r="H218" s="18" t="s">
        <v>159</v>
      </c>
      <c r="I218" s="18" t="s">
        <v>71</v>
      </c>
      <c r="J218" s="18" t="s">
        <v>258</v>
      </c>
      <c r="K218" s="18" t="s">
        <v>132</v>
      </c>
      <c r="L218" s="20" t="s">
        <v>1603</v>
      </c>
      <c r="M218" s="18" t="s">
        <v>75</v>
      </c>
      <c r="N218" s="20" t="s">
        <v>1604</v>
      </c>
      <c r="O218" s="18" t="s">
        <v>164</v>
      </c>
      <c r="P218" s="18" t="s">
        <v>78</v>
      </c>
      <c r="Q218" s="19">
        <v>44914</v>
      </c>
      <c r="R218" s="21">
        <v>11.42</v>
      </c>
      <c r="S218" s="18" t="s">
        <v>79</v>
      </c>
      <c r="T218" s="18" t="s">
        <v>174</v>
      </c>
      <c r="U218" s="18" t="s">
        <v>83</v>
      </c>
      <c r="V218" s="18" t="s">
        <v>95</v>
      </c>
      <c r="W218" s="18" t="s">
        <v>95</v>
      </c>
      <c r="X218" s="18" t="s">
        <v>84</v>
      </c>
      <c r="Y218" s="18" t="s">
        <v>85</v>
      </c>
      <c r="Z218" s="18" t="s">
        <v>86</v>
      </c>
      <c r="AA218" s="18" t="s">
        <v>87</v>
      </c>
      <c r="AB218" s="18" t="s">
        <v>822</v>
      </c>
      <c r="AC218" s="18" t="s">
        <v>823</v>
      </c>
      <c r="AD218" s="18" t="s">
        <v>85</v>
      </c>
      <c r="AE218" s="18" t="s">
        <v>90</v>
      </c>
      <c r="AF218" s="18" t="s">
        <v>177</v>
      </c>
      <c r="AG218" s="18" t="s">
        <v>139</v>
      </c>
      <c r="AH218" s="18" t="s">
        <v>165</v>
      </c>
      <c r="AI218" s="18" t="s">
        <v>94</v>
      </c>
      <c r="AJ218" s="19">
        <v>44910</v>
      </c>
      <c r="AK218" s="22" t="s">
        <v>95</v>
      </c>
      <c r="AL218" s="18" t="s">
        <v>95</v>
      </c>
      <c r="AM218" s="18" t="s">
        <v>95</v>
      </c>
      <c r="AN218" s="18" t="s">
        <v>95</v>
      </c>
      <c r="AO218" s="18" t="s">
        <v>95</v>
      </c>
      <c r="AP218" s="18" t="s">
        <v>95</v>
      </c>
      <c r="AQ218" s="18" t="s">
        <v>95</v>
      </c>
      <c r="AR218" s="18" t="s">
        <v>95</v>
      </c>
      <c r="AS218" s="18" t="s">
        <v>83</v>
      </c>
      <c r="AT218" s="18" t="s">
        <v>83</v>
      </c>
      <c r="AU218" s="18" t="s">
        <v>81</v>
      </c>
      <c r="AV218" s="18" t="s">
        <v>95</v>
      </c>
      <c r="AW218" s="18" t="s">
        <v>95</v>
      </c>
      <c r="AX218" s="18"/>
      <c r="AY218" s="18" t="str">
        <f>Pospago[[#This Row],[NUM_TELEFONICO]]&amp;"POSPAGOSI"</f>
        <v>983066001POSPAGOSI</v>
      </c>
      <c r="AZ218" s="18" t="str">
        <f>VLOOKUP(Pospago[[#This Row],[NOM_PLAZA_FINAL]],[1]!Locales[#Data],3,0)</f>
        <v>TIENDA RECREO</v>
      </c>
      <c r="BA218" s="18" t="str">
        <f>IFERROR(VLOOKUP(Pospago[[#This Row],[USUARIO]],[1]!Personal[#Data],6,0),"EJECUTIVO NO REGISTRADO")</f>
        <v>SALAS PARRA MARIA JOSE</v>
      </c>
      <c r="BB218" s="18" t="str">
        <f>Pospago[[#This Row],[TIPO_MOVIMIENTO]]&amp;" "&amp;Pospago[[#This Row],[FORMA_PAGO_FINAL]]</f>
        <v>TRANSFERENCIAS DOMICILIADO</v>
      </c>
      <c r="BC218" s="18">
        <f>DAY(Pospago[[#This Row],[FECHA_ALTA]])</f>
        <v>15</v>
      </c>
      <c r="BD218" s="18">
        <f>IF(Pospago[[#This Row],[TARIFA_BASICA]]=11.42,1,0)</f>
        <v>1</v>
      </c>
      <c r="BE218" s="18">
        <f>IF(Pospago[[#This Row],[PLANES TELEVENTAS]]="SI",1,0)</f>
        <v>0</v>
      </c>
      <c r="BF218" s="18">
        <f>1</f>
        <v>1</v>
      </c>
      <c r="BG218" s="18">
        <f>IF(OR(Pospago[[#This Row],[TARIFA_BASICA]]=11.42,Pospago[[#This Row],[PLANES TELEVENTAS]]="SI"),1,0)</f>
        <v>1</v>
      </c>
      <c r="BH218" s="18" t="str">
        <f>IF(MID(Pospago[[#This Row],[PlanDesc]],1,4) = "PLAN","POSPAGO",IF(MID(Pospago[[#This Row],[PlanDesc]],1,4)="FULL","FULL MEGAS","PREVIOPAGO"))</f>
        <v>PREVIOPAGO</v>
      </c>
      <c r="BI2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2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18" s="21">
        <f>Pospago[[#This Row],[TARIFA_BASICA]]*1.5</f>
        <v>17.13</v>
      </c>
    </row>
    <row r="219" spans="1:63" x14ac:dyDescent="0.25">
      <c r="A219" s="18" t="s">
        <v>154</v>
      </c>
      <c r="B219" s="18" t="s">
        <v>1605</v>
      </c>
      <c r="C219" s="18" t="s">
        <v>1606</v>
      </c>
      <c r="D219" s="19">
        <v>44906</v>
      </c>
      <c r="E219" s="18" t="s">
        <v>67</v>
      </c>
      <c r="F219" s="18" t="s">
        <v>1607</v>
      </c>
      <c r="G219" s="18" t="s">
        <v>1608</v>
      </c>
      <c r="H219" s="18" t="s">
        <v>159</v>
      </c>
      <c r="I219" s="18" t="s">
        <v>160</v>
      </c>
      <c r="J219" s="18" t="s">
        <v>161</v>
      </c>
      <c r="K219" s="18" t="s">
        <v>73</v>
      </c>
      <c r="L219" s="20" t="s">
        <v>1609</v>
      </c>
      <c r="M219" s="18" t="s">
        <v>75</v>
      </c>
      <c r="N219" s="20" t="s">
        <v>1610</v>
      </c>
      <c r="O219" s="18" t="s">
        <v>164</v>
      </c>
      <c r="P219" s="18" t="s">
        <v>78</v>
      </c>
      <c r="Q219" s="19">
        <v>44914</v>
      </c>
      <c r="R219" s="21">
        <v>14.28</v>
      </c>
      <c r="S219" s="18" t="s">
        <v>79</v>
      </c>
      <c r="T219" s="18" t="s">
        <v>174</v>
      </c>
      <c r="U219" s="18" t="s">
        <v>83</v>
      </c>
      <c r="V219" s="18" t="s">
        <v>95</v>
      </c>
      <c r="W219" s="18" t="s">
        <v>95</v>
      </c>
      <c r="X219" s="18" t="s">
        <v>118</v>
      </c>
      <c r="Y219" s="18" t="s">
        <v>85</v>
      </c>
      <c r="Z219" s="18" t="s">
        <v>86</v>
      </c>
      <c r="AA219" s="18" t="s">
        <v>119</v>
      </c>
      <c r="AB219" s="18" t="s">
        <v>199</v>
      </c>
      <c r="AC219" s="18" t="s">
        <v>200</v>
      </c>
      <c r="AD219" s="18" t="s">
        <v>85</v>
      </c>
      <c r="AE219" s="18" t="s">
        <v>90</v>
      </c>
      <c r="AF219" s="18" t="s">
        <v>177</v>
      </c>
      <c r="AG219" s="18" t="s">
        <v>139</v>
      </c>
      <c r="AH219" s="18" t="s">
        <v>165</v>
      </c>
      <c r="AI219" s="18" t="s">
        <v>94</v>
      </c>
      <c r="AJ219" s="19">
        <v>44906</v>
      </c>
      <c r="AK219" s="22" t="s">
        <v>95</v>
      </c>
      <c r="AL219" s="18" t="s">
        <v>95</v>
      </c>
      <c r="AM219" s="18" t="s">
        <v>95</v>
      </c>
      <c r="AN219" s="18" t="s">
        <v>95</v>
      </c>
      <c r="AO219" s="18" t="s">
        <v>95</v>
      </c>
      <c r="AP219" s="18" t="s">
        <v>95</v>
      </c>
      <c r="AQ219" s="18" t="s">
        <v>95</v>
      </c>
      <c r="AR219" s="18" t="s">
        <v>95</v>
      </c>
      <c r="AS219" s="18" t="s">
        <v>83</v>
      </c>
      <c r="AT219" s="18" t="s">
        <v>83</v>
      </c>
      <c r="AU219" s="18" t="s">
        <v>81</v>
      </c>
      <c r="AV219" s="18" t="s">
        <v>95</v>
      </c>
      <c r="AW219" s="18" t="s">
        <v>95</v>
      </c>
      <c r="AX219" s="18"/>
      <c r="AY219" s="18" t="str">
        <f>Pospago[[#This Row],[NUM_TELEFONICO]]&amp;"POSPAGOSI"</f>
        <v>983077518POSPAGOSI</v>
      </c>
      <c r="AZ219" s="18" t="str">
        <f>VLOOKUP(Pospago[[#This Row],[NOM_PLAZA_FINAL]],[1]!Locales[#Data],3,0)</f>
        <v>TIENDA RECREO</v>
      </c>
      <c r="BA219" s="18" t="str">
        <f>IFERROR(VLOOKUP(Pospago[[#This Row],[USUARIO]],[1]!Personal[#Data],6,0),"EJECUTIVO NO REGISTRADO")</f>
        <v>MEDINA LAPO DAYANNA CAROLINA</v>
      </c>
      <c r="BB219" s="18" t="str">
        <f>Pospago[[#This Row],[TIPO_MOVIMIENTO]]&amp;" "&amp;Pospago[[#This Row],[FORMA_PAGO_FINAL]]</f>
        <v>TRANSFERENCIAS PAGO EN CAJA</v>
      </c>
      <c r="BC219" s="18">
        <f>DAY(Pospago[[#This Row],[FECHA_ALTA]])</f>
        <v>11</v>
      </c>
      <c r="BD219" s="18">
        <f>IF(Pospago[[#This Row],[TARIFA_BASICA]]=11.42,1,0)</f>
        <v>0</v>
      </c>
      <c r="BE219" s="18">
        <f>IF(Pospago[[#This Row],[PLANES TELEVENTAS]]="SI",1,0)</f>
        <v>0</v>
      </c>
      <c r="BF219" s="18">
        <f>1</f>
        <v>1</v>
      </c>
      <c r="BG219" s="18">
        <f>IF(OR(Pospago[[#This Row],[TARIFA_BASICA]]=11.42,Pospago[[#This Row],[PLANES TELEVENTAS]]="SI"),1,0)</f>
        <v>0</v>
      </c>
      <c r="BH219" s="18" t="str">
        <f>IF(MID(Pospago[[#This Row],[PlanDesc]],1,4) = "PLAN","POSPAGO",IF(MID(Pospago[[#This Row],[PlanDesc]],1,4)="FULL","FULL MEGAS","PREVIOPAGO"))</f>
        <v>PREVIOPAGO</v>
      </c>
      <c r="BI2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19" s="21">
        <f>Pospago[[#This Row],[TARIFA_BASICA]]*1.5</f>
        <v>21.419999999999998</v>
      </c>
    </row>
    <row r="220" spans="1:63" x14ac:dyDescent="0.25">
      <c r="A220" s="18" t="s">
        <v>64</v>
      </c>
      <c r="B220" s="18" t="s">
        <v>1611</v>
      </c>
      <c r="C220" s="18" t="s">
        <v>1612</v>
      </c>
      <c r="D220" s="19">
        <v>44902</v>
      </c>
      <c r="E220" s="18" t="s">
        <v>67</v>
      </c>
      <c r="F220" s="18" t="s">
        <v>1613</v>
      </c>
      <c r="G220" s="18" t="s">
        <v>1614</v>
      </c>
      <c r="H220" s="18" t="s">
        <v>70</v>
      </c>
      <c r="I220" s="18" t="s">
        <v>112</v>
      </c>
      <c r="J220" s="18" t="s">
        <v>113</v>
      </c>
      <c r="K220" s="18" t="s">
        <v>132</v>
      </c>
      <c r="L220" s="20" t="s">
        <v>1615</v>
      </c>
      <c r="M220" s="18" t="s">
        <v>75</v>
      </c>
      <c r="N220" s="20" t="s">
        <v>1616</v>
      </c>
      <c r="O220" s="18" t="s">
        <v>77</v>
      </c>
      <c r="P220" s="18" t="s">
        <v>78</v>
      </c>
      <c r="Q220" s="19">
        <v>44914</v>
      </c>
      <c r="R220" s="21">
        <v>17.850000000000001</v>
      </c>
      <c r="S220" s="18" t="s">
        <v>79</v>
      </c>
      <c r="T220" s="18" t="s">
        <v>232</v>
      </c>
      <c r="U220" s="18" t="s">
        <v>83</v>
      </c>
      <c r="V220" s="18" t="s">
        <v>95</v>
      </c>
      <c r="W220" s="18" t="s">
        <v>83</v>
      </c>
      <c r="X220" s="18" t="s">
        <v>84</v>
      </c>
      <c r="Y220" s="18" t="s">
        <v>85</v>
      </c>
      <c r="Z220" s="18" t="s">
        <v>86</v>
      </c>
      <c r="AA220" s="18" t="s">
        <v>87</v>
      </c>
      <c r="AB220" s="18" t="s">
        <v>412</v>
      </c>
      <c r="AC220" s="18" t="s">
        <v>413</v>
      </c>
      <c r="AD220" s="18" t="s">
        <v>85</v>
      </c>
      <c r="AE220" s="18" t="s">
        <v>90</v>
      </c>
      <c r="AF220" s="18" t="s">
        <v>235</v>
      </c>
      <c r="AG220" s="18" t="s">
        <v>139</v>
      </c>
      <c r="AH220" s="18" t="s">
        <v>93</v>
      </c>
      <c r="AI220" s="18" t="s">
        <v>94</v>
      </c>
      <c r="AJ220" s="19">
        <v>44902</v>
      </c>
      <c r="AK220" s="22" t="s">
        <v>95</v>
      </c>
      <c r="AL220" s="18" t="s">
        <v>95</v>
      </c>
      <c r="AM220" s="18" t="s">
        <v>95</v>
      </c>
      <c r="AN220" s="18" t="s">
        <v>95</v>
      </c>
      <c r="AO220" s="18" t="s">
        <v>95</v>
      </c>
      <c r="AP220" s="18" t="s">
        <v>95</v>
      </c>
      <c r="AQ220" s="18" t="s">
        <v>95</v>
      </c>
      <c r="AR220" s="18" t="s">
        <v>95</v>
      </c>
      <c r="AS220" s="18" t="s">
        <v>83</v>
      </c>
      <c r="AT220" s="18" t="s">
        <v>83</v>
      </c>
      <c r="AU220" s="18" t="s">
        <v>81</v>
      </c>
      <c r="AV220" s="18" t="s">
        <v>95</v>
      </c>
      <c r="AW220" s="18" t="s">
        <v>95</v>
      </c>
      <c r="AX220" s="18"/>
      <c r="AY220" s="18" t="str">
        <f>Pospago[[#This Row],[NUM_TELEFONICO]]&amp;"POSPAGOSI"</f>
        <v>983080287POSPAGOSI</v>
      </c>
      <c r="AZ220" s="18" t="str">
        <f>VLOOKUP(Pospago[[#This Row],[NOM_PLAZA_FINAL]],[1]!Locales[#Data],3,0)</f>
        <v>TIENDA CONDADO</v>
      </c>
      <c r="BA220" s="18" t="str">
        <f>IFERROR(VLOOKUP(Pospago[[#This Row],[USUARIO]],[1]!Personal[#Data],6,0),"EJECUTIVO NO REGISTRADO")</f>
        <v>PADILLA MALDONADO HENRY LEOPOLDO</v>
      </c>
      <c r="BB220" s="18" t="str">
        <f>Pospago[[#This Row],[TIPO_MOVIMIENTO]]&amp;" "&amp;Pospago[[#This Row],[FORMA_PAGO_FINAL]]</f>
        <v>ALTAS DOMICILIADO</v>
      </c>
      <c r="BC220" s="18">
        <f>DAY(Pospago[[#This Row],[FECHA_ALTA]])</f>
        <v>7</v>
      </c>
      <c r="BD220" s="18">
        <f>IF(Pospago[[#This Row],[TARIFA_BASICA]]=11.42,1,0)</f>
        <v>0</v>
      </c>
      <c r="BE220" s="18">
        <f>IF(Pospago[[#This Row],[PLANES TELEVENTAS]]="SI",1,0)</f>
        <v>0</v>
      </c>
      <c r="BF220" s="18">
        <f>1</f>
        <v>1</v>
      </c>
      <c r="BG220" s="18">
        <f>IF(OR(Pospago[[#This Row],[TARIFA_BASICA]]=11.42,Pospago[[#This Row],[PLANES TELEVENTAS]]="SI"),1,0)</f>
        <v>0</v>
      </c>
      <c r="BH220" s="18" t="str">
        <f>IF(MID(Pospago[[#This Row],[PlanDesc]],1,4) = "PLAN","POSPAGO",IF(MID(Pospago[[#This Row],[PlanDesc]],1,4)="FULL","FULL MEGAS","PREVIOPAGO"))</f>
        <v>PREVIOPAGO</v>
      </c>
      <c r="BI2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2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20" s="21">
        <f>Pospago[[#This Row],[TARIFA_BASICA]]*1.5</f>
        <v>26.775000000000002</v>
      </c>
    </row>
    <row r="221" spans="1:63" x14ac:dyDescent="0.25">
      <c r="A221" s="18" t="s">
        <v>64</v>
      </c>
      <c r="B221" s="18" t="s">
        <v>1617</v>
      </c>
      <c r="C221" s="18" t="s">
        <v>1618</v>
      </c>
      <c r="D221" s="19">
        <v>44902</v>
      </c>
      <c r="E221" s="18" t="s">
        <v>67</v>
      </c>
      <c r="F221" s="18" t="s">
        <v>1619</v>
      </c>
      <c r="G221" s="18" t="s">
        <v>1620</v>
      </c>
      <c r="H221" s="18" t="s">
        <v>193</v>
      </c>
      <c r="I221" s="18" t="s">
        <v>194</v>
      </c>
      <c r="J221" s="18" t="s">
        <v>195</v>
      </c>
      <c r="K221" s="18" t="s">
        <v>259</v>
      </c>
      <c r="L221" s="20" t="s">
        <v>1621</v>
      </c>
      <c r="M221" s="18" t="s">
        <v>75</v>
      </c>
      <c r="N221" s="20" t="s">
        <v>1622</v>
      </c>
      <c r="O221" s="18" t="s">
        <v>77</v>
      </c>
      <c r="P221" s="18" t="s">
        <v>78</v>
      </c>
      <c r="Q221" s="19">
        <v>44914</v>
      </c>
      <c r="R221" s="21">
        <v>14.28</v>
      </c>
      <c r="S221" s="18" t="s">
        <v>79</v>
      </c>
      <c r="T221" s="18" t="s">
        <v>174</v>
      </c>
      <c r="U221" s="18" t="s">
        <v>83</v>
      </c>
      <c r="V221" s="18" t="s">
        <v>95</v>
      </c>
      <c r="W221" s="18" t="s">
        <v>83</v>
      </c>
      <c r="X221" s="18" t="s">
        <v>84</v>
      </c>
      <c r="Y221" s="18" t="s">
        <v>85</v>
      </c>
      <c r="Z221" s="18" t="s">
        <v>86</v>
      </c>
      <c r="AA221" s="18" t="s">
        <v>87</v>
      </c>
      <c r="AB221" s="18" t="s">
        <v>822</v>
      </c>
      <c r="AC221" s="18" t="s">
        <v>823</v>
      </c>
      <c r="AD221" s="18" t="s">
        <v>85</v>
      </c>
      <c r="AE221" s="18" t="s">
        <v>90</v>
      </c>
      <c r="AF221" s="18" t="s">
        <v>177</v>
      </c>
      <c r="AG221" s="18" t="s">
        <v>139</v>
      </c>
      <c r="AH221" s="18" t="s">
        <v>93</v>
      </c>
      <c r="AI221" s="18" t="s">
        <v>94</v>
      </c>
      <c r="AJ221" s="19">
        <v>44902</v>
      </c>
      <c r="AK221" s="22" t="s">
        <v>95</v>
      </c>
      <c r="AL221" s="18" t="s">
        <v>95</v>
      </c>
      <c r="AM221" s="18" t="s">
        <v>95</v>
      </c>
      <c r="AN221" s="18" t="s">
        <v>95</v>
      </c>
      <c r="AO221" s="18" t="s">
        <v>95</v>
      </c>
      <c r="AP221" s="18" t="s">
        <v>95</v>
      </c>
      <c r="AQ221" s="18" t="s">
        <v>95</v>
      </c>
      <c r="AR221" s="18" t="s">
        <v>95</v>
      </c>
      <c r="AS221" s="18" t="s">
        <v>83</v>
      </c>
      <c r="AT221" s="18" t="s">
        <v>81</v>
      </c>
      <c r="AU221" s="18" t="s">
        <v>81</v>
      </c>
      <c r="AV221" s="18" t="s">
        <v>95</v>
      </c>
      <c r="AW221" s="18" t="s">
        <v>95</v>
      </c>
      <c r="AX221" s="18"/>
      <c r="AY221" s="18" t="str">
        <f>Pospago[[#This Row],[NUM_TELEFONICO]]&amp;"POSPAGOSI"</f>
        <v>983082931POSPAGOSI</v>
      </c>
      <c r="AZ221" s="18" t="str">
        <f>VLOOKUP(Pospago[[#This Row],[NOM_PLAZA_FINAL]],[1]!Locales[#Data],3,0)</f>
        <v>TIENDA RECREO</v>
      </c>
      <c r="BA221" s="18" t="str">
        <f>IFERROR(VLOOKUP(Pospago[[#This Row],[USUARIO]],[1]!Personal[#Data],6,0),"EJECUTIVO NO REGISTRADO")</f>
        <v>SALAS PARRA MARIA JOSE</v>
      </c>
      <c r="BB221" s="18" t="str">
        <f>Pospago[[#This Row],[TIPO_MOVIMIENTO]]&amp;" "&amp;Pospago[[#This Row],[FORMA_PAGO_FINAL]]</f>
        <v>ALTAS DOMICILIADO</v>
      </c>
      <c r="BC221" s="18">
        <f>DAY(Pospago[[#This Row],[FECHA_ALTA]])</f>
        <v>7</v>
      </c>
      <c r="BD221" s="18">
        <f>IF(Pospago[[#This Row],[TARIFA_BASICA]]=11.42,1,0)</f>
        <v>0</v>
      </c>
      <c r="BE221" s="18">
        <f>IF(Pospago[[#This Row],[PLANES TELEVENTAS]]="SI",1,0)</f>
        <v>1</v>
      </c>
      <c r="BF221" s="18">
        <f>1</f>
        <v>1</v>
      </c>
      <c r="BG221" s="18">
        <f>IF(OR(Pospago[[#This Row],[TARIFA_BASICA]]=11.42,Pospago[[#This Row],[PLANES TELEVENTAS]]="SI"),1,0)</f>
        <v>1</v>
      </c>
      <c r="BH221" s="18" t="str">
        <f>IF(MID(Pospago[[#This Row],[PlanDesc]],1,4) = "PLAN","POSPAGO",IF(MID(Pospago[[#This Row],[PlanDesc]],1,4)="FULL","FULL MEGAS","PREVIOPAGO"))</f>
        <v>PREVIOPAGO</v>
      </c>
      <c r="BI2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21" s="21">
        <f>Pospago[[#This Row],[TARIFA_BASICA]]*1.5</f>
        <v>21.419999999999998</v>
      </c>
    </row>
    <row r="222" spans="1:63" x14ac:dyDescent="0.25">
      <c r="A222" s="18" t="s">
        <v>154</v>
      </c>
      <c r="B222" s="18" t="s">
        <v>1623</v>
      </c>
      <c r="C222" s="18" t="s">
        <v>1624</v>
      </c>
      <c r="D222" s="19">
        <v>44912</v>
      </c>
      <c r="E222" s="18" t="s">
        <v>67</v>
      </c>
      <c r="F222" s="18" t="s">
        <v>1625</v>
      </c>
      <c r="G222" s="18" t="s">
        <v>1626</v>
      </c>
      <c r="H222" s="18" t="s">
        <v>159</v>
      </c>
      <c r="I222" s="18" t="s">
        <v>160</v>
      </c>
      <c r="J222" s="18" t="s">
        <v>161</v>
      </c>
      <c r="K222" s="18" t="s">
        <v>349</v>
      </c>
      <c r="L222" s="20" t="s">
        <v>1627</v>
      </c>
      <c r="M222" s="18" t="s">
        <v>75</v>
      </c>
      <c r="N222" s="20" t="s">
        <v>1628</v>
      </c>
      <c r="O222" s="18" t="s">
        <v>164</v>
      </c>
      <c r="P222" s="18" t="s">
        <v>78</v>
      </c>
      <c r="Q222" s="19">
        <v>44914</v>
      </c>
      <c r="R222" s="21">
        <v>14.28</v>
      </c>
      <c r="S222" s="18" t="s">
        <v>79</v>
      </c>
      <c r="T222" s="18" t="s">
        <v>232</v>
      </c>
      <c r="U222" s="18" t="s">
        <v>83</v>
      </c>
      <c r="V222" s="18" t="s">
        <v>95</v>
      </c>
      <c r="W222" s="18" t="s">
        <v>95</v>
      </c>
      <c r="X222" s="18" t="s">
        <v>84</v>
      </c>
      <c r="Y222" s="18" t="s">
        <v>85</v>
      </c>
      <c r="Z222" s="18" t="s">
        <v>86</v>
      </c>
      <c r="AA222" s="18" t="s">
        <v>87</v>
      </c>
      <c r="AB222" s="18" t="s">
        <v>769</v>
      </c>
      <c r="AC222" s="18" t="s">
        <v>770</v>
      </c>
      <c r="AD222" s="18" t="s">
        <v>85</v>
      </c>
      <c r="AE222" s="18" t="s">
        <v>90</v>
      </c>
      <c r="AF222" s="18" t="s">
        <v>235</v>
      </c>
      <c r="AG222" s="18" t="s">
        <v>139</v>
      </c>
      <c r="AH222" s="18" t="s">
        <v>165</v>
      </c>
      <c r="AI222" s="18" t="s">
        <v>94</v>
      </c>
      <c r="AJ222" s="19">
        <v>44912</v>
      </c>
      <c r="AK222" s="22" t="s">
        <v>95</v>
      </c>
      <c r="AL222" s="18" t="s">
        <v>95</v>
      </c>
      <c r="AM222" s="18" t="s">
        <v>95</v>
      </c>
      <c r="AN222" s="18" t="s">
        <v>95</v>
      </c>
      <c r="AO222" s="18" t="s">
        <v>95</v>
      </c>
      <c r="AP222" s="18" t="s">
        <v>95</v>
      </c>
      <c r="AQ222" s="18" t="s">
        <v>95</v>
      </c>
      <c r="AR222" s="18" t="s">
        <v>95</v>
      </c>
      <c r="AS222" s="18" t="s">
        <v>83</v>
      </c>
      <c r="AT222" s="18" t="s">
        <v>83</v>
      </c>
      <c r="AU222" s="18" t="s">
        <v>81</v>
      </c>
      <c r="AV222" s="18" t="s">
        <v>95</v>
      </c>
      <c r="AW222" s="18" t="s">
        <v>95</v>
      </c>
      <c r="AX222" s="18"/>
      <c r="AY222" s="18" t="str">
        <f>Pospago[[#This Row],[NUM_TELEFONICO]]&amp;"POSPAGOSI"</f>
        <v>983090215POSPAGOSI</v>
      </c>
      <c r="AZ222" s="18" t="str">
        <f>VLOOKUP(Pospago[[#This Row],[NOM_PLAZA_FINAL]],[1]!Locales[#Data],3,0)</f>
        <v>TIENDA CONDADO</v>
      </c>
      <c r="BA222" s="18" t="str">
        <f>IFERROR(VLOOKUP(Pospago[[#This Row],[USUARIO]],[1]!Personal[#Data],6,0),"EJECUTIVO NO REGISTRADO")</f>
        <v>ROJAS VEGA JHOSMERY MICHELE</v>
      </c>
      <c r="BB222" s="18" t="str">
        <f>Pospago[[#This Row],[TIPO_MOVIMIENTO]]&amp;" "&amp;Pospago[[#This Row],[FORMA_PAGO_FINAL]]</f>
        <v>TRANSFERENCIAS DOMICILIADO</v>
      </c>
      <c r="BC222" s="18">
        <f>DAY(Pospago[[#This Row],[FECHA_ALTA]])</f>
        <v>17</v>
      </c>
      <c r="BD222" s="18">
        <f>IF(Pospago[[#This Row],[TARIFA_BASICA]]=11.42,1,0)</f>
        <v>0</v>
      </c>
      <c r="BE222" s="18">
        <f>IF(Pospago[[#This Row],[PLANES TELEVENTAS]]="SI",1,0)</f>
        <v>0</v>
      </c>
      <c r="BF222" s="18">
        <f>1</f>
        <v>1</v>
      </c>
      <c r="BG222" s="18">
        <f>IF(OR(Pospago[[#This Row],[TARIFA_BASICA]]=11.42,Pospago[[#This Row],[PLANES TELEVENTAS]]="SI"),1,0)</f>
        <v>0</v>
      </c>
      <c r="BH222" s="18" t="str">
        <f>IF(MID(Pospago[[#This Row],[PlanDesc]],1,4) = "PLAN","POSPAGO",IF(MID(Pospago[[#This Row],[PlanDesc]],1,4)="FULL","FULL MEGAS","PREVIOPAGO"))</f>
        <v>PREVIOPAGO</v>
      </c>
      <c r="BI2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22" s="21">
        <f>Pospago[[#This Row],[TARIFA_BASICA]]*1.5</f>
        <v>21.419999999999998</v>
      </c>
    </row>
    <row r="223" spans="1:63" x14ac:dyDescent="0.25">
      <c r="A223" s="18" t="s">
        <v>154</v>
      </c>
      <c r="B223" s="18" t="s">
        <v>1629</v>
      </c>
      <c r="C223" s="18" t="s">
        <v>1630</v>
      </c>
      <c r="D223" s="19">
        <v>44904</v>
      </c>
      <c r="E223" s="18" t="s">
        <v>67</v>
      </c>
      <c r="F223" s="18" t="s">
        <v>1631</v>
      </c>
      <c r="G223" s="18" t="s">
        <v>1632</v>
      </c>
      <c r="H223" s="18" t="s">
        <v>159</v>
      </c>
      <c r="I223" s="18" t="s">
        <v>160</v>
      </c>
      <c r="J223" s="18" t="s">
        <v>161</v>
      </c>
      <c r="K223" s="18" t="s">
        <v>73</v>
      </c>
      <c r="L223" s="20" t="s">
        <v>1633</v>
      </c>
      <c r="M223" s="18" t="s">
        <v>75</v>
      </c>
      <c r="N223" s="20" t="s">
        <v>1634</v>
      </c>
      <c r="O223" s="18" t="s">
        <v>164</v>
      </c>
      <c r="P223" s="18" t="s">
        <v>78</v>
      </c>
      <c r="Q223" s="19">
        <v>44914</v>
      </c>
      <c r="R223" s="21">
        <v>14.28</v>
      </c>
      <c r="S223" s="18" t="s">
        <v>79</v>
      </c>
      <c r="T223" s="18" t="s">
        <v>80</v>
      </c>
      <c r="U223" s="18" t="s">
        <v>83</v>
      </c>
      <c r="V223" s="18" t="s">
        <v>95</v>
      </c>
      <c r="W223" s="18" t="s">
        <v>95</v>
      </c>
      <c r="X223" s="18" t="s">
        <v>84</v>
      </c>
      <c r="Y223" s="18" t="s">
        <v>85</v>
      </c>
      <c r="Z223" s="18" t="s">
        <v>86</v>
      </c>
      <c r="AA223" s="18" t="s">
        <v>87</v>
      </c>
      <c r="AB223" s="18" t="s">
        <v>1020</v>
      </c>
      <c r="AC223" s="18" t="s">
        <v>1021</v>
      </c>
      <c r="AD223" s="18" t="s">
        <v>85</v>
      </c>
      <c r="AE223" s="18" t="s">
        <v>90</v>
      </c>
      <c r="AF223" s="18" t="s">
        <v>91</v>
      </c>
      <c r="AG223" s="18" t="s">
        <v>92</v>
      </c>
      <c r="AH223" s="18" t="s">
        <v>165</v>
      </c>
      <c r="AI223" s="18" t="s">
        <v>94</v>
      </c>
      <c r="AJ223" s="19">
        <v>44904</v>
      </c>
      <c r="AK223" s="22" t="s">
        <v>95</v>
      </c>
      <c r="AL223" s="18" t="s">
        <v>95</v>
      </c>
      <c r="AM223" s="18" t="s">
        <v>95</v>
      </c>
      <c r="AN223" s="18" t="s">
        <v>95</v>
      </c>
      <c r="AO223" s="18" t="s">
        <v>95</v>
      </c>
      <c r="AP223" s="18" t="s">
        <v>95</v>
      </c>
      <c r="AQ223" s="18" t="s">
        <v>95</v>
      </c>
      <c r="AR223" s="18" t="s">
        <v>95</v>
      </c>
      <c r="AS223" s="18" t="s">
        <v>83</v>
      </c>
      <c r="AT223" s="18" t="s">
        <v>83</v>
      </c>
      <c r="AU223" s="18" t="s">
        <v>81</v>
      </c>
      <c r="AV223" s="18" t="s">
        <v>95</v>
      </c>
      <c r="AW223" s="18" t="s">
        <v>95</v>
      </c>
      <c r="AX223" s="18"/>
      <c r="AY223" s="18" t="str">
        <f>Pospago[[#This Row],[NUM_TELEFONICO]]&amp;"POSPAGOSI"</f>
        <v>983118424POSPAGOSI</v>
      </c>
      <c r="AZ223" s="18" t="str">
        <f>VLOOKUP(Pospago[[#This Row],[NOM_PLAZA_FINAL]],[1]!Locales[#Data],3,0)</f>
        <v>TIENDA CUENCA CENTRO</v>
      </c>
      <c r="BA223" s="18" t="str">
        <f>IFERROR(VLOOKUP(Pospago[[#This Row],[USUARIO]],[1]!Personal[#Data],6,0),"EJECUTIVO NO REGISTRADO")</f>
        <v>GONZALES ALVARRACIN PAOLA YESSENIA</v>
      </c>
      <c r="BB223" s="18" t="str">
        <f>Pospago[[#This Row],[TIPO_MOVIMIENTO]]&amp;" "&amp;Pospago[[#This Row],[FORMA_PAGO_FINAL]]</f>
        <v>TRANSFERENCIAS DOMICILIADO</v>
      </c>
      <c r="BC223" s="18">
        <f>DAY(Pospago[[#This Row],[FECHA_ALTA]])</f>
        <v>9</v>
      </c>
      <c r="BD223" s="18">
        <f>IF(Pospago[[#This Row],[TARIFA_BASICA]]=11.42,1,0)</f>
        <v>0</v>
      </c>
      <c r="BE223" s="18">
        <f>IF(Pospago[[#This Row],[PLANES TELEVENTAS]]="SI",1,0)</f>
        <v>0</v>
      </c>
      <c r="BF223" s="18">
        <f>1</f>
        <v>1</v>
      </c>
      <c r="BG223" s="18">
        <f>IF(OR(Pospago[[#This Row],[TARIFA_BASICA]]=11.42,Pospago[[#This Row],[PLANES TELEVENTAS]]="SI"),1,0)</f>
        <v>0</v>
      </c>
      <c r="BH223" s="18" t="str">
        <f>IF(MID(Pospago[[#This Row],[PlanDesc]],1,4) = "PLAN","POSPAGO",IF(MID(Pospago[[#This Row],[PlanDesc]],1,4)="FULL","FULL MEGAS","PREVIOPAGO"))</f>
        <v>PREVIOPAGO</v>
      </c>
      <c r="BI2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23" s="21">
        <f>Pospago[[#This Row],[TARIFA_BASICA]]*1.5</f>
        <v>21.419999999999998</v>
      </c>
    </row>
    <row r="224" spans="1:63" x14ac:dyDescent="0.25">
      <c r="A224" s="18" t="s">
        <v>154</v>
      </c>
      <c r="B224" s="18" t="s">
        <v>1635</v>
      </c>
      <c r="C224" s="18" t="s">
        <v>1636</v>
      </c>
      <c r="D224" s="19">
        <v>44905</v>
      </c>
      <c r="E224" s="18" t="s">
        <v>67</v>
      </c>
      <c r="F224" s="18" t="s">
        <v>1637</v>
      </c>
      <c r="G224" s="18" t="s">
        <v>1638</v>
      </c>
      <c r="H224" s="18" t="s">
        <v>159</v>
      </c>
      <c r="I224" s="18" t="s">
        <v>160</v>
      </c>
      <c r="J224" s="18" t="s">
        <v>161</v>
      </c>
      <c r="K224" s="18" t="s">
        <v>73</v>
      </c>
      <c r="L224" s="20" t="s">
        <v>1639</v>
      </c>
      <c r="M224" s="18" t="s">
        <v>75</v>
      </c>
      <c r="N224" s="20" t="s">
        <v>1640</v>
      </c>
      <c r="O224" s="18" t="s">
        <v>164</v>
      </c>
      <c r="P224" s="18" t="s">
        <v>78</v>
      </c>
      <c r="Q224" s="19">
        <v>44914</v>
      </c>
      <c r="R224" s="21">
        <v>14.28</v>
      </c>
      <c r="S224" s="18" t="s">
        <v>79</v>
      </c>
      <c r="T224" s="18" t="s">
        <v>174</v>
      </c>
      <c r="U224" s="18" t="s">
        <v>83</v>
      </c>
      <c r="V224" s="18" t="s">
        <v>95</v>
      </c>
      <c r="W224" s="18" t="s">
        <v>95</v>
      </c>
      <c r="X224" s="18" t="s">
        <v>84</v>
      </c>
      <c r="Y224" s="18" t="s">
        <v>85</v>
      </c>
      <c r="Z224" s="18" t="s">
        <v>86</v>
      </c>
      <c r="AA224" s="18" t="s">
        <v>87</v>
      </c>
      <c r="AB224" s="18" t="s">
        <v>303</v>
      </c>
      <c r="AC224" s="18" t="s">
        <v>304</v>
      </c>
      <c r="AD224" s="18" t="s">
        <v>85</v>
      </c>
      <c r="AE224" s="18" t="s">
        <v>90</v>
      </c>
      <c r="AF224" s="18" t="s">
        <v>177</v>
      </c>
      <c r="AG224" s="18" t="s">
        <v>139</v>
      </c>
      <c r="AH224" s="18" t="s">
        <v>165</v>
      </c>
      <c r="AI224" s="18" t="s">
        <v>94</v>
      </c>
      <c r="AJ224" s="19">
        <v>44905</v>
      </c>
      <c r="AK224" s="22" t="s">
        <v>95</v>
      </c>
      <c r="AL224" s="18" t="s">
        <v>95</v>
      </c>
      <c r="AM224" s="18" t="s">
        <v>95</v>
      </c>
      <c r="AN224" s="18" t="s">
        <v>95</v>
      </c>
      <c r="AO224" s="18" t="s">
        <v>95</v>
      </c>
      <c r="AP224" s="18" t="s">
        <v>95</v>
      </c>
      <c r="AQ224" s="18" t="s">
        <v>95</v>
      </c>
      <c r="AR224" s="18" t="s">
        <v>95</v>
      </c>
      <c r="AS224" s="18" t="s">
        <v>83</v>
      </c>
      <c r="AT224" s="18" t="s">
        <v>83</v>
      </c>
      <c r="AU224" s="18" t="s">
        <v>81</v>
      </c>
      <c r="AV224" s="18" t="s">
        <v>95</v>
      </c>
      <c r="AW224" s="18" t="s">
        <v>95</v>
      </c>
      <c r="AX224" s="18"/>
      <c r="AY224" s="18" t="str">
        <f>Pospago[[#This Row],[NUM_TELEFONICO]]&amp;"POSPAGOSI"</f>
        <v>983120536POSPAGOSI</v>
      </c>
      <c r="AZ224" s="18" t="str">
        <f>VLOOKUP(Pospago[[#This Row],[NOM_PLAZA_FINAL]],[1]!Locales[#Data],3,0)</f>
        <v>TIENDA RECREO</v>
      </c>
      <c r="BA224" s="18" t="str">
        <f>IFERROR(VLOOKUP(Pospago[[#This Row],[USUARIO]],[1]!Personal[#Data],6,0),"EJECUTIVO NO REGISTRADO")</f>
        <v>CORDOVA GAIBOR JONATHAN HERNAN</v>
      </c>
      <c r="BB224" s="18" t="str">
        <f>Pospago[[#This Row],[TIPO_MOVIMIENTO]]&amp;" "&amp;Pospago[[#This Row],[FORMA_PAGO_FINAL]]</f>
        <v>TRANSFERENCIAS DOMICILIADO</v>
      </c>
      <c r="BC224" s="18">
        <f>DAY(Pospago[[#This Row],[FECHA_ALTA]])</f>
        <v>10</v>
      </c>
      <c r="BD224" s="18">
        <f>IF(Pospago[[#This Row],[TARIFA_BASICA]]=11.42,1,0)</f>
        <v>0</v>
      </c>
      <c r="BE224" s="18">
        <f>IF(Pospago[[#This Row],[PLANES TELEVENTAS]]="SI",1,0)</f>
        <v>0</v>
      </c>
      <c r="BF224" s="18">
        <f>1</f>
        <v>1</v>
      </c>
      <c r="BG224" s="18">
        <f>IF(OR(Pospago[[#This Row],[TARIFA_BASICA]]=11.42,Pospago[[#This Row],[PLANES TELEVENTAS]]="SI"),1,0)</f>
        <v>0</v>
      </c>
      <c r="BH224" s="18" t="str">
        <f>IF(MID(Pospago[[#This Row],[PlanDesc]],1,4) = "PLAN","POSPAGO",IF(MID(Pospago[[#This Row],[PlanDesc]],1,4)="FULL","FULL MEGAS","PREVIOPAGO"))</f>
        <v>PREVIOPAGO</v>
      </c>
      <c r="BI2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24" s="21">
        <f>Pospago[[#This Row],[TARIFA_BASICA]]*1.5</f>
        <v>21.419999999999998</v>
      </c>
    </row>
    <row r="225" spans="1:63" x14ac:dyDescent="0.25">
      <c r="A225" s="18" t="s">
        <v>64</v>
      </c>
      <c r="B225" s="18" t="s">
        <v>1641</v>
      </c>
      <c r="C225" s="18" t="s">
        <v>1642</v>
      </c>
      <c r="D225" s="19">
        <v>44897</v>
      </c>
      <c r="E225" s="18" t="s">
        <v>67</v>
      </c>
      <c r="F225" s="18" t="s">
        <v>1643</v>
      </c>
      <c r="G225" s="18" t="s">
        <v>1644</v>
      </c>
      <c r="H225" s="18" t="s">
        <v>70</v>
      </c>
      <c r="I225" s="18" t="s">
        <v>71</v>
      </c>
      <c r="J225" s="18" t="s">
        <v>72</v>
      </c>
      <c r="K225" s="18" t="s">
        <v>73</v>
      </c>
      <c r="L225" s="20" t="s">
        <v>1645</v>
      </c>
      <c r="M225" s="18" t="s">
        <v>75</v>
      </c>
      <c r="N225" s="20" t="s">
        <v>1646</v>
      </c>
      <c r="O225" s="18" t="s">
        <v>77</v>
      </c>
      <c r="P225" s="18" t="s">
        <v>78</v>
      </c>
      <c r="Q225" s="19">
        <v>44914</v>
      </c>
      <c r="R225" s="21">
        <v>11.42</v>
      </c>
      <c r="S225" s="18" t="s">
        <v>79</v>
      </c>
      <c r="T225" s="18" t="s">
        <v>174</v>
      </c>
      <c r="U225" s="18" t="s">
        <v>83</v>
      </c>
      <c r="V225" s="18" t="s">
        <v>95</v>
      </c>
      <c r="W225" s="18" t="s">
        <v>83</v>
      </c>
      <c r="X225" s="18" t="s">
        <v>84</v>
      </c>
      <c r="Y225" s="18" t="s">
        <v>85</v>
      </c>
      <c r="Z225" s="18" t="s">
        <v>86</v>
      </c>
      <c r="AA225" s="18" t="s">
        <v>87</v>
      </c>
      <c r="AB225" s="18" t="s">
        <v>262</v>
      </c>
      <c r="AC225" s="18" t="s">
        <v>263</v>
      </c>
      <c r="AD225" s="18" t="s">
        <v>85</v>
      </c>
      <c r="AE225" s="18" t="s">
        <v>90</v>
      </c>
      <c r="AF225" s="18" t="s">
        <v>177</v>
      </c>
      <c r="AG225" s="18" t="s">
        <v>139</v>
      </c>
      <c r="AH225" s="18" t="s">
        <v>93</v>
      </c>
      <c r="AI225" s="18" t="s">
        <v>94</v>
      </c>
      <c r="AJ225" s="19">
        <v>44897</v>
      </c>
      <c r="AK225" s="22" t="s">
        <v>95</v>
      </c>
      <c r="AL225" s="18" t="s">
        <v>95</v>
      </c>
      <c r="AM225" s="18" t="s">
        <v>95</v>
      </c>
      <c r="AN225" s="18" t="s">
        <v>95</v>
      </c>
      <c r="AO225" s="18" t="s">
        <v>95</v>
      </c>
      <c r="AP225" s="18" t="s">
        <v>95</v>
      </c>
      <c r="AQ225" s="18" t="s">
        <v>95</v>
      </c>
      <c r="AR225" s="18" t="s">
        <v>95</v>
      </c>
      <c r="AS225" s="18" t="s">
        <v>83</v>
      </c>
      <c r="AT225" s="18" t="s">
        <v>83</v>
      </c>
      <c r="AU225" s="18" t="s">
        <v>81</v>
      </c>
      <c r="AV225" s="18" t="s">
        <v>95</v>
      </c>
      <c r="AW225" s="18" t="s">
        <v>95</v>
      </c>
      <c r="AX225" s="18"/>
      <c r="AY225" s="18" t="str">
        <f>Pospago[[#This Row],[NUM_TELEFONICO]]&amp;"POSPAGOSI"</f>
        <v>983135940POSPAGOSI</v>
      </c>
      <c r="AZ225" s="18" t="str">
        <f>VLOOKUP(Pospago[[#This Row],[NOM_PLAZA_FINAL]],[1]!Locales[#Data],3,0)</f>
        <v>TIENDA RECREO</v>
      </c>
      <c r="BA225" s="18" t="str">
        <f>IFERROR(VLOOKUP(Pospago[[#This Row],[USUARIO]],[1]!Personal[#Data],6,0),"EJECUTIVO NO REGISTRADO")</f>
        <v>CHICAIZA TOAPANTA ALEX DANILO</v>
      </c>
      <c r="BB225" s="18" t="str">
        <f>Pospago[[#This Row],[TIPO_MOVIMIENTO]]&amp;" "&amp;Pospago[[#This Row],[FORMA_PAGO_FINAL]]</f>
        <v>ALTAS DOMICILIADO</v>
      </c>
      <c r="BC225" s="18">
        <f>DAY(Pospago[[#This Row],[FECHA_ALTA]])</f>
        <v>2</v>
      </c>
      <c r="BD225" s="18">
        <f>IF(Pospago[[#This Row],[TARIFA_BASICA]]=11.42,1,0)</f>
        <v>1</v>
      </c>
      <c r="BE225" s="18">
        <f>IF(Pospago[[#This Row],[PLANES TELEVENTAS]]="SI",1,0)</f>
        <v>0</v>
      </c>
      <c r="BF225" s="18">
        <f>1</f>
        <v>1</v>
      </c>
      <c r="BG225" s="18">
        <f>IF(OR(Pospago[[#This Row],[TARIFA_BASICA]]=11.42,Pospago[[#This Row],[PLANES TELEVENTAS]]="SI"),1,0)</f>
        <v>1</v>
      </c>
      <c r="BH225" s="18" t="str">
        <f>IF(MID(Pospago[[#This Row],[PlanDesc]],1,4) = "PLAN","POSPAGO",IF(MID(Pospago[[#This Row],[PlanDesc]],1,4)="FULL","FULL MEGAS","PREVIOPAGO"))</f>
        <v>PREVIOPAGO</v>
      </c>
      <c r="BI2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2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25" s="21">
        <f>Pospago[[#This Row],[TARIFA_BASICA]]*1.5</f>
        <v>17.13</v>
      </c>
    </row>
    <row r="226" spans="1:63" x14ac:dyDescent="0.25">
      <c r="A226" s="18" t="s">
        <v>64</v>
      </c>
      <c r="B226" s="18" t="s">
        <v>1647</v>
      </c>
      <c r="C226" s="18" t="s">
        <v>545</v>
      </c>
      <c r="D226" s="19">
        <v>44901</v>
      </c>
      <c r="E226" s="18" t="s">
        <v>67</v>
      </c>
      <c r="F226" s="18" t="s">
        <v>546</v>
      </c>
      <c r="G226" s="18" t="s">
        <v>547</v>
      </c>
      <c r="H226" s="18" t="s">
        <v>70</v>
      </c>
      <c r="I226" s="18" t="s">
        <v>160</v>
      </c>
      <c r="J226" s="18" t="s">
        <v>195</v>
      </c>
      <c r="K226" s="18" t="s">
        <v>132</v>
      </c>
      <c r="L226" s="20" t="s">
        <v>1648</v>
      </c>
      <c r="M226" s="18" t="s">
        <v>75</v>
      </c>
      <c r="N226" s="20" t="s">
        <v>1649</v>
      </c>
      <c r="O226" s="18" t="s">
        <v>77</v>
      </c>
      <c r="P226" s="18" t="s">
        <v>78</v>
      </c>
      <c r="Q226" s="19">
        <v>44914</v>
      </c>
      <c r="R226" s="21">
        <v>14.28</v>
      </c>
      <c r="S226" s="18" t="s">
        <v>79</v>
      </c>
      <c r="T226" s="18" t="s">
        <v>174</v>
      </c>
      <c r="U226" s="18" t="s">
        <v>83</v>
      </c>
      <c r="V226" s="18" t="s">
        <v>95</v>
      </c>
      <c r="W226" s="18" t="s">
        <v>83</v>
      </c>
      <c r="X226" s="18" t="s">
        <v>118</v>
      </c>
      <c r="Y226" s="18" t="s">
        <v>85</v>
      </c>
      <c r="Z226" s="18" t="s">
        <v>86</v>
      </c>
      <c r="AA226" s="18" t="s">
        <v>119</v>
      </c>
      <c r="AB226" s="18" t="s">
        <v>369</v>
      </c>
      <c r="AC226" s="18" t="s">
        <v>370</v>
      </c>
      <c r="AD226" s="18" t="s">
        <v>85</v>
      </c>
      <c r="AE226" s="18" t="s">
        <v>90</v>
      </c>
      <c r="AF226" s="18" t="s">
        <v>177</v>
      </c>
      <c r="AG226" s="18" t="s">
        <v>139</v>
      </c>
      <c r="AH226" s="18" t="s">
        <v>93</v>
      </c>
      <c r="AI226" s="18" t="s">
        <v>94</v>
      </c>
      <c r="AJ226" s="19">
        <v>44901</v>
      </c>
      <c r="AK226" s="22" t="s">
        <v>95</v>
      </c>
      <c r="AL226" s="18" t="s">
        <v>95</v>
      </c>
      <c r="AM226" s="18" t="s">
        <v>95</v>
      </c>
      <c r="AN226" s="18" t="s">
        <v>95</v>
      </c>
      <c r="AO226" s="18" t="s">
        <v>95</v>
      </c>
      <c r="AP226" s="18" t="s">
        <v>95</v>
      </c>
      <c r="AQ226" s="18" t="s">
        <v>95</v>
      </c>
      <c r="AR226" s="18" t="s">
        <v>95</v>
      </c>
      <c r="AS226" s="18" t="s">
        <v>83</v>
      </c>
      <c r="AT226" s="18" t="s">
        <v>83</v>
      </c>
      <c r="AU226" s="18" t="s">
        <v>81</v>
      </c>
      <c r="AV226" s="18" t="s">
        <v>95</v>
      </c>
      <c r="AW226" s="18" t="s">
        <v>95</v>
      </c>
      <c r="AX226" s="18"/>
      <c r="AY226" s="18" t="str">
        <f>Pospago[[#This Row],[NUM_TELEFONICO]]&amp;"POSPAGOSI"</f>
        <v>983137553POSPAGOSI</v>
      </c>
      <c r="AZ226" s="18" t="str">
        <f>VLOOKUP(Pospago[[#This Row],[NOM_PLAZA_FINAL]],[1]!Locales[#Data],3,0)</f>
        <v>TIENDA RECREO</v>
      </c>
      <c r="BA226" s="18" t="str">
        <f>IFERROR(VLOOKUP(Pospago[[#This Row],[USUARIO]],[1]!Personal[#Data],6,0),"EJECUTIVO NO REGISTRADO")</f>
        <v>GUAIGUA REINOSO GENESIS CAROLINA</v>
      </c>
      <c r="BB226" s="18" t="str">
        <f>Pospago[[#This Row],[TIPO_MOVIMIENTO]]&amp;" "&amp;Pospago[[#This Row],[FORMA_PAGO_FINAL]]</f>
        <v>ALTAS PAGO EN CAJA</v>
      </c>
      <c r="BC226" s="18">
        <f>DAY(Pospago[[#This Row],[FECHA_ALTA]])</f>
        <v>6</v>
      </c>
      <c r="BD226" s="18">
        <f>IF(Pospago[[#This Row],[TARIFA_BASICA]]=11.42,1,0)</f>
        <v>0</v>
      </c>
      <c r="BE226" s="18">
        <f>IF(Pospago[[#This Row],[PLANES TELEVENTAS]]="SI",1,0)</f>
        <v>0</v>
      </c>
      <c r="BF226" s="18">
        <f>1</f>
        <v>1</v>
      </c>
      <c r="BG226" s="18">
        <f>IF(OR(Pospago[[#This Row],[TARIFA_BASICA]]=11.42,Pospago[[#This Row],[PLANES TELEVENTAS]]="SI"),1,0)</f>
        <v>0</v>
      </c>
      <c r="BH226" s="18" t="str">
        <f>IF(MID(Pospago[[#This Row],[PlanDesc]],1,4) = "PLAN","POSPAGO",IF(MID(Pospago[[#This Row],[PlanDesc]],1,4)="FULL","FULL MEGAS","PREVIOPAGO"))</f>
        <v>PREVIOPAGO</v>
      </c>
      <c r="BI2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2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26" s="21">
        <f>Pospago[[#This Row],[TARIFA_BASICA]]*1.5</f>
        <v>21.419999999999998</v>
      </c>
    </row>
    <row r="227" spans="1:63" x14ac:dyDescent="0.25">
      <c r="A227" s="18" t="s">
        <v>154</v>
      </c>
      <c r="B227" s="18" t="s">
        <v>1650</v>
      </c>
      <c r="C227" s="18" t="s">
        <v>1651</v>
      </c>
      <c r="D227" s="19">
        <v>44903</v>
      </c>
      <c r="E227" s="18" t="s">
        <v>67</v>
      </c>
      <c r="F227" s="18" t="s">
        <v>1652</v>
      </c>
      <c r="G227" s="18" t="s">
        <v>1653</v>
      </c>
      <c r="H227" s="18" t="s">
        <v>159</v>
      </c>
      <c r="I227" s="18" t="s">
        <v>160</v>
      </c>
      <c r="J227" s="18" t="s">
        <v>161</v>
      </c>
      <c r="K227" s="18" t="s">
        <v>73</v>
      </c>
      <c r="L227" s="20" t="s">
        <v>1654</v>
      </c>
      <c r="M227" s="18" t="s">
        <v>75</v>
      </c>
      <c r="N227" s="20" t="s">
        <v>1655</v>
      </c>
      <c r="O227" s="18" t="s">
        <v>164</v>
      </c>
      <c r="P227" s="18" t="s">
        <v>78</v>
      </c>
      <c r="Q227" s="19">
        <v>44914</v>
      </c>
      <c r="R227" s="21">
        <v>14.28</v>
      </c>
      <c r="S227" s="18" t="s">
        <v>79</v>
      </c>
      <c r="T227" s="18" t="s">
        <v>174</v>
      </c>
      <c r="U227" s="18" t="s">
        <v>83</v>
      </c>
      <c r="V227" s="18" t="s">
        <v>95</v>
      </c>
      <c r="W227" s="18" t="s">
        <v>95</v>
      </c>
      <c r="X227" s="18" t="s">
        <v>118</v>
      </c>
      <c r="Y227" s="18" t="s">
        <v>85</v>
      </c>
      <c r="Z227" s="18" t="s">
        <v>86</v>
      </c>
      <c r="AA227" s="18" t="s">
        <v>119</v>
      </c>
      <c r="AB227" s="18" t="s">
        <v>175</v>
      </c>
      <c r="AC227" s="18" t="s">
        <v>176</v>
      </c>
      <c r="AD227" s="18" t="s">
        <v>85</v>
      </c>
      <c r="AE227" s="18" t="s">
        <v>90</v>
      </c>
      <c r="AF227" s="18" t="s">
        <v>177</v>
      </c>
      <c r="AG227" s="18" t="s">
        <v>139</v>
      </c>
      <c r="AH227" s="18" t="s">
        <v>165</v>
      </c>
      <c r="AI227" s="18" t="s">
        <v>94</v>
      </c>
      <c r="AJ227" s="19">
        <v>44903</v>
      </c>
      <c r="AK227" s="22" t="s">
        <v>95</v>
      </c>
      <c r="AL227" s="18" t="s">
        <v>95</v>
      </c>
      <c r="AM227" s="18" t="s">
        <v>95</v>
      </c>
      <c r="AN227" s="18" t="s">
        <v>95</v>
      </c>
      <c r="AO227" s="18" t="s">
        <v>95</v>
      </c>
      <c r="AP227" s="18" t="s">
        <v>95</v>
      </c>
      <c r="AQ227" s="18" t="s">
        <v>95</v>
      </c>
      <c r="AR227" s="18" t="s">
        <v>95</v>
      </c>
      <c r="AS227" s="18" t="s">
        <v>83</v>
      </c>
      <c r="AT227" s="18" t="s">
        <v>83</v>
      </c>
      <c r="AU227" s="18" t="s">
        <v>81</v>
      </c>
      <c r="AV227" s="18" t="s">
        <v>95</v>
      </c>
      <c r="AW227" s="18" t="s">
        <v>95</v>
      </c>
      <c r="AX227" s="18"/>
      <c r="AY227" s="18" t="str">
        <f>Pospago[[#This Row],[NUM_TELEFONICO]]&amp;"POSPAGOSI"</f>
        <v>983140744POSPAGOSI</v>
      </c>
      <c r="AZ227" s="18" t="str">
        <f>VLOOKUP(Pospago[[#This Row],[NOM_PLAZA_FINAL]],[1]!Locales[#Data],3,0)</f>
        <v>TIENDA RECREO</v>
      </c>
      <c r="BA227" s="18" t="str">
        <f>IFERROR(VLOOKUP(Pospago[[#This Row],[USUARIO]],[1]!Personal[#Data],6,0),"EJECUTIVO NO REGISTRADO")</f>
        <v>VARGAS REYES LUIS EDUARDO</v>
      </c>
      <c r="BB227" s="18" t="str">
        <f>Pospago[[#This Row],[TIPO_MOVIMIENTO]]&amp;" "&amp;Pospago[[#This Row],[FORMA_PAGO_FINAL]]</f>
        <v>TRANSFERENCIAS PAGO EN CAJA</v>
      </c>
      <c r="BC227" s="18">
        <f>DAY(Pospago[[#This Row],[FECHA_ALTA]])</f>
        <v>8</v>
      </c>
      <c r="BD227" s="18">
        <f>IF(Pospago[[#This Row],[TARIFA_BASICA]]=11.42,1,0)</f>
        <v>0</v>
      </c>
      <c r="BE227" s="18">
        <f>IF(Pospago[[#This Row],[PLANES TELEVENTAS]]="SI",1,0)</f>
        <v>0</v>
      </c>
      <c r="BF227" s="18">
        <f>1</f>
        <v>1</v>
      </c>
      <c r="BG227" s="18">
        <f>IF(OR(Pospago[[#This Row],[TARIFA_BASICA]]=11.42,Pospago[[#This Row],[PLANES TELEVENTAS]]="SI"),1,0)</f>
        <v>0</v>
      </c>
      <c r="BH227" s="18" t="str">
        <f>IF(MID(Pospago[[#This Row],[PlanDesc]],1,4) = "PLAN","POSPAGO",IF(MID(Pospago[[#This Row],[PlanDesc]],1,4)="FULL","FULL MEGAS","PREVIOPAGO"))</f>
        <v>PREVIOPAGO</v>
      </c>
      <c r="BI2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27" s="21">
        <f>Pospago[[#This Row],[TARIFA_BASICA]]*1.5</f>
        <v>21.419999999999998</v>
      </c>
    </row>
    <row r="228" spans="1:63" x14ac:dyDescent="0.25">
      <c r="A228" s="18" t="s">
        <v>64</v>
      </c>
      <c r="B228" s="18" t="s">
        <v>1656</v>
      </c>
      <c r="C228" s="18" t="s">
        <v>1657</v>
      </c>
      <c r="D228" s="19">
        <v>44900</v>
      </c>
      <c r="E228" s="18" t="s">
        <v>67</v>
      </c>
      <c r="F228" s="18" t="s">
        <v>1658</v>
      </c>
      <c r="G228" s="18" t="s">
        <v>1659</v>
      </c>
      <c r="H228" s="18" t="s">
        <v>70</v>
      </c>
      <c r="I228" s="18" t="s">
        <v>130</v>
      </c>
      <c r="J228" s="18" t="s">
        <v>131</v>
      </c>
      <c r="K228" s="18" t="s">
        <v>73</v>
      </c>
      <c r="L228" s="20" t="s">
        <v>1660</v>
      </c>
      <c r="M228" s="18" t="s">
        <v>75</v>
      </c>
      <c r="N228" s="20" t="s">
        <v>1661</v>
      </c>
      <c r="O228" s="18" t="s">
        <v>77</v>
      </c>
      <c r="P228" s="18" t="s">
        <v>78</v>
      </c>
      <c r="Q228" s="19">
        <v>44914</v>
      </c>
      <c r="R228" s="21">
        <v>15</v>
      </c>
      <c r="S228" s="18" t="s">
        <v>79</v>
      </c>
      <c r="T228" s="18" t="s">
        <v>80</v>
      </c>
      <c r="U228" s="18" t="s">
        <v>83</v>
      </c>
      <c r="V228" s="18" t="s">
        <v>95</v>
      </c>
      <c r="W228" s="18" t="s">
        <v>83</v>
      </c>
      <c r="X228" s="18" t="s">
        <v>215</v>
      </c>
      <c r="Y228" s="18" t="s">
        <v>85</v>
      </c>
      <c r="Z228" s="18" t="s">
        <v>86</v>
      </c>
      <c r="AA228" s="18" t="s">
        <v>87</v>
      </c>
      <c r="AB228" s="18" t="s">
        <v>289</v>
      </c>
      <c r="AC228" s="18" t="s">
        <v>290</v>
      </c>
      <c r="AD228" s="18" t="s">
        <v>85</v>
      </c>
      <c r="AE228" s="18" t="s">
        <v>90</v>
      </c>
      <c r="AF228" s="18" t="s">
        <v>91</v>
      </c>
      <c r="AG228" s="18" t="s">
        <v>92</v>
      </c>
      <c r="AH228" s="18" t="s">
        <v>93</v>
      </c>
      <c r="AI228" s="18" t="s">
        <v>94</v>
      </c>
      <c r="AJ228" s="19">
        <v>44900</v>
      </c>
      <c r="AK228" s="22" t="s">
        <v>95</v>
      </c>
      <c r="AL228" s="18" t="s">
        <v>95</v>
      </c>
      <c r="AM228" s="18" t="s">
        <v>95</v>
      </c>
      <c r="AN228" s="18" t="s">
        <v>95</v>
      </c>
      <c r="AO228" s="18" t="s">
        <v>95</v>
      </c>
      <c r="AP228" s="18" t="s">
        <v>95</v>
      </c>
      <c r="AQ228" s="18" t="s">
        <v>95</v>
      </c>
      <c r="AR228" s="18" t="s">
        <v>95</v>
      </c>
      <c r="AS228" s="18" t="s">
        <v>83</v>
      </c>
      <c r="AT228" s="18" t="s">
        <v>83</v>
      </c>
      <c r="AU228" s="18" t="s">
        <v>81</v>
      </c>
      <c r="AV228" s="18" t="s">
        <v>95</v>
      </c>
      <c r="AW228" s="18" t="s">
        <v>95</v>
      </c>
      <c r="AX228" s="18"/>
      <c r="AY228" s="18" t="str">
        <f>Pospago[[#This Row],[NUM_TELEFONICO]]&amp;"POSPAGOSI"</f>
        <v>983151287POSPAGOSI</v>
      </c>
      <c r="AZ228" s="18" t="str">
        <f>VLOOKUP(Pospago[[#This Row],[NOM_PLAZA_FINAL]],[1]!Locales[#Data],3,0)</f>
        <v>TIENDA CUENCA CENTRO</v>
      </c>
      <c r="BA228" s="18" t="str">
        <f>IFERROR(VLOOKUP(Pospago[[#This Row],[USUARIO]],[1]!Personal[#Data],6,0),"EJECUTIVO NO REGISTRADO")</f>
        <v>CALLE CHACA JORGE VINICIO</v>
      </c>
      <c r="BB228" s="18" t="str">
        <f>Pospago[[#This Row],[TIPO_MOVIMIENTO]]&amp;" "&amp;Pospago[[#This Row],[FORMA_PAGO_FINAL]]</f>
        <v>ALTAS DOMICILIADO</v>
      </c>
      <c r="BC228" s="18">
        <f>DAY(Pospago[[#This Row],[FECHA_ALTA]])</f>
        <v>5</v>
      </c>
      <c r="BD228" s="18">
        <f>IF(Pospago[[#This Row],[TARIFA_BASICA]]=11.42,1,0)</f>
        <v>0</v>
      </c>
      <c r="BE228" s="18">
        <f>IF(Pospago[[#This Row],[PLANES TELEVENTAS]]="SI",1,0)</f>
        <v>0</v>
      </c>
      <c r="BF228" s="18">
        <f>1</f>
        <v>1</v>
      </c>
      <c r="BG228" s="18">
        <f>IF(OR(Pospago[[#This Row],[TARIFA_BASICA]]=11.42,Pospago[[#This Row],[PLANES TELEVENTAS]]="SI"),1,0)</f>
        <v>0</v>
      </c>
      <c r="BH228" s="18" t="str">
        <f>IF(MID(Pospago[[#This Row],[PlanDesc]],1,4) = "PLAN","POSPAGO",IF(MID(Pospago[[#This Row],[PlanDesc]],1,4)="FULL","FULL MEGAS","PREVIOPAGO"))</f>
        <v>PREVIOPAGO</v>
      </c>
      <c r="BI2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2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28" s="21">
        <f>Pospago[[#This Row],[TARIFA_BASICA]]*1.5</f>
        <v>22.5</v>
      </c>
    </row>
    <row r="229" spans="1:63" x14ac:dyDescent="0.25">
      <c r="A229" s="18" t="s">
        <v>154</v>
      </c>
      <c r="B229" s="18" t="s">
        <v>1662</v>
      </c>
      <c r="C229" s="18" t="s">
        <v>1663</v>
      </c>
      <c r="D229" s="19">
        <v>44913</v>
      </c>
      <c r="E229" s="18" t="s">
        <v>67</v>
      </c>
      <c r="F229" s="18" t="s">
        <v>1664</v>
      </c>
      <c r="G229" s="18" t="s">
        <v>1665</v>
      </c>
      <c r="H229" s="18" t="s">
        <v>159</v>
      </c>
      <c r="I229" s="18" t="s">
        <v>130</v>
      </c>
      <c r="J229" s="18" t="s">
        <v>433</v>
      </c>
      <c r="K229" s="18" t="s">
        <v>132</v>
      </c>
      <c r="L229" s="20" t="s">
        <v>1666</v>
      </c>
      <c r="M229" s="18" t="s">
        <v>75</v>
      </c>
      <c r="N229" s="20" t="s">
        <v>1667</v>
      </c>
      <c r="O229" s="18" t="s">
        <v>164</v>
      </c>
      <c r="P229" s="18" t="s">
        <v>78</v>
      </c>
      <c r="Q229" s="19">
        <v>44914</v>
      </c>
      <c r="R229" s="21">
        <v>15</v>
      </c>
      <c r="S229" s="18" t="s">
        <v>79</v>
      </c>
      <c r="T229" s="18" t="s">
        <v>174</v>
      </c>
      <c r="U229" s="18" t="s">
        <v>83</v>
      </c>
      <c r="V229" s="18" t="s">
        <v>95</v>
      </c>
      <c r="W229" s="18" t="s">
        <v>95</v>
      </c>
      <c r="X229" s="18" t="s">
        <v>118</v>
      </c>
      <c r="Y229" s="18" t="s">
        <v>85</v>
      </c>
      <c r="Z229" s="18" t="s">
        <v>86</v>
      </c>
      <c r="AA229" s="18" t="s">
        <v>119</v>
      </c>
      <c r="AB229" s="18" t="s">
        <v>251</v>
      </c>
      <c r="AC229" s="18" t="s">
        <v>252</v>
      </c>
      <c r="AD229" s="18" t="s">
        <v>85</v>
      </c>
      <c r="AE229" s="18" t="s">
        <v>90</v>
      </c>
      <c r="AF229" s="18" t="s">
        <v>177</v>
      </c>
      <c r="AG229" s="18" t="s">
        <v>139</v>
      </c>
      <c r="AH229" s="18" t="s">
        <v>165</v>
      </c>
      <c r="AI229" s="18" t="s">
        <v>94</v>
      </c>
      <c r="AJ229" s="19">
        <v>44913</v>
      </c>
      <c r="AK229" s="22" t="s">
        <v>95</v>
      </c>
      <c r="AL229" s="18" t="s">
        <v>95</v>
      </c>
      <c r="AM229" s="18" t="s">
        <v>95</v>
      </c>
      <c r="AN229" s="18" t="s">
        <v>95</v>
      </c>
      <c r="AO229" s="18" t="s">
        <v>95</v>
      </c>
      <c r="AP229" s="18" t="s">
        <v>95</v>
      </c>
      <c r="AQ229" s="18" t="s">
        <v>95</v>
      </c>
      <c r="AR229" s="18" t="s">
        <v>95</v>
      </c>
      <c r="AS229" s="18" t="s">
        <v>83</v>
      </c>
      <c r="AT229" s="18" t="s">
        <v>83</v>
      </c>
      <c r="AU229" s="18" t="s">
        <v>81</v>
      </c>
      <c r="AV229" s="18" t="s">
        <v>95</v>
      </c>
      <c r="AW229" s="18" t="s">
        <v>95</v>
      </c>
      <c r="AX229" s="18"/>
      <c r="AY229" s="18" t="str">
        <f>Pospago[[#This Row],[NUM_TELEFONICO]]&amp;"POSPAGOSI"</f>
        <v>983155960POSPAGOSI</v>
      </c>
      <c r="AZ229" s="18" t="str">
        <f>VLOOKUP(Pospago[[#This Row],[NOM_PLAZA_FINAL]],[1]!Locales[#Data],3,0)</f>
        <v>TIENDA RECREO</v>
      </c>
      <c r="BA229" s="18" t="str">
        <f>IFERROR(VLOOKUP(Pospago[[#This Row],[USUARIO]],[1]!Personal[#Data],6,0),"EJECUTIVO NO REGISTRADO")</f>
        <v>CRUZ MONTUFAR KATHERINE ALEJANDRA</v>
      </c>
      <c r="BB229" s="18" t="str">
        <f>Pospago[[#This Row],[TIPO_MOVIMIENTO]]&amp;" "&amp;Pospago[[#This Row],[FORMA_PAGO_FINAL]]</f>
        <v>TRANSFERENCIAS PAGO EN CAJA</v>
      </c>
      <c r="BC229" s="18">
        <f>DAY(Pospago[[#This Row],[FECHA_ALTA]])</f>
        <v>18</v>
      </c>
      <c r="BD229" s="18">
        <f>IF(Pospago[[#This Row],[TARIFA_BASICA]]=11.42,1,0)</f>
        <v>0</v>
      </c>
      <c r="BE229" s="18">
        <f>IF(Pospago[[#This Row],[PLANES TELEVENTAS]]="SI",1,0)</f>
        <v>0</v>
      </c>
      <c r="BF229" s="18">
        <f>1</f>
        <v>1</v>
      </c>
      <c r="BG229" s="18">
        <f>IF(OR(Pospago[[#This Row],[TARIFA_BASICA]]=11.42,Pospago[[#This Row],[PLANES TELEVENTAS]]="SI"),1,0)</f>
        <v>0</v>
      </c>
      <c r="BH229" s="18" t="str">
        <f>IF(MID(Pospago[[#This Row],[PlanDesc]],1,4) = "PLAN","POSPAGO",IF(MID(Pospago[[#This Row],[PlanDesc]],1,4)="FULL","FULL MEGAS","PREVIOPAGO"))</f>
        <v>PREVIOPAGO</v>
      </c>
      <c r="BI2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2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29" s="21">
        <f>Pospago[[#This Row],[TARIFA_BASICA]]*1.5</f>
        <v>22.5</v>
      </c>
    </row>
    <row r="230" spans="1:63" x14ac:dyDescent="0.25">
      <c r="A230" s="18" t="s">
        <v>154</v>
      </c>
      <c r="B230" s="18" t="s">
        <v>1668</v>
      </c>
      <c r="C230" s="18" t="s">
        <v>1669</v>
      </c>
      <c r="D230" s="19">
        <v>44909</v>
      </c>
      <c r="E230" s="18" t="s">
        <v>67</v>
      </c>
      <c r="F230" s="18" t="s">
        <v>1670</v>
      </c>
      <c r="G230" s="18" t="s">
        <v>1671</v>
      </c>
      <c r="H230" s="18" t="s">
        <v>159</v>
      </c>
      <c r="I230" s="18" t="s">
        <v>606</v>
      </c>
      <c r="J230" s="18" t="s">
        <v>1672</v>
      </c>
      <c r="K230" s="18" t="s">
        <v>132</v>
      </c>
      <c r="L230" s="20" t="s">
        <v>1673</v>
      </c>
      <c r="M230" s="18" t="s">
        <v>287</v>
      </c>
      <c r="N230" s="20" t="s">
        <v>1674</v>
      </c>
      <c r="O230" s="18" t="s">
        <v>164</v>
      </c>
      <c r="P230" s="18" t="s">
        <v>78</v>
      </c>
      <c r="Q230" s="19">
        <v>44914</v>
      </c>
      <c r="R230" s="21">
        <v>26.78</v>
      </c>
      <c r="S230" s="18" t="s">
        <v>79</v>
      </c>
      <c r="T230" s="18" t="s">
        <v>174</v>
      </c>
      <c r="U230" s="18" t="s">
        <v>83</v>
      </c>
      <c r="V230" s="18" t="s">
        <v>95</v>
      </c>
      <c r="W230" s="18" t="s">
        <v>95</v>
      </c>
      <c r="X230" s="18" t="s">
        <v>84</v>
      </c>
      <c r="Y230" s="18" t="s">
        <v>85</v>
      </c>
      <c r="Z230" s="18" t="s">
        <v>86</v>
      </c>
      <c r="AA230" s="18" t="s">
        <v>87</v>
      </c>
      <c r="AB230" s="18" t="s">
        <v>1315</v>
      </c>
      <c r="AC230" s="18" t="s">
        <v>1316</v>
      </c>
      <c r="AD230" s="18" t="s">
        <v>85</v>
      </c>
      <c r="AE230" s="18" t="s">
        <v>90</v>
      </c>
      <c r="AF230" s="18" t="s">
        <v>177</v>
      </c>
      <c r="AG230" s="18" t="s">
        <v>139</v>
      </c>
      <c r="AH230" s="18" t="s">
        <v>165</v>
      </c>
      <c r="AI230" s="18" t="s">
        <v>94</v>
      </c>
      <c r="AJ230" s="19">
        <v>44909</v>
      </c>
      <c r="AK230" s="22">
        <v>44909</v>
      </c>
      <c r="AL230" s="18" t="s">
        <v>291</v>
      </c>
      <c r="AM230" s="18" t="s">
        <v>292</v>
      </c>
      <c r="AN230" s="18" t="s">
        <v>494</v>
      </c>
      <c r="AO230" s="18" t="s">
        <v>1675</v>
      </c>
      <c r="AP230" s="18">
        <v>1</v>
      </c>
      <c r="AQ230" s="18">
        <v>1607.1428599999999</v>
      </c>
      <c r="AR230" s="18" t="s">
        <v>496</v>
      </c>
      <c r="AS230" s="18" t="s">
        <v>81</v>
      </c>
      <c r="AT230" s="18" t="s">
        <v>83</v>
      </c>
      <c r="AU230" s="18" t="s">
        <v>81</v>
      </c>
      <c r="AV230" s="18" t="s">
        <v>95</v>
      </c>
      <c r="AW230" s="18" t="s">
        <v>95</v>
      </c>
      <c r="AX230" s="18"/>
      <c r="AY230" s="18" t="str">
        <f>Pospago[[#This Row],[NUM_TELEFONICO]]&amp;"POSPAGOSI"</f>
        <v>983161897POSPAGOSI</v>
      </c>
      <c r="AZ230" s="18" t="str">
        <f>VLOOKUP(Pospago[[#This Row],[NOM_PLAZA_FINAL]],[1]!Locales[#Data],3,0)</f>
        <v>TIENDA RECREO</v>
      </c>
      <c r="BA230" s="18" t="str">
        <f>IFERROR(VLOOKUP(Pospago[[#This Row],[USUARIO]],[1]!Personal[#Data],6,0),"EJECUTIVO NO REGISTRADO")</f>
        <v>ORTEGA  NATALIE MÉNDEZ</v>
      </c>
      <c r="BB230" s="18" t="str">
        <f>Pospago[[#This Row],[TIPO_MOVIMIENTO]]&amp;" "&amp;Pospago[[#This Row],[FORMA_PAGO_FINAL]]</f>
        <v>TRANSFERENCIAS DOMICILIADO</v>
      </c>
      <c r="BC230" s="18">
        <f>DAY(Pospago[[#This Row],[FECHA_ALTA]])</f>
        <v>14</v>
      </c>
      <c r="BD230" s="18">
        <f>IF(Pospago[[#This Row],[TARIFA_BASICA]]=11.42,1,0)</f>
        <v>0</v>
      </c>
      <c r="BE230" s="18">
        <f>IF(Pospago[[#This Row],[PLANES TELEVENTAS]]="SI",1,0)</f>
        <v>0</v>
      </c>
      <c r="BF230" s="18">
        <f>1</f>
        <v>1</v>
      </c>
      <c r="BG230" s="18">
        <f>IF(OR(Pospago[[#This Row],[TARIFA_BASICA]]=11.42,Pospago[[#This Row],[PLANES TELEVENTAS]]="SI"),1,0)</f>
        <v>0</v>
      </c>
      <c r="BH230" s="18" t="str">
        <f>IF(MID(Pospago[[#This Row],[PlanDesc]],1,4) = "PLAN","POSPAGO",IF(MID(Pospago[[#This Row],[PlanDesc]],1,4)="FULL","FULL MEGAS","PREVIOPAGO"))</f>
        <v>PREVIOPAGO</v>
      </c>
      <c r="BI2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22.76</v>
      </c>
      <c r="BJ2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30" s="21">
        <f>Pospago[[#This Row],[TARIFA_BASICA]]*1.5</f>
        <v>40.17</v>
      </c>
    </row>
    <row r="231" spans="1:63" x14ac:dyDescent="0.25">
      <c r="A231" s="18" t="s">
        <v>64</v>
      </c>
      <c r="B231" s="18" t="s">
        <v>1676</v>
      </c>
      <c r="C231" s="18" t="s">
        <v>1677</v>
      </c>
      <c r="D231" s="19">
        <v>44906</v>
      </c>
      <c r="E231" s="18" t="s">
        <v>67</v>
      </c>
      <c r="F231" s="18" t="s">
        <v>1678</v>
      </c>
      <c r="G231" s="18" t="s">
        <v>1679</v>
      </c>
      <c r="H231" s="18" t="s">
        <v>70</v>
      </c>
      <c r="I231" s="18" t="s">
        <v>392</v>
      </c>
      <c r="J231" s="18" t="s">
        <v>131</v>
      </c>
      <c r="K231" s="18" t="s">
        <v>132</v>
      </c>
      <c r="L231" s="20" t="s">
        <v>1680</v>
      </c>
      <c r="M231" s="18" t="s">
        <v>75</v>
      </c>
      <c r="N231" s="20" t="s">
        <v>1681</v>
      </c>
      <c r="O231" s="18" t="s">
        <v>77</v>
      </c>
      <c r="P231" s="18" t="s">
        <v>78</v>
      </c>
      <c r="Q231" s="19">
        <v>44914</v>
      </c>
      <c r="R231" s="21">
        <v>15</v>
      </c>
      <c r="S231" s="18" t="s">
        <v>79</v>
      </c>
      <c r="T231" s="18" t="s">
        <v>174</v>
      </c>
      <c r="U231" s="18" t="s">
        <v>83</v>
      </c>
      <c r="V231" s="18" t="s">
        <v>95</v>
      </c>
      <c r="W231" s="18" t="s">
        <v>83</v>
      </c>
      <c r="X231" s="18" t="s">
        <v>84</v>
      </c>
      <c r="Y231" s="18" t="s">
        <v>85</v>
      </c>
      <c r="Z231" s="18" t="s">
        <v>86</v>
      </c>
      <c r="AA231" s="18" t="s">
        <v>87</v>
      </c>
      <c r="AB231" s="18" t="s">
        <v>492</v>
      </c>
      <c r="AC231" s="18" t="s">
        <v>493</v>
      </c>
      <c r="AD231" s="18" t="s">
        <v>85</v>
      </c>
      <c r="AE231" s="18" t="s">
        <v>90</v>
      </c>
      <c r="AF231" s="18" t="s">
        <v>177</v>
      </c>
      <c r="AG231" s="18" t="s">
        <v>139</v>
      </c>
      <c r="AH231" s="18" t="s">
        <v>93</v>
      </c>
      <c r="AI231" s="18" t="s">
        <v>94</v>
      </c>
      <c r="AJ231" s="19">
        <v>44906</v>
      </c>
      <c r="AK231" s="22" t="s">
        <v>95</v>
      </c>
      <c r="AL231" s="18" t="s">
        <v>95</v>
      </c>
      <c r="AM231" s="18" t="s">
        <v>95</v>
      </c>
      <c r="AN231" s="18" t="s">
        <v>95</v>
      </c>
      <c r="AO231" s="18" t="s">
        <v>95</v>
      </c>
      <c r="AP231" s="18" t="s">
        <v>95</v>
      </c>
      <c r="AQ231" s="18" t="s">
        <v>95</v>
      </c>
      <c r="AR231" s="18" t="s">
        <v>95</v>
      </c>
      <c r="AS231" s="18" t="s">
        <v>83</v>
      </c>
      <c r="AT231" s="18" t="s">
        <v>81</v>
      </c>
      <c r="AU231" s="18" t="s">
        <v>81</v>
      </c>
      <c r="AV231" s="18" t="s">
        <v>95</v>
      </c>
      <c r="AW231" s="18" t="s">
        <v>95</v>
      </c>
      <c r="AX231" s="18"/>
      <c r="AY231" s="18" t="str">
        <f>Pospago[[#This Row],[NUM_TELEFONICO]]&amp;"POSPAGOSI"</f>
        <v>983177576POSPAGOSI</v>
      </c>
      <c r="AZ231" s="18" t="str">
        <f>VLOOKUP(Pospago[[#This Row],[NOM_PLAZA_FINAL]],[1]!Locales[#Data],3,0)</f>
        <v>TIENDA RECREO</v>
      </c>
      <c r="BA231" s="18" t="str">
        <f>IFERROR(VLOOKUP(Pospago[[#This Row],[USUARIO]],[1]!Personal[#Data],6,0),"EJECUTIVO NO REGISTRADO")</f>
        <v>CONDO GARCIA NICOLAS MATIAS</v>
      </c>
      <c r="BB231" s="18" t="str">
        <f>Pospago[[#This Row],[TIPO_MOVIMIENTO]]&amp;" "&amp;Pospago[[#This Row],[FORMA_PAGO_FINAL]]</f>
        <v>ALTAS DOMICILIADO</v>
      </c>
      <c r="BC231" s="18">
        <f>DAY(Pospago[[#This Row],[FECHA_ALTA]])</f>
        <v>11</v>
      </c>
      <c r="BD231" s="18">
        <f>IF(Pospago[[#This Row],[TARIFA_BASICA]]=11.42,1,0)</f>
        <v>0</v>
      </c>
      <c r="BE231" s="18">
        <f>IF(Pospago[[#This Row],[PLANES TELEVENTAS]]="SI",1,0)</f>
        <v>1</v>
      </c>
      <c r="BF231" s="18">
        <f>1</f>
        <v>1</v>
      </c>
      <c r="BG231" s="18">
        <f>IF(OR(Pospago[[#This Row],[TARIFA_BASICA]]=11.42,Pospago[[#This Row],[PLANES TELEVENTAS]]="SI"),1,0)</f>
        <v>1</v>
      </c>
      <c r="BH231" s="18" t="str">
        <f>IF(MID(Pospago[[#This Row],[PlanDesc]],1,4) = "PLAN","POSPAGO",IF(MID(Pospago[[#This Row],[PlanDesc]],1,4)="FULL","FULL MEGAS","PREVIOPAGO"))</f>
        <v>PREVIOPAGO</v>
      </c>
      <c r="BI2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2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31" s="21">
        <f>Pospago[[#This Row],[TARIFA_BASICA]]*1.5</f>
        <v>22.5</v>
      </c>
    </row>
    <row r="232" spans="1:63" x14ac:dyDescent="0.25">
      <c r="A232" s="18" t="s">
        <v>64</v>
      </c>
      <c r="B232" s="18" t="s">
        <v>1682</v>
      </c>
      <c r="C232" s="18" t="s">
        <v>1342</v>
      </c>
      <c r="D232" s="19">
        <v>44912</v>
      </c>
      <c r="E232" s="18" t="s">
        <v>67</v>
      </c>
      <c r="F232" s="18" t="s">
        <v>1343</v>
      </c>
      <c r="G232" s="18" t="s">
        <v>1344</v>
      </c>
      <c r="H232" s="18" t="s">
        <v>70</v>
      </c>
      <c r="I232" s="18" t="s">
        <v>160</v>
      </c>
      <c r="J232" s="18" t="s">
        <v>195</v>
      </c>
      <c r="K232" s="18" t="s">
        <v>95</v>
      </c>
      <c r="L232" s="20" t="s">
        <v>1683</v>
      </c>
      <c r="M232" s="18" t="s">
        <v>75</v>
      </c>
      <c r="N232" s="20" t="s">
        <v>1684</v>
      </c>
      <c r="O232" s="18" t="s">
        <v>77</v>
      </c>
      <c r="P232" s="18" t="s">
        <v>78</v>
      </c>
      <c r="Q232" s="19">
        <v>44914</v>
      </c>
      <c r="R232" s="21">
        <v>14.28</v>
      </c>
      <c r="S232" s="18" t="s">
        <v>79</v>
      </c>
      <c r="T232" s="18" t="s">
        <v>232</v>
      </c>
      <c r="U232" s="18" t="s">
        <v>83</v>
      </c>
      <c r="V232" s="18" t="s">
        <v>95</v>
      </c>
      <c r="W232" s="18" t="s">
        <v>83</v>
      </c>
      <c r="X232" s="18" t="s">
        <v>84</v>
      </c>
      <c r="Y232" s="18" t="s">
        <v>85</v>
      </c>
      <c r="Z232" s="18" t="s">
        <v>86</v>
      </c>
      <c r="AA232" s="18" t="s">
        <v>87</v>
      </c>
      <c r="AB232" s="18" t="s">
        <v>233</v>
      </c>
      <c r="AC232" s="18" t="s">
        <v>234</v>
      </c>
      <c r="AD232" s="18" t="s">
        <v>85</v>
      </c>
      <c r="AE232" s="18" t="s">
        <v>90</v>
      </c>
      <c r="AF232" s="18" t="s">
        <v>235</v>
      </c>
      <c r="AG232" s="18" t="s">
        <v>139</v>
      </c>
      <c r="AH232" s="18" t="s">
        <v>93</v>
      </c>
      <c r="AI232" s="18" t="s">
        <v>94</v>
      </c>
      <c r="AJ232" s="19">
        <v>44912</v>
      </c>
      <c r="AK232" s="22" t="s">
        <v>95</v>
      </c>
      <c r="AL232" s="18" t="s">
        <v>95</v>
      </c>
      <c r="AM232" s="18" t="s">
        <v>95</v>
      </c>
      <c r="AN232" s="18" t="s">
        <v>95</v>
      </c>
      <c r="AO232" s="18" t="s">
        <v>95</v>
      </c>
      <c r="AP232" s="18" t="s">
        <v>95</v>
      </c>
      <c r="AQ232" s="18" t="s">
        <v>95</v>
      </c>
      <c r="AR232" s="18" t="s">
        <v>95</v>
      </c>
      <c r="AS232" s="18" t="s">
        <v>83</v>
      </c>
      <c r="AT232" s="18" t="s">
        <v>83</v>
      </c>
      <c r="AU232" s="18" t="s">
        <v>81</v>
      </c>
      <c r="AV232" s="18" t="s">
        <v>95</v>
      </c>
      <c r="AW232" s="18" t="s">
        <v>95</v>
      </c>
      <c r="AX232" s="18"/>
      <c r="AY232" s="18" t="str">
        <f>Pospago[[#This Row],[NUM_TELEFONICO]]&amp;"POSPAGOSI"</f>
        <v>983180012POSPAGOSI</v>
      </c>
      <c r="AZ232" s="18" t="str">
        <f>VLOOKUP(Pospago[[#This Row],[NOM_PLAZA_FINAL]],[1]!Locales[#Data],3,0)</f>
        <v>TIENDA CONDADO</v>
      </c>
      <c r="BA232" s="18" t="str">
        <f>IFERROR(VLOOKUP(Pospago[[#This Row],[USUARIO]],[1]!Personal[#Data],6,0),"EJECUTIVO NO REGISTRADO")</f>
        <v>ROSALES MALDONADO JESSICA GABRIELA</v>
      </c>
      <c r="BB232" s="18" t="str">
        <f>Pospago[[#This Row],[TIPO_MOVIMIENTO]]&amp;" "&amp;Pospago[[#This Row],[FORMA_PAGO_FINAL]]</f>
        <v>ALTAS DOMICILIADO</v>
      </c>
      <c r="BC232" s="18">
        <f>DAY(Pospago[[#This Row],[FECHA_ALTA]])</f>
        <v>17</v>
      </c>
      <c r="BD232" s="18">
        <f>IF(Pospago[[#This Row],[TARIFA_BASICA]]=11.42,1,0)</f>
        <v>0</v>
      </c>
      <c r="BE232" s="18">
        <f>IF(Pospago[[#This Row],[PLANES TELEVENTAS]]="SI",1,0)</f>
        <v>0</v>
      </c>
      <c r="BF232" s="18">
        <f>1</f>
        <v>1</v>
      </c>
      <c r="BG232" s="18">
        <f>IF(OR(Pospago[[#This Row],[TARIFA_BASICA]]=11.42,Pospago[[#This Row],[PLANES TELEVENTAS]]="SI"),1,0)</f>
        <v>0</v>
      </c>
      <c r="BH232" s="18" t="str">
        <f>IF(MID(Pospago[[#This Row],[PlanDesc]],1,4) = "PLAN","POSPAGO",IF(MID(Pospago[[#This Row],[PlanDesc]],1,4)="FULL","FULL MEGAS","PREVIOPAGO"))</f>
        <v>PREVIOPAGO</v>
      </c>
      <c r="BI2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32" s="21">
        <f>Pospago[[#This Row],[TARIFA_BASICA]]*1.5</f>
        <v>21.419999999999998</v>
      </c>
    </row>
    <row r="233" spans="1:63" x14ac:dyDescent="0.25">
      <c r="A233" s="18" t="s">
        <v>154</v>
      </c>
      <c r="B233" s="18" t="s">
        <v>1685</v>
      </c>
      <c r="C233" s="18" t="s">
        <v>1686</v>
      </c>
      <c r="D233" s="19">
        <v>44901</v>
      </c>
      <c r="E233" s="18" t="s">
        <v>67</v>
      </c>
      <c r="F233" s="18" t="s">
        <v>1687</v>
      </c>
      <c r="G233" s="18" t="s">
        <v>1688</v>
      </c>
      <c r="H233" s="18" t="s">
        <v>159</v>
      </c>
      <c r="I233" s="18" t="s">
        <v>71</v>
      </c>
      <c r="J233" s="18" t="s">
        <v>258</v>
      </c>
      <c r="K233" s="18" t="s">
        <v>73</v>
      </c>
      <c r="L233" s="20" t="s">
        <v>1689</v>
      </c>
      <c r="M233" s="18" t="s">
        <v>287</v>
      </c>
      <c r="N233" s="20" t="s">
        <v>1690</v>
      </c>
      <c r="O233" s="18" t="s">
        <v>164</v>
      </c>
      <c r="P233" s="18" t="s">
        <v>78</v>
      </c>
      <c r="Q233" s="19">
        <v>44914</v>
      </c>
      <c r="R233" s="21">
        <v>11.42</v>
      </c>
      <c r="S233" s="18" t="s">
        <v>79</v>
      </c>
      <c r="T233" s="18" t="s">
        <v>80</v>
      </c>
      <c r="U233" s="18" t="s">
        <v>83</v>
      </c>
      <c r="V233" s="18" t="s">
        <v>95</v>
      </c>
      <c r="W233" s="18" t="s">
        <v>95</v>
      </c>
      <c r="X233" s="18" t="s">
        <v>215</v>
      </c>
      <c r="Y233" s="18" t="s">
        <v>85</v>
      </c>
      <c r="Z233" s="18" t="s">
        <v>86</v>
      </c>
      <c r="AA233" s="18" t="s">
        <v>87</v>
      </c>
      <c r="AB233" s="18" t="s">
        <v>1020</v>
      </c>
      <c r="AC233" s="18" t="s">
        <v>1021</v>
      </c>
      <c r="AD233" s="18" t="s">
        <v>85</v>
      </c>
      <c r="AE233" s="18" t="s">
        <v>90</v>
      </c>
      <c r="AF233" s="18" t="s">
        <v>91</v>
      </c>
      <c r="AG233" s="18" t="s">
        <v>92</v>
      </c>
      <c r="AH233" s="18" t="s">
        <v>165</v>
      </c>
      <c r="AI233" s="18" t="s">
        <v>94</v>
      </c>
      <c r="AJ233" s="19">
        <v>44901</v>
      </c>
      <c r="AK233" s="22">
        <v>44901</v>
      </c>
      <c r="AL233" s="18" t="s">
        <v>291</v>
      </c>
      <c r="AM233" s="18" t="s">
        <v>292</v>
      </c>
      <c r="AN233" s="18" t="s">
        <v>494</v>
      </c>
      <c r="AO233" s="18" t="s">
        <v>1691</v>
      </c>
      <c r="AP233" s="18">
        <v>1</v>
      </c>
      <c r="AQ233" s="18">
        <v>241.07142999999999</v>
      </c>
      <c r="AR233" s="18" t="s">
        <v>496</v>
      </c>
      <c r="AS233" s="18" t="s">
        <v>81</v>
      </c>
      <c r="AT233" s="18" t="s">
        <v>83</v>
      </c>
      <c r="AU233" s="18" t="s">
        <v>81</v>
      </c>
      <c r="AV233" s="18" t="s">
        <v>95</v>
      </c>
      <c r="AW233" s="18" t="s">
        <v>95</v>
      </c>
      <c r="AX233" s="18"/>
      <c r="AY233" s="18" t="str">
        <f>Pospago[[#This Row],[NUM_TELEFONICO]]&amp;"POSPAGOSI"</f>
        <v>983202439POSPAGOSI</v>
      </c>
      <c r="AZ233" s="18" t="str">
        <f>VLOOKUP(Pospago[[#This Row],[NOM_PLAZA_FINAL]],[1]!Locales[#Data],3,0)</f>
        <v>TIENDA CUENCA CENTRO</v>
      </c>
      <c r="BA233" s="18" t="str">
        <f>IFERROR(VLOOKUP(Pospago[[#This Row],[USUARIO]],[1]!Personal[#Data],6,0),"EJECUTIVO NO REGISTRADO")</f>
        <v>GONZALES ALVARRACIN PAOLA YESSENIA</v>
      </c>
      <c r="BB233" s="18" t="str">
        <f>Pospago[[#This Row],[TIPO_MOVIMIENTO]]&amp;" "&amp;Pospago[[#This Row],[FORMA_PAGO_FINAL]]</f>
        <v>TRANSFERENCIAS DOMICILIADO</v>
      </c>
      <c r="BC233" s="18">
        <f>DAY(Pospago[[#This Row],[FECHA_ALTA]])</f>
        <v>6</v>
      </c>
      <c r="BD233" s="18">
        <f>IF(Pospago[[#This Row],[TARIFA_BASICA]]=11.42,1,0)</f>
        <v>1</v>
      </c>
      <c r="BE233" s="18">
        <f>IF(Pospago[[#This Row],[PLANES TELEVENTAS]]="SI",1,0)</f>
        <v>0</v>
      </c>
      <c r="BF233" s="18">
        <f>1</f>
        <v>1</v>
      </c>
      <c r="BG233" s="18">
        <f>IF(OR(Pospago[[#This Row],[TARIFA_BASICA]]=11.42,Pospago[[#This Row],[PLANES TELEVENTAS]]="SI"),1,0)</f>
        <v>1</v>
      </c>
      <c r="BH233" s="18" t="str">
        <f>IF(MID(Pospago[[#This Row],[PlanDesc]],1,4) = "PLAN","POSPAGO",IF(MID(Pospago[[#This Row],[PlanDesc]],1,4)="FULL","FULL MEGAS","PREVIOPAGO"))</f>
        <v>PREVIOPAGO</v>
      </c>
      <c r="BI2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2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33" s="21">
        <f>Pospago[[#This Row],[TARIFA_BASICA]]*1.5</f>
        <v>17.13</v>
      </c>
    </row>
    <row r="234" spans="1:63" x14ac:dyDescent="0.25">
      <c r="A234" s="18" t="s">
        <v>154</v>
      </c>
      <c r="B234" s="18" t="s">
        <v>1692</v>
      </c>
      <c r="C234" s="18" t="s">
        <v>1693</v>
      </c>
      <c r="D234" s="19">
        <v>44897</v>
      </c>
      <c r="E234" s="18" t="s">
        <v>67</v>
      </c>
      <c r="F234" s="18" t="s">
        <v>1694</v>
      </c>
      <c r="G234" s="18" t="s">
        <v>1695</v>
      </c>
      <c r="H234" s="18" t="s">
        <v>159</v>
      </c>
      <c r="I234" s="18" t="s">
        <v>130</v>
      </c>
      <c r="J234" s="18" t="s">
        <v>433</v>
      </c>
      <c r="K234" s="18" t="s">
        <v>95</v>
      </c>
      <c r="L234" s="20" t="s">
        <v>1696</v>
      </c>
      <c r="M234" s="18" t="s">
        <v>75</v>
      </c>
      <c r="N234" s="20" t="s">
        <v>1697</v>
      </c>
      <c r="O234" s="18" t="s">
        <v>164</v>
      </c>
      <c r="P234" s="18" t="s">
        <v>78</v>
      </c>
      <c r="Q234" s="19">
        <v>44914</v>
      </c>
      <c r="R234" s="21">
        <v>15</v>
      </c>
      <c r="S234" s="18" t="s">
        <v>79</v>
      </c>
      <c r="T234" s="18" t="s">
        <v>174</v>
      </c>
      <c r="U234" s="18" t="s">
        <v>83</v>
      </c>
      <c r="V234" s="18" t="s">
        <v>95</v>
      </c>
      <c r="W234" s="18" t="s">
        <v>95</v>
      </c>
      <c r="X234" s="18" t="s">
        <v>118</v>
      </c>
      <c r="Y234" s="18" t="s">
        <v>85</v>
      </c>
      <c r="Z234" s="18" t="s">
        <v>86</v>
      </c>
      <c r="AA234" s="18" t="s">
        <v>119</v>
      </c>
      <c r="AB234" s="18" t="s">
        <v>808</v>
      </c>
      <c r="AC234" s="18" t="s">
        <v>809</v>
      </c>
      <c r="AD234" s="18" t="s">
        <v>85</v>
      </c>
      <c r="AE234" s="18" t="s">
        <v>90</v>
      </c>
      <c r="AF234" s="18" t="s">
        <v>122</v>
      </c>
      <c r="AG234" s="18" t="s">
        <v>92</v>
      </c>
      <c r="AH234" s="18" t="s">
        <v>165</v>
      </c>
      <c r="AI234" s="18" t="s">
        <v>94</v>
      </c>
      <c r="AJ234" s="19">
        <v>44897</v>
      </c>
      <c r="AK234" s="22" t="s">
        <v>95</v>
      </c>
      <c r="AL234" s="18" t="s">
        <v>95</v>
      </c>
      <c r="AM234" s="18" t="s">
        <v>95</v>
      </c>
      <c r="AN234" s="18" t="s">
        <v>95</v>
      </c>
      <c r="AO234" s="18" t="s">
        <v>95</v>
      </c>
      <c r="AP234" s="18" t="s">
        <v>95</v>
      </c>
      <c r="AQ234" s="18" t="s">
        <v>95</v>
      </c>
      <c r="AR234" s="18" t="s">
        <v>95</v>
      </c>
      <c r="AS234" s="18" t="s">
        <v>83</v>
      </c>
      <c r="AT234" s="18" t="s">
        <v>83</v>
      </c>
      <c r="AU234" s="18" t="s">
        <v>81</v>
      </c>
      <c r="AV234" s="18" t="s">
        <v>95</v>
      </c>
      <c r="AW234" s="18" t="s">
        <v>95</v>
      </c>
      <c r="AX234" s="18"/>
      <c r="AY234" s="18" t="str">
        <f>Pospago[[#This Row],[NUM_TELEFONICO]]&amp;"POSPAGOSI"</f>
        <v>983204549POSPAGOSI</v>
      </c>
      <c r="AZ234" s="18" t="str">
        <f>VLOOKUP(Pospago[[#This Row],[NOM_PLAZA_FINAL]],[1]!Locales[#Data],3,0)</f>
        <v>TIENDA MACHALA</v>
      </c>
      <c r="BA234" s="18" t="str">
        <f>IFERROR(VLOOKUP(Pospago[[#This Row],[USUARIO]],[1]!Personal[#Data],6,0),"EJECUTIVO NO REGISTRADO")</f>
        <v>ALICIA ROMINA GONZALEZ SANDOYA</v>
      </c>
      <c r="BB234" s="18" t="str">
        <f>Pospago[[#This Row],[TIPO_MOVIMIENTO]]&amp;" "&amp;Pospago[[#This Row],[FORMA_PAGO_FINAL]]</f>
        <v>TRANSFERENCIAS PAGO EN CAJA</v>
      </c>
      <c r="BC234" s="18">
        <f>DAY(Pospago[[#This Row],[FECHA_ALTA]])</f>
        <v>2</v>
      </c>
      <c r="BD234" s="18">
        <f>IF(Pospago[[#This Row],[TARIFA_BASICA]]=11.42,1,0)</f>
        <v>0</v>
      </c>
      <c r="BE234" s="18">
        <f>IF(Pospago[[#This Row],[PLANES TELEVENTAS]]="SI",1,0)</f>
        <v>0</v>
      </c>
      <c r="BF234" s="18">
        <f>1</f>
        <v>1</v>
      </c>
      <c r="BG234" s="18">
        <f>IF(OR(Pospago[[#This Row],[TARIFA_BASICA]]=11.42,Pospago[[#This Row],[PLANES TELEVENTAS]]="SI"),1,0)</f>
        <v>0</v>
      </c>
      <c r="BH234" s="18" t="str">
        <f>IF(MID(Pospago[[#This Row],[PlanDesc]],1,4) = "PLAN","POSPAGO",IF(MID(Pospago[[#This Row],[PlanDesc]],1,4)="FULL","FULL MEGAS","PREVIOPAGO"))</f>
        <v>PREVIOPAGO</v>
      </c>
      <c r="BI2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7.4279999999999999</v>
      </c>
      <c r="BJ2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34" s="21">
        <f>Pospago[[#This Row],[TARIFA_BASICA]]*1.5</f>
        <v>22.5</v>
      </c>
    </row>
    <row r="235" spans="1:63" x14ac:dyDescent="0.25">
      <c r="A235" s="18" t="s">
        <v>154</v>
      </c>
      <c r="B235" s="18" t="s">
        <v>1698</v>
      </c>
      <c r="C235" s="18" t="s">
        <v>1699</v>
      </c>
      <c r="D235" s="19">
        <v>44902</v>
      </c>
      <c r="E235" s="18" t="s">
        <v>67</v>
      </c>
      <c r="F235" s="18" t="s">
        <v>1700</v>
      </c>
      <c r="G235" s="18" t="s">
        <v>1701</v>
      </c>
      <c r="H235" s="18" t="s">
        <v>159</v>
      </c>
      <c r="I235" s="18" t="s">
        <v>160</v>
      </c>
      <c r="J235" s="18" t="s">
        <v>161</v>
      </c>
      <c r="K235" s="18" t="s">
        <v>132</v>
      </c>
      <c r="L235" s="20" t="s">
        <v>1702</v>
      </c>
      <c r="M235" s="18" t="s">
        <v>287</v>
      </c>
      <c r="N235" s="20" t="s">
        <v>1703</v>
      </c>
      <c r="O235" s="18" t="s">
        <v>164</v>
      </c>
      <c r="P235" s="18" t="s">
        <v>78</v>
      </c>
      <c r="Q235" s="19">
        <v>44914</v>
      </c>
      <c r="R235" s="21">
        <v>14.28</v>
      </c>
      <c r="S235" s="18" t="s">
        <v>79</v>
      </c>
      <c r="T235" s="18" t="s">
        <v>135</v>
      </c>
      <c r="U235" s="18" t="s">
        <v>83</v>
      </c>
      <c r="V235" s="18" t="s">
        <v>95</v>
      </c>
      <c r="W235" s="18" t="s">
        <v>95</v>
      </c>
      <c r="X235" s="18" t="s">
        <v>215</v>
      </c>
      <c r="Y235" s="18" t="s">
        <v>85</v>
      </c>
      <c r="Z235" s="18" t="s">
        <v>86</v>
      </c>
      <c r="AA235" s="18" t="s">
        <v>87</v>
      </c>
      <c r="AB235" s="18" t="s">
        <v>866</v>
      </c>
      <c r="AC235" s="18" t="s">
        <v>867</v>
      </c>
      <c r="AD235" s="18" t="s">
        <v>85</v>
      </c>
      <c r="AE235" s="18" t="s">
        <v>90</v>
      </c>
      <c r="AF235" s="18" t="s">
        <v>138</v>
      </c>
      <c r="AG235" s="18" t="s">
        <v>139</v>
      </c>
      <c r="AH235" s="18" t="s">
        <v>165</v>
      </c>
      <c r="AI235" s="18" t="s">
        <v>94</v>
      </c>
      <c r="AJ235" s="19">
        <v>44902</v>
      </c>
      <c r="AK235" s="22">
        <v>44902</v>
      </c>
      <c r="AL235" s="18" t="s">
        <v>291</v>
      </c>
      <c r="AM235" s="18" t="s">
        <v>292</v>
      </c>
      <c r="AN235" s="18" t="s">
        <v>494</v>
      </c>
      <c r="AO235" s="18" t="s">
        <v>1704</v>
      </c>
      <c r="AP235" s="18">
        <v>1</v>
      </c>
      <c r="AQ235" s="18">
        <v>263.39285999999998</v>
      </c>
      <c r="AR235" s="18" t="s">
        <v>496</v>
      </c>
      <c r="AS235" s="18" t="s">
        <v>81</v>
      </c>
      <c r="AT235" s="18" t="s">
        <v>83</v>
      </c>
      <c r="AU235" s="18" t="s">
        <v>81</v>
      </c>
      <c r="AV235" s="18" t="s">
        <v>95</v>
      </c>
      <c r="AW235" s="18" t="s">
        <v>95</v>
      </c>
      <c r="AX235" s="18"/>
      <c r="AY235" s="18" t="str">
        <f>Pospago[[#This Row],[NUM_TELEFONICO]]&amp;"POSPAGOSI"</f>
        <v>983207771POSPAGOSI</v>
      </c>
      <c r="AZ235" s="18" t="str">
        <f>VLOOKUP(Pospago[[#This Row],[NOM_PLAZA_FINAL]],[1]!Locales[#Data],3,0)</f>
        <v>TIENDA AMERICA</v>
      </c>
      <c r="BA235" s="18" t="str">
        <f>IFERROR(VLOOKUP(Pospago[[#This Row],[USUARIO]],[1]!Personal[#Data],6,0),"EJECUTIVO NO REGISTRADO")</f>
        <v>ORTEGA RUIZ GABRIEL ANTONIO</v>
      </c>
      <c r="BB235" s="18" t="str">
        <f>Pospago[[#This Row],[TIPO_MOVIMIENTO]]&amp;" "&amp;Pospago[[#This Row],[FORMA_PAGO_FINAL]]</f>
        <v>TRANSFERENCIAS DOMICILIADO</v>
      </c>
      <c r="BC235" s="18">
        <f>DAY(Pospago[[#This Row],[FECHA_ALTA]])</f>
        <v>7</v>
      </c>
      <c r="BD235" s="18">
        <f>IF(Pospago[[#This Row],[TARIFA_BASICA]]=11.42,1,0)</f>
        <v>0</v>
      </c>
      <c r="BE235" s="18">
        <f>IF(Pospago[[#This Row],[PLANES TELEVENTAS]]="SI",1,0)</f>
        <v>0</v>
      </c>
      <c r="BF235" s="18">
        <f>1</f>
        <v>1</v>
      </c>
      <c r="BG235" s="18">
        <f>IF(OR(Pospago[[#This Row],[TARIFA_BASICA]]=11.42,Pospago[[#This Row],[PLANES TELEVENTAS]]="SI"),1,0)</f>
        <v>0</v>
      </c>
      <c r="BH235" s="18" t="str">
        <f>IF(MID(Pospago[[#This Row],[PlanDesc]],1,4) = "PLAN","POSPAGO",IF(MID(Pospago[[#This Row],[PlanDesc]],1,4)="FULL","FULL MEGAS","PREVIOPAGO"))</f>
        <v>PREVIOPAGO</v>
      </c>
      <c r="BI2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35" s="21">
        <f>Pospago[[#This Row],[TARIFA_BASICA]]*1.5</f>
        <v>21.419999999999998</v>
      </c>
    </row>
    <row r="236" spans="1:63" x14ac:dyDescent="0.25">
      <c r="A236" s="18" t="s">
        <v>154</v>
      </c>
      <c r="B236" s="18" t="s">
        <v>1705</v>
      </c>
      <c r="C236" s="18" t="s">
        <v>1706</v>
      </c>
      <c r="D236" s="19">
        <v>44911</v>
      </c>
      <c r="E236" s="18" t="s">
        <v>67</v>
      </c>
      <c r="F236" s="18" t="s">
        <v>1707</v>
      </c>
      <c r="G236" s="18" t="s">
        <v>1708</v>
      </c>
      <c r="H236" s="18" t="s">
        <v>159</v>
      </c>
      <c r="I236" s="18" t="s">
        <v>71</v>
      </c>
      <c r="J236" s="18" t="s">
        <v>258</v>
      </c>
      <c r="K236" s="18" t="s">
        <v>95</v>
      </c>
      <c r="L236" s="20" t="s">
        <v>1709</v>
      </c>
      <c r="M236" s="18" t="s">
        <v>75</v>
      </c>
      <c r="N236" s="20" t="s">
        <v>1710</v>
      </c>
      <c r="O236" s="18" t="s">
        <v>164</v>
      </c>
      <c r="P236" s="18" t="s">
        <v>78</v>
      </c>
      <c r="Q236" s="19">
        <v>44914</v>
      </c>
      <c r="R236" s="21">
        <v>11.42</v>
      </c>
      <c r="S236" s="18" t="s">
        <v>79</v>
      </c>
      <c r="T236" s="18" t="s">
        <v>174</v>
      </c>
      <c r="U236" s="18" t="s">
        <v>83</v>
      </c>
      <c r="V236" s="18" t="s">
        <v>95</v>
      </c>
      <c r="W236" s="18" t="s">
        <v>95</v>
      </c>
      <c r="X236" s="18" t="s">
        <v>118</v>
      </c>
      <c r="Y236" s="18" t="s">
        <v>85</v>
      </c>
      <c r="Z236" s="18" t="s">
        <v>86</v>
      </c>
      <c r="AA236" s="18" t="s">
        <v>119</v>
      </c>
      <c r="AB236" s="18" t="s">
        <v>760</v>
      </c>
      <c r="AC236" s="18" t="s">
        <v>761</v>
      </c>
      <c r="AD236" s="18" t="s">
        <v>85</v>
      </c>
      <c r="AE236" s="18" t="s">
        <v>90</v>
      </c>
      <c r="AF236" s="18" t="s">
        <v>177</v>
      </c>
      <c r="AG236" s="18" t="s">
        <v>139</v>
      </c>
      <c r="AH236" s="18" t="s">
        <v>165</v>
      </c>
      <c r="AI236" s="18" t="s">
        <v>94</v>
      </c>
      <c r="AJ236" s="19">
        <v>44911</v>
      </c>
      <c r="AK236" s="22" t="s">
        <v>95</v>
      </c>
      <c r="AL236" s="18" t="s">
        <v>95</v>
      </c>
      <c r="AM236" s="18" t="s">
        <v>95</v>
      </c>
      <c r="AN236" s="18" t="s">
        <v>95</v>
      </c>
      <c r="AO236" s="18" t="s">
        <v>95</v>
      </c>
      <c r="AP236" s="18" t="s">
        <v>95</v>
      </c>
      <c r="AQ236" s="18" t="s">
        <v>95</v>
      </c>
      <c r="AR236" s="18" t="s">
        <v>95</v>
      </c>
      <c r="AS236" s="18" t="s">
        <v>83</v>
      </c>
      <c r="AT236" s="18" t="s">
        <v>83</v>
      </c>
      <c r="AU236" s="18" t="s">
        <v>81</v>
      </c>
      <c r="AV236" s="18" t="s">
        <v>95</v>
      </c>
      <c r="AW236" s="18" t="s">
        <v>95</v>
      </c>
      <c r="AX236" s="18"/>
      <c r="AY236" s="18" t="str">
        <f>Pospago[[#This Row],[NUM_TELEFONICO]]&amp;"POSPAGOSI"</f>
        <v>983210456POSPAGOSI</v>
      </c>
      <c r="AZ236" s="18" t="str">
        <f>VLOOKUP(Pospago[[#This Row],[NOM_PLAZA_FINAL]],[1]!Locales[#Data],3,0)</f>
        <v>TIENDA RECREO</v>
      </c>
      <c r="BA236" s="18" t="str">
        <f>IFERROR(VLOOKUP(Pospago[[#This Row],[USUARIO]],[1]!Personal[#Data],6,0),"EJECUTIVO NO REGISTRADO")</f>
        <v>VALBUENA SANCHEZ ALBERT ANTHONY</v>
      </c>
      <c r="BB236" s="18" t="str">
        <f>Pospago[[#This Row],[TIPO_MOVIMIENTO]]&amp;" "&amp;Pospago[[#This Row],[FORMA_PAGO_FINAL]]</f>
        <v>TRANSFERENCIAS PAGO EN CAJA</v>
      </c>
      <c r="BC236" s="18">
        <f>DAY(Pospago[[#This Row],[FECHA_ALTA]])</f>
        <v>16</v>
      </c>
      <c r="BD236" s="18">
        <f>IF(Pospago[[#This Row],[TARIFA_BASICA]]=11.42,1,0)</f>
        <v>1</v>
      </c>
      <c r="BE236" s="18">
        <f>IF(Pospago[[#This Row],[PLANES TELEVENTAS]]="SI",1,0)</f>
        <v>0</v>
      </c>
      <c r="BF236" s="18">
        <f>1</f>
        <v>1</v>
      </c>
      <c r="BG236" s="18">
        <f>IF(OR(Pospago[[#This Row],[TARIFA_BASICA]]=11.42,Pospago[[#This Row],[PLANES TELEVENTAS]]="SI"),1,0)</f>
        <v>1</v>
      </c>
      <c r="BH236" s="18" t="str">
        <f>IF(MID(Pospago[[#This Row],[PlanDesc]],1,4) = "PLAN","POSPAGO",IF(MID(Pospago[[#This Row],[PlanDesc]],1,4)="FULL","FULL MEGAS","PREVIOPAGO"))</f>
        <v>PREVIOPAGO</v>
      </c>
      <c r="BI2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2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36" s="21">
        <f>Pospago[[#This Row],[TARIFA_BASICA]]*1.5</f>
        <v>17.13</v>
      </c>
    </row>
    <row r="237" spans="1:63" x14ac:dyDescent="0.25">
      <c r="A237" s="18" t="s">
        <v>154</v>
      </c>
      <c r="B237" s="18" t="s">
        <v>1711</v>
      </c>
      <c r="C237" s="18" t="s">
        <v>1712</v>
      </c>
      <c r="D237" s="19">
        <v>44906</v>
      </c>
      <c r="E237" s="18" t="s">
        <v>67</v>
      </c>
      <c r="F237" s="18" t="s">
        <v>1713</v>
      </c>
      <c r="G237" s="18" t="s">
        <v>1714</v>
      </c>
      <c r="H237" s="18" t="s">
        <v>159</v>
      </c>
      <c r="I237" s="18" t="s">
        <v>71</v>
      </c>
      <c r="J237" s="18" t="s">
        <v>258</v>
      </c>
      <c r="K237" s="18" t="s">
        <v>73</v>
      </c>
      <c r="L237" s="20" t="s">
        <v>1715</v>
      </c>
      <c r="M237" s="18" t="s">
        <v>75</v>
      </c>
      <c r="N237" s="20" t="s">
        <v>1716</v>
      </c>
      <c r="O237" s="18" t="s">
        <v>164</v>
      </c>
      <c r="P237" s="18" t="s">
        <v>78</v>
      </c>
      <c r="Q237" s="19">
        <v>44914</v>
      </c>
      <c r="R237" s="21">
        <v>11.42</v>
      </c>
      <c r="S237" s="18" t="s">
        <v>79</v>
      </c>
      <c r="T237" s="18" t="s">
        <v>174</v>
      </c>
      <c r="U237" s="18" t="s">
        <v>83</v>
      </c>
      <c r="V237" s="18" t="s">
        <v>95</v>
      </c>
      <c r="W237" s="18" t="s">
        <v>95</v>
      </c>
      <c r="X237" s="18" t="s">
        <v>118</v>
      </c>
      <c r="Y237" s="18" t="s">
        <v>85</v>
      </c>
      <c r="Z237" s="18" t="s">
        <v>86</v>
      </c>
      <c r="AA237" s="18" t="s">
        <v>119</v>
      </c>
      <c r="AB237" s="18" t="s">
        <v>822</v>
      </c>
      <c r="AC237" s="18" t="s">
        <v>823</v>
      </c>
      <c r="AD237" s="18" t="s">
        <v>85</v>
      </c>
      <c r="AE237" s="18" t="s">
        <v>90</v>
      </c>
      <c r="AF237" s="18" t="s">
        <v>177</v>
      </c>
      <c r="AG237" s="18" t="s">
        <v>139</v>
      </c>
      <c r="AH237" s="18" t="s">
        <v>165</v>
      </c>
      <c r="AI237" s="18" t="s">
        <v>94</v>
      </c>
      <c r="AJ237" s="19">
        <v>44906</v>
      </c>
      <c r="AK237" s="22" t="s">
        <v>95</v>
      </c>
      <c r="AL237" s="18" t="s">
        <v>95</v>
      </c>
      <c r="AM237" s="18" t="s">
        <v>95</v>
      </c>
      <c r="AN237" s="18" t="s">
        <v>95</v>
      </c>
      <c r="AO237" s="18" t="s">
        <v>95</v>
      </c>
      <c r="AP237" s="18" t="s">
        <v>95</v>
      </c>
      <c r="AQ237" s="18" t="s">
        <v>95</v>
      </c>
      <c r="AR237" s="18" t="s">
        <v>95</v>
      </c>
      <c r="AS237" s="18" t="s">
        <v>83</v>
      </c>
      <c r="AT237" s="18" t="s">
        <v>83</v>
      </c>
      <c r="AU237" s="18" t="s">
        <v>81</v>
      </c>
      <c r="AV237" s="18" t="s">
        <v>95</v>
      </c>
      <c r="AW237" s="18" t="s">
        <v>95</v>
      </c>
      <c r="AX237" s="18"/>
      <c r="AY237" s="18" t="str">
        <f>Pospago[[#This Row],[NUM_TELEFONICO]]&amp;"POSPAGOSI"</f>
        <v>983210673POSPAGOSI</v>
      </c>
      <c r="AZ237" s="18" t="str">
        <f>VLOOKUP(Pospago[[#This Row],[NOM_PLAZA_FINAL]],[1]!Locales[#Data],3,0)</f>
        <v>TIENDA RECREO</v>
      </c>
      <c r="BA237" s="18" t="str">
        <f>IFERROR(VLOOKUP(Pospago[[#This Row],[USUARIO]],[1]!Personal[#Data],6,0),"EJECUTIVO NO REGISTRADO")</f>
        <v>SALAS PARRA MARIA JOSE</v>
      </c>
      <c r="BB237" s="18" t="str">
        <f>Pospago[[#This Row],[TIPO_MOVIMIENTO]]&amp;" "&amp;Pospago[[#This Row],[FORMA_PAGO_FINAL]]</f>
        <v>TRANSFERENCIAS PAGO EN CAJA</v>
      </c>
      <c r="BC237" s="18">
        <f>DAY(Pospago[[#This Row],[FECHA_ALTA]])</f>
        <v>11</v>
      </c>
      <c r="BD237" s="18">
        <f>IF(Pospago[[#This Row],[TARIFA_BASICA]]=11.42,1,0)</f>
        <v>1</v>
      </c>
      <c r="BE237" s="18">
        <f>IF(Pospago[[#This Row],[PLANES TELEVENTAS]]="SI",1,0)</f>
        <v>0</v>
      </c>
      <c r="BF237" s="18">
        <f>1</f>
        <v>1</v>
      </c>
      <c r="BG237" s="18">
        <f>IF(OR(Pospago[[#This Row],[TARIFA_BASICA]]=11.42,Pospago[[#This Row],[PLANES TELEVENTAS]]="SI"),1,0)</f>
        <v>1</v>
      </c>
      <c r="BH237" s="18" t="str">
        <f>IF(MID(Pospago[[#This Row],[PlanDesc]],1,4) = "PLAN","POSPAGO",IF(MID(Pospago[[#This Row],[PlanDesc]],1,4)="FULL","FULL MEGAS","PREVIOPAGO"))</f>
        <v>PREVIOPAGO</v>
      </c>
      <c r="BI2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2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37" s="21">
        <f>Pospago[[#This Row],[TARIFA_BASICA]]*1.5</f>
        <v>17.13</v>
      </c>
    </row>
    <row r="238" spans="1:63" x14ac:dyDescent="0.25">
      <c r="A238" s="18" t="s">
        <v>154</v>
      </c>
      <c r="B238" s="18" t="s">
        <v>1717</v>
      </c>
      <c r="C238" s="18" t="s">
        <v>1718</v>
      </c>
      <c r="D238" s="19">
        <v>44906</v>
      </c>
      <c r="E238" s="18" t="s">
        <v>67</v>
      </c>
      <c r="F238" s="18" t="s">
        <v>1719</v>
      </c>
      <c r="G238" s="18" t="s">
        <v>1720</v>
      </c>
      <c r="H238" s="18" t="s">
        <v>159</v>
      </c>
      <c r="I238" s="18" t="s">
        <v>160</v>
      </c>
      <c r="J238" s="18" t="s">
        <v>161</v>
      </c>
      <c r="K238" s="18" t="s">
        <v>132</v>
      </c>
      <c r="L238" s="20" t="s">
        <v>1721</v>
      </c>
      <c r="M238" s="18" t="s">
        <v>75</v>
      </c>
      <c r="N238" s="20" t="s">
        <v>1722</v>
      </c>
      <c r="O238" s="18" t="s">
        <v>164</v>
      </c>
      <c r="P238" s="18" t="s">
        <v>78</v>
      </c>
      <c r="Q238" s="19">
        <v>44914</v>
      </c>
      <c r="R238" s="21">
        <v>14.28</v>
      </c>
      <c r="S238" s="18" t="s">
        <v>79</v>
      </c>
      <c r="T238" s="18" t="s">
        <v>174</v>
      </c>
      <c r="U238" s="18" t="s">
        <v>83</v>
      </c>
      <c r="V238" s="18" t="s">
        <v>95</v>
      </c>
      <c r="W238" s="18" t="s">
        <v>95</v>
      </c>
      <c r="X238" s="18" t="s">
        <v>118</v>
      </c>
      <c r="Y238" s="18" t="s">
        <v>85</v>
      </c>
      <c r="Z238" s="18" t="s">
        <v>86</v>
      </c>
      <c r="AA238" s="18" t="s">
        <v>119</v>
      </c>
      <c r="AB238" s="18" t="s">
        <v>303</v>
      </c>
      <c r="AC238" s="18" t="s">
        <v>304</v>
      </c>
      <c r="AD238" s="18" t="s">
        <v>85</v>
      </c>
      <c r="AE238" s="18" t="s">
        <v>90</v>
      </c>
      <c r="AF238" s="18" t="s">
        <v>177</v>
      </c>
      <c r="AG238" s="18" t="s">
        <v>139</v>
      </c>
      <c r="AH238" s="18" t="s">
        <v>165</v>
      </c>
      <c r="AI238" s="18" t="s">
        <v>94</v>
      </c>
      <c r="AJ238" s="19">
        <v>44906</v>
      </c>
      <c r="AK238" s="22" t="s">
        <v>95</v>
      </c>
      <c r="AL238" s="18" t="s">
        <v>95</v>
      </c>
      <c r="AM238" s="18" t="s">
        <v>95</v>
      </c>
      <c r="AN238" s="18" t="s">
        <v>95</v>
      </c>
      <c r="AO238" s="18" t="s">
        <v>95</v>
      </c>
      <c r="AP238" s="18" t="s">
        <v>95</v>
      </c>
      <c r="AQ238" s="18" t="s">
        <v>95</v>
      </c>
      <c r="AR238" s="18" t="s">
        <v>95</v>
      </c>
      <c r="AS238" s="18" t="s">
        <v>83</v>
      </c>
      <c r="AT238" s="18" t="s">
        <v>83</v>
      </c>
      <c r="AU238" s="18" t="s">
        <v>81</v>
      </c>
      <c r="AV238" s="18" t="s">
        <v>95</v>
      </c>
      <c r="AW238" s="18" t="s">
        <v>95</v>
      </c>
      <c r="AX238" s="18"/>
      <c r="AY238" s="18" t="str">
        <f>Pospago[[#This Row],[NUM_TELEFONICO]]&amp;"POSPAGOSI"</f>
        <v>983215167POSPAGOSI</v>
      </c>
      <c r="AZ238" s="18" t="str">
        <f>VLOOKUP(Pospago[[#This Row],[NOM_PLAZA_FINAL]],[1]!Locales[#Data],3,0)</f>
        <v>TIENDA RECREO</v>
      </c>
      <c r="BA238" s="18" t="str">
        <f>IFERROR(VLOOKUP(Pospago[[#This Row],[USUARIO]],[1]!Personal[#Data],6,0),"EJECUTIVO NO REGISTRADO")</f>
        <v>CORDOVA GAIBOR JONATHAN HERNAN</v>
      </c>
      <c r="BB238" s="18" t="str">
        <f>Pospago[[#This Row],[TIPO_MOVIMIENTO]]&amp;" "&amp;Pospago[[#This Row],[FORMA_PAGO_FINAL]]</f>
        <v>TRANSFERENCIAS PAGO EN CAJA</v>
      </c>
      <c r="BC238" s="18">
        <f>DAY(Pospago[[#This Row],[FECHA_ALTA]])</f>
        <v>11</v>
      </c>
      <c r="BD238" s="18">
        <f>IF(Pospago[[#This Row],[TARIFA_BASICA]]=11.42,1,0)</f>
        <v>0</v>
      </c>
      <c r="BE238" s="18">
        <f>IF(Pospago[[#This Row],[PLANES TELEVENTAS]]="SI",1,0)</f>
        <v>0</v>
      </c>
      <c r="BF238" s="18">
        <f>1</f>
        <v>1</v>
      </c>
      <c r="BG238" s="18">
        <f>IF(OR(Pospago[[#This Row],[TARIFA_BASICA]]=11.42,Pospago[[#This Row],[PLANES TELEVENTAS]]="SI"),1,0)</f>
        <v>0</v>
      </c>
      <c r="BH238" s="18" t="str">
        <f>IF(MID(Pospago[[#This Row],[PlanDesc]],1,4) = "PLAN","POSPAGO",IF(MID(Pospago[[#This Row],[PlanDesc]],1,4)="FULL","FULL MEGAS","PREVIOPAGO"))</f>
        <v>PREVIOPAGO</v>
      </c>
      <c r="BI2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38" s="21">
        <f>Pospago[[#This Row],[TARIFA_BASICA]]*1.5</f>
        <v>21.419999999999998</v>
      </c>
    </row>
    <row r="239" spans="1:63" x14ac:dyDescent="0.25">
      <c r="A239" s="18" t="s">
        <v>64</v>
      </c>
      <c r="B239" s="18" t="s">
        <v>1723</v>
      </c>
      <c r="C239" s="18" t="s">
        <v>1724</v>
      </c>
      <c r="D239" s="19">
        <v>44900</v>
      </c>
      <c r="E239" s="18" t="s">
        <v>67</v>
      </c>
      <c r="F239" s="18" t="s">
        <v>1725</v>
      </c>
      <c r="G239" s="18" t="s">
        <v>1726</v>
      </c>
      <c r="H239" s="18" t="s">
        <v>70</v>
      </c>
      <c r="I239" s="18" t="s">
        <v>160</v>
      </c>
      <c r="J239" s="18" t="s">
        <v>195</v>
      </c>
      <c r="K239" s="18" t="s">
        <v>1727</v>
      </c>
      <c r="L239" s="20" t="s">
        <v>1728</v>
      </c>
      <c r="M239" s="18" t="s">
        <v>75</v>
      </c>
      <c r="N239" s="20" t="s">
        <v>1729</v>
      </c>
      <c r="O239" s="18" t="s">
        <v>77</v>
      </c>
      <c r="P239" s="18" t="s">
        <v>78</v>
      </c>
      <c r="Q239" s="19">
        <v>44914</v>
      </c>
      <c r="R239" s="21">
        <v>14.28</v>
      </c>
      <c r="S239" s="18" t="s">
        <v>79</v>
      </c>
      <c r="T239" s="18" t="s">
        <v>148</v>
      </c>
      <c r="U239" s="18" t="s">
        <v>83</v>
      </c>
      <c r="V239" s="18" t="s">
        <v>95</v>
      </c>
      <c r="W239" s="18" t="s">
        <v>83</v>
      </c>
      <c r="X239" s="18" t="s">
        <v>118</v>
      </c>
      <c r="Y239" s="18" t="s">
        <v>85</v>
      </c>
      <c r="Z239" s="18" t="s">
        <v>86</v>
      </c>
      <c r="AA239" s="18" t="s">
        <v>119</v>
      </c>
      <c r="AB239" s="18" t="s">
        <v>318</v>
      </c>
      <c r="AC239" s="18" t="s">
        <v>319</v>
      </c>
      <c r="AD239" s="18" t="s">
        <v>85</v>
      </c>
      <c r="AE239" s="18" t="s">
        <v>90</v>
      </c>
      <c r="AF239" s="18" t="s">
        <v>151</v>
      </c>
      <c r="AG239" s="18" t="s">
        <v>92</v>
      </c>
      <c r="AH239" s="18" t="s">
        <v>93</v>
      </c>
      <c r="AI239" s="18" t="s">
        <v>94</v>
      </c>
      <c r="AJ239" s="19">
        <v>44900</v>
      </c>
      <c r="AK239" s="22" t="s">
        <v>95</v>
      </c>
      <c r="AL239" s="18" t="s">
        <v>95</v>
      </c>
      <c r="AM239" s="18" t="s">
        <v>95</v>
      </c>
      <c r="AN239" s="18" t="s">
        <v>95</v>
      </c>
      <c r="AO239" s="18" t="s">
        <v>95</v>
      </c>
      <c r="AP239" s="18" t="s">
        <v>95</v>
      </c>
      <c r="AQ239" s="18" t="s">
        <v>95</v>
      </c>
      <c r="AR239" s="18" t="s">
        <v>95</v>
      </c>
      <c r="AS239" s="18" t="s">
        <v>83</v>
      </c>
      <c r="AT239" s="18" t="s">
        <v>83</v>
      </c>
      <c r="AU239" s="18" t="s">
        <v>81</v>
      </c>
      <c r="AV239" s="18" t="s">
        <v>95</v>
      </c>
      <c r="AW239" s="18" t="s">
        <v>95</v>
      </c>
      <c r="AX239" s="18"/>
      <c r="AY239" s="18" t="str">
        <f>Pospago[[#This Row],[NUM_TELEFONICO]]&amp;"POSPAGOSI"</f>
        <v>983215839POSPAGOSI</v>
      </c>
      <c r="AZ239" s="18" t="str">
        <f>VLOOKUP(Pospago[[#This Row],[NOM_PLAZA_FINAL]],[1]!Locales[#Data],3,0)</f>
        <v>TIENDA CUENCA REMIGIO</v>
      </c>
      <c r="BA239" s="18" t="str">
        <f>IFERROR(VLOOKUP(Pospago[[#This Row],[USUARIO]],[1]!Personal[#Data],6,0),"EJECUTIVO NO REGISTRADO")</f>
        <v>RODRIGUEZ QUITO JESSICA GABRIELA</v>
      </c>
      <c r="BB239" s="18" t="str">
        <f>Pospago[[#This Row],[TIPO_MOVIMIENTO]]&amp;" "&amp;Pospago[[#This Row],[FORMA_PAGO_FINAL]]</f>
        <v>ALTAS PAGO EN CAJA</v>
      </c>
      <c r="BC239" s="18">
        <f>DAY(Pospago[[#This Row],[FECHA_ALTA]])</f>
        <v>5</v>
      </c>
      <c r="BD239" s="18">
        <f>IF(Pospago[[#This Row],[TARIFA_BASICA]]=11.42,1,0)</f>
        <v>0</v>
      </c>
      <c r="BE239" s="18">
        <f>IF(Pospago[[#This Row],[PLANES TELEVENTAS]]="SI",1,0)</f>
        <v>0</v>
      </c>
      <c r="BF239" s="18">
        <f>1</f>
        <v>1</v>
      </c>
      <c r="BG239" s="18">
        <f>IF(OR(Pospago[[#This Row],[TARIFA_BASICA]]=11.42,Pospago[[#This Row],[PLANES TELEVENTAS]]="SI"),1,0)</f>
        <v>0</v>
      </c>
      <c r="BH239" s="18" t="str">
        <f>IF(MID(Pospago[[#This Row],[PlanDesc]],1,4) = "PLAN","POSPAGO",IF(MID(Pospago[[#This Row],[PlanDesc]],1,4)="FULL","FULL MEGAS","PREVIOPAGO"))</f>
        <v>PREVIOPAGO</v>
      </c>
      <c r="BI2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2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39" s="21">
        <f>Pospago[[#This Row],[TARIFA_BASICA]]*1.5</f>
        <v>21.419999999999998</v>
      </c>
    </row>
    <row r="240" spans="1:63" x14ac:dyDescent="0.25">
      <c r="A240" s="18" t="s">
        <v>154</v>
      </c>
      <c r="B240" s="18" t="s">
        <v>1730</v>
      </c>
      <c r="C240" s="18" t="s">
        <v>1731</v>
      </c>
      <c r="D240" s="19">
        <v>44900</v>
      </c>
      <c r="E240" s="18" t="s">
        <v>67</v>
      </c>
      <c r="F240" s="18" t="s">
        <v>1732</v>
      </c>
      <c r="G240" s="18" t="s">
        <v>1733</v>
      </c>
      <c r="H240" s="18" t="s">
        <v>159</v>
      </c>
      <c r="I240" s="18" t="s">
        <v>71</v>
      </c>
      <c r="J240" s="18" t="s">
        <v>258</v>
      </c>
      <c r="K240" s="18" t="s">
        <v>73</v>
      </c>
      <c r="L240" s="20" t="s">
        <v>1734</v>
      </c>
      <c r="M240" s="18" t="s">
        <v>75</v>
      </c>
      <c r="N240" s="20" t="s">
        <v>1735</v>
      </c>
      <c r="O240" s="18" t="s">
        <v>164</v>
      </c>
      <c r="P240" s="18" t="s">
        <v>78</v>
      </c>
      <c r="Q240" s="19">
        <v>44914</v>
      </c>
      <c r="R240" s="21">
        <v>11.42</v>
      </c>
      <c r="S240" s="18" t="s">
        <v>79</v>
      </c>
      <c r="T240" s="18" t="s">
        <v>174</v>
      </c>
      <c r="U240" s="18" t="s">
        <v>83</v>
      </c>
      <c r="V240" s="18" t="s">
        <v>95</v>
      </c>
      <c r="W240" s="18" t="s">
        <v>95</v>
      </c>
      <c r="X240" s="18" t="s">
        <v>118</v>
      </c>
      <c r="Y240" s="18" t="s">
        <v>85</v>
      </c>
      <c r="Z240" s="18" t="s">
        <v>86</v>
      </c>
      <c r="AA240" s="18" t="s">
        <v>119</v>
      </c>
      <c r="AB240" s="18" t="s">
        <v>760</v>
      </c>
      <c r="AC240" s="18" t="s">
        <v>761</v>
      </c>
      <c r="AD240" s="18" t="s">
        <v>85</v>
      </c>
      <c r="AE240" s="18" t="s">
        <v>90</v>
      </c>
      <c r="AF240" s="18" t="s">
        <v>177</v>
      </c>
      <c r="AG240" s="18" t="s">
        <v>139</v>
      </c>
      <c r="AH240" s="18" t="s">
        <v>165</v>
      </c>
      <c r="AI240" s="18" t="s">
        <v>94</v>
      </c>
      <c r="AJ240" s="19">
        <v>44900</v>
      </c>
      <c r="AK240" s="22" t="s">
        <v>95</v>
      </c>
      <c r="AL240" s="18" t="s">
        <v>95</v>
      </c>
      <c r="AM240" s="18" t="s">
        <v>95</v>
      </c>
      <c r="AN240" s="18" t="s">
        <v>95</v>
      </c>
      <c r="AO240" s="18" t="s">
        <v>95</v>
      </c>
      <c r="AP240" s="18" t="s">
        <v>95</v>
      </c>
      <c r="AQ240" s="18" t="s">
        <v>95</v>
      </c>
      <c r="AR240" s="18" t="s">
        <v>95</v>
      </c>
      <c r="AS240" s="18" t="s">
        <v>83</v>
      </c>
      <c r="AT240" s="18" t="s">
        <v>83</v>
      </c>
      <c r="AU240" s="18" t="s">
        <v>81</v>
      </c>
      <c r="AV240" s="18" t="s">
        <v>95</v>
      </c>
      <c r="AW240" s="18" t="s">
        <v>95</v>
      </c>
      <c r="AX240" s="18"/>
      <c r="AY240" s="18" t="str">
        <f>Pospago[[#This Row],[NUM_TELEFONICO]]&amp;"POSPAGOSI"</f>
        <v>983227627POSPAGOSI</v>
      </c>
      <c r="AZ240" s="18" t="str">
        <f>VLOOKUP(Pospago[[#This Row],[NOM_PLAZA_FINAL]],[1]!Locales[#Data],3,0)</f>
        <v>TIENDA RECREO</v>
      </c>
      <c r="BA240" s="18" t="str">
        <f>IFERROR(VLOOKUP(Pospago[[#This Row],[USUARIO]],[1]!Personal[#Data],6,0),"EJECUTIVO NO REGISTRADO")</f>
        <v>VALBUENA SANCHEZ ALBERT ANTHONY</v>
      </c>
      <c r="BB240" s="18" t="str">
        <f>Pospago[[#This Row],[TIPO_MOVIMIENTO]]&amp;" "&amp;Pospago[[#This Row],[FORMA_PAGO_FINAL]]</f>
        <v>TRANSFERENCIAS PAGO EN CAJA</v>
      </c>
      <c r="BC240" s="18">
        <f>DAY(Pospago[[#This Row],[FECHA_ALTA]])</f>
        <v>5</v>
      </c>
      <c r="BD240" s="18">
        <f>IF(Pospago[[#This Row],[TARIFA_BASICA]]=11.42,1,0)</f>
        <v>1</v>
      </c>
      <c r="BE240" s="18">
        <f>IF(Pospago[[#This Row],[PLANES TELEVENTAS]]="SI",1,0)</f>
        <v>0</v>
      </c>
      <c r="BF240" s="18">
        <f>1</f>
        <v>1</v>
      </c>
      <c r="BG240" s="18">
        <f>IF(OR(Pospago[[#This Row],[TARIFA_BASICA]]=11.42,Pospago[[#This Row],[PLANES TELEVENTAS]]="SI"),1,0)</f>
        <v>1</v>
      </c>
      <c r="BH240" s="18" t="str">
        <f>IF(MID(Pospago[[#This Row],[PlanDesc]],1,4) = "PLAN","POSPAGO",IF(MID(Pospago[[#This Row],[PlanDesc]],1,4)="FULL","FULL MEGAS","PREVIOPAGO"))</f>
        <v>PREVIOPAGO</v>
      </c>
      <c r="BI2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2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40" s="21">
        <f>Pospago[[#This Row],[TARIFA_BASICA]]*1.5</f>
        <v>17.13</v>
      </c>
    </row>
    <row r="241" spans="1:63" x14ac:dyDescent="0.25">
      <c r="A241" s="18" t="s">
        <v>64</v>
      </c>
      <c r="B241" s="18" t="s">
        <v>1736</v>
      </c>
      <c r="C241" s="18" t="s">
        <v>1737</v>
      </c>
      <c r="D241" s="19">
        <v>44897</v>
      </c>
      <c r="E241" s="18" t="s">
        <v>67</v>
      </c>
      <c r="F241" s="18" t="s">
        <v>1738</v>
      </c>
      <c r="G241" s="18" t="s">
        <v>1739</v>
      </c>
      <c r="H241" s="18" t="s">
        <v>70</v>
      </c>
      <c r="I241" s="18" t="s">
        <v>194</v>
      </c>
      <c r="J241" s="18" t="s">
        <v>195</v>
      </c>
      <c r="K241" s="18" t="s">
        <v>132</v>
      </c>
      <c r="L241" s="20" t="s">
        <v>1740</v>
      </c>
      <c r="M241" s="18" t="s">
        <v>75</v>
      </c>
      <c r="N241" s="20" t="s">
        <v>1741</v>
      </c>
      <c r="O241" s="18" t="s">
        <v>77</v>
      </c>
      <c r="P241" s="18" t="s">
        <v>78</v>
      </c>
      <c r="Q241" s="19">
        <v>44914</v>
      </c>
      <c r="R241" s="21">
        <v>14.28</v>
      </c>
      <c r="S241" s="18" t="s">
        <v>79</v>
      </c>
      <c r="T241" s="18" t="s">
        <v>174</v>
      </c>
      <c r="U241" s="18" t="s">
        <v>83</v>
      </c>
      <c r="V241" s="18" t="s">
        <v>95</v>
      </c>
      <c r="W241" s="18" t="s">
        <v>83</v>
      </c>
      <c r="X241" s="18" t="s">
        <v>84</v>
      </c>
      <c r="Y241" s="18" t="s">
        <v>85</v>
      </c>
      <c r="Z241" s="18" t="s">
        <v>86</v>
      </c>
      <c r="AA241" s="18" t="s">
        <v>87</v>
      </c>
      <c r="AB241" s="18" t="s">
        <v>175</v>
      </c>
      <c r="AC241" s="18" t="s">
        <v>176</v>
      </c>
      <c r="AD241" s="18" t="s">
        <v>85</v>
      </c>
      <c r="AE241" s="18" t="s">
        <v>90</v>
      </c>
      <c r="AF241" s="18" t="s">
        <v>177</v>
      </c>
      <c r="AG241" s="18" t="s">
        <v>139</v>
      </c>
      <c r="AH241" s="18" t="s">
        <v>93</v>
      </c>
      <c r="AI241" s="18" t="s">
        <v>94</v>
      </c>
      <c r="AJ241" s="19">
        <v>44897</v>
      </c>
      <c r="AK241" s="22" t="s">
        <v>95</v>
      </c>
      <c r="AL241" s="18" t="s">
        <v>95</v>
      </c>
      <c r="AM241" s="18" t="s">
        <v>95</v>
      </c>
      <c r="AN241" s="18" t="s">
        <v>95</v>
      </c>
      <c r="AO241" s="18" t="s">
        <v>95</v>
      </c>
      <c r="AP241" s="18" t="s">
        <v>95</v>
      </c>
      <c r="AQ241" s="18" t="s">
        <v>95</v>
      </c>
      <c r="AR241" s="18" t="s">
        <v>95</v>
      </c>
      <c r="AS241" s="18" t="s">
        <v>83</v>
      </c>
      <c r="AT241" s="18" t="s">
        <v>81</v>
      </c>
      <c r="AU241" s="18" t="s">
        <v>81</v>
      </c>
      <c r="AV241" s="18" t="s">
        <v>95</v>
      </c>
      <c r="AW241" s="18" t="s">
        <v>95</v>
      </c>
      <c r="AX241" s="18"/>
      <c r="AY241" s="18" t="str">
        <f>Pospago[[#This Row],[NUM_TELEFONICO]]&amp;"POSPAGOSI"</f>
        <v>983229206POSPAGOSI</v>
      </c>
      <c r="AZ241" s="18" t="str">
        <f>VLOOKUP(Pospago[[#This Row],[NOM_PLAZA_FINAL]],[1]!Locales[#Data],3,0)</f>
        <v>TIENDA RECREO</v>
      </c>
      <c r="BA241" s="18" t="str">
        <f>IFERROR(VLOOKUP(Pospago[[#This Row],[USUARIO]],[1]!Personal[#Data],6,0),"EJECUTIVO NO REGISTRADO")</f>
        <v>VARGAS REYES LUIS EDUARDO</v>
      </c>
      <c r="BB241" s="18" t="str">
        <f>Pospago[[#This Row],[TIPO_MOVIMIENTO]]&amp;" "&amp;Pospago[[#This Row],[FORMA_PAGO_FINAL]]</f>
        <v>ALTAS DOMICILIADO</v>
      </c>
      <c r="BC241" s="18">
        <f>DAY(Pospago[[#This Row],[FECHA_ALTA]])</f>
        <v>2</v>
      </c>
      <c r="BD241" s="18">
        <f>IF(Pospago[[#This Row],[TARIFA_BASICA]]=11.42,1,0)</f>
        <v>0</v>
      </c>
      <c r="BE241" s="18">
        <f>IF(Pospago[[#This Row],[PLANES TELEVENTAS]]="SI",1,0)</f>
        <v>1</v>
      </c>
      <c r="BF241" s="18">
        <f>1</f>
        <v>1</v>
      </c>
      <c r="BG241" s="18">
        <f>IF(OR(Pospago[[#This Row],[TARIFA_BASICA]]=11.42,Pospago[[#This Row],[PLANES TELEVENTAS]]="SI"),1,0)</f>
        <v>1</v>
      </c>
      <c r="BH241" s="18" t="str">
        <f>IF(MID(Pospago[[#This Row],[PlanDesc]],1,4) = "PLAN","POSPAGO",IF(MID(Pospago[[#This Row],[PlanDesc]],1,4)="FULL","FULL MEGAS","PREVIOPAGO"))</f>
        <v>PREVIOPAGO</v>
      </c>
      <c r="BI2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1" s="21">
        <f>Pospago[[#This Row],[TARIFA_BASICA]]*1.5</f>
        <v>21.419999999999998</v>
      </c>
    </row>
    <row r="242" spans="1:63" x14ac:dyDescent="0.25">
      <c r="A242" s="18" t="s">
        <v>64</v>
      </c>
      <c r="B242" s="18" t="s">
        <v>1742</v>
      </c>
      <c r="C242" s="18" t="s">
        <v>1743</v>
      </c>
      <c r="D242" s="19">
        <v>44898</v>
      </c>
      <c r="E242" s="18" t="s">
        <v>67</v>
      </c>
      <c r="F242" s="18" t="s">
        <v>1744</v>
      </c>
      <c r="G242" s="18" t="s">
        <v>1745</v>
      </c>
      <c r="H242" s="18" t="s">
        <v>70</v>
      </c>
      <c r="I242" s="18" t="s">
        <v>160</v>
      </c>
      <c r="J242" s="18" t="s">
        <v>195</v>
      </c>
      <c r="K242" s="18" t="s">
        <v>132</v>
      </c>
      <c r="L242" s="20" t="s">
        <v>1746</v>
      </c>
      <c r="M242" s="18" t="s">
        <v>75</v>
      </c>
      <c r="N242" s="20" t="s">
        <v>1747</v>
      </c>
      <c r="O242" s="18" t="s">
        <v>77</v>
      </c>
      <c r="P242" s="18" t="s">
        <v>78</v>
      </c>
      <c r="Q242" s="19">
        <v>44914</v>
      </c>
      <c r="R242" s="21">
        <v>14.28</v>
      </c>
      <c r="S242" s="18" t="s">
        <v>79</v>
      </c>
      <c r="T242" s="18" t="s">
        <v>232</v>
      </c>
      <c r="U242" s="18" t="s">
        <v>83</v>
      </c>
      <c r="V242" s="18" t="s">
        <v>95</v>
      </c>
      <c r="W242" s="18" t="s">
        <v>83</v>
      </c>
      <c r="X242" s="18" t="s">
        <v>84</v>
      </c>
      <c r="Y242" s="18" t="s">
        <v>85</v>
      </c>
      <c r="Z242" s="18" t="s">
        <v>86</v>
      </c>
      <c r="AA242" s="18" t="s">
        <v>87</v>
      </c>
      <c r="AB242" s="18" t="s">
        <v>233</v>
      </c>
      <c r="AC242" s="18" t="s">
        <v>234</v>
      </c>
      <c r="AD242" s="18" t="s">
        <v>85</v>
      </c>
      <c r="AE242" s="18" t="s">
        <v>90</v>
      </c>
      <c r="AF242" s="18" t="s">
        <v>235</v>
      </c>
      <c r="AG242" s="18" t="s">
        <v>139</v>
      </c>
      <c r="AH242" s="18" t="s">
        <v>93</v>
      </c>
      <c r="AI242" s="18" t="s">
        <v>94</v>
      </c>
      <c r="AJ242" s="19">
        <v>44898</v>
      </c>
      <c r="AK242" s="22" t="s">
        <v>95</v>
      </c>
      <c r="AL242" s="18" t="s">
        <v>95</v>
      </c>
      <c r="AM242" s="18" t="s">
        <v>95</v>
      </c>
      <c r="AN242" s="18" t="s">
        <v>95</v>
      </c>
      <c r="AO242" s="18" t="s">
        <v>95</v>
      </c>
      <c r="AP242" s="18" t="s">
        <v>95</v>
      </c>
      <c r="AQ242" s="18" t="s">
        <v>95</v>
      </c>
      <c r="AR242" s="18" t="s">
        <v>95</v>
      </c>
      <c r="AS242" s="18" t="s">
        <v>83</v>
      </c>
      <c r="AT242" s="18" t="s">
        <v>83</v>
      </c>
      <c r="AU242" s="18" t="s">
        <v>81</v>
      </c>
      <c r="AV242" s="18" t="s">
        <v>95</v>
      </c>
      <c r="AW242" s="18" t="s">
        <v>95</v>
      </c>
      <c r="AX242" s="18"/>
      <c r="AY242" s="18" t="str">
        <f>Pospago[[#This Row],[NUM_TELEFONICO]]&amp;"POSPAGOSI"</f>
        <v>983248693POSPAGOSI</v>
      </c>
      <c r="AZ242" s="18" t="str">
        <f>VLOOKUP(Pospago[[#This Row],[NOM_PLAZA_FINAL]],[1]!Locales[#Data],3,0)</f>
        <v>TIENDA CONDADO</v>
      </c>
      <c r="BA242" s="18" t="str">
        <f>IFERROR(VLOOKUP(Pospago[[#This Row],[USUARIO]],[1]!Personal[#Data],6,0),"EJECUTIVO NO REGISTRADO")</f>
        <v>ROSALES MALDONADO JESSICA GABRIELA</v>
      </c>
      <c r="BB242" s="18" t="str">
        <f>Pospago[[#This Row],[TIPO_MOVIMIENTO]]&amp;" "&amp;Pospago[[#This Row],[FORMA_PAGO_FINAL]]</f>
        <v>ALTAS DOMICILIADO</v>
      </c>
      <c r="BC242" s="18">
        <f>DAY(Pospago[[#This Row],[FECHA_ALTA]])</f>
        <v>3</v>
      </c>
      <c r="BD242" s="18">
        <f>IF(Pospago[[#This Row],[TARIFA_BASICA]]=11.42,1,0)</f>
        <v>0</v>
      </c>
      <c r="BE242" s="18">
        <f>IF(Pospago[[#This Row],[PLANES TELEVENTAS]]="SI",1,0)</f>
        <v>0</v>
      </c>
      <c r="BF242" s="18">
        <f>1</f>
        <v>1</v>
      </c>
      <c r="BG242" s="18">
        <f>IF(OR(Pospago[[#This Row],[TARIFA_BASICA]]=11.42,Pospago[[#This Row],[PLANES TELEVENTAS]]="SI"),1,0)</f>
        <v>0</v>
      </c>
      <c r="BH242" s="18" t="str">
        <f>IF(MID(Pospago[[#This Row],[PlanDesc]],1,4) = "PLAN","POSPAGO",IF(MID(Pospago[[#This Row],[PlanDesc]],1,4)="FULL","FULL MEGAS","PREVIOPAGO"))</f>
        <v>PREVIOPAGO</v>
      </c>
      <c r="BI2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2" s="21">
        <f>Pospago[[#This Row],[TARIFA_BASICA]]*1.5</f>
        <v>21.419999999999998</v>
      </c>
    </row>
    <row r="243" spans="1:63" x14ac:dyDescent="0.25">
      <c r="A243" s="18" t="s">
        <v>154</v>
      </c>
      <c r="B243" s="18" t="s">
        <v>1748</v>
      </c>
      <c r="C243" s="18" t="s">
        <v>1749</v>
      </c>
      <c r="D243" s="19">
        <v>44898</v>
      </c>
      <c r="E243" s="18" t="s">
        <v>67</v>
      </c>
      <c r="F243" s="18" t="s">
        <v>1750</v>
      </c>
      <c r="G243" s="18" t="s">
        <v>1751</v>
      </c>
      <c r="H243" s="18" t="s">
        <v>159</v>
      </c>
      <c r="I243" s="18" t="s">
        <v>160</v>
      </c>
      <c r="J243" s="18" t="s">
        <v>161</v>
      </c>
      <c r="K243" s="18" t="s">
        <v>73</v>
      </c>
      <c r="L243" s="20" t="s">
        <v>1752</v>
      </c>
      <c r="M243" s="18" t="s">
        <v>75</v>
      </c>
      <c r="N243" s="20" t="s">
        <v>1753</v>
      </c>
      <c r="O243" s="18" t="s">
        <v>164</v>
      </c>
      <c r="P243" s="18" t="s">
        <v>78</v>
      </c>
      <c r="Q243" s="19">
        <v>44914</v>
      </c>
      <c r="R243" s="21">
        <v>14.28</v>
      </c>
      <c r="S243" s="18" t="s">
        <v>79</v>
      </c>
      <c r="T243" s="18" t="s">
        <v>232</v>
      </c>
      <c r="U243" s="18" t="s">
        <v>83</v>
      </c>
      <c r="V243" s="18" t="s">
        <v>95</v>
      </c>
      <c r="W243" s="18" t="s">
        <v>95</v>
      </c>
      <c r="X243" s="18" t="s">
        <v>118</v>
      </c>
      <c r="Y243" s="18" t="s">
        <v>85</v>
      </c>
      <c r="Z243" s="18" t="s">
        <v>86</v>
      </c>
      <c r="AA243" s="18" t="s">
        <v>119</v>
      </c>
      <c r="AB243" s="18" t="s">
        <v>769</v>
      </c>
      <c r="AC243" s="18" t="s">
        <v>770</v>
      </c>
      <c r="AD243" s="18" t="s">
        <v>85</v>
      </c>
      <c r="AE243" s="18" t="s">
        <v>90</v>
      </c>
      <c r="AF243" s="18" t="s">
        <v>235</v>
      </c>
      <c r="AG243" s="18" t="s">
        <v>139</v>
      </c>
      <c r="AH243" s="18" t="s">
        <v>165</v>
      </c>
      <c r="AI243" s="18" t="s">
        <v>94</v>
      </c>
      <c r="AJ243" s="19">
        <v>44898</v>
      </c>
      <c r="AK243" s="22" t="s">
        <v>95</v>
      </c>
      <c r="AL243" s="18" t="s">
        <v>95</v>
      </c>
      <c r="AM243" s="18" t="s">
        <v>95</v>
      </c>
      <c r="AN243" s="18" t="s">
        <v>95</v>
      </c>
      <c r="AO243" s="18" t="s">
        <v>95</v>
      </c>
      <c r="AP243" s="18" t="s">
        <v>95</v>
      </c>
      <c r="AQ243" s="18" t="s">
        <v>95</v>
      </c>
      <c r="AR243" s="18" t="s">
        <v>95</v>
      </c>
      <c r="AS243" s="18" t="s">
        <v>83</v>
      </c>
      <c r="AT243" s="18" t="s">
        <v>83</v>
      </c>
      <c r="AU243" s="18" t="s">
        <v>81</v>
      </c>
      <c r="AV243" s="18" t="s">
        <v>95</v>
      </c>
      <c r="AW243" s="18" t="s">
        <v>95</v>
      </c>
      <c r="AX243" s="18"/>
      <c r="AY243" s="18" t="str">
        <f>Pospago[[#This Row],[NUM_TELEFONICO]]&amp;"POSPAGOSI"</f>
        <v>983259044POSPAGOSI</v>
      </c>
      <c r="AZ243" s="18" t="str">
        <f>VLOOKUP(Pospago[[#This Row],[NOM_PLAZA_FINAL]],[1]!Locales[#Data],3,0)</f>
        <v>TIENDA CONDADO</v>
      </c>
      <c r="BA243" s="18" t="str">
        <f>IFERROR(VLOOKUP(Pospago[[#This Row],[USUARIO]],[1]!Personal[#Data],6,0),"EJECUTIVO NO REGISTRADO")</f>
        <v>ROJAS VEGA JHOSMERY MICHELE</v>
      </c>
      <c r="BB243" s="18" t="str">
        <f>Pospago[[#This Row],[TIPO_MOVIMIENTO]]&amp;" "&amp;Pospago[[#This Row],[FORMA_PAGO_FINAL]]</f>
        <v>TRANSFERENCIAS PAGO EN CAJA</v>
      </c>
      <c r="BC243" s="18">
        <f>DAY(Pospago[[#This Row],[FECHA_ALTA]])</f>
        <v>3</v>
      </c>
      <c r="BD243" s="18">
        <f>IF(Pospago[[#This Row],[TARIFA_BASICA]]=11.42,1,0)</f>
        <v>0</v>
      </c>
      <c r="BE243" s="18">
        <f>IF(Pospago[[#This Row],[PLANES TELEVENTAS]]="SI",1,0)</f>
        <v>0</v>
      </c>
      <c r="BF243" s="18">
        <f>1</f>
        <v>1</v>
      </c>
      <c r="BG243" s="18">
        <f>IF(OR(Pospago[[#This Row],[TARIFA_BASICA]]=11.42,Pospago[[#This Row],[PLANES TELEVENTAS]]="SI"),1,0)</f>
        <v>0</v>
      </c>
      <c r="BH243" s="18" t="str">
        <f>IF(MID(Pospago[[#This Row],[PlanDesc]],1,4) = "PLAN","POSPAGO",IF(MID(Pospago[[#This Row],[PlanDesc]],1,4)="FULL","FULL MEGAS","PREVIOPAGO"))</f>
        <v>PREVIOPAGO</v>
      </c>
      <c r="BI2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3" s="21">
        <f>Pospago[[#This Row],[TARIFA_BASICA]]*1.5</f>
        <v>21.419999999999998</v>
      </c>
    </row>
    <row r="244" spans="1:63" x14ac:dyDescent="0.25">
      <c r="A244" s="18" t="s">
        <v>64</v>
      </c>
      <c r="B244" s="18" t="s">
        <v>1754</v>
      </c>
      <c r="C244" s="18" t="s">
        <v>1755</v>
      </c>
      <c r="D244" s="19">
        <v>44907</v>
      </c>
      <c r="E244" s="18" t="s">
        <v>67</v>
      </c>
      <c r="F244" s="18" t="s">
        <v>572</v>
      </c>
      <c r="G244" s="18" t="s">
        <v>573</v>
      </c>
      <c r="H244" s="18" t="s">
        <v>70</v>
      </c>
      <c r="I244" s="18" t="s">
        <v>1756</v>
      </c>
      <c r="J244" s="18" t="s">
        <v>1757</v>
      </c>
      <c r="K244" s="18" t="s">
        <v>114</v>
      </c>
      <c r="L244" s="20" t="s">
        <v>1758</v>
      </c>
      <c r="M244" s="18" t="s">
        <v>75</v>
      </c>
      <c r="N244" s="20" t="s">
        <v>1759</v>
      </c>
      <c r="O244" s="18" t="s">
        <v>77</v>
      </c>
      <c r="P244" s="18" t="s">
        <v>78</v>
      </c>
      <c r="Q244" s="19">
        <v>44914</v>
      </c>
      <c r="R244" s="21">
        <v>17.850000000000001</v>
      </c>
      <c r="S244" s="18" t="s">
        <v>79</v>
      </c>
      <c r="T244" s="18" t="s">
        <v>117</v>
      </c>
      <c r="U244" s="18" t="s">
        <v>83</v>
      </c>
      <c r="V244" s="18" t="s">
        <v>95</v>
      </c>
      <c r="W244" s="18" t="s">
        <v>83</v>
      </c>
      <c r="X244" s="18" t="s">
        <v>84</v>
      </c>
      <c r="Y244" s="18" t="s">
        <v>85</v>
      </c>
      <c r="Z244" s="18" t="s">
        <v>86</v>
      </c>
      <c r="AA244" s="18" t="s">
        <v>87</v>
      </c>
      <c r="AB244" s="18" t="s">
        <v>120</v>
      </c>
      <c r="AC244" s="18" t="s">
        <v>121</v>
      </c>
      <c r="AD244" s="18" t="s">
        <v>85</v>
      </c>
      <c r="AE244" s="18" t="s">
        <v>90</v>
      </c>
      <c r="AF244" s="18" t="s">
        <v>122</v>
      </c>
      <c r="AG244" s="18" t="s">
        <v>92</v>
      </c>
      <c r="AH244" s="18" t="s">
        <v>93</v>
      </c>
      <c r="AI244" s="18" t="s">
        <v>94</v>
      </c>
      <c r="AJ244" s="19">
        <v>44907</v>
      </c>
      <c r="AK244" s="22" t="s">
        <v>95</v>
      </c>
      <c r="AL244" s="18" t="s">
        <v>95</v>
      </c>
      <c r="AM244" s="18" t="s">
        <v>95</v>
      </c>
      <c r="AN244" s="18" t="s">
        <v>95</v>
      </c>
      <c r="AO244" s="18" t="s">
        <v>95</v>
      </c>
      <c r="AP244" s="18" t="s">
        <v>95</v>
      </c>
      <c r="AQ244" s="18" t="s">
        <v>95</v>
      </c>
      <c r="AR244" s="18" t="s">
        <v>95</v>
      </c>
      <c r="AS244" s="18" t="s">
        <v>83</v>
      </c>
      <c r="AT244" s="18" t="s">
        <v>81</v>
      </c>
      <c r="AU244" s="18" t="s">
        <v>83</v>
      </c>
      <c r="AV244" s="18" t="s">
        <v>95</v>
      </c>
      <c r="AW244" s="18" t="s">
        <v>95</v>
      </c>
      <c r="AX244" s="18"/>
      <c r="AY244" s="18" t="str">
        <f>Pospago[[#This Row],[NUM_TELEFONICO]]&amp;"POSPAGOSI"</f>
        <v>983264914POSPAGOSI</v>
      </c>
      <c r="AZ244" s="18" t="str">
        <f>VLOOKUP(Pospago[[#This Row],[NOM_PLAZA_FINAL]],[1]!Locales[#Data],3,0)</f>
        <v>TIENDA MACHALA</v>
      </c>
      <c r="BA244" s="18" t="str">
        <f>IFERROR(VLOOKUP(Pospago[[#This Row],[USUARIO]],[1]!Personal[#Data],6,0),"EJECUTIVO NO REGISTRADO")</f>
        <v>ARROBO VICENTE YADIRA ESPERANZA</v>
      </c>
      <c r="BB244" s="18" t="str">
        <f>Pospago[[#This Row],[TIPO_MOVIMIENTO]]&amp;" "&amp;Pospago[[#This Row],[FORMA_PAGO_FINAL]]</f>
        <v>ALTAS DOMICILIADO</v>
      </c>
      <c r="BC244" s="18">
        <f>DAY(Pospago[[#This Row],[FECHA_ALTA]])</f>
        <v>12</v>
      </c>
      <c r="BD244" s="18">
        <f>IF(Pospago[[#This Row],[TARIFA_BASICA]]=11.42,1,0)</f>
        <v>0</v>
      </c>
      <c r="BE244" s="18">
        <f>IF(Pospago[[#This Row],[PLANES TELEVENTAS]]="SI",1,0)</f>
        <v>1</v>
      </c>
      <c r="BF244" s="18">
        <f>1</f>
        <v>1</v>
      </c>
      <c r="BG244" s="18">
        <f>IF(OR(Pospago[[#This Row],[TARIFA_BASICA]]=11.42,Pospago[[#This Row],[PLANES TELEVENTAS]]="SI"),1,0)</f>
        <v>1</v>
      </c>
      <c r="BH244" s="18" t="str">
        <f>IF(MID(Pospago[[#This Row],[PlanDesc]],1,4) = "PLAN","POSPAGO",IF(MID(Pospago[[#This Row],[PlanDesc]],1,4)="FULL","FULL MEGAS","PREVIOPAGO"))</f>
        <v>POSPAGO</v>
      </c>
      <c r="BI2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25.212</v>
      </c>
      <c r="BJ2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4" s="21">
        <f>Pospago[[#This Row],[TARIFA_BASICA]]*1.5</f>
        <v>26.775000000000002</v>
      </c>
    </row>
    <row r="245" spans="1:63" x14ac:dyDescent="0.25">
      <c r="A245" s="18" t="s">
        <v>154</v>
      </c>
      <c r="B245" s="18" t="s">
        <v>1760</v>
      </c>
      <c r="C245" s="18" t="s">
        <v>1761</v>
      </c>
      <c r="D245" s="19">
        <v>44897</v>
      </c>
      <c r="E245" s="18" t="s">
        <v>67</v>
      </c>
      <c r="F245" s="18" t="s">
        <v>1762</v>
      </c>
      <c r="G245" s="18" t="s">
        <v>1763</v>
      </c>
      <c r="H245" s="18" t="s">
        <v>159</v>
      </c>
      <c r="I245" s="18" t="s">
        <v>160</v>
      </c>
      <c r="J245" s="18" t="s">
        <v>161</v>
      </c>
      <c r="K245" s="18" t="s">
        <v>95</v>
      </c>
      <c r="L245" s="20" t="s">
        <v>1764</v>
      </c>
      <c r="M245" s="18" t="s">
        <v>75</v>
      </c>
      <c r="N245" s="20" t="s">
        <v>1765</v>
      </c>
      <c r="O245" s="18" t="s">
        <v>164</v>
      </c>
      <c r="P245" s="18" t="s">
        <v>78</v>
      </c>
      <c r="Q245" s="19">
        <v>44914</v>
      </c>
      <c r="R245" s="21">
        <v>14.28</v>
      </c>
      <c r="S245" s="18" t="s">
        <v>79</v>
      </c>
      <c r="T245" s="18" t="s">
        <v>174</v>
      </c>
      <c r="U245" s="18" t="s">
        <v>83</v>
      </c>
      <c r="V245" s="18" t="s">
        <v>95</v>
      </c>
      <c r="W245" s="18" t="s">
        <v>95</v>
      </c>
      <c r="X245" s="18" t="s">
        <v>84</v>
      </c>
      <c r="Y245" s="18" t="s">
        <v>85</v>
      </c>
      <c r="Z245" s="18" t="s">
        <v>86</v>
      </c>
      <c r="AA245" s="18" t="s">
        <v>87</v>
      </c>
      <c r="AB245" s="18" t="s">
        <v>492</v>
      </c>
      <c r="AC245" s="18" t="s">
        <v>493</v>
      </c>
      <c r="AD245" s="18" t="s">
        <v>85</v>
      </c>
      <c r="AE245" s="18" t="s">
        <v>90</v>
      </c>
      <c r="AF245" s="18" t="s">
        <v>177</v>
      </c>
      <c r="AG245" s="18" t="s">
        <v>139</v>
      </c>
      <c r="AH245" s="18" t="s">
        <v>165</v>
      </c>
      <c r="AI245" s="18" t="s">
        <v>94</v>
      </c>
      <c r="AJ245" s="19">
        <v>44897</v>
      </c>
      <c r="AK245" s="22" t="s">
        <v>95</v>
      </c>
      <c r="AL245" s="18" t="s">
        <v>95</v>
      </c>
      <c r="AM245" s="18" t="s">
        <v>95</v>
      </c>
      <c r="AN245" s="18" t="s">
        <v>95</v>
      </c>
      <c r="AO245" s="18" t="s">
        <v>95</v>
      </c>
      <c r="AP245" s="18" t="s">
        <v>95</v>
      </c>
      <c r="AQ245" s="18" t="s">
        <v>95</v>
      </c>
      <c r="AR245" s="18" t="s">
        <v>95</v>
      </c>
      <c r="AS245" s="18" t="s">
        <v>83</v>
      </c>
      <c r="AT245" s="18" t="s">
        <v>83</v>
      </c>
      <c r="AU245" s="18" t="s">
        <v>81</v>
      </c>
      <c r="AV245" s="18" t="s">
        <v>95</v>
      </c>
      <c r="AW245" s="18" t="s">
        <v>95</v>
      </c>
      <c r="AX245" s="18"/>
      <c r="AY245" s="18" t="str">
        <f>Pospago[[#This Row],[NUM_TELEFONICO]]&amp;"POSPAGOSI"</f>
        <v>983273864POSPAGOSI</v>
      </c>
      <c r="AZ245" s="18" t="str">
        <f>VLOOKUP(Pospago[[#This Row],[NOM_PLAZA_FINAL]],[1]!Locales[#Data],3,0)</f>
        <v>TIENDA RECREO</v>
      </c>
      <c r="BA245" s="18" t="str">
        <f>IFERROR(VLOOKUP(Pospago[[#This Row],[USUARIO]],[1]!Personal[#Data],6,0),"EJECUTIVO NO REGISTRADO")</f>
        <v>CONDO GARCIA NICOLAS MATIAS</v>
      </c>
      <c r="BB245" s="18" t="str">
        <f>Pospago[[#This Row],[TIPO_MOVIMIENTO]]&amp;" "&amp;Pospago[[#This Row],[FORMA_PAGO_FINAL]]</f>
        <v>TRANSFERENCIAS DOMICILIADO</v>
      </c>
      <c r="BC245" s="18">
        <f>DAY(Pospago[[#This Row],[FECHA_ALTA]])</f>
        <v>2</v>
      </c>
      <c r="BD245" s="18">
        <f>IF(Pospago[[#This Row],[TARIFA_BASICA]]=11.42,1,0)</f>
        <v>0</v>
      </c>
      <c r="BE245" s="18">
        <f>IF(Pospago[[#This Row],[PLANES TELEVENTAS]]="SI",1,0)</f>
        <v>0</v>
      </c>
      <c r="BF245" s="18">
        <f>1</f>
        <v>1</v>
      </c>
      <c r="BG245" s="18">
        <f>IF(OR(Pospago[[#This Row],[TARIFA_BASICA]]=11.42,Pospago[[#This Row],[PLANES TELEVENTAS]]="SI"),1,0)</f>
        <v>0</v>
      </c>
      <c r="BH245" s="18" t="str">
        <f>IF(MID(Pospago[[#This Row],[PlanDesc]],1,4) = "PLAN","POSPAGO",IF(MID(Pospago[[#This Row],[PlanDesc]],1,4)="FULL","FULL MEGAS","PREVIOPAGO"))</f>
        <v>PREVIOPAGO</v>
      </c>
      <c r="BI2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5" s="21">
        <f>Pospago[[#This Row],[TARIFA_BASICA]]*1.5</f>
        <v>21.419999999999998</v>
      </c>
    </row>
    <row r="246" spans="1:63" x14ac:dyDescent="0.25">
      <c r="A246" s="18" t="s">
        <v>64</v>
      </c>
      <c r="B246" s="18" t="s">
        <v>1766</v>
      </c>
      <c r="C246" s="18" t="s">
        <v>1767</v>
      </c>
      <c r="D246" s="19">
        <v>44902</v>
      </c>
      <c r="E246" s="18" t="s">
        <v>67</v>
      </c>
      <c r="F246" s="18" t="s">
        <v>1768</v>
      </c>
      <c r="G246" s="18" t="s">
        <v>1769</v>
      </c>
      <c r="H246" s="18" t="s">
        <v>70</v>
      </c>
      <c r="I246" s="18" t="s">
        <v>194</v>
      </c>
      <c r="J246" s="18" t="s">
        <v>195</v>
      </c>
      <c r="K246" s="18" t="s">
        <v>95</v>
      </c>
      <c r="L246" s="20" t="s">
        <v>1770</v>
      </c>
      <c r="M246" s="18" t="s">
        <v>75</v>
      </c>
      <c r="N246" s="20" t="s">
        <v>1771</v>
      </c>
      <c r="O246" s="18" t="s">
        <v>77</v>
      </c>
      <c r="P246" s="18" t="s">
        <v>78</v>
      </c>
      <c r="Q246" s="19">
        <v>44914</v>
      </c>
      <c r="R246" s="21">
        <v>14.28</v>
      </c>
      <c r="S246" s="18" t="s">
        <v>79</v>
      </c>
      <c r="T246" s="18" t="s">
        <v>232</v>
      </c>
      <c r="U246" s="18" t="s">
        <v>83</v>
      </c>
      <c r="V246" s="18" t="s">
        <v>95</v>
      </c>
      <c r="W246" s="18" t="s">
        <v>83</v>
      </c>
      <c r="X246" s="18" t="s">
        <v>84</v>
      </c>
      <c r="Y246" s="18" t="s">
        <v>85</v>
      </c>
      <c r="Z246" s="18" t="s">
        <v>86</v>
      </c>
      <c r="AA246" s="18" t="s">
        <v>87</v>
      </c>
      <c r="AB246" s="18" t="s">
        <v>377</v>
      </c>
      <c r="AC246" s="18" t="s">
        <v>378</v>
      </c>
      <c r="AD246" s="18" t="s">
        <v>85</v>
      </c>
      <c r="AE246" s="18" t="s">
        <v>90</v>
      </c>
      <c r="AF246" s="18" t="s">
        <v>235</v>
      </c>
      <c r="AG246" s="18" t="s">
        <v>139</v>
      </c>
      <c r="AH246" s="18" t="s">
        <v>93</v>
      </c>
      <c r="AI246" s="18" t="s">
        <v>94</v>
      </c>
      <c r="AJ246" s="19">
        <v>44902</v>
      </c>
      <c r="AK246" s="22" t="s">
        <v>95</v>
      </c>
      <c r="AL246" s="18" t="s">
        <v>95</v>
      </c>
      <c r="AM246" s="18" t="s">
        <v>95</v>
      </c>
      <c r="AN246" s="18" t="s">
        <v>95</v>
      </c>
      <c r="AO246" s="18" t="s">
        <v>95</v>
      </c>
      <c r="AP246" s="18" t="s">
        <v>95</v>
      </c>
      <c r="AQ246" s="18" t="s">
        <v>95</v>
      </c>
      <c r="AR246" s="18" t="s">
        <v>95</v>
      </c>
      <c r="AS246" s="18" t="s">
        <v>83</v>
      </c>
      <c r="AT246" s="18" t="s">
        <v>81</v>
      </c>
      <c r="AU246" s="18" t="s">
        <v>81</v>
      </c>
      <c r="AV246" s="18" t="s">
        <v>95</v>
      </c>
      <c r="AW246" s="18" t="s">
        <v>95</v>
      </c>
      <c r="AX246" s="18"/>
      <c r="AY246" s="18" t="str">
        <f>Pospago[[#This Row],[NUM_TELEFONICO]]&amp;"POSPAGOSI"</f>
        <v>983278309POSPAGOSI</v>
      </c>
      <c r="AZ246" s="18" t="str">
        <f>VLOOKUP(Pospago[[#This Row],[NOM_PLAZA_FINAL]],[1]!Locales[#Data],3,0)</f>
        <v>TIENDA CONDADO</v>
      </c>
      <c r="BA246" s="18" t="str">
        <f>IFERROR(VLOOKUP(Pospago[[#This Row],[USUARIO]],[1]!Personal[#Data],6,0),"EJECUTIVO NO REGISTRADO")</f>
        <v>MELCHIADE ISAAC VALMORE</v>
      </c>
      <c r="BB246" s="18" t="str">
        <f>Pospago[[#This Row],[TIPO_MOVIMIENTO]]&amp;" "&amp;Pospago[[#This Row],[FORMA_PAGO_FINAL]]</f>
        <v>ALTAS DOMICILIADO</v>
      </c>
      <c r="BC246" s="18">
        <f>DAY(Pospago[[#This Row],[FECHA_ALTA]])</f>
        <v>7</v>
      </c>
      <c r="BD246" s="18">
        <f>IF(Pospago[[#This Row],[TARIFA_BASICA]]=11.42,1,0)</f>
        <v>0</v>
      </c>
      <c r="BE246" s="18">
        <f>IF(Pospago[[#This Row],[PLANES TELEVENTAS]]="SI",1,0)</f>
        <v>1</v>
      </c>
      <c r="BF246" s="18">
        <f>1</f>
        <v>1</v>
      </c>
      <c r="BG246" s="18">
        <f>IF(OR(Pospago[[#This Row],[TARIFA_BASICA]]=11.42,Pospago[[#This Row],[PLANES TELEVENTAS]]="SI"),1,0)</f>
        <v>1</v>
      </c>
      <c r="BH246" s="18" t="str">
        <f>IF(MID(Pospago[[#This Row],[PlanDesc]],1,4) = "PLAN","POSPAGO",IF(MID(Pospago[[#This Row],[PlanDesc]],1,4)="FULL","FULL MEGAS","PREVIOPAGO"))</f>
        <v>PREVIOPAGO</v>
      </c>
      <c r="BI2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6" s="21">
        <f>Pospago[[#This Row],[TARIFA_BASICA]]*1.5</f>
        <v>21.419999999999998</v>
      </c>
    </row>
    <row r="247" spans="1:63" x14ac:dyDescent="0.25">
      <c r="A247" s="18" t="s">
        <v>154</v>
      </c>
      <c r="B247" s="18" t="s">
        <v>1772</v>
      </c>
      <c r="C247" s="18" t="s">
        <v>1773</v>
      </c>
      <c r="D247" s="19">
        <v>44897</v>
      </c>
      <c r="E247" s="18" t="s">
        <v>67</v>
      </c>
      <c r="F247" s="18" t="s">
        <v>1774</v>
      </c>
      <c r="G247" s="18" t="s">
        <v>1775</v>
      </c>
      <c r="H247" s="18" t="s">
        <v>159</v>
      </c>
      <c r="I247" s="18" t="s">
        <v>160</v>
      </c>
      <c r="J247" s="18" t="s">
        <v>161</v>
      </c>
      <c r="K247" s="18" t="s">
        <v>132</v>
      </c>
      <c r="L247" s="20" t="s">
        <v>1776</v>
      </c>
      <c r="M247" s="18" t="s">
        <v>75</v>
      </c>
      <c r="N247" s="20" t="s">
        <v>1777</v>
      </c>
      <c r="O247" s="18" t="s">
        <v>164</v>
      </c>
      <c r="P247" s="18" t="s">
        <v>78</v>
      </c>
      <c r="Q247" s="19">
        <v>44914</v>
      </c>
      <c r="R247" s="21">
        <v>14.28</v>
      </c>
      <c r="S247" s="18" t="s">
        <v>79</v>
      </c>
      <c r="T247" s="18" t="s">
        <v>174</v>
      </c>
      <c r="U247" s="18" t="s">
        <v>83</v>
      </c>
      <c r="V247" s="18" t="s">
        <v>95</v>
      </c>
      <c r="W247" s="18" t="s">
        <v>95</v>
      </c>
      <c r="X247" s="18" t="s">
        <v>84</v>
      </c>
      <c r="Y247" s="18" t="s">
        <v>85</v>
      </c>
      <c r="Z247" s="18" t="s">
        <v>86</v>
      </c>
      <c r="AA247" s="18" t="s">
        <v>87</v>
      </c>
      <c r="AB247" s="18" t="s">
        <v>760</v>
      </c>
      <c r="AC247" s="18" t="s">
        <v>761</v>
      </c>
      <c r="AD247" s="18" t="s">
        <v>85</v>
      </c>
      <c r="AE247" s="18" t="s">
        <v>90</v>
      </c>
      <c r="AF247" s="18" t="s">
        <v>177</v>
      </c>
      <c r="AG247" s="18" t="s">
        <v>139</v>
      </c>
      <c r="AH247" s="18" t="s">
        <v>165</v>
      </c>
      <c r="AI247" s="18" t="s">
        <v>94</v>
      </c>
      <c r="AJ247" s="19">
        <v>44897</v>
      </c>
      <c r="AK247" s="22" t="s">
        <v>95</v>
      </c>
      <c r="AL247" s="18" t="s">
        <v>95</v>
      </c>
      <c r="AM247" s="18" t="s">
        <v>95</v>
      </c>
      <c r="AN247" s="18" t="s">
        <v>95</v>
      </c>
      <c r="AO247" s="18" t="s">
        <v>95</v>
      </c>
      <c r="AP247" s="18" t="s">
        <v>95</v>
      </c>
      <c r="AQ247" s="18" t="s">
        <v>95</v>
      </c>
      <c r="AR247" s="18" t="s">
        <v>95</v>
      </c>
      <c r="AS247" s="18" t="s">
        <v>83</v>
      </c>
      <c r="AT247" s="18" t="s">
        <v>83</v>
      </c>
      <c r="AU247" s="18" t="s">
        <v>81</v>
      </c>
      <c r="AV247" s="18" t="s">
        <v>95</v>
      </c>
      <c r="AW247" s="18" t="s">
        <v>95</v>
      </c>
      <c r="AX247" s="18"/>
      <c r="AY247" s="18" t="str">
        <f>Pospago[[#This Row],[NUM_TELEFONICO]]&amp;"POSPAGOSI"</f>
        <v>983284051POSPAGOSI</v>
      </c>
      <c r="AZ247" s="18" t="str">
        <f>VLOOKUP(Pospago[[#This Row],[NOM_PLAZA_FINAL]],[1]!Locales[#Data],3,0)</f>
        <v>TIENDA RECREO</v>
      </c>
      <c r="BA247" s="18" t="str">
        <f>IFERROR(VLOOKUP(Pospago[[#This Row],[USUARIO]],[1]!Personal[#Data],6,0),"EJECUTIVO NO REGISTRADO")</f>
        <v>VALBUENA SANCHEZ ALBERT ANTHONY</v>
      </c>
      <c r="BB247" s="18" t="str">
        <f>Pospago[[#This Row],[TIPO_MOVIMIENTO]]&amp;" "&amp;Pospago[[#This Row],[FORMA_PAGO_FINAL]]</f>
        <v>TRANSFERENCIAS DOMICILIADO</v>
      </c>
      <c r="BC247" s="18">
        <f>DAY(Pospago[[#This Row],[FECHA_ALTA]])</f>
        <v>2</v>
      </c>
      <c r="BD247" s="18">
        <f>IF(Pospago[[#This Row],[TARIFA_BASICA]]=11.42,1,0)</f>
        <v>0</v>
      </c>
      <c r="BE247" s="18">
        <f>IF(Pospago[[#This Row],[PLANES TELEVENTAS]]="SI",1,0)</f>
        <v>0</v>
      </c>
      <c r="BF247" s="18">
        <f>1</f>
        <v>1</v>
      </c>
      <c r="BG247" s="18">
        <f>IF(OR(Pospago[[#This Row],[TARIFA_BASICA]]=11.42,Pospago[[#This Row],[PLANES TELEVENTAS]]="SI"),1,0)</f>
        <v>0</v>
      </c>
      <c r="BH247" s="18" t="str">
        <f>IF(MID(Pospago[[#This Row],[PlanDesc]],1,4) = "PLAN","POSPAGO",IF(MID(Pospago[[#This Row],[PlanDesc]],1,4)="FULL","FULL MEGAS","PREVIOPAGO"))</f>
        <v>PREVIOPAGO</v>
      </c>
      <c r="BI2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7" s="21">
        <f>Pospago[[#This Row],[TARIFA_BASICA]]*1.5</f>
        <v>21.419999999999998</v>
      </c>
    </row>
    <row r="248" spans="1:63" x14ac:dyDescent="0.25">
      <c r="A248" s="18" t="s">
        <v>154</v>
      </c>
      <c r="B248" s="18" t="s">
        <v>1778</v>
      </c>
      <c r="C248" s="18" t="s">
        <v>1779</v>
      </c>
      <c r="D248" s="19">
        <v>44912</v>
      </c>
      <c r="E248" s="18" t="s">
        <v>67</v>
      </c>
      <c r="F248" s="18" t="s">
        <v>1780</v>
      </c>
      <c r="G248" s="18" t="s">
        <v>1781</v>
      </c>
      <c r="H248" s="18" t="s">
        <v>159</v>
      </c>
      <c r="I248" s="18" t="s">
        <v>160</v>
      </c>
      <c r="J248" s="18" t="s">
        <v>161</v>
      </c>
      <c r="K248" s="18" t="s">
        <v>95</v>
      </c>
      <c r="L248" s="20" t="s">
        <v>1782</v>
      </c>
      <c r="M248" s="18" t="s">
        <v>75</v>
      </c>
      <c r="N248" s="20" t="s">
        <v>1783</v>
      </c>
      <c r="O248" s="18" t="s">
        <v>164</v>
      </c>
      <c r="P248" s="18" t="s">
        <v>78</v>
      </c>
      <c r="Q248" s="19">
        <v>44914</v>
      </c>
      <c r="R248" s="21">
        <v>14.28</v>
      </c>
      <c r="S248" s="18" t="s">
        <v>79</v>
      </c>
      <c r="T248" s="18" t="s">
        <v>135</v>
      </c>
      <c r="U248" s="18" t="s">
        <v>83</v>
      </c>
      <c r="V248" s="18" t="s">
        <v>95</v>
      </c>
      <c r="W248" s="18" t="s">
        <v>95</v>
      </c>
      <c r="X248" s="18" t="s">
        <v>118</v>
      </c>
      <c r="Y248" s="18" t="s">
        <v>85</v>
      </c>
      <c r="Z248" s="18" t="s">
        <v>86</v>
      </c>
      <c r="AA248" s="18" t="s">
        <v>119</v>
      </c>
      <c r="AB248" s="18" t="s">
        <v>1545</v>
      </c>
      <c r="AC248" s="18" t="s">
        <v>1546</v>
      </c>
      <c r="AD248" s="18" t="s">
        <v>85</v>
      </c>
      <c r="AE248" s="18" t="s">
        <v>90</v>
      </c>
      <c r="AF248" s="18" t="s">
        <v>138</v>
      </c>
      <c r="AG248" s="18" t="s">
        <v>139</v>
      </c>
      <c r="AH248" s="18" t="s">
        <v>165</v>
      </c>
      <c r="AI248" s="18" t="s">
        <v>94</v>
      </c>
      <c r="AJ248" s="19">
        <v>44912</v>
      </c>
      <c r="AK248" s="22" t="s">
        <v>95</v>
      </c>
      <c r="AL248" s="18" t="s">
        <v>95</v>
      </c>
      <c r="AM248" s="18" t="s">
        <v>95</v>
      </c>
      <c r="AN248" s="18" t="s">
        <v>95</v>
      </c>
      <c r="AO248" s="18" t="s">
        <v>95</v>
      </c>
      <c r="AP248" s="18" t="s">
        <v>95</v>
      </c>
      <c r="AQ248" s="18" t="s">
        <v>95</v>
      </c>
      <c r="AR248" s="18" t="s">
        <v>95</v>
      </c>
      <c r="AS248" s="18" t="s">
        <v>83</v>
      </c>
      <c r="AT248" s="18" t="s">
        <v>83</v>
      </c>
      <c r="AU248" s="18" t="s">
        <v>81</v>
      </c>
      <c r="AV248" s="18" t="s">
        <v>95</v>
      </c>
      <c r="AW248" s="18" t="s">
        <v>95</v>
      </c>
      <c r="AX248" s="18"/>
      <c r="AY248" s="18" t="str">
        <f>Pospago[[#This Row],[NUM_TELEFONICO]]&amp;"POSPAGOSI"</f>
        <v>983318677POSPAGOSI</v>
      </c>
      <c r="AZ248" s="18" t="str">
        <f>VLOOKUP(Pospago[[#This Row],[NOM_PLAZA_FINAL]],[1]!Locales[#Data],3,0)</f>
        <v>TIENDA AMERICA</v>
      </c>
      <c r="BA248" s="18" t="str">
        <f>IFERROR(VLOOKUP(Pospago[[#This Row],[USUARIO]],[1]!Personal[#Data],6,0),"EJECUTIVO NO REGISTRADO")</f>
        <v>GRANDA ESPINOZA ANDRES SEBASTIAN</v>
      </c>
      <c r="BB248" s="18" t="str">
        <f>Pospago[[#This Row],[TIPO_MOVIMIENTO]]&amp;" "&amp;Pospago[[#This Row],[FORMA_PAGO_FINAL]]</f>
        <v>TRANSFERENCIAS PAGO EN CAJA</v>
      </c>
      <c r="BC248" s="18">
        <f>DAY(Pospago[[#This Row],[FECHA_ALTA]])</f>
        <v>17</v>
      </c>
      <c r="BD248" s="18">
        <f>IF(Pospago[[#This Row],[TARIFA_BASICA]]=11.42,1,0)</f>
        <v>0</v>
      </c>
      <c r="BE248" s="18">
        <f>IF(Pospago[[#This Row],[PLANES TELEVENTAS]]="SI",1,0)</f>
        <v>0</v>
      </c>
      <c r="BF248" s="18">
        <f>1</f>
        <v>1</v>
      </c>
      <c r="BG248" s="18">
        <f>IF(OR(Pospago[[#This Row],[TARIFA_BASICA]]=11.42,Pospago[[#This Row],[PLANES TELEVENTAS]]="SI"),1,0)</f>
        <v>0</v>
      </c>
      <c r="BH248" s="18" t="str">
        <f>IF(MID(Pospago[[#This Row],[PlanDesc]],1,4) = "PLAN","POSPAGO",IF(MID(Pospago[[#This Row],[PlanDesc]],1,4)="FULL","FULL MEGAS","PREVIOPAGO"))</f>
        <v>PREVIOPAGO</v>
      </c>
      <c r="BI2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8" s="21">
        <f>Pospago[[#This Row],[TARIFA_BASICA]]*1.5</f>
        <v>21.419999999999998</v>
      </c>
    </row>
    <row r="249" spans="1:63" x14ac:dyDescent="0.25">
      <c r="A249" s="18" t="s">
        <v>64</v>
      </c>
      <c r="B249" s="18" t="s">
        <v>1784</v>
      </c>
      <c r="C249" s="18" t="s">
        <v>1785</v>
      </c>
      <c r="D249" s="19">
        <v>44908</v>
      </c>
      <c r="E249" s="18" t="s">
        <v>67</v>
      </c>
      <c r="F249" s="18" t="s">
        <v>1786</v>
      </c>
      <c r="G249" s="18" t="s">
        <v>1787</v>
      </c>
      <c r="H249" s="18" t="s">
        <v>70</v>
      </c>
      <c r="I249" s="18" t="s">
        <v>1788</v>
      </c>
      <c r="J249" s="18" t="s">
        <v>1789</v>
      </c>
      <c r="K249" s="18" t="s">
        <v>132</v>
      </c>
      <c r="L249" s="20" t="s">
        <v>1790</v>
      </c>
      <c r="M249" s="18" t="s">
        <v>75</v>
      </c>
      <c r="N249" s="20" t="s">
        <v>1791</v>
      </c>
      <c r="O249" s="18" t="s">
        <v>77</v>
      </c>
      <c r="P249" s="18" t="s">
        <v>78</v>
      </c>
      <c r="Q249" s="19">
        <v>44914</v>
      </c>
      <c r="R249" s="21">
        <v>15</v>
      </c>
      <c r="S249" s="18" t="s">
        <v>79</v>
      </c>
      <c r="T249" s="18" t="s">
        <v>174</v>
      </c>
      <c r="U249" s="18" t="s">
        <v>83</v>
      </c>
      <c r="V249" s="18" t="s">
        <v>95</v>
      </c>
      <c r="W249" s="18" t="s">
        <v>83</v>
      </c>
      <c r="X249" s="18" t="s">
        <v>84</v>
      </c>
      <c r="Y249" s="18" t="s">
        <v>85</v>
      </c>
      <c r="Z249" s="18" t="s">
        <v>86</v>
      </c>
      <c r="AA249" s="18" t="s">
        <v>87</v>
      </c>
      <c r="AB249" s="18" t="s">
        <v>175</v>
      </c>
      <c r="AC249" s="18" t="s">
        <v>176</v>
      </c>
      <c r="AD249" s="18" t="s">
        <v>85</v>
      </c>
      <c r="AE249" s="18" t="s">
        <v>90</v>
      </c>
      <c r="AF249" s="18" t="s">
        <v>177</v>
      </c>
      <c r="AG249" s="18" t="s">
        <v>139</v>
      </c>
      <c r="AH249" s="18" t="s">
        <v>93</v>
      </c>
      <c r="AI249" s="18" t="s">
        <v>94</v>
      </c>
      <c r="AJ249" s="19">
        <v>44908</v>
      </c>
      <c r="AK249" s="22" t="s">
        <v>95</v>
      </c>
      <c r="AL249" s="18" t="s">
        <v>95</v>
      </c>
      <c r="AM249" s="18" t="s">
        <v>95</v>
      </c>
      <c r="AN249" s="18" t="s">
        <v>95</v>
      </c>
      <c r="AO249" s="18" t="s">
        <v>95</v>
      </c>
      <c r="AP249" s="18" t="s">
        <v>95</v>
      </c>
      <c r="AQ249" s="18" t="s">
        <v>95</v>
      </c>
      <c r="AR249" s="18" t="s">
        <v>95</v>
      </c>
      <c r="AS249" s="18" t="s">
        <v>83</v>
      </c>
      <c r="AT249" s="18" t="s">
        <v>81</v>
      </c>
      <c r="AU249" s="18" t="s">
        <v>83</v>
      </c>
      <c r="AV249" s="18" t="s">
        <v>95</v>
      </c>
      <c r="AW249" s="18" t="s">
        <v>95</v>
      </c>
      <c r="AX249" s="18"/>
      <c r="AY249" s="18" t="str">
        <f>Pospago[[#This Row],[NUM_TELEFONICO]]&amp;"POSPAGOSI"</f>
        <v>983320800POSPAGOSI</v>
      </c>
      <c r="AZ249" s="18" t="str">
        <f>VLOOKUP(Pospago[[#This Row],[NOM_PLAZA_FINAL]],[1]!Locales[#Data],3,0)</f>
        <v>TIENDA RECREO</v>
      </c>
      <c r="BA249" s="18" t="str">
        <f>IFERROR(VLOOKUP(Pospago[[#This Row],[USUARIO]],[1]!Personal[#Data],6,0),"EJECUTIVO NO REGISTRADO")</f>
        <v>VARGAS REYES LUIS EDUARDO</v>
      </c>
      <c r="BB249" s="18" t="str">
        <f>Pospago[[#This Row],[TIPO_MOVIMIENTO]]&amp;" "&amp;Pospago[[#This Row],[FORMA_PAGO_FINAL]]</f>
        <v>ALTAS DOMICILIADO</v>
      </c>
      <c r="BC249" s="18">
        <f>DAY(Pospago[[#This Row],[FECHA_ALTA]])</f>
        <v>13</v>
      </c>
      <c r="BD249" s="18">
        <f>IF(Pospago[[#This Row],[TARIFA_BASICA]]=11.42,1,0)</f>
        <v>0</v>
      </c>
      <c r="BE249" s="18">
        <f>IF(Pospago[[#This Row],[PLANES TELEVENTAS]]="SI",1,0)</f>
        <v>1</v>
      </c>
      <c r="BF249" s="18">
        <f>1</f>
        <v>1</v>
      </c>
      <c r="BG249" s="18">
        <f>IF(OR(Pospago[[#This Row],[TARIFA_BASICA]]=11.42,Pospago[[#This Row],[PLANES TELEVENTAS]]="SI"),1,0)</f>
        <v>1</v>
      </c>
      <c r="BH249" s="18" t="str">
        <f>IF(MID(Pospago[[#This Row],[PlanDesc]],1,4) = "PLAN","POSPAGO",IF(MID(Pospago[[#This Row],[PlanDesc]],1,4)="FULL","FULL MEGAS","PREVIOPAGO"))</f>
        <v>POSPAGO</v>
      </c>
      <c r="BI2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2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49" s="21">
        <f>Pospago[[#This Row],[TARIFA_BASICA]]*1.5</f>
        <v>22.5</v>
      </c>
    </row>
    <row r="250" spans="1:63" x14ac:dyDescent="0.25">
      <c r="A250" s="18" t="s">
        <v>64</v>
      </c>
      <c r="B250" s="18" t="s">
        <v>1792</v>
      </c>
      <c r="C250" s="18" t="s">
        <v>1793</v>
      </c>
      <c r="D250" s="19">
        <v>44896</v>
      </c>
      <c r="E250" s="18" t="s">
        <v>67</v>
      </c>
      <c r="F250" s="18" t="s">
        <v>1794</v>
      </c>
      <c r="G250" s="18" t="s">
        <v>1795</v>
      </c>
      <c r="H250" s="18" t="s">
        <v>70</v>
      </c>
      <c r="I250" s="18" t="s">
        <v>160</v>
      </c>
      <c r="J250" s="18" t="s">
        <v>195</v>
      </c>
      <c r="K250" s="18" t="s">
        <v>1796</v>
      </c>
      <c r="L250" s="20" t="s">
        <v>1797</v>
      </c>
      <c r="M250" s="18" t="s">
        <v>75</v>
      </c>
      <c r="N250" s="20" t="s">
        <v>1798</v>
      </c>
      <c r="O250" s="18" t="s">
        <v>77</v>
      </c>
      <c r="P250" s="18" t="s">
        <v>78</v>
      </c>
      <c r="Q250" s="19">
        <v>44914</v>
      </c>
      <c r="R250" s="21">
        <v>14.28</v>
      </c>
      <c r="S250" s="18" t="s">
        <v>79</v>
      </c>
      <c r="T250" s="18" t="s">
        <v>174</v>
      </c>
      <c r="U250" s="18" t="s">
        <v>83</v>
      </c>
      <c r="V250" s="18" t="s">
        <v>95</v>
      </c>
      <c r="W250" s="18" t="s">
        <v>83</v>
      </c>
      <c r="X250" s="18" t="s">
        <v>84</v>
      </c>
      <c r="Y250" s="18" t="s">
        <v>85</v>
      </c>
      <c r="Z250" s="18" t="s">
        <v>86</v>
      </c>
      <c r="AA250" s="18" t="s">
        <v>87</v>
      </c>
      <c r="AB250" s="18" t="s">
        <v>404</v>
      </c>
      <c r="AC250" s="18" t="s">
        <v>405</v>
      </c>
      <c r="AD250" s="18" t="s">
        <v>85</v>
      </c>
      <c r="AE250" s="18" t="s">
        <v>90</v>
      </c>
      <c r="AF250" s="18" t="s">
        <v>177</v>
      </c>
      <c r="AG250" s="18" t="s">
        <v>139</v>
      </c>
      <c r="AH250" s="18" t="s">
        <v>93</v>
      </c>
      <c r="AI250" s="18" t="s">
        <v>94</v>
      </c>
      <c r="AJ250" s="19">
        <v>44896</v>
      </c>
      <c r="AK250" s="22" t="s">
        <v>95</v>
      </c>
      <c r="AL250" s="18" t="s">
        <v>95</v>
      </c>
      <c r="AM250" s="18" t="s">
        <v>95</v>
      </c>
      <c r="AN250" s="18" t="s">
        <v>95</v>
      </c>
      <c r="AO250" s="18" t="s">
        <v>95</v>
      </c>
      <c r="AP250" s="18" t="s">
        <v>95</v>
      </c>
      <c r="AQ250" s="18" t="s">
        <v>95</v>
      </c>
      <c r="AR250" s="18" t="s">
        <v>95</v>
      </c>
      <c r="AS250" s="18" t="s">
        <v>83</v>
      </c>
      <c r="AT250" s="18" t="s">
        <v>83</v>
      </c>
      <c r="AU250" s="18" t="s">
        <v>81</v>
      </c>
      <c r="AV250" s="18" t="s">
        <v>95</v>
      </c>
      <c r="AW250" s="18" t="s">
        <v>95</v>
      </c>
      <c r="AX250" s="18"/>
      <c r="AY250" s="18" t="str">
        <f>Pospago[[#This Row],[NUM_TELEFONICO]]&amp;"POSPAGOSI"</f>
        <v>983324925POSPAGOSI</v>
      </c>
      <c r="AZ250" s="18" t="str">
        <f>VLOOKUP(Pospago[[#This Row],[NOM_PLAZA_FINAL]],[1]!Locales[#Data],3,0)</f>
        <v>TIENDA RECREO</v>
      </c>
      <c r="BA250" s="18" t="str">
        <f>IFERROR(VLOOKUP(Pospago[[#This Row],[USUARIO]],[1]!Personal[#Data],6,0),"EJECUTIVO NO REGISTRADO")</f>
        <v>OTERO YEPEZ ANDREA SOLEDAD</v>
      </c>
      <c r="BB250" s="18" t="str">
        <f>Pospago[[#This Row],[TIPO_MOVIMIENTO]]&amp;" "&amp;Pospago[[#This Row],[FORMA_PAGO_FINAL]]</f>
        <v>ALTAS DOMICILIADO</v>
      </c>
      <c r="BC250" s="18">
        <f>DAY(Pospago[[#This Row],[FECHA_ALTA]])</f>
        <v>1</v>
      </c>
      <c r="BD250" s="18">
        <f>IF(Pospago[[#This Row],[TARIFA_BASICA]]=11.42,1,0)</f>
        <v>0</v>
      </c>
      <c r="BE250" s="18">
        <f>IF(Pospago[[#This Row],[PLANES TELEVENTAS]]="SI",1,0)</f>
        <v>0</v>
      </c>
      <c r="BF250" s="18">
        <f>1</f>
        <v>1</v>
      </c>
      <c r="BG250" s="18">
        <f>IF(OR(Pospago[[#This Row],[TARIFA_BASICA]]=11.42,Pospago[[#This Row],[PLANES TELEVENTAS]]="SI"),1,0)</f>
        <v>0</v>
      </c>
      <c r="BH250" s="18" t="str">
        <f>IF(MID(Pospago[[#This Row],[PlanDesc]],1,4) = "PLAN","POSPAGO",IF(MID(Pospago[[#This Row],[PlanDesc]],1,4)="FULL","FULL MEGAS","PREVIOPAGO"))</f>
        <v>PREVIOPAGO</v>
      </c>
      <c r="BI2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50" s="21">
        <f>Pospago[[#This Row],[TARIFA_BASICA]]*1.5</f>
        <v>21.419999999999998</v>
      </c>
    </row>
    <row r="251" spans="1:63" x14ac:dyDescent="0.25">
      <c r="A251" s="18" t="s">
        <v>154</v>
      </c>
      <c r="B251" s="18" t="s">
        <v>1799</v>
      </c>
      <c r="C251" s="18" t="s">
        <v>1800</v>
      </c>
      <c r="D251" s="19">
        <v>44904</v>
      </c>
      <c r="E251" s="18" t="s">
        <v>67</v>
      </c>
      <c r="F251" s="18" t="s">
        <v>1801</v>
      </c>
      <c r="G251" s="18" t="s">
        <v>1802</v>
      </c>
      <c r="H251" s="18" t="s">
        <v>159</v>
      </c>
      <c r="I251" s="18" t="s">
        <v>160</v>
      </c>
      <c r="J251" s="18" t="s">
        <v>161</v>
      </c>
      <c r="K251" s="18" t="s">
        <v>73</v>
      </c>
      <c r="L251" s="20" t="s">
        <v>1803</v>
      </c>
      <c r="M251" s="18" t="s">
        <v>75</v>
      </c>
      <c r="N251" s="20" t="s">
        <v>1804</v>
      </c>
      <c r="O251" s="18" t="s">
        <v>164</v>
      </c>
      <c r="P251" s="18" t="s">
        <v>78</v>
      </c>
      <c r="Q251" s="19">
        <v>44914</v>
      </c>
      <c r="R251" s="21">
        <v>14.28</v>
      </c>
      <c r="S251" s="18" t="s">
        <v>79</v>
      </c>
      <c r="T251" s="18" t="s">
        <v>117</v>
      </c>
      <c r="U251" s="18" t="s">
        <v>83</v>
      </c>
      <c r="V251" s="18" t="s">
        <v>95</v>
      </c>
      <c r="W251" s="18" t="s">
        <v>95</v>
      </c>
      <c r="X251" s="18" t="s">
        <v>118</v>
      </c>
      <c r="Y251" s="18" t="s">
        <v>85</v>
      </c>
      <c r="Z251" s="18" t="s">
        <v>86</v>
      </c>
      <c r="AA251" s="18" t="s">
        <v>119</v>
      </c>
      <c r="AB251" s="18" t="s">
        <v>352</v>
      </c>
      <c r="AC251" s="18" t="s">
        <v>353</v>
      </c>
      <c r="AD251" s="18" t="s">
        <v>85</v>
      </c>
      <c r="AE251" s="18" t="s">
        <v>90</v>
      </c>
      <c r="AF251" s="18" t="s">
        <v>122</v>
      </c>
      <c r="AG251" s="18" t="s">
        <v>92</v>
      </c>
      <c r="AH251" s="18" t="s">
        <v>165</v>
      </c>
      <c r="AI251" s="18" t="s">
        <v>94</v>
      </c>
      <c r="AJ251" s="19">
        <v>44904</v>
      </c>
      <c r="AK251" s="22" t="s">
        <v>95</v>
      </c>
      <c r="AL251" s="18" t="s">
        <v>95</v>
      </c>
      <c r="AM251" s="18" t="s">
        <v>95</v>
      </c>
      <c r="AN251" s="18" t="s">
        <v>95</v>
      </c>
      <c r="AO251" s="18" t="s">
        <v>95</v>
      </c>
      <c r="AP251" s="18" t="s">
        <v>95</v>
      </c>
      <c r="AQ251" s="18" t="s">
        <v>95</v>
      </c>
      <c r="AR251" s="18" t="s">
        <v>95</v>
      </c>
      <c r="AS251" s="18" t="s">
        <v>83</v>
      </c>
      <c r="AT251" s="18" t="s">
        <v>83</v>
      </c>
      <c r="AU251" s="18" t="s">
        <v>81</v>
      </c>
      <c r="AV251" s="18" t="s">
        <v>95</v>
      </c>
      <c r="AW251" s="18" t="s">
        <v>95</v>
      </c>
      <c r="AX251" s="18"/>
      <c r="AY251" s="18" t="str">
        <f>Pospago[[#This Row],[NUM_TELEFONICO]]&amp;"POSPAGOSI"</f>
        <v>983334753POSPAGOSI</v>
      </c>
      <c r="AZ251" s="18" t="str">
        <f>VLOOKUP(Pospago[[#This Row],[NOM_PLAZA_FINAL]],[1]!Locales[#Data],3,0)</f>
        <v>TIENDA MACHALA</v>
      </c>
      <c r="BA251" s="18" t="str">
        <f>IFERROR(VLOOKUP(Pospago[[#This Row],[USUARIO]],[1]!Personal[#Data],6,0),"EJECUTIVO NO REGISTRADO")</f>
        <v>TENORIO MARIA DEL PILAR</v>
      </c>
      <c r="BB251" s="18" t="str">
        <f>Pospago[[#This Row],[TIPO_MOVIMIENTO]]&amp;" "&amp;Pospago[[#This Row],[FORMA_PAGO_FINAL]]</f>
        <v>TRANSFERENCIAS PAGO EN CAJA</v>
      </c>
      <c r="BC251" s="18">
        <f>DAY(Pospago[[#This Row],[FECHA_ALTA]])</f>
        <v>9</v>
      </c>
      <c r="BD251" s="18">
        <f>IF(Pospago[[#This Row],[TARIFA_BASICA]]=11.42,1,0)</f>
        <v>0</v>
      </c>
      <c r="BE251" s="18">
        <f>IF(Pospago[[#This Row],[PLANES TELEVENTAS]]="SI",1,0)</f>
        <v>0</v>
      </c>
      <c r="BF251" s="18">
        <f>1</f>
        <v>1</v>
      </c>
      <c r="BG251" s="18">
        <f>IF(OR(Pospago[[#This Row],[TARIFA_BASICA]]=11.42,Pospago[[#This Row],[PLANES TELEVENTAS]]="SI"),1,0)</f>
        <v>0</v>
      </c>
      <c r="BH251" s="18" t="str">
        <f>IF(MID(Pospago[[#This Row],[PlanDesc]],1,4) = "PLAN","POSPAGO",IF(MID(Pospago[[#This Row],[PlanDesc]],1,4)="FULL","FULL MEGAS","PREVIOPAGO"))</f>
        <v>PREVIOPAGO</v>
      </c>
      <c r="BI2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5.4359999999999999</v>
      </c>
      <c r="BJ2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51" s="21">
        <f>Pospago[[#This Row],[TARIFA_BASICA]]*1.5</f>
        <v>21.419999999999998</v>
      </c>
    </row>
    <row r="252" spans="1:63" x14ac:dyDescent="0.25">
      <c r="A252" s="18" t="s">
        <v>154</v>
      </c>
      <c r="B252" s="18" t="s">
        <v>1805</v>
      </c>
      <c r="C252" s="18" t="s">
        <v>1806</v>
      </c>
      <c r="D252" s="19">
        <v>44909</v>
      </c>
      <c r="E252" s="18" t="s">
        <v>67</v>
      </c>
      <c r="F252" s="18" t="s">
        <v>1807</v>
      </c>
      <c r="G252" s="18" t="s">
        <v>1808</v>
      </c>
      <c r="H252" s="18" t="s">
        <v>159</v>
      </c>
      <c r="I252" s="18" t="s">
        <v>71</v>
      </c>
      <c r="J252" s="18" t="s">
        <v>258</v>
      </c>
      <c r="K252" s="18" t="s">
        <v>259</v>
      </c>
      <c r="L252" s="20" t="s">
        <v>1809</v>
      </c>
      <c r="M252" s="18" t="s">
        <v>75</v>
      </c>
      <c r="N252" s="20" t="s">
        <v>1810</v>
      </c>
      <c r="O252" s="18" t="s">
        <v>164</v>
      </c>
      <c r="P252" s="18" t="s">
        <v>78</v>
      </c>
      <c r="Q252" s="19">
        <v>44914</v>
      </c>
      <c r="R252" s="21">
        <v>11.42</v>
      </c>
      <c r="S252" s="18" t="s">
        <v>79</v>
      </c>
      <c r="T252" s="18" t="s">
        <v>174</v>
      </c>
      <c r="U252" s="18" t="s">
        <v>83</v>
      </c>
      <c r="V252" s="18" t="s">
        <v>95</v>
      </c>
      <c r="W252" s="18" t="s">
        <v>95</v>
      </c>
      <c r="X252" s="18" t="s">
        <v>84</v>
      </c>
      <c r="Y252" s="18" t="s">
        <v>85</v>
      </c>
      <c r="Z252" s="18" t="s">
        <v>86</v>
      </c>
      <c r="AA252" s="18" t="s">
        <v>87</v>
      </c>
      <c r="AB252" s="18" t="s">
        <v>262</v>
      </c>
      <c r="AC252" s="18" t="s">
        <v>263</v>
      </c>
      <c r="AD252" s="18" t="s">
        <v>85</v>
      </c>
      <c r="AE252" s="18" t="s">
        <v>90</v>
      </c>
      <c r="AF252" s="18" t="s">
        <v>177</v>
      </c>
      <c r="AG252" s="18" t="s">
        <v>139</v>
      </c>
      <c r="AH252" s="18" t="s">
        <v>165</v>
      </c>
      <c r="AI252" s="18" t="s">
        <v>94</v>
      </c>
      <c r="AJ252" s="19">
        <v>44909</v>
      </c>
      <c r="AK252" s="22" t="s">
        <v>95</v>
      </c>
      <c r="AL252" s="18" t="s">
        <v>95</v>
      </c>
      <c r="AM252" s="18" t="s">
        <v>95</v>
      </c>
      <c r="AN252" s="18" t="s">
        <v>95</v>
      </c>
      <c r="AO252" s="18" t="s">
        <v>95</v>
      </c>
      <c r="AP252" s="18" t="s">
        <v>95</v>
      </c>
      <c r="AQ252" s="18" t="s">
        <v>95</v>
      </c>
      <c r="AR252" s="18" t="s">
        <v>95</v>
      </c>
      <c r="AS252" s="18" t="s">
        <v>83</v>
      </c>
      <c r="AT252" s="18" t="s">
        <v>83</v>
      </c>
      <c r="AU252" s="18" t="s">
        <v>81</v>
      </c>
      <c r="AV252" s="18" t="s">
        <v>95</v>
      </c>
      <c r="AW252" s="18" t="s">
        <v>95</v>
      </c>
      <c r="AX252" s="18"/>
      <c r="AY252" s="18" t="str">
        <f>Pospago[[#This Row],[NUM_TELEFONICO]]&amp;"POSPAGOSI"</f>
        <v>983335001POSPAGOSI</v>
      </c>
      <c r="AZ252" s="18" t="str">
        <f>VLOOKUP(Pospago[[#This Row],[NOM_PLAZA_FINAL]],[1]!Locales[#Data],3,0)</f>
        <v>TIENDA RECREO</v>
      </c>
      <c r="BA252" s="18" t="str">
        <f>IFERROR(VLOOKUP(Pospago[[#This Row],[USUARIO]],[1]!Personal[#Data],6,0),"EJECUTIVO NO REGISTRADO")</f>
        <v>CHICAIZA TOAPANTA ALEX DANILO</v>
      </c>
      <c r="BB252" s="18" t="str">
        <f>Pospago[[#This Row],[TIPO_MOVIMIENTO]]&amp;" "&amp;Pospago[[#This Row],[FORMA_PAGO_FINAL]]</f>
        <v>TRANSFERENCIAS DOMICILIADO</v>
      </c>
      <c r="BC252" s="18">
        <f>DAY(Pospago[[#This Row],[FECHA_ALTA]])</f>
        <v>14</v>
      </c>
      <c r="BD252" s="18">
        <f>IF(Pospago[[#This Row],[TARIFA_BASICA]]=11.42,1,0)</f>
        <v>1</v>
      </c>
      <c r="BE252" s="18">
        <f>IF(Pospago[[#This Row],[PLANES TELEVENTAS]]="SI",1,0)</f>
        <v>0</v>
      </c>
      <c r="BF252" s="18">
        <f>1</f>
        <v>1</v>
      </c>
      <c r="BG252" s="18">
        <f>IF(OR(Pospago[[#This Row],[TARIFA_BASICA]]=11.42,Pospago[[#This Row],[PLANES TELEVENTAS]]="SI"),1,0)</f>
        <v>1</v>
      </c>
      <c r="BH252" s="18" t="str">
        <f>IF(MID(Pospago[[#This Row],[PlanDesc]],1,4) = "PLAN","POSPAGO",IF(MID(Pospago[[#This Row],[PlanDesc]],1,4)="FULL","FULL MEGAS","PREVIOPAGO"))</f>
        <v>PREVIOPAGO</v>
      </c>
      <c r="BI2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2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52" s="21">
        <f>Pospago[[#This Row],[TARIFA_BASICA]]*1.5</f>
        <v>17.13</v>
      </c>
    </row>
    <row r="253" spans="1:63" x14ac:dyDescent="0.25">
      <c r="A253" s="18" t="s">
        <v>154</v>
      </c>
      <c r="B253" s="18" t="s">
        <v>1811</v>
      </c>
      <c r="C253" s="18" t="s">
        <v>1812</v>
      </c>
      <c r="D253" s="19">
        <v>44907</v>
      </c>
      <c r="E253" s="18" t="s">
        <v>67</v>
      </c>
      <c r="F253" s="18" t="s">
        <v>1813</v>
      </c>
      <c r="G253" s="18" t="s">
        <v>1814</v>
      </c>
      <c r="H253" s="18" t="s">
        <v>159</v>
      </c>
      <c r="I253" s="18" t="s">
        <v>227</v>
      </c>
      <c r="J253" s="18" t="s">
        <v>426</v>
      </c>
      <c r="K253" s="18" t="s">
        <v>132</v>
      </c>
      <c r="L253" s="20" t="s">
        <v>1815</v>
      </c>
      <c r="M253" s="18" t="s">
        <v>75</v>
      </c>
      <c r="N253" s="20" t="s">
        <v>1816</v>
      </c>
      <c r="O253" s="18" t="s">
        <v>164</v>
      </c>
      <c r="P253" s="18" t="s">
        <v>78</v>
      </c>
      <c r="Q253" s="19">
        <v>44914</v>
      </c>
      <c r="R253" s="21">
        <v>21.42</v>
      </c>
      <c r="S253" s="18" t="s">
        <v>79</v>
      </c>
      <c r="T253" s="18" t="s">
        <v>174</v>
      </c>
      <c r="U253" s="18" t="s">
        <v>83</v>
      </c>
      <c r="V253" s="18" t="s">
        <v>95</v>
      </c>
      <c r="W253" s="18" t="s">
        <v>95</v>
      </c>
      <c r="X253" s="18" t="s">
        <v>118</v>
      </c>
      <c r="Y253" s="18" t="s">
        <v>85</v>
      </c>
      <c r="Z253" s="18" t="s">
        <v>86</v>
      </c>
      <c r="AA253" s="18" t="s">
        <v>119</v>
      </c>
      <c r="AB253" s="18" t="s">
        <v>175</v>
      </c>
      <c r="AC253" s="18" t="s">
        <v>176</v>
      </c>
      <c r="AD253" s="18" t="s">
        <v>85</v>
      </c>
      <c r="AE253" s="18" t="s">
        <v>90</v>
      </c>
      <c r="AF253" s="18" t="s">
        <v>177</v>
      </c>
      <c r="AG253" s="18" t="s">
        <v>139</v>
      </c>
      <c r="AH253" s="18" t="s">
        <v>165</v>
      </c>
      <c r="AI253" s="18" t="s">
        <v>94</v>
      </c>
      <c r="AJ253" s="19">
        <v>44907</v>
      </c>
      <c r="AK253" s="22" t="s">
        <v>95</v>
      </c>
      <c r="AL253" s="18" t="s">
        <v>95</v>
      </c>
      <c r="AM253" s="18" t="s">
        <v>95</v>
      </c>
      <c r="AN253" s="18" t="s">
        <v>95</v>
      </c>
      <c r="AO253" s="18" t="s">
        <v>95</v>
      </c>
      <c r="AP253" s="18" t="s">
        <v>95</v>
      </c>
      <c r="AQ253" s="18" t="s">
        <v>95</v>
      </c>
      <c r="AR253" s="18" t="s">
        <v>95</v>
      </c>
      <c r="AS253" s="18" t="s">
        <v>83</v>
      </c>
      <c r="AT253" s="18" t="s">
        <v>83</v>
      </c>
      <c r="AU253" s="18" t="s">
        <v>81</v>
      </c>
      <c r="AV253" s="18" t="s">
        <v>95</v>
      </c>
      <c r="AW253" s="18" t="s">
        <v>95</v>
      </c>
      <c r="AX253" s="18"/>
      <c r="AY253" s="18" t="str">
        <f>Pospago[[#This Row],[NUM_TELEFONICO]]&amp;"POSPAGOSI"</f>
        <v>983335478POSPAGOSI</v>
      </c>
      <c r="AZ253" s="18" t="str">
        <f>VLOOKUP(Pospago[[#This Row],[NOM_PLAZA_FINAL]],[1]!Locales[#Data],3,0)</f>
        <v>TIENDA RECREO</v>
      </c>
      <c r="BA253" s="18" t="str">
        <f>IFERROR(VLOOKUP(Pospago[[#This Row],[USUARIO]],[1]!Personal[#Data],6,0),"EJECUTIVO NO REGISTRADO")</f>
        <v>VARGAS REYES LUIS EDUARDO</v>
      </c>
      <c r="BB253" s="18" t="str">
        <f>Pospago[[#This Row],[TIPO_MOVIMIENTO]]&amp;" "&amp;Pospago[[#This Row],[FORMA_PAGO_FINAL]]</f>
        <v>TRANSFERENCIAS PAGO EN CAJA</v>
      </c>
      <c r="BC253" s="18">
        <f>DAY(Pospago[[#This Row],[FECHA_ALTA]])</f>
        <v>12</v>
      </c>
      <c r="BD253" s="18">
        <f>IF(Pospago[[#This Row],[TARIFA_BASICA]]=11.42,1,0)</f>
        <v>0</v>
      </c>
      <c r="BE253" s="18">
        <f>IF(Pospago[[#This Row],[PLANES TELEVENTAS]]="SI",1,0)</f>
        <v>0</v>
      </c>
      <c r="BF253" s="18">
        <f>1</f>
        <v>1</v>
      </c>
      <c r="BG253" s="18">
        <f>IF(OR(Pospago[[#This Row],[TARIFA_BASICA]]=11.42,Pospago[[#This Row],[PLANES TELEVENTAS]]="SI"),1,0)</f>
        <v>0</v>
      </c>
      <c r="BH253" s="18" t="str">
        <f>IF(MID(Pospago[[#This Row],[PlanDesc]],1,4) = "PLAN","POSPAGO",IF(MID(Pospago[[#This Row],[PlanDesc]],1,4)="FULL","FULL MEGAS","PREVIOPAGO"))</f>
        <v>PREVIOPAGO</v>
      </c>
      <c r="BI2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11.25</v>
      </c>
      <c r="BJ2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53" s="21">
        <f>Pospago[[#This Row],[TARIFA_BASICA]]*1.5</f>
        <v>32.130000000000003</v>
      </c>
    </row>
    <row r="254" spans="1:63" x14ac:dyDescent="0.25">
      <c r="A254" s="18" t="s">
        <v>154</v>
      </c>
      <c r="B254" s="18" t="s">
        <v>1817</v>
      </c>
      <c r="C254" s="18" t="s">
        <v>1818</v>
      </c>
      <c r="D254" s="19">
        <v>44910</v>
      </c>
      <c r="E254" s="18" t="s">
        <v>67</v>
      </c>
      <c r="F254" s="18" t="s">
        <v>1819</v>
      </c>
      <c r="G254" s="18" t="s">
        <v>1820</v>
      </c>
      <c r="H254" s="18" t="s">
        <v>159</v>
      </c>
      <c r="I254" s="18" t="s">
        <v>130</v>
      </c>
      <c r="J254" s="18" t="s">
        <v>433</v>
      </c>
      <c r="K254" s="18" t="s">
        <v>73</v>
      </c>
      <c r="L254" s="20" t="s">
        <v>1821</v>
      </c>
      <c r="M254" s="18" t="s">
        <v>287</v>
      </c>
      <c r="N254" s="20" t="s">
        <v>1822</v>
      </c>
      <c r="O254" s="18" t="s">
        <v>164</v>
      </c>
      <c r="P254" s="18" t="s">
        <v>78</v>
      </c>
      <c r="Q254" s="19">
        <v>44914</v>
      </c>
      <c r="R254" s="21">
        <v>15</v>
      </c>
      <c r="S254" s="18" t="s">
        <v>79</v>
      </c>
      <c r="T254" s="18" t="s">
        <v>148</v>
      </c>
      <c r="U254" s="18" t="s">
        <v>83</v>
      </c>
      <c r="V254" s="18" t="s">
        <v>95</v>
      </c>
      <c r="W254" s="18" t="s">
        <v>95</v>
      </c>
      <c r="X254" s="18" t="s">
        <v>118</v>
      </c>
      <c r="Y254" s="18" t="s">
        <v>85</v>
      </c>
      <c r="Z254" s="18" t="s">
        <v>86</v>
      </c>
      <c r="AA254" s="18" t="s">
        <v>119</v>
      </c>
      <c r="AB254" s="18" t="s">
        <v>385</v>
      </c>
      <c r="AC254" s="18" t="s">
        <v>386</v>
      </c>
      <c r="AD254" s="18" t="s">
        <v>85</v>
      </c>
      <c r="AE254" s="18" t="s">
        <v>90</v>
      </c>
      <c r="AF254" s="18" t="s">
        <v>151</v>
      </c>
      <c r="AG254" s="18" t="s">
        <v>92</v>
      </c>
      <c r="AH254" s="18" t="s">
        <v>165</v>
      </c>
      <c r="AI254" s="18" t="s">
        <v>94</v>
      </c>
      <c r="AJ254" s="19">
        <v>44910</v>
      </c>
      <c r="AK254" s="22" t="s">
        <v>95</v>
      </c>
      <c r="AL254" s="18" t="s">
        <v>95</v>
      </c>
      <c r="AM254" s="18" t="s">
        <v>95</v>
      </c>
      <c r="AN254" s="18" t="s">
        <v>95</v>
      </c>
      <c r="AO254" s="18" t="s">
        <v>95</v>
      </c>
      <c r="AP254" s="18" t="s">
        <v>95</v>
      </c>
      <c r="AQ254" s="18" t="s">
        <v>95</v>
      </c>
      <c r="AR254" s="18" t="s">
        <v>95</v>
      </c>
      <c r="AS254" s="18" t="s">
        <v>83</v>
      </c>
      <c r="AT254" s="18" t="s">
        <v>83</v>
      </c>
      <c r="AU254" s="18" t="s">
        <v>81</v>
      </c>
      <c r="AV254" s="18" t="s">
        <v>95</v>
      </c>
      <c r="AW254" s="18" t="s">
        <v>95</v>
      </c>
      <c r="AX254" s="18"/>
      <c r="AY254" s="18" t="str">
        <f>Pospago[[#This Row],[NUM_TELEFONICO]]&amp;"POSPAGOSI"</f>
        <v>983339146POSPAGOSI</v>
      </c>
      <c r="AZ254" s="18" t="str">
        <f>VLOOKUP(Pospago[[#This Row],[NOM_PLAZA_FINAL]],[1]!Locales[#Data],3,0)</f>
        <v>TIENDA CUENCA REMIGIO</v>
      </c>
      <c r="BA254" s="18" t="str">
        <f>IFERROR(VLOOKUP(Pospago[[#This Row],[USUARIO]],[1]!Personal[#Data],6,0),"EJECUTIVO NO REGISTRADO")</f>
        <v>RAMIREZ RUBIO NELLY LILIANA</v>
      </c>
      <c r="BB254" s="18" t="str">
        <f>Pospago[[#This Row],[TIPO_MOVIMIENTO]]&amp;" "&amp;Pospago[[#This Row],[FORMA_PAGO_FINAL]]</f>
        <v>TRANSFERENCIAS PAGO EN CAJA</v>
      </c>
      <c r="BC254" s="18">
        <f>DAY(Pospago[[#This Row],[FECHA_ALTA]])</f>
        <v>15</v>
      </c>
      <c r="BD254" s="18">
        <f>IF(Pospago[[#This Row],[TARIFA_BASICA]]=11.42,1,0)</f>
        <v>0</v>
      </c>
      <c r="BE254" s="18">
        <f>IF(Pospago[[#This Row],[PLANES TELEVENTAS]]="SI",1,0)</f>
        <v>0</v>
      </c>
      <c r="BF254" s="18">
        <f>1</f>
        <v>1</v>
      </c>
      <c r="BG254" s="18">
        <f>IF(OR(Pospago[[#This Row],[TARIFA_BASICA]]=11.42,Pospago[[#This Row],[PLANES TELEVENTAS]]="SI"),1,0)</f>
        <v>0</v>
      </c>
      <c r="BH254" s="18" t="str">
        <f>IF(MID(Pospago[[#This Row],[PlanDesc]],1,4) = "PLAN","POSPAGO",IF(MID(Pospago[[#This Row],[PlanDesc]],1,4)="FULL","FULL MEGAS","PREVIOPAGO"))</f>
        <v>PREVIOPAGO</v>
      </c>
      <c r="BI2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2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54" s="21">
        <f>Pospago[[#This Row],[TARIFA_BASICA]]*1.5</f>
        <v>22.5</v>
      </c>
    </row>
    <row r="255" spans="1:63" x14ac:dyDescent="0.25">
      <c r="A255" s="18" t="s">
        <v>64</v>
      </c>
      <c r="B255" s="18" t="s">
        <v>1823</v>
      </c>
      <c r="C255" s="18" t="s">
        <v>1824</v>
      </c>
      <c r="D255" s="19">
        <v>44901</v>
      </c>
      <c r="E255" s="18" t="s">
        <v>67</v>
      </c>
      <c r="F255" s="18" t="s">
        <v>1825</v>
      </c>
      <c r="G255" s="18" t="s">
        <v>1826</v>
      </c>
      <c r="H255" s="18" t="s">
        <v>70</v>
      </c>
      <c r="I255" s="18" t="s">
        <v>194</v>
      </c>
      <c r="J255" s="18" t="s">
        <v>195</v>
      </c>
      <c r="K255" s="18" t="s">
        <v>95</v>
      </c>
      <c r="L255" s="20" t="s">
        <v>1827</v>
      </c>
      <c r="M255" s="18" t="s">
        <v>75</v>
      </c>
      <c r="N255" s="20" t="s">
        <v>1828</v>
      </c>
      <c r="O255" s="18" t="s">
        <v>77</v>
      </c>
      <c r="P255" s="18" t="s">
        <v>78</v>
      </c>
      <c r="Q255" s="19">
        <v>44914</v>
      </c>
      <c r="R255" s="21">
        <v>14.28</v>
      </c>
      <c r="S255" s="18" t="s">
        <v>79</v>
      </c>
      <c r="T255" s="18" t="s">
        <v>232</v>
      </c>
      <c r="U255" s="18" t="s">
        <v>83</v>
      </c>
      <c r="V255" s="18" t="s">
        <v>95</v>
      </c>
      <c r="W255" s="18" t="s">
        <v>83</v>
      </c>
      <c r="X255" s="18" t="s">
        <v>84</v>
      </c>
      <c r="Y255" s="18" t="s">
        <v>85</v>
      </c>
      <c r="Z255" s="18" t="s">
        <v>86</v>
      </c>
      <c r="AA255" s="18" t="s">
        <v>87</v>
      </c>
      <c r="AB255" s="18" t="s">
        <v>280</v>
      </c>
      <c r="AC255" s="18" t="s">
        <v>281</v>
      </c>
      <c r="AD255" s="18" t="s">
        <v>85</v>
      </c>
      <c r="AE255" s="18" t="s">
        <v>90</v>
      </c>
      <c r="AF255" s="18" t="s">
        <v>235</v>
      </c>
      <c r="AG255" s="18" t="s">
        <v>139</v>
      </c>
      <c r="AH255" s="18" t="s">
        <v>93</v>
      </c>
      <c r="AI255" s="18" t="s">
        <v>94</v>
      </c>
      <c r="AJ255" s="19">
        <v>44901</v>
      </c>
      <c r="AK255" s="22" t="s">
        <v>95</v>
      </c>
      <c r="AL255" s="18" t="s">
        <v>95</v>
      </c>
      <c r="AM255" s="18" t="s">
        <v>95</v>
      </c>
      <c r="AN255" s="18" t="s">
        <v>95</v>
      </c>
      <c r="AO255" s="18" t="s">
        <v>95</v>
      </c>
      <c r="AP255" s="18" t="s">
        <v>95</v>
      </c>
      <c r="AQ255" s="18" t="s">
        <v>95</v>
      </c>
      <c r="AR255" s="18" t="s">
        <v>95</v>
      </c>
      <c r="AS255" s="18" t="s">
        <v>83</v>
      </c>
      <c r="AT255" s="18" t="s">
        <v>81</v>
      </c>
      <c r="AU255" s="18" t="s">
        <v>81</v>
      </c>
      <c r="AV255" s="18" t="s">
        <v>95</v>
      </c>
      <c r="AW255" s="18" t="s">
        <v>95</v>
      </c>
      <c r="AX255" s="18"/>
      <c r="AY255" s="18" t="str">
        <f>Pospago[[#This Row],[NUM_TELEFONICO]]&amp;"POSPAGOSI"</f>
        <v>983350038POSPAGOSI</v>
      </c>
      <c r="AZ255" s="18" t="str">
        <f>VLOOKUP(Pospago[[#This Row],[NOM_PLAZA_FINAL]],[1]!Locales[#Data],3,0)</f>
        <v>TIENDA CONDADO</v>
      </c>
      <c r="BA255" s="18" t="str">
        <f>IFERROR(VLOOKUP(Pospago[[#This Row],[USUARIO]],[1]!Personal[#Data],6,0),"EJECUTIVO NO REGISTRADO")</f>
        <v>GUACHAMIN CAZA HUGO ADRIAN</v>
      </c>
      <c r="BB255" s="18" t="str">
        <f>Pospago[[#This Row],[TIPO_MOVIMIENTO]]&amp;" "&amp;Pospago[[#This Row],[FORMA_PAGO_FINAL]]</f>
        <v>ALTAS DOMICILIADO</v>
      </c>
      <c r="BC255" s="18">
        <f>DAY(Pospago[[#This Row],[FECHA_ALTA]])</f>
        <v>6</v>
      </c>
      <c r="BD255" s="18">
        <f>IF(Pospago[[#This Row],[TARIFA_BASICA]]=11.42,1,0)</f>
        <v>0</v>
      </c>
      <c r="BE255" s="18">
        <f>IF(Pospago[[#This Row],[PLANES TELEVENTAS]]="SI",1,0)</f>
        <v>1</v>
      </c>
      <c r="BF255" s="18">
        <f>1</f>
        <v>1</v>
      </c>
      <c r="BG255" s="18">
        <f>IF(OR(Pospago[[#This Row],[TARIFA_BASICA]]=11.42,Pospago[[#This Row],[PLANES TELEVENTAS]]="SI"),1,0)</f>
        <v>1</v>
      </c>
      <c r="BH255" s="18" t="str">
        <f>IF(MID(Pospago[[#This Row],[PlanDesc]],1,4) = "PLAN","POSPAGO",IF(MID(Pospago[[#This Row],[PlanDesc]],1,4)="FULL","FULL MEGAS","PREVIOPAGO"))</f>
        <v>PREVIOPAGO</v>
      </c>
      <c r="BI2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55" s="21">
        <f>Pospago[[#This Row],[TARIFA_BASICA]]*1.5</f>
        <v>21.419999999999998</v>
      </c>
    </row>
    <row r="256" spans="1:63" x14ac:dyDescent="0.25">
      <c r="A256" s="18" t="s">
        <v>64</v>
      </c>
      <c r="B256" s="18" t="s">
        <v>1829</v>
      </c>
      <c r="C256" s="18" t="s">
        <v>1830</v>
      </c>
      <c r="D256" s="19">
        <v>44902</v>
      </c>
      <c r="E256" s="18" t="s">
        <v>246</v>
      </c>
      <c r="F256" s="18" t="s">
        <v>1831</v>
      </c>
      <c r="G256" s="18" t="s">
        <v>1832</v>
      </c>
      <c r="H256" s="18" t="s">
        <v>70</v>
      </c>
      <c r="I256" s="18" t="s">
        <v>194</v>
      </c>
      <c r="J256" s="18" t="s">
        <v>195</v>
      </c>
      <c r="K256" s="18" t="s">
        <v>132</v>
      </c>
      <c r="L256" s="20" t="s">
        <v>1833</v>
      </c>
      <c r="M256" s="18" t="s">
        <v>75</v>
      </c>
      <c r="N256" s="20" t="s">
        <v>1834</v>
      </c>
      <c r="O256" s="18" t="s">
        <v>77</v>
      </c>
      <c r="P256" s="18" t="s">
        <v>78</v>
      </c>
      <c r="Q256" s="19">
        <v>44914</v>
      </c>
      <c r="R256" s="21">
        <v>14.28</v>
      </c>
      <c r="S256" s="18" t="s">
        <v>79</v>
      </c>
      <c r="T256" s="18" t="s">
        <v>232</v>
      </c>
      <c r="U256" s="18" t="s">
        <v>81</v>
      </c>
      <c r="V256" s="18" t="s">
        <v>1029</v>
      </c>
      <c r="W256" s="18" t="s">
        <v>83</v>
      </c>
      <c r="X256" s="18" t="s">
        <v>118</v>
      </c>
      <c r="Y256" s="18" t="s">
        <v>85</v>
      </c>
      <c r="Z256" s="18" t="s">
        <v>86</v>
      </c>
      <c r="AA256" s="18" t="s">
        <v>119</v>
      </c>
      <c r="AB256" s="18" t="s">
        <v>280</v>
      </c>
      <c r="AC256" s="18" t="s">
        <v>281</v>
      </c>
      <c r="AD256" s="18" t="s">
        <v>85</v>
      </c>
      <c r="AE256" s="18" t="s">
        <v>90</v>
      </c>
      <c r="AF256" s="18" t="s">
        <v>235</v>
      </c>
      <c r="AG256" s="18" t="s">
        <v>139</v>
      </c>
      <c r="AH256" s="18" t="s">
        <v>93</v>
      </c>
      <c r="AI256" s="18" t="s">
        <v>94</v>
      </c>
      <c r="AJ256" s="19">
        <v>44902</v>
      </c>
      <c r="AK256" s="22" t="s">
        <v>95</v>
      </c>
      <c r="AL256" s="18" t="s">
        <v>95</v>
      </c>
      <c r="AM256" s="18" t="s">
        <v>95</v>
      </c>
      <c r="AN256" s="18" t="s">
        <v>95</v>
      </c>
      <c r="AO256" s="18" t="s">
        <v>95</v>
      </c>
      <c r="AP256" s="18" t="s">
        <v>95</v>
      </c>
      <c r="AQ256" s="18" t="s">
        <v>95</v>
      </c>
      <c r="AR256" s="18" t="s">
        <v>95</v>
      </c>
      <c r="AS256" s="18" t="s">
        <v>83</v>
      </c>
      <c r="AT256" s="18" t="s">
        <v>81</v>
      </c>
      <c r="AU256" s="18" t="s">
        <v>81</v>
      </c>
      <c r="AV256" s="18" t="s">
        <v>95</v>
      </c>
      <c r="AW256" s="18" t="s">
        <v>95</v>
      </c>
      <c r="AX256" s="18"/>
      <c r="AY256" s="18" t="str">
        <f>Pospago[[#This Row],[NUM_TELEFONICO]]&amp;"POSPAGOSI"</f>
        <v>983350226POSPAGOSI</v>
      </c>
      <c r="AZ256" s="18" t="str">
        <f>VLOOKUP(Pospago[[#This Row],[NOM_PLAZA_FINAL]],[1]!Locales[#Data],3,0)</f>
        <v>TIENDA CONDADO</v>
      </c>
      <c r="BA256" s="18" t="str">
        <f>IFERROR(VLOOKUP(Pospago[[#This Row],[USUARIO]],[1]!Personal[#Data],6,0),"EJECUTIVO NO REGISTRADO")</f>
        <v>GUACHAMIN CAZA HUGO ADRIAN</v>
      </c>
      <c r="BB256" s="18" t="str">
        <f>Pospago[[#This Row],[TIPO_MOVIMIENTO]]&amp;" "&amp;Pospago[[#This Row],[FORMA_PAGO_FINAL]]</f>
        <v>ALTAS PAGO EN CAJA</v>
      </c>
      <c r="BC256" s="18">
        <f>DAY(Pospago[[#This Row],[FECHA_ALTA]])</f>
        <v>7</v>
      </c>
      <c r="BD256" s="18">
        <f>IF(Pospago[[#This Row],[TARIFA_BASICA]]=11.42,1,0)</f>
        <v>0</v>
      </c>
      <c r="BE256" s="18">
        <f>IF(Pospago[[#This Row],[PLANES TELEVENTAS]]="SI",1,0)</f>
        <v>1</v>
      </c>
      <c r="BF256" s="18">
        <f>1</f>
        <v>1</v>
      </c>
      <c r="BG256" s="18">
        <f>IF(OR(Pospago[[#This Row],[TARIFA_BASICA]]=11.42,Pospago[[#This Row],[PLANES TELEVENTAS]]="SI"),1,0)</f>
        <v>1</v>
      </c>
      <c r="BH256" s="18" t="str">
        <f>IF(MID(Pospago[[#This Row],[PlanDesc]],1,4) = "PLAN","POSPAGO",IF(MID(Pospago[[#This Row],[PlanDesc]],1,4)="FULL","FULL MEGAS","PREVIOPAGO"))</f>
        <v>PREVIOPAGO</v>
      </c>
      <c r="BI2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2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56" s="21">
        <f>Pospago[[#This Row],[TARIFA_BASICA]]*1.5</f>
        <v>21.419999999999998</v>
      </c>
    </row>
    <row r="257" spans="1:63" x14ac:dyDescent="0.25">
      <c r="A257" s="18" t="s">
        <v>64</v>
      </c>
      <c r="B257" s="18" t="s">
        <v>1835</v>
      </c>
      <c r="C257" s="18" t="s">
        <v>1836</v>
      </c>
      <c r="D257" s="19">
        <v>44908</v>
      </c>
      <c r="E257" s="18" t="s">
        <v>67</v>
      </c>
      <c r="F257" s="18" t="s">
        <v>1837</v>
      </c>
      <c r="G257" s="18" t="s">
        <v>1838</v>
      </c>
      <c r="H257" s="18" t="s">
        <v>70</v>
      </c>
      <c r="I257" s="18" t="s">
        <v>712</v>
      </c>
      <c r="J257" s="18" t="s">
        <v>113</v>
      </c>
      <c r="K257" s="18" t="s">
        <v>1839</v>
      </c>
      <c r="L257" s="20" t="s">
        <v>1840</v>
      </c>
      <c r="M257" s="18" t="s">
        <v>75</v>
      </c>
      <c r="N257" s="20" t="s">
        <v>1841</v>
      </c>
      <c r="O257" s="18" t="s">
        <v>77</v>
      </c>
      <c r="P257" s="18" t="s">
        <v>78</v>
      </c>
      <c r="Q257" s="19">
        <v>44914</v>
      </c>
      <c r="R257" s="21">
        <v>17.850000000000001</v>
      </c>
      <c r="S257" s="18" t="s">
        <v>79</v>
      </c>
      <c r="T257" s="18" t="s">
        <v>232</v>
      </c>
      <c r="U257" s="18" t="s">
        <v>83</v>
      </c>
      <c r="V257" s="18" t="s">
        <v>95</v>
      </c>
      <c r="W257" s="18" t="s">
        <v>83</v>
      </c>
      <c r="X257" s="18" t="s">
        <v>118</v>
      </c>
      <c r="Y257" s="18" t="s">
        <v>85</v>
      </c>
      <c r="Z257" s="18" t="s">
        <v>86</v>
      </c>
      <c r="AA257" s="18" t="s">
        <v>119</v>
      </c>
      <c r="AB257" s="18" t="s">
        <v>280</v>
      </c>
      <c r="AC257" s="18" t="s">
        <v>281</v>
      </c>
      <c r="AD257" s="18" t="s">
        <v>85</v>
      </c>
      <c r="AE257" s="18" t="s">
        <v>90</v>
      </c>
      <c r="AF257" s="18" t="s">
        <v>235</v>
      </c>
      <c r="AG257" s="18" t="s">
        <v>139</v>
      </c>
      <c r="AH257" s="18" t="s">
        <v>93</v>
      </c>
      <c r="AI257" s="18" t="s">
        <v>94</v>
      </c>
      <c r="AJ257" s="19">
        <v>44908</v>
      </c>
      <c r="AK257" s="22" t="s">
        <v>95</v>
      </c>
      <c r="AL257" s="18" t="s">
        <v>95</v>
      </c>
      <c r="AM257" s="18" t="s">
        <v>95</v>
      </c>
      <c r="AN257" s="18" t="s">
        <v>95</v>
      </c>
      <c r="AO257" s="18" t="s">
        <v>95</v>
      </c>
      <c r="AP257" s="18" t="s">
        <v>95</v>
      </c>
      <c r="AQ257" s="18" t="s">
        <v>95</v>
      </c>
      <c r="AR257" s="18" t="s">
        <v>95</v>
      </c>
      <c r="AS257" s="18" t="s">
        <v>83</v>
      </c>
      <c r="AT257" s="18" t="s">
        <v>81</v>
      </c>
      <c r="AU257" s="18" t="s">
        <v>81</v>
      </c>
      <c r="AV257" s="18" t="s">
        <v>95</v>
      </c>
      <c r="AW257" s="18" t="s">
        <v>95</v>
      </c>
      <c r="AX257" s="18"/>
      <c r="AY257" s="18" t="str">
        <f>Pospago[[#This Row],[NUM_TELEFONICO]]&amp;"POSPAGOSI"</f>
        <v>983354033POSPAGOSI</v>
      </c>
      <c r="AZ257" s="18" t="str">
        <f>VLOOKUP(Pospago[[#This Row],[NOM_PLAZA_FINAL]],[1]!Locales[#Data],3,0)</f>
        <v>TIENDA CONDADO</v>
      </c>
      <c r="BA257" s="18" t="str">
        <f>IFERROR(VLOOKUP(Pospago[[#This Row],[USUARIO]],[1]!Personal[#Data],6,0),"EJECUTIVO NO REGISTRADO")</f>
        <v>GUACHAMIN CAZA HUGO ADRIAN</v>
      </c>
      <c r="BB257" s="18" t="str">
        <f>Pospago[[#This Row],[TIPO_MOVIMIENTO]]&amp;" "&amp;Pospago[[#This Row],[FORMA_PAGO_FINAL]]</f>
        <v>ALTAS PAGO EN CAJA</v>
      </c>
      <c r="BC257" s="18">
        <f>DAY(Pospago[[#This Row],[FECHA_ALTA]])</f>
        <v>13</v>
      </c>
      <c r="BD257" s="18">
        <f>IF(Pospago[[#This Row],[TARIFA_BASICA]]=11.42,1,0)</f>
        <v>0</v>
      </c>
      <c r="BE257" s="18">
        <f>IF(Pospago[[#This Row],[PLANES TELEVENTAS]]="SI",1,0)</f>
        <v>1</v>
      </c>
      <c r="BF257" s="18">
        <f>1</f>
        <v>1</v>
      </c>
      <c r="BG257" s="18">
        <f>IF(OR(Pospago[[#This Row],[TARIFA_BASICA]]=11.42,Pospago[[#This Row],[PLANES TELEVENTAS]]="SI"),1,0)</f>
        <v>1</v>
      </c>
      <c r="BH257" s="18" t="str">
        <f>IF(MID(Pospago[[#This Row],[PlanDesc]],1,4) = "PLAN","POSPAGO",IF(MID(Pospago[[#This Row],[PlanDesc]],1,4)="FULL","FULL MEGAS","PREVIOPAGO"))</f>
        <v>PREVIOPAGO</v>
      </c>
      <c r="BI2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2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57" s="21">
        <f>Pospago[[#This Row],[TARIFA_BASICA]]*1.5</f>
        <v>26.775000000000002</v>
      </c>
    </row>
    <row r="258" spans="1:63" x14ac:dyDescent="0.25">
      <c r="A258" s="18" t="s">
        <v>64</v>
      </c>
      <c r="B258" s="18" t="s">
        <v>1842</v>
      </c>
      <c r="C258" s="18" t="s">
        <v>1843</v>
      </c>
      <c r="D258" s="19">
        <v>44904</v>
      </c>
      <c r="E258" s="18" t="s">
        <v>67</v>
      </c>
      <c r="F258" s="18" t="s">
        <v>1844</v>
      </c>
      <c r="G258" s="18" t="s">
        <v>1845</v>
      </c>
      <c r="H258" s="18" t="s">
        <v>70</v>
      </c>
      <c r="I258" s="18" t="s">
        <v>112</v>
      </c>
      <c r="J258" s="18" t="s">
        <v>113</v>
      </c>
      <c r="K258" s="18" t="s">
        <v>1727</v>
      </c>
      <c r="L258" s="20" t="s">
        <v>1846</v>
      </c>
      <c r="M258" s="18" t="s">
        <v>75</v>
      </c>
      <c r="N258" s="20" t="s">
        <v>1847</v>
      </c>
      <c r="O258" s="18" t="s">
        <v>77</v>
      </c>
      <c r="P258" s="18" t="s">
        <v>78</v>
      </c>
      <c r="Q258" s="19">
        <v>44914</v>
      </c>
      <c r="R258" s="21">
        <v>17.850000000000001</v>
      </c>
      <c r="S258" s="18" t="s">
        <v>79</v>
      </c>
      <c r="T258" s="18" t="s">
        <v>148</v>
      </c>
      <c r="U258" s="18" t="s">
        <v>83</v>
      </c>
      <c r="V258" s="18" t="s">
        <v>95</v>
      </c>
      <c r="W258" s="18" t="s">
        <v>83</v>
      </c>
      <c r="X258" s="18" t="s">
        <v>84</v>
      </c>
      <c r="Y258" s="18" t="s">
        <v>85</v>
      </c>
      <c r="Z258" s="18" t="s">
        <v>86</v>
      </c>
      <c r="AA258" s="18" t="s">
        <v>87</v>
      </c>
      <c r="AB258" s="18" t="s">
        <v>318</v>
      </c>
      <c r="AC258" s="18" t="s">
        <v>319</v>
      </c>
      <c r="AD258" s="18" t="s">
        <v>85</v>
      </c>
      <c r="AE258" s="18" t="s">
        <v>90</v>
      </c>
      <c r="AF258" s="18" t="s">
        <v>151</v>
      </c>
      <c r="AG258" s="18" t="s">
        <v>92</v>
      </c>
      <c r="AH258" s="18" t="s">
        <v>93</v>
      </c>
      <c r="AI258" s="18" t="s">
        <v>94</v>
      </c>
      <c r="AJ258" s="19">
        <v>44904</v>
      </c>
      <c r="AK258" s="22" t="s">
        <v>95</v>
      </c>
      <c r="AL258" s="18" t="s">
        <v>95</v>
      </c>
      <c r="AM258" s="18" t="s">
        <v>95</v>
      </c>
      <c r="AN258" s="18" t="s">
        <v>95</v>
      </c>
      <c r="AO258" s="18" t="s">
        <v>95</v>
      </c>
      <c r="AP258" s="18" t="s">
        <v>95</v>
      </c>
      <c r="AQ258" s="18" t="s">
        <v>95</v>
      </c>
      <c r="AR258" s="18" t="s">
        <v>95</v>
      </c>
      <c r="AS258" s="18" t="s">
        <v>83</v>
      </c>
      <c r="AT258" s="18" t="s">
        <v>83</v>
      </c>
      <c r="AU258" s="18" t="s">
        <v>81</v>
      </c>
      <c r="AV258" s="18" t="s">
        <v>95</v>
      </c>
      <c r="AW258" s="18" t="s">
        <v>95</v>
      </c>
      <c r="AX258" s="18"/>
      <c r="AY258" s="18" t="str">
        <f>Pospago[[#This Row],[NUM_TELEFONICO]]&amp;"POSPAGOSI"</f>
        <v>983360098POSPAGOSI</v>
      </c>
      <c r="AZ258" s="18" t="str">
        <f>VLOOKUP(Pospago[[#This Row],[NOM_PLAZA_FINAL]],[1]!Locales[#Data],3,0)</f>
        <v>TIENDA CUENCA REMIGIO</v>
      </c>
      <c r="BA258" s="18" t="str">
        <f>IFERROR(VLOOKUP(Pospago[[#This Row],[USUARIO]],[1]!Personal[#Data],6,0),"EJECUTIVO NO REGISTRADO")</f>
        <v>RODRIGUEZ QUITO JESSICA GABRIELA</v>
      </c>
      <c r="BB258" s="18" t="str">
        <f>Pospago[[#This Row],[TIPO_MOVIMIENTO]]&amp;" "&amp;Pospago[[#This Row],[FORMA_PAGO_FINAL]]</f>
        <v>ALTAS DOMICILIADO</v>
      </c>
      <c r="BC258" s="18">
        <f>DAY(Pospago[[#This Row],[FECHA_ALTA]])</f>
        <v>9</v>
      </c>
      <c r="BD258" s="18">
        <f>IF(Pospago[[#This Row],[TARIFA_BASICA]]=11.42,1,0)</f>
        <v>0</v>
      </c>
      <c r="BE258" s="18">
        <f>IF(Pospago[[#This Row],[PLANES TELEVENTAS]]="SI",1,0)</f>
        <v>0</v>
      </c>
      <c r="BF258" s="18">
        <f>1</f>
        <v>1</v>
      </c>
      <c r="BG258" s="18">
        <f>IF(OR(Pospago[[#This Row],[TARIFA_BASICA]]=11.42,Pospago[[#This Row],[PLANES TELEVENTAS]]="SI"),1,0)</f>
        <v>0</v>
      </c>
      <c r="BH258" s="18" t="str">
        <f>IF(MID(Pospago[[#This Row],[PlanDesc]],1,4) = "PLAN","POSPAGO",IF(MID(Pospago[[#This Row],[PlanDesc]],1,4)="FULL","FULL MEGAS","PREVIOPAGO"))</f>
        <v>PREVIOPAGO</v>
      </c>
      <c r="BI2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2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58" s="21">
        <f>Pospago[[#This Row],[TARIFA_BASICA]]*1.5</f>
        <v>26.775000000000002</v>
      </c>
    </row>
    <row r="259" spans="1:63" x14ac:dyDescent="0.25">
      <c r="A259" s="18" t="s">
        <v>64</v>
      </c>
      <c r="B259" s="18" t="s">
        <v>1848</v>
      </c>
      <c r="C259" s="18" t="s">
        <v>1849</v>
      </c>
      <c r="D259" s="19">
        <v>44900</v>
      </c>
      <c r="E259" s="18" t="s">
        <v>246</v>
      </c>
      <c r="F259" s="18" t="s">
        <v>1850</v>
      </c>
      <c r="G259" s="18" t="s">
        <v>1851</v>
      </c>
      <c r="H259" s="18" t="s">
        <v>70</v>
      </c>
      <c r="I259" s="18" t="s">
        <v>130</v>
      </c>
      <c r="J259" s="18" t="s">
        <v>131</v>
      </c>
      <c r="K259" s="18" t="s">
        <v>114</v>
      </c>
      <c r="L259" s="20" t="s">
        <v>1852</v>
      </c>
      <c r="M259" s="18" t="s">
        <v>75</v>
      </c>
      <c r="N259" s="20" t="s">
        <v>1853</v>
      </c>
      <c r="O259" s="18" t="s">
        <v>77</v>
      </c>
      <c r="P259" s="18" t="s">
        <v>78</v>
      </c>
      <c r="Q259" s="19">
        <v>44914</v>
      </c>
      <c r="R259" s="21">
        <v>15</v>
      </c>
      <c r="S259" s="18" t="s">
        <v>79</v>
      </c>
      <c r="T259" s="18" t="s">
        <v>117</v>
      </c>
      <c r="U259" s="18" t="s">
        <v>83</v>
      </c>
      <c r="V259" s="18" t="s">
        <v>95</v>
      </c>
      <c r="W259" s="18" t="s">
        <v>83</v>
      </c>
      <c r="X259" s="18" t="s">
        <v>118</v>
      </c>
      <c r="Y259" s="18" t="s">
        <v>85</v>
      </c>
      <c r="Z259" s="18" t="s">
        <v>86</v>
      </c>
      <c r="AA259" s="18" t="s">
        <v>119</v>
      </c>
      <c r="AB259" s="18" t="s">
        <v>651</v>
      </c>
      <c r="AC259" s="18" t="s">
        <v>652</v>
      </c>
      <c r="AD259" s="18" t="s">
        <v>85</v>
      </c>
      <c r="AE259" s="18" t="s">
        <v>90</v>
      </c>
      <c r="AF259" s="18" t="s">
        <v>122</v>
      </c>
      <c r="AG259" s="18" t="s">
        <v>92</v>
      </c>
      <c r="AH259" s="18" t="s">
        <v>93</v>
      </c>
      <c r="AI259" s="18" t="s">
        <v>94</v>
      </c>
      <c r="AJ259" s="19">
        <v>44900</v>
      </c>
      <c r="AK259" s="22" t="s">
        <v>95</v>
      </c>
      <c r="AL259" s="18" t="s">
        <v>95</v>
      </c>
      <c r="AM259" s="18" t="s">
        <v>95</v>
      </c>
      <c r="AN259" s="18" t="s">
        <v>95</v>
      </c>
      <c r="AO259" s="18" t="s">
        <v>95</v>
      </c>
      <c r="AP259" s="18" t="s">
        <v>95</v>
      </c>
      <c r="AQ259" s="18" t="s">
        <v>95</v>
      </c>
      <c r="AR259" s="18" t="s">
        <v>95</v>
      </c>
      <c r="AS259" s="18" t="s">
        <v>83</v>
      </c>
      <c r="AT259" s="18" t="s">
        <v>83</v>
      </c>
      <c r="AU259" s="18" t="s">
        <v>81</v>
      </c>
      <c r="AV259" s="18" t="s">
        <v>95</v>
      </c>
      <c r="AW259" s="18" t="s">
        <v>95</v>
      </c>
      <c r="AX259" s="18"/>
      <c r="AY259" s="18" t="str">
        <f>Pospago[[#This Row],[NUM_TELEFONICO]]&amp;"POSPAGOSI"</f>
        <v>983361503POSPAGOSI</v>
      </c>
      <c r="AZ259" s="18" t="str">
        <f>VLOOKUP(Pospago[[#This Row],[NOM_PLAZA_FINAL]],[1]!Locales[#Data],3,0)</f>
        <v>TIENDA MACHALA</v>
      </c>
      <c r="BA259" s="18" t="str">
        <f>IFERROR(VLOOKUP(Pospago[[#This Row],[USUARIO]],[1]!Personal[#Data],6,0),"EJECUTIVO NO REGISTRADO")</f>
        <v>SANCHEZ SARITAMA JOEL LUIS</v>
      </c>
      <c r="BB259" s="18" t="str">
        <f>Pospago[[#This Row],[TIPO_MOVIMIENTO]]&amp;" "&amp;Pospago[[#This Row],[FORMA_PAGO_FINAL]]</f>
        <v>ALTAS PAGO EN CAJA</v>
      </c>
      <c r="BC259" s="18">
        <f>DAY(Pospago[[#This Row],[FECHA_ALTA]])</f>
        <v>5</v>
      </c>
      <c r="BD259" s="18">
        <f>IF(Pospago[[#This Row],[TARIFA_BASICA]]=11.42,1,0)</f>
        <v>0</v>
      </c>
      <c r="BE259" s="18">
        <f>IF(Pospago[[#This Row],[PLANES TELEVENTAS]]="SI",1,0)</f>
        <v>0</v>
      </c>
      <c r="BF259" s="18">
        <f>1</f>
        <v>1</v>
      </c>
      <c r="BG259" s="18">
        <f>IF(OR(Pospago[[#This Row],[TARIFA_BASICA]]=11.42,Pospago[[#This Row],[PLANES TELEVENTAS]]="SI"),1,0)</f>
        <v>0</v>
      </c>
      <c r="BH259" s="18" t="str">
        <f>IF(MID(Pospago[[#This Row],[PlanDesc]],1,4) = "PLAN","POSPAGO",IF(MID(Pospago[[#This Row],[PlanDesc]],1,4)="FULL","FULL MEGAS","PREVIOPAGO"))</f>
        <v>PREVIOPAGO</v>
      </c>
      <c r="BI2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14.856</v>
      </c>
      <c r="BJ2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59" s="21">
        <f>Pospago[[#This Row],[TARIFA_BASICA]]*1.5</f>
        <v>22.5</v>
      </c>
    </row>
    <row r="260" spans="1:63" x14ac:dyDescent="0.25">
      <c r="A260" s="18" t="s">
        <v>64</v>
      </c>
      <c r="B260" s="18" t="s">
        <v>1854</v>
      </c>
      <c r="C260" s="18" t="s">
        <v>1855</v>
      </c>
      <c r="D260" s="19">
        <v>44912</v>
      </c>
      <c r="E260" s="18" t="s">
        <v>67</v>
      </c>
      <c r="F260" s="18" t="s">
        <v>1856</v>
      </c>
      <c r="G260" s="18" t="s">
        <v>1857</v>
      </c>
      <c r="H260" s="18" t="s">
        <v>70</v>
      </c>
      <c r="I260" s="18" t="s">
        <v>160</v>
      </c>
      <c r="J260" s="18" t="s">
        <v>195</v>
      </c>
      <c r="K260" s="18" t="s">
        <v>132</v>
      </c>
      <c r="L260" s="20" t="s">
        <v>1858</v>
      </c>
      <c r="M260" s="18" t="s">
        <v>75</v>
      </c>
      <c r="N260" s="20" t="s">
        <v>1859</v>
      </c>
      <c r="O260" s="18" t="s">
        <v>77</v>
      </c>
      <c r="P260" s="18" t="s">
        <v>78</v>
      </c>
      <c r="Q260" s="19">
        <v>44914</v>
      </c>
      <c r="R260" s="21">
        <v>14.28</v>
      </c>
      <c r="S260" s="18" t="s">
        <v>79</v>
      </c>
      <c r="T260" s="18" t="s">
        <v>174</v>
      </c>
      <c r="U260" s="18" t="s">
        <v>83</v>
      </c>
      <c r="V260" s="18" t="s">
        <v>95</v>
      </c>
      <c r="W260" s="18" t="s">
        <v>83</v>
      </c>
      <c r="X260" s="18" t="s">
        <v>118</v>
      </c>
      <c r="Y260" s="18" t="s">
        <v>85</v>
      </c>
      <c r="Z260" s="18" t="s">
        <v>86</v>
      </c>
      <c r="AA260" s="18" t="s">
        <v>119</v>
      </c>
      <c r="AB260" s="18" t="s">
        <v>199</v>
      </c>
      <c r="AC260" s="18" t="s">
        <v>200</v>
      </c>
      <c r="AD260" s="18" t="s">
        <v>85</v>
      </c>
      <c r="AE260" s="18" t="s">
        <v>90</v>
      </c>
      <c r="AF260" s="18" t="s">
        <v>177</v>
      </c>
      <c r="AG260" s="18" t="s">
        <v>139</v>
      </c>
      <c r="AH260" s="18" t="s">
        <v>93</v>
      </c>
      <c r="AI260" s="18" t="s">
        <v>94</v>
      </c>
      <c r="AJ260" s="19">
        <v>44912</v>
      </c>
      <c r="AK260" s="22" t="s">
        <v>95</v>
      </c>
      <c r="AL260" s="18" t="s">
        <v>95</v>
      </c>
      <c r="AM260" s="18" t="s">
        <v>95</v>
      </c>
      <c r="AN260" s="18" t="s">
        <v>95</v>
      </c>
      <c r="AO260" s="18" t="s">
        <v>95</v>
      </c>
      <c r="AP260" s="18" t="s">
        <v>95</v>
      </c>
      <c r="AQ260" s="18" t="s">
        <v>95</v>
      </c>
      <c r="AR260" s="18" t="s">
        <v>95</v>
      </c>
      <c r="AS260" s="18" t="s">
        <v>83</v>
      </c>
      <c r="AT260" s="18" t="s">
        <v>83</v>
      </c>
      <c r="AU260" s="18" t="s">
        <v>81</v>
      </c>
      <c r="AV260" s="18" t="s">
        <v>95</v>
      </c>
      <c r="AW260" s="18" t="s">
        <v>95</v>
      </c>
      <c r="AX260" s="18"/>
      <c r="AY260" s="18" t="str">
        <f>Pospago[[#This Row],[NUM_TELEFONICO]]&amp;"POSPAGOSI"</f>
        <v>983363798POSPAGOSI</v>
      </c>
      <c r="AZ260" s="18" t="str">
        <f>VLOOKUP(Pospago[[#This Row],[NOM_PLAZA_FINAL]],[1]!Locales[#Data],3,0)</f>
        <v>TIENDA RECREO</v>
      </c>
      <c r="BA260" s="18" t="str">
        <f>IFERROR(VLOOKUP(Pospago[[#This Row],[USUARIO]],[1]!Personal[#Data],6,0),"EJECUTIVO NO REGISTRADO")</f>
        <v>MEDINA LAPO DAYANNA CAROLINA</v>
      </c>
      <c r="BB260" s="18" t="str">
        <f>Pospago[[#This Row],[TIPO_MOVIMIENTO]]&amp;" "&amp;Pospago[[#This Row],[FORMA_PAGO_FINAL]]</f>
        <v>ALTAS PAGO EN CAJA</v>
      </c>
      <c r="BC260" s="18">
        <f>DAY(Pospago[[#This Row],[FECHA_ALTA]])</f>
        <v>17</v>
      </c>
      <c r="BD260" s="18">
        <f>IF(Pospago[[#This Row],[TARIFA_BASICA]]=11.42,1,0)</f>
        <v>0</v>
      </c>
      <c r="BE260" s="18">
        <f>IF(Pospago[[#This Row],[PLANES TELEVENTAS]]="SI",1,0)</f>
        <v>0</v>
      </c>
      <c r="BF260" s="18">
        <f>1</f>
        <v>1</v>
      </c>
      <c r="BG260" s="18">
        <f>IF(OR(Pospago[[#This Row],[TARIFA_BASICA]]=11.42,Pospago[[#This Row],[PLANES TELEVENTAS]]="SI"),1,0)</f>
        <v>0</v>
      </c>
      <c r="BH260" s="18" t="str">
        <f>IF(MID(Pospago[[#This Row],[PlanDesc]],1,4) = "PLAN","POSPAGO",IF(MID(Pospago[[#This Row],[PlanDesc]],1,4)="FULL","FULL MEGAS","PREVIOPAGO"))</f>
        <v>PREVIOPAGO</v>
      </c>
      <c r="BI2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2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0" s="21">
        <f>Pospago[[#This Row],[TARIFA_BASICA]]*1.5</f>
        <v>21.419999999999998</v>
      </c>
    </row>
    <row r="261" spans="1:63" x14ac:dyDescent="0.25">
      <c r="A261" s="18" t="s">
        <v>64</v>
      </c>
      <c r="B261" s="18" t="s">
        <v>1860</v>
      </c>
      <c r="C261" s="18" t="s">
        <v>1861</v>
      </c>
      <c r="D261" s="19">
        <v>44898</v>
      </c>
      <c r="E261" s="18" t="s">
        <v>67</v>
      </c>
      <c r="F261" s="18" t="s">
        <v>1862</v>
      </c>
      <c r="G261" s="18" t="s">
        <v>1863</v>
      </c>
      <c r="H261" s="18" t="s">
        <v>70</v>
      </c>
      <c r="I261" s="18" t="s">
        <v>160</v>
      </c>
      <c r="J261" s="18" t="s">
        <v>195</v>
      </c>
      <c r="K261" s="18" t="s">
        <v>132</v>
      </c>
      <c r="L261" s="20" t="s">
        <v>1864</v>
      </c>
      <c r="M261" s="18" t="s">
        <v>75</v>
      </c>
      <c r="N261" s="20" t="s">
        <v>1865</v>
      </c>
      <c r="O261" s="18" t="s">
        <v>77</v>
      </c>
      <c r="P261" s="18" t="s">
        <v>78</v>
      </c>
      <c r="Q261" s="19">
        <v>44914</v>
      </c>
      <c r="R261" s="21">
        <v>14.28</v>
      </c>
      <c r="S261" s="18" t="s">
        <v>79</v>
      </c>
      <c r="T261" s="18" t="s">
        <v>174</v>
      </c>
      <c r="U261" s="18" t="s">
        <v>83</v>
      </c>
      <c r="V261" s="18" t="s">
        <v>95</v>
      </c>
      <c r="W261" s="18" t="s">
        <v>83</v>
      </c>
      <c r="X261" s="18" t="s">
        <v>84</v>
      </c>
      <c r="Y261" s="18" t="s">
        <v>85</v>
      </c>
      <c r="Z261" s="18" t="s">
        <v>86</v>
      </c>
      <c r="AA261" s="18" t="s">
        <v>87</v>
      </c>
      <c r="AB261" s="18" t="s">
        <v>369</v>
      </c>
      <c r="AC261" s="18" t="s">
        <v>370</v>
      </c>
      <c r="AD261" s="18" t="s">
        <v>85</v>
      </c>
      <c r="AE261" s="18" t="s">
        <v>90</v>
      </c>
      <c r="AF261" s="18" t="s">
        <v>177</v>
      </c>
      <c r="AG261" s="18" t="s">
        <v>139</v>
      </c>
      <c r="AH261" s="18" t="s">
        <v>93</v>
      </c>
      <c r="AI261" s="18" t="s">
        <v>94</v>
      </c>
      <c r="AJ261" s="19">
        <v>44898</v>
      </c>
      <c r="AK261" s="22" t="s">
        <v>95</v>
      </c>
      <c r="AL261" s="18" t="s">
        <v>95</v>
      </c>
      <c r="AM261" s="18" t="s">
        <v>95</v>
      </c>
      <c r="AN261" s="18" t="s">
        <v>95</v>
      </c>
      <c r="AO261" s="18" t="s">
        <v>95</v>
      </c>
      <c r="AP261" s="18" t="s">
        <v>95</v>
      </c>
      <c r="AQ261" s="18" t="s">
        <v>95</v>
      </c>
      <c r="AR261" s="18" t="s">
        <v>95</v>
      </c>
      <c r="AS261" s="18" t="s">
        <v>83</v>
      </c>
      <c r="AT261" s="18" t="s">
        <v>83</v>
      </c>
      <c r="AU261" s="18" t="s">
        <v>81</v>
      </c>
      <c r="AV261" s="18" t="s">
        <v>95</v>
      </c>
      <c r="AW261" s="18" t="s">
        <v>95</v>
      </c>
      <c r="AX261" s="18"/>
      <c r="AY261" s="18" t="str">
        <f>Pospago[[#This Row],[NUM_TELEFONICO]]&amp;"POSPAGOSI"</f>
        <v>983364832POSPAGOSI</v>
      </c>
      <c r="AZ261" s="18" t="str">
        <f>VLOOKUP(Pospago[[#This Row],[NOM_PLAZA_FINAL]],[1]!Locales[#Data],3,0)</f>
        <v>TIENDA RECREO</v>
      </c>
      <c r="BA261" s="18" t="str">
        <f>IFERROR(VLOOKUP(Pospago[[#This Row],[USUARIO]],[1]!Personal[#Data],6,0),"EJECUTIVO NO REGISTRADO")</f>
        <v>GUAIGUA REINOSO GENESIS CAROLINA</v>
      </c>
      <c r="BB261" s="18" t="str">
        <f>Pospago[[#This Row],[TIPO_MOVIMIENTO]]&amp;" "&amp;Pospago[[#This Row],[FORMA_PAGO_FINAL]]</f>
        <v>ALTAS DOMICILIADO</v>
      </c>
      <c r="BC261" s="18">
        <f>DAY(Pospago[[#This Row],[FECHA_ALTA]])</f>
        <v>3</v>
      </c>
      <c r="BD261" s="18">
        <f>IF(Pospago[[#This Row],[TARIFA_BASICA]]=11.42,1,0)</f>
        <v>0</v>
      </c>
      <c r="BE261" s="18">
        <f>IF(Pospago[[#This Row],[PLANES TELEVENTAS]]="SI",1,0)</f>
        <v>0</v>
      </c>
      <c r="BF261" s="18">
        <f>1</f>
        <v>1</v>
      </c>
      <c r="BG261" s="18">
        <f>IF(OR(Pospago[[#This Row],[TARIFA_BASICA]]=11.42,Pospago[[#This Row],[PLANES TELEVENTAS]]="SI"),1,0)</f>
        <v>0</v>
      </c>
      <c r="BH261" s="18" t="str">
        <f>IF(MID(Pospago[[#This Row],[PlanDesc]],1,4) = "PLAN","POSPAGO",IF(MID(Pospago[[#This Row],[PlanDesc]],1,4)="FULL","FULL MEGAS","PREVIOPAGO"))</f>
        <v>PREVIOPAGO</v>
      </c>
      <c r="BI2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1" s="21">
        <f>Pospago[[#This Row],[TARIFA_BASICA]]*1.5</f>
        <v>21.419999999999998</v>
      </c>
    </row>
    <row r="262" spans="1:63" x14ac:dyDescent="0.25">
      <c r="A262" s="18" t="s">
        <v>64</v>
      </c>
      <c r="B262" s="18" t="s">
        <v>1866</v>
      </c>
      <c r="C262" s="18" t="s">
        <v>208</v>
      </c>
      <c r="D262" s="19">
        <v>44907</v>
      </c>
      <c r="E262" s="18" t="s">
        <v>67</v>
      </c>
      <c r="F262" s="18" t="s">
        <v>209</v>
      </c>
      <c r="G262" s="18" t="s">
        <v>210</v>
      </c>
      <c r="H262" s="18" t="s">
        <v>193</v>
      </c>
      <c r="I262" s="18" t="s">
        <v>211</v>
      </c>
      <c r="J262" s="18" t="s">
        <v>212</v>
      </c>
      <c r="K262" s="18" t="s">
        <v>196</v>
      </c>
      <c r="L262" s="20" t="s">
        <v>1867</v>
      </c>
      <c r="M262" s="18" t="s">
        <v>75</v>
      </c>
      <c r="N262" s="20" t="s">
        <v>1868</v>
      </c>
      <c r="O262" s="18" t="s">
        <v>77</v>
      </c>
      <c r="P262" s="18" t="s">
        <v>78</v>
      </c>
      <c r="Q262" s="19">
        <v>44914</v>
      </c>
      <c r="R262" s="21">
        <v>25</v>
      </c>
      <c r="S262" s="18" t="s">
        <v>79</v>
      </c>
      <c r="T262" s="18" t="s">
        <v>174</v>
      </c>
      <c r="U262" s="18" t="s">
        <v>83</v>
      </c>
      <c r="V262" s="18" t="s">
        <v>95</v>
      </c>
      <c r="W262" s="18" t="s">
        <v>83</v>
      </c>
      <c r="X262" s="18" t="s">
        <v>215</v>
      </c>
      <c r="Y262" s="18" t="s">
        <v>85</v>
      </c>
      <c r="Z262" s="18" t="s">
        <v>86</v>
      </c>
      <c r="AA262" s="18" t="s">
        <v>87</v>
      </c>
      <c r="AB262" s="18" t="s">
        <v>187</v>
      </c>
      <c r="AC262" s="18" t="s">
        <v>188</v>
      </c>
      <c r="AD262" s="18" t="s">
        <v>85</v>
      </c>
      <c r="AE262" s="18" t="s">
        <v>90</v>
      </c>
      <c r="AF262" s="18" t="s">
        <v>177</v>
      </c>
      <c r="AG262" s="18" t="s">
        <v>139</v>
      </c>
      <c r="AH262" s="18" t="s">
        <v>93</v>
      </c>
      <c r="AI262" s="18" t="s">
        <v>94</v>
      </c>
      <c r="AJ262" s="19">
        <v>44907</v>
      </c>
      <c r="AK262" s="22" t="s">
        <v>95</v>
      </c>
      <c r="AL262" s="18" t="s">
        <v>95</v>
      </c>
      <c r="AM262" s="18" t="s">
        <v>95</v>
      </c>
      <c r="AN262" s="18" t="s">
        <v>95</v>
      </c>
      <c r="AO262" s="18" t="s">
        <v>95</v>
      </c>
      <c r="AP262" s="18" t="s">
        <v>95</v>
      </c>
      <c r="AQ262" s="18" t="s">
        <v>95</v>
      </c>
      <c r="AR262" s="18" t="s">
        <v>95</v>
      </c>
      <c r="AS262" s="18" t="s">
        <v>83</v>
      </c>
      <c r="AT262" s="18" t="s">
        <v>95</v>
      </c>
      <c r="AU262" s="18" t="s">
        <v>95</v>
      </c>
      <c r="AV262" s="18" t="s">
        <v>95</v>
      </c>
      <c r="AW262" s="18" t="s">
        <v>95</v>
      </c>
      <c r="AX262" s="18"/>
      <c r="AY262" s="18" t="str">
        <f>Pospago[[#This Row],[NUM_TELEFONICO]]&amp;"POSPAGOSI"</f>
        <v>983365488POSPAGOSI</v>
      </c>
      <c r="AZ262" s="18" t="str">
        <f>VLOOKUP(Pospago[[#This Row],[NOM_PLAZA_FINAL]],[1]!Locales[#Data],3,0)</f>
        <v>TIENDA RECREO</v>
      </c>
      <c r="BA262" s="18" t="str">
        <f>IFERROR(VLOOKUP(Pospago[[#This Row],[USUARIO]],[1]!Personal[#Data],6,0),"EJECUTIVO NO REGISTRADO")</f>
        <v>ESPINOZA MARTINES LAURA XIOMARA</v>
      </c>
      <c r="BB262" s="18" t="str">
        <f>Pospago[[#This Row],[TIPO_MOVIMIENTO]]&amp;" "&amp;Pospago[[#This Row],[FORMA_PAGO_FINAL]]</f>
        <v>ALTAS DOMICILIADO</v>
      </c>
      <c r="BC262" s="18">
        <f>DAY(Pospago[[#This Row],[FECHA_ALTA]])</f>
        <v>12</v>
      </c>
      <c r="BD262" s="18">
        <f>IF(Pospago[[#This Row],[TARIFA_BASICA]]=11.42,1,0)</f>
        <v>0</v>
      </c>
      <c r="BE262" s="18">
        <f>IF(Pospago[[#This Row],[PLANES TELEVENTAS]]="SI",1,0)</f>
        <v>0</v>
      </c>
      <c r="BF262" s="18">
        <f>1</f>
        <v>1</v>
      </c>
      <c r="BG262" s="18">
        <f>IF(OR(Pospago[[#This Row],[TARIFA_BASICA]]=11.42,Pospago[[#This Row],[PLANES TELEVENTAS]]="SI"),1,0)</f>
        <v>0</v>
      </c>
      <c r="BH262" s="18" t="str">
        <f>IF(MID(Pospago[[#This Row],[PlanDesc]],1,4) = "PLAN","POSPAGO",IF(MID(Pospago[[#This Row],[PlanDesc]],1,4)="FULL","FULL MEGAS","PREVIOPAGO"))</f>
        <v>FULL MEGAS</v>
      </c>
      <c r="BI2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2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2" s="21">
        <f>Pospago[[#This Row],[TARIFA_BASICA]]*1.5</f>
        <v>37.5</v>
      </c>
    </row>
    <row r="263" spans="1:63" x14ac:dyDescent="0.25">
      <c r="A263" s="18" t="s">
        <v>154</v>
      </c>
      <c r="B263" s="18" t="s">
        <v>1869</v>
      </c>
      <c r="C263" s="18" t="s">
        <v>1870</v>
      </c>
      <c r="D263" s="19">
        <v>44904</v>
      </c>
      <c r="E263" s="18" t="s">
        <v>67</v>
      </c>
      <c r="F263" s="18" t="s">
        <v>1871</v>
      </c>
      <c r="G263" s="18" t="s">
        <v>1872</v>
      </c>
      <c r="H263" s="18" t="s">
        <v>159</v>
      </c>
      <c r="I263" s="18" t="s">
        <v>160</v>
      </c>
      <c r="J263" s="18" t="s">
        <v>161</v>
      </c>
      <c r="K263" s="18" t="s">
        <v>95</v>
      </c>
      <c r="L263" s="20" t="s">
        <v>1873</v>
      </c>
      <c r="M263" s="18" t="s">
        <v>75</v>
      </c>
      <c r="N263" s="20" t="s">
        <v>1874</v>
      </c>
      <c r="O263" s="18" t="s">
        <v>164</v>
      </c>
      <c r="P263" s="18" t="s">
        <v>78</v>
      </c>
      <c r="Q263" s="19">
        <v>44914</v>
      </c>
      <c r="R263" s="21">
        <v>14.28</v>
      </c>
      <c r="S263" s="18" t="s">
        <v>79</v>
      </c>
      <c r="T263" s="18" t="s">
        <v>174</v>
      </c>
      <c r="U263" s="18" t="s">
        <v>83</v>
      </c>
      <c r="V263" s="18" t="s">
        <v>95</v>
      </c>
      <c r="W263" s="18" t="s">
        <v>95</v>
      </c>
      <c r="X263" s="18" t="s">
        <v>118</v>
      </c>
      <c r="Y263" s="18" t="s">
        <v>85</v>
      </c>
      <c r="Z263" s="18" t="s">
        <v>86</v>
      </c>
      <c r="AA263" s="18" t="s">
        <v>119</v>
      </c>
      <c r="AB263" s="18" t="s">
        <v>187</v>
      </c>
      <c r="AC263" s="18" t="s">
        <v>188</v>
      </c>
      <c r="AD263" s="18" t="s">
        <v>85</v>
      </c>
      <c r="AE263" s="18" t="s">
        <v>90</v>
      </c>
      <c r="AF263" s="18" t="s">
        <v>177</v>
      </c>
      <c r="AG263" s="18" t="s">
        <v>139</v>
      </c>
      <c r="AH263" s="18" t="s">
        <v>165</v>
      </c>
      <c r="AI263" s="18" t="s">
        <v>94</v>
      </c>
      <c r="AJ263" s="19">
        <v>44904</v>
      </c>
      <c r="AK263" s="22" t="s">
        <v>95</v>
      </c>
      <c r="AL263" s="18" t="s">
        <v>95</v>
      </c>
      <c r="AM263" s="18" t="s">
        <v>95</v>
      </c>
      <c r="AN263" s="18" t="s">
        <v>95</v>
      </c>
      <c r="AO263" s="18" t="s">
        <v>95</v>
      </c>
      <c r="AP263" s="18" t="s">
        <v>95</v>
      </c>
      <c r="AQ263" s="18" t="s">
        <v>95</v>
      </c>
      <c r="AR263" s="18" t="s">
        <v>95</v>
      </c>
      <c r="AS263" s="18" t="s">
        <v>83</v>
      </c>
      <c r="AT263" s="18" t="s">
        <v>83</v>
      </c>
      <c r="AU263" s="18" t="s">
        <v>81</v>
      </c>
      <c r="AV263" s="18" t="s">
        <v>95</v>
      </c>
      <c r="AW263" s="18" t="s">
        <v>95</v>
      </c>
      <c r="AX263" s="18"/>
      <c r="AY263" s="18" t="str">
        <f>Pospago[[#This Row],[NUM_TELEFONICO]]&amp;"POSPAGOSI"</f>
        <v>983366628POSPAGOSI</v>
      </c>
      <c r="AZ263" s="18" t="str">
        <f>VLOOKUP(Pospago[[#This Row],[NOM_PLAZA_FINAL]],[1]!Locales[#Data],3,0)</f>
        <v>TIENDA RECREO</v>
      </c>
      <c r="BA263" s="18" t="str">
        <f>IFERROR(VLOOKUP(Pospago[[#This Row],[USUARIO]],[1]!Personal[#Data],6,0),"EJECUTIVO NO REGISTRADO")</f>
        <v>ESPINOZA MARTINES LAURA XIOMARA</v>
      </c>
      <c r="BB263" s="18" t="str">
        <f>Pospago[[#This Row],[TIPO_MOVIMIENTO]]&amp;" "&amp;Pospago[[#This Row],[FORMA_PAGO_FINAL]]</f>
        <v>TRANSFERENCIAS PAGO EN CAJA</v>
      </c>
      <c r="BC263" s="18">
        <f>DAY(Pospago[[#This Row],[FECHA_ALTA]])</f>
        <v>9</v>
      </c>
      <c r="BD263" s="18">
        <f>IF(Pospago[[#This Row],[TARIFA_BASICA]]=11.42,1,0)</f>
        <v>0</v>
      </c>
      <c r="BE263" s="18">
        <f>IF(Pospago[[#This Row],[PLANES TELEVENTAS]]="SI",1,0)</f>
        <v>0</v>
      </c>
      <c r="BF263" s="18">
        <f>1</f>
        <v>1</v>
      </c>
      <c r="BG263" s="18">
        <f>IF(OR(Pospago[[#This Row],[TARIFA_BASICA]]=11.42,Pospago[[#This Row],[PLANES TELEVENTAS]]="SI"),1,0)</f>
        <v>0</v>
      </c>
      <c r="BH263" s="18" t="str">
        <f>IF(MID(Pospago[[#This Row],[PlanDesc]],1,4) = "PLAN","POSPAGO",IF(MID(Pospago[[#This Row],[PlanDesc]],1,4)="FULL","FULL MEGAS","PREVIOPAGO"))</f>
        <v>PREVIOPAGO</v>
      </c>
      <c r="BI2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3" s="21">
        <f>Pospago[[#This Row],[TARIFA_BASICA]]*1.5</f>
        <v>21.419999999999998</v>
      </c>
    </row>
    <row r="264" spans="1:63" x14ac:dyDescent="0.25">
      <c r="A264" s="18" t="s">
        <v>64</v>
      </c>
      <c r="B264" s="18" t="s">
        <v>1875</v>
      </c>
      <c r="C264" s="18" t="s">
        <v>1876</v>
      </c>
      <c r="D264" s="19">
        <v>44904</v>
      </c>
      <c r="E264" s="18" t="s">
        <v>67</v>
      </c>
      <c r="F264" s="18" t="s">
        <v>1877</v>
      </c>
      <c r="G264" s="18" t="s">
        <v>1878</v>
      </c>
      <c r="H264" s="18" t="s">
        <v>70</v>
      </c>
      <c r="I264" s="18" t="s">
        <v>160</v>
      </c>
      <c r="J264" s="18" t="s">
        <v>195</v>
      </c>
      <c r="K264" s="18" t="s">
        <v>349</v>
      </c>
      <c r="L264" s="20" t="s">
        <v>1879</v>
      </c>
      <c r="M264" s="18" t="s">
        <v>287</v>
      </c>
      <c r="N264" s="20" t="s">
        <v>1880</v>
      </c>
      <c r="O264" s="18" t="s">
        <v>77</v>
      </c>
      <c r="P264" s="18" t="s">
        <v>78</v>
      </c>
      <c r="Q264" s="19">
        <v>44914</v>
      </c>
      <c r="R264" s="21">
        <v>14.28</v>
      </c>
      <c r="S264" s="18" t="s">
        <v>79</v>
      </c>
      <c r="T264" s="18" t="s">
        <v>117</v>
      </c>
      <c r="U264" s="18" t="s">
        <v>83</v>
      </c>
      <c r="V264" s="18" t="s">
        <v>95</v>
      </c>
      <c r="W264" s="18" t="s">
        <v>83</v>
      </c>
      <c r="X264" s="18" t="s">
        <v>84</v>
      </c>
      <c r="Y264" s="18" t="s">
        <v>85</v>
      </c>
      <c r="Z264" s="18" t="s">
        <v>86</v>
      </c>
      <c r="AA264" s="18" t="s">
        <v>87</v>
      </c>
      <c r="AB264" s="18" t="s">
        <v>352</v>
      </c>
      <c r="AC264" s="18" t="s">
        <v>353</v>
      </c>
      <c r="AD264" s="18" t="s">
        <v>85</v>
      </c>
      <c r="AE264" s="18" t="s">
        <v>90</v>
      </c>
      <c r="AF264" s="18" t="s">
        <v>122</v>
      </c>
      <c r="AG264" s="18" t="s">
        <v>92</v>
      </c>
      <c r="AH264" s="18" t="s">
        <v>93</v>
      </c>
      <c r="AI264" s="18" t="s">
        <v>94</v>
      </c>
      <c r="AJ264" s="19">
        <v>44904</v>
      </c>
      <c r="AK264" s="22">
        <v>44904</v>
      </c>
      <c r="AL264" s="18" t="s">
        <v>291</v>
      </c>
      <c r="AM264" s="18" t="s">
        <v>292</v>
      </c>
      <c r="AN264" s="18" t="s">
        <v>293</v>
      </c>
      <c r="AO264" s="18" t="s">
        <v>1881</v>
      </c>
      <c r="AP264" s="18">
        <v>1</v>
      </c>
      <c r="AQ264" s="18">
        <v>250</v>
      </c>
      <c r="AR264" s="18" t="s">
        <v>295</v>
      </c>
      <c r="AS264" s="18" t="s">
        <v>81</v>
      </c>
      <c r="AT264" s="18" t="s">
        <v>83</v>
      </c>
      <c r="AU264" s="18" t="s">
        <v>81</v>
      </c>
      <c r="AV264" s="18" t="s">
        <v>95</v>
      </c>
      <c r="AW264" s="18" t="s">
        <v>95</v>
      </c>
      <c r="AX264" s="18"/>
      <c r="AY264" s="18" t="str">
        <f>Pospago[[#This Row],[NUM_TELEFONICO]]&amp;"POSPAGOSI"</f>
        <v>983376159POSPAGOSI</v>
      </c>
      <c r="AZ264" s="18" t="str">
        <f>VLOOKUP(Pospago[[#This Row],[NOM_PLAZA_FINAL]],[1]!Locales[#Data],3,0)</f>
        <v>TIENDA MACHALA</v>
      </c>
      <c r="BA264" s="18" t="str">
        <f>IFERROR(VLOOKUP(Pospago[[#This Row],[USUARIO]],[1]!Personal[#Data],6,0),"EJECUTIVO NO REGISTRADO")</f>
        <v>TENORIO MARIA DEL PILAR</v>
      </c>
      <c r="BB264" s="18" t="str">
        <f>Pospago[[#This Row],[TIPO_MOVIMIENTO]]&amp;" "&amp;Pospago[[#This Row],[FORMA_PAGO_FINAL]]</f>
        <v>ALTAS DOMICILIADO</v>
      </c>
      <c r="BC264" s="18">
        <f>DAY(Pospago[[#This Row],[FECHA_ALTA]])</f>
        <v>9</v>
      </c>
      <c r="BD264" s="18">
        <f>IF(Pospago[[#This Row],[TARIFA_BASICA]]=11.42,1,0)</f>
        <v>0</v>
      </c>
      <c r="BE264" s="18">
        <f>IF(Pospago[[#This Row],[PLANES TELEVENTAS]]="SI",1,0)</f>
        <v>0</v>
      </c>
      <c r="BF264" s="18">
        <f>1</f>
        <v>1</v>
      </c>
      <c r="BG264" s="18">
        <f>IF(OR(Pospago[[#This Row],[TARIFA_BASICA]]=11.42,Pospago[[#This Row],[PLANES TELEVENTAS]]="SI"),1,0)</f>
        <v>0</v>
      </c>
      <c r="BH264" s="18" t="str">
        <f>IF(MID(Pospago[[#This Row],[PlanDesc]],1,4) = "PLAN","POSPAGO",IF(MID(Pospago[[#This Row],[PlanDesc]],1,4)="FULL","FULL MEGAS","PREVIOPAGO"))</f>
        <v>PREVIOPAGO</v>
      </c>
      <c r="BI2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2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4" s="21">
        <f>Pospago[[#This Row],[TARIFA_BASICA]]*1.5</f>
        <v>21.419999999999998</v>
      </c>
    </row>
    <row r="265" spans="1:63" x14ac:dyDescent="0.25">
      <c r="A265" s="18" t="s">
        <v>64</v>
      </c>
      <c r="B265" s="18" t="s">
        <v>1882</v>
      </c>
      <c r="C265" s="18" t="s">
        <v>1883</v>
      </c>
      <c r="D265" s="19">
        <v>44910</v>
      </c>
      <c r="E265" s="18" t="s">
        <v>67</v>
      </c>
      <c r="F265" s="18" t="s">
        <v>1884</v>
      </c>
      <c r="G265" s="18" t="s">
        <v>1885</v>
      </c>
      <c r="H265" s="18" t="s">
        <v>70</v>
      </c>
      <c r="I265" s="18" t="s">
        <v>712</v>
      </c>
      <c r="J265" s="18" t="s">
        <v>113</v>
      </c>
      <c r="K265" s="18" t="s">
        <v>73</v>
      </c>
      <c r="L265" s="20" t="s">
        <v>1886</v>
      </c>
      <c r="M265" s="18" t="s">
        <v>75</v>
      </c>
      <c r="N265" s="20" t="s">
        <v>1887</v>
      </c>
      <c r="O265" s="18" t="s">
        <v>77</v>
      </c>
      <c r="P265" s="18" t="s">
        <v>78</v>
      </c>
      <c r="Q265" s="19">
        <v>44914</v>
      </c>
      <c r="R265" s="21">
        <v>17.850000000000001</v>
      </c>
      <c r="S265" s="18" t="s">
        <v>79</v>
      </c>
      <c r="T265" s="18" t="s">
        <v>174</v>
      </c>
      <c r="U265" s="18" t="s">
        <v>83</v>
      </c>
      <c r="V265" s="18" t="s">
        <v>95</v>
      </c>
      <c r="W265" s="18" t="s">
        <v>83</v>
      </c>
      <c r="X265" s="18" t="s">
        <v>118</v>
      </c>
      <c r="Y265" s="18" t="s">
        <v>85</v>
      </c>
      <c r="Z265" s="18" t="s">
        <v>86</v>
      </c>
      <c r="AA265" s="18" t="s">
        <v>119</v>
      </c>
      <c r="AB265" s="18" t="s">
        <v>740</v>
      </c>
      <c r="AC265" s="18" t="s">
        <v>741</v>
      </c>
      <c r="AD265" s="18" t="s">
        <v>85</v>
      </c>
      <c r="AE265" s="18" t="s">
        <v>90</v>
      </c>
      <c r="AF265" s="18" t="s">
        <v>177</v>
      </c>
      <c r="AG265" s="18" t="s">
        <v>139</v>
      </c>
      <c r="AH265" s="18" t="s">
        <v>93</v>
      </c>
      <c r="AI265" s="18" t="s">
        <v>94</v>
      </c>
      <c r="AJ265" s="19">
        <v>44910</v>
      </c>
      <c r="AK265" s="22" t="s">
        <v>95</v>
      </c>
      <c r="AL265" s="18" t="s">
        <v>95</v>
      </c>
      <c r="AM265" s="18" t="s">
        <v>95</v>
      </c>
      <c r="AN265" s="18" t="s">
        <v>95</v>
      </c>
      <c r="AO265" s="18" t="s">
        <v>95</v>
      </c>
      <c r="AP265" s="18" t="s">
        <v>95</v>
      </c>
      <c r="AQ265" s="18" t="s">
        <v>95</v>
      </c>
      <c r="AR265" s="18" t="s">
        <v>95</v>
      </c>
      <c r="AS265" s="18" t="s">
        <v>83</v>
      </c>
      <c r="AT265" s="18" t="s">
        <v>81</v>
      </c>
      <c r="AU265" s="18" t="s">
        <v>81</v>
      </c>
      <c r="AV265" s="18" t="s">
        <v>95</v>
      </c>
      <c r="AW265" s="18" t="s">
        <v>95</v>
      </c>
      <c r="AX265" s="18"/>
      <c r="AY265" s="18" t="str">
        <f>Pospago[[#This Row],[NUM_TELEFONICO]]&amp;"POSPAGOSI"</f>
        <v>983381619POSPAGOSI</v>
      </c>
      <c r="AZ265" s="18" t="str">
        <f>VLOOKUP(Pospago[[#This Row],[NOM_PLAZA_FINAL]],[1]!Locales[#Data],3,0)</f>
        <v>TIENDA RECREO</v>
      </c>
      <c r="BA265" s="18" t="str">
        <f>IFERROR(VLOOKUP(Pospago[[#This Row],[USUARIO]],[1]!Personal[#Data],6,0),"EJECUTIVO NO REGISTRADO")</f>
        <v>CHAVEZ VASQUEZ YESSENIA KATHERINE</v>
      </c>
      <c r="BB265" s="18" t="str">
        <f>Pospago[[#This Row],[TIPO_MOVIMIENTO]]&amp;" "&amp;Pospago[[#This Row],[FORMA_PAGO_FINAL]]</f>
        <v>ALTAS PAGO EN CAJA</v>
      </c>
      <c r="BC265" s="18">
        <f>DAY(Pospago[[#This Row],[FECHA_ALTA]])</f>
        <v>15</v>
      </c>
      <c r="BD265" s="18">
        <f>IF(Pospago[[#This Row],[TARIFA_BASICA]]=11.42,1,0)</f>
        <v>0</v>
      </c>
      <c r="BE265" s="18">
        <f>IF(Pospago[[#This Row],[PLANES TELEVENTAS]]="SI",1,0)</f>
        <v>1</v>
      </c>
      <c r="BF265" s="18">
        <f>1</f>
        <v>1</v>
      </c>
      <c r="BG265" s="18">
        <f>IF(OR(Pospago[[#This Row],[TARIFA_BASICA]]=11.42,Pospago[[#This Row],[PLANES TELEVENTAS]]="SI"),1,0)</f>
        <v>1</v>
      </c>
      <c r="BH265" s="18" t="str">
        <f>IF(MID(Pospago[[#This Row],[PlanDesc]],1,4) = "PLAN","POSPAGO",IF(MID(Pospago[[#This Row],[PlanDesc]],1,4)="FULL","FULL MEGAS","PREVIOPAGO"))</f>
        <v>PREVIOPAGO</v>
      </c>
      <c r="BI2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2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5" s="21">
        <f>Pospago[[#This Row],[TARIFA_BASICA]]*1.5</f>
        <v>26.775000000000002</v>
      </c>
    </row>
    <row r="266" spans="1:63" x14ac:dyDescent="0.25">
      <c r="A266" s="18" t="s">
        <v>64</v>
      </c>
      <c r="B266" s="18" t="s">
        <v>1888</v>
      </c>
      <c r="C266" s="18" t="s">
        <v>1889</v>
      </c>
      <c r="D266" s="19">
        <v>44910</v>
      </c>
      <c r="E266" s="18" t="s">
        <v>67</v>
      </c>
      <c r="F266" s="18" t="s">
        <v>1890</v>
      </c>
      <c r="G266" s="18" t="s">
        <v>1891</v>
      </c>
      <c r="H266" s="18" t="s">
        <v>70</v>
      </c>
      <c r="I266" s="18" t="s">
        <v>160</v>
      </c>
      <c r="J266" s="18" t="s">
        <v>195</v>
      </c>
      <c r="K266" s="18" t="s">
        <v>114</v>
      </c>
      <c r="L266" s="20" t="s">
        <v>1892</v>
      </c>
      <c r="M266" s="18" t="s">
        <v>75</v>
      </c>
      <c r="N266" s="20" t="s">
        <v>1893</v>
      </c>
      <c r="O266" s="18" t="s">
        <v>77</v>
      </c>
      <c r="P266" s="18" t="s">
        <v>78</v>
      </c>
      <c r="Q266" s="19">
        <v>44914</v>
      </c>
      <c r="R266" s="21">
        <v>14.28</v>
      </c>
      <c r="S266" s="18" t="s">
        <v>79</v>
      </c>
      <c r="T266" s="18" t="s">
        <v>117</v>
      </c>
      <c r="U266" s="18" t="s">
        <v>83</v>
      </c>
      <c r="V266" s="18" t="s">
        <v>95</v>
      </c>
      <c r="W266" s="18" t="s">
        <v>83</v>
      </c>
      <c r="X266" s="18" t="s">
        <v>84</v>
      </c>
      <c r="Y266" s="18" t="s">
        <v>85</v>
      </c>
      <c r="Z266" s="18" t="s">
        <v>86</v>
      </c>
      <c r="AA266" s="18" t="s">
        <v>87</v>
      </c>
      <c r="AB266" s="18" t="s">
        <v>1043</v>
      </c>
      <c r="AC266" s="18" t="s">
        <v>1044</v>
      </c>
      <c r="AD266" s="18" t="s">
        <v>85</v>
      </c>
      <c r="AE266" s="18" t="s">
        <v>90</v>
      </c>
      <c r="AF266" s="18" t="s">
        <v>122</v>
      </c>
      <c r="AG266" s="18" t="s">
        <v>92</v>
      </c>
      <c r="AH266" s="18" t="s">
        <v>93</v>
      </c>
      <c r="AI266" s="18" t="s">
        <v>94</v>
      </c>
      <c r="AJ266" s="19">
        <v>44910</v>
      </c>
      <c r="AK266" s="22" t="s">
        <v>95</v>
      </c>
      <c r="AL266" s="18" t="s">
        <v>95</v>
      </c>
      <c r="AM266" s="18" t="s">
        <v>95</v>
      </c>
      <c r="AN266" s="18" t="s">
        <v>95</v>
      </c>
      <c r="AO266" s="18" t="s">
        <v>95</v>
      </c>
      <c r="AP266" s="18" t="s">
        <v>95</v>
      </c>
      <c r="AQ266" s="18" t="s">
        <v>95</v>
      </c>
      <c r="AR266" s="18" t="s">
        <v>95</v>
      </c>
      <c r="AS266" s="18" t="s">
        <v>83</v>
      </c>
      <c r="AT266" s="18" t="s">
        <v>83</v>
      </c>
      <c r="AU266" s="18" t="s">
        <v>81</v>
      </c>
      <c r="AV266" s="18" t="s">
        <v>95</v>
      </c>
      <c r="AW266" s="18" t="s">
        <v>95</v>
      </c>
      <c r="AX266" s="18"/>
      <c r="AY266" s="18" t="str">
        <f>Pospago[[#This Row],[NUM_TELEFONICO]]&amp;"POSPAGOSI"</f>
        <v>983386636POSPAGOSI</v>
      </c>
      <c r="AZ266" s="18" t="str">
        <f>VLOOKUP(Pospago[[#This Row],[NOM_PLAZA_FINAL]],[1]!Locales[#Data],3,0)</f>
        <v>TIENDA MACHALA</v>
      </c>
      <c r="BA266" s="18" t="str">
        <f>IFERROR(VLOOKUP(Pospago[[#This Row],[USUARIO]],[1]!Personal[#Data],6,0),"EJECUTIVO NO REGISTRADO")</f>
        <v>GONZAGA YUPANGUI LIZBETH KATHERINE</v>
      </c>
      <c r="BB266" s="18" t="str">
        <f>Pospago[[#This Row],[TIPO_MOVIMIENTO]]&amp;" "&amp;Pospago[[#This Row],[FORMA_PAGO_FINAL]]</f>
        <v>ALTAS DOMICILIADO</v>
      </c>
      <c r="BC266" s="18">
        <f>DAY(Pospago[[#This Row],[FECHA_ALTA]])</f>
        <v>15</v>
      </c>
      <c r="BD266" s="18">
        <f>IF(Pospago[[#This Row],[TARIFA_BASICA]]=11.42,1,0)</f>
        <v>0</v>
      </c>
      <c r="BE266" s="18">
        <f>IF(Pospago[[#This Row],[PLANES TELEVENTAS]]="SI",1,0)</f>
        <v>0</v>
      </c>
      <c r="BF266" s="18">
        <f>1</f>
        <v>1</v>
      </c>
      <c r="BG266" s="18">
        <f>IF(OR(Pospago[[#This Row],[TARIFA_BASICA]]=11.42,Pospago[[#This Row],[PLANES TELEVENTAS]]="SI"),1,0)</f>
        <v>0</v>
      </c>
      <c r="BH266" s="18" t="str">
        <f>IF(MID(Pospago[[#This Row],[PlanDesc]],1,4) = "PLAN","POSPAGO",IF(MID(Pospago[[#This Row],[PlanDesc]],1,4)="FULL","FULL MEGAS","PREVIOPAGO"))</f>
        <v>PREVIOPAGO</v>
      </c>
      <c r="BI2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2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6" s="21">
        <f>Pospago[[#This Row],[TARIFA_BASICA]]*1.5</f>
        <v>21.419999999999998</v>
      </c>
    </row>
    <row r="267" spans="1:63" x14ac:dyDescent="0.25">
      <c r="A267" s="18" t="s">
        <v>154</v>
      </c>
      <c r="B267" s="18" t="s">
        <v>1894</v>
      </c>
      <c r="C267" s="18" t="s">
        <v>1895</v>
      </c>
      <c r="D267" s="19">
        <v>44902</v>
      </c>
      <c r="E267" s="18" t="s">
        <v>67</v>
      </c>
      <c r="F267" s="18" t="s">
        <v>1896</v>
      </c>
      <c r="G267" s="18" t="s">
        <v>1897</v>
      </c>
      <c r="H267" s="18" t="s">
        <v>159</v>
      </c>
      <c r="I267" s="18" t="s">
        <v>112</v>
      </c>
      <c r="J267" s="18" t="s">
        <v>781</v>
      </c>
      <c r="K267" s="18" t="s">
        <v>132</v>
      </c>
      <c r="L267" s="20" t="s">
        <v>1898</v>
      </c>
      <c r="M267" s="18" t="s">
        <v>75</v>
      </c>
      <c r="N267" s="20" t="s">
        <v>1899</v>
      </c>
      <c r="O267" s="18" t="s">
        <v>164</v>
      </c>
      <c r="P267" s="18" t="s">
        <v>78</v>
      </c>
      <c r="Q267" s="19">
        <v>44914</v>
      </c>
      <c r="R267" s="21">
        <v>17.850000000000001</v>
      </c>
      <c r="S267" s="18" t="s">
        <v>79</v>
      </c>
      <c r="T267" s="18" t="s">
        <v>135</v>
      </c>
      <c r="U267" s="18" t="s">
        <v>83</v>
      </c>
      <c r="V267" s="18" t="s">
        <v>95</v>
      </c>
      <c r="W267" s="18" t="s">
        <v>95</v>
      </c>
      <c r="X267" s="18" t="s">
        <v>84</v>
      </c>
      <c r="Y267" s="18" t="s">
        <v>85</v>
      </c>
      <c r="Z267" s="18" t="s">
        <v>86</v>
      </c>
      <c r="AA267" s="18" t="s">
        <v>87</v>
      </c>
      <c r="AB267" s="18" t="s">
        <v>1545</v>
      </c>
      <c r="AC267" s="18" t="s">
        <v>1546</v>
      </c>
      <c r="AD267" s="18" t="s">
        <v>85</v>
      </c>
      <c r="AE267" s="18" t="s">
        <v>90</v>
      </c>
      <c r="AF267" s="18" t="s">
        <v>138</v>
      </c>
      <c r="AG267" s="18" t="s">
        <v>139</v>
      </c>
      <c r="AH267" s="18" t="s">
        <v>165</v>
      </c>
      <c r="AI267" s="18" t="s">
        <v>94</v>
      </c>
      <c r="AJ267" s="19">
        <v>44902</v>
      </c>
      <c r="AK267" s="22" t="s">
        <v>95</v>
      </c>
      <c r="AL267" s="18" t="s">
        <v>95</v>
      </c>
      <c r="AM267" s="18" t="s">
        <v>95</v>
      </c>
      <c r="AN267" s="18" t="s">
        <v>95</v>
      </c>
      <c r="AO267" s="18" t="s">
        <v>95</v>
      </c>
      <c r="AP267" s="18" t="s">
        <v>95</v>
      </c>
      <c r="AQ267" s="18" t="s">
        <v>95</v>
      </c>
      <c r="AR267" s="18" t="s">
        <v>95</v>
      </c>
      <c r="AS267" s="18" t="s">
        <v>83</v>
      </c>
      <c r="AT267" s="18" t="s">
        <v>83</v>
      </c>
      <c r="AU267" s="18" t="s">
        <v>81</v>
      </c>
      <c r="AV267" s="18" t="s">
        <v>95</v>
      </c>
      <c r="AW267" s="18" t="s">
        <v>95</v>
      </c>
      <c r="AX267" s="18"/>
      <c r="AY267" s="18" t="str">
        <f>Pospago[[#This Row],[NUM_TELEFONICO]]&amp;"POSPAGOSI"</f>
        <v>983401140POSPAGOSI</v>
      </c>
      <c r="AZ267" s="18" t="str">
        <f>VLOOKUP(Pospago[[#This Row],[NOM_PLAZA_FINAL]],[1]!Locales[#Data],3,0)</f>
        <v>TIENDA AMERICA</v>
      </c>
      <c r="BA267" s="18" t="str">
        <f>IFERROR(VLOOKUP(Pospago[[#This Row],[USUARIO]],[1]!Personal[#Data],6,0),"EJECUTIVO NO REGISTRADO")</f>
        <v>GRANDA ESPINOZA ANDRES SEBASTIAN</v>
      </c>
      <c r="BB267" s="18" t="str">
        <f>Pospago[[#This Row],[TIPO_MOVIMIENTO]]&amp;" "&amp;Pospago[[#This Row],[FORMA_PAGO_FINAL]]</f>
        <v>TRANSFERENCIAS DOMICILIADO</v>
      </c>
      <c r="BC267" s="18">
        <f>DAY(Pospago[[#This Row],[FECHA_ALTA]])</f>
        <v>7</v>
      </c>
      <c r="BD267" s="18">
        <f>IF(Pospago[[#This Row],[TARIFA_BASICA]]=11.42,1,0)</f>
        <v>0</v>
      </c>
      <c r="BE267" s="18">
        <f>IF(Pospago[[#This Row],[PLANES TELEVENTAS]]="SI",1,0)</f>
        <v>0</v>
      </c>
      <c r="BF267" s="18">
        <f>1</f>
        <v>1</v>
      </c>
      <c r="BG267" s="18">
        <f>IF(OR(Pospago[[#This Row],[TARIFA_BASICA]]=11.42,Pospago[[#This Row],[PLANES TELEVENTAS]]="SI"),1,0)</f>
        <v>0</v>
      </c>
      <c r="BH267" s="18" t="str">
        <f>IF(MID(Pospago[[#This Row],[PlanDesc]],1,4) = "PLAN","POSPAGO",IF(MID(Pospago[[#This Row],[PlanDesc]],1,4)="FULL","FULL MEGAS","PREVIOPAGO"))</f>
        <v>PREVIOPAGO</v>
      </c>
      <c r="BI2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2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7" s="21">
        <f>Pospago[[#This Row],[TARIFA_BASICA]]*1.5</f>
        <v>26.775000000000002</v>
      </c>
    </row>
    <row r="268" spans="1:63" x14ac:dyDescent="0.25">
      <c r="A268" s="18" t="s">
        <v>154</v>
      </c>
      <c r="B268" s="18" t="s">
        <v>1900</v>
      </c>
      <c r="C268" s="18" t="s">
        <v>1901</v>
      </c>
      <c r="D268" s="19">
        <v>44909</v>
      </c>
      <c r="E268" s="18" t="s">
        <v>67</v>
      </c>
      <c r="F268" s="18" t="s">
        <v>1902</v>
      </c>
      <c r="G268" s="18" t="s">
        <v>1903</v>
      </c>
      <c r="H268" s="18" t="s">
        <v>159</v>
      </c>
      <c r="I268" s="18" t="s">
        <v>392</v>
      </c>
      <c r="J268" s="18" t="s">
        <v>393</v>
      </c>
      <c r="K268" s="18" t="s">
        <v>73</v>
      </c>
      <c r="L268" s="20" t="s">
        <v>1904</v>
      </c>
      <c r="M268" s="18" t="s">
        <v>75</v>
      </c>
      <c r="N268" s="20" t="s">
        <v>1905</v>
      </c>
      <c r="O268" s="18" t="s">
        <v>164</v>
      </c>
      <c r="P268" s="18" t="s">
        <v>78</v>
      </c>
      <c r="Q268" s="19">
        <v>44914</v>
      </c>
      <c r="R268" s="21">
        <v>15</v>
      </c>
      <c r="S268" s="18" t="s">
        <v>79</v>
      </c>
      <c r="T268" s="18" t="s">
        <v>174</v>
      </c>
      <c r="U268" s="18" t="s">
        <v>83</v>
      </c>
      <c r="V268" s="18" t="s">
        <v>95</v>
      </c>
      <c r="W268" s="18" t="s">
        <v>95</v>
      </c>
      <c r="X268" s="18" t="s">
        <v>118</v>
      </c>
      <c r="Y268" s="18" t="s">
        <v>85</v>
      </c>
      <c r="Z268" s="18" t="s">
        <v>86</v>
      </c>
      <c r="AA268" s="18" t="s">
        <v>119</v>
      </c>
      <c r="AB268" s="18" t="s">
        <v>740</v>
      </c>
      <c r="AC268" s="18" t="s">
        <v>741</v>
      </c>
      <c r="AD268" s="18" t="s">
        <v>85</v>
      </c>
      <c r="AE268" s="18" t="s">
        <v>90</v>
      </c>
      <c r="AF268" s="18" t="s">
        <v>177</v>
      </c>
      <c r="AG268" s="18" t="s">
        <v>139</v>
      </c>
      <c r="AH268" s="18" t="s">
        <v>165</v>
      </c>
      <c r="AI268" s="18" t="s">
        <v>94</v>
      </c>
      <c r="AJ268" s="19">
        <v>44909</v>
      </c>
      <c r="AK268" s="22" t="s">
        <v>95</v>
      </c>
      <c r="AL268" s="18" t="s">
        <v>95</v>
      </c>
      <c r="AM268" s="18" t="s">
        <v>95</v>
      </c>
      <c r="AN268" s="18" t="s">
        <v>95</v>
      </c>
      <c r="AO268" s="18" t="s">
        <v>95</v>
      </c>
      <c r="AP268" s="18" t="s">
        <v>95</v>
      </c>
      <c r="AQ268" s="18" t="s">
        <v>95</v>
      </c>
      <c r="AR268" s="18" t="s">
        <v>95</v>
      </c>
      <c r="AS268" s="18" t="s">
        <v>83</v>
      </c>
      <c r="AT268" s="18" t="s">
        <v>81</v>
      </c>
      <c r="AU268" s="18" t="s">
        <v>81</v>
      </c>
      <c r="AV268" s="18" t="s">
        <v>95</v>
      </c>
      <c r="AW268" s="18" t="s">
        <v>95</v>
      </c>
      <c r="AX268" s="18"/>
      <c r="AY268" s="18" t="str">
        <f>Pospago[[#This Row],[NUM_TELEFONICO]]&amp;"POSPAGOSI"</f>
        <v>983403382POSPAGOSI</v>
      </c>
      <c r="AZ268" s="18" t="str">
        <f>VLOOKUP(Pospago[[#This Row],[NOM_PLAZA_FINAL]],[1]!Locales[#Data],3,0)</f>
        <v>TIENDA RECREO</v>
      </c>
      <c r="BA268" s="18" t="str">
        <f>IFERROR(VLOOKUP(Pospago[[#This Row],[USUARIO]],[1]!Personal[#Data],6,0),"EJECUTIVO NO REGISTRADO")</f>
        <v>CHAVEZ VASQUEZ YESSENIA KATHERINE</v>
      </c>
      <c r="BB268" s="18" t="str">
        <f>Pospago[[#This Row],[TIPO_MOVIMIENTO]]&amp;" "&amp;Pospago[[#This Row],[FORMA_PAGO_FINAL]]</f>
        <v>TRANSFERENCIAS PAGO EN CAJA</v>
      </c>
      <c r="BC268" s="18">
        <f>DAY(Pospago[[#This Row],[FECHA_ALTA]])</f>
        <v>14</v>
      </c>
      <c r="BD268" s="18">
        <f>IF(Pospago[[#This Row],[TARIFA_BASICA]]=11.42,1,0)</f>
        <v>0</v>
      </c>
      <c r="BE268" s="18">
        <f>IF(Pospago[[#This Row],[PLANES TELEVENTAS]]="SI",1,0)</f>
        <v>1</v>
      </c>
      <c r="BF268" s="18">
        <f>1</f>
        <v>1</v>
      </c>
      <c r="BG268" s="18">
        <f>IF(OR(Pospago[[#This Row],[TARIFA_BASICA]]=11.42,Pospago[[#This Row],[PLANES TELEVENTAS]]="SI"),1,0)</f>
        <v>1</v>
      </c>
      <c r="BH268" s="18" t="str">
        <f>IF(MID(Pospago[[#This Row],[PlanDesc]],1,4) = "PLAN","POSPAGO",IF(MID(Pospago[[#This Row],[PlanDesc]],1,4)="FULL","FULL MEGAS","PREVIOPAGO"))</f>
        <v>PREVIOPAGO</v>
      </c>
      <c r="BI2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2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8" s="21">
        <f>Pospago[[#This Row],[TARIFA_BASICA]]*1.5</f>
        <v>22.5</v>
      </c>
    </row>
    <row r="269" spans="1:63" x14ac:dyDescent="0.25">
      <c r="A269" s="18" t="s">
        <v>154</v>
      </c>
      <c r="B269" s="18" t="s">
        <v>1906</v>
      </c>
      <c r="C269" s="18" t="s">
        <v>1907</v>
      </c>
      <c r="D269" s="19">
        <v>44900</v>
      </c>
      <c r="E269" s="18" t="s">
        <v>67</v>
      </c>
      <c r="F269" s="18" t="s">
        <v>1908</v>
      </c>
      <c r="G269" s="18" t="s">
        <v>1909</v>
      </c>
      <c r="H269" s="18" t="s">
        <v>159</v>
      </c>
      <c r="I269" s="18" t="s">
        <v>160</v>
      </c>
      <c r="J269" s="18" t="s">
        <v>161</v>
      </c>
      <c r="K269" s="18" t="s">
        <v>73</v>
      </c>
      <c r="L269" s="20" t="s">
        <v>1910</v>
      </c>
      <c r="M269" s="18" t="s">
        <v>75</v>
      </c>
      <c r="N269" s="20" t="s">
        <v>1911</v>
      </c>
      <c r="O269" s="18" t="s">
        <v>164</v>
      </c>
      <c r="P269" s="18" t="s">
        <v>78</v>
      </c>
      <c r="Q269" s="19">
        <v>44914</v>
      </c>
      <c r="R269" s="21">
        <v>14.28</v>
      </c>
      <c r="S269" s="18" t="s">
        <v>79</v>
      </c>
      <c r="T269" s="18" t="s">
        <v>232</v>
      </c>
      <c r="U269" s="18" t="s">
        <v>83</v>
      </c>
      <c r="V269" s="18" t="s">
        <v>95</v>
      </c>
      <c r="W269" s="18" t="s">
        <v>95</v>
      </c>
      <c r="X269" s="18" t="s">
        <v>84</v>
      </c>
      <c r="Y269" s="18" t="s">
        <v>85</v>
      </c>
      <c r="Z269" s="18" t="s">
        <v>86</v>
      </c>
      <c r="AA269" s="18" t="s">
        <v>87</v>
      </c>
      <c r="AB269" s="18" t="s">
        <v>271</v>
      </c>
      <c r="AC269" s="18" t="s">
        <v>272</v>
      </c>
      <c r="AD269" s="18" t="s">
        <v>85</v>
      </c>
      <c r="AE269" s="18" t="s">
        <v>90</v>
      </c>
      <c r="AF269" s="18" t="s">
        <v>235</v>
      </c>
      <c r="AG269" s="18" t="s">
        <v>139</v>
      </c>
      <c r="AH269" s="18" t="s">
        <v>165</v>
      </c>
      <c r="AI269" s="18" t="s">
        <v>94</v>
      </c>
      <c r="AJ269" s="19">
        <v>44900</v>
      </c>
      <c r="AK269" s="22" t="s">
        <v>95</v>
      </c>
      <c r="AL269" s="18" t="s">
        <v>95</v>
      </c>
      <c r="AM269" s="18" t="s">
        <v>95</v>
      </c>
      <c r="AN269" s="18" t="s">
        <v>95</v>
      </c>
      <c r="AO269" s="18" t="s">
        <v>95</v>
      </c>
      <c r="AP269" s="18" t="s">
        <v>95</v>
      </c>
      <c r="AQ269" s="18" t="s">
        <v>95</v>
      </c>
      <c r="AR269" s="18" t="s">
        <v>95</v>
      </c>
      <c r="AS269" s="18" t="s">
        <v>83</v>
      </c>
      <c r="AT269" s="18" t="s">
        <v>83</v>
      </c>
      <c r="AU269" s="18" t="s">
        <v>81</v>
      </c>
      <c r="AV269" s="18" t="s">
        <v>95</v>
      </c>
      <c r="AW269" s="18" t="s">
        <v>95</v>
      </c>
      <c r="AX269" s="18"/>
      <c r="AY269" s="18" t="str">
        <f>Pospago[[#This Row],[NUM_TELEFONICO]]&amp;"POSPAGOSI"</f>
        <v>983406993POSPAGOSI</v>
      </c>
      <c r="AZ269" s="18" t="str">
        <f>VLOOKUP(Pospago[[#This Row],[NOM_PLAZA_FINAL]],[1]!Locales[#Data],3,0)</f>
        <v>TIENDA CONDADO</v>
      </c>
      <c r="BA269" s="18" t="str">
        <f>IFERROR(VLOOKUP(Pospago[[#This Row],[USUARIO]],[1]!Personal[#Data],6,0),"EJECUTIVO NO REGISTRADO")</f>
        <v>CASTILLO AGUIRRE EDWIN MODESTO</v>
      </c>
      <c r="BB269" s="18" t="str">
        <f>Pospago[[#This Row],[TIPO_MOVIMIENTO]]&amp;" "&amp;Pospago[[#This Row],[FORMA_PAGO_FINAL]]</f>
        <v>TRANSFERENCIAS DOMICILIADO</v>
      </c>
      <c r="BC269" s="18">
        <f>DAY(Pospago[[#This Row],[FECHA_ALTA]])</f>
        <v>5</v>
      </c>
      <c r="BD269" s="18">
        <f>IF(Pospago[[#This Row],[TARIFA_BASICA]]=11.42,1,0)</f>
        <v>0</v>
      </c>
      <c r="BE269" s="18">
        <f>IF(Pospago[[#This Row],[PLANES TELEVENTAS]]="SI",1,0)</f>
        <v>0</v>
      </c>
      <c r="BF269" s="18">
        <f>1</f>
        <v>1</v>
      </c>
      <c r="BG269" s="18">
        <f>IF(OR(Pospago[[#This Row],[TARIFA_BASICA]]=11.42,Pospago[[#This Row],[PLANES TELEVENTAS]]="SI"),1,0)</f>
        <v>0</v>
      </c>
      <c r="BH269" s="18" t="str">
        <f>IF(MID(Pospago[[#This Row],[PlanDesc]],1,4) = "PLAN","POSPAGO",IF(MID(Pospago[[#This Row],[PlanDesc]],1,4)="FULL","FULL MEGAS","PREVIOPAGO"))</f>
        <v>PREVIOPAGO</v>
      </c>
      <c r="BI2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69" s="21">
        <f>Pospago[[#This Row],[TARIFA_BASICA]]*1.5</f>
        <v>21.419999999999998</v>
      </c>
    </row>
    <row r="270" spans="1:63" x14ac:dyDescent="0.25">
      <c r="A270" s="18" t="s">
        <v>64</v>
      </c>
      <c r="B270" s="18" t="s">
        <v>1912</v>
      </c>
      <c r="C270" s="18" t="s">
        <v>785</v>
      </c>
      <c r="D270" s="19">
        <v>44910</v>
      </c>
      <c r="E270" s="18" t="s">
        <v>67</v>
      </c>
      <c r="F270" s="18" t="s">
        <v>786</v>
      </c>
      <c r="G270" s="18" t="s">
        <v>787</v>
      </c>
      <c r="H270" s="18" t="s">
        <v>70</v>
      </c>
      <c r="I270" s="18" t="s">
        <v>112</v>
      </c>
      <c r="J270" s="18" t="s">
        <v>113</v>
      </c>
      <c r="K270" s="18" t="s">
        <v>114</v>
      </c>
      <c r="L270" s="20" t="s">
        <v>1913</v>
      </c>
      <c r="M270" s="18" t="s">
        <v>75</v>
      </c>
      <c r="N270" s="20" t="s">
        <v>1914</v>
      </c>
      <c r="O270" s="18" t="s">
        <v>77</v>
      </c>
      <c r="P270" s="18" t="s">
        <v>78</v>
      </c>
      <c r="Q270" s="19">
        <v>44914</v>
      </c>
      <c r="R270" s="21">
        <v>17.850000000000001</v>
      </c>
      <c r="S270" s="18" t="s">
        <v>79</v>
      </c>
      <c r="T270" s="18" t="s">
        <v>117</v>
      </c>
      <c r="U270" s="18" t="s">
        <v>83</v>
      </c>
      <c r="V270" s="18" t="s">
        <v>95</v>
      </c>
      <c r="W270" s="18" t="s">
        <v>83</v>
      </c>
      <c r="X270" s="18" t="s">
        <v>84</v>
      </c>
      <c r="Y270" s="18" t="s">
        <v>85</v>
      </c>
      <c r="Z270" s="18" t="s">
        <v>86</v>
      </c>
      <c r="AA270" s="18" t="s">
        <v>87</v>
      </c>
      <c r="AB270" s="18" t="s">
        <v>120</v>
      </c>
      <c r="AC270" s="18" t="s">
        <v>121</v>
      </c>
      <c r="AD270" s="18" t="s">
        <v>85</v>
      </c>
      <c r="AE270" s="18" t="s">
        <v>90</v>
      </c>
      <c r="AF270" s="18" t="s">
        <v>122</v>
      </c>
      <c r="AG270" s="18" t="s">
        <v>92</v>
      </c>
      <c r="AH270" s="18" t="s">
        <v>93</v>
      </c>
      <c r="AI270" s="18" t="s">
        <v>94</v>
      </c>
      <c r="AJ270" s="19">
        <v>44910</v>
      </c>
      <c r="AK270" s="22" t="s">
        <v>95</v>
      </c>
      <c r="AL270" s="18" t="s">
        <v>95</v>
      </c>
      <c r="AM270" s="18" t="s">
        <v>95</v>
      </c>
      <c r="AN270" s="18" t="s">
        <v>95</v>
      </c>
      <c r="AO270" s="18" t="s">
        <v>95</v>
      </c>
      <c r="AP270" s="18" t="s">
        <v>95</v>
      </c>
      <c r="AQ270" s="18" t="s">
        <v>95</v>
      </c>
      <c r="AR270" s="18" t="s">
        <v>95</v>
      </c>
      <c r="AS270" s="18" t="s">
        <v>83</v>
      </c>
      <c r="AT270" s="18" t="s">
        <v>83</v>
      </c>
      <c r="AU270" s="18" t="s">
        <v>81</v>
      </c>
      <c r="AV270" s="18" t="s">
        <v>95</v>
      </c>
      <c r="AW270" s="18" t="s">
        <v>95</v>
      </c>
      <c r="AX270" s="18"/>
      <c r="AY270" s="18" t="str">
        <f>Pospago[[#This Row],[NUM_TELEFONICO]]&amp;"POSPAGOSI"</f>
        <v>983410309POSPAGOSI</v>
      </c>
      <c r="AZ270" s="18" t="str">
        <f>VLOOKUP(Pospago[[#This Row],[NOM_PLAZA_FINAL]],[1]!Locales[#Data],3,0)</f>
        <v>TIENDA MACHALA</v>
      </c>
      <c r="BA270" s="18" t="str">
        <f>IFERROR(VLOOKUP(Pospago[[#This Row],[USUARIO]],[1]!Personal[#Data],6,0),"EJECUTIVO NO REGISTRADO")</f>
        <v>ARROBO VICENTE YADIRA ESPERANZA</v>
      </c>
      <c r="BB270" s="18" t="str">
        <f>Pospago[[#This Row],[TIPO_MOVIMIENTO]]&amp;" "&amp;Pospago[[#This Row],[FORMA_PAGO_FINAL]]</f>
        <v>ALTAS DOMICILIADO</v>
      </c>
      <c r="BC270" s="18">
        <f>DAY(Pospago[[#This Row],[FECHA_ALTA]])</f>
        <v>15</v>
      </c>
      <c r="BD270" s="18">
        <f>IF(Pospago[[#This Row],[TARIFA_BASICA]]=11.42,1,0)</f>
        <v>0</v>
      </c>
      <c r="BE270" s="18">
        <f>IF(Pospago[[#This Row],[PLANES TELEVENTAS]]="SI",1,0)</f>
        <v>0</v>
      </c>
      <c r="BF270" s="18">
        <f>1</f>
        <v>1</v>
      </c>
      <c r="BG270" s="18">
        <f>IF(OR(Pospago[[#This Row],[TARIFA_BASICA]]=11.42,Pospago[[#This Row],[PLANES TELEVENTAS]]="SI"),1,0)</f>
        <v>0</v>
      </c>
      <c r="BH270" s="18" t="str">
        <f>IF(MID(Pospago[[#This Row],[PlanDesc]],1,4) = "PLAN","POSPAGO",IF(MID(Pospago[[#This Row],[PlanDesc]],1,4)="FULL","FULL MEGAS","PREVIOPAGO"))</f>
        <v>PREVIOPAGO</v>
      </c>
      <c r="BI2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25.212</v>
      </c>
      <c r="BJ2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70" s="21">
        <f>Pospago[[#This Row],[TARIFA_BASICA]]*1.5</f>
        <v>26.775000000000002</v>
      </c>
    </row>
    <row r="271" spans="1:63" x14ac:dyDescent="0.25">
      <c r="A271" s="18" t="s">
        <v>154</v>
      </c>
      <c r="B271" s="18" t="s">
        <v>1915</v>
      </c>
      <c r="C271" s="18" t="s">
        <v>1916</v>
      </c>
      <c r="D271" s="19">
        <v>44896</v>
      </c>
      <c r="E271" s="18" t="s">
        <v>67</v>
      </c>
      <c r="F271" s="18" t="s">
        <v>1917</v>
      </c>
      <c r="G271" s="18" t="s">
        <v>1918</v>
      </c>
      <c r="H271" s="18" t="s">
        <v>159</v>
      </c>
      <c r="I271" s="18" t="s">
        <v>160</v>
      </c>
      <c r="J271" s="18" t="s">
        <v>161</v>
      </c>
      <c r="K271" s="18" t="s">
        <v>73</v>
      </c>
      <c r="L271" s="20" t="s">
        <v>1919</v>
      </c>
      <c r="M271" s="18" t="s">
        <v>75</v>
      </c>
      <c r="N271" s="20" t="s">
        <v>1920</v>
      </c>
      <c r="O271" s="18" t="s">
        <v>164</v>
      </c>
      <c r="P271" s="18" t="s">
        <v>78</v>
      </c>
      <c r="Q271" s="19">
        <v>44914</v>
      </c>
      <c r="R271" s="21">
        <v>14.28</v>
      </c>
      <c r="S271" s="18" t="s">
        <v>79</v>
      </c>
      <c r="T271" s="18" t="s">
        <v>174</v>
      </c>
      <c r="U271" s="18" t="s">
        <v>83</v>
      </c>
      <c r="V271" s="18" t="s">
        <v>95</v>
      </c>
      <c r="W271" s="18" t="s">
        <v>95</v>
      </c>
      <c r="X271" s="18" t="s">
        <v>84</v>
      </c>
      <c r="Y271" s="18" t="s">
        <v>85</v>
      </c>
      <c r="Z271" s="18" t="s">
        <v>86</v>
      </c>
      <c r="AA271" s="18" t="s">
        <v>87</v>
      </c>
      <c r="AB271" s="18" t="s">
        <v>760</v>
      </c>
      <c r="AC271" s="18" t="s">
        <v>761</v>
      </c>
      <c r="AD271" s="18" t="s">
        <v>85</v>
      </c>
      <c r="AE271" s="18" t="s">
        <v>90</v>
      </c>
      <c r="AF271" s="18" t="s">
        <v>177</v>
      </c>
      <c r="AG271" s="18" t="s">
        <v>139</v>
      </c>
      <c r="AH271" s="18" t="s">
        <v>165</v>
      </c>
      <c r="AI271" s="18" t="s">
        <v>94</v>
      </c>
      <c r="AJ271" s="19">
        <v>44896</v>
      </c>
      <c r="AK271" s="22" t="s">
        <v>95</v>
      </c>
      <c r="AL271" s="18" t="s">
        <v>95</v>
      </c>
      <c r="AM271" s="18" t="s">
        <v>95</v>
      </c>
      <c r="AN271" s="18" t="s">
        <v>95</v>
      </c>
      <c r="AO271" s="18" t="s">
        <v>95</v>
      </c>
      <c r="AP271" s="18" t="s">
        <v>95</v>
      </c>
      <c r="AQ271" s="18" t="s">
        <v>95</v>
      </c>
      <c r="AR271" s="18" t="s">
        <v>95</v>
      </c>
      <c r="AS271" s="18" t="s">
        <v>83</v>
      </c>
      <c r="AT271" s="18" t="s">
        <v>83</v>
      </c>
      <c r="AU271" s="18" t="s">
        <v>81</v>
      </c>
      <c r="AV271" s="18" t="s">
        <v>95</v>
      </c>
      <c r="AW271" s="18" t="s">
        <v>95</v>
      </c>
      <c r="AX271" s="18"/>
      <c r="AY271" s="18" t="str">
        <f>Pospago[[#This Row],[NUM_TELEFONICO]]&amp;"POSPAGOSI"</f>
        <v>983411622POSPAGOSI</v>
      </c>
      <c r="AZ271" s="18" t="str">
        <f>VLOOKUP(Pospago[[#This Row],[NOM_PLAZA_FINAL]],[1]!Locales[#Data],3,0)</f>
        <v>TIENDA RECREO</v>
      </c>
      <c r="BA271" s="18" t="str">
        <f>IFERROR(VLOOKUP(Pospago[[#This Row],[USUARIO]],[1]!Personal[#Data],6,0),"EJECUTIVO NO REGISTRADO")</f>
        <v>VALBUENA SANCHEZ ALBERT ANTHONY</v>
      </c>
      <c r="BB271" s="18" t="str">
        <f>Pospago[[#This Row],[TIPO_MOVIMIENTO]]&amp;" "&amp;Pospago[[#This Row],[FORMA_PAGO_FINAL]]</f>
        <v>TRANSFERENCIAS DOMICILIADO</v>
      </c>
      <c r="BC271" s="18">
        <f>DAY(Pospago[[#This Row],[FECHA_ALTA]])</f>
        <v>1</v>
      </c>
      <c r="BD271" s="18">
        <f>IF(Pospago[[#This Row],[TARIFA_BASICA]]=11.42,1,0)</f>
        <v>0</v>
      </c>
      <c r="BE271" s="18">
        <f>IF(Pospago[[#This Row],[PLANES TELEVENTAS]]="SI",1,0)</f>
        <v>0</v>
      </c>
      <c r="BF271" s="18">
        <f>1</f>
        <v>1</v>
      </c>
      <c r="BG271" s="18">
        <f>IF(OR(Pospago[[#This Row],[TARIFA_BASICA]]=11.42,Pospago[[#This Row],[PLANES TELEVENTAS]]="SI"),1,0)</f>
        <v>0</v>
      </c>
      <c r="BH271" s="18" t="str">
        <f>IF(MID(Pospago[[#This Row],[PlanDesc]],1,4) = "PLAN","POSPAGO",IF(MID(Pospago[[#This Row],[PlanDesc]],1,4)="FULL","FULL MEGAS","PREVIOPAGO"))</f>
        <v>PREVIOPAGO</v>
      </c>
      <c r="BI2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71" s="21">
        <f>Pospago[[#This Row],[TARIFA_BASICA]]*1.5</f>
        <v>21.419999999999998</v>
      </c>
    </row>
    <row r="272" spans="1:63" x14ac:dyDescent="0.25">
      <c r="A272" s="18" t="s">
        <v>154</v>
      </c>
      <c r="B272" s="18" t="s">
        <v>1921</v>
      </c>
      <c r="C272" s="18" t="s">
        <v>1922</v>
      </c>
      <c r="D272" s="19">
        <v>44904</v>
      </c>
      <c r="E272" s="18" t="s">
        <v>67</v>
      </c>
      <c r="F272" s="18" t="s">
        <v>1923</v>
      </c>
      <c r="G272" s="18" t="s">
        <v>1924</v>
      </c>
      <c r="H272" s="18" t="s">
        <v>159</v>
      </c>
      <c r="I272" s="18" t="s">
        <v>71</v>
      </c>
      <c r="J272" s="18" t="s">
        <v>258</v>
      </c>
      <c r="K272" s="18" t="s">
        <v>73</v>
      </c>
      <c r="L272" s="20" t="s">
        <v>1925</v>
      </c>
      <c r="M272" s="18" t="s">
        <v>75</v>
      </c>
      <c r="N272" s="20" t="s">
        <v>1926</v>
      </c>
      <c r="O272" s="18" t="s">
        <v>164</v>
      </c>
      <c r="P272" s="18" t="s">
        <v>78</v>
      </c>
      <c r="Q272" s="19">
        <v>44914</v>
      </c>
      <c r="R272" s="21">
        <v>11.42</v>
      </c>
      <c r="S272" s="18" t="s">
        <v>79</v>
      </c>
      <c r="T272" s="18" t="s">
        <v>80</v>
      </c>
      <c r="U272" s="18" t="s">
        <v>83</v>
      </c>
      <c r="V272" s="18" t="s">
        <v>95</v>
      </c>
      <c r="W272" s="18" t="s">
        <v>95</v>
      </c>
      <c r="X272" s="18" t="s">
        <v>84</v>
      </c>
      <c r="Y272" s="18" t="s">
        <v>85</v>
      </c>
      <c r="Z272" s="18" t="s">
        <v>86</v>
      </c>
      <c r="AA272" s="18" t="s">
        <v>87</v>
      </c>
      <c r="AB272" s="18" t="s">
        <v>1020</v>
      </c>
      <c r="AC272" s="18" t="s">
        <v>1021</v>
      </c>
      <c r="AD272" s="18" t="s">
        <v>85</v>
      </c>
      <c r="AE272" s="18" t="s">
        <v>90</v>
      </c>
      <c r="AF272" s="18" t="s">
        <v>91</v>
      </c>
      <c r="AG272" s="18" t="s">
        <v>92</v>
      </c>
      <c r="AH272" s="18" t="s">
        <v>165</v>
      </c>
      <c r="AI272" s="18" t="s">
        <v>94</v>
      </c>
      <c r="AJ272" s="19">
        <v>44904</v>
      </c>
      <c r="AK272" s="22" t="s">
        <v>95</v>
      </c>
      <c r="AL272" s="18" t="s">
        <v>95</v>
      </c>
      <c r="AM272" s="18" t="s">
        <v>95</v>
      </c>
      <c r="AN272" s="18" t="s">
        <v>95</v>
      </c>
      <c r="AO272" s="18" t="s">
        <v>95</v>
      </c>
      <c r="AP272" s="18" t="s">
        <v>95</v>
      </c>
      <c r="AQ272" s="18" t="s">
        <v>95</v>
      </c>
      <c r="AR272" s="18" t="s">
        <v>95</v>
      </c>
      <c r="AS272" s="18" t="s">
        <v>83</v>
      </c>
      <c r="AT272" s="18" t="s">
        <v>83</v>
      </c>
      <c r="AU272" s="18" t="s">
        <v>81</v>
      </c>
      <c r="AV272" s="18" t="s">
        <v>95</v>
      </c>
      <c r="AW272" s="18" t="s">
        <v>95</v>
      </c>
      <c r="AX272" s="18"/>
      <c r="AY272" s="18" t="str">
        <f>Pospago[[#This Row],[NUM_TELEFONICO]]&amp;"POSPAGOSI"</f>
        <v>983454698POSPAGOSI</v>
      </c>
      <c r="AZ272" s="18" t="str">
        <f>VLOOKUP(Pospago[[#This Row],[NOM_PLAZA_FINAL]],[1]!Locales[#Data],3,0)</f>
        <v>TIENDA CUENCA CENTRO</v>
      </c>
      <c r="BA272" s="18" t="str">
        <f>IFERROR(VLOOKUP(Pospago[[#This Row],[USUARIO]],[1]!Personal[#Data],6,0),"EJECUTIVO NO REGISTRADO")</f>
        <v>GONZALES ALVARRACIN PAOLA YESSENIA</v>
      </c>
      <c r="BB272" s="18" t="str">
        <f>Pospago[[#This Row],[TIPO_MOVIMIENTO]]&amp;" "&amp;Pospago[[#This Row],[FORMA_PAGO_FINAL]]</f>
        <v>TRANSFERENCIAS DOMICILIADO</v>
      </c>
      <c r="BC272" s="18">
        <f>DAY(Pospago[[#This Row],[FECHA_ALTA]])</f>
        <v>9</v>
      </c>
      <c r="BD272" s="18">
        <f>IF(Pospago[[#This Row],[TARIFA_BASICA]]=11.42,1,0)</f>
        <v>1</v>
      </c>
      <c r="BE272" s="18">
        <f>IF(Pospago[[#This Row],[PLANES TELEVENTAS]]="SI",1,0)</f>
        <v>0</v>
      </c>
      <c r="BF272" s="18">
        <f>1</f>
        <v>1</v>
      </c>
      <c r="BG272" s="18">
        <f>IF(OR(Pospago[[#This Row],[TARIFA_BASICA]]=11.42,Pospago[[#This Row],[PLANES TELEVENTAS]]="SI"),1,0)</f>
        <v>1</v>
      </c>
      <c r="BH272" s="18" t="str">
        <f>IF(MID(Pospago[[#This Row],[PlanDesc]],1,4) = "PLAN","POSPAGO",IF(MID(Pospago[[#This Row],[PlanDesc]],1,4)="FULL","FULL MEGAS","PREVIOPAGO"))</f>
        <v>PREVIOPAGO</v>
      </c>
      <c r="BI2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2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72" s="21">
        <f>Pospago[[#This Row],[TARIFA_BASICA]]*1.5</f>
        <v>17.13</v>
      </c>
    </row>
    <row r="273" spans="1:63" x14ac:dyDescent="0.25">
      <c r="A273" s="18" t="s">
        <v>154</v>
      </c>
      <c r="B273" s="18" t="s">
        <v>1927</v>
      </c>
      <c r="C273" s="18" t="s">
        <v>1928</v>
      </c>
      <c r="D273" s="19">
        <v>44901</v>
      </c>
      <c r="E273" s="18" t="s">
        <v>67</v>
      </c>
      <c r="F273" s="18" t="s">
        <v>1929</v>
      </c>
      <c r="G273" s="18" t="s">
        <v>1930</v>
      </c>
      <c r="H273" s="18" t="s">
        <v>159</v>
      </c>
      <c r="I273" s="18" t="s">
        <v>71</v>
      </c>
      <c r="J273" s="18" t="s">
        <v>258</v>
      </c>
      <c r="K273" s="18" t="s">
        <v>95</v>
      </c>
      <c r="L273" s="20" t="s">
        <v>1931</v>
      </c>
      <c r="M273" s="18" t="s">
        <v>75</v>
      </c>
      <c r="N273" s="20" t="s">
        <v>1932</v>
      </c>
      <c r="O273" s="18" t="s">
        <v>164</v>
      </c>
      <c r="P273" s="18" t="s">
        <v>78</v>
      </c>
      <c r="Q273" s="19">
        <v>44914</v>
      </c>
      <c r="R273" s="21">
        <v>11.42</v>
      </c>
      <c r="S273" s="18" t="s">
        <v>79</v>
      </c>
      <c r="T273" s="18" t="s">
        <v>80</v>
      </c>
      <c r="U273" s="18" t="s">
        <v>83</v>
      </c>
      <c r="V273" s="18" t="s">
        <v>95</v>
      </c>
      <c r="W273" s="18" t="s">
        <v>95</v>
      </c>
      <c r="X273" s="18" t="s">
        <v>118</v>
      </c>
      <c r="Y273" s="18" t="s">
        <v>85</v>
      </c>
      <c r="Z273" s="18" t="s">
        <v>86</v>
      </c>
      <c r="AA273" s="18" t="s">
        <v>119</v>
      </c>
      <c r="AB273" s="18" t="s">
        <v>242</v>
      </c>
      <c r="AC273" s="18" t="s">
        <v>243</v>
      </c>
      <c r="AD273" s="18" t="s">
        <v>85</v>
      </c>
      <c r="AE273" s="18" t="s">
        <v>90</v>
      </c>
      <c r="AF273" s="18" t="s">
        <v>91</v>
      </c>
      <c r="AG273" s="18" t="s">
        <v>92</v>
      </c>
      <c r="AH273" s="18" t="s">
        <v>165</v>
      </c>
      <c r="AI273" s="18" t="s">
        <v>94</v>
      </c>
      <c r="AJ273" s="19">
        <v>44901</v>
      </c>
      <c r="AK273" s="22" t="s">
        <v>95</v>
      </c>
      <c r="AL273" s="18" t="s">
        <v>95</v>
      </c>
      <c r="AM273" s="18" t="s">
        <v>95</v>
      </c>
      <c r="AN273" s="18" t="s">
        <v>95</v>
      </c>
      <c r="AO273" s="18" t="s">
        <v>95</v>
      </c>
      <c r="AP273" s="18" t="s">
        <v>95</v>
      </c>
      <c r="AQ273" s="18" t="s">
        <v>95</v>
      </c>
      <c r="AR273" s="18" t="s">
        <v>95</v>
      </c>
      <c r="AS273" s="18" t="s">
        <v>83</v>
      </c>
      <c r="AT273" s="18" t="s">
        <v>83</v>
      </c>
      <c r="AU273" s="18" t="s">
        <v>81</v>
      </c>
      <c r="AV273" s="18" t="s">
        <v>95</v>
      </c>
      <c r="AW273" s="18" t="s">
        <v>95</v>
      </c>
      <c r="AX273" s="18"/>
      <c r="AY273" s="18" t="str">
        <f>Pospago[[#This Row],[NUM_TELEFONICO]]&amp;"POSPAGOSI"</f>
        <v>983459499POSPAGOSI</v>
      </c>
      <c r="AZ273" s="18" t="str">
        <f>VLOOKUP(Pospago[[#This Row],[NOM_PLAZA_FINAL]],[1]!Locales[#Data],3,0)</f>
        <v>TIENDA CUENCA CENTRO</v>
      </c>
      <c r="BA273" s="18" t="str">
        <f>IFERROR(VLOOKUP(Pospago[[#This Row],[USUARIO]],[1]!Personal[#Data],6,0),"EJECUTIVO NO REGISTRADO")</f>
        <v>VALLEJO DELEG ROMAN NICOLAS</v>
      </c>
      <c r="BB273" s="18" t="str">
        <f>Pospago[[#This Row],[TIPO_MOVIMIENTO]]&amp;" "&amp;Pospago[[#This Row],[FORMA_PAGO_FINAL]]</f>
        <v>TRANSFERENCIAS PAGO EN CAJA</v>
      </c>
      <c r="BC273" s="18">
        <f>DAY(Pospago[[#This Row],[FECHA_ALTA]])</f>
        <v>6</v>
      </c>
      <c r="BD273" s="18">
        <f>IF(Pospago[[#This Row],[TARIFA_BASICA]]=11.42,1,0)</f>
        <v>1</v>
      </c>
      <c r="BE273" s="18">
        <f>IF(Pospago[[#This Row],[PLANES TELEVENTAS]]="SI",1,0)</f>
        <v>0</v>
      </c>
      <c r="BF273" s="18">
        <f>1</f>
        <v>1</v>
      </c>
      <c r="BG273" s="18">
        <f>IF(OR(Pospago[[#This Row],[TARIFA_BASICA]]=11.42,Pospago[[#This Row],[PLANES TELEVENTAS]]="SI"),1,0)</f>
        <v>1</v>
      </c>
      <c r="BH273" s="18" t="str">
        <f>IF(MID(Pospago[[#This Row],[PlanDesc]],1,4) = "PLAN","POSPAGO",IF(MID(Pospago[[#This Row],[PlanDesc]],1,4)="FULL","FULL MEGAS","PREVIOPAGO"))</f>
        <v>PREVIOPAGO</v>
      </c>
      <c r="BI2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2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73" s="21">
        <f>Pospago[[#This Row],[TARIFA_BASICA]]*1.5</f>
        <v>17.13</v>
      </c>
    </row>
    <row r="274" spans="1:63" x14ac:dyDescent="0.25">
      <c r="A274" s="18" t="s">
        <v>154</v>
      </c>
      <c r="B274" s="18" t="s">
        <v>1933</v>
      </c>
      <c r="C274" s="18" t="s">
        <v>1934</v>
      </c>
      <c r="D274" s="19">
        <v>44902</v>
      </c>
      <c r="E274" s="18" t="s">
        <v>67</v>
      </c>
      <c r="F274" s="18" t="s">
        <v>1935</v>
      </c>
      <c r="G274" s="18" t="s">
        <v>1936</v>
      </c>
      <c r="H274" s="18" t="s">
        <v>159</v>
      </c>
      <c r="I274" s="18" t="s">
        <v>194</v>
      </c>
      <c r="J274" s="18" t="s">
        <v>268</v>
      </c>
      <c r="K274" s="18" t="s">
        <v>132</v>
      </c>
      <c r="L274" s="20" t="s">
        <v>1937</v>
      </c>
      <c r="M274" s="18" t="s">
        <v>75</v>
      </c>
      <c r="N274" s="20" t="s">
        <v>1938</v>
      </c>
      <c r="O274" s="18" t="s">
        <v>164</v>
      </c>
      <c r="P274" s="18" t="s">
        <v>78</v>
      </c>
      <c r="Q274" s="19">
        <v>44914</v>
      </c>
      <c r="R274" s="21">
        <v>14.28</v>
      </c>
      <c r="S274" s="18" t="s">
        <v>79</v>
      </c>
      <c r="T274" s="18" t="s">
        <v>135</v>
      </c>
      <c r="U274" s="18" t="s">
        <v>83</v>
      </c>
      <c r="V274" s="18" t="s">
        <v>95</v>
      </c>
      <c r="W274" s="18" t="s">
        <v>95</v>
      </c>
      <c r="X274" s="18" t="s">
        <v>84</v>
      </c>
      <c r="Y274" s="18" t="s">
        <v>85</v>
      </c>
      <c r="Z274" s="18" t="s">
        <v>86</v>
      </c>
      <c r="AA274" s="18" t="s">
        <v>87</v>
      </c>
      <c r="AB274" s="18" t="s">
        <v>478</v>
      </c>
      <c r="AC274" s="18" t="s">
        <v>479</v>
      </c>
      <c r="AD274" s="18" t="s">
        <v>85</v>
      </c>
      <c r="AE274" s="18" t="s">
        <v>90</v>
      </c>
      <c r="AF274" s="18" t="s">
        <v>138</v>
      </c>
      <c r="AG274" s="18" t="s">
        <v>139</v>
      </c>
      <c r="AH274" s="18" t="s">
        <v>165</v>
      </c>
      <c r="AI274" s="18" t="s">
        <v>94</v>
      </c>
      <c r="AJ274" s="19">
        <v>44902</v>
      </c>
      <c r="AK274" s="22" t="s">
        <v>95</v>
      </c>
      <c r="AL274" s="18" t="s">
        <v>95</v>
      </c>
      <c r="AM274" s="18" t="s">
        <v>95</v>
      </c>
      <c r="AN274" s="18" t="s">
        <v>95</v>
      </c>
      <c r="AO274" s="18" t="s">
        <v>95</v>
      </c>
      <c r="AP274" s="18" t="s">
        <v>95</v>
      </c>
      <c r="AQ274" s="18" t="s">
        <v>95</v>
      </c>
      <c r="AR274" s="18" t="s">
        <v>95</v>
      </c>
      <c r="AS274" s="18" t="s">
        <v>83</v>
      </c>
      <c r="AT274" s="18" t="s">
        <v>81</v>
      </c>
      <c r="AU274" s="18" t="s">
        <v>81</v>
      </c>
      <c r="AV274" s="18" t="s">
        <v>95</v>
      </c>
      <c r="AW274" s="18" t="s">
        <v>95</v>
      </c>
      <c r="AX274" s="18"/>
      <c r="AY274" s="18" t="str">
        <f>Pospago[[#This Row],[NUM_TELEFONICO]]&amp;"POSPAGOSI"</f>
        <v>983463181POSPAGOSI</v>
      </c>
      <c r="AZ274" s="18" t="str">
        <f>VLOOKUP(Pospago[[#This Row],[NOM_PLAZA_FINAL]],[1]!Locales[#Data],3,0)</f>
        <v>TIENDA AMERICA</v>
      </c>
      <c r="BA274" s="18" t="str">
        <f>IFERROR(VLOOKUP(Pospago[[#This Row],[USUARIO]],[1]!Personal[#Data],6,0),"EJECUTIVO NO REGISTRADO")</f>
        <v>REINO TUFINO PAULTEH KATHERINE</v>
      </c>
      <c r="BB274" s="18" t="str">
        <f>Pospago[[#This Row],[TIPO_MOVIMIENTO]]&amp;" "&amp;Pospago[[#This Row],[FORMA_PAGO_FINAL]]</f>
        <v>TRANSFERENCIAS DOMICILIADO</v>
      </c>
      <c r="BC274" s="18">
        <f>DAY(Pospago[[#This Row],[FECHA_ALTA]])</f>
        <v>7</v>
      </c>
      <c r="BD274" s="18">
        <f>IF(Pospago[[#This Row],[TARIFA_BASICA]]=11.42,1,0)</f>
        <v>0</v>
      </c>
      <c r="BE274" s="18">
        <f>IF(Pospago[[#This Row],[PLANES TELEVENTAS]]="SI",1,0)</f>
        <v>1</v>
      </c>
      <c r="BF274" s="18">
        <f>1</f>
        <v>1</v>
      </c>
      <c r="BG274" s="18">
        <f>IF(OR(Pospago[[#This Row],[TARIFA_BASICA]]=11.42,Pospago[[#This Row],[PLANES TELEVENTAS]]="SI"),1,0)</f>
        <v>1</v>
      </c>
      <c r="BH274" s="18" t="str">
        <f>IF(MID(Pospago[[#This Row],[PlanDesc]],1,4) = "PLAN","POSPAGO",IF(MID(Pospago[[#This Row],[PlanDesc]],1,4)="FULL","FULL MEGAS","PREVIOPAGO"))</f>
        <v>PREVIOPAGO</v>
      </c>
      <c r="BI2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74" s="21">
        <f>Pospago[[#This Row],[TARIFA_BASICA]]*1.5</f>
        <v>21.419999999999998</v>
      </c>
    </row>
    <row r="275" spans="1:63" x14ac:dyDescent="0.25">
      <c r="A275" s="18" t="s">
        <v>64</v>
      </c>
      <c r="B275" s="18" t="s">
        <v>1939</v>
      </c>
      <c r="C275" s="18" t="s">
        <v>1940</v>
      </c>
      <c r="D275" s="19">
        <v>44910</v>
      </c>
      <c r="E275" s="18" t="s">
        <v>67</v>
      </c>
      <c r="F275" s="18" t="s">
        <v>1941</v>
      </c>
      <c r="G275" s="18" t="s">
        <v>1942</v>
      </c>
      <c r="H275" s="18" t="s">
        <v>70</v>
      </c>
      <c r="I275" s="18" t="s">
        <v>160</v>
      </c>
      <c r="J275" s="18" t="s">
        <v>195</v>
      </c>
      <c r="K275" s="18" t="s">
        <v>132</v>
      </c>
      <c r="L275" s="20" t="s">
        <v>1943</v>
      </c>
      <c r="M275" s="18" t="s">
        <v>75</v>
      </c>
      <c r="N275" s="20" t="s">
        <v>1944</v>
      </c>
      <c r="O275" s="18" t="s">
        <v>77</v>
      </c>
      <c r="P275" s="18" t="s">
        <v>78</v>
      </c>
      <c r="Q275" s="19">
        <v>44914</v>
      </c>
      <c r="R275" s="21">
        <v>14.28</v>
      </c>
      <c r="S275" s="18" t="s">
        <v>79</v>
      </c>
      <c r="T275" s="18" t="s">
        <v>174</v>
      </c>
      <c r="U275" s="18" t="s">
        <v>83</v>
      </c>
      <c r="V275" s="18" t="s">
        <v>95</v>
      </c>
      <c r="W275" s="18" t="s">
        <v>83</v>
      </c>
      <c r="X275" s="18" t="s">
        <v>84</v>
      </c>
      <c r="Y275" s="18" t="s">
        <v>85</v>
      </c>
      <c r="Z275" s="18" t="s">
        <v>86</v>
      </c>
      <c r="AA275" s="18" t="s">
        <v>87</v>
      </c>
      <c r="AB275" s="18" t="s">
        <v>926</v>
      </c>
      <c r="AC275" s="18" t="s">
        <v>927</v>
      </c>
      <c r="AD275" s="18" t="s">
        <v>85</v>
      </c>
      <c r="AE275" s="18" t="s">
        <v>90</v>
      </c>
      <c r="AF275" s="18" t="s">
        <v>177</v>
      </c>
      <c r="AG275" s="18" t="s">
        <v>139</v>
      </c>
      <c r="AH275" s="18" t="s">
        <v>93</v>
      </c>
      <c r="AI275" s="18" t="s">
        <v>94</v>
      </c>
      <c r="AJ275" s="19">
        <v>44910</v>
      </c>
      <c r="AK275" s="22" t="s">
        <v>95</v>
      </c>
      <c r="AL275" s="18" t="s">
        <v>95</v>
      </c>
      <c r="AM275" s="18" t="s">
        <v>95</v>
      </c>
      <c r="AN275" s="18" t="s">
        <v>95</v>
      </c>
      <c r="AO275" s="18" t="s">
        <v>95</v>
      </c>
      <c r="AP275" s="18" t="s">
        <v>95</v>
      </c>
      <c r="AQ275" s="18" t="s">
        <v>95</v>
      </c>
      <c r="AR275" s="18" t="s">
        <v>95</v>
      </c>
      <c r="AS275" s="18" t="s">
        <v>83</v>
      </c>
      <c r="AT275" s="18" t="s">
        <v>83</v>
      </c>
      <c r="AU275" s="18" t="s">
        <v>81</v>
      </c>
      <c r="AV275" s="18" t="s">
        <v>95</v>
      </c>
      <c r="AW275" s="18" t="s">
        <v>95</v>
      </c>
      <c r="AX275" s="18"/>
      <c r="AY275" s="18" t="str">
        <f>Pospago[[#This Row],[NUM_TELEFONICO]]&amp;"POSPAGOSI"</f>
        <v>983487489POSPAGOSI</v>
      </c>
      <c r="AZ275" s="18" t="str">
        <f>VLOOKUP(Pospago[[#This Row],[NOM_PLAZA_FINAL]],[1]!Locales[#Data],3,0)</f>
        <v>TIENDA RECREO</v>
      </c>
      <c r="BA275" s="18" t="str">
        <f>IFERROR(VLOOKUP(Pospago[[#This Row],[USUARIO]],[1]!Personal[#Data],6,0),"EJECUTIVO NO REGISTRADO")</f>
        <v>CABEZAS LOPEZ ROBERTO ALEJANDRO</v>
      </c>
      <c r="BB275" s="18" t="str">
        <f>Pospago[[#This Row],[TIPO_MOVIMIENTO]]&amp;" "&amp;Pospago[[#This Row],[FORMA_PAGO_FINAL]]</f>
        <v>ALTAS DOMICILIADO</v>
      </c>
      <c r="BC275" s="18">
        <f>DAY(Pospago[[#This Row],[FECHA_ALTA]])</f>
        <v>15</v>
      </c>
      <c r="BD275" s="18">
        <f>IF(Pospago[[#This Row],[TARIFA_BASICA]]=11.42,1,0)</f>
        <v>0</v>
      </c>
      <c r="BE275" s="18">
        <f>IF(Pospago[[#This Row],[PLANES TELEVENTAS]]="SI",1,0)</f>
        <v>0</v>
      </c>
      <c r="BF275" s="18">
        <f>1</f>
        <v>1</v>
      </c>
      <c r="BG275" s="18">
        <f>IF(OR(Pospago[[#This Row],[TARIFA_BASICA]]=11.42,Pospago[[#This Row],[PLANES TELEVENTAS]]="SI"),1,0)</f>
        <v>0</v>
      </c>
      <c r="BH275" s="18" t="str">
        <f>IF(MID(Pospago[[#This Row],[PlanDesc]],1,4) = "PLAN","POSPAGO",IF(MID(Pospago[[#This Row],[PlanDesc]],1,4)="FULL","FULL MEGAS","PREVIOPAGO"))</f>
        <v>PREVIOPAGO</v>
      </c>
      <c r="BI2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75" s="21">
        <f>Pospago[[#This Row],[TARIFA_BASICA]]*1.5</f>
        <v>21.419999999999998</v>
      </c>
    </row>
    <row r="276" spans="1:63" x14ac:dyDescent="0.25">
      <c r="A276" s="18" t="s">
        <v>64</v>
      </c>
      <c r="B276" s="18" t="s">
        <v>1945</v>
      </c>
      <c r="C276" s="18" t="s">
        <v>1946</v>
      </c>
      <c r="D276" s="19">
        <v>44908</v>
      </c>
      <c r="E276" s="18" t="s">
        <v>67</v>
      </c>
      <c r="F276" s="18" t="s">
        <v>1947</v>
      </c>
      <c r="G276" s="18" t="s">
        <v>1948</v>
      </c>
      <c r="H276" s="18" t="s">
        <v>70</v>
      </c>
      <c r="I276" s="18" t="s">
        <v>227</v>
      </c>
      <c r="J276" s="18" t="s">
        <v>228</v>
      </c>
      <c r="K276" s="18" t="s">
        <v>1949</v>
      </c>
      <c r="L276" s="20" t="s">
        <v>1950</v>
      </c>
      <c r="M276" s="18" t="s">
        <v>75</v>
      </c>
      <c r="N276" s="20" t="s">
        <v>1951</v>
      </c>
      <c r="O276" s="18" t="s">
        <v>77</v>
      </c>
      <c r="P276" s="18" t="s">
        <v>78</v>
      </c>
      <c r="Q276" s="19">
        <v>44914</v>
      </c>
      <c r="R276" s="21">
        <v>21.42</v>
      </c>
      <c r="S276" s="18" t="s">
        <v>79</v>
      </c>
      <c r="T276" s="18" t="s">
        <v>117</v>
      </c>
      <c r="U276" s="18" t="s">
        <v>83</v>
      </c>
      <c r="V276" s="18" t="s">
        <v>95</v>
      </c>
      <c r="W276" s="18" t="s">
        <v>83</v>
      </c>
      <c r="X276" s="18" t="s">
        <v>84</v>
      </c>
      <c r="Y276" s="18" t="s">
        <v>85</v>
      </c>
      <c r="Z276" s="18" t="s">
        <v>86</v>
      </c>
      <c r="AA276" s="18" t="s">
        <v>87</v>
      </c>
      <c r="AB276" s="18" t="s">
        <v>352</v>
      </c>
      <c r="AC276" s="18" t="s">
        <v>353</v>
      </c>
      <c r="AD276" s="18" t="s">
        <v>85</v>
      </c>
      <c r="AE276" s="18" t="s">
        <v>90</v>
      </c>
      <c r="AF276" s="18" t="s">
        <v>122</v>
      </c>
      <c r="AG276" s="18" t="s">
        <v>92</v>
      </c>
      <c r="AH276" s="18" t="s">
        <v>93</v>
      </c>
      <c r="AI276" s="18" t="s">
        <v>94</v>
      </c>
      <c r="AJ276" s="19">
        <v>44908</v>
      </c>
      <c r="AK276" s="22" t="s">
        <v>95</v>
      </c>
      <c r="AL276" s="18" t="s">
        <v>95</v>
      </c>
      <c r="AM276" s="18" t="s">
        <v>95</v>
      </c>
      <c r="AN276" s="18" t="s">
        <v>95</v>
      </c>
      <c r="AO276" s="18" t="s">
        <v>95</v>
      </c>
      <c r="AP276" s="18" t="s">
        <v>95</v>
      </c>
      <c r="AQ276" s="18" t="s">
        <v>95</v>
      </c>
      <c r="AR276" s="18" t="s">
        <v>95</v>
      </c>
      <c r="AS276" s="18" t="s">
        <v>83</v>
      </c>
      <c r="AT276" s="18" t="s">
        <v>83</v>
      </c>
      <c r="AU276" s="18" t="s">
        <v>81</v>
      </c>
      <c r="AV276" s="18" t="s">
        <v>95</v>
      </c>
      <c r="AW276" s="18" t="s">
        <v>95</v>
      </c>
      <c r="AX276" s="18"/>
      <c r="AY276" s="18" t="str">
        <f>Pospago[[#This Row],[NUM_TELEFONICO]]&amp;"POSPAGOSI"</f>
        <v>983509153POSPAGOSI</v>
      </c>
      <c r="AZ276" s="18" t="str">
        <f>VLOOKUP(Pospago[[#This Row],[NOM_PLAZA_FINAL]],[1]!Locales[#Data],3,0)</f>
        <v>TIENDA MACHALA</v>
      </c>
      <c r="BA276" s="18" t="str">
        <f>IFERROR(VLOOKUP(Pospago[[#This Row],[USUARIO]],[1]!Personal[#Data],6,0),"EJECUTIVO NO REGISTRADO")</f>
        <v>TENORIO MARIA DEL PILAR</v>
      </c>
      <c r="BB276" s="18" t="str">
        <f>Pospago[[#This Row],[TIPO_MOVIMIENTO]]&amp;" "&amp;Pospago[[#This Row],[FORMA_PAGO_FINAL]]</f>
        <v>ALTAS DOMICILIADO</v>
      </c>
      <c r="BC276" s="18">
        <f>DAY(Pospago[[#This Row],[FECHA_ALTA]])</f>
        <v>13</v>
      </c>
      <c r="BD276" s="18">
        <f>IF(Pospago[[#This Row],[TARIFA_BASICA]]=11.42,1,0)</f>
        <v>0</v>
      </c>
      <c r="BE276" s="18">
        <f>IF(Pospago[[#This Row],[PLANES TELEVENTAS]]="SI",1,0)</f>
        <v>0</v>
      </c>
      <c r="BF276" s="18">
        <f>1</f>
        <v>1</v>
      </c>
      <c r="BG276" s="18">
        <f>IF(OR(Pospago[[#This Row],[TARIFA_BASICA]]=11.42,Pospago[[#This Row],[PLANES TELEVENTAS]]="SI"),1,0)</f>
        <v>0</v>
      </c>
      <c r="BH276" s="18" t="str">
        <f>IF(MID(Pospago[[#This Row],[PlanDesc]],1,4) = "PLAN","POSPAGO",IF(MID(Pospago[[#This Row],[PlanDesc]],1,4)="FULL","FULL MEGAS","PREVIOPAGO"))</f>
        <v>PREVIOPAGO</v>
      </c>
      <c r="BI2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36</v>
      </c>
      <c r="BJ2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76" s="21">
        <f>Pospago[[#This Row],[TARIFA_BASICA]]*1.5</f>
        <v>32.130000000000003</v>
      </c>
    </row>
    <row r="277" spans="1:63" x14ac:dyDescent="0.25">
      <c r="A277" s="18" t="s">
        <v>154</v>
      </c>
      <c r="B277" s="18" t="s">
        <v>1952</v>
      </c>
      <c r="C277" s="18" t="s">
        <v>1953</v>
      </c>
      <c r="D277" s="19">
        <v>44903</v>
      </c>
      <c r="E277" s="18" t="s">
        <v>67</v>
      </c>
      <c r="F277" s="18" t="s">
        <v>1954</v>
      </c>
      <c r="G277" s="18" t="s">
        <v>1955</v>
      </c>
      <c r="H277" s="18" t="s">
        <v>159</v>
      </c>
      <c r="I277" s="18" t="s">
        <v>194</v>
      </c>
      <c r="J277" s="18" t="s">
        <v>268</v>
      </c>
      <c r="K277" s="18" t="s">
        <v>349</v>
      </c>
      <c r="L277" s="20" t="s">
        <v>1956</v>
      </c>
      <c r="M277" s="18" t="s">
        <v>75</v>
      </c>
      <c r="N277" s="20" t="s">
        <v>1957</v>
      </c>
      <c r="O277" s="18" t="s">
        <v>164</v>
      </c>
      <c r="P277" s="18" t="s">
        <v>78</v>
      </c>
      <c r="Q277" s="19">
        <v>44914</v>
      </c>
      <c r="R277" s="21">
        <v>14.28</v>
      </c>
      <c r="S277" s="18" t="s">
        <v>79</v>
      </c>
      <c r="T277" s="18" t="s">
        <v>232</v>
      </c>
      <c r="U277" s="18" t="s">
        <v>83</v>
      </c>
      <c r="V277" s="18" t="s">
        <v>95</v>
      </c>
      <c r="W277" s="18" t="s">
        <v>95</v>
      </c>
      <c r="X277" s="18" t="s">
        <v>118</v>
      </c>
      <c r="Y277" s="18" t="s">
        <v>85</v>
      </c>
      <c r="Z277" s="18" t="s">
        <v>86</v>
      </c>
      <c r="AA277" s="18" t="s">
        <v>119</v>
      </c>
      <c r="AB277" s="18" t="s">
        <v>443</v>
      </c>
      <c r="AC277" s="18" t="s">
        <v>444</v>
      </c>
      <c r="AD277" s="18" t="s">
        <v>85</v>
      </c>
      <c r="AE277" s="18" t="s">
        <v>90</v>
      </c>
      <c r="AF277" s="18" t="s">
        <v>235</v>
      </c>
      <c r="AG277" s="18" t="s">
        <v>139</v>
      </c>
      <c r="AH277" s="18" t="s">
        <v>165</v>
      </c>
      <c r="AI277" s="18" t="s">
        <v>94</v>
      </c>
      <c r="AJ277" s="19">
        <v>44903</v>
      </c>
      <c r="AK277" s="22" t="s">
        <v>95</v>
      </c>
      <c r="AL277" s="18" t="s">
        <v>95</v>
      </c>
      <c r="AM277" s="18" t="s">
        <v>95</v>
      </c>
      <c r="AN277" s="18" t="s">
        <v>95</v>
      </c>
      <c r="AO277" s="18" t="s">
        <v>95</v>
      </c>
      <c r="AP277" s="18" t="s">
        <v>95</v>
      </c>
      <c r="AQ277" s="18" t="s">
        <v>95</v>
      </c>
      <c r="AR277" s="18" t="s">
        <v>95</v>
      </c>
      <c r="AS277" s="18" t="s">
        <v>83</v>
      </c>
      <c r="AT277" s="18" t="s">
        <v>81</v>
      </c>
      <c r="AU277" s="18" t="s">
        <v>81</v>
      </c>
      <c r="AV277" s="18" t="s">
        <v>95</v>
      </c>
      <c r="AW277" s="18" t="s">
        <v>95</v>
      </c>
      <c r="AX277" s="18"/>
      <c r="AY277" s="18" t="str">
        <f>Pospago[[#This Row],[NUM_TELEFONICO]]&amp;"POSPAGOSI"</f>
        <v>983509288POSPAGOSI</v>
      </c>
      <c r="AZ277" s="18" t="str">
        <f>VLOOKUP(Pospago[[#This Row],[NOM_PLAZA_FINAL]],[1]!Locales[#Data],3,0)</f>
        <v>TIENDA CONDADO</v>
      </c>
      <c r="BA277" s="18" t="str">
        <f>IFERROR(VLOOKUP(Pospago[[#This Row],[USUARIO]],[1]!Personal[#Data],6,0),"EJECUTIVO NO REGISTRADO")</f>
        <v>JARAMILLO ESPINOZA KENIA KATRINA</v>
      </c>
      <c r="BB277" s="18" t="str">
        <f>Pospago[[#This Row],[TIPO_MOVIMIENTO]]&amp;" "&amp;Pospago[[#This Row],[FORMA_PAGO_FINAL]]</f>
        <v>TRANSFERENCIAS PAGO EN CAJA</v>
      </c>
      <c r="BC277" s="18">
        <f>DAY(Pospago[[#This Row],[FECHA_ALTA]])</f>
        <v>8</v>
      </c>
      <c r="BD277" s="18">
        <f>IF(Pospago[[#This Row],[TARIFA_BASICA]]=11.42,1,0)</f>
        <v>0</v>
      </c>
      <c r="BE277" s="18">
        <f>IF(Pospago[[#This Row],[PLANES TELEVENTAS]]="SI",1,0)</f>
        <v>1</v>
      </c>
      <c r="BF277" s="18">
        <f>1</f>
        <v>1</v>
      </c>
      <c r="BG277" s="18">
        <f>IF(OR(Pospago[[#This Row],[TARIFA_BASICA]]=11.42,Pospago[[#This Row],[PLANES TELEVENTAS]]="SI"),1,0)</f>
        <v>1</v>
      </c>
      <c r="BH277" s="18" t="str">
        <f>IF(MID(Pospago[[#This Row],[PlanDesc]],1,4) = "PLAN","POSPAGO",IF(MID(Pospago[[#This Row],[PlanDesc]],1,4)="FULL","FULL MEGAS","PREVIOPAGO"))</f>
        <v>PREVIOPAGO</v>
      </c>
      <c r="BI2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77" s="21">
        <f>Pospago[[#This Row],[TARIFA_BASICA]]*1.5</f>
        <v>21.419999999999998</v>
      </c>
    </row>
    <row r="278" spans="1:63" x14ac:dyDescent="0.25">
      <c r="A278" s="18" t="s">
        <v>154</v>
      </c>
      <c r="B278" s="18" t="s">
        <v>1958</v>
      </c>
      <c r="C278" s="18" t="s">
        <v>1959</v>
      </c>
      <c r="D278" s="19">
        <v>44908</v>
      </c>
      <c r="E278" s="18" t="s">
        <v>67</v>
      </c>
      <c r="F278" s="18" t="s">
        <v>1960</v>
      </c>
      <c r="G278" s="18" t="s">
        <v>1961</v>
      </c>
      <c r="H278" s="18" t="s">
        <v>159</v>
      </c>
      <c r="I278" s="18" t="s">
        <v>71</v>
      </c>
      <c r="J278" s="18" t="s">
        <v>258</v>
      </c>
      <c r="K278" s="18" t="s">
        <v>132</v>
      </c>
      <c r="L278" s="20" t="s">
        <v>1962</v>
      </c>
      <c r="M278" s="18" t="s">
        <v>75</v>
      </c>
      <c r="N278" s="20" t="s">
        <v>1963</v>
      </c>
      <c r="O278" s="18" t="s">
        <v>164</v>
      </c>
      <c r="P278" s="18" t="s">
        <v>78</v>
      </c>
      <c r="Q278" s="19">
        <v>44914</v>
      </c>
      <c r="R278" s="21">
        <v>11.42</v>
      </c>
      <c r="S278" s="18" t="s">
        <v>79</v>
      </c>
      <c r="T278" s="18" t="s">
        <v>174</v>
      </c>
      <c r="U278" s="18" t="s">
        <v>83</v>
      </c>
      <c r="V278" s="18" t="s">
        <v>95</v>
      </c>
      <c r="W278" s="18" t="s">
        <v>95</v>
      </c>
      <c r="X278" s="18" t="s">
        <v>118</v>
      </c>
      <c r="Y278" s="18" t="s">
        <v>85</v>
      </c>
      <c r="Z278" s="18" t="s">
        <v>86</v>
      </c>
      <c r="AA278" s="18" t="s">
        <v>119</v>
      </c>
      <c r="AB278" s="18" t="s">
        <v>369</v>
      </c>
      <c r="AC278" s="18" t="s">
        <v>370</v>
      </c>
      <c r="AD278" s="18" t="s">
        <v>85</v>
      </c>
      <c r="AE278" s="18" t="s">
        <v>90</v>
      </c>
      <c r="AF278" s="18" t="s">
        <v>177</v>
      </c>
      <c r="AG278" s="18" t="s">
        <v>139</v>
      </c>
      <c r="AH278" s="18" t="s">
        <v>165</v>
      </c>
      <c r="AI278" s="18" t="s">
        <v>94</v>
      </c>
      <c r="AJ278" s="19">
        <v>44908</v>
      </c>
      <c r="AK278" s="22" t="s">
        <v>95</v>
      </c>
      <c r="AL278" s="18" t="s">
        <v>95</v>
      </c>
      <c r="AM278" s="18" t="s">
        <v>95</v>
      </c>
      <c r="AN278" s="18" t="s">
        <v>95</v>
      </c>
      <c r="AO278" s="18" t="s">
        <v>95</v>
      </c>
      <c r="AP278" s="18" t="s">
        <v>95</v>
      </c>
      <c r="AQ278" s="18" t="s">
        <v>95</v>
      </c>
      <c r="AR278" s="18" t="s">
        <v>95</v>
      </c>
      <c r="AS278" s="18" t="s">
        <v>83</v>
      </c>
      <c r="AT278" s="18" t="s">
        <v>83</v>
      </c>
      <c r="AU278" s="18" t="s">
        <v>81</v>
      </c>
      <c r="AV278" s="18" t="s">
        <v>95</v>
      </c>
      <c r="AW278" s="18" t="s">
        <v>95</v>
      </c>
      <c r="AX278" s="18"/>
      <c r="AY278" s="18" t="str">
        <f>Pospago[[#This Row],[NUM_TELEFONICO]]&amp;"POSPAGOSI"</f>
        <v>983512869POSPAGOSI</v>
      </c>
      <c r="AZ278" s="18" t="str">
        <f>VLOOKUP(Pospago[[#This Row],[NOM_PLAZA_FINAL]],[1]!Locales[#Data],3,0)</f>
        <v>TIENDA RECREO</v>
      </c>
      <c r="BA278" s="18" t="str">
        <f>IFERROR(VLOOKUP(Pospago[[#This Row],[USUARIO]],[1]!Personal[#Data],6,0),"EJECUTIVO NO REGISTRADO")</f>
        <v>GUAIGUA REINOSO GENESIS CAROLINA</v>
      </c>
      <c r="BB278" s="18" t="str">
        <f>Pospago[[#This Row],[TIPO_MOVIMIENTO]]&amp;" "&amp;Pospago[[#This Row],[FORMA_PAGO_FINAL]]</f>
        <v>TRANSFERENCIAS PAGO EN CAJA</v>
      </c>
      <c r="BC278" s="18">
        <f>DAY(Pospago[[#This Row],[FECHA_ALTA]])</f>
        <v>13</v>
      </c>
      <c r="BD278" s="18">
        <f>IF(Pospago[[#This Row],[TARIFA_BASICA]]=11.42,1,0)</f>
        <v>1</v>
      </c>
      <c r="BE278" s="18">
        <f>IF(Pospago[[#This Row],[PLANES TELEVENTAS]]="SI",1,0)</f>
        <v>0</v>
      </c>
      <c r="BF278" s="18">
        <f>1</f>
        <v>1</v>
      </c>
      <c r="BG278" s="18">
        <f>IF(OR(Pospago[[#This Row],[TARIFA_BASICA]]=11.42,Pospago[[#This Row],[PLANES TELEVENTAS]]="SI"),1,0)</f>
        <v>1</v>
      </c>
      <c r="BH278" s="18" t="str">
        <f>IF(MID(Pospago[[#This Row],[PlanDesc]],1,4) = "PLAN","POSPAGO",IF(MID(Pospago[[#This Row],[PlanDesc]],1,4)="FULL","FULL MEGAS","PREVIOPAGO"))</f>
        <v>PREVIOPAGO</v>
      </c>
      <c r="BI2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2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78" s="21">
        <f>Pospago[[#This Row],[TARIFA_BASICA]]*1.5</f>
        <v>17.13</v>
      </c>
    </row>
    <row r="279" spans="1:63" x14ac:dyDescent="0.25">
      <c r="A279" s="18" t="s">
        <v>154</v>
      </c>
      <c r="B279" s="18" t="s">
        <v>1964</v>
      </c>
      <c r="C279" s="18" t="s">
        <v>1965</v>
      </c>
      <c r="D279" s="19">
        <v>44910</v>
      </c>
      <c r="E279" s="18" t="s">
        <v>67</v>
      </c>
      <c r="F279" s="18" t="s">
        <v>1966</v>
      </c>
      <c r="G279" s="18" t="s">
        <v>1967</v>
      </c>
      <c r="H279" s="18" t="s">
        <v>159</v>
      </c>
      <c r="I279" s="18" t="s">
        <v>194</v>
      </c>
      <c r="J279" s="18" t="s">
        <v>268</v>
      </c>
      <c r="K279" s="18" t="s">
        <v>132</v>
      </c>
      <c r="L279" s="20" t="s">
        <v>1968</v>
      </c>
      <c r="M279" s="18" t="s">
        <v>75</v>
      </c>
      <c r="N279" s="20" t="s">
        <v>1969</v>
      </c>
      <c r="O279" s="18" t="s">
        <v>164</v>
      </c>
      <c r="P279" s="18" t="s">
        <v>78</v>
      </c>
      <c r="Q279" s="19">
        <v>44914</v>
      </c>
      <c r="R279" s="21">
        <v>14.28</v>
      </c>
      <c r="S279" s="18" t="s">
        <v>79</v>
      </c>
      <c r="T279" s="18" t="s">
        <v>232</v>
      </c>
      <c r="U279" s="18" t="s">
        <v>83</v>
      </c>
      <c r="V279" s="18" t="s">
        <v>95</v>
      </c>
      <c r="W279" s="18" t="s">
        <v>95</v>
      </c>
      <c r="X279" s="18" t="s">
        <v>118</v>
      </c>
      <c r="Y279" s="18" t="s">
        <v>85</v>
      </c>
      <c r="Z279" s="18" t="s">
        <v>86</v>
      </c>
      <c r="AA279" s="18" t="s">
        <v>119</v>
      </c>
      <c r="AB279" s="18" t="s">
        <v>280</v>
      </c>
      <c r="AC279" s="18" t="s">
        <v>281</v>
      </c>
      <c r="AD279" s="18" t="s">
        <v>85</v>
      </c>
      <c r="AE279" s="18" t="s">
        <v>90</v>
      </c>
      <c r="AF279" s="18" t="s">
        <v>235</v>
      </c>
      <c r="AG279" s="18" t="s">
        <v>139</v>
      </c>
      <c r="AH279" s="18" t="s">
        <v>165</v>
      </c>
      <c r="AI279" s="18" t="s">
        <v>94</v>
      </c>
      <c r="AJ279" s="19">
        <v>44910</v>
      </c>
      <c r="AK279" s="22" t="s">
        <v>95</v>
      </c>
      <c r="AL279" s="18" t="s">
        <v>95</v>
      </c>
      <c r="AM279" s="18" t="s">
        <v>95</v>
      </c>
      <c r="AN279" s="18" t="s">
        <v>95</v>
      </c>
      <c r="AO279" s="18" t="s">
        <v>95</v>
      </c>
      <c r="AP279" s="18" t="s">
        <v>95</v>
      </c>
      <c r="AQ279" s="18" t="s">
        <v>95</v>
      </c>
      <c r="AR279" s="18" t="s">
        <v>95</v>
      </c>
      <c r="AS279" s="18" t="s">
        <v>83</v>
      </c>
      <c r="AT279" s="18" t="s">
        <v>81</v>
      </c>
      <c r="AU279" s="18" t="s">
        <v>81</v>
      </c>
      <c r="AV279" s="18" t="s">
        <v>95</v>
      </c>
      <c r="AW279" s="18" t="s">
        <v>95</v>
      </c>
      <c r="AX279" s="18"/>
      <c r="AY279" s="18" t="str">
        <f>Pospago[[#This Row],[NUM_TELEFONICO]]&amp;"POSPAGOSI"</f>
        <v>983521401POSPAGOSI</v>
      </c>
      <c r="AZ279" s="18" t="str">
        <f>VLOOKUP(Pospago[[#This Row],[NOM_PLAZA_FINAL]],[1]!Locales[#Data],3,0)</f>
        <v>TIENDA CONDADO</v>
      </c>
      <c r="BA279" s="18" t="str">
        <f>IFERROR(VLOOKUP(Pospago[[#This Row],[USUARIO]],[1]!Personal[#Data],6,0),"EJECUTIVO NO REGISTRADO")</f>
        <v>GUACHAMIN CAZA HUGO ADRIAN</v>
      </c>
      <c r="BB279" s="18" t="str">
        <f>Pospago[[#This Row],[TIPO_MOVIMIENTO]]&amp;" "&amp;Pospago[[#This Row],[FORMA_PAGO_FINAL]]</f>
        <v>TRANSFERENCIAS PAGO EN CAJA</v>
      </c>
      <c r="BC279" s="18">
        <f>DAY(Pospago[[#This Row],[FECHA_ALTA]])</f>
        <v>15</v>
      </c>
      <c r="BD279" s="18">
        <f>IF(Pospago[[#This Row],[TARIFA_BASICA]]=11.42,1,0)</f>
        <v>0</v>
      </c>
      <c r="BE279" s="18">
        <f>IF(Pospago[[#This Row],[PLANES TELEVENTAS]]="SI",1,0)</f>
        <v>1</v>
      </c>
      <c r="BF279" s="18">
        <f>1</f>
        <v>1</v>
      </c>
      <c r="BG279" s="18">
        <f>IF(OR(Pospago[[#This Row],[TARIFA_BASICA]]=11.42,Pospago[[#This Row],[PLANES TELEVENTAS]]="SI"),1,0)</f>
        <v>1</v>
      </c>
      <c r="BH279" s="18" t="str">
        <f>IF(MID(Pospago[[#This Row],[PlanDesc]],1,4) = "PLAN","POSPAGO",IF(MID(Pospago[[#This Row],[PlanDesc]],1,4)="FULL","FULL MEGAS","PREVIOPAGO"))</f>
        <v>PREVIOPAGO</v>
      </c>
      <c r="BI2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79" s="21">
        <f>Pospago[[#This Row],[TARIFA_BASICA]]*1.5</f>
        <v>21.419999999999998</v>
      </c>
    </row>
    <row r="280" spans="1:63" x14ac:dyDescent="0.25">
      <c r="A280" s="18" t="s">
        <v>154</v>
      </c>
      <c r="B280" s="18" t="s">
        <v>1970</v>
      </c>
      <c r="C280" s="18" t="s">
        <v>1971</v>
      </c>
      <c r="D280" s="19">
        <v>44911</v>
      </c>
      <c r="E280" s="18" t="s">
        <v>67</v>
      </c>
      <c r="F280" s="18" t="s">
        <v>1972</v>
      </c>
      <c r="G280" s="18" t="s">
        <v>1973</v>
      </c>
      <c r="H280" s="18" t="s">
        <v>159</v>
      </c>
      <c r="I280" s="18" t="s">
        <v>160</v>
      </c>
      <c r="J280" s="18" t="s">
        <v>161</v>
      </c>
      <c r="K280" s="18" t="s">
        <v>132</v>
      </c>
      <c r="L280" s="20" t="s">
        <v>1974</v>
      </c>
      <c r="M280" s="18" t="s">
        <v>287</v>
      </c>
      <c r="N280" s="20" t="s">
        <v>1975</v>
      </c>
      <c r="O280" s="18" t="s">
        <v>164</v>
      </c>
      <c r="P280" s="18" t="s">
        <v>78</v>
      </c>
      <c r="Q280" s="19">
        <v>44914</v>
      </c>
      <c r="R280" s="21">
        <v>14.28</v>
      </c>
      <c r="S280" s="18" t="s">
        <v>79</v>
      </c>
      <c r="T280" s="18" t="s">
        <v>174</v>
      </c>
      <c r="U280" s="18" t="s">
        <v>83</v>
      </c>
      <c r="V280" s="18" t="s">
        <v>95</v>
      </c>
      <c r="W280" s="18" t="s">
        <v>95</v>
      </c>
      <c r="X280" s="18" t="s">
        <v>84</v>
      </c>
      <c r="Y280" s="18" t="s">
        <v>85</v>
      </c>
      <c r="Z280" s="18" t="s">
        <v>86</v>
      </c>
      <c r="AA280" s="18" t="s">
        <v>87</v>
      </c>
      <c r="AB280" s="18" t="s">
        <v>369</v>
      </c>
      <c r="AC280" s="18" t="s">
        <v>370</v>
      </c>
      <c r="AD280" s="18" t="s">
        <v>85</v>
      </c>
      <c r="AE280" s="18" t="s">
        <v>90</v>
      </c>
      <c r="AF280" s="18" t="s">
        <v>177</v>
      </c>
      <c r="AG280" s="18" t="s">
        <v>139</v>
      </c>
      <c r="AH280" s="18" t="s">
        <v>165</v>
      </c>
      <c r="AI280" s="18" t="s">
        <v>94</v>
      </c>
      <c r="AJ280" s="19">
        <v>44911</v>
      </c>
      <c r="AK280" s="22" t="s">
        <v>95</v>
      </c>
      <c r="AL280" s="18" t="s">
        <v>95</v>
      </c>
      <c r="AM280" s="18" t="s">
        <v>95</v>
      </c>
      <c r="AN280" s="18" t="s">
        <v>95</v>
      </c>
      <c r="AO280" s="18" t="s">
        <v>95</v>
      </c>
      <c r="AP280" s="18" t="s">
        <v>95</v>
      </c>
      <c r="AQ280" s="18" t="s">
        <v>95</v>
      </c>
      <c r="AR280" s="18" t="s">
        <v>95</v>
      </c>
      <c r="AS280" s="18" t="s">
        <v>83</v>
      </c>
      <c r="AT280" s="18" t="s">
        <v>83</v>
      </c>
      <c r="AU280" s="18" t="s">
        <v>81</v>
      </c>
      <c r="AV280" s="18" t="s">
        <v>95</v>
      </c>
      <c r="AW280" s="18" t="s">
        <v>95</v>
      </c>
      <c r="AX280" s="18"/>
      <c r="AY280" s="18" t="str">
        <f>Pospago[[#This Row],[NUM_TELEFONICO]]&amp;"POSPAGOSI"</f>
        <v>983529274POSPAGOSI</v>
      </c>
      <c r="AZ280" s="18" t="str">
        <f>VLOOKUP(Pospago[[#This Row],[NOM_PLAZA_FINAL]],[1]!Locales[#Data],3,0)</f>
        <v>TIENDA RECREO</v>
      </c>
      <c r="BA280" s="18" t="str">
        <f>IFERROR(VLOOKUP(Pospago[[#This Row],[USUARIO]],[1]!Personal[#Data],6,0),"EJECUTIVO NO REGISTRADO")</f>
        <v>GUAIGUA REINOSO GENESIS CAROLINA</v>
      </c>
      <c r="BB280" s="18" t="str">
        <f>Pospago[[#This Row],[TIPO_MOVIMIENTO]]&amp;" "&amp;Pospago[[#This Row],[FORMA_PAGO_FINAL]]</f>
        <v>TRANSFERENCIAS DOMICILIADO</v>
      </c>
      <c r="BC280" s="18">
        <f>DAY(Pospago[[#This Row],[FECHA_ALTA]])</f>
        <v>16</v>
      </c>
      <c r="BD280" s="18">
        <f>IF(Pospago[[#This Row],[TARIFA_BASICA]]=11.42,1,0)</f>
        <v>0</v>
      </c>
      <c r="BE280" s="18">
        <f>IF(Pospago[[#This Row],[PLANES TELEVENTAS]]="SI",1,0)</f>
        <v>0</v>
      </c>
      <c r="BF280" s="18">
        <f>1</f>
        <v>1</v>
      </c>
      <c r="BG280" s="18">
        <f>IF(OR(Pospago[[#This Row],[TARIFA_BASICA]]=11.42,Pospago[[#This Row],[PLANES TELEVENTAS]]="SI"),1,0)</f>
        <v>0</v>
      </c>
      <c r="BH280" s="18" t="str">
        <f>IF(MID(Pospago[[#This Row],[PlanDesc]],1,4) = "PLAN","POSPAGO",IF(MID(Pospago[[#This Row],[PlanDesc]],1,4)="FULL","FULL MEGAS","PREVIOPAGO"))</f>
        <v>PREVIOPAGO</v>
      </c>
      <c r="BI2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80" s="21">
        <f>Pospago[[#This Row],[TARIFA_BASICA]]*1.5</f>
        <v>21.419999999999998</v>
      </c>
    </row>
    <row r="281" spans="1:63" x14ac:dyDescent="0.25">
      <c r="A281" s="18" t="s">
        <v>64</v>
      </c>
      <c r="B281" s="18" t="s">
        <v>1976</v>
      </c>
      <c r="C281" s="18" t="s">
        <v>1977</v>
      </c>
      <c r="D281" s="19">
        <v>44907</v>
      </c>
      <c r="E281" s="18" t="s">
        <v>67</v>
      </c>
      <c r="F281" s="18" t="s">
        <v>1978</v>
      </c>
      <c r="G281" s="18" t="s">
        <v>1979</v>
      </c>
      <c r="H281" s="18" t="s">
        <v>70</v>
      </c>
      <c r="I281" s="18" t="s">
        <v>160</v>
      </c>
      <c r="J281" s="18" t="s">
        <v>195</v>
      </c>
      <c r="K281" s="18" t="s">
        <v>132</v>
      </c>
      <c r="L281" s="20" t="s">
        <v>1980</v>
      </c>
      <c r="M281" s="18" t="s">
        <v>75</v>
      </c>
      <c r="N281" s="20" t="s">
        <v>1981</v>
      </c>
      <c r="O281" s="18" t="s">
        <v>77</v>
      </c>
      <c r="P281" s="18" t="s">
        <v>78</v>
      </c>
      <c r="Q281" s="19">
        <v>44914</v>
      </c>
      <c r="R281" s="21">
        <v>14.28</v>
      </c>
      <c r="S281" s="18" t="s">
        <v>79</v>
      </c>
      <c r="T281" s="18" t="s">
        <v>135</v>
      </c>
      <c r="U281" s="18" t="s">
        <v>83</v>
      </c>
      <c r="V281" s="18" t="s">
        <v>95</v>
      </c>
      <c r="W281" s="18" t="s">
        <v>83</v>
      </c>
      <c r="X281" s="18" t="s">
        <v>84</v>
      </c>
      <c r="Y281" s="18" t="s">
        <v>85</v>
      </c>
      <c r="Z281" s="18" t="s">
        <v>86</v>
      </c>
      <c r="AA281" s="18" t="s">
        <v>87</v>
      </c>
      <c r="AB281" s="18" t="s">
        <v>541</v>
      </c>
      <c r="AC281" s="18" t="s">
        <v>542</v>
      </c>
      <c r="AD281" s="18" t="s">
        <v>85</v>
      </c>
      <c r="AE281" s="18" t="s">
        <v>90</v>
      </c>
      <c r="AF281" s="18" t="s">
        <v>138</v>
      </c>
      <c r="AG281" s="18" t="s">
        <v>139</v>
      </c>
      <c r="AH281" s="18" t="s">
        <v>93</v>
      </c>
      <c r="AI281" s="18" t="s">
        <v>94</v>
      </c>
      <c r="AJ281" s="19">
        <v>44907</v>
      </c>
      <c r="AK281" s="22" t="s">
        <v>95</v>
      </c>
      <c r="AL281" s="18" t="s">
        <v>95</v>
      </c>
      <c r="AM281" s="18" t="s">
        <v>95</v>
      </c>
      <c r="AN281" s="18" t="s">
        <v>95</v>
      </c>
      <c r="AO281" s="18" t="s">
        <v>95</v>
      </c>
      <c r="AP281" s="18" t="s">
        <v>95</v>
      </c>
      <c r="AQ281" s="18" t="s">
        <v>95</v>
      </c>
      <c r="AR281" s="18" t="s">
        <v>95</v>
      </c>
      <c r="AS281" s="18" t="s">
        <v>83</v>
      </c>
      <c r="AT281" s="18" t="s">
        <v>83</v>
      </c>
      <c r="AU281" s="18" t="s">
        <v>81</v>
      </c>
      <c r="AV281" s="18" t="s">
        <v>95</v>
      </c>
      <c r="AW281" s="18" t="s">
        <v>95</v>
      </c>
      <c r="AX281" s="18"/>
      <c r="AY281" s="18" t="str">
        <f>Pospago[[#This Row],[NUM_TELEFONICO]]&amp;"POSPAGOSI"</f>
        <v>983534383POSPAGOSI</v>
      </c>
      <c r="AZ281" s="18" t="str">
        <f>VLOOKUP(Pospago[[#This Row],[NOM_PLAZA_FINAL]],[1]!Locales[#Data],3,0)</f>
        <v>TIENDA AMERICA</v>
      </c>
      <c r="BA281" s="18" t="str">
        <f>IFERROR(VLOOKUP(Pospago[[#This Row],[USUARIO]],[1]!Personal[#Data],6,0),"EJECUTIVO NO REGISTRADO")</f>
        <v>CEVALLOS PONCE DIANA CAROLINA</v>
      </c>
      <c r="BB281" s="18" t="str">
        <f>Pospago[[#This Row],[TIPO_MOVIMIENTO]]&amp;" "&amp;Pospago[[#This Row],[FORMA_PAGO_FINAL]]</f>
        <v>ALTAS DOMICILIADO</v>
      </c>
      <c r="BC281" s="18">
        <f>DAY(Pospago[[#This Row],[FECHA_ALTA]])</f>
        <v>12</v>
      </c>
      <c r="BD281" s="18">
        <f>IF(Pospago[[#This Row],[TARIFA_BASICA]]=11.42,1,0)</f>
        <v>0</v>
      </c>
      <c r="BE281" s="18">
        <f>IF(Pospago[[#This Row],[PLANES TELEVENTAS]]="SI",1,0)</f>
        <v>0</v>
      </c>
      <c r="BF281" s="18">
        <f>1</f>
        <v>1</v>
      </c>
      <c r="BG281" s="18">
        <f>IF(OR(Pospago[[#This Row],[TARIFA_BASICA]]=11.42,Pospago[[#This Row],[PLANES TELEVENTAS]]="SI"),1,0)</f>
        <v>0</v>
      </c>
      <c r="BH281" s="18" t="str">
        <f>IF(MID(Pospago[[#This Row],[PlanDesc]],1,4) = "PLAN","POSPAGO",IF(MID(Pospago[[#This Row],[PlanDesc]],1,4)="FULL","FULL MEGAS","PREVIOPAGO"))</f>
        <v>PREVIOPAGO</v>
      </c>
      <c r="BI2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81" s="21">
        <f>Pospago[[#This Row],[TARIFA_BASICA]]*1.5</f>
        <v>21.419999999999998</v>
      </c>
    </row>
    <row r="282" spans="1:63" x14ac:dyDescent="0.25">
      <c r="A282" s="18" t="s">
        <v>154</v>
      </c>
      <c r="B282" s="18" t="s">
        <v>1982</v>
      </c>
      <c r="C282" s="18" t="s">
        <v>1983</v>
      </c>
      <c r="D282" s="19">
        <v>44900</v>
      </c>
      <c r="E282" s="18" t="s">
        <v>67</v>
      </c>
      <c r="F282" s="18" t="s">
        <v>1984</v>
      </c>
      <c r="G282" s="18" t="s">
        <v>1985</v>
      </c>
      <c r="H282" s="18" t="s">
        <v>159</v>
      </c>
      <c r="I282" s="18" t="s">
        <v>194</v>
      </c>
      <c r="J282" s="18" t="s">
        <v>268</v>
      </c>
      <c r="K282" s="18" t="s">
        <v>132</v>
      </c>
      <c r="L282" s="20" t="s">
        <v>1986</v>
      </c>
      <c r="M282" s="18" t="s">
        <v>75</v>
      </c>
      <c r="N282" s="20" t="s">
        <v>1987</v>
      </c>
      <c r="O282" s="18" t="s">
        <v>164</v>
      </c>
      <c r="P282" s="18" t="s">
        <v>78</v>
      </c>
      <c r="Q282" s="19">
        <v>44914</v>
      </c>
      <c r="R282" s="21">
        <v>14.28</v>
      </c>
      <c r="S282" s="18" t="s">
        <v>79</v>
      </c>
      <c r="T282" s="18" t="s">
        <v>232</v>
      </c>
      <c r="U282" s="18" t="s">
        <v>83</v>
      </c>
      <c r="V282" s="18" t="s">
        <v>95</v>
      </c>
      <c r="W282" s="18" t="s">
        <v>95</v>
      </c>
      <c r="X282" s="18" t="s">
        <v>84</v>
      </c>
      <c r="Y282" s="18" t="s">
        <v>85</v>
      </c>
      <c r="Z282" s="18" t="s">
        <v>86</v>
      </c>
      <c r="AA282" s="18" t="s">
        <v>87</v>
      </c>
      <c r="AB282" s="18" t="s">
        <v>377</v>
      </c>
      <c r="AC282" s="18" t="s">
        <v>378</v>
      </c>
      <c r="AD282" s="18" t="s">
        <v>85</v>
      </c>
      <c r="AE282" s="18" t="s">
        <v>90</v>
      </c>
      <c r="AF282" s="18" t="s">
        <v>235</v>
      </c>
      <c r="AG282" s="18" t="s">
        <v>139</v>
      </c>
      <c r="AH282" s="18" t="s">
        <v>165</v>
      </c>
      <c r="AI282" s="18" t="s">
        <v>94</v>
      </c>
      <c r="AJ282" s="19">
        <v>44900</v>
      </c>
      <c r="AK282" s="22" t="s">
        <v>95</v>
      </c>
      <c r="AL282" s="18" t="s">
        <v>95</v>
      </c>
      <c r="AM282" s="18" t="s">
        <v>95</v>
      </c>
      <c r="AN282" s="18" t="s">
        <v>95</v>
      </c>
      <c r="AO282" s="18" t="s">
        <v>95</v>
      </c>
      <c r="AP282" s="18" t="s">
        <v>95</v>
      </c>
      <c r="AQ282" s="18" t="s">
        <v>95</v>
      </c>
      <c r="AR282" s="18" t="s">
        <v>95</v>
      </c>
      <c r="AS282" s="18" t="s">
        <v>83</v>
      </c>
      <c r="AT282" s="18" t="s">
        <v>81</v>
      </c>
      <c r="AU282" s="18" t="s">
        <v>81</v>
      </c>
      <c r="AV282" s="18" t="s">
        <v>95</v>
      </c>
      <c r="AW282" s="18" t="s">
        <v>95</v>
      </c>
      <c r="AX282" s="18"/>
      <c r="AY282" s="18" t="str">
        <f>Pospago[[#This Row],[NUM_TELEFONICO]]&amp;"POSPAGOSI"</f>
        <v>983535105POSPAGOSI</v>
      </c>
      <c r="AZ282" s="18" t="str">
        <f>VLOOKUP(Pospago[[#This Row],[NOM_PLAZA_FINAL]],[1]!Locales[#Data],3,0)</f>
        <v>TIENDA CONDADO</v>
      </c>
      <c r="BA282" s="18" t="str">
        <f>IFERROR(VLOOKUP(Pospago[[#This Row],[USUARIO]],[1]!Personal[#Data],6,0),"EJECUTIVO NO REGISTRADO")</f>
        <v>MELCHIADE ISAAC VALMORE</v>
      </c>
      <c r="BB282" s="18" t="str">
        <f>Pospago[[#This Row],[TIPO_MOVIMIENTO]]&amp;" "&amp;Pospago[[#This Row],[FORMA_PAGO_FINAL]]</f>
        <v>TRANSFERENCIAS DOMICILIADO</v>
      </c>
      <c r="BC282" s="18">
        <f>DAY(Pospago[[#This Row],[FECHA_ALTA]])</f>
        <v>5</v>
      </c>
      <c r="BD282" s="18">
        <f>IF(Pospago[[#This Row],[TARIFA_BASICA]]=11.42,1,0)</f>
        <v>0</v>
      </c>
      <c r="BE282" s="18">
        <f>IF(Pospago[[#This Row],[PLANES TELEVENTAS]]="SI",1,0)</f>
        <v>1</v>
      </c>
      <c r="BF282" s="18">
        <f>1</f>
        <v>1</v>
      </c>
      <c r="BG282" s="18">
        <f>IF(OR(Pospago[[#This Row],[TARIFA_BASICA]]=11.42,Pospago[[#This Row],[PLANES TELEVENTAS]]="SI"),1,0)</f>
        <v>1</v>
      </c>
      <c r="BH282" s="18" t="str">
        <f>IF(MID(Pospago[[#This Row],[PlanDesc]],1,4) = "PLAN","POSPAGO",IF(MID(Pospago[[#This Row],[PlanDesc]],1,4)="FULL","FULL MEGAS","PREVIOPAGO"))</f>
        <v>PREVIOPAGO</v>
      </c>
      <c r="BI2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82" s="21">
        <f>Pospago[[#This Row],[TARIFA_BASICA]]*1.5</f>
        <v>21.419999999999998</v>
      </c>
    </row>
    <row r="283" spans="1:63" x14ac:dyDescent="0.25">
      <c r="A283" s="18" t="s">
        <v>64</v>
      </c>
      <c r="B283" s="18" t="s">
        <v>1988</v>
      </c>
      <c r="C283" s="18" t="s">
        <v>1989</v>
      </c>
      <c r="D283" s="19">
        <v>44912</v>
      </c>
      <c r="E283" s="18" t="s">
        <v>67</v>
      </c>
      <c r="F283" s="18" t="s">
        <v>1990</v>
      </c>
      <c r="G283" s="18" t="s">
        <v>1991</v>
      </c>
      <c r="H283" s="18" t="s">
        <v>70</v>
      </c>
      <c r="I283" s="18" t="s">
        <v>160</v>
      </c>
      <c r="J283" s="18" t="s">
        <v>195</v>
      </c>
      <c r="K283" s="18" t="s">
        <v>132</v>
      </c>
      <c r="L283" s="20" t="s">
        <v>1992</v>
      </c>
      <c r="M283" s="18" t="s">
        <v>75</v>
      </c>
      <c r="N283" s="20" t="s">
        <v>1993</v>
      </c>
      <c r="O283" s="18" t="s">
        <v>231</v>
      </c>
      <c r="P283" s="18" t="s">
        <v>78</v>
      </c>
      <c r="Q283" s="19">
        <v>44914</v>
      </c>
      <c r="R283" s="21">
        <v>14.28</v>
      </c>
      <c r="S283" s="18" t="s">
        <v>79</v>
      </c>
      <c r="T283" s="18" t="s">
        <v>232</v>
      </c>
      <c r="U283" s="18" t="s">
        <v>83</v>
      </c>
      <c r="V283" s="18" t="s">
        <v>95</v>
      </c>
      <c r="W283" s="18" t="s">
        <v>83</v>
      </c>
      <c r="X283" s="18" t="s">
        <v>84</v>
      </c>
      <c r="Y283" s="18" t="s">
        <v>85</v>
      </c>
      <c r="Z283" s="18" t="s">
        <v>86</v>
      </c>
      <c r="AA283" s="18" t="s">
        <v>87</v>
      </c>
      <c r="AB283" s="18" t="s">
        <v>377</v>
      </c>
      <c r="AC283" s="18" t="s">
        <v>378</v>
      </c>
      <c r="AD283" s="18" t="s">
        <v>85</v>
      </c>
      <c r="AE283" s="18" t="s">
        <v>90</v>
      </c>
      <c r="AF283" s="18" t="s">
        <v>235</v>
      </c>
      <c r="AG283" s="18" t="s">
        <v>139</v>
      </c>
      <c r="AH283" s="18" t="s">
        <v>93</v>
      </c>
      <c r="AI283" s="18" t="s">
        <v>94</v>
      </c>
      <c r="AJ283" s="19">
        <v>44912</v>
      </c>
      <c r="AK283" s="22" t="s">
        <v>95</v>
      </c>
      <c r="AL283" s="18" t="s">
        <v>95</v>
      </c>
      <c r="AM283" s="18" t="s">
        <v>95</v>
      </c>
      <c r="AN283" s="18" t="s">
        <v>95</v>
      </c>
      <c r="AO283" s="18" t="s">
        <v>95</v>
      </c>
      <c r="AP283" s="18" t="s">
        <v>95</v>
      </c>
      <c r="AQ283" s="18" t="s">
        <v>95</v>
      </c>
      <c r="AR283" s="18" t="s">
        <v>95</v>
      </c>
      <c r="AS283" s="18" t="s">
        <v>83</v>
      </c>
      <c r="AT283" s="18" t="s">
        <v>83</v>
      </c>
      <c r="AU283" s="18" t="s">
        <v>81</v>
      </c>
      <c r="AV283" s="18" t="s">
        <v>95</v>
      </c>
      <c r="AW283" s="18" t="s">
        <v>95</v>
      </c>
      <c r="AX283" s="18"/>
      <c r="AY283" s="18" t="str">
        <f>Pospago[[#This Row],[NUM_TELEFONICO]]&amp;"POSPAGOSI"</f>
        <v>983536155POSPAGOSI</v>
      </c>
      <c r="AZ283" s="18" t="str">
        <f>VLOOKUP(Pospago[[#This Row],[NOM_PLAZA_FINAL]],[1]!Locales[#Data],3,0)</f>
        <v>TIENDA CONDADO</v>
      </c>
      <c r="BA283" s="18" t="str">
        <f>IFERROR(VLOOKUP(Pospago[[#This Row],[USUARIO]],[1]!Personal[#Data],6,0),"EJECUTIVO NO REGISTRADO")</f>
        <v>MELCHIADE ISAAC VALMORE</v>
      </c>
      <c r="BB283" s="18" t="str">
        <f>Pospago[[#This Row],[TIPO_MOVIMIENTO]]&amp;" "&amp;Pospago[[#This Row],[FORMA_PAGO_FINAL]]</f>
        <v>ALTAS DOMICILIADO</v>
      </c>
      <c r="BC283" s="18">
        <f>DAY(Pospago[[#This Row],[FECHA_ALTA]])</f>
        <v>17</v>
      </c>
      <c r="BD283" s="18">
        <f>IF(Pospago[[#This Row],[TARIFA_BASICA]]=11.42,1,0)</f>
        <v>0</v>
      </c>
      <c r="BE283" s="18">
        <f>IF(Pospago[[#This Row],[PLANES TELEVENTAS]]="SI",1,0)</f>
        <v>0</v>
      </c>
      <c r="BF283" s="18">
        <f>1</f>
        <v>1</v>
      </c>
      <c r="BG283" s="18">
        <f>IF(OR(Pospago[[#This Row],[TARIFA_BASICA]]=11.42,Pospago[[#This Row],[PLANES TELEVENTAS]]="SI"),1,0)</f>
        <v>0</v>
      </c>
      <c r="BH283" s="18" t="str">
        <f>IF(MID(Pospago[[#This Row],[PlanDesc]],1,4) = "PLAN","POSPAGO",IF(MID(Pospago[[#This Row],[PlanDesc]],1,4)="FULL","FULL MEGAS","PREVIOPAGO"))</f>
        <v>PREVIOPAGO</v>
      </c>
      <c r="BI2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83" s="21">
        <f>Pospago[[#This Row],[TARIFA_BASICA]]*1.5</f>
        <v>21.419999999999998</v>
      </c>
    </row>
    <row r="284" spans="1:63" x14ac:dyDescent="0.25">
      <c r="A284" s="18" t="s">
        <v>154</v>
      </c>
      <c r="B284" s="18" t="s">
        <v>1994</v>
      </c>
      <c r="C284" s="18" t="s">
        <v>1995</v>
      </c>
      <c r="D284" s="19">
        <v>44911</v>
      </c>
      <c r="E284" s="18" t="s">
        <v>67</v>
      </c>
      <c r="F284" s="18" t="s">
        <v>1996</v>
      </c>
      <c r="G284" s="18" t="s">
        <v>1997</v>
      </c>
      <c r="H284" s="18" t="s">
        <v>159</v>
      </c>
      <c r="I284" s="18" t="s">
        <v>194</v>
      </c>
      <c r="J284" s="18" t="s">
        <v>268</v>
      </c>
      <c r="K284" s="18" t="s">
        <v>73</v>
      </c>
      <c r="L284" s="20" t="s">
        <v>1998</v>
      </c>
      <c r="M284" s="18" t="s">
        <v>75</v>
      </c>
      <c r="N284" s="20" t="s">
        <v>1999</v>
      </c>
      <c r="O284" s="18" t="s">
        <v>164</v>
      </c>
      <c r="P284" s="18" t="s">
        <v>78</v>
      </c>
      <c r="Q284" s="19">
        <v>44914</v>
      </c>
      <c r="R284" s="21">
        <v>14.28</v>
      </c>
      <c r="S284" s="18" t="s">
        <v>79</v>
      </c>
      <c r="T284" s="18" t="s">
        <v>174</v>
      </c>
      <c r="U284" s="18" t="s">
        <v>83</v>
      </c>
      <c r="V284" s="18" t="s">
        <v>95</v>
      </c>
      <c r="W284" s="18" t="s">
        <v>95</v>
      </c>
      <c r="X284" s="18" t="s">
        <v>118</v>
      </c>
      <c r="Y284" s="18" t="s">
        <v>85</v>
      </c>
      <c r="Z284" s="18" t="s">
        <v>86</v>
      </c>
      <c r="AA284" s="18" t="s">
        <v>119</v>
      </c>
      <c r="AB284" s="18" t="s">
        <v>1315</v>
      </c>
      <c r="AC284" s="18" t="s">
        <v>1316</v>
      </c>
      <c r="AD284" s="18" t="s">
        <v>85</v>
      </c>
      <c r="AE284" s="18" t="s">
        <v>90</v>
      </c>
      <c r="AF284" s="18" t="s">
        <v>177</v>
      </c>
      <c r="AG284" s="18" t="s">
        <v>139</v>
      </c>
      <c r="AH284" s="18" t="s">
        <v>165</v>
      </c>
      <c r="AI284" s="18" t="s">
        <v>94</v>
      </c>
      <c r="AJ284" s="19">
        <v>44911</v>
      </c>
      <c r="AK284" s="22" t="s">
        <v>95</v>
      </c>
      <c r="AL284" s="18" t="s">
        <v>95</v>
      </c>
      <c r="AM284" s="18" t="s">
        <v>95</v>
      </c>
      <c r="AN284" s="18" t="s">
        <v>95</v>
      </c>
      <c r="AO284" s="18" t="s">
        <v>95</v>
      </c>
      <c r="AP284" s="18" t="s">
        <v>95</v>
      </c>
      <c r="AQ284" s="18" t="s">
        <v>95</v>
      </c>
      <c r="AR284" s="18" t="s">
        <v>95</v>
      </c>
      <c r="AS284" s="18" t="s">
        <v>83</v>
      </c>
      <c r="AT284" s="18" t="s">
        <v>81</v>
      </c>
      <c r="AU284" s="18" t="s">
        <v>81</v>
      </c>
      <c r="AV284" s="18" t="s">
        <v>95</v>
      </c>
      <c r="AW284" s="18" t="s">
        <v>95</v>
      </c>
      <c r="AX284" s="18"/>
      <c r="AY284" s="18" t="str">
        <f>Pospago[[#This Row],[NUM_TELEFONICO]]&amp;"POSPAGOSI"</f>
        <v>983557303POSPAGOSI</v>
      </c>
      <c r="AZ284" s="18" t="str">
        <f>VLOOKUP(Pospago[[#This Row],[NOM_PLAZA_FINAL]],[1]!Locales[#Data],3,0)</f>
        <v>TIENDA RECREO</v>
      </c>
      <c r="BA284" s="18" t="str">
        <f>IFERROR(VLOOKUP(Pospago[[#This Row],[USUARIO]],[1]!Personal[#Data],6,0),"EJECUTIVO NO REGISTRADO")</f>
        <v>ORTEGA  NATALIE MÉNDEZ</v>
      </c>
      <c r="BB284" s="18" t="str">
        <f>Pospago[[#This Row],[TIPO_MOVIMIENTO]]&amp;" "&amp;Pospago[[#This Row],[FORMA_PAGO_FINAL]]</f>
        <v>TRANSFERENCIAS PAGO EN CAJA</v>
      </c>
      <c r="BC284" s="18">
        <f>DAY(Pospago[[#This Row],[FECHA_ALTA]])</f>
        <v>16</v>
      </c>
      <c r="BD284" s="18">
        <f>IF(Pospago[[#This Row],[TARIFA_BASICA]]=11.42,1,0)</f>
        <v>0</v>
      </c>
      <c r="BE284" s="18">
        <f>IF(Pospago[[#This Row],[PLANES TELEVENTAS]]="SI",1,0)</f>
        <v>1</v>
      </c>
      <c r="BF284" s="18">
        <f>1</f>
        <v>1</v>
      </c>
      <c r="BG284" s="18">
        <f>IF(OR(Pospago[[#This Row],[TARIFA_BASICA]]=11.42,Pospago[[#This Row],[PLANES TELEVENTAS]]="SI"),1,0)</f>
        <v>1</v>
      </c>
      <c r="BH284" s="18" t="str">
        <f>IF(MID(Pospago[[#This Row],[PlanDesc]],1,4) = "PLAN","POSPAGO",IF(MID(Pospago[[#This Row],[PlanDesc]],1,4)="FULL","FULL MEGAS","PREVIOPAGO"))</f>
        <v>PREVIOPAGO</v>
      </c>
      <c r="BI2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2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84" s="21">
        <f>Pospago[[#This Row],[TARIFA_BASICA]]*1.5</f>
        <v>21.419999999999998</v>
      </c>
    </row>
    <row r="285" spans="1:63" x14ac:dyDescent="0.25">
      <c r="A285" s="18" t="s">
        <v>154</v>
      </c>
      <c r="B285" s="18" t="s">
        <v>2000</v>
      </c>
      <c r="C285" s="18" t="s">
        <v>2001</v>
      </c>
      <c r="D285" s="19">
        <v>44910</v>
      </c>
      <c r="E285" s="18" t="s">
        <v>67</v>
      </c>
      <c r="F285" s="18" t="s">
        <v>2002</v>
      </c>
      <c r="G285" s="18" t="s">
        <v>2003</v>
      </c>
      <c r="H285" s="18" t="s">
        <v>159</v>
      </c>
      <c r="I285" s="18" t="s">
        <v>71</v>
      </c>
      <c r="J285" s="18" t="s">
        <v>258</v>
      </c>
      <c r="K285" s="18" t="s">
        <v>95</v>
      </c>
      <c r="L285" s="20" t="s">
        <v>2004</v>
      </c>
      <c r="M285" s="18" t="s">
        <v>75</v>
      </c>
      <c r="N285" s="20" t="s">
        <v>2005</v>
      </c>
      <c r="O285" s="18" t="s">
        <v>164</v>
      </c>
      <c r="P285" s="18" t="s">
        <v>78</v>
      </c>
      <c r="Q285" s="19">
        <v>44914</v>
      </c>
      <c r="R285" s="21">
        <v>11.42</v>
      </c>
      <c r="S285" s="18" t="s">
        <v>79</v>
      </c>
      <c r="T285" s="18" t="s">
        <v>174</v>
      </c>
      <c r="U285" s="18" t="s">
        <v>83</v>
      </c>
      <c r="V285" s="18" t="s">
        <v>95</v>
      </c>
      <c r="W285" s="18" t="s">
        <v>95</v>
      </c>
      <c r="X285" s="18" t="s">
        <v>84</v>
      </c>
      <c r="Y285" s="18" t="s">
        <v>85</v>
      </c>
      <c r="Z285" s="18" t="s">
        <v>86</v>
      </c>
      <c r="AA285" s="18" t="s">
        <v>87</v>
      </c>
      <c r="AB285" s="18" t="s">
        <v>251</v>
      </c>
      <c r="AC285" s="18" t="s">
        <v>252</v>
      </c>
      <c r="AD285" s="18" t="s">
        <v>85</v>
      </c>
      <c r="AE285" s="18" t="s">
        <v>90</v>
      </c>
      <c r="AF285" s="18" t="s">
        <v>177</v>
      </c>
      <c r="AG285" s="18" t="s">
        <v>139</v>
      </c>
      <c r="AH285" s="18" t="s">
        <v>165</v>
      </c>
      <c r="AI285" s="18" t="s">
        <v>94</v>
      </c>
      <c r="AJ285" s="19">
        <v>44910</v>
      </c>
      <c r="AK285" s="22" t="s">
        <v>95</v>
      </c>
      <c r="AL285" s="18" t="s">
        <v>95</v>
      </c>
      <c r="AM285" s="18" t="s">
        <v>95</v>
      </c>
      <c r="AN285" s="18" t="s">
        <v>95</v>
      </c>
      <c r="AO285" s="18" t="s">
        <v>95</v>
      </c>
      <c r="AP285" s="18" t="s">
        <v>95</v>
      </c>
      <c r="AQ285" s="18" t="s">
        <v>95</v>
      </c>
      <c r="AR285" s="18" t="s">
        <v>95</v>
      </c>
      <c r="AS285" s="18" t="s">
        <v>83</v>
      </c>
      <c r="AT285" s="18" t="s">
        <v>83</v>
      </c>
      <c r="AU285" s="18" t="s">
        <v>81</v>
      </c>
      <c r="AV285" s="18" t="s">
        <v>95</v>
      </c>
      <c r="AW285" s="18" t="s">
        <v>95</v>
      </c>
      <c r="AX285" s="18"/>
      <c r="AY285" s="18" t="str">
        <f>Pospago[[#This Row],[NUM_TELEFONICO]]&amp;"POSPAGOSI"</f>
        <v>983578583POSPAGOSI</v>
      </c>
      <c r="AZ285" s="18" t="str">
        <f>VLOOKUP(Pospago[[#This Row],[NOM_PLAZA_FINAL]],[1]!Locales[#Data],3,0)</f>
        <v>TIENDA RECREO</v>
      </c>
      <c r="BA285" s="18" t="str">
        <f>IFERROR(VLOOKUP(Pospago[[#This Row],[USUARIO]],[1]!Personal[#Data],6,0),"EJECUTIVO NO REGISTRADO")</f>
        <v>CRUZ MONTUFAR KATHERINE ALEJANDRA</v>
      </c>
      <c r="BB285" s="18" t="str">
        <f>Pospago[[#This Row],[TIPO_MOVIMIENTO]]&amp;" "&amp;Pospago[[#This Row],[FORMA_PAGO_FINAL]]</f>
        <v>TRANSFERENCIAS DOMICILIADO</v>
      </c>
      <c r="BC285" s="18">
        <f>DAY(Pospago[[#This Row],[FECHA_ALTA]])</f>
        <v>15</v>
      </c>
      <c r="BD285" s="18">
        <f>IF(Pospago[[#This Row],[TARIFA_BASICA]]=11.42,1,0)</f>
        <v>1</v>
      </c>
      <c r="BE285" s="18">
        <f>IF(Pospago[[#This Row],[PLANES TELEVENTAS]]="SI",1,0)</f>
        <v>0</v>
      </c>
      <c r="BF285" s="18">
        <f>1</f>
        <v>1</v>
      </c>
      <c r="BG285" s="18">
        <f>IF(OR(Pospago[[#This Row],[TARIFA_BASICA]]=11.42,Pospago[[#This Row],[PLANES TELEVENTAS]]="SI"),1,0)</f>
        <v>1</v>
      </c>
      <c r="BH285" s="18" t="str">
        <f>IF(MID(Pospago[[#This Row],[PlanDesc]],1,4) = "PLAN","POSPAGO",IF(MID(Pospago[[#This Row],[PlanDesc]],1,4)="FULL","FULL MEGAS","PREVIOPAGO"))</f>
        <v>PREVIOPAGO</v>
      </c>
      <c r="BI2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2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85" s="21">
        <f>Pospago[[#This Row],[TARIFA_BASICA]]*1.5</f>
        <v>17.13</v>
      </c>
    </row>
    <row r="286" spans="1:63" x14ac:dyDescent="0.25">
      <c r="A286" s="18" t="s">
        <v>64</v>
      </c>
      <c r="B286" s="18" t="s">
        <v>2006</v>
      </c>
      <c r="C286" s="18" t="s">
        <v>2007</v>
      </c>
      <c r="D286" s="19">
        <v>44905</v>
      </c>
      <c r="E286" s="18" t="s">
        <v>67</v>
      </c>
      <c r="F286" s="18" t="s">
        <v>2008</v>
      </c>
      <c r="G286" s="18" t="s">
        <v>2009</v>
      </c>
      <c r="H286" s="18" t="s">
        <v>70</v>
      </c>
      <c r="I286" s="18" t="s">
        <v>112</v>
      </c>
      <c r="J286" s="18" t="s">
        <v>113</v>
      </c>
      <c r="K286" s="18" t="s">
        <v>132</v>
      </c>
      <c r="L286" s="20" t="s">
        <v>2010</v>
      </c>
      <c r="M286" s="18" t="s">
        <v>75</v>
      </c>
      <c r="N286" s="20" t="s">
        <v>2011</v>
      </c>
      <c r="O286" s="18" t="s">
        <v>77</v>
      </c>
      <c r="P286" s="18" t="s">
        <v>78</v>
      </c>
      <c r="Q286" s="19">
        <v>44914</v>
      </c>
      <c r="R286" s="21">
        <v>17.850000000000001</v>
      </c>
      <c r="S286" s="18" t="s">
        <v>79</v>
      </c>
      <c r="T286" s="18" t="s">
        <v>174</v>
      </c>
      <c r="U286" s="18" t="s">
        <v>83</v>
      </c>
      <c r="V286" s="18" t="s">
        <v>95</v>
      </c>
      <c r="W286" s="18" t="s">
        <v>83</v>
      </c>
      <c r="X286" s="18" t="s">
        <v>118</v>
      </c>
      <c r="Y286" s="18" t="s">
        <v>85</v>
      </c>
      <c r="Z286" s="18" t="s">
        <v>86</v>
      </c>
      <c r="AA286" s="18" t="s">
        <v>119</v>
      </c>
      <c r="AB286" s="18" t="s">
        <v>740</v>
      </c>
      <c r="AC286" s="18" t="s">
        <v>741</v>
      </c>
      <c r="AD286" s="18" t="s">
        <v>85</v>
      </c>
      <c r="AE286" s="18" t="s">
        <v>90</v>
      </c>
      <c r="AF286" s="18" t="s">
        <v>177</v>
      </c>
      <c r="AG286" s="18" t="s">
        <v>139</v>
      </c>
      <c r="AH286" s="18" t="s">
        <v>93</v>
      </c>
      <c r="AI286" s="18" t="s">
        <v>94</v>
      </c>
      <c r="AJ286" s="19">
        <v>44905</v>
      </c>
      <c r="AK286" s="22" t="s">
        <v>95</v>
      </c>
      <c r="AL286" s="18" t="s">
        <v>95</v>
      </c>
      <c r="AM286" s="18" t="s">
        <v>95</v>
      </c>
      <c r="AN286" s="18" t="s">
        <v>95</v>
      </c>
      <c r="AO286" s="18" t="s">
        <v>95</v>
      </c>
      <c r="AP286" s="18" t="s">
        <v>95</v>
      </c>
      <c r="AQ286" s="18" t="s">
        <v>95</v>
      </c>
      <c r="AR286" s="18" t="s">
        <v>95</v>
      </c>
      <c r="AS286" s="18" t="s">
        <v>83</v>
      </c>
      <c r="AT286" s="18" t="s">
        <v>83</v>
      </c>
      <c r="AU286" s="18" t="s">
        <v>81</v>
      </c>
      <c r="AV286" s="18" t="s">
        <v>95</v>
      </c>
      <c r="AW286" s="18" t="s">
        <v>95</v>
      </c>
      <c r="AX286" s="18"/>
      <c r="AY286" s="18" t="str">
        <f>Pospago[[#This Row],[NUM_TELEFONICO]]&amp;"POSPAGOSI"</f>
        <v>983580111POSPAGOSI</v>
      </c>
      <c r="AZ286" s="18" t="str">
        <f>VLOOKUP(Pospago[[#This Row],[NOM_PLAZA_FINAL]],[1]!Locales[#Data],3,0)</f>
        <v>TIENDA RECREO</v>
      </c>
      <c r="BA286" s="18" t="str">
        <f>IFERROR(VLOOKUP(Pospago[[#This Row],[USUARIO]],[1]!Personal[#Data],6,0),"EJECUTIVO NO REGISTRADO")</f>
        <v>CHAVEZ VASQUEZ YESSENIA KATHERINE</v>
      </c>
      <c r="BB286" s="18" t="str">
        <f>Pospago[[#This Row],[TIPO_MOVIMIENTO]]&amp;" "&amp;Pospago[[#This Row],[FORMA_PAGO_FINAL]]</f>
        <v>ALTAS PAGO EN CAJA</v>
      </c>
      <c r="BC286" s="18">
        <f>DAY(Pospago[[#This Row],[FECHA_ALTA]])</f>
        <v>10</v>
      </c>
      <c r="BD286" s="18">
        <f>IF(Pospago[[#This Row],[TARIFA_BASICA]]=11.42,1,0)</f>
        <v>0</v>
      </c>
      <c r="BE286" s="18">
        <f>IF(Pospago[[#This Row],[PLANES TELEVENTAS]]="SI",1,0)</f>
        <v>0</v>
      </c>
      <c r="BF286" s="18">
        <f>1</f>
        <v>1</v>
      </c>
      <c r="BG286" s="18">
        <f>IF(OR(Pospago[[#This Row],[TARIFA_BASICA]]=11.42,Pospago[[#This Row],[PLANES TELEVENTAS]]="SI"),1,0)</f>
        <v>0</v>
      </c>
      <c r="BH286" s="18" t="str">
        <f>IF(MID(Pospago[[#This Row],[PlanDesc]],1,4) = "PLAN","POSPAGO",IF(MID(Pospago[[#This Row],[PlanDesc]],1,4)="FULL","FULL MEGAS","PREVIOPAGO"))</f>
        <v>PREVIOPAGO</v>
      </c>
      <c r="BI2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2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86" s="21">
        <f>Pospago[[#This Row],[TARIFA_BASICA]]*1.5</f>
        <v>26.775000000000002</v>
      </c>
    </row>
    <row r="287" spans="1:63" x14ac:dyDescent="0.25">
      <c r="A287" s="18" t="s">
        <v>154</v>
      </c>
      <c r="B287" s="18" t="s">
        <v>2012</v>
      </c>
      <c r="C287" s="18" t="s">
        <v>2013</v>
      </c>
      <c r="D287" s="19">
        <v>44907</v>
      </c>
      <c r="E287" s="18" t="s">
        <v>67</v>
      </c>
      <c r="F287" s="18" t="s">
        <v>2014</v>
      </c>
      <c r="G287" s="18" t="s">
        <v>2015</v>
      </c>
      <c r="H287" s="18" t="s">
        <v>159</v>
      </c>
      <c r="I287" s="18" t="s">
        <v>160</v>
      </c>
      <c r="J287" s="18" t="s">
        <v>161</v>
      </c>
      <c r="K287" s="18" t="s">
        <v>132</v>
      </c>
      <c r="L287" s="20" t="s">
        <v>2016</v>
      </c>
      <c r="M287" s="18" t="s">
        <v>287</v>
      </c>
      <c r="N287" s="20" t="s">
        <v>2017</v>
      </c>
      <c r="O287" s="18" t="s">
        <v>164</v>
      </c>
      <c r="P287" s="18" t="s">
        <v>78</v>
      </c>
      <c r="Q287" s="19">
        <v>44914</v>
      </c>
      <c r="R287" s="21">
        <v>14.28</v>
      </c>
      <c r="S287" s="18" t="s">
        <v>79</v>
      </c>
      <c r="T287" s="18" t="s">
        <v>232</v>
      </c>
      <c r="U287" s="18" t="s">
        <v>83</v>
      </c>
      <c r="V287" s="18" t="s">
        <v>95</v>
      </c>
      <c r="W287" s="18" t="s">
        <v>95</v>
      </c>
      <c r="X287" s="18" t="s">
        <v>84</v>
      </c>
      <c r="Y287" s="18" t="s">
        <v>85</v>
      </c>
      <c r="Z287" s="18" t="s">
        <v>86</v>
      </c>
      <c r="AA287" s="18" t="s">
        <v>87</v>
      </c>
      <c r="AB287" s="18" t="s">
        <v>233</v>
      </c>
      <c r="AC287" s="18" t="s">
        <v>234</v>
      </c>
      <c r="AD287" s="18" t="s">
        <v>85</v>
      </c>
      <c r="AE287" s="18" t="s">
        <v>90</v>
      </c>
      <c r="AF287" s="18" t="s">
        <v>235</v>
      </c>
      <c r="AG287" s="18" t="s">
        <v>139</v>
      </c>
      <c r="AH287" s="18" t="s">
        <v>165</v>
      </c>
      <c r="AI287" s="18" t="s">
        <v>94</v>
      </c>
      <c r="AJ287" s="19">
        <v>44907</v>
      </c>
      <c r="AK287" s="22">
        <v>44907</v>
      </c>
      <c r="AL287" s="18" t="s">
        <v>291</v>
      </c>
      <c r="AM287" s="18" t="s">
        <v>292</v>
      </c>
      <c r="AN287" s="18" t="s">
        <v>293</v>
      </c>
      <c r="AO287" s="18" t="s">
        <v>354</v>
      </c>
      <c r="AP287" s="18">
        <v>1</v>
      </c>
      <c r="AQ287" s="18">
        <v>285.71429000000001</v>
      </c>
      <c r="AR287" s="18" t="s">
        <v>295</v>
      </c>
      <c r="AS287" s="18" t="s">
        <v>81</v>
      </c>
      <c r="AT287" s="18" t="s">
        <v>83</v>
      </c>
      <c r="AU287" s="18" t="s">
        <v>81</v>
      </c>
      <c r="AV287" s="18" t="s">
        <v>95</v>
      </c>
      <c r="AW287" s="18" t="s">
        <v>95</v>
      </c>
      <c r="AX287" s="18"/>
      <c r="AY287" s="18" t="str">
        <f>Pospago[[#This Row],[NUM_TELEFONICO]]&amp;"POSPAGOSI"</f>
        <v>983586330POSPAGOSI</v>
      </c>
      <c r="AZ287" s="18" t="str">
        <f>VLOOKUP(Pospago[[#This Row],[NOM_PLAZA_FINAL]],[1]!Locales[#Data],3,0)</f>
        <v>TIENDA CONDADO</v>
      </c>
      <c r="BA287" s="18" t="str">
        <f>IFERROR(VLOOKUP(Pospago[[#This Row],[USUARIO]],[1]!Personal[#Data],6,0),"EJECUTIVO NO REGISTRADO")</f>
        <v>ROSALES MALDONADO JESSICA GABRIELA</v>
      </c>
      <c r="BB287" s="18" t="str">
        <f>Pospago[[#This Row],[TIPO_MOVIMIENTO]]&amp;" "&amp;Pospago[[#This Row],[FORMA_PAGO_FINAL]]</f>
        <v>TRANSFERENCIAS DOMICILIADO</v>
      </c>
      <c r="BC287" s="18">
        <f>DAY(Pospago[[#This Row],[FECHA_ALTA]])</f>
        <v>12</v>
      </c>
      <c r="BD287" s="18">
        <f>IF(Pospago[[#This Row],[TARIFA_BASICA]]=11.42,1,0)</f>
        <v>0</v>
      </c>
      <c r="BE287" s="18">
        <f>IF(Pospago[[#This Row],[PLANES TELEVENTAS]]="SI",1,0)</f>
        <v>0</v>
      </c>
      <c r="BF287" s="18">
        <f>1</f>
        <v>1</v>
      </c>
      <c r="BG287" s="18">
        <f>IF(OR(Pospago[[#This Row],[TARIFA_BASICA]]=11.42,Pospago[[#This Row],[PLANES TELEVENTAS]]="SI"),1,0)</f>
        <v>0</v>
      </c>
      <c r="BH287" s="18" t="str">
        <f>IF(MID(Pospago[[#This Row],[PlanDesc]],1,4) = "PLAN","POSPAGO",IF(MID(Pospago[[#This Row],[PlanDesc]],1,4)="FULL","FULL MEGAS","PREVIOPAGO"))</f>
        <v>PREVIOPAGO</v>
      </c>
      <c r="BI2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87" s="21">
        <f>Pospago[[#This Row],[TARIFA_BASICA]]*1.5</f>
        <v>21.419999999999998</v>
      </c>
    </row>
    <row r="288" spans="1:63" x14ac:dyDescent="0.25">
      <c r="A288" s="18" t="s">
        <v>154</v>
      </c>
      <c r="B288" s="18" t="s">
        <v>2018</v>
      </c>
      <c r="C288" s="18" t="s">
        <v>2019</v>
      </c>
      <c r="D288" s="19">
        <v>44903</v>
      </c>
      <c r="E288" s="18" t="s">
        <v>67</v>
      </c>
      <c r="F288" s="18" t="s">
        <v>2020</v>
      </c>
      <c r="G288" s="18" t="s">
        <v>2021</v>
      </c>
      <c r="H288" s="18" t="s">
        <v>159</v>
      </c>
      <c r="I288" s="18" t="s">
        <v>1357</v>
      </c>
      <c r="J288" s="18" t="s">
        <v>2022</v>
      </c>
      <c r="K288" s="18" t="s">
        <v>132</v>
      </c>
      <c r="L288" s="20" t="s">
        <v>2023</v>
      </c>
      <c r="M288" s="18" t="s">
        <v>75</v>
      </c>
      <c r="N288" s="20" t="s">
        <v>2024</v>
      </c>
      <c r="O288" s="18" t="s">
        <v>164</v>
      </c>
      <c r="P288" s="18" t="s">
        <v>78</v>
      </c>
      <c r="Q288" s="19">
        <v>44914</v>
      </c>
      <c r="R288" s="21">
        <v>11.42</v>
      </c>
      <c r="S288" s="18" t="s">
        <v>79</v>
      </c>
      <c r="T288" s="18" t="s">
        <v>174</v>
      </c>
      <c r="U288" s="18" t="s">
        <v>83</v>
      </c>
      <c r="V288" s="18" t="s">
        <v>95</v>
      </c>
      <c r="W288" s="18" t="s">
        <v>95</v>
      </c>
      <c r="X288" s="18" t="s">
        <v>118</v>
      </c>
      <c r="Y288" s="18" t="s">
        <v>85</v>
      </c>
      <c r="Z288" s="18" t="s">
        <v>86</v>
      </c>
      <c r="AA288" s="18" t="s">
        <v>119</v>
      </c>
      <c r="AB288" s="18" t="s">
        <v>630</v>
      </c>
      <c r="AC288" s="18" t="s">
        <v>631</v>
      </c>
      <c r="AD288" s="18" t="s">
        <v>85</v>
      </c>
      <c r="AE288" s="18" t="s">
        <v>90</v>
      </c>
      <c r="AF288" s="18" t="s">
        <v>177</v>
      </c>
      <c r="AG288" s="18" t="s">
        <v>139</v>
      </c>
      <c r="AH288" s="18" t="s">
        <v>165</v>
      </c>
      <c r="AI288" s="18" t="s">
        <v>94</v>
      </c>
      <c r="AJ288" s="19">
        <v>44903</v>
      </c>
      <c r="AK288" s="22" t="s">
        <v>95</v>
      </c>
      <c r="AL288" s="18" t="s">
        <v>95</v>
      </c>
      <c r="AM288" s="18" t="s">
        <v>95</v>
      </c>
      <c r="AN288" s="18" t="s">
        <v>95</v>
      </c>
      <c r="AO288" s="18" t="s">
        <v>95</v>
      </c>
      <c r="AP288" s="18" t="s">
        <v>95</v>
      </c>
      <c r="AQ288" s="18" t="s">
        <v>95</v>
      </c>
      <c r="AR288" s="18" t="s">
        <v>95</v>
      </c>
      <c r="AS288" s="18" t="s">
        <v>83</v>
      </c>
      <c r="AT288" s="18" t="s">
        <v>81</v>
      </c>
      <c r="AU288" s="18" t="s">
        <v>81</v>
      </c>
      <c r="AV288" s="18" t="s">
        <v>95</v>
      </c>
      <c r="AW288" s="18" t="s">
        <v>95</v>
      </c>
      <c r="AX288" s="18"/>
      <c r="AY288" s="18" t="str">
        <f>Pospago[[#This Row],[NUM_TELEFONICO]]&amp;"POSPAGOSI"</f>
        <v>983703500POSPAGOSI</v>
      </c>
      <c r="AZ288" s="18" t="str">
        <f>VLOOKUP(Pospago[[#This Row],[NOM_PLAZA_FINAL]],[1]!Locales[#Data],3,0)</f>
        <v>TIENDA RECREO</v>
      </c>
      <c r="BA288" s="18" t="str">
        <f>IFERROR(VLOOKUP(Pospago[[#This Row],[USUARIO]],[1]!Personal[#Data],6,0),"EJECUTIVO NO REGISTRADO")</f>
        <v>LOAYZA AGUILAR JONATHAN FABIAN</v>
      </c>
      <c r="BB288" s="18" t="str">
        <f>Pospago[[#This Row],[TIPO_MOVIMIENTO]]&amp;" "&amp;Pospago[[#This Row],[FORMA_PAGO_FINAL]]</f>
        <v>TRANSFERENCIAS PAGO EN CAJA</v>
      </c>
      <c r="BC288" s="18">
        <f>DAY(Pospago[[#This Row],[FECHA_ALTA]])</f>
        <v>8</v>
      </c>
      <c r="BD288" s="18">
        <f>IF(Pospago[[#This Row],[TARIFA_BASICA]]=11.42,1,0)</f>
        <v>1</v>
      </c>
      <c r="BE288" s="18">
        <f>IF(Pospago[[#This Row],[PLANES TELEVENTAS]]="SI",1,0)</f>
        <v>1</v>
      </c>
      <c r="BF288" s="18">
        <f>1</f>
        <v>1</v>
      </c>
      <c r="BG288" s="18">
        <f>IF(OR(Pospago[[#This Row],[TARIFA_BASICA]]=11.42,Pospago[[#This Row],[PLANES TELEVENTAS]]="SI"),1,0)</f>
        <v>1</v>
      </c>
      <c r="BH288" s="18" t="str">
        <f>IF(MID(Pospago[[#This Row],[PlanDesc]],1,4) = "PLAN","POSPAGO",IF(MID(Pospago[[#This Row],[PlanDesc]],1,4)="FULL","FULL MEGAS","PREVIOPAGO"))</f>
        <v>PREVIOPAGO</v>
      </c>
      <c r="BI2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2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88" s="21">
        <f>Pospago[[#This Row],[TARIFA_BASICA]]*1.5</f>
        <v>17.13</v>
      </c>
    </row>
    <row r="289" spans="1:63" x14ac:dyDescent="0.25">
      <c r="A289" s="18" t="s">
        <v>64</v>
      </c>
      <c r="B289" s="18" t="s">
        <v>2025</v>
      </c>
      <c r="C289" s="18" t="s">
        <v>2026</v>
      </c>
      <c r="D289" s="19">
        <v>44910</v>
      </c>
      <c r="E289" s="18" t="s">
        <v>67</v>
      </c>
      <c r="F289" s="18" t="s">
        <v>2027</v>
      </c>
      <c r="G289" s="18" t="s">
        <v>2028</v>
      </c>
      <c r="H289" s="18" t="s">
        <v>70</v>
      </c>
      <c r="I289" s="18" t="s">
        <v>71</v>
      </c>
      <c r="J289" s="18" t="s">
        <v>72</v>
      </c>
      <c r="K289" s="18" t="s">
        <v>73</v>
      </c>
      <c r="L289" s="20" t="s">
        <v>2029</v>
      </c>
      <c r="M289" s="18" t="s">
        <v>75</v>
      </c>
      <c r="N289" s="20" t="s">
        <v>2030</v>
      </c>
      <c r="O289" s="18" t="s">
        <v>77</v>
      </c>
      <c r="P289" s="18" t="s">
        <v>78</v>
      </c>
      <c r="Q289" s="19">
        <v>44914</v>
      </c>
      <c r="R289" s="21">
        <v>11.42</v>
      </c>
      <c r="S289" s="18" t="s">
        <v>79</v>
      </c>
      <c r="T289" s="18" t="s">
        <v>80</v>
      </c>
      <c r="U289" s="18" t="s">
        <v>83</v>
      </c>
      <c r="V289" s="18" t="s">
        <v>95</v>
      </c>
      <c r="W289" s="18" t="s">
        <v>83</v>
      </c>
      <c r="X289" s="18" t="s">
        <v>118</v>
      </c>
      <c r="Y289" s="18" t="s">
        <v>85</v>
      </c>
      <c r="Z289" s="18" t="s">
        <v>86</v>
      </c>
      <c r="AA289" s="18" t="s">
        <v>119</v>
      </c>
      <c r="AB289" s="18" t="s">
        <v>1020</v>
      </c>
      <c r="AC289" s="18" t="s">
        <v>1021</v>
      </c>
      <c r="AD289" s="18" t="s">
        <v>85</v>
      </c>
      <c r="AE289" s="18" t="s">
        <v>90</v>
      </c>
      <c r="AF289" s="18" t="s">
        <v>91</v>
      </c>
      <c r="AG289" s="18" t="s">
        <v>92</v>
      </c>
      <c r="AH289" s="18" t="s">
        <v>93</v>
      </c>
      <c r="AI289" s="18" t="s">
        <v>94</v>
      </c>
      <c r="AJ289" s="19">
        <v>44910</v>
      </c>
      <c r="AK289" s="22" t="s">
        <v>95</v>
      </c>
      <c r="AL289" s="18" t="s">
        <v>95</v>
      </c>
      <c r="AM289" s="18" t="s">
        <v>95</v>
      </c>
      <c r="AN289" s="18" t="s">
        <v>95</v>
      </c>
      <c r="AO289" s="18" t="s">
        <v>95</v>
      </c>
      <c r="AP289" s="18" t="s">
        <v>95</v>
      </c>
      <c r="AQ289" s="18" t="s">
        <v>95</v>
      </c>
      <c r="AR289" s="18" t="s">
        <v>95</v>
      </c>
      <c r="AS289" s="18" t="s">
        <v>83</v>
      </c>
      <c r="AT289" s="18" t="s">
        <v>83</v>
      </c>
      <c r="AU289" s="18" t="s">
        <v>81</v>
      </c>
      <c r="AV289" s="18" t="s">
        <v>95</v>
      </c>
      <c r="AW289" s="18" t="s">
        <v>95</v>
      </c>
      <c r="AX289" s="18"/>
      <c r="AY289" s="18" t="str">
        <f>Pospago[[#This Row],[NUM_TELEFONICO]]&amp;"POSPAGOSI"</f>
        <v>983709167POSPAGOSI</v>
      </c>
      <c r="AZ289" s="18" t="str">
        <f>VLOOKUP(Pospago[[#This Row],[NOM_PLAZA_FINAL]],[1]!Locales[#Data],3,0)</f>
        <v>TIENDA CUENCA CENTRO</v>
      </c>
      <c r="BA289" s="18" t="str">
        <f>IFERROR(VLOOKUP(Pospago[[#This Row],[USUARIO]],[1]!Personal[#Data],6,0),"EJECUTIVO NO REGISTRADO")</f>
        <v>GONZALES ALVARRACIN PAOLA YESSENIA</v>
      </c>
      <c r="BB289" s="18" t="str">
        <f>Pospago[[#This Row],[TIPO_MOVIMIENTO]]&amp;" "&amp;Pospago[[#This Row],[FORMA_PAGO_FINAL]]</f>
        <v>ALTAS PAGO EN CAJA</v>
      </c>
      <c r="BC289" s="18">
        <f>DAY(Pospago[[#This Row],[FECHA_ALTA]])</f>
        <v>15</v>
      </c>
      <c r="BD289" s="18">
        <f>IF(Pospago[[#This Row],[TARIFA_BASICA]]=11.42,1,0)</f>
        <v>1</v>
      </c>
      <c r="BE289" s="18">
        <f>IF(Pospago[[#This Row],[PLANES TELEVENTAS]]="SI",1,0)</f>
        <v>0</v>
      </c>
      <c r="BF289" s="18">
        <f>1</f>
        <v>1</v>
      </c>
      <c r="BG289" s="18">
        <f>IF(OR(Pospago[[#This Row],[TARIFA_BASICA]]=11.42,Pospago[[#This Row],[PLANES TELEVENTAS]]="SI"),1,0)</f>
        <v>1</v>
      </c>
      <c r="BH289" s="18" t="str">
        <f>IF(MID(Pospago[[#This Row],[PlanDesc]],1,4) = "PLAN","POSPAGO",IF(MID(Pospago[[#This Row],[PlanDesc]],1,4)="FULL","FULL MEGAS","PREVIOPAGO"))</f>
        <v>PREVIOPAGO</v>
      </c>
      <c r="BI2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2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89" s="21">
        <f>Pospago[[#This Row],[TARIFA_BASICA]]*1.5</f>
        <v>17.13</v>
      </c>
    </row>
    <row r="290" spans="1:63" x14ac:dyDescent="0.25">
      <c r="A290" s="18" t="s">
        <v>154</v>
      </c>
      <c r="B290" s="18" t="s">
        <v>2031</v>
      </c>
      <c r="C290" s="18" t="s">
        <v>2032</v>
      </c>
      <c r="D290" s="19">
        <v>44897</v>
      </c>
      <c r="E290" s="18" t="s">
        <v>67</v>
      </c>
      <c r="F290" s="18" t="s">
        <v>2033</v>
      </c>
      <c r="G290" s="18" t="s">
        <v>2034</v>
      </c>
      <c r="H290" s="18" t="s">
        <v>159</v>
      </c>
      <c r="I290" s="18" t="s">
        <v>160</v>
      </c>
      <c r="J290" s="18" t="s">
        <v>161</v>
      </c>
      <c r="K290" s="18" t="s">
        <v>132</v>
      </c>
      <c r="L290" s="20" t="s">
        <v>2035</v>
      </c>
      <c r="M290" s="18" t="s">
        <v>75</v>
      </c>
      <c r="N290" s="20" t="s">
        <v>2036</v>
      </c>
      <c r="O290" s="18" t="s">
        <v>164</v>
      </c>
      <c r="P290" s="18" t="s">
        <v>78</v>
      </c>
      <c r="Q290" s="19">
        <v>44914</v>
      </c>
      <c r="R290" s="21">
        <v>14.28</v>
      </c>
      <c r="S290" s="18" t="s">
        <v>79</v>
      </c>
      <c r="T290" s="18" t="s">
        <v>135</v>
      </c>
      <c r="U290" s="18" t="s">
        <v>83</v>
      </c>
      <c r="V290" s="18" t="s">
        <v>95</v>
      </c>
      <c r="W290" s="18" t="s">
        <v>95</v>
      </c>
      <c r="X290" s="18" t="s">
        <v>84</v>
      </c>
      <c r="Y290" s="18" t="s">
        <v>85</v>
      </c>
      <c r="Z290" s="18" t="s">
        <v>86</v>
      </c>
      <c r="AA290" s="18" t="s">
        <v>87</v>
      </c>
      <c r="AB290" s="18" t="s">
        <v>665</v>
      </c>
      <c r="AC290" s="18" t="s">
        <v>666</v>
      </c>
      <c r="AD290" s="18" t="s">
        <v>85</v>
      </c>
      <c r="AE290" s="18" t="s">
        <v>90</v>
      </c>
      <c r="AF290" s="18" t="s">
        <v>138</v>
      </c>
      <c r="AG290" s="18" t="s">
        <v>139</v>
      </c>
      <c r="AH290" s="18" t="s">
        <v>165</v>
      </c>
      <c r="AI290" s="18" t="s">
        <v>94</v>
      </c>
      <c r="AJ290" s="19">
        <v>44897</v>
      </c>
      <c r="AK290" s="22" t="s">
        <v>95</v>
      </c>
      <c r="AL290" s="18" t="s">
        <v>95</v>
      </c>
      <c r="AM290" s="18" t="s">
        <v>95</v>
      </c>
      <c r="AN290" s="18" t="s">
        <v>95</v>
      </c>
      <c r="AO290" s="18" t="s">
        <v>95</v>
      </c>
      <c r="AP290" s="18" t="s">
        <v>95</v>
      </c>
      <c r="AQ290" s="18" t="s">
        <v>95</v>
      </c>
      <c r="AR290" s="18" t="s">
        <v>95</v>
      </c>
      <c r="AS290" s="18" t="s">
        <v>83</v>
      </c>
      <c r="AT290" s="18" t="s">
        <v>83</v>
      </c>
      <c r="AU290" s="18" t="s">
        <v>81</v>
      </c>
      <c r="AV290" s="18" t="s">
        <v>95</v>
      </c>
      <c r="AW290" s="18" t="s">
        <v>95</v>
      </c>
      <c r="AX290" s="18"/>
      <c r="AY290" s="18" t="str">
        <f>Pospago[[#This Row],[NUM_TELEFONICO]]&amp;"POSPAGOSI"</f>
        <v>983716112POSPAGOSI</v>
      </c>
      <c r="AZ290" s="18" t="str">
        <f>VLOOKUP(Pospago[[#This Row],[NOM_PLAZA_FINAL]],[1]!Locales[#Data],3,0)</f>
        <v>TIENDA AMERICA</v>
      </c>
      <c r="BA290" s="18" t="str">
        <f>IFERROR(VLOOKUP(Pospago[[#This Row],[USUARIO]],[1]!Personal[#Data],6,0),"EJECUTIVO NO REGISTRADO")</f>
        <v>ROSERO CAICEDO JAIRO STEFANO</v>
      </c>
      <c r="BB290" s="18" t="str">
        <f>Pospago[[#This Row],[TIPO_MOVIMIENTO]]&amp;" "&amp;Pospago[[#This Row],[FORMA_PAGO_FINAL]]</f>
        <v>TRANSFERENCIAS DOMICILIADO</v>
      </c>
      <c r="BC290" s="18">
        <f>DAY(Pospago[[#This Row],[FECHA_ALTA]])</f>
        <v>2</v>
      </c>
      <c r="BD290" s="18">
        <f>IF(Pospago[[#This Row],[TARIFA_BASICA]]=11.42,1,0)</f>
        <v>0</v>
      </c>
      <c r="BE290" s="18">
        <f>IF(Pospago[[#This Row],[PLANES TELEVENTAS]]="SI",1,0)</f>
        <v>0</v>
      </c>
      <c r="BF290" s="18">
        <f>1</f>
        <v>1</v>
      </c>
      <c r="BG290" s="18">
        <f>IF(OR(Pospago[[#This Row],[TARIFA_BASICA]]=11.42,Pospago[[#This Row],[PLANES TELEVENTAS]]="SI"),1,0)</f>
        <v>0</v>
      </c>
      <c r="BH290" s="18" t="str">
        <f>IF(MID(Pospago[[#This Row],[PlanDesc]],1,4) = "PLAN","POSPAGO",IF(MID(Pospago[[#This Row],[PlanDesc]],1,4)="FULL","FULL MEGAS","PREVIOPAGO"))</f>
        <v>PREVIOPAGO</v>
      </c>
      <c r="BI2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90" s="21">
        <f>Pospago[[#This Row],[TARIFA_BASICA]]*1.5</f>
        <v>21.419999999999998</v>
      </c>
    </row>
    <row r="291" spans="1:63" x14ac:dyDescent="0.25">
      <c r="A291" s="18" t="s">
        <v>64</v>
      </c>
      <c r="B291" s="18" t="s">
        <v>2037</v>
      </c>
      <c r="C291" s="18" t="s">
        <v>2038</v>
      </c>
      <c r="D291" s="19">
        <v>44903</v>
      </c>
      <c r="E291" s="18" t="s">
        <v>67</v>
      </c>
      <c r="F291" s="18" t="s">
        <v>2039</v>
      </c>
      <c r="G291" s="18" t="s">
        <v>2040</v>
      </c>
      <c r="H291" s="18" t="s">
        <v>70</v>
      </c>
      <c r="I291" s="18" t="s">
        <v>194</v>
      </c>
      <c r="J291" s="18" t="s">
        <v>195</v>
      </c>
      <c r="K291" s="18" t="s">
        <v>132</v>
      </c>
      <c r="L291" s="20" t="s">
        <v>2041</v>
      </c>
      <c r="M291" s="18" t="s">
        <v>75</v>
      </c>
      <c r="N291" s="20" t="s">
        <v>2042</v>
      </c>
      <c r="O291" s="18" t="s">
        <v>77</v>
      </c>
      <c r="P291" s="18" t="s">
        <v>78</v>
      </c>
      <c r="Q291" s="19">
        <v>44914</v>
      </c>
      <c r="R291" s="21">
        <v>14.28</v>
      </c>
      <c r="S291" s="18" t="s">
        <v>79</v>
      </c>
      <c r="T291" s="18" t="s">
        <v>232</v>
      </c>
      <c r="U291" s="18" t="s">
        <v>83</v>
      </c>
      <c r="V291" s="18" t="s">
        <v>95</v>
      </c>
      <c r="W291" s="18" t="s">
        <v>83</v>
      </c>
      <c r="X291" s="18" t="s">
        <v>84</v>
      </c>
      <c r="Y291" s="18" t="s">
        <v>85</v>
      </c>
      <c r="Z291" s="18" t="s">
        <v>86</v>
      </c>
      <c r="AA291" s="18" t="s">
        <v>87</v>
      </c>
      <c r="AB291" s="18" t="s">
        <v>412</v>
      </c>
      <c r="AC291" s="18" t="s">
        <v>413</v>
      </c>
      <c r="AD291" s="18" t="s">
        <v>85</v>
      </c>
      <c r="AE291" s="18" t="s">
        <v>90</v>
      </c>
      <c r="AF291" s="18" t="s">
        <v>235</v>
      </c>
      <c r="AG291" s="18" t="s">
        <v>139</v>
      </c>
      <c r="AH291" s="18" t="s">
        <v>93</v>
      </c>
      <c r="AI291" s="18" t="s">
        <v>94</v>
      </c>
      <c r="AJ291" s="19">
        <v>44903</v>
      </c>
      <c r="AK291" s="22" t="s">
        <v>95</v>
      </c>
      <c r="AL291" s="18" t="s">
        <v>95</v>
      </c>
      <c r="AM291" s="18" t="s">
        <v>95</v>
      </c>
      <c r="AN291" s="18" t="s">
        <v>95</v>
      </c>
      <c r="AO291" s="18" t="s">
        <v>95</v>
      </c>
      <c r="AP291" s="18" t="s">
        <v>95</v>
      </c>
      <c r="AQ291" s="18" t="s">
        <v>95</v>
      </c>
      <c r="AR291" s="18" t="s">
        <v>95</v>
      </c>
      <c r="AS291" s="18" t="s">
        <v>83</v>
      </c>
      <c r="AT291" s="18" t="s">
        <v>81</v>
      </c>
      <c r="AU291" s="18" t="s">
        <v>81</v>
      </c>
      <c r="AV291" s="18" t="s">
        <v>95</v>
      </c>
      <c r="AW291" s="18" t="s">
        <v>95</v>
      </c>
      <c r="AX291" s="18"/>
      <c r="AY291" s="18" t="str">
        <f>Pospago[[#This Row],[NUM_TELEFONICO]]&amp;"POSPAGOSI"</f>
        <v>983722025POSPAGOSI</v>
      </c>
      <c r="AZ291" s="18" t="str">
        <f>VLOOKUP(Pospago[[#This Row],[NOM_PLAZA_FINAL]],[1]!Locales[#Data],3,0)</f>
        <v>TIENDA CONDADO</v>
      </c>
      <c r="BA291" s="18" t="str">
        <f>IFERROR(VLOOKUP(Pospago[[#This Row],[USUARIO]],[1]!Personal[#Data],6,0),"EJECUTIVO NO REGISTRADO")</f>
        <v>PADILLA MALDONADO HENRY LEOPOLDO</v>
      </c>
      <c r="BB291" s="18" t="str">
        <f>Pospago[[#This Row],[TIPO_MOVIMIENTO]]&amp;" "&amp;Pospago[[#This Row],[FORMA_PAGO_FINAL]]</f>
        <v>ALTAS DOMICILIADO</v>
      </c>
      <c r="BC291" s="18">
        <f>DAY(Pospago[[#This Row],[FECHA_ALTA]])</f>
        <v>8</v>
      </c>
      <c r="BD291" s="18">
        <f>IF(Pospago[[#This Row],[TARIFA_BASICA]]=11.42,1,0)</f>
        <v>0</v>
      </c>
      <c r="BE291" s="18">
        <f>IF(Pospago[[#This Row],[PLANES TELEVENTAS]]="SI",1,0)</f>
        <v>1</v>
      </c>
      <c r="BF291" s="18">
        <f>1</f>
        <v>1</v>
      </c>
      <c r="BG291" s="18">
        <f>IF(OR(Pospago[[#This Row],[TARIFA_BASICA]]=11.42,Pospago[[#This Row],[PLANES TELEVENTAS]]="SI"),1,0)</f>
        <v>1</v>
      </c>
      <c r="BH291" s="18" t="str">
        <f>IF(MID(Pospago[[#This Row],[PlanDesc]],1,4) = "PLAN","POSPAGO",IF(MID(Pospago[[#This Row],[PlanDesc]],1,4)="FULL","FULL MEGAS","PREVIOPAGO"))</f>
        <v>PREVIOPAGO</v>
      </c>
      <c r="BI2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91" s="21">
        <f>Pospago[[#This Row],[TARIFA_BASICA]]*1.5</f>
        <v>21.419999999999998</v>
      </c>
    </row>
    <row r="292" spans="1:63" x14ac:dyDescent="0.25">
      <c r="A292" s="18" t="s">
        <v>154</v>
      </c>
      <c r="B292" s="18" t="s">
        <v>2043</v>
      </c>
      <c r="C292" s="18" t="s">
        <v>2044</v>
      </c>
      <c r="D292" s="19">
        <v>44902</v>
      </c>
      <c r="E292" s="18" t="s">
        <v>67</v>
      </c>
      <c r="F292" s="18" t="s">
        <v>2045</v>
      </c>
      <c r="G292" s="18" t="s">
        <v>2046</v>
      </c>
      <c r="H292" s="18" t="s">
        <v>159</v>
      </c>
      <c r="I292" s="18" t="s">
        <v>71</v>
      </c>
      <c r="J292" s="18" t="s">
        <v>258</v>
      </c>
      <c r="K292" s="18" t="s">
        <v>132</v>
      </c>
      <c r="L292" s="20" t="s">
        <v>2047</v>
      </c>
      <c r="M292" s="18" t="s">
        <v>75</v>
      </c>
      <c r="N292" s="20" t="s">
        <v>2048</v>
      </c>
      <c r="O292" s="18" t="s">
        <v>164</v>
      </c>
      <c r="P292" s="18" t="s">
        <v>78</v>
      </c>
      <c r="Q292" s="19">
        <v>44914</v>
      </c>
      <c r="R292" s="21">
        <v>11.42</v>
      </c>
      <c r="S292" s="18" t="s">
        <v>79</v>
      </c>
      <c r="T292" s="18" t="s">
        <v>80</v>
      </c>
      <c r="U292" s="18" t="s">
        <v>83</v>
      </c>
      <c r="V292" s="18" t="s">
        <v>95</v>
      </c>
      <c r="W292" s="18" t="s">
        <v>95</v>
      </c>
      <c r="X292" s="18" t="s">
        <v>118</v>
      </c>
      <c r="Y292" s="18" t="s">
        <v>85</v>
      </c>
      <c r="Z292" s="18" t="s">
        <v>86</v>
      </c>
      <c r="AA292" s="18" t="s">
        <v>119</v>
      </c>
      <c r="AB292" s="18" t="s">
        <v>242</v>
      </c>
      <c r="AC292" s="18" t="s">
        <v>243</v>
      </c>
      <c r="AD292" s="18" t="s">
        <v>85</v>
      </c>
      <c r="AE292" s="18" t="s">
        <v>90</v>
      </c>
      <c r="AF292" s="18" t="s">
        <v>91</v>
      </c>
      <c r="AG292" s="18" t="s">
        <v>92</v>
      </c>
      <c r="AH292" s="18" t="s">
        <v>165</v>
      </c>
      <c r="AI292" s="18" t="s">
        <v>94</v>
      </c>
      <c r="AJ292" s="19">
        <v>44902</v>
      </c>
      <c r="AK292" s="22" t="s">
        <v>95</v>
      </c>
      <c r="AL292" s="18" t="s">
        <v>95</v>
      </c>
      <c r="AM292" s="18" t="s">
        <v>95</v>
      </c>
      <c r="AN292" s="18" t="s">
        <v>95</v>
      </c>
      <c r="AO292" s="18" t="s">
        <v>95</v>
      </c>
      <c r="AP292" s="18" t="s">
        <v>95</v>
      </c>
      <c r="AQ292" s="18" t="s">
        <v>95</v>
      </c>
      <c r="AR292" s="18" t="s">
        <v>95</v>
      </c>
      <c r="AS292" s="18" t="s">
        <v>83</v>
      </c>
      <c r="AT292" s="18" t="s">
        <v>83</v>
      </c>
      <c r="AU292" s="18" t="s">
        <v>81</v>
      </c>
      <c r="AV292" s="18" t="s">
        <v>95</v>
      </c>
      <c r="AW292" s="18" t="s">
        <v>95</v>
      </c>
      <c r="AX292" s="18"/>
      <c r="AY292" s="18" t="str">
        <f>Pospago[[#This Row],[NUM_TELEFONICO]]&amp;"POSPAGOSI"</f>
        <v>983756491POSPAGOSI</v>
      </c>
      <c r="AZ292" s="18" t="str">
        <f>VLOOKUP(Pospago[[#This Row],[NOM_PLAZA_FINAL]],[1]!Locales[#Data],3,0)</f>
        <v>TIENDA CUENCA CENTRO</v>
      </c>
      <c r="BA292" s="18" t="str">
        <f>IFERROR(VLOOKUP(Pospago[[#This Row],[USUARIO]],[1]!Personal[#Data],6,0),"EJECUTIVO NO REGISTRADO")</f>
        <v>VALLEJO DELEG ROMAN NICOLAS</v>
      </c>
      <c r="BB292" s="18" t="str">
        <f>Pospago[[#This Row],[TIPO_MOVIMIENTO]]&amp;" "&amp;Pospago[[#This Row],[FORMA_PAGO_FINAL]]</f>
        <v>TRANSFERENCIAS PAGO EN CAJA</v>
      </c>
      <c r="BC292" s="18">
        <f>DAY(Pospago[[#This Row],[FECHA_ALTA]])</f>
        <v>7</v>
      </c>
      <c r="BD292" s="18">
        <f>IF(Pospago[[#This Row],[TARIFA_BASICA]]=11.42,1,0)</f>
        <v>1</v>
      </c>
      <c r="BE292" s="18">
        <f>IF(Pospago[[#This Row],[PLANES TELEVENTAS]]="SI",1,0)</f>
        <v>0</v>
      </c>
      <c r="BF292" s="18">
        <f>1</f>
        <v>1</v>
      </c>
      <c r="BG292" s="18">
        <f>IF(OR(Pospago[[#This Row],[TARIFA_BASICA]]=11.42,Pospago[[#This Row],[PLANES TELEVENTAS]]="SI"),1,0)</f>
        <v>1</v>
      </c>
      <c r="BH292" s="18" t="str">
        <f>IF(MID(Pospago[[#This Row],[PlanDesc]],1,4) = "PLAN","POSPAGO",IF(MID(Pospago[[#This Row],[PlanDesc]],1,4)="FULL","FULL MEGAS","PREVIOPAGO"))</f>
        <v>PREVIOPAGO</v>
      </c>
      <c r="BI2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2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92" s="21">
        <f>Pospago[[#This Row],[TARIFA_BASICA]]*1.5</f>
        <v>17.13</v>
      </c>
    </row>
    <row r="293" spans="1:63" x14ac:dyDescent="0.25">
      <c r="A293" s="18" t="s">
        <v>154</v>
      </c>
      <c r="B293" s="18" t="s">
        <v>2049</v>
      </c>
      <c r="C293" s="18" t="s">
        <v>2050</v>
      </c>
      <c r="D293" s="19">
        <v>44906</v>
      </c>
      <c r="E293" s="18" t="s">
        <v>67</v>
      </c>
      <c r="F293" s="18" t="s">
        <v>2051</v>
      </c>
      <c r="G293" s="18" t="s">
        <v>2052</v>
      </c>
      <c r="H293" s="18" t="s">
        <v>159</v>
      </c>
      <c r="I293" s="18" t="s">
        <v>160</v>
      </c>
      <c r="J293" s="18" t="s">
        <v>161</v>
      </c>
      <c r="K293" s="18" t="s">
        <v>259</v>
      </c>
      <c r="L293" s="20" t="s">
        <v>2053</v>
      </c>
      <c r="M293" s="18" t="s">
        <v>75</v>
      </c>
      <c r="N293" s="20" t="s">
        <v>2054</v>
      </c>
      <c r="O293" s="18" t="s">
        <v>164</v>
      </c>
      <c r="P293" s="18" t="s">
        <v>78</v>
      </c>
      <c r="Q293" s="19">
        <v>44914</v>
      </c>
      <c r="R293" s="21">
        <v>14.28</v>
      </c>
      <c r="S293" s="18" t="s">
        <v>79</v>
      </c>
      <c r="T293" s="18" t="s">
        <v>174</v>
      </c>
      <c r="U293" s="18" t="s">
        <v>83</v>
      </c>
      <c r="V293" s="18" t="s">
        <v>95</v>
      </c>
      <c r="W293" s="18" t="s">
        <v>95</v>
      </c>
      <c r="X293" s="18" t="s">
        <v>84</v>
      </c>
      <c r="Y293" s="18" t="s">
        <v>85</v>
      </c>
      <c r="Z293" s="18" t="s">
        <v>86</v>
      </c>
      <c r="AA293" s="18" t="s">
        <v>87</v>
      </c>
      <c r="AB293" s="18" t="s">
        <v>822</v>
      </c>
      <c r="AC293" s="18" t="s">
        <v>823</v>
      </c>
      <c r="AD293" s="18" t="s">
        <v>85</v>
      </c>
      <c r="AE293" s="18" t="s">
        <v>90</v>
      </c>
      <c r="AF293" s="18" t="s">
        <v>177</v>
      </c>
      <c r="AG293" s="18" t="s">
        <v>139</v>
      </c>
      <c r="AH293" s="18" t="s">
        <v>165</v>
      </c>
      <c r="AI293" s="18" t="s">
        <v>94</v>
      </c>
      <c r="AJ293" s="19">
        <v>44906</v>
      </c>
      <c r="AK293" s="22" t="s">
        <v>95</v>
      </c>
      <c r="AL293" s="18" t="s">
        <v>95</v>
      </c>
      <c r="AM293" s="18" t="s">
        <v>95</v>
      </c>
      <c r="AN293" s="18" t="s">
        <v>95</v>
      </c>
      <c r="AO293" s="18" t="s">
        <v>95</v>
      </c>
      <c r="AP293" s="18" t="s">
        <v>95</v>
      </c>
      <c r="AQ293" s="18" t="s">
        <v>95</v>
      </c>
      <c r="AR293" s="18" t="s">
        <v>95</v>
      </c>
      <c r="AS293" s="18" t="s">
        <v>83</v>
      </c>
      <c r="AT293" s="18" t="s">
        <v>83</v>
      </c>
      <c r="AU293" s="18" t="s">
        <v>81</v>
      </c>
      <c r="AV293" s="18" t="s">
        <v>95</v>
      </c>
      <c r="AW293" s="18" t="s">
        <v>95</v>
      </c>
      <c r="AX293" s="18"/>
      <c r="AY293" s="18" t="str">
        <f>Pospago[[#This Row],[NUM_TELEFONICO]]&amp;"POSPAGOSI"</f>
        <v>983756621POSPAGOSI</v>
      </c>
      <c r="AZ293" s="18" t="str">
        <f>VLOOKUP(Pospago[[#This Row],[NOM_PLAZA_FINAL]],[1]!Locales[#Data],3,0)</f>
        <v>TIENDA RECREO</v>
      </c>
      <c r="BA293" s="18" t="str">
        <f>IFERROR(VLOOKUP(Pospago[[#This Row],[USUARIO]],[1]!Personal[#Data],6,0),"EJECUTIVO NO REGISTRADO")</f>
        <v>SALAS PARRA MARIA JOSE</v>
      </c>
      <c r="BB293" s="18" t="str">
        <f>Pospago[[#This Row],[TIPO_MOVIMIENTO]]&amp;" "&amp;Pospago[[#This Row],[FORMA_PAGO_FINAL]]</f>
        <v>TRANSFERENCIAS DOMICILIADO</v>
      </c>
      <c r="BC293" s="18">
        <f>DAY(Pospago[[#This Row],[FECHA_ALTA]])</f>
        <v>11</v>
      </c>
      <c r="BD293" s="18">
        <f>IF(Pospago[[#This Row],[TARIFA_BASICA]]=11.42,1,0)</f>
        <v>0</v>
      </c>
      <c r="BE293" s="18">
        <f>IF(Pospago[[#This Row],[PLANES TELEVENTAS]]="SI",1,0)</f>
        <v>0</v>
      </c>
      <c r="BF293" s="18">
        <f>1</f>
        <v>1</v>
      </c>
      <c r="BG293" s="18">
        <f>IF(OR(Pospago[[#This Row],[TARIFA_BASICA]]=11.42,Pospago[[#This Row],[PLANES TELEVENTAS]]="SI"),1,0)</f>
        <v>0</v>
      </c>
      <c r="BH293" s="18" t="str">
        <f>IF(MID(Pospago[[#This Row],[PlanDesc]],1,4) = "PLAN","POSPAGO",IF(MID(Pospago[[#This Row],[PlanDesc]],1,4)="FULL","FULL MEGAS","PREVIOPAGO"))</f>
        <v>PREVIOPAGO</v>
      </c>
      <c r="BI2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2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93" s="21">
        <f>Pospago[[#This Row],[TARIFA_BASICA]]*1.5</f>
        <v>21.419999999999998</v>
      </c>
    </row>
    <row r="294" spans="1:63" x14ac:dyDescent="0.25">
      <c r="A294" s="18" t="s">
        <v>64</v>
      </c>
      <c r="B294" s="18" t="s">
        <v>2055</v>
      </c>
      <c r="C294" s="18" t="s">
        <v>2056</v>
      </c>
      <c r="D294" s="19">
        <v>44911</v>
      </c>
      <c r="E294" s="18" t="s">
        <v>67</v>
      </c>
      <c r="F294" s="18" t="s">
        <v>2057</v>
      </c>
      <c r="G294" s="18" t="s">
        <v>2058</v>
      </c>
      <c r="H294" s="18" t="s">
        <v>70</v>
      </c>
      <c r="I294" s="18" t="s">
        <v>194</v>
      </c>
      <c r="J294" s="18" t="s">
        <v>195</v>
      </c>
      <c r="K294" s="18" t="s">
        <v>132</v>
      </c>
      <c r="L294" s="20" t="s">
        <v>2059</v>
      </c>
      <c r="M294" s="18" t="s">
        <v>75</v>
      </c>
      <c r="N294" s="20" t="s">
        <v>2060</v>
      </c>
      <c r="O294" s="18" t="s">
        <v>77</v>
      </c>
      <c r="P294" s="18" t="s">
        <v>78</v>
      </c>
      <c r="Q294" s="19">
        <v>44914</v>
      </c>
      <c r="R294" s="21">
        <v>14.28</v>
      </c>
      <c r="S294" s="18" t="s">
        <v>79</v>
      </c>
      <c r="T294" s="18" t="s">
        <v>135</v>
      </c>
      <c r="U294" s="18" t="s">
        <v>83</v>
      </c>
      <c r="V294" s="18" t="s">
        <v>95</v>
      </c>
      <c r="W294" s="18" t="s">
        <v>83</v>
      </c>
      <c r="X294" s="18" t="s">
        <v>84</v>
      </c>
      <c r="Y294" s="18" t="s">
        <v>85</v>
      </c>
      <c r="Z294" s="18" t="s">
        <v>86</v>
      </c>
      <c r="AA294" s="18" t="s">
        <v>87</v>
      </c>
      <c r="AB294" s="18" t="s">
        <v>326</v>
      </c>
      <c r="AC294" s="18" t="s">
        <v>327</v>
      </c>
      <c r="AD294" s="18" t="s">
        <v>85</v>
      </c>
      <c r="AE294" s="18" t="s">
        <v>90</v>
      </c>
      <c r="AF294" s="18" t="s">
        <v>138</v>
      </c>
      <c r="AG294" s="18" t="s">
        <v>139</v>
      </c>
      <c r="AH294" s="18" t="s">
        <v>93</v>
      </c>
      <c r="AI294" s="18" t="s">
        <v>94</v>
      </c>
      <c r="AJ294" s="19">
        <v>44911</v>
      </c>
      <c r="AK294" s="22" t="s">
        <v>95</v>
      </c>
      <c r="AL294" s="18" t="s">
        <v>95</v>
      </c>
      <c r="AM294" s="18" t="s">
        <v>95</v>
      </c>
      <c r="AN294" s="18" t="s">
        <v>95</v>
      </c>
      <c r="AO294" s="18" t="s">
        <v>95</v>
      </c>
      <c r="AP294" s="18" t="s">
        <v>95</v>
      </c>
      <c r="AQ294" s="18" t="s">
        <v>95</v>
      </c>
      <c r="AR294" s="18" t="s">
        <v>95</v>
      </c>
      <c r="AS294" s="18" t="s">
        <v>83</v>
      </c>
      <c r="AT294" s="18" t="s">
        <v>81</v>
      </c>
      <c r="AU294" s="18" t="s">
        <v>81</v>
      </c>
      <c r="AV294" s="18" t="s">
        <v>95</v>
      </c>
      <c r="AW294" s="18" t="s">
        <v>95</v>
      </c>
      <c r="AX294" s="18"/>
      <c r="AY294" s="18" t="str">
        <f>Pospago[[#This Row],[NUM_TELEFONICO]]&amp;"POSPAGOSI"</f>
        <v>983764201POSPAGOSI</v>
      </c>
      <c r="AZ294" s="18" t="str">
        <f>VLOOKUP(Pospago[[#This Row],[NOM_PLAZA_FINAL]],[1]!Locales[#Data],3,0)</f>
        <v>TIENDA AMERICA</v>
      </c>
      <c r="BA294" s="18" t="str">
        <f>IFERROR(VLOOKUP(Pospago[[#This Row],[USUARIO]],[1]!Personal[#Data],6,0),"EJECUTIVO NO REGISTRADO")</f>
        <v>AMBULUDI ROLDAN GIANELLA GRIMANEZA</v>
      </c>
      <c r="BB294" s="18" t="str">
        <f>Pospago[[#This Row],[TIPO_MOVIMIENTO]]&amp;" "&amp;Pospago[[#This Row],[FORMA_PAGO_FINAL]]</f>
        <v>ALTAS DOMICILIADO</v>
      </c>
      <c r="BC294" s="18">
        <f>DAY(Pospago[[#This Row],[FECHA_ALTA]])</f>
        <v>16</v>
      </c>
      <c r="BD294" s="18">
        <f>IF(Pospago[[#This Row],[TARIFA_BASICA]]=11.42,1,0)</f>
        <v>0</v>
      </c>
      <c r="BE294" s="18">
        <f>IF(Pospago[[#This Row],[PLANES TELEVENTAS]]="SI",1,0)</f>
        <v>1</v>
      </c>
      <c r="BF294" s="18">
        <f>1</f>
        <v>1</v>
      </c>
      <c r="BG294" s="18">
        <f>IF(OR(Pospago[[#This Row],[TARIFA_BASICA]]=11.42,Pospago[[#This Row],[PLANES TELEVENTAS]]="SI"),1,0)</f>
        <v>1</v>
      </c>
      <c r="BH294" s="18" t="str">
        <f>IF(MID(Pospago[[#This Row],[PlanDesc]],1,4) = "PLAN","POSPAGO",IF(MID(Pospago[[#This Row],[PlanDesc]],1,4)="FULL","FULL MEGAS","PREVIOPAGO"))</f>
        <v>PREVIOPAGO</v>
      </c>
      <c r="BI2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2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94" s="21">
        <f>Pospago[[#This Row],[TARIFA_BASICA]]*1.5</f>
        <v>21.419999999999998</v>
      </c>
    </row>
    <row r="295" spans="1:63" x14ac:dyDescent="0.25">
      <c r="A295" s="18" t="s">
        <v>64</v>
      </c>
      <c r="B295" s="18" t="s">
        <v>2061</v>
      </c>
      <c r="C295" s="18" t="s">
        <v>2062</v>
      </c>
      <c r="D295" s="19">
        <v>44902</v>
      </c>
      <c r="E295" s="18" t="s">
        <v>67</v>
      </c>
      <c r="F295" s="18" t="s">
        <v>2063</v>
      </c>
      <c r="G295" s="18" t="s">
        <v>2064</v>
      </c>
      <c r="H295" s="18" t="s">
        <v>70</v>
      </c>
      <c r="I295" s="18" t="s">
        <v>112</v>
      </c>
      <c r="J295" s="18" t="s">
        <v>113</v>
      </c>
      <c r="K295" s="18" t="s">
        <v>73</v>
      </c>
      <c r="L295" s="20" t="s">
        <v>2065</v>
      </c>
      <c r="M295" s="18" t="s">
        <v>287</v>
      </c>
      <c r="N295" s="20" t="s">
        <v>2066</v>
      </c>
      <c r="O295" s="18" t="s">
        <v>77</v>
      </c>
      <c r="P295" s="18" t="s">
        <v>78</v>
      </c>
      <c r="Q295" s="19">
        <v>44914</v>
      </c>
      <c r="R295" s="21">
        <v>17.850000000000001</v>
      </c>
      <c r="S295" s="18" t="s">
        <v>79</v>
      </c>
      <c r="T295" s="18" t="s">
        <v>80</v>
      </c>
      <c r="U295" s="18" t="s">
        <v>83</v>
      </c>
      <c r="V295" s="18" t="s">
        <v>95</v>
      </c>
      <c r="W295" s="18" t="s">
        <v>83</v>
      </c>
      <c r="X295" s="18" t="s">
        <v>215</v>
      </c>
      <c r="Y295" s="18" t="s">
        <v>85</v>
      </c>
      <c r="Z295" s="18" t="s">
        <v>86</v>
      </c>
      <c r="AA295" s="18" t="s">
        <v>87</v>
      </c>
      <c r="AB295" s="18" t="s">
        <v>289</v>
      </c>
      <c r="AC295" s="18" t="s">
        <v>290</v>
      </c>
      <c r="AD295" s="18" t="s">
        <v>85</v>
      </c>
      <c r="AE295" s="18" t="s">
        <v>90</v>
      </c>
      <c r="AF295" s="18" t="s">
        <v>91</v>
      </c>
      <c r="AG295" s="18" t="s">
        <v>92</v>
      </c>
      <c r="AH295" s="18" t="s">
        <v>93</v>
      </c>
      <c r="AI295" s="18" t="s">
        <v>94</v>
      </c>
      <c r="AJ295" s="19">
        <v>44902</v>
      </c>
      <c r="AK295" s="22">
        <v>44902</v>
      </c>
      <c r="AL295" s="18" t="s">
        <v>291</v>
      </c>
      <c r="AM295" s="18" t="s">
        <v>292</v>
      </c>
      <c r="AN295" s="18" t="s">
        <v>494</v>
      </c>
      <c r="AO295" s="18" t="s">
        <v>543</v>
      </c>
      <c r="AP295" s="18">
        <v>1</v>
      </c>
      <c r="AQ295" s="18">
        <v>156.25</v>
      </c>
      <c r="AR295" s="18" t="s">
        <v>496</v>
      </c>
      <c r="AS295" s="18" t="s">
        <v>81</v>
      </c>
      <c r="AT295" s="18" t="s">
        <v>83</v>
      </c>
      <c r="AU295" s="18" t="s">
        <v>81</v>
      </c>
      <c r="AV295" s="18" t="s">
        <v>95</v>
      </c>
      <c r="AW295" s="18" t="s">
        <v>95</v>
      </c>
      <c r="AX295" s="18"/>
      <c r="AY295" s="18" t="str">
        <f>Pospago[[#This Row],[NUM_TELEFONICO]]&amp;"POSPAGOSI"</f>
        <v>983776948POSPAGOSI</v>
      </c>
      <c r="AZ295" s="18" t="str">
        <f>VLOOKUP(Pospago[[#This Row],[NOM_PLAZA_FINAL]],[1]!Locales[#Data],3,0)</f>
        <v>TIENDA CUENCA CENTRO</v>
      </c>
      <c r="BA295" s="18" t="str">
        <f>IFERROR(VLOOKUP(Pospago[[#This Row],[USUARIO]],[1]!Personal[#Data],6,0),"EJECUTIVO NO REGISTRADO")</f>
        <v>CALLE CHACA JORGE VINICIO</v>
      </c>
      <c r="BB295" s="18" t="str">
        <f>Pospago[[#This Row],[TIPO_MOVIMIENTO]]&amp;" "&amp;Pospago[[#This Row],[FORMA_PAGO_FINAL]]</f>
        <v>ALTAS DOMICILIADO</v>
      </c>
      <c r="BC295" s="18">
        <f>DAY(Pospago[[#This Row],[FECHA_ALTA]])</f>
        <v>7</v>
      </c>
      <c r="BD295" s="18">
        <f>IF(Pospago[[#This Row],[TARIFA_BASICA]]=11.42,1,0)</f>
        <v>0</v>
      </c>
      <c r="BE295" s="18">
        <f>IF(Pospago[[#This Row],[PLANES TELEVENTAS]]="SI",1,0)</f>
        <v>0</v>
      </c>
      <c r="BF295" s="18">
        <f>1</f>
        <v>1</v>
      </c>
      <c r="BG295" s="18">
        <f>IF(OR(Pospago[[#This Row],[TARIFA_BASICA]]=11.42,Pospago[[#This Row],[PLANES TELEVENTAS]]="SI"),1,0)</f>
        <v>0</v>
      </c>
      <c r="BH295" s="18" t="str">
        <f>IF(MID(Pospago[[#This Row],[PlanDesc]],1,4) = "PLAN","POSPAGO",IF(MID(Pospago[[#This Row],[PlanDesc]],1,4)="FULL","FULL MEGAS","PREVIOPAGO"))</f>
        <v>PREVIOPAGO</v>
      </c>
      <c r="BI2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2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95" s="21">
        <f>Pospago[[#This Row],[TARIFA_BASICA]]*1.5</f>
        <v>26.775000000000002</v>
      </c>
    </row>
    <row r="296" spans="1:63" x14ac:dyDescent="0.25">
      <c r="A296" s="18" t="s">
        <v>64</v>
      </c>
      <c r="B296" s="18" t="s">
        <v>2067</v>
      </c>
      <c r="C296" s="18" t="s">
        <v>2068</v>
      </c>
      <c r="D296" s="19">
        <v>44910</v>
      </c>
      <c r="E296" s="18" t="s">
        <v>67</v>
      </c>
      <c r="F296" s="18" t="s">
        <v>2069</v>
      </c>
      <c r="G296" s="18" t="s">
        <v>2070</v>
      </c>
      <c r="H296" s="18" t="s">
        <v>70</v>
      </c>
      <c r="I296" s="18" t="s">
        <v>160</v>
      </c>
      <c r="J296" s="18" t="s">
        <v>195</v>
      </c>
      <c r="K296" s="18" t="s">
        <v>73</v>
      </c>
      <c r="L296" s="20" t="s">
        <v>2071</v>
      </c>
      <c r="M296" s="18" t="s">
        <v>75</v>
      </c>
      <c r="N296" s="20" t="s">
        <v>2072</v>
      </c>
      <c r="O296" s="18" t="s">
        <v>231</v>
      </c>
      <c r="P296" s="18" t="s">
        <v>78</v>
      </c>
      <c r="Q296" s="19">
        <v>44914</v>
      </c>
      <c r="R296" s="21">
        <v>14.28</v>
      </c>
      <c r="S296" s="18" t="s">
        <v>79</v>
      </c>
      <c r="T296" s="18" t="s">
        <v>80</v>
      </c>
      <c r="U296" s="18" t="s">
        <v>83</v>
      </c>
      <c r="V296" s="18" t="s">
        <v>95</v>
      </c>
      <c r="W296" s="18" t="s">
        <v>83</v>
      </c>
      <c r="X296" s="18" t="s">
        <v>118</v>
      </c>
      <c r="Y296" s="18" t="s">
        <v>85</v>
      </c>
      <c r="Z296" s="18" t="s">
        <v>86</v>
      </c>
      <c r="AA296" s="18" t="s">
        <v>119</v>
      </c>
      <c r="AB296" s="18" t="s">
        <v>1415</v>
      </c>
      <c r="AC296" s="18" t="s">
        <v>1416</v>
      </c>
      <c r="AD296" s="18" t="s">
        <v>85</v>
      </c>
      <c r="AE296" s="18" t="s">
        <v>90</v>
      </c>
      <c r="AF296" s="18" t="s">
        <v>91</v>
      </c>
      <c r="AG296" s="18" t="s">
        <v>92</v>
      </c>
      <c r="AH296" s="18" t="s">
        <v>93</v>
      </c>
      <c r="AI296" s="18" t="s">
        <v>94</v>
      </c>
      <c r="AJ296" s="19">
        <v>44910</v>
      </c>
      <c r="AK296" s="22" t="s">
        <v>95</v>
      </c>
      <c r="AL296" s="18" t="s">
        <v>95</v>
      </c>
      <c r="AM296" s="18" t="s">
        <v>95</v>
      </c>
      <c r="AN296" s="18" t="s">
        <v>95</v>
      </c>
      <c r="AO296" s="18" t="s">
        <v>95</v>
      </c>
      <c r="AP296" s="18" t="s">
        <v>95</v>
      </c>
      <c r="AQ296" s="18" t="s">
        <v>95</v>
      </c>
      <c r="AR296" s="18" t="s">
        <v>95</v>
      </c>
      <c r="AS296" s="18" t="s">
        <v>83</v>
      </c>
      <c r="AT296" s="18" t="s">
        <v>83</v>
      </c>
      <c r="AU296" s="18" t="s">
        <v>81</v>
      </c>
      <c r="AV296" s="18" t="s">
        <v>95</v>
      </c>
      <c r="AW296" s="18" t="s">
        <v>95</v>
      </c>
      <c r="AX296" s="18"/>
      <c r="AY296" s="18" t="str">
        <f>Pospago[[#This Row],[NUM_TELEFONICO]]&amp;"POSPAGOSI"</f>
        <v>983783375POSPAGOSI</v>
      </c>
      <c r="AZ296" s="18" t="str">
        <f>VLOOKUP(Pospago[[#This Row],[NOM_PLAZA_FINAL]],[1]!Locales[#Data],3,0)</f>
        <v>TIENDA CUENCA CENTRO</v>
      </c>
      <c r="BA296" s="18" t="str">
        <f>IFERROR(VLOOKUP(Pospago[[#This Row],[USUARIO]],[1]!Personal[#Data],6,0),"EJECUTIVO NO REGISTRADO")</f>
        <v>PATIÑO URGILES DIANA CATALINA</v>
      </c>
      <c r="BB296" s="18" t="str">
        <f>Pospago[[#This Row],[TIPO_MOVIMIENTO]]&amp;" "&amp;Pospago[[#This Row],[FORMA_PAGO_FINAL]]</f>
        <v>ALTAS PAGO EN CAJA</v>
      </c>
      <c r="BC296" s="18">
        <f>DAY(Pospago[[#This Row],[FECHA_ALTA]])</f>
        <v>15</v>
      </c>
      <c r="BD296" s="18">
        <f>IF(Pospago[[#This Row],[TARIFA_BASICA]]=11.42,1,0)</f>
        <v>0</v>
      </c>
      <c r="BE296" s="18">
        <f>IF(Pospago[[#This Row],[PLANES TELEVENTAS]]="SI",1,0)</f>
        <v>0</v>
      </c>
      <c r="BF296" s="18">
        <f>1</f>
        <v>1</v>
      </c>
      <c r="BG296" s="18">
        <f>IF(OR(Pospago[[#This Row],[TARIFA_BASICA]]=11.42,Pospago[[#This Row],[PLANES TELEVENTAS]]="SI"),1,0)</f>
        <v>0</v>
      </c>
      <c r="BH296" s="18" t="str">
        <f>IF(MID(Pospago[[#This Row],[PlanDesc]],1,4) = "PLAN","POSPAGO",IF(MID(Pospago[[#This Row],[PlanDesc]],1,4)="FULL","FULL MEGAS","PREVIOPAGO"))</f>
        <v>PREVIOPAGO</v>
      </c>
      <c r="BI2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2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96" s="21">
        <f>Pospago[[#This Row],[TARIFA_BASICA]]*1.5</f>
        <v>21.419999999999998</v>
      </c>
    </row>
    <row r="297" spans="1:63" x14ac:dyDescent="0.25">
      <c r="A297" s="18" t="s">
        <v>154</v>
      </c>
      <c r="B297" s="18" t="s">
        <v>2073</v>
      </c>
      <c r="C297" s="18" t="s">
        <v>2074</v>
      </c>
      <c r="D297" s="19">
        <v>44911</v>
      </c>
      <c r="E297" s="18" t="s">
        <v>67</v>
      </c>
      <c r="F297" s="18" t="s">
        <v>2075</v>
      </c>
      <c r="G297" s="18" t="s">
        <v>2076</v>
      </c>
      <c r="H297" s="18" t="s">
        <v>159</v>
      </c>
      <c r="I297" s="18" t="s">
        <v>130</v>
      </c>
      <c r="J297" s="18" t="s">
        <v>433</v>
      </c>
      <c r="K297" s="18" t="s">
        <v>132</v>
      </c>
      <c r="L297" s="20" t="s">
        <v>2077</v>
      </c>
      <c r="M297" s="18" t="s">
        <v>75</v>
      </c>
      <c r="N297" s="20" t="s">
        <v>2078</v>
      </c>
      <c r="O297" s="18" t="s">
        <v>164</v>
      </c>
      <c r="P297" s="18" t="s">
        <v>78</v>
      </c>
      <c r="Q297" s="19">
        <v>44914</v>
      </c>
      <c r="R297" s="21">
        <v>15</v>
      </c>
      <c r="S297" s="18" t="s">
        <v>79</v>
      </c>
      <c r="T297" s="18" t="s">
        <v>135</v>
      </c>
      <c r="U297" s="18" t="s">
        <v>83</v>
      </c>
      <c r="V297" s="18" t="s">
        <v>95</v>
      </c>
      <c r="W297" s="18" t="s">
        <v>95</v>
      </c>
      <c r="X297" s="18" t="s">
        <v>118</v>
      </c>
      <c r="Y297" s="18" t="s">
        <v>85</v>
      </c>
      <c r="Z297" s="18" t="s">
        <v>86</v>
      </c>
      <c r="AA297" s="18" t="s">
        <v>119</v>
      </c>
      <c r="AB297" s="18" t="s">
        <v>866</v>
      </c>
      <c r="AC297" s="18" t="s">
        <v>867</v>
      </c>
      <c r="AD297" s="18" t="s">
        <v>85</v>
      </c>
      <c r="AE297" s="18" t="s">
        <v>90</v>
      </c>
      <c r="AF297" s="18" t="s">
        <v>138</v>
      </c>
      <c r="AG297" s="18" t="s">
        <v>139</v>
      </c>
      <c r="AH297" s="18" t="s">
        <v>165</v>
      </c>
      <c r="AI297" s="18" t="s">
        <v>94</v>
      </c>
      <c r="AJ297" s="19">
        <v>44911</v>
      </c>
      <c r="AK297" s="22" t="s">
        <v>95</v>
      </c>
      <c r="AL297" s="18" t="s">
        <v>95</v>
      </c>
      <c r="AM297" s="18" t="s">
        <v>95</v>
      </c>
      <c r="AN297" s="18" t="s">
        <v>95</v>
      </c>
      <c r="AO297" s="18" t="s">
        <v>95</v>
      </c>
      <c r="AP297" s="18" t="s">
        <v>95</v>
      </c>
      <c r="AQ297" s="18" t="s">
        <v>95</v>
      </c>
      <c r="AR297" s="18" t="s">
        <v>95</v>
      </c>
      <c r="AS297" s="18" t="s">
        <v>83</v>
      </c>
      <c r="AT297" s="18" t="s">
        <v>83</v>
      </c>
      <c r="AU297" s="18" t="s">
        <v>81</v>
      </c>
      <c r="AV297" s="18" t="s">
        <v>95</v>
      </c>
      <c r="AW297" s="18" t="s">
        <v>95</v>
      </c>
      <c r="AX297" s="18"/>
      <c r="AY297" s="18" t="str">
        <f>Pospago[[#This Row],[NUM_TELEFONICO]]&amp;"POSPAGOSI"</f>
        <v>983788390POSPAGOSI</v>
      </c>
      <c r="AZ297" s="18" t="str">
        <f>VLOOKUP(Pospago[[#This Row],[NOM_PLAZA_FINAL]],[1]!Locales[#Data],3,0)</f>
        <v>TIENDA AMERICA</v>
      </c>
      <c r="BA297" s="18" t="str">
        <f>IFERROR(VLOOKUP(Pospago[[#This Row],[USUARIO]],[1]!Personal[#Data],6,0),"EJECUTIVO NO REGISTRADO")</f>
        <v>ORTEGA RUIZ GABRIEL ANTONIO</v>
      </c>
      <c r="BB297" s="18" t="str">
        <f>Pospago[[#This Row],[TIPO_MOVIMIENTO]]&amp;" "&amp;Pospago[[#This Row],[FORMA_PAGO_FINAL]]</f>
        <v>TRANSFERENCIAS PAGO EN CAJA</v>
      </c>
      <c r="BC297" s="18">
        <f>DAY(Pospago[[#This Row],[FECHA_ALTA]])</f>
        <v>16</v>
      </c>
      <c r="BD297" s="18">
        <f>IF(Pospago[[#This Row],[TARIFA_BASICA]]=11.42,1,0)</f>
        <v>0</v>
      </c>
      <c r="BE297" s="18">
        <f>IF(Pospago[[#This Row],[PLANES TELEVENTAS]]="SI",1,0)</f>
        <v>0</v>
      </c>
      <c r="BF297" s="18">
        <f>1</f>
        <v>1</v>
      </c>
      <c r="BG297" s="18">
        <f>IF(OR(Pospago[[#This Row],[TARIFA_BASICA]]=11.42,Pospago[[#This Row],[PLANES TELEVENTAS]]="SI"),1,0)</f>
        <v>0</v>
      </c>
      <c r="BH297" s="18" t="str">
        <f>IF(MID(Pospago[[#This Row],[PlanDesc]],1,4) = "PLAN","POSPAGO",IF(MID(Pospago[[#This Row],[PlanDesc]],1,4)="FULL","FULL MEGAS","PREVIOPAGO"))</f>
        <v>PREVIOPAGO</v>
      </c>
      <c r="BI2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2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297" s="21">
        <f>Pospago[[#This Row],[TARIFA_BASICA]]*1.5</f>
        <v>22.5</v>
      </c>
    </row>
    <row r="298" spans="1:63" x14ac:dyDescent="0.25">
      <c r="A298" s="18" t="s">
        <v>154</v>
      </c>
      <c r="B298" s="18" t="s">
        <v>2079</v>
      </c>
      <c r="C298" s="18" t="s">
        <v>2080</v>
      </c>
      <c r="D298" s="19">
        <v>44909</v>
      </c>
      <c r="E298" s="18" t="s">
        <v>67</v>
      </c>
      <c r="F298" s="18" t="s">
        <v>2081</v>
      </c>
      <c r="G298" s="18" t="s">
        <v>2082</v>
      </c>
      <c r="H298" s="18" t="s">
        <v>159</v>
      </c>
      <c r="I298" s="18" t="s">
        <v>71</v>
      </c>
      <c r="J298" s="18" t="s">
        <v>258</v>
      </c>
      <c r="K298" s="18" t="s">
        <v>73</v>
      </c>
      <c r="L298" s="20" t="s">
        <v>2083</v>
      </c>
      <c r="M298" s="18" t="s">
        <v>287</v>
      </c>
      <c r="N298" s="20" t="s">
        <v>2084</v>
      </c>
      <c r="O298" s="18" t="s">
        <v>164</v>
      </c>
      <c r="P298" s="18" t="s">
        <v>78</v>
      </c>
      <c r="Q298" s="19">
        <v>44914</v>
      </c>
      <c r="R298" s="21">
        <v>11.42</v>
      </c>
      <c r="S298" s="18" t="s">
        <v>79</v>
      </c>
      <c r="T298" s="18" t="s">
        <v>80</v>
      </c>
      <c r="U298" s="18" t="s">
        <v>83</v>
      </c>
      <c r="V298" s="18" t="s">
        <v>95</v>
      </c>
      <c r="W298" s="18" t="s">
        <v>95</v>
      </c>
      <c r="X298" s="18" t="s">
        <v>84</v>
      </c>
      <c r="Y298" s="18" t="s">
        <v>85</v>
      </c>
      <c r="Z298" s="18" t="s">
        <v>86</v>
      </c>
      <c r="AA298" s="18" t="s">
        <v>87</v>
      </c>
      <c r="AB298" s="18" t="s">
        <v>1020</v>
      </c>
      <c r="AC298" s="18" t="s">
        <v>1021</v>
      </c>
      <c r="AD298" s="18" t="s">
        <v>85</v>
      </c>
      <c r="AE298" s="18" t="s">
        <v>90</v>
      </c>
      <c r="AF298" s="18" t="s">
        <v>91</v>
      </c>
      <c r="AG298" s="18" t="s">
        <v>92</v>
      </c>
      <c r="AH298" s="18" t="s">
        <v>165</v>
      </c>
      <c r="AI298" s="18" t="s">
        <v>94</v>
      </c>
      <c r="AJ298" s="19">
        <v>44909</v>
      </c>
      <c r="AK298" s="22" t="s">
        <v>95</v>
      </c>
      <c r="AL298" s="18" t="s">
        <v>95</v>
      </c>
      <c r="AM298" s="18" t="s">
        <v>95</v>
      </c>
      <c r="AN298" s="18" t="s">
        <v>95</v>
      </c>
      <c r="AO298" s="18" t="s">
        <v>95</v>
      </c>
      <c r="AP298" s="18" t="s">
        <v>95</v>
      </c>
      <c r="AQ298" s="18" t="s">
        <v>95</v>
      </c>
      <c r="AR298" s="18" t="s">
        <v>95</v>
      </c>
      <c r="AS298" s="18" t="s">
        <v>83</v>
      </c>
      <c r="AT298" s="18" t="s">
        <v>83</v>
      </c>
      <c r="AU298" s="18" t="s">
        <v>81</v>
      </c>
      <c r="AV298" s="18" t="s">
        <v>95</v>
      </c>
      <c r="AW298" s="18" t="s">
        <v>95</v>
      </c>
      <c r="AX298" s="18"/>
      <c r="AY298" s="18" t="str">
        <f>Pospago[[#This Row],[NUM_TELEFONICO]]&amp;"POSPAGOSI"</f>
        <v>983812474POSPAGOSI</v>
      </c>
      <c r="AZ298" s="18" t="str">
        <f>VLOOKUP(Pospago[[#This Row],[NOM_PLAZA_FINAL]],[1]!Locales[#Data],3,0)</f>
        <v>TIENDA CUENCA CENTRO</v>
      </c>
      <c r="BA298" s="18" t="str">
        <f>IFERROR(VLOOKUP(Pospago[[#This Row],[USUARIO]],[1]!Personal[#Data],6,0),"EJECUTIVO NO REGISTRADO")</f>
        <v>GONZALES ALVARRACIN PAOLA YESSENIA</v>
      </c>
      <c r="BB298" s="18" t="str">
        <f>Pospago[[#This Row],[TIPO_MOVIMIENTO]]&amp;" "&amp;Pospago[[#This Row],[FORMA_PAGO_FINAL]]</f>
        <v>TRANSFERENCIAS DOMICILIADO</v>
      </c>
      <c r="BC298" s="18">
        <f>DAY(Pospago[[#This Row],[FECHA_ALTA]])</f>
        <v>14</v>
      </c>
      <c r="BD298" s="18">
        <f>IF(Pospago[[#This Row],[TARIFA_BASICA]]=11.42,1,0)</f>
        <v>1</v>
      </c>
      <c r="BE298" s="18">
        <f>IF(Pospago[[#This Row],[PLANES TELEVENTAS]]="SI",1,0)</f>
        <v>0</v>
      </c>
      <c r="BF298" s="18">
        <f>1</f>
        <v>1</v>
      </c>
      <c r="BG298" s="18">
        <f>IF(OR(Pospago[[#This Row],[TARIFA_BASICA]]=11.42,Pospago[[#This Row],[PLANES TELEVENTAS]]="SI"),1,0)</f>
        <v>1</v>
      </c>
      <c r="BH298" s="18" t="str">
        <f>IF(MID(Pospago[[#This Row],[PlanDesc]],1,4) = "PLAN","POSPAGO",IF(MID(Pospago[[#This Row],[PlanDesc]],1,4)="FULL","FULL MEGAS","PREVIOPAGO"))</f>
        <v>PREVIOPAGO</v>
      </c>
      <c r="BI2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2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98" s="21">
        <f>Pospago[[#This Row],[TARIFA_BASICA]]*1.5</f>
        <v>17.13</v>
      </c>
    </row>
    <row r="299" spans="1:63" x14ac:dyDescent="0.25">
      <c r="A299" s="18" t="s">
        <v>64</v>
      </c>
      <c r="B299" s="18" t="s">
        <v>2085</v>
      </c>
      <c r="C299" s="18" t="s">
        <v>2086</v>
      </c>
      <c r="D299" s="19">
        <v>44903</v>
      </c>
      <c r="E299" s="18" t="s">
        <v>67</v>
      </c>
      <c r="F299" s="18" t="s">
        <v>2087</v>
      </c>
      <c r="G299" s="18" t="s">
        <v>2088</v>
      </c>
      <c r="H299" s="18" t="s">
        <v>70</v>
      </c>
      <c r="I299" s="18" t="s">
        <v>71</v>
      </c>
      <c r="J299" s="18" t="s">
        <v>72</v>
      </c>
      <c r="K299" s="18" t="s">
        <v>95</v>
      </c>
      <c r="L299" s="20" t="s">
        <v>2089</v>
      </c>
      <c r="M299" s="18" t="s">
        <v>75</v>
      </c>
      <c r="N299" s="20" t="s">
        <v>2090</v>
      </c>
      <c r="O299" s="18" t="s">
        <v>77</v>
      </c>
      <c r="P299" s="18" t="s">
        <v>78</v>
      </c>
      <c r="Q299" s="19">
        <v>44914</v>
      </c>
      <c r="R299" s="21">
        <v>11.42</v>
      </c>
      <c r="S299" s="18" t="s">
        <v>79</v>
      </c>
      <c r="T299" s="18" t="s">
        <v>174</v>
      </c>
      <c r="U299" s="18" t="s">
        <v>83</v>
      </c>
      <c r="V299" s="18" t="s">
        <v>95</v>
      </c>
      <c r="W299" s="18" t="s">
        <v>83</v>
      </c>
      <c r="X299" s="18" t="s">
        <v>84</v>
      </c>
      <c r="Y299" s="18" t="s">
        <v>85</v>
      </c>
      <c r="Z299" s="18" t="s">
        <v>86</v>
      </c>
      <c r="AA299" s="18" t="s">
        <v>87</v>
      </c>
      <c r="AB299" s="18" t="s">
        <v>926</v>
      </c>
      <c r="AC299" s="18" t="s">
        <v>927</v>
      </c>
      <c r="AD299" s="18" t="s">
        <v>85</v>
      </c>
      <c r="AE299" s="18" t="s">
        <v>90</v>
      </c>
      <c r="AF299" s="18" t="s">
        <v>177</v>
      </c>
      <c r="AG299" s="18" t="s">
        <v>139</v>
      </c>
      <c r="AH299" s="18" t="s">
        <v>93</v>
      </c>
      <c r="AI299" s="18" t="s">
        <v>94</v>
      </c>
      <c r="AJ299" s="19">
        <v>44903</v>
      </c>
      <c r="AK299" s="22" t="s">
        <v>95</v>
      </c>
      <c r="AL299" s="18" t="s">
        <v>95</v>
      </c>
      <c r="AM299" s="18" t="s">
        <v>95</v>
      </c>
      <c r="AN299" s="18" t="s">
        <v>95</v>
      </c>
      <c r="AO299" s="18" t="s">
        <v>95</v>
      </c>
      <c r="AP299" s="18" t="s">
        <v>95</v>
      </c>
      <c r="AQ299" s="18" t="s">
        <v>95</v>
      </c>
      <c r="AR299" s="18" t="s">
        <v>95</v>
      </c>
      <c r="AS299" s="18" t="s">
        <v>83</v>
      </c>
      <c r="AT299" s="18" t="s">
        <v>83</v>
      </c>
      <c r="AU299" s="18" t="s">
        <v>81</v>
      </c>
      <c r="AV299" s="18" t="s">
        <v>95</v>
      </c>
      <c r="AW299" s="18" t="s">
        <v>95</v>
      </c>
      <c r="AX299" s="18"/>
      <c r="AY299" s="18" t="str">
        <f>Pospago[[#This Row],[NUM_TELEFONICO]]&amp;"POSPAGOSI"</f>
        <v>983813307POSPAGOSI</v>
      </c>
      <c r="AZ299" s="18" t="str">
        <f>VLOOKUP(Pospago[[#This Row],[NOM_PLAZA_FINAL]],[1]!Locales[#Data],3,0)</f>
        <v>TIENDA RECREO</v>
      </c>
      <c r="BA299" s="18" t="str">
        <f>IFERROR(VLOOKUP(Pospago[[#This Row],[USUARIO]],[1]!Personal[#Data],6,0),"EJECUTIVO NO REGISTRADO")</f>
        <v>CABEZAS LOPEZ ROBERTO ALEJANDRO</v>
      </c>
      <c r="BB299" s="18" t="str">
        <f>Pospago[[#This Row],[TIPO_MOVIMIENTO]]&amp;" "&amp;Pospago[[#This Row],[FORMA_PAGO_FINAL]]</f>
        <v>ALTAS DOMICILIADO</v>
      </c>
      <c r="BC299" s="18">
        <f>DAY(Pospago[[#This Row],[FECHA_ALTA]])</f>
        <v>8</v>
      </c>
      <c r="BD299" s="18">
        <f>IF(Pospago[[#This Row],[TARIFA_BASICA]]=11.42,1,0)</f>
        <v>1</v>
      </c>
      <c r="BE299" s="18">
        <f>IF(Pospago[[#This Row],[PLANES TELEVENTAS]]="SI",1,0)</f>
        <v>0</v>
      </c>
      <c r="BF299" s="18">
        <f>1</f>
        <v>1</v>
      </c>
      <c r="BG299" s="18">
        <f>IF(OR(Pospago[[#This Row],[TARIFA_BASICA]]=11.42,Pospago[[#This Row],[PLANES TELEVENTAS]]="SI"),1,0)</f>
        <v>1</v>
      </c>
      <c r="BH299" s="18" t="str">
        <f>IF(MID(Pospago[[#This Row],[PlanDesc]],1,4) = "PLAN","POSPAGO",IF(MID(Pospago[[#This Row],[PlanDesc]],1,4)="FULL","FULL MEGAS","PREVIOPAGO"))</f>
        <v>PREVIOPAGO</v>
      </c>
      <c r="BI2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2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299" s="21">
        <f>Pospago[[#This Row],[TARIFA_BASICA]]*1.5</f>
        <v>17.13</v>
      </c>
    </row>
    <row r="300" spans="1:63" x14ac:dyDescent="0.25">
      <c r="A300" s="18" t="s">
        <v>154</v>
      </c>
      <c r="B300" s="18" t="s">
        <v>2091</v>
      </c>
      <c r="C300" s="18" t="s">
        <v>2092</v>
      </c>
      <c r="D300" s="19">
        <v>44909</v>
      </c>
      <c r="E300" s="18" t="s">
        <v>67</v>
      </c>
      <c r="F300" s="18" t="s">
        <v>2093</v>
      </c>
      <c r="G300" s="18" t="s">
        <v>2094</v>
      </c>
      <c r="H300" s="18" t="s">
        <v>159</v>
      </c>
      <c r="I300" s="18" t="s">
        <v>71</v>
      </c>
      <c r="J300" s="18" t="s">
        <v>258</v>
      </c>
      <c r="K300" s="18" t="s">
        <v>73</v>
      </c>
      <c r="L300" s="20" t="s">
        <v>2095</v>
      </c>
      <c r="M300" s="18" t="s">
        <v>75</v>
      </c>
      <c r="N300" s="20" t="s">
        <v>2096</v>
      </c>
      <c r="O300" s="18" t="s">
        <v>164</v>
      </c>
      <c r="P300" s="18" t="s">
        <v>78</v>
      </c>
      <c r="Q300" s="19">
        <v>44914</v>
      </c>
      <c r="R300" s="21">
        <v>11.42</v>
      </c>
      <c r="S300" s="18" t="s">
        <v>79</v>
      </c>
      <c r="T300" s="18" t="s">
        <v>174</v>
      </c>
      <c r="U300" s="18" t="s">
        <v>83</v>
      </c>
      <c r="V300" s="18" t="s">
        <v>95</v>
      </c>
      <c r="W300" s="18" t="s">
        <v>95</v>
      </c>
      <c r="X300" s="18" t="s">
        <v>118</v>
      </c>
      <c r="Y300" s="18" t="s">
        <v>85</v>
      </c>
      <c r="Z300" s="18" t="s">
        <v>86</v>
      </c>
      <c r="AA300" s="18" t="s">
        <v>119</v>
      </c>
      <c r="AB300" s="18" t="s">
        <v>187</v>
      </c>
      <c r="AC300" s="18" t="s">
        <v>188</v>
      </c>
      <c r="AD300" s="18" t="s">
        <v>85</v>
      </c>
      <c r="AE300" s="18" t="s">
        <v>90</v>
      </c>
      <c r="AF300" s="18" t="s">
        <v>177</v>
      </c>
      <c r="AG300" s="18" t="s">
        <v>139</v>
      </c>
      <c r="AH300" s="18" t="s">
        <v>165</v>
      </c>
      <c r="AI300" s="18" t="s">
        <v>94</v>
      </c>
      <c r="AJ300" s="19">
        <v>44909</v>
      </c>
      <c r="AK300" s="22" t="s">
        <v>95</v>
      </c>
      <c r="AL300" s="18" t="s">
        <v>95</v>
      </c>
      <c r="AM300" s="18" t="s">
        <v>95</v>
      </c>
      <c r="AN300" s="18" t="s">
        <v>95</v>
      </c>
      <c r="AO300" s="18" t="s">
        <v>95</v>
      </c>
      <c r="AP300" s="18" t="s">
        <v>95</v>
      </c>
      <c r="AQ300" s="18" t="s">
        <v>95</v>
      </c>
      <c r="AR300" s="18" t="s">
        <v>95</v>
      </c>
      <c r="AS300" s="18" t="s">
        <v>83</v>
      </c>
      <c r="AT300" s="18" t="s">
        <v>83</v>
      </c>
      <c r="AU300" s="18" t="s">
        <v>81</v>
      </c>
      <c r="AV300" s="18" t="s">
        <v>95</v>
      </c>
      <c r="AW300" s="18" t="s">
        <v>95</v>
      </c>
      <c r="AX300" s="18"/>
      <c r="AY300" s="18" t="str">
        <f>Pospago[[#This Row],[NUM_TELEFONICO]]&amp;"POSPAGOSI"</f>
        <v>983814303POSPAGOSI</v>
      </c>
      <c r="AZ300" s="18" t="str">
        <f>VLOOKUP(Pospago[[#This Row],[NOM_PLAZA_FINAL]],[1]!Locales[#Data],3,0)</f>
        <v>TIENDA RECREO</v>
      </c>
      <c r="BA300" s="18" t="str">
        <f>IFERROR(VLOOKUP(Pospago[[#This Row],[USUARIO]],[1]!Personal[#Data],6,0),"EJECUTIVO NO REGISTRADO")</f>
        <v>ESPINOZA MARTINES LAURA XIOMARA</v>
      </c>
      <c r="BB300" s="18" t="str">
        <f>Pospago[[#This Row],[TIPO_MOVIMIENTO]]&amp;" "&amp;Pospago[[#This Row],[FORMA_PAGO_FINAL]]</f>
        <v>TRANSFERENCIAS PAGO EN CAJA</v>
      </c>
      <c r="BC300" s="18">
        <f>DAY(Pospago[[#This Row],[FECHA_ALTA]])</f>
        <v>14</v>
      </c>
      <c r="BD300" s="18">
        <f>IF(Pospago[[#This Row],[TARIFA_BASICA]]=11.42,1,0)</f>
        <v>1</v>
      </c>
      <c r="BE300" s="18">
        <f>IF(Pospago[[#This Row],[PLANES TELEVENTAS]]="SI",1,0)</f>
        <v>0</v>
      </c>
      <c r="BF300" s="18">
        <f>1</f>
        <v>1</v>
      </c>
      <c r="BG300" s="18">
        <f>IF(OR(Pospago[[#This Row],[TARIFA_BASICA]]=11.42,Pospago[[#This Row],[PLANES TELEVENTAS]]="SI"),1,0)</f>
        <v>1</v>
      </c>
      <c r="BH300" s="18" t="str">
        <f>IF(MID(Pospago[[#This Row],[PlanDesc]],1,4) = "PLAN","POSPAGO",IF(MID(Pospago[[#This Row],[PlanDesc]],1,4)="FULL","FULL MEGAS","PREVIOPAGO"))</f>
        <v>PREVIOPAGO</v>
      </c>
      <c r="BI3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00" s="21">
        <f>Pospago[[#This Row],[TARIFA_BASICA]]*1.5</f>
        <v>17.13</v>
      </c>
    </row>
    <row r="301" spans="1:63" x14ac:dyDescent="0.25">
      <c r="A301" s="18" t="s">
        <v>154</v>
      </c>
      <c r="B301" s="18" t="s">
        <v>2097</v>
      </c>
      <c r="C301" s="18" t="s">
        <v>2098</v>
      </c>
      <c r="D301" s="19">
        <v>44911</v>
      </c>
      <c r="E301" s="18" t="s">
        <v>67</v>
      </c>
      <c r="F301" s="18" t="s">
        <v>2099</v>
      </c>
      <c r="G301" s="18" t="s">
        <v>2100</v>
      </c>
      <c r="H301" s="18" t="s">
        <v>159</v>
      </c>
      <c r="I301" s="18" t="s">
        <v>183</v>
      </c>
      <c r="J301" s="18" t="s">
        <v>184</v>
      </c>
      <c r="K301" s="18" t="s">
        <v>132</v>
      </c>
      <c r="L301" s="20" t="s">
        <v>2101</v>
      </c>
      <c r="M301" s="18" t="s">
        <v>75</v>
      </c>
      <c r="N301" s="20" t="s">
        <v>2102</v>
      </c>
      <c r="O301" s="18" t="s">
        <v>1532</v>
      </c>
      <c r="P301" s="18" t="s">
        <v>78</v>
      </c>
      <c r="Q301" s="19">
        <v>44914</v>
      </c>
      <c r="R301" s="21">
        <v>11.42</v>
      </c>
      <c r="S301" s="18" t="s">
        <v>79</v>
      </c>
      <c r="T301" s="18" t="s">
        <v>174</v>
      </c>
      <c r="U301" s="18" t="s">
        <v>83</v>
      </c>
      <c r="V301" s="18" t="s">
        <v>95</v>
      </c>
      <c r="W301" s="18" t="s">
        <v>95</v>
      </c>
      <c r="X301" s="18" t="s">
        <v>84</v>
      </c>
      <c r="Y301" s="18" t="s">
        <v>85</v>
      </c>
      <c r="Z301" s="18" t="s">
        <v>86</v>
      </c>
      <c r="AA301" s="18" t="s">
        <v>87</v>
      </c>
      <c r="AB301" s="18" t="s">
        <v>2103</v>
      </c>
      <c r="AC301" s="18" t="s">
        <v>2104</v>
      </c>
      <c r="AD301" s="18" t="s">
        <v>85</v>
      </c>
      <c r="AE301" s="18" t="s">
        <v>90</v>
      </c>
      <c r="AF301" s="18" t="s">
        <v>177</v>
      </c>
      <c r="AG301" s="18" t="s">
        <v>139</v>
      </c>
      <c r="AH301" s="18" t="s">
        <v>165</v>
      </c>
      <c r="AI301" s="18" t="s">
        <v>94</v>
      </c>
      <c r="AJ301" s="19">
        <v>44911</v>
      </c>
      <c r="AK301" s="22" t="s">
        <v>95</v>
      </c>
      <c r="AL301" s="18" t="s">
        <v>95</v>
      </c>
      <c r="AM301" s="18" t="s">
        <v>95</v>
      </c>
      <c r="AN301" s="18" t="s">
        <v>95</v>
      </c>
      <c r="AO301" s="18" t="s">
        <v>95</v>
      </c>
      <c r="AP301" s="18" t="s">
        <v>95</v>
      </c>
      <c r="AQ301" s="18" t="s">
        <v>95</v>
      </c>
      <c r="AR301" s="18" t="s">
        <v>95</v>
      </c>
      <c r="AS301" s="18" t="s">
        <v>83</v>
      </c>
      <c r="AT301" s="18" t="s">
        <v>83</v>
      </c>
      <c r="AU301" s="18" t="s">
        <v>83</v>
      </c>
      <c r="AV301" s="18" t="s">
        <v>95</v>
      </c>
      <c r="AW301" s="18" t="s">
        <v>95</v>
      </c>
      <c r="AX301" s="18"/>
      <c r="AY301" s="18" t="str">
        <f>Pospago[[#This Row],[NUM_TELEFONICO]]&amp;"POSPAGOSI"</f>
        <v>983817390POSPAGOSI</v>
      </c>
      <c r="AZ301" s="18" t="str">
        <f>VLOOKUP(Pospago[[#This Row],[NOM_PLAZA_FINAL]],[1]!Locales[#Data],3,0)</f>
        <v>TIENDA RECREO</v>
      </c>
      <c r="BA301" s="18" t="str">
        <f>IFERROR(VLOOKUP(Pospago[[#This Row],[USUARIO]],[1]!Personal[#Data],6,0),"EJECUTIVO NO REGISTRADO")</f>
        <v>CORDOVA BRUCIL LUIS EDUARDO</v>
      </c>
      <c r="BB301" s="18" t="str">
        <f>Pospago[[#This Row],[TIPO_MOVIMIENTO]]&amp;" "&amp;Pospago[[#This Row],[FORMA_PAGO_FINAL]]</f>
        <v>TRANSFERENCIAS DOMICILIADO</v>
      </c>
      <c r="BC301" s="18">
        <f>DAY(Pospago[[#This Row],[FECHA_ALTA]])</f>
        <v>16</v>
      </c>
      <c r="BD301" s="18">
        <f>IF(Pospago[[#This Row],[TARIFA_BASICA]]=11.42,1,0)</f>
        <v>1</v>
      </c>
      <c r="BE301" s="18">
        <f>IF(Pospago[[#This Row],[PLANES TELEVENTAS]]="SI",1,0)</f>
        <v>0</v>
      </c>
      <c r="BF301" s="18">
        <f>1</f>
        <v>1</v>
      </c>
      <c r="BG301" s="18">
        <f>IF(OR(Pospago[[#This Row],[TARIFA_BASICA]]=11.42,Pospago[[#This Row],[PLANES TELEVENTAS]]="SI"),1,0)</f>
        <v>1</v>
      </c>
      <c r="BH301" s="18" t="str">
        <f>IF(MID(Pospago[[#This Row],[PlanDesc]],1,4) = "PLAN","POSPAGO",IF(MID(Pospago[[#This Row],[PlanDesc]],1,4)="FULL","FULL MEGAS","PREVIOPAGO"))</f>
        <v>POSPAGO</v>
      </c>
      <c r="BI3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3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01" s="21">
        <f>Pospago[[#This Row],[TARIFA_BASICA]]*1.5</f>
        <v>17.13</v>
      </c>
    </row>
    <row r="302" spans="1:63" x14ac:dyDescent="0.25">
      <c r="A302" s="18" t="s">
        <v>154</v>
      </c>
      <c r="B302" s="18" t="s">
        <v>2105</v>
      </c>
      <c r="C302" s="18" t="s">
        <v>2106</v>
      </c>
      <c r="D302" s="19">
        <v>44898</v>
      </c>
      <c r="E302" s="18" t="s">
        <v>67</v>
      </c>
      <c r="F302" s="18" t="s">
        <v>2107</v>
      </c>
      <c r="G302" s="18" t="s">
        <v>2108</v>
      </c>
      <c r="H302" s="18" t="s">
        <v>159</v>
      </c>
      <c r="I302" s="18" t="s">
        <v>71</v>
      </c>
      <c r="J302" s="18" t="s">
        <v>258</v>
      </c>
      <c r="K302" s="18" t="s">
        <v>73</v>
      </c>
      <c r="L302" s="20" t="s">
        <v>2109</v>
      </c>
      <c r="M302" s="18" t="s">
        <v>75</v>
      </c>
      <c r="N302" s="20" t="s">
        <v>2110</v>
      </c>
      <c r="O302" s="18" t="s">
        <v>164</v>
      </c>
      <c r="P302" s="18" t="s">
        <v>78</v>
      </c>
      <c r="Q302" s="19">
        <v>44914</v>
      </c>
      <c r="R302" s="21">
        <v>11.42</v>
      </c>
      <c r="S302" s="18" t="s">
        <v>79</v>
      </c>
      <c r="T302" s="18" t="s">
        <v>232</v>
      </c>
      <c r="U302" s="18" t="s">
        <v>83</v>
      </c>
      <c r="V302" s="18" t="s">
        <v>95</v>
      </c>
      <c r="W302" s="18" t="s">
        <v>95</v>
      </c>
      <c r="X302" s="18" t="s">
        <v>84</v>
      </c>
      <c r="Y302" s="18" t="s">
        <v>85</v>
      </c>
      <c r="Z302" s="18" t="s">
        <v>86</v>
      </c>
      <c r="AA302" s="18" t="s">
        <v>87</v>
      </c>
      <c r="AB302" s="18" t="s">
        <v>233</v>
      </c>
      <c r="AC302" s="18" t="s">
        <v>234</v>
      </c>
      <c r="AD302" s="18" t="s">
        <v>85</v>
      </c>
      <c r="AE302" s="18" t="s">
        <v>90</v>
      </c>
      <c r="AF302" s="18" t="s">
        <v>235</v>
      </c>
      <c r="AG302" s="18" t="s">
        <v>139</v>
      </c>
      <c r="AH302" s="18" t="s">
        <v>165</v>
      </c>
      <c r="AI302" s="18" t="s">
        <v>94</v>
      </c>
      <c r="AJ302" s="19">
        <v>44898</v>
      </c>
      <c r="AK302" s="22" t="s">
        <v>95</v>
      </c>
      <c r="AL302" s="18" t="s">
        <v>95</v>
      </c>
      <c r="AM302" s="18" t="s">
        <v>95</v>
      </c>
      <c r="AN302" s="18" t="s">
        <v>95</v>
      </c>
      <c r="AO302" s="18" t="s">
        <v>95</v>
      </c>
      <c r="AP302" s="18" t="s">
        <v>95</v>
      </c>
      <c r="AQ302" s="18" t="s">
        <v>95</v>
      </c>
      <c r="AR302" s="18" t="s">
        <v>95</v>
      </c>
      <c r="AS302" s="18" t="s">
        <v>83</v>
      </c>
      <c r="AT302" s="18" t="s">
        <v>83</v>
      </c>
      <c r="AU302" s="18" t="s">
        <v>81</v>
      </c>
      <c r="AV302" s="18" t="s">
        <v>95</v>
      </c>
      <c r="AW302" s="18" t="s">
        <v>95</v>
      </c>
      <c r="AX302" s="18"/>
      <c r="AY302" s="18" t="str">
        <f>Pospago[[#This Row],[NUM_TELEFONICO]]&amp;"POSPAGOSI"</f>
        <v>983838160POSPAGOSI</v>
      </c>
      <c r="AZ302" s="18" t="str">
        <f>VLOOKUP(Pospago[[#This Row],[NOM_PLAZA_FINAL]],[1]!Locales[#Data],3,0)</f>
        <v>TIENDA CONDADO</v>
      </c>
      <c r="BA302" s="18" t="str">
        <f>IFERROR(VLOOKUP(Pospago[[#This Row],[USUARIO]],[1]!Personal[#Data],6,0),"EJECUTIVO NO REGISTRADO")</f>
        <v>ROSALES MALDONADO JESSICA GABRIELA</v>
      </c>
      <c r="BB302" s="18" t="str">
        <f>Pospago[[#This Row],[TIPO_MOVIMIENTO]]&amp;" "&amp;Pospago[[#This Row],[FORMA_PAGO_FINAL]]</f>
        <v>TRANSFERENCIAS DOMICILIADO</v>
      </c>
      <c r="BC302" s="18">
        <f>DAY(Pospago[[#This Row],[FECHA_ALTA]])</f>
        <v>3</v>
      </c>
      <c r="BD302" s="18">
        <f>IF(Pospago[[#This Row],[TARIFA_BASICA]]=11.42,1,0)</f>
        <v>1</v>
      </c>
      <c r="BE302" s="18">
        <f>IF(Pospago[[#This Row],[PLANES TELEVENTAS]]="SI",1,0)</f>
        <v>0</v>
      </c>
      <c r="BF302" s="18">
        <f>1</f>
        <v>1</v>
      </c>
      <c r="BG302" s="18">
        <f>IF(OR(Pospago[[#This Row],[TARIFA_BASICA]]=11.42,Pospago[[#This Row],[PLANES TELEVENTAS]]="SI"),1,0)</f>
        <v>1</v>
      </c>
      <c r="BH302" s="18" t="str">
        <f>IF(MID(Pospago[[#This Row],[PlanDesc]],1,4) = "PLAN","POSPAGO",IF(MID(Pospago[[#This Row],[PlanDesc]],1,4)="FULL","FULL MEGAS","PREVIOPAGO"))</f>
        <v>PREVIOPAGO</v>
      </c>
      <c r="BI3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3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02" s="21">
        <f>Pospago[[#This Row],[TARIFA_BASICA]]*1.5</f>
        <v>17.13</v>
      </c>
    </row>
    <row r="303" spans="1:63" x14ac:dyDescent="0.25">
      <c r="A303" s="18" t="s">
        <v>64</v>
      </c>
      <c r="B303" s="18" t="s">
        <v>2111</v>
      </c>
      <c r="C303" s="18" t="s">
        <v>2112</v>
      </c>
      <c r="D303" s="19">
        <v>44905</v>
      </c>
      <c r="E303" s="18" t="s">
        <v>67</v>
      </c>
      <c r="F303" s="18" t="s">
        <v>2113</v>
      </c>
      <c r="G303" s="18" t="s">
        <v>2114</v>
      </c>
      <c r="H303" s="18" t="s">
        <v>70</v>
      </c>
      <c r="I303" s="18" t="s">
        <v>160</v>
      </c>
      <c r="J303" s="18" t="s">
        <v>195</v>
      </c>
      <c r="K303" s="18" t="s">
        <v>132</v>
      </c>
      <c r="L303" s="20" t="s">
        <v>2115</v>
      </c>
      <c r="M303" s="18" t="s">
        <v>75</v>
      </c>
      <c r="N303" s="20" t="s">
        <v>2116</v>
      </c>
      <c r="O303" s="18" t="s">
        <v>77</v>
      </c>
      <c r="P303" s="18" t="s">
        <v>78</v>
      </c>
      <c r="Q303" s="19">
        <v>44914</v>
      </c>
      <c r="R303" s="21">
        <v>14.28</v>
      </c>
      <c r="S303" s="18" t="s">
        <v>79</v>
      </c>
      <c r="T303" s="18" t="s">
        <v>232</v>
      </c>
      <c r="U303" s="18" t="s">
        <v>83</v>
      </c>
      <c r="V303" s="18" t="s">
        <v>95</v>
      </c>
      <c r="W303" s="18" t="s">
        <v>83</v>
      </c>
      <c r="X303" s="18" t="s">
        <v>84</v>
      </c>
      <c r="Y303" s="18" t="s">
        <v>85</v>
      </c>
      <c r="Z303" s="18" t="s">
        <v>86</v>
      </c>
      <c r="AA303" s="18" t="s">
        <v>87</v>
      </c>
      <c r="AB303" s="18" t="s">
        <v>271</v>
      </c>
      <c r="AC303" s="18" t="s">
        <v>272</v>
      </c>
      <c r="AD303" s="18" t="s">
        <v>85</v>
      </c>
      <c r="AE303" s="18" t="s">
        <v>90</v>
      </c>
      <c r="AF303" s="18" t="s">
        <v>235</v>
      </c>
      <c r="AG303" s="18" t="s">
        <v>139</v>
      </c>
      <c r="AH303" s="18" t="s">
        <v>93</v>
      </c>
      <c r="AI303" s="18" t="s">
        <v>94</v>
      </c>
      <c r="AJ303" s="19">
        <v>44905</v>
      </c>
      <c r="AK303" s="22" t="s">
        <v>95</v>
      </c>
      <c r="AL303" s="18" t="s">
        <v>95</v>
      </c>
      <c r="AM303" s="18" t="s">
        <v>95</v>
      </c>
      <c r="AN303" s="18" t="s">
        <v>95</v>
      </c>
      <c r="AO303" s="18" t="s">
        <v>95</v>
      </c>
      <c r="AP303" s="18" t="s">
        <v>95</v>
      </c>
      <c r="AQ303" s="18" t="s">
        <v>95</v>
      </c>
      <c r="AR303" s="18" t="s">
        <v>95</v>
      </c>
      <c r="AS303" s="18" t="s">
        <v>83</v>
      </c>
      <c r="AT303" s="18" t="s">
        <v>83</v>
      </c>
      <c r="AU303" s="18" t="s">
        <v>81</v>
      </c>
      <c r="AV303" s="18" t="s">
        <v>95</v>
      </c>
      <c r="AW303" s="18" t="s">
        <v>95</v>
      </c>
      <c r="AX303" s="18"/>
      <c r="AY303" s="18" t="str">
        <f>Pospago[[#This Row],[NUM_TELEFONICO]]&amp;"POSPAGOSI"</f>
        <v>983838538POSPAGOSI</v>
      </c>
      <c r="AZ303" s="18" t="str">
        <f>VLOOKUP(Pospago[[#This Row],[NOM_PLAZA_FINAL]],[1]!Locales[#Data],3,0)</f>
        <v>TIENDA CONDADO</v>
      </c>
      <c r="BA303" s="18" t="str">
        <f>IFERROR(VLOOKUP(Pospago[[#This Row],[USUARIO]],[1]!Personal[#Data],6,0),"EJECUTIVO NO REGISTRADO")</f>
        <v>CASTILLO AGUIRRE EDWIN MODESTO</v>
      </c>
      <c r="BB303" s="18" t="str">
        <f>Pospago[[#This Row],[TIPO_MOVIMIENTO]]&amp;" "&amp;Pospago[[#This Row],[FORMA_PAGO_FINAL]]</f>
        <v>ALTAS DOMICILIADO</v>
      </c>
      <c r="BC303" s="18">
        <f>DAY(Pospago[[#This Row],[FECHA_ALTA]])</f>
        <v>10</v>
      </c>
      <c r="BD303" s="18">
        <f>IF(Pospago[[#This Row],[TARIFA_BASICA]]=11.42,1,0)</f>
        <v>0</v>
      </c>
      <c r="BE303" s="18">
        <f>IF(Pospago[[#This Row],[PLANES TELEVENTAS]]="SI",1,0)</f>
        <v>0</v>
      </c>
      <c r="BF303" s="18">
        <f>1</f>
        <v>1</v>
      </c>
      <c r="BG303" s="18">
        <f>IF(OR(Pospago[[#This Row],[TARIFA_BASICA]]=11.42,Pospago[[#This Row],[PLANES TELEVENTAS]]="SI"),1,0)</f>
        <v>0</v>
      </c>
      <c r="BH303" s="18" t="str">
        <f>IF(MID(Pospago[[#This Row],[PlanDesc]],1,4) = "PLAN","POSPAGO",IF(MID(Pospago[[#This Row],[PlanDesc]],1,4)="FULL","FULL MEGAS","PREVIOPAGO"))</f>
        <v>PREVIOPAGO</v>
      </c>
      <c r="BI3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03" s="21">
        <f>Pospago[[#This Row],[TARIFA_BASICA]]*1.5</f>
        <v>21.419999999999998</v>
      </c>
    </row>
    <row r="304" spans="1:63" x14ac:dyDescent="0.25">
      <c r="A304" s="18" t="s">
        <v>64</v>
      </c>
      <c r="B304" s="18" t="s">
        <v>2117</v>
      </c>
      <c r="C304" s="18" t="s">
        <v>2118</v>
      </c>
      <c r="D304" s="19">
        <v>44898</v>
      </c>
      <c r="E304" s="18" t="s">
        <v>67</v>
      </c>
      <c r="F304" s="18" t="s">
        <v>2119</v>
      </c>
      <c r="G304" s="18" t="s">
        <v>2120</v>
      </c>
      <c r="H304" s="18" t="s">
        <v>70</v>
      </c>
      <c r="I304" s="18" t="s">
        <v>194</v>
      </c>
      <c r="J304" s="18" t="s">
        <v>195</v>
      </c>
      <c r="K304" s="18" t="s">
        <v>132</v>
      </c>
      <c r="L304" s="20" t="s">
        <v>2121</v>
      </c>
      <c r="M304" s="18" t="s">
        <v>75</v>
      </c>
      <c r="N304" s="20" t="s">
        <v>2122</v>
      </c>
      <c r="O304" s="18" t="s">
        <v>77</v>
      </c>
      <c r="P304" s="18" t="s">
        <v>78</v>
      </c>
      <c r="Q304" s="19">
        <v>44914</v>
      </c>
      <c r="R304" s="21">
        <v>14.28</v>
      </c>
      <c r="S304" s="18" t="s">
        <v>79</v>
      </c>
      <c r="T304" s="18" t="s">
        <v>232</v>
      </c>
      <c r="U304" s="18" t="s">
        <v>83</v>
      </c>
      <c r="V304" s="18" t="s">
        <v>95</v>
      </c>
      <c r="W304" s="18" t="s">
        <v>83</v>
      </c>
      <c r="X304" s="18" t="s">
        <v>84</v>
      </c>
      <c r="Y304" s="18" t="s">
        <v>85</v>
      </c>
      <c r="Z304" s="18" t="s">
        <v>86</v>
      </c>
      <c r="AA304" s="18" t="s">
        <v>87</v>
      </c>
      <c r="AB304" s="18" t="s">
        <v>280</v>
      </c>
      <c r="AC304" s="18" t="s">
        <v>281</v>
      </c>
      <c r="AD304" s="18" t="s">
        <v>85</v>
      </c>
      <c r="AE304" s="18" t="s">
        <v>90</v>
      </c>
      <c r="AF304" s="18" t="s">
        <v>235</v>
      </c>
      <c r="AG304" s="18" t="s">
        <v>139</v>
      </c>
      <c r="AH304" s="18" t="s">
        <v>93</v>
      </c>
      <c r="AI304" s="18" t="s">
        <v>94</v>
      </c>
      <c r="AJ304" s="19">
        <v>44898</v>
      </c>
      <c r="AK304" s="22" t="s">
        <v>95</v>
      </c>
      <c r="AL304" s="18" t="s">
        <v>95</v>
      </c>
      <c r="AM304" s="18" t="s">
        <v>95</v>
      </c>
      <c r="AN304" s="18" t="s">
        <v>95</v>
      </c>
      <c r="AO304" s="18" t="s">
        <v>95</v>
      </c>
      <c r="AP304" s="18" t="s">
        <v>95</v>
      </c>
      <c r="AQ304" s="18" t="s">
        <v>95</v>
      </c>
      <c r="AR304" s="18" t="s">
        <v>95</v>
      </c>
      <c r="AS304" s="18" t="s">
        <v>83</v>
      </c>
      <c r="AT304" s="18" t="s">
        <v>81</v>
      </c>
      <c r="AU304" s="18" t="s">
        <v>81</v>
      </c>
      <c r="AV304" s="18" t="s">
        <v>95</v>
      </c>
      <c r="AW304" s="18" t="s">
        <v>95</v>
      </c>
      <c r="AX304" s="18"/>
      <c r="AY304" s="18" t="str">
        <f>Pospago[[#This Row],[NUM_TELEFONICO]]&amp;"POSPAGOSI"</f>
        <v>983839658POSPAGOSI</v>
      </c>
      <c r="AZ304" s="18" t="str">
        <f>VLOOKUP(Pospago[[#This Row],[NOM_PLAZA_FINAL]],[1]!Locales[#Data],3,0)</f>
        <v>TIENDA CONDADO</v>
      </c>
      <c r="BA304" s="18" t="str">
        <f>IFERROR(VLOOKUP(Pospago[[#This Row],[USUARIO]],[1]!Personal[#Data],6,0),"EJECUTIVO NO REGISTRADO")</f>
        <v>GUACHAMIN CAZA HUGO ADRIAN</v>
      </c>
      <c r="BB304" s="18" t="str">
        <f>Pospago[[#This Row],[TIPO_MOVIMIENTO]]&amp;" "&amp;Pospago[[#This Row],[FORMA_PAGO_FINAL]]</f>
        <v>ALTAS DOMICILIADO</v>
      </c>
      <c r="BC304" s="18">
        <f>DAY(Pospago[[#This Row],[FECHA_ALTA]])</f>
        <v>3</v>
      </c>
      <c r="BD304" s="18">
        <f>IF(Pospago[[#This Row],[TARIFA_BASICA]]=11.42,1,0)</f>
        <v>0</v>
      </c>
      <c r="BE304" s="18">
        <f>IF(Pospago[[#This Row],[PLANES TELEVENTAS]]="SI",1,0)</f>
        <v>1</v>
      </c>
      <c r="BF304" s="18">
        <f>1</f>
        <v>1</v>
      </c>
      <c r="BG304" s="18">
        <f>IF(OR(Pospago[[#This Row],[TARIFA_BASICA]]=11.42,Pospago[[#This Row],[PLANES TELEVENTAS]]="SI"),1,0)</f>
        <v>1</v>
      </c>
      <c r="BH304" s="18" t="str">
        <f>IF(MID(Pospago[[#This Row],[PlanDesc]],1,4) = "PLAN","POSPAGO",IF(MID(Pospago[[#This Row],[PlanDesc]],1,4)="FULL","FULL MEGAS","PREVIOPAGO"))</f>
        <v>PREVIOPAGO</v>
      </c>
      <c r="BI3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04" s="21">
        <f>Pospago[[#This Row],[TARIFA_BASICA]]*1.5</f>
        <v>21.419999999999998</v>
      </c>
    </row>
    <row r="305" spans="1:63" x14ac:dyDescent="0.25">
      <c r="A305" s="18" t="s">
        <v>64</v>
      </c>
      <c r="B305" s="18" t="s">
        <v>2123</v>
      </c>
      <c r="C305" s="18" t="s">
        <v>2124</v>
      </c>
      <c r="D305" s="19">
        <v>44910</v>
      </c>
      <c r="E305" s="18" t="s">
        <v>67</v>
      </c>
      <c r="F305" s="18" t="s">
        <v>2125</v>
      </c>
      <c r="G305" s="18" t="s">
        <v>2126</v>
      </c>
      <c r="H305" s="18" t="s">
        <v>70</v>
      </c>
      <c r="I305" s="18" t="s">
        <v>194</v>
      </c>
      <c r="J305" s="18" t="s">
        <v>195</v>
      </c>
      <c r="K305" s="18" t="s">
        <v>95</v>
      </c>
      <c r="L305" s="20" t="s">
        <v>2127</v>
      </c>
      <c r="M305" s="18" t="s">
        <v>75</v>
      </c>
      <c r="N305" s="20" t="s">
        <v>2128</v>
      </c>
      <c r="O305" s="18" t="s">
        <v>77</v>
      </c>
      <c r="P305" s="18" t="s">
        <v>78</v>
      </c>
      <c r="Q305" s="19">
        <v>44914</v>
      </c>
      <c r="R305" s="21">
        <v>14.28</v>
      </c>
      <c r="S305" s="18" t="s">
        <v>79</v>
      </c>
      <c r="T305" s="18" t="s">
        <v>117</v>
      </c>
      <c r="U305" s="18" t="s">
        <v>83</v>
      </c>
      <c r="V305" s="18" t="s">
        <v>95</v>
      </c>
      <c r="W305" s="18" t="s">
        <v>83</v>
      </c>
      <c r="X305" s="18" t="s">
        <v>84</v>
      </c>
      <c r="Y305" s="18" t="s">
        <v>85</v>
      </c>
      <c r="Z305" s="18" t="s">
        <v>86</v>
      </c>
      <c r="AA305" s="18" t="s">
        <v>87</v>
      </c>
      <c r="AB305" s="18" t="s">
        <v>120</v>
      </c>
      <c r="AC305" s="18" t="s">
        <v>121</v>
      </c>
      <c r="AD305" s="18" t="s">
        <v>85</v>
      </c>
      <c r="AE305" s="18" t="s">
        <v>90</v>
      </c>
      <c r="AF305" s="18" t="s">
        <v>122</v>
      </c>
      <c r="AG305" s="18" t="s">
        <v>92</v>
      </c>
      <c r="AH305" s="18" t="s">
        <v>93</v>
      </c>
      <c r="AI305" s="18" t="s">
        <v>94</v>
      </c>
      <c r="AJ305" s="19">
        <v>44910</v>
      </c>
      <c r="AK305" s="22" t="s">
        <v>95</v>
      </c>
      <c r="AL305" s="18" t="s">
        <v>95</v>
      </c>
      <c r="AM305" s="18" t="s">
        <v>95</v>
      </c>
      <c r="AN305" s="18" t="s">
        <v>95</v>
      </c>
      <c r="AO305" s="18" t="s">
        <v>95</v>
      </c>
      <c r="AP305" s="18" t="s">
        <v>95</v>
      </c>
      <c r="AQ305" s="18" t="s">
        <v>95</v>
      </c>
      <c r="AR305" s="18" t="s">
        <v>95</v>
      </c>
      <c r="AS305" s="18" t="s">
        <v>83</v>
      </c>
      <c r="AT305" s="18" t="s">
        <v>81</v>
      </c>
      <c r="AU305" s="18" t="s">
        <v>81</v>
      </c>
      <c r="AV305" s="18" t="s">
        <v>95</v>
      </c>
      <c r="AW305" s="18" t="s">
        <v>95</v>
      </c>
      <c r="AX305" s="18"/>
      <c r="AY305" s="18" t="str">
        <f>Pospago[[#This Row],[NUM_TELEFONICO]]&amp;"POSPAGOSI"</f>
        <v>983858434POSPAGOSI</v>
      </c>
      <c r="AZ305" s="18" t="str">
        <f>VLOOKUP(Pospago[[#This Row],[NOM_PLAZA_FINAL]],[1]!Locales[#Data],3,0)</f>
        <v>TIENDA MACHALA</v>
      </c>
      <c r="BA305" s="18" t="str">
        <f>IFERROR(VLOOKUP(Pospago[[#This Row],[USUARIO]],[1]!Personal[#Data],6,0),"EJECUTIVO NO REGISTRADO")</f>
        <v>ARROBO VICENTE YADIRA ESPERANZA</v>
      </c>
      <c r="BB305" s="18" t="str">
        <f>Pospago[[#This Row],[TIPO_MOVIMIENTO]]&amp;" "&amp;Pospago[[#This Row],[FORMA_PAGO_FINAL]]</f>
        <v>ALTAS DOMICILIADO</v>
      </c>
      <c r="BC305" s="18">
        <f>DAY(Pospago[[#This Row],[FECHA_ALTA]])</f>
        <v>15</v>
      </c>
      <c r="BD305" s="18">
        <f>IF(Pospago[[#This Row],[TARIFA_BASICA]]=11.42,1,0)</f>
        <v>0</v>
      </c>
      <c r="BE305" s="18">
        <f>IF(Pospago[[#This Row],[PLANES TELEVENTAS]]="SI",1,0)</f>
        <v>1</v>
      </c>
      <c r="BF305" s="18">
        <f>1</f>
        <v>1</v>
      </c>
      <c r="BG305" s="18">
        <f>IF(OR(Pospago[[#This Row],[TARIFA_BASICA]]=11.42,Pospago[[#This Row],[PLANES TELEVENTAS]]="SI"),1,0)</f>
        <v>1</v>
      </c>
      <c r="BH305" s="18" t="str">
        <f>IF(MID(Pospago[[#This Row],[PlanDesc]],1,4) = "PLAN","POSPAGO",IF(MID(Pospago[[#This Row],[PlanDesc]],1,4)="FULL","FULL MEGAS","PREVIOPAGO"))</f>
        <v>PREVIOPAGO</v>
      </c>
      <c r="BI3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3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05" s="21">
        <f>Pospago[[#This Row],[TARIFA_BASICA]]*1.5</f>
        <v>21.419999999999998</v>
      </c>
    </row>
    <row r="306" spans="1:63" x14ac:dyDescent="0.25">
      <c r="A306" s="18" t="s">
        <v>64</v>
      </c>
      <c r="B306" s="18" t="s">
        <v>2129</v>
      </c>
      <c r="C306" s="18" t="s">
        <v>2130</v>
      </c>
      <c r="D306" s="19">
        <v>44905</v>
      </c>
      <c r="E306" s="18" t="s">
        <v>67</v>
      </c>
      <c r="F306" s="18" t="s">
        <v>2131</v>
      </c>
      <c r="G306" s="18" t="s">
        <v>2132</v>
      </c>
      <c r="H306" s="18" t="s">
        <v>70</v>
      </c>
      <c r="I306" s="18" t="s">
        <v>71</v>
      </c>
      <c r="J306" s="18" t="s">
        <v>72</v>
      </c>
      <c r="K306" s="18" t="s">
        <v>73</v>
      </c>
      <c r="L306" s="20" t="s">
        <v>2133</v>
      </c>
      <c r="M306" s="18" t="s">
        <v>75</v>
      </c>
      <c r="N306" s="20" t="s">
        <v>2134</v>
      </c>
      <c r="O306" s="18" t="s">
        <v>77</v>
      </c>
      <c r="P306" s="18" t="s">
        <v>78</v>
      </c>
      <c r="Q306" s="19">
        <v>44914</v>
      </c>
      <c r="R306" s="21">
        <v>11.42</v>
      </c>
      <c r="S306" s="18" t="s">
        <v>79</v>
      </c>
      <c r="T306" s="18" t="s">
        <v>174</v>
      </c>
      <c r="U306" s="18" t="s">
        <v>83</v>
      </c>
      <c r="V306" s="18" t="s">
        <v>95</v>
      </c>
      <c r="W306" s="18" t="s">
        <v>83</v>
      </c>
      <c r="X306" s="18" t="s">
        <v>84</v>
      </c>
      <c r="Y306" s="18" t="s">
        <v>85</v>
      </c>
      <c r="Z306" s="18" t="s">
        <v>86</v>
      </c>
      <c r="AA306" s="18" t="s">
        <v>87</v>
      </c>
      <c r="AB306" s="18" t="s">
        <v>492</v>
      </c>
      <c r="AC306" s="18" t="s">
        <v>493</v>
      </c>
      <c r="AD306" s="18" t="s">
        <v>85</v>
      </c>
      <c r="AE306" s="18" t="s">
        <v>90</v>
      </c>
      <c r="AF306" s="18" t="s">
        <v>177</v>
      </c>
      <c r="AG306" s="18" t="s">
        <v>139</v>
      </c>
      <c r="AH306" s="18" t="s">
        <v>93</v>
      </c>
      <c r="AI306" s="18" t="s">
        <v>94</v>
      </c>
      <c r="AJ306" s="19">
        <v>44905</v>
      </c>
      <c r="AK306" s="22" t="s">
        <v>95</v>
      </c>
      <c r="AL306" s="18" t="s">
        <v>95</v>
      </c>
      <c r="AM306" s="18" t="s">
        <v>95</v>
      </c>
      <c r="AN306" s="18" t="s">
        <v>95</v>
      </c>
      <c r="AO306" s="18" t="s">
        <v>95</v>
      </c>
      <c r="AP306" s="18" t="s">
        <v>95</v>
      </c>
      <c r="AQ306" s="18" t="s">
        <v>95</v>
      </c>
      <c r="AR306" s="18" t="s">
        <v>95</v>
      </c>
      <c r="AS306" s="18" t="s">
        <v>83</v>
      </c>
      <c r="AT306" s="18" t="s">
        <v>83</v>
      </c>
      <c r="AU306" s="18" t="s">
        <v>81</v>
      </c>
      <c r="AV306" s="18" t="s">
        <v>95</v>
      </c>
      <c r="AW306" s="18" t="s">
        <v>95</v>
      </c>
      <c r="AX306" s="18"/>
      <c r="AY306" s="18" t="str">
        <f>Pospago[[#This Row],[NUM_TELEFONICO]]&amp;"POSPAGOSI"</f>
        <v>983860155POSPAGOSI</v>
      </c>
      <c r="AZ306" s="18" t="str">
        <f>VLOOKUP(Pospago[[#This Row],[NOM_PLAZA_FINAL]],[1]!Locales[#Data],3,0)</f>
        <v>TIENDA RECREO</v>
      </c>
      <c r="BA306" s="18" t="str">
        <f>IFERROR(VLOOKUP(Pospago[[#This Row],[USUARIO]],[1]!Personal[#Data],6,0),"EJECUTIVO NO REGISTRADO")</f>
        <v>CONDO GARCIA NICOLAS MATIAS</v>
      </c>
      <c r="BB306" s="18" t="str">
        <f>Pospago[[#This Row],[TIPO_MOVIMIENTO]]&amp;" "&amp;Pospago[[#This Row],[FORMA_PAGO_FINAL]]</f>
        <v>ALTAS DOMICILIADO</v>
      </c>
      <c r="BC306" s="18">
        <f>DAY(Pospago[[#This Row],[FECHA_ALTA]])</f>
        <v>10</v>
      </c>
      <c r="BD306" s="18">
        <f>IF(Pospago[[#This Row],[TARIFA_BASICA]]=11.42,1,0)</f>
        <v>1</v>
      </c>
      <c r="BE306" s="18">
        <f>IF(Pospago[[#This Row],[PLANES TELEVENTAS]]="SI",1,0)</f>
        <v>0</v>
      </c>
      <c r="BF306" s="18">
        <f>1</f>
        <v>1</v>
      </c>
      <c r="BG306" s="18">
        <f>IF(OR(Pospago[[#This Row],[TARIFA_BASICA]]=11.42,Pospago[[#This Row],[PLANES TELEVENTAS]]="SI"),1,0)</f>
        <v>1</v>
      </c>
      <c r="BH306" s="18" t="str">
        <f>IF(MID(Pospago[[#This Row],[PlanDesc]],1,4) = "PLAN","POSPAGO",IF(MID(Pospago[[#This Row],[PlanDesc]],1,4)="FULL","FULL MEGAS","PREVIOPAGO"))</f>
        <v>PREVIOPAGO</v>
      </c>
      <c r="BI3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3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06" s="21">
        <f>Pospago[[#This Row],[TARIFA_BASICA]]*1.5</f>
        <v>17.13</v>
      </c>
    </row>
    <row r="307" spans="1:63" x14ac:dyDescent="0.25">
      <c r="A307" s="18" t="s">
        <v>154</v>
      </c>
      <c r="B307" s="18" t="s">
        <v>2135</v>
      </c>
      <c r="C307" s="18" t="s">
        <v>2136</v>
      </c>
      <c r="D307" s="19">
        <v>44912</v>
      </c>
      <c r="E307" s="18" t="s">
        <v>67</v>
      </c>
      <c r="F307" s="18" t="s">
        <v>2137</v>
      </c>
      <c r="G307" s="18" t="s">
        <v>2138</v>
      </c>
      <c r="H307" s="18" t="s">
        <v>159</v>
      </c>
      <c r="I307" s="18" t="s">
        <v>71</v>
      </c>
      <c r="J307" s="18" t="s">
        <v>258</v>
      </c>
      <c r="K307" s="18" t="s">
        <v>95</v>
      </c>
      <c r="L307" s="20" t="s">
        <v>2139</v>
      </c>
      <c r="M307" s="18" t="s">
        <v>75</v>
      </c>
      <c r="N307" s="20" t="s">
        <v>2140</v>
      </c>
      <c r="O307" s="18" t="s">
        <v>164</v>
      </c>
      <c r="P307" s="18" t="s">
        <v>78</v>
      </c>
      <c r="Q307" s="19">
        <v>44914</v>
      </c>
      <c r="R307" s="21">
        <v>11.42</v>
      </c>
      <c r="S307" s="18" t="s">
        <v>79</v>
      </c>
      <c r="T307" s="18" t="s">
        <v>174</v>
      </c>
      <c r="U307" s="18" t="s">
        <v>83</v>
      </c>
      <c r="V307" s="18" t="s">
        <v>95</v>
      </c>
      <c r="W307" s="18" t="s">
        <v>95</v>
      </c>
      <c r="X307" s="18" t="s">
        <v>118</v>
      </c>
      <c r="Y307" s="18" t="s">
        <v>85</v>
      </c>
      <c r="Z307" s="18" t="s">
        <v>86</v>
      </c>
      <c r="AA307" s="18" t="s">
        <v>119</v>
      </c>
      <c r="AB307" s="18" t="s">
        <v>251</v>
      </c>
      <c r="AC307" s="18" t="s">
        <v>252</v>
      </c>
      <c r="AD307" s="18" t="s">
        <v>85</v>
      </c>
      <c r="AE307" s="18" t="s">
        <v>90</v>
      </c>
      <c r="AF307" s="18" t="s">
        <v>177</v>
      </c>
      <c r="AG307" s="18" t="s">
        <v>139</v>
      </c>
      <c r="AH307" s="18" t="s">
        <v>165</v>
      </c>
      <c r="AI307" s="18" t="s">
        <v>94</v>
      </c>
      <c r="AJ307" s="19">
        <v>44912</v>
      </c>
      <c r="AK307" s="22" t="s">
        <v>95</v>
      </c>
      <c r="AL307" s="18" t="s">
        <v>95</v>
      </c>
      <c r="AM307" s="18" t="s">
        <v>95</v>
      </c>
      <c r="AN307" s="18" t="s">
        <v>95</v>
      </c>
      <c r="AO307" s="18" t="s">
        <v>95</v>
      </c>
      <c r="AP307" s="18" t="s">
        <v>95</v>
      </c>
      <c r="AQ307" s="18" t="s">
        <v>95</v>
      </c>
      <c r="AR307" s="18" t="s">
        <v>95</v>
      </c>
      <c r="AS307" s="18" t="s">
        <v>83</v>
      </c>
      <c r="AT307" s="18" t="s">
        <v>83</v>
      </c>
      <c r="AU307" s="18" t="s">
        <v>81</v>
      </c>
      <c r="AV307" s="18" t="s">
        <v>95</v>
      </c>
      <c r="AW307" s="18" t="s">
        <v>95</v>
      </c>
      <c r="AX307" s="18"/>
      <c r="AY307" s="18" t="str">
        <f>Pospago[[#This Row],[NUM_TELEFONICO]]&amp;"POSPAGOSI"</f>
        <v>983863580POSPAGOSI</v>
      </c>
      <c r="AZ307" s="18" t="str">
        <f>VLOOKUP(Pospago[[#This Row],[NOM_PLAZA_FINAL]],[1]!Locales[#Data],3,0)</f>
        <v>TIENDA RECREO</v>
      </c>
      <c r="BA307" s="18" t="str">
        <f>IFERROR(VLOOKUP(Pospago[[#This Row],[USUARIO]],[1]!Personal[#Data],6,0),"EJECUTIVO NO REGISTRADO")</f>
        <v>CRUZ MONTUFAR KATHERINE ALEJANDRA</v>
      </c>
      <c r="BB307" s="18" t="str">
        <f>Pospago[[#This Row],[TIPO_MOVIMIENTO]]&amp;" "&amp;Pospago[[#This Row],[FORMA_PAGO_FINAL]]</f>
        <v>TRANSFERENCIAS PAGO EN CAJA</v>
      </c>
      <c r="BC307" s="18">
        <f>DAY(Pospago[[#This Row],[FECHA_ALTA]])</f>
        <v>17</v>
      </c>
      <c r="BD307" s="18">
        <f>IF(Pospago[[#This Row],[TARIFA_BASICA]]=11.42,1,0)</f>
        <v>1</v>
      </c>
      <c r="BE307" s="18">
        <f>IF(Pospago[[#This Row],[PLANES TELEVENTAS]]="SI",1,0)</f>
        <v>0</v>
      </c>
      <c r="BF307" s="18">
        <f>1</f>
        <v>1</v>
      </c>
      <c r="BG307" s="18">
        <f>IF(OR(Pospago[[#This Row],[TARIFA_BASICA]]=11.42,Pospago[[#This Row],[PLANES TELEVENTAS]]="SI"),1,0)</f>
        <v>1</v>
      </c>
      <c r="BH307" s="18" t="str">
        <f>IF(MID(Pospago[[#This Row],[PlanDesc]],1,4) = "PLAN","POSPAGO",IF(MID(Pospago[[#This Row],[PlanDesc]],1,4)="FULL","FULL MEGAS","PREVIOPAGO"))</f>
        <v>PREVIOPAGO</v>
      </c>
      <c r="BI3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07" s="21">
        <f>Pospago[[#This Row],[TARIFA_BASICA]]*1.5</f>
        <v>17.13</v>
      </c>
    </row>
    <row r="308" spans="1:63" x14ac:dyDescent="0.25">
      <c r="A308" s="18" t="s">
        <v>64</v>
      </c>
      <c r="B308" s="18" t="s">
        <v>2141</v>
      </c>
      <c r="C308" s="18" t="s">
        <v>2142</v>
      </c>
      <c r="D308" s="19">
        <v>44901</v>
      </c>
      <c r="E308" s="18" t="s">
        <v>67</v>
      </c>
      <c r="F308" s="18" t="s">
        <v>2143</v>
      </c>
      <c r="G308" s="18" t="s">
        <v>2144</v>
      </c>
      <c r="H308" s="18" t="s">
        <v>70</v>
      </c>
      <c r="I308" s="18" t="s">
        <v>160</v>
      </c>
      <c r="J308" s="18" t="s">
        <v>195</v>
      </c>
      <c r="K308" s="18" t="s">
        <v>114</v>
      </c>
      <c r="L308" s="20" t="s">
        <v>2145</v>
      </c>
      <c r="M308" s="18" t="s">
        <v>75</v>
      </c>
      <c r="N308" s="20" t="s">
        <v>2146</v>
      </c>
      <c r="O308" s="18" t="s">
        <v>77</v>
      </c>
      <c r="P308" s="18" t="s">
        <v>78</v>
      </c>
      <c r="Q308" s="19">
        <v>44914</v>
      </c>
      <c r="R308" s="21">
        <v>14.28</v>
      </c>
      <c r="S308" s="18" t="s">
        <v>79</v>
      </c>
      <c r="T308" s="18" t="s">
        <v>117</v>
      </c>
      <c r="U308" s="18" t="s">
        <v>83</v>
      </c>
      <c r="V308" s="18" t="s">
        <v>95</v>
      </c>
      <c r="W308" s="18" t="s">
        <v>83</v>
      </c>
      <c r="X308" s="18" t="s">
        <v>84</v>
      </c>
      <c r="Y308" s="18" t="s">
        <v>85</v>
      </c>
      <c r="Z308" s="18" t="s">
        <v>86</v>
      </c>
      <c r="AA308" s="18" t="s">
        <v>87</v>
      </c>
      <c r="AB308" s="18" t="s">
        <v>1043</v>
      </c>
      <c r="AC308" s="18" t="s">
        <v>1044</v>
      </c>
      <c r="AD308" s="18" t="s">
        <v>85</v>
      </c>
      <c r="AE308" s="18" t="s">
        <v>90</v>
      </c>
      <c r="AF308" s="18" t="s">
        <v>122</v>
      </c>
      <c r="AG308" s="18" t="s">
        <v>92</v>
      </c>
      <c r="AH308" s="18" t="s">
        <v>93</v>
      </c>
      <c r="AI308" s="18" t="s">
        <v>94</v>
      </c>
      <c r="AJ308" s="19">
        <v>44901</v>
      </c>
      <c r="AK308" s="22" t="s">
        <v>95</v>
      </c>
      <c r="AL308" s="18" t="s">
        <v>95</v>
      </c>
      <c r="AM308" s="18" t="s">
        <v>95</v>
      </c>
      <c r="AN308" s="18" t="s">
        <v>95</v>
      </c>
      <c r="AO308" s="18" t="s">
        <v>95</v>
      </c>
      <c r="AP308" s="18" t="s">
        <v>95</v>
      </c>
      <c r="AQ308" s="18" t="s">
        <v>95</v>
      </c>
      <c r="AR308" s="18" t="s">
        <v>95</v>
      </c>
      <c r="AS308" s="18" t="s">
        <v>83</v>
      </c>
      <c r="AT308" s="18" t="s">
        <v>83</v>
      </c>
      <c r="AU308" s="18" t="s">
        <v>81</v>
      </c>
      <c r="AV308" s="18" t="s">
        <v>95</v>
      </c>
      <c r="AW308" s="18" t="s">
        <v>95</v>
      </c>
      <c r="AX308" s="18"/>
      <c r="AY308" s="18" t="str">
        <f>Pospago[[#This Row],[NUM_TELEFONICO]]&amp;"POSPAGOSI"</f>
        <v>983869956POSPAGOSI</v>
      </c>
      <c r="AZ308" s="18" t="str">
        <f>VLOOKUP(Pospago[[#This Row],[NOM_PLAZA_FINAL]],[1]!Locales[#Data],3,0)</f>
        <v>TIENDA MACHALA</v>
      </c>
      <c r="BA308" s="18" t="str">
        <f>IFERROR(VLOOKUP(Pospago[[#This Row],[USUARIO]],[1]!Personal[#Data],6,0),"EJECUTIVO NO REGISTRADO")</f>
        <v>GONZAGA YUPANGUI LIZBETH KATHERINE</v>
      </c>
      <c r="BB308" s="18" t="str">
        <f>Pospago[[#This Row],[TIPO_MOVIMIENTO]]&amp;" "&amp;Pospago[[#This Row],[FORMA_PAGO_FINAL]]</f>
        <v>ALTAS DOMICILIADO</v>
      </c>
      <c r="BC308" s="18">
        <f>DAY(Pospago[[#This Row],[FECHA_ALTA]])</f>
        <v>6</v>
      </c>
      <c r="BD308" s="18">
        <f>IF(Pospago[[#This Row],[TARIFA_BASICA]]=11.42,1,0)</f>
        <v>0</v>
      </c>
      <c r="BE308" s="18">
        <f>IF(Pospago[[#This Row],[PLANES TELEVENTAS]]="SI",1,0)</f>
        <v>0</v>
      </c>
      <c r="BF308" s="18">
        <f>1</f>
        <v>1</v>
      </c>
      <c r="BG308" s="18">
        <f>IF(OR(Pospago[[#This Row],[TARIFA_BASICA]]=11.42,Pospago[[#This Row],[PLANES TELEVENTAS]]="SI"),1,0)</f>
        <v>0</v>
      </c>
      <c r="BH308" s="18" t="str">
        <f>IF(MID(Pospago[[#This Row],[PlanDesc]],1,4) = "PLAN","POSPAGO",IF(MID(Pospago[[#This Row],[PlanDesc]],1,4)="FULL","FULL MEGAS","PREVIOPAGO"))</f>
        <v>PREVIOPAGO</v>
      </c>
      <c r="BI3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3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08" s="21">
        <f>Pospago[[#This Row],[TARIFA_BASICA]]*1.5</f>
        <v>21.419999999999998</v>
      </c>
    </row>
    <row r="309" spans="1:63" x14ac:dyDescent="0.25">
      <c r="A309" s="18" t="s">
        <v>154</v>
      </c>
      <c r="B309" s="18" t="s">
        <v>2147</v>
      </c>
      <c r="C309" s="18" t="s">
        <v>2148</v>
      </c>
      <c r="D309" s="19">
        <v>44906</v>
      </c>
      <c r="E309" s="18" t="s">
        <v>67</v>
      </c>
      <c r="F309" s="18" t="s">
        <v>2149</v>
      </c>
      <c r="G309" s="18" t="s">
        <v>2150</v>
      </c>
      <c r="H309" s="18" t="s">
        <v>159</v>
      </c>
      <c r="I309" s="18" t="s">
        <v>130</v>
      </c>
      <c r="J309" s="18" t="s">
        <v>433</v>
      </c>
      <c r="K309" s="18" t="s">
        <v>73</v>
      </c>
      <c r="L309" s="20" t="s">
        <v>2151</v>
      </c>
      <c r="M309" s="18" t="s">
        <v>75</v>
      </c>
      <c r="N309" s="20" t="s">
        <v>2152</v>
      </c>
      <c r="O309" s="18" t="s">
        <v>164</v>
      </c>
      <c r="P309" s="18" t="s">
        <v>78</v>
      </c>
      <c r="Q309" s="19">
        <v>44914</v>
      </c>
      <c r="R309" s="21">
        <v>15</v>
      </c>
      <c r="S309" s="18" t="s">
        <v>79</v>
      </c>
      <c r="T309" s="18" t="s">
        <v>232</v>
      </c>
      <c r="U309" s="18" t="s">
        <v>83</v>
      </c>
      <c r="V309" s="18" t="s">
        <v>95</v>
      </c>
      <c r="W309" s="18" t="s">
        <v>95</v>
      </c>
      <c r="X309" s="18" t="s">
        <v>84</v>
      </c>
      <c r="Y309" s="18" t="s">
        <v>85</v>
      </c>
      <c r="Z309" s="18" t="s">
        <v>86</v>
      </c>
      <c r="AA309" s="18" t="s">
        <v>87</v>
      </c>
      <c r="AB309" s="18" t="s">
        <v>271</v>
      </c>
      <c r="AC309" s="18" t="s">
        <v>272</v>
      </c>
      <c r="AD309" s="18" t="s">
        <v>85</v>
      </c>
      <c r="AE309" s="18" t="s">
        <v>90</v>
      </c>
      <c r="AF309" s="18" t="s">
        <v>235</v>
      </c>
      <c r="AG309" s="18" t="s">
        <v>139</v>
      </c>
      <c r="AH309" s="18" t="s">
        <v>165</v>
      </c>
      <c r="AI309" s="18" t="s">
        <v>94</v>
      </c>
      <c r="AJ309" s="19">
        <v>44906</v>
      </c>
      <c r="AK309" s="22" t="s">
        <v>95</v>
      </c>
      <c r="AL309" s="18" t="s">
        <v>95</v>
      </c>
      <c r="AM309" s="18" t="s">
        <v>95</v>
      </c>
      <c r="AN309" s="18" t="s">
        <v>95</v>
      </c>
      <c r="AO309" s="18" t="s">
        <v>95</v>
      </c>
      <c r="AP309" s="18" t="s">
        <v>95</v>
      </c>
      <c r="AQ309" s="18" t="s">
        <v>95</v>
      </c>
      <c r="AR309" s="18" t="s">
        <v>95</v>
      </c>
      <c r="AS309" s="18" t="s">
        <v>83</v>
      </c>
      <c r="AT309" s="18" t="s">
        <v>83</v>
      </c>
      <c r="AU309" s="18" t="s">
        <v>81</v>
      </c>
      <c r="AV309" s="18" t="s">
        <v>95</v>
      </c>
      <c r="AW309" s="18" t="s">
        <v>96</v>
      </c>
      <c r="AX309" s="18"/>
      <c r="AY309" s="18" t="str">
        <f>Pospago[[#This Row],[NUM_TELEFONICO]]&amp;"POSPAGOSI"</f>
        <v>983870963POSPAGOSI</v>
      </c>
      <c r="AZ309" s="18" t="str">
        <f>VLOOKUP(Pospago[[#This Row],[NOM_PLAZA_FINAL]],[1]!Locales[#Data],3,0)</f>
        <v>TIENDA CONDADO</v>
      </c>
      <c r="BA309" s="18" t="str">
        <f>IFERROR(VLOOKUP(Pospago[[#This Row],[USUARIO]],[1]!Personal[#Data],6,0),"EJECUTIVO NO REGISTRADO")</f>
        <v>CASTILLO AGUIRRE EDWIN MODESTO</v>
      </c>
      <c r="BB309" s="18" t="str">
        <f>Pospago[[#This Row],[TIPO_MOVIMIENTO]]&amp;" "&amp;Pospago[[#This Row],[FORMA_PAGO_FINAL]]</f>
        <v>TRANSFERENCIAS DOMICILIADO</v>
      </c>
      <c r="BC309" s="18">
        <f>DAY(Pospago[[#This Row],[FECHA_ALTA]])</f>
        <v>11</v>
      </c>
      <c r="BD309" s="18">
        <f>IF(Pospago[[#This Row],[TARIFA_BASICA]]=11.42,1,0)</f>
        <v>0</v>
      </c>
      <c r="BE309" s="18">
        <f>IF(Pospago[[#This Row],[PLANES TELEVENTAS]]="SI",1,0)</f>
        <v>0</v>
      </c>
      <c r="BF309" s="18">
        <f>1</f>
        <v>1</v>
      </c>
      <c r="BG309" s="18">
        <f>IF(OR(Pospago[[#This Row],[TARIFA_BASICA]]=11.42,Pospago[[#This Row],[PLANES TELEVENTAS]]="SI"),1,0)</f>
        <v>0</v>
      </c>
      <c r="BH309" s="18" t="str">
        <f>IF(MID(Pospago[[#This Row],[PlanDesc]],1,4) = "PLAN","POSPAGO",IF(MID(Pospago[[#This Row],[PlanDesc]],1,4)="FULL","FULL MEGAS","PREVIOPAGO"))</f>
        <v>PREVIOPAGO</v>
      </c>
      <c r="BI3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3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09" s="21">
        <f>Pospago[[#This Row],[TARIFA_BASICA]]*1.5</f>
        <v>22.5</v>
      </c>
    </row>
    <row r="310" spans="1:63" x14ac:dyDescent="0.25">
      <c r="A310" s="18" t="s">
        <v>154</v>
      </c>
      <c r="B310" s="18" t="s">
        <v>2153</v>
      </c>
      <c r="C310" s="18" t="s">
        <v>2154</v>
      </c>
      <c r="D310" s="19">
        <v>44899</v>
      </c>
      <c r="E310" s="18" t="s">
        <v>67</v>
      </c>
      <c r="F310" s="18" t="s">
        <v>2155</v>
      </c>
      <c r="G310" s="18" t="s">
        <v>2156</v>
      </c>
      <c r="H310" s="18" t="s">
        <v>159</v>
      </c>
      <c r="I310" s="18" t="s">
        <v>160</v>
      </c>
      <c r="J310" s="18" t="s">
        <v>161</v>
      </c>
      <c r="K310" s="18" t="s">
        <v>132</v>
      </c>
      <c r="L310" s="20" t="s">
        <v>2157</v>
      </c>
      <c r="M310" s="18" t="s">
        <v>75</v>
      </c>
      <c r="N310" s="20" t="s">
        <v>2158</v>
      </c>
      <c r="O310" s="18" t="s">
        <v>164</v>
      </c>
      <c r="P310" s="18" t="s">
        <v>78</v>
      </c>
      <c r="Q310" s="19">
        <v>44914</v>
      </c>
      <c r="R310" s="21">
        <v>14.28</v>
      </c>
      <c r="S310" s="18" t="s">
        <v>79</v>
      </c>
      <c r="T310" s="18" t="s">
        <v>174</v>
      </c>
      <c r="U310" s="18" t="s">
        <v>83</v>
      </c>
      <c r="V310" s="18" t="s">
        <v>95</v>
      </c>
      <c r="W310" s="18" t="s">
        <v>95</v>
      </c>
      <c r="X310" s="18" t="s">
        <v>84</v>
      </c>
      <c r="Y310" s="18" t="s">
        <v>85</v>
      </c>
      <c r="Z310" s="18" t="s">
        <v>86</v>
      </c>
      <c r="AA310" s="18" t="s">
        <v>87</v>
      </c>
      <c r="AB310" s="18" t="s">
        <v>2159</v>
      </c>
      <c r="AC310" s="18" t="s">
        <v>2160</v>
      </c>
      <c r="AD310" s="18" t="s">
        <v>85</v>
      </c>
      <c r="AE310" s="18" t="s">
        <v>90</v>
      </c>
      <c r="AF310" s="18" t="s">
        <v>177</v>
      </c>
      <c r="AG310" s="18" t="s">
        <v>139</v>
      </c>
      <c r="AH310" s="18" t="s">
        <v>165</v>
      </c>
      <c r="AI310" s="18" t="s">
        <v>94</v>
      </c>
      <c r="AJ310" s="19">
        <v>44899</v>
      </c>
      <c r="AK310" s="22" t="s">
        <v>95</v>
      </c>
      <c r="AL310" s="18" t="s">
        <v>95</v>
      </c>
      <c r="AM310" s="18" t="s">
        <v>95</v>
      </c>
      <c r="AN310" s="18" t="s">
        <v>95</v>
      </c>
      <c r="AO310" s="18" t="s">
        <v>95</v>
      </c>
      <c r="AP310" s="18" t="s">
        <v>95</v>
      </c>
      <c r="AQ310" s="18" t="s">
        <v>95</v>
      </c>
      <c r="AR310" s="18" t="s">
        <v>95</v>
      </c>
      <c r="AS310" s="18" t="s">
        <v>83</v>
      </c>
      <c r="AT310" s="18" t="s">
        <v>83</v>
      </c>
      <c r="AU310" s="18" t="s">
        <v>81</v>
      </c>
      <c r="AV310" s="18" t="s">
        <v>95</v>
      </c>
      <c r="AW310" s="18" t="s">
        <v>95</v>
      </c>
      <c r="AX310" s="18"/>
      <c r="AY310" s="18" t="str">
        <f>Pospago[[#This Row],[NUM_TELEFONICO]]&amp;"POSPAGOSI"</f>
        <v>983880153POSPAGOSI</v>
      </c>
      <c r="AZ310" s="18" t="str">
        <f>VLOOKUP(Pospago[[#This Row],[NOM_PLAZA_FINAL]],[1]!Locales[#Data],3,0)</f>
        <v>TIENDA RECREO</v>
      </c>
      <c r="BA310" s="18" t="str">
        <f>IFERROR(VLOOKUP(Pospago[[#This Row],[USUARIO]],[1]!Personal[#Data],6,0),"EJECUTIVO NO REGISTRADO")</f>
        <v>GUEVARA MAZA CRISTIAN FABIAN</v>
      </c>
      <c r="BB310" s="18" t="str">
        <f>Pospago[[#This Row],[TIPO_MOVIMIENTO]]&amp;" "&amp;Pospago[[#This Row],[FORMA_PAGO_FINAL]]</f>
        <v>TRANSFERENCIAS DOMICILIADO</v>
      </c>
      <c r="BC310" s="18">
        <f>DAY(Pospago[[#This Row],[FECHA_ALTA]])</f>
        <v>4</v>
      </c>
      <c r="BD310" s="18">
        <f>IF(Pospago[[#This Row],[TARIFA_BASICA]]=11.42,1,0)</f>
        <v>0</v>
      </c>
      <c r="BE310" s="18">
        <f>IF(Pospago[[#This Row],[PLANES TELEVENTAS]]="SI",1,0)</f>
        <v>0</v>
      </c>
      <c r="BF310" s="18">
        <f>1</f>
        <v>1</v>
      </c>
      <c r="BG310" s="18">
        <f>IF(OR(Pospago[[#This Row],[TARIFA_BASICA]]=11.42,Pospago[[#This Row],[PLANES TELEVENTAS]]="SI"),1,0)</f>
        <v>0</v>
      </c>
      <c r="BH310" s="18" t="str">
        <f>IF(MID(Pospago[[#This Row],[PlanDesc]],1,4) = "PLAN","POSPAGO",IF(MID(Pospago[[#This Row],[PlanDesc]],1,4)="FULL","FULL MEGAS","PREVIOPAGO"))</f>
        <v>PREVIOPAGO</v>
      </c>
      <c r="BI3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0" s="21">
        <f>Pospago[[#This Row],[TARIFA_BASICA]]*1.5</f>
        <v>21.419999999999998</v>
      </c>
    </row>
    <row r="311" spans="1:63" x14ac:dyDescent="0.25">
      <c r="A311" s="18" t="s">
        <v>64</v>
      </c>
      <c r="B311" s="18" t="s">
        <v>2161</v>
      </c>
      <c r="C311" s="18" t="s">
        <v>2162</v>
      </c>
      <c r="D311" s="19">
        <v>44908</v>
      </c>
      <c r="E311" s="18" t="s">
        <v>67</v>
      </c>
      <c r="F311" s="18" t="s">
        <v>2163</v>
      </c>
      <c r="G311" s="18" t="s">
        <v>2164</v>
      </c>
      <c r="H311" s="18" t="s">
        <v>70</v>
      </c>
      <c r="I311" s="18" t="s">
        <v>160</v>
      </c>
      <c r="J311" s="18" t="s">
        <v>195</v>
      </c>
      <c r="K311" s="18" t="s">
        <v>132</v>
      </c>
      <c r="L311" s="20" t="s">
        <v>2165</v>
      </c>
      <c r="M311" s="18" t="s">
        <v>75</v>
      </c>
      <c r="N311" s="20" t="s">
        <v>2166</v>
      </c>
      <c r="O311" s="18" t="s">
        <v>77</v>
      </c>
      <c r="P311" s="18" t="s">
        <v>78</v>
      </c>
      <c r="Q311" s="19">
        <v>44914</v>
      </c>
      <c r="R311" s="21">
        <v>14.28</v>
      </c>
      <c r="S311" s="18" t="s">
        <v>79</v>
      </c>
      <c r="T311" s="18" t="s">
        <v>174</v>
      </c>
      <c r="U311" s="18" t="s">
        <v>83</v>
      </c>
      <c r="V311" s="18" t="s">
        <v>95</v>
      </c>
      <c r="W311" s="18" t="s">
        <v>83</v>
      </c>
      <c r="X311" s="18" t="s">
        <v>84</v>
      </c>
      <c r="Y311" s="18" t="s">
        <v>85</v>
      </c>
      <c r="Z311" s="18" t="s">
        <v>86</v>
      </c>
      <c r="AA311" s="18" t="s">
        <v>87</v>
      </c>
      <c r="AB311" s="18" t="s">
        <v>303</v>
      </c>
      <c r="AC311" s="18" t="s">
        <v>304</v>
      </c>
      <c r="AD311" s="18" t="s">
        <v>85</v>
      </c>
      <c r="AE311" s="18" t="s">
        <v>90</v>
      </c>
      <c r="AF311" s="18" t="s">
        <v>177</v>
      </c>
      <c r="AG311" s="18" t="s">
        <v>139</v>
      </c>
      <c r="AH311" s="18" t="s">
        <v>93</v>
      </c>
      <c r="AI311" s="18" t="s">
        <v>94</v>
      </c>
      <c r="AJ311" s="19">
        <v>44908</v>
      </c>
      <c r="AK311" s="22" t="s">
        <v>95</v>
      </c>
      <c r="AL311" s="18" t="s">
        <v>95</v>
      </c>
      <c r="AM311" s="18" t="s">
        <v>95</v>
      </c>
      <c r="AN311" s="18" t="s">
        <v>95</v>
      </c>
      <c r="AO311" s="18" t="s">
        <v>95</v>
      </c>
      <c r="AP311" s="18" t="s">
        <v>95</v>
      </c>
      <c r="AQ311" s="18" t="s">
        <v>95</v>
      </c>
      <c r="AR311" s="18" t="s">
        <v>95</v>
      </c>
      <c r="AS311" s="18" t="s">
        <v>83</v>
      </c>
      <c r="AT311" s="18" t="s">
        <v>83</v>
      </c>
      <c r="AU311" s="18" t="s">
        <v>81</v>
      </c>
      <c r="AV311" s="18" t="s">
        <v>95</v>
      </c>
      <c r="AW311" s="18" t="s">
        <v>95</v>
      </c>
      <c r="AX311" s="18"/>
      <c r="AY311" s="18" t="str">
        <f>Pospago[[#This Row],[NUM_TELEFONICO]]&amp;"POSPAGOSI"</f>
        <v>983882776POSPAGOSI</v>
      </c>
      <c r="AZ311" s="18" t="str">
        <f>VLOOKUP(Pospago[[#This Row],[NOM_PLAZA_FINAL]],[1]!Locales[#Data],3,0)</f>
        <v>TIENDA RECREO</v>
      </c>
      <c r="BA311" s="18" t="str">
        <f>IFERROR(VLOOKUP(Pospago[[#This Row],[USUARIO]],[1]!Personal[#Data],6,0),"EJECUTIVO NO REGISTRADO")</f>
        <v>CORDOVA GAIBOR JONATHAN HERNAN</v>
      </c>
      <c r="BB311" s="18" t="str">
        <f>Pospago[[#This Row],[TIPO_MOVIMIENTO]]&amp;" "&amp;Pospago[[#This Row],[FORMA_PAGO_FINAL]]</f>
        <v>ALTAS DOMICILIADO</v>
      </c>
      <c r="BC311" s="18">
        <f>DAY(Pospago[[#This Row],[FECHA_ALTA]])</f>
        <v>13</v>
      </c>
      <c r="BD311" s="18">
        <f>IF(Pospago[[#This Row],[TARIFA_BASICA]]=11.42,1,0)</f>
        <v>0</v>
      </c>
      <c r="BE311" s="18">
        <f>IF(Pospago[[#This Row],[PLANES TELEVENTAS]]="SI",1,0)</f>
        <v>0</v>
      </c>
      <c r="BF311" s="18">
        <f>1</f>
        <v>1</v>
      </c>
      <c r="BG311" s="18">
        <f>IF(OR(Pospago[[#This Row],[TARIFA_BASICA]]=11.42,Pospago[[#This Row],[PLANES TELEVENTAS]]="SI"),1,0)</f>
        <v>0</v>
      </c>
      <c r="BH311" s="18" t="str">
        <f>IF(MID(Pospago[[#This Row],[PlanDesc]],1,4) = "PLAN","POSPAGO",IF(MID(Pospago[[#This Row],[PlanDesc]],1,4)="FULL","FULL MEGAS","PREVIOPAGO"))</f>
        <v>PREVIOPAGO</v>
      </c>
      <c r="BI3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1" s="21">
        <f>Pospago[[#This Row],[TARIFA_BASICA]]*1.5</f>
        <v>21.419999999999998</v>
      </c>
    </row>
    <row r="312" spans="1:63" x14ac:dyDescent="0.25">
      <c r="A312" s="18" t="s">
        <v>154</v>
      </c>
      <c r="B312" s="18" t="s">
        <v>2167</v>
      </c>
      <c r="C312" s="18" t="s">
        <v>2168</v>
      </c>
      <c r="D312" s="19">
        <v>44896</v>
      </c>
      <c r="E312" s="18" t="s">
        <v>67</v>
      </c>
      <c r="F312" s="18" t="s">
        <v>2169</v>
      </c>
      <c r="G312" s="18" t="s">
        <v>2170</v>
      </c>
      <c r="H312" s="18" t="s">
        <v>159</v>
      </c>
      <c r="I312" s="18" t="s">
        <v>130</v>
      </c>
      <c r="J312" s="18" t="s">
        <v>433</v>
      </c>
      <c r="K312" s="18" t="s">
        <v>73</v>
      </c>
      <c r="L312" s="20" t="s">
        <v>2171</v>
      </c>
      <c r="M312" s="18" t="s">
        <v>75</v>
      </c>
      <c r="N312" s="20" t="s">
        <v>2172</v>
      </c>
      <c r="O312" s="18" t="s">
        <v>164</v>
      </c>
      <c r="P312" s="18" t="s">
        <v>78</v>
      </c>
      <c r="Q312" s="19">
        <v>44914</v>
      </c>
      <c r="R312" s="21">
        <v>15</v>
      </c>
      <c r="S312" s="18" t="s">
        <v>79</v>
      </c>
      <c r="T312" s="18" t="s">
        <v>117</v>
      </c>
      <c r="U312" s="18" t="s">
        <v>83</v>
      </c>
      <c r="V312" s="18" t="s">
        <v>95</v>
      </c>
      <c r="W312" s="18" t="s">
        <v>95</v>
      </c>
      <c r="X312" s="18" t="s">
        <v>118</v>
      </c>
      <c r="Y312" s="18" t="s">
        <v>85</v>
      </c>
      <c r="Z312" s="18" t="s">
        <v>86</v>
      </c>
      <c r="AA312" s="18" t="s">
        <v>119</v>
      </c>
      <c r="AB312" s="18" t="s">
        <v>651</v>
      </c>
      <c r="AC312" s="18" t="s">
        <v>652</v>
      </c>
      <c r="AD312" s="18" t="s">
        <v>85</v>
      </c>
      <c r="AE312" s="18" t="s">
        <v>90</v>
      </c>
      <c r="AF312" s="18" t="s">
        <v>122</v>
      </c>
      <c r="AG312" s="18" t="s">
        <v>92</v>
      </c>
      <c r="AH312" s="18" t="s">
        <v>165</v>
      </c>
      <c r="AI312" s="18" t="s">
        <v>94</v>
      </c>
      <c r="AJ312" s="19">
        <v>44896</v>
      </c>
      <c r="AK312" s="22" t="s">
        <v>95</v>
      </c>
      <c r="AL312" s="18" t="s">
        <v>95</v>
      </c>
      <c r="AM312" s="18" t="s">
        <v>95</v>
      </c>
      <c r="AN312" s="18" t="s">
        <v>95</v>
      </c>
      <c r="AO312" s="18" t="s">
        <v>95</v>
      </c>
      <c r="AP312" s="18" t="s">
        <v>95</v>
      </c>
      <c r="AQ312" s="18" t="s">
        <v>95</v>
      </c>
      <c r="AR312" s="18" t="s">
        <v>95</v>
      </c>
      <c r="AS312" s="18" t="s">
        <v>83</v>
      </c>
      <c r="AT312" s="18" t="s">
        <v>83</v>
      </c>
      <c r="AU312" s="18" t="s">
        <v>81</v>
      </c>
      <c r="AV312" s="18" t="s">
        <v>95</v>
      </c>
      <c r="AW312" s="18" t="s">
        <v>95</v>
      </c>
      <c r="AX312" s="18"/>
      <c r="AY312" s="18" t="str">
        <f>Pospago[[#This Row],[NUM_TELEFONICO]]&amp;"POSPAGOSI"</f>
        <v>983885826POSPAGOSI</v>
      </c>
      <c r="AZ312" s="18" t="str">
        <f>VLOOKUP(Pospago[[#This Row],[NOM_PLAZA_FINAL]],[1]!Locales[#Data],3,0)</f>
        <v>TIENDA MACHALA</v>
      </c>
      <c r="BA312" s="18" t="str">
        <f>IFERROR(VLOOKUP(Pospago[[#This Row],[USUARIO]],[1]!Personal[#Data],6,0),"EJECUTIVO NO REGISTRADO")</f>
        <v>SANCHEZ SARITAMA JOEL LUIS</v>
      </c>
      <c r="BB312" s="18" t="str">
        <f>Pospago[[#This Row],[TIPO_MOVIMIENTO]]&amp;" "&amp;Pospago[[#This Row],[FORMA_PAGO_FINAL]]</f>
        <v>TRANSFERENCIAS PAGO EN CAJA</v>
      </c>
      <c r="BC312" s="18">
        <f>DAY(Pospago[[#This Row],[FECHA_ALTA]])</f>
        <v>1</v>
      </c>
      <c r="BD312" s="18">
        <f>IF(Pospago[[#This Row],[TARIFA_BASICA]]=11.42,1,0)</f>
        <v>0</v>
      </c>
      <c r="BE312" s="18">
        <f>IF(Pospago[[#This Row],[PLANES TELEVENTAS]]="SI",1,0)</f>
        <v>0</v>
      </c>
      <c r="BF312" s="18">
        <f>1</f>
        <v>1</v>
      </c>
      <c r="BG312" s="18">
        <f>IF(OR(Pospago[[#This Row],[TARIFA_BASICA]]=11.42,Pospago[[#This Row],[PLANES TELEVENTAS]]="SI"),1,0)</f>
        <v>0</v>
      </c>
      <c r="BH312" s="18" t="str">
        <f>IF(MID(Pospago[[#This Row],[PlanDesc]],1,4) = "PLAN","POSPAGO",IF(MID(Pospago[[#This Row],[PlanDesc]],1,4)="FULL","FULL MEGAS","PREVIOPAGO"))</f>
        <v>PREVIOPAGO</v>
      </c>
      <c r="BI3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7.4279999999999999</v>
      </c>
      <c r="BJ3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2" s="21">
        <f>Pospago[[#This Row],[TARIFA_BASICA]]*1.5</f>
        <v>22.5</v>
      </c>
    </row>
    <row r="313" spans="1:63" x14ac:dyDescent="0.25">
      <c r="A313" s="18" t="s">
        <v>154</v>
      </c>
      <c r="B313" s="18" t="s">
        <v>2173</v>
      </c>
      <c r="C313" s="18" t="s">
        <v>2174</v>
      </c>
      <c r="D313" s="19">
        <v>44912</v>
      </c>
      <c r="E313" s="18" t="s">
        <v>67</v>
      </c>
      <c r="F313" s="18" t="s">
        <v>2175</v>
      </c>
      <c r="G313" s="18" t="s">
        <v>2176</v>
      </c>
      <c r="H313" s="18" t="s">
        <v>159</v>
      </c>
      <c r="I313" s="18" t="s">
        <v>71</v>
      </c>
      <c r="J313" s="18" t="s">
        <v>258</v>
      </c>
      <c r="K313" s="18" t="s">
        <v>95</v>
      </c>
      <c r="L313" s="20" t="s">
        <v>2177</v>
      </c>
      <c r="M313" s="18" t="s">
        <v>75</v>
      </c>
      <c r="N313" s="20" t="s">
        <v>2178</v>
      </c>
      <c r="O313" s="18" t="s">
        <v>164</v>
      </c>
      <c r="P313" s="18" t="s">
        <v>78</v>
      </c>
      <c r="Q313" s="19">
        <v>44914</v>
      </c>
      <c r="R313" s="21">
        <v>11.42</v>
      </c>
      <c r="S313" s="18" t="s">
        <v>79</v>
      </c>
      <c r="T313" s="18" t="s">
        <v>174</v>
      </c>
      <c r="U313" s="18" t="s">
        <v>83</v>
      </c>
      <c r="V313" s="18" t="s">
        <v>95</v>
      </c>
      <c r="W313" s="18" t="s">
        <v>95</v>
      </c>
      <c r="X313" s="18" t="s">
        <v>118</v>
      </c>
      <c r="Y313" s="18" t="s">
        <v>85</v>
      </c>
      <c r="Z313" s="18" t="s">
        <v>86</v>
      </c>
      <c r="AA313" s="18" t="s">
        <v>119</v>
      </c>
      <c r="AB313" s="18" t="s">
        <v>187</v>
      </c>
      <c r="AC313" s="18" t="s">
        <v>188</v>
      </c>
      <c r="AD313" s="18" t="s">
        <v>85</v>
      </c>
      <c r="AE313" s="18" t="s">
        <v>90</v>
      </c>
      <c r="AF313" s="18" t="s">
        <v>177</v>
      </c>
      <c r="AG313" s="18" t="s">
        <v>139</v>
      </c>
      <c r="AH313" s="18" t="s">
        <v>165</v>
      </c>
      <c r="AI313" s="18" t="s">
        <v>94</v>
      </c>
      <c r="AJ313" s="19">
        <v>44912</v>
      </c>
      <c r="AK313" s="22" t="s">
        <v>95</v>
      </c>
      <c r="AL313" s="18" t="s">
        <v>95</v>
      </c>
      <c r="AM313" s="18" t="s">
        <v>95</v>
      </c>
      <c r="AN313" s="18" t="s">
        <v>95</v>
      </c>
      <c r="AO313" s="18" t="s">
        <v>95</v>
      </c>
      <c r="AP313" s="18" t="s">
        <v>95</v>
      </c>
      <c r="AQ313" s="18" t="s">
        <v>95</v>
      </c>
      <c r="AR313" s="18" t="s">
        <v>95</v>
      </c>
      <c r="AS313" s="18" t="s">
        <v>83</v>
      </c>
      <c r="AT313" s="18" t="s">
        <v>83</v>
      </c>
      <c r="AU313" s="18" t="s">
        <v>81</v>
      </c>
      <c r="AV313" s="18" t="s">
        <v>95</v>
      </c>
      <c r="AW313" s="18" t="s">
        <v>95</v>
      </c>
      <c r="AX313" s="18"/>
      <c r="AY313" s="18" t="str">
        <f>Pospago[[#This Row],[NUM_TELEFONICO]]&amp;"POSPAGOSI"</f>
        <v>983886034POSPAGOSI</v>
      </c>
      <c r="AZ313" s="18" t="str">
        <f>VLOOKUP(Pospago[[#This Row],[NOM_PLAZA_FINAL]],[1]!Locales[#Data],3,0)</f>
        <v>TIENDA RECREO</v>
      </c>
      <c r="BA313" s="18" t="str">
        <f>IFERROR(VLOOKUP(Pospago[[#This Row],[USUARIO]],[1]!Personal[#Data],6,0),"EJECUTIVO NO REGISTRADO")</f>
        <v>ESPINOZA MARTINES LAURA XIOMARA</v>
      </c>
      <c r="BB313" s="18" t="str">
        <f>Pospago[[#This Row],[TIPO_MOVIMIENTO]]&amp;" "&amp;Pospago[[#This Row],[FORMA_PAGO_FINAL]]</f>
        <v>TRANSFERENCIAS PAGO EN CAJA</v>
      </c>
      <c r="BC313" s="18">
        <f>DAY(Pospago[[#This Row],[FECHA_ALTA]])</f>
        <v>17</v>
      </c>
      <c r="BD313" s="18">
        <f>IF(Pospago[[#This Row],[TARIFA_BASICA]]=11.42,1,0)</f>
        <v>1</v>
      </c>
      <c r="BE313" s="18">
        <f>IF(Pospago[[#This Row],[PLANES TELEVENTAS]]="SI",1,0)</f>
        <v>0</v>
      </c>
      <c r="BF313" s="18">
        <f>1</f>
        <v>1</v>
      </c>
      <c r="BG313" s="18">
        <f>IF(OR(Pospago[[#This Row],[TARIFA_BASICA]]=11.42,Pospago[[#This Row],[PLANES TELEVENTAS]]="SI"),1,0)</f>
        <v>1</v>
      </c>
      <c r="BH313" s="18" t="str">
        <f>IF(MID(Pospago[[#This Row],[PlanDesc]],1,4) = "PLAN","POSPAGO",IF(MID(Pospago[[#This Row],[PlanDesc]],1,4)="FULL","FULL MEGAS","PREVIOPAGO"))</f>
        <v>PREVIOPAGO</v>
      </c>
      <c r="BI3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13" s="21">
        <f>Pospago[[#This Row],[TARIFA_BASICA]]*1.5</f>
        <v>17.13</v>
      </c>
    </row>
    <row r="314" spans="1:63" x14ac:dyDescent="0.25">
      <c r="A314" s="18" t="s">
        <v>154</v>
      </c>
      <c r="B314" s="18" t="s">
        <v>2179</v>
      </c>
      <c r="C314" s="18" t="s">
        <v>2180</v>
      </c>
      <c r="D314" s="19">
        <v>44907</v>
      </c>
      <c r="E314" s="18" t="s">
        <v>67</v>
      </c>
      <c r="F314" s="18" t="s">
        <v>2181</v>
      </c>
      <c r="G314" s="18" t="s">
        <v>2182</v>
      </c>
      <c r="H314" s="18" t="s">
        <v>159</v>
      </c>
      <c r="I314" s="18" t="s">
        <v>160</v>
      </c>
      <c r="J314" s="18" t="s">
        <v>161</v>
      </c>
      <c r="K314" s="18" t="s">
        <v>132</v>
      </c>
      <c r="L314" s="20" t="s">
        <v>2183</v>
      </c>
      <c r="M314" s="18" t="s">
        <v>75</v>
      </c>
      <c r="N314" s="20" t="s">
        <v>2184</v>
      </c>
      <c r="O314" s="18" t="s">
        <v>164</v>
      </c>
      <c r="P314" s="18" t="s">
        <v>78</v>
      </c>
      <c r="Q314" s="19">
        <v>44914</v>
      </c>
      <c r="R314" s="21">
        <v>14.28</v>
      </c>
      <c r="S314" s="18" t="s">
        <v>79</v>
      </c>
      <c r="T314" s="18" t="s">
        <v>174</v>
      </c>
      <c r="U314" s="18" t="s">
        <v>83</v>
      </c>
      <c r="V314" s="18" t="s">
        <v>95</v>
      </c>
      <c r="W314" s="18" t="s">
        <v>95</v>
      </c>
      <c r="X314" s="18" t="s">
        <v>84</v>
      </c>
      <c r="Y314" s="18" t="s">
        <v>85</v>
      </c>
      <c r="Z314" s="18" t="s">
        <v>86</v>
      </c>
      <c r="AA314" s="18" t="s">
        <v>87</v>
      </c>
      <c r="AB314" s="18" t="s">
        <v>2159</v>
      </c>
      <c r="AC314" s="18" t="s">
        <v>2160</v>
      </c>
      <c r="AD314" s="18" t="s">
        <v>85</v>
      </c>
      <c r="AE314" s="18" t="s">
        <v>90</v>
      </c>
      <c r="AF314" s="18" t="s">
        <v>177</v>
      </c>
      <c r="AG314" s="18" t="s">
        <v>139</v>
      </c>
      <c r="AH314" s="18" t="s">
        <v>165</v>
      </c>
      <c r="AI314" s="18" t="s">
        <v>94</v>
      </c>
      <c r="AJ314" s="19">
        <v>44907</v>
      </c>
      <c r="AK314" s="22" t="s">
        <v>95</v>
      </c>
      <c r="AL314" s="18" t="s">
        <v>95</v>
      </c>
      <c r="AM314" s="18" t="s">
        <v>95</v>
      </c>
      <c r="AN314" s="18" t="s">
        <v>95</v>
      </c>
      <c r="AO314" s="18" t="s">
        <v>95</v>
      </c>
      <c r="AP314" s="18" t="s">
        <v>95</v>
      </c>
      <c r="AQ314" s="18" t="s">
        <v>95</v>
      </c>
      <c r="AR314" s="18" t="s">
        <v>95</v>
      </c>
      <c r="AS314" s="18" t="s">
        <v>83</v>
      </c>
      <c r="AT314" s="18" t="s">
        <v>83</v>
      </c>
      <c r="AU314" s="18" t="s">
        <v>81</v>
      </c>
      <c r="AV314" s="18" t="s">
        <v>95</v>
      </c>
      <c r="AW314" s="18" t="s">
        <v>95</v>
      </c>
      <c r="AX314" s="18"/>
      <c r="AY314" s="18" t="str">
        <f>Pospago[[#This Row],[NUM_TELEFONICO]]&amp;"POSPAGOSI"</f>
        <v>983887780POSPAGOSI</v>
      </c>
      <c r="AZ314" s="18" t="str">
        <f>VLOOKUP(Pospago[[#This Row],[NOM_PLAZA_FINAL]],[1]!Locales[#Data],3,0)</f>
        <v>TIENDA RECREO</v>
      </c>
      <c r="BA314" s="18" t="str">
        <f>IFERROR(VLOOKUP(Pospago[[#This Row],[USUARIO]],[1]!Personal[#Data],6,0),"EJECUTIVO NO REGISTRADO")</f>
        <v>GUEVARA MAZA CRISTIAN FABIAN</v>
      </c>
      <c r="BB314" s="18" t="str">
        <f>Pospago[[#This Row],[TIPO_MOVIMIENTO]]&amp;" "&amp;Pospago[[#This Row],[FORMA_PAGO_FINAL]]</f>
        <v>TRANSFERENCIAS DOMICILIADO</v>
      </c>
      <c r="BC314" s="18">
        <f>DAY(Pospago[[#This Row],[FECHA_ALTA]])</f>
        <v>12</v>
      </c>
      <c r="BD314" s="18">
        <f>IF(Pospago[[#This Row],[TARIFA_BASICA]]=11.42,1,0)</f>
        <v>0</v>
      </c>
      <c r="BE314" s="18">
        <f>IF(Pospago[[#This Row],[PLANES TELEVENTAS]]="SI",1,0)</f>
        <v>0</v>
      </c>
      <c r="BF314" s="18">
        <f>1</f>
        <v>1</v>
      </c>
      <c r="BG314" s="18">
        <f>IF(OR(Pospago[[#This Row],[TARIFA_BASICA]]=11.42,Pospago[[#This Row],[PLANES TELEVENTAS]]="SI"),1,0)</f>
        <v>0</v>
      </c>
      <c r="BH314" s="18" t="str">
        <f>IF(MID(Pospago[[#This Row],[PlanDesc]],1,4) = "PLAN","POSPAGO",IF(MID(Pospago[[#This Row],[PlanDesc]],1,4)="FULL","FULL MEGAS","PREVIOPAGO"))</f>
        <v>PREVIOPAGO</v>
      </c>
      <c r="BI3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4" s="21">
        <f>Pospago[[#This Row],[TARIFA_BASICA]]*1.5</f>
        <v>21.419999999999998</v>
      </c>
    </row>
    <row r="315" spans="1:63" x14ac:dyDescent="0.25">
      <c r="A315" s="18" t="s">
        <v>154</v>
      </c>
      <c r="B315" s="18" t="s">
        <v>2185</v>
      </c>
      <c r="C315" s="18" t="s">
        <v>2186</v>
      </c>
      <c r="D315" s="19">
        <v>44903</v>
      </c>
      <c r="E315" s="18" t="s">
        <v>67</v>
      </c>
      <c r="F315" s="18" t="s">
        <v>2187</v>
      </c>
      <c r="G315" s="18" t="s">
        <v>2188</v>
      </c>
      <c r="H315" s="18" t="s">
        <v>159</v>
      </c>
      <c r="I315" s="18" t="s">
        <v>160</v>
      </c>
      <c r="J315" s="18" t="s">
        <v>161</v>
      </c>
      <c r="K315" s="18" t="s">
        <v>132</v>
      </c>
      <c r="L315" s="20" t="s">
        <v>2189</v>
      </c>
      <c r="M315" s="18" t="s">
        <v>75</v>
      </c>
      <c r="N315" s="20" t="s">
        <v>2190</v>
      </c>
      <c r="O315" s="18" t="s">
        <v>164</v>
      </c>
      <c r="P315" s="18" t="s">
        <v>78</v>
      </c>
      <c r="Q315" s="19">
        <v>44914</v>
      </c>
      <c r="R315" s="21">
        <v>14.28</v>
      </c>
      <c r="S315" s="18" t="s">
        <v>79</v>
      </c>
      <c r="T315" s="18" t="s">
        <v>174</v>
      </c>
      <c r="U315" s="18" t="s">
        <v>83</v>
      </c>
      <c r="V315" s="18" t="s">
        <v>95</v>
      </c>
      <c r="W315" s="18" t="s">
        <v>95</v>
      </c>
      <c r="X315" s="18" t="s">
        <v>84</v>
      </c>
      <c r="Y315" s="18" t="s">
        <v>85</v>
      </c>
      <c r="Z315" s="18" t="s">
        <v>86</v>
      </c>
      <c r="AA315" s="18" t="s">
        <v>87</v>
      </c>
      <c r="AB315" s="18" t="s">
        <v>926</v>
      </c>
      <c r="AC315" s="18" t="s">
        <v>927</v>
      </c>
      <c r="AD315" s="18" t="s">
        <v>85</v>
      </c>
      <c r="AE315" s="18" t="s">
        <v>90</v>
      </c>
      <c r="AF315" s="18" t="s">
        <v>177</v>
      </c>
      <c r="AG315" s="18" t="s">
        <v>139</v>
      </c>
      <c r="AH315" s="18" t="s">
        <v>165</v>
      </c>
      <c r="AI315" s="18" t="s">
        <v>94</v>
      </c>
      <c r="AJ315" s="19">
        <v>44903</v>
      </c>
      <c r="AK315" s="22" t="s">
        <v>95</v>
      </c>
      <c r="AL315" s="18" t="s">
        <v>95</v>
      </c>
      <c r="AM315" s="18" t="s">
        <v>95</v>
      </c>
      <c r="AN315" s="18" t="s">
        <v>95</v>
      </c>
      <c r="AO315" s="18" t="s">
        <v>95</v>
      </c>
      <c r="AP315" s="18" t="s">
        <v>95</v>
      </c>
      <c r="AQ315" s="18" t="s">
        <v>95</v>
      </c>
      <c r="AR315" s="18" t="s">
        <v>95</v>
      </c>
      <c r="AS315" s="18" t="s">
        <v>83</v>
      </c>
      <c r="AT315" s="18" t="s">
        <v>83</v>
      </c>
      <c r="AU315" s="18" t="s">
        <v>81</v>
      </c>
      <c r="AV315" s="18" t="s">
        <v>95</v>
      </c>
      <c r="AW315" s="18" t="s">
        <v>95</v>
      </c>
      <c r="AX315" s="18"/>
      <c r="AY315" s="18" t="str">
        <f>Pospago[[#This Row],[NUM_TELEFONICO]]&amp;"POSPAGOSI"</f>
        <v>983888453POSPAGOSI</v>
      </c>
      <c r="AZ315" s="18" t="str">
        <f>VLOOKUP(Pospago[[#This Row],[NOM_PLAZA_FINAL]],[1]!Locales[#Data],3,0)</f>
        <v>TIENDA RECREO</v>
      </c>
      <c r="BA315" s="18" t="str">
        <f>IFERROR(VLOOKUP(Pospago[[#This Row],[USUARIO]],[1]!Personal[#Data],6,0),"EJECUTIVO NO REGISTRADO")</f>
        <v>CABEZAS LOPEZ ROBERTO ALEJANDRO</v>
      </c>
      <c r="BB315" s="18" t="str">
        <f>Pospago[[#This Row],[TIPO_MOVIMIENTO]]&amp;" "&amp;Pospago[[#This Row],[FORMA_PAGO_FINAL]]</f>
        <v>TRANSFERENCIAS DOMICILIADO</v>
      </c>
      <c r="BC315" s="18">
        <f>DAY(Pospago[[#This Row],[FECHA_ALTA]])</f>
        <v>8</v>
      </c>
      <c r="BD315" s="18">
        <f>IF(Pospago[[#This Row],[TARIFA_BASICA]]=11.42,1,0)</f>
        <v>0</v>
      </c>
      <c r="BE315" s="18">
        <f>IF(Pospago[[#This Row],[PLANES TELEVENTAS]]="SI",1,0)</f>
        <v>0</v>
      </c>
      <c r="BF315" s="18">
        <f>1</f>
        <v>1</v>
      </c>
      <c r="BG315" s="18">
        <f>IF(OR(Pospago[[#This Row],[TARIFA_BASICA]]=11.42,Pospago[[#This Row],[PLANES TELEVENTAS]]="SI"),1,0)</f>
        <v>0</v>
      </c>
      <c r="BH315" s="18" t="str">
        <f>IF(MID(Pospago[[#This Row],[PlanDesc]],1,4) = "PLAN","POSPAGO",IF(MID(Pospago[[#This Row],[PlanDesc]],1,4)="FULL","FULL MEGAS","PREVIOPAGO"))</f>
        <v>PREVIOPAGO</v>
      </c>
      <c r="BI3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5" s="21">
        <f>Pospago[[#This Row],[TARIFA_BASICA]]*1.5</f>
        <v>21.419999999999998</v>
      </c>
    </row>
    <row r="316" spans="1:63" x14ac:dyDescent="0.25">
      <c r="A316" s="18" t="s">
        <v>64</v>
      </c>
      <c r="B316" s="18" t="s">
        <v>2191</v>
      </c>
      <c r="C316" s="18" t="s">
        <v>2192</v>
      </c>
      <c r="D316" s="19">
        <v>44900</v>
      </c>
      <c r="E316" s="18" t="s">
        <v>67</v>
      </c>
      <c r="F316" s="18" t="s">
        <v>2193</v>
      </c>
      <c r="G316" s="18" t="s">
        <v>2194</v>
      </c>
      <c r="H316" s="18" t="s">
        <v>70</v>
      </c>
      <c r="I316" s="18" t="s">
        <v>160</v>
      </c>
      <c r="J316" s="18" t="s">
        <v>195</v>
      </c>
      <c r="K316" s="18" t="s">
        <v>349</v>
      </c>
      <c r="L316" s="20" t="s">
        <v>2195</v>
      </c>
      <c r="M316" s="18" t="s">
        <v>75</v>
      </c>
      <c r="N316" s="20" t="s">
        <v>2196</v>
      </c>
      <c r="O316" s="18" t="s">
        <v>77</v>
      </c>
      <c r="P316" s="18" t="s">
        <v>78</v>
      </c>
      <c r="Q316" s="19">
        <v>44914</v>
      </c>
      <c r="R316" s="21">
        <v>14.28</v>
      </c>
      <c r="S316" s="18" t="s">
        <v>79</v>
      </c>
      <c r="T316" s="18" t="s">
        <v>117</v>
      </c>
      <c r="U316" s="18" t="s">
        <v>83</v>
      </c>
      <c r="V316" s="18" t="s">
        <v>95</v>
      </c>
      <c r="W316" s="18" t="s">
        <v>83</v>
      </c>
      <c r="X316" s="18" t="s">
        <v>84</v>
      </c>
      <c r="Y316" s="18" t="s">
        <v>85</v>
      </c>
      <c r="Z316" s="18" t="s">
        <v>86</v>
      </c>
      <c r="AA316" s="18" t="s">
        <v>87</v>
      </c>
      <c r="AB316" s="18" t="s">
        <v>352</v>
      </c>
      <c r="AC316" s="18" t="s">
        <v>353</v>
      </c>
      <c r="AD316" s="18" t="s">
        <v>85</v>
      </c>
      <c r="AE316" s="18" t="s">
        <v>90</v>
      </c>
      <c r="AF316" s="18" t="s">
        <v>122</v>
      </c>
      <c r="AG316" s="18" t="s">
        <v>92</v>
      </c>
      <c r="AH316" s="18" t="s">
        <v>93</v>
      </c>
      <c r="AI316" s="18" t="s">
        <v>94</v>
      </c>
      <c r="AJ316" s="19">
        <v>44900</v>
      </c>
      <c r="AK316" s="22" t="s">
        <v>95</v>
      </c>
      <c r="AL316" s="18" t="s">
        <v>95</v>
      </c>
      <c r="AM316" s="18" t="s">
        <v>95</v>
      </c>
      <c r="AN316" s="18" t="s">
        <v>95</v>
      </c>
      <c r="AO316" s="18" t="s">
        <v>95</v>
      </c>
      <c r="AP316" s="18" t="s">
        <v>95</v>
      </c>
      <c r="AQ316" s="18" t="s">
        <v>95</v>
      </c>
      <c r="AR316" s="18" t="s">
        <v>95</v>
      </c>
      <c r="AS316" s="18" t="s">
        <v>83</v>
      </c>
      <c r="AT316" s="18" t="s">
        <v>83</v>
      </c>
      <c r="AU316" s="18" t="s">
        <v>81</v>
      </c>
      <c r="AV316" s="18" t="s">
        <v>95</v>
      </c>
      <c r="AW316" s="18" t="s">
        <v>95</v>
      </c>
      <c r="AX316" s="18"/>
      <c r="AY316" s="18" t="str">
        <f>Pospago[[#This Row],[NUM_TELEFONICO]]&amp;"POSPAGOSI"</f>
        <v>983888728POSPAGOSI</v>
      </c>
      <c r="AZ316" s="18" t="str">
        <f>VLOOKUP(Pospago[[#This Row],[NOM_PLAZA_FINAL]],[1]!Locales[#Data],3,0)</f>
        <v>TIENDA MACHALA</v>
      </c>
      <c r="BA316" s="18" t="str">
        <f>IFERROR(VLOOKUP(Pospago[[#This Row],[USUARIO]],[1]!Personal[#Data],6,0),"EJECUTIVO NO REGISTRADO")</f>
        <v>TENORIO MARIA DEL PILAR</v>
      </c>
      <c r="BB316" s="18" t="str">
        <f>Pospago[[#This Row],[TIPO_MOVIMIENTO]]&amp;" "&amp;Pospago[[#This Row],[FORMA_PAGO_FINAL]]</f>
        <v>ALTAS DOMICILIADO</v>
      </c>
      <c r="BC316" s="18">
        <f>DAY(Pospago[[#This Row],[FECHA_ALTA]])</f>
        <v>5</v>
      </c>
      <c r="BD316" s="18">
        <f>IF(Pospago[[#This Row],[TARIFA_BASICA]]=11.42,1,0)</f>
        <v>0</v>
      </c>
      <c r="BE316" s="18">
        <f>IF(Pospago[[#This Row],[PLANES TELEVENTAS]]="SI",1,0)</f>
        <v>0</v>
      </c>
      <c r="BF316" s="18">
        <f>1</f>
        <v>1</v>
      </c>
      <c r="BG316" s="18">
        <f>IF(OR(Pospago[[#This Row],[TARIFA_BASICA]]=11.42,Pospago[[#This Row],[PLANES TELEVENTAS]]="SI"),1,0)</f>
        <v>0</v>
      </c>
      <c r="BH316" s="18" t="str">
        <f>IF(MID(Pospago[[#This Row],[PlanDesc]],1,4) = "PLAN","POSPAGO",IF(MID(Pospago[[#This Row],[PlanDesc]],1,4)="FULL","FULL MEGAS","PREVIOPAGO"))</f>
        <v>PREVIOPAGO</v>
      </c>
      <c r="BI3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3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6" s="21">
        <f>Pospago[[#This Row],[TARIFA_BASICA]]*1.5</f>
        <v>21.419999999999998</v>
      </c>
    </row>
    <row r="317" spans="1:63" x14ac:dyDescent="0.25">
      <c r="A317" s="18" t="s">
        <v>64</v>
      </c>
      <c r="B317" s="18" t="s">
        <v>2197</v>
      </c>
      <c r="C317" s="18" t="s">
        <v>2198</v>
      </c>
      <c r="D317" s="19">
        <v>44909</v>
      </c>
      <c r="E317" s="18" t="s">
        <v>67</v>
      </c>
      <c r="F317" s="18" t="s">
        <v>2199</v>
      </c>
      <c r="G317" s="18" t="s">
        <v>2200</v>
      </c>
      <c r="H317" s="18" t="s">
        <v>193</v>
      </c>
      <c r="I317" s="18" t="s">
        <v>194</v>
      </c>
      <c r="J317" s="18" t="s">
        <v>195</v>
      </c>
      <c r="K317" s="18" t="s">
        <v>1727</v>
      </c>
      <c r="L317" s="20" t="s">
        <v>2201</v>
      </c>
      <c r="M317" s="18" t="s">
        <v>75</v>
      </c>
      <c r="N317" s="20" t="s">
        <v>2202</v>
      </c>
      <c r="O317" s="18" t="s">
        <v>77</v>
      </c>
      <c r="P317" s="18" t="s">
        <v>78</v>
      </c>
      <c r="Q317" s="19">
        <v>44914</v>
      </c>
      <c r="R317" s="21">
        <v>14.28</v>
      </c>
      <c r="S317" s="18" t="s">
        <v>79</v>
      </c>
      <c r="T317" s="18" t="s">
        <v>80</v>
      </c>
      <c r="U317" s="18" t="s">
        <v>83</v>
      </c>
      <c r="V317" s="18" t="s">
        <v>95</v>
      </c>
      <c r="W317" s="18" t="s">
        <v>83</v>
      </c>
      <c r="X317" s="18" t="s">
        <v>118</v>
      </c>
      <c r="Y317" s="18" t="s">
        <v>85</v>
      </c>
      <c r="Z317" s="18" t="s">
        <v>86</v>
      </c>
      <c r="AA317" s="18" t="s">
        <v>119</v>
      </c>
      <c r="AB317" s="18" t="s">
        <v>880</v>
      </c>
      <c r="AC317" s="18" t="s">
        <v>881</v>
      </c>
      <c r="AD317" s="18" t="s">
        <v>85</v>
      </c>
      <c r="AE317" s="18" t="s">
        <v>90</v>
      </c>
      <c r="AF317" s="18" t="s">
        <v>91</v>
      </c>
      <c r="AG317" s="18" t="s">
        <v>92</v>
      </c>
      <c r="AH317" s="18" t="s">
        <v>93</v>
      </c>
      <c r="AI317" s="18" t="s">
        <v>94</v>
      </c>
      <c r="AJ317" s="19">
        <v>44909</v>
      </c>
      <c r="AK317" s="22" t="s">
        <v>95</v>
      </c>
      <c r="AL317" s="18" t="s">
        <v>95</v>
      </c>
      <c r="AM317" s="18" t="s">
        <v>95</v>
      </c>
      <c r="AN317" s="18" t="s">
        <v>95</v>
      </c>
      <c r="AO317" s="18" t="s">
        <v>95</v>
      </c>
      <c r="AP317" s="18" t="s">
        <v>95</v>
      </c>
      <c r="AQ317" s="18" t="s">
        <v>95</v>
      </c>
      <c r="AR317" s="18" t="s">
        <v>95</v>
      </c>
      <c r="AS317" s="18" t="s">
        <v>83</v>
      </c>
      <c r="AT317" s="18" t="s">
        <v>81</v>
      </c>
      <c r="AU317" s="18" t="s">
        <v>81</v>
      </c>
      <c r="AV317" s="18" t="s">
        <v>95</v>
      </c>
      <c r="AW317" s="18" t="s">
        <v>95</v>
      </c>
      <c r="AX317" s="18"/>
      <c r="AY317" s="18" t="str">
        <f>Pospago[[#This Row],[NUM_TELEFONICO]]&amp;"POSPAGOSI"</f>
        <v>983890714POSPAGOSI</v>
      </c>
      <c r="AZ317" s="18" t="str">
        <f>VLOOKUP(Pospago[[#This Row],[NOM_PLAZA_FINAL]],[1]!Locales[#Data],3,0)</f>
        <v>TIENDA CUENCA CENTRO</v>
      </c>
      <c r="BA317" s="18" t="str">
        <f>IFERROR(VLOOKUP(Pospago[[#This Row],[USUARIO]],[1]!Personal[#Data],6,0),"EJECUTIVO NO REGISTRADO")</f>
        <v>LUNA JACHO ANDREA GABRIELA</v>
      </c>
      <c r="BB317" s="18" t="str">
        <f>Pospago[[#This Row],[TIPO_MOVIMIENTO]]&amp;" "&amp;Pospago[[#This Row],[FORMA_PAGO_FINAL]]</f>
        <v>ALTAS PAGO EN CAJA</v>
      </c>
      <c r="BC317" s="18">
        <f>DAY(Pospago[[#This Row],[FECHA_ALTA]])</f>
        <v>14</v>
      </c>
      <c r="BD317" s="18">
        <f>IF(Pospago[[#This Row],[TARIFA_BASICA]]=11.42,1,0)</f>
        <v>0</v>
      </c>
      <c r="BE317" s="18">
        <f>IF(Pospago[[#This Row],[PLANES TELEVENTAS]]="SI",1,0)</f>
        <v>1</v>
      </c>
      <c r="BF317" s="18">
        <f>1</f>
        <v>1</v>
      </c>
      <c r="BG317" s="18">
        <f>IF(OR(Pospago[[#This Row],[TARIFA_BASICA]]=11.42,Pospago[[#This Row],[PLANES TELEVENTAS]]="SI"),1,0)</f>
        <v>1</v>
      </c>
      <c r="BH317" s="18" t="str">
        <f>IF(MID(Pospago[[#This Row],[PlanDesc]],1,4) = "PLAN","POSPAGO",IF(MID(Pospago[[#This Row],[PlanDesc]],1,4)="FULL","FULL MEGAS","PREVIOPAGO"))</f>
        <v>PREVIOPAGO</v>
      </c>
      <c r="BI3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3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7" s="21">
        <f>Pospago[[#This Row],[TARIFA_BASICA]]*1.5</f>
        <v>21.419999999999998</v>
      </c>
    </row>
    <row r="318" spans="1:63" x14ac:dyDescent="0.25">
      <c r="A318" s="18" t="s">
        <v>64</v>
      </c>
      <c r="B318" s="18" t="s">
        <v>2203</v>
      </c>
      <c r="C318" s="18" t="s">
        <v>2204</v>
      </c>
      <c r="D318" s="19">
        <v>44903</v>
      </c>
      <c r="E318" s="18" t="s">
        <v>67</v>
      </c>
      <c r="F318" s="18" t="s">
        <v>2205</v>
      </c>
      <c r="G318" s="18" t="s">
        <v>2206</v>
      </c>
      <c r="H318" s="18" t="s">
        <v>70</v>
      </c>
      <c r="I318" s="18" t="s">
        <v>2207</v>
      </c>
      <c r="J318" s="18" t="s">
        <v>2208</v>
      </c>
      <c r="K318" s="18" t="s">
        <v>114</v>
      </c>
      <c r="L318" s="20" t="s">
        <v>2209</v>
      </c>
      <c r="M318" s="18" t="s">
        <v>75</v>
      </c>
      <c r="N318" s="20" t="s">
        <v>2210</v>
      </c>
      <c r="O318" s="18" t="s">
        <v>77</v>
      </c>
      <c r="P318" s="18" t="s">
        <v>78</v>
      </c>
      <c r="Q318" s="19">
        <v>44914</v>
      </c>
      <c r="R318" s="21">
        <v>15</v>
      </c>
      <c r="S318" s="18" t="s">
        <v>79</v>
      </c>
      <c r="T318" s="18" t="s">
        <v>117</v>
      </c>
      <c r="U318" s="18" t="s">
        <v>83</v>
      </c>
      <c r="V318" s="18" t="s">
        <v>95</v>
      </c>
      <c r="W318" s="18" t="s">
        <v>83</v>
      </c>
      <c r="X318" s="18" t="s">
        <v>118</v>
      </c>
      <c r="Y318" s="18" t="s">
        <v>85</v>
      </c>
      <c r="Z318" s="18" t="s">
        <v>86</v>
      </c>
      <c r="AA318" s="18" t="s">
        <v>119</v>
      </c>
      <c r="AB318" s="18" t="s">
        <v>120</v>
      </c>
      <c r="AC318" s="18" t="s">
        <v>121</v>
      </c>
      <c r="AD318" s="18" t="s">
        <v>85</v>
      </c>
      <c r="AE318" s="18" t="s">
        <v>90</v>
      </c>
      <c r="AF318" s="18" t="s">
        <v>122</v>
      </c>
      <c r="AG318" s="18" t="s">
        <v>92</v>
      </c>
      <c r="AH318" s="18" t="s">
        <v>93</v>
      </c>
      <c r="AI318" s="18" t="s">
        <v>94</v>
      </c>
      <c r="AJ318" s="19">
        <v>44903</v>
      </c>
      <c r="AK318" s="22" t="s">
        <v>95</v>
      </c>
      <c r="AL318" s="18" t="s">
        <v>95</v>
      </c>
      <c r="AM318" s="18" t="s">
        <v>95</v>
      </c>
      <c r="AN318" s="18" t="s">
        <v>95</v>
      </c>
      <c r="AO318" s="18" t="s">
        <v>95</v>
      </c>
      <c r="AP318" s="18" t="s">
        <v>95</v>
      </c>
      <c r="AQ318" s="18" t="s">
        <v>95</v>
      </c>
      <c r="AR318" s="18" t="s">
        <v>95</v>
      </c>
      <c r="AS318" s="18" t="s">
        <v>83</v>
      </c>
      <c r="AT318" s="18" t="s">
        <v>95</v>
      </c>
      <c r="AU318" s="18" t="s">
        <v>95</v>
      </c>
      <c r="AV318" s="18" t="s">
        <v>95</v>
      </c>
      <c r="AW318" s="18" t="s">
        <v>95</v>
      </c>
      <c r="AX318" s="18"/>
      <c r="AY318" s="18" t="str">
        <f>Pospago[[#This Row],[NUM_TELEFONICO]]&amp;"POSPAGOSI"</f>
        <v>983891894POSPAGOSI</v>
      </c>
      <c r="AZ318" s="18" t="str">
        <f>VLOOKUP(Pospago[[#This Row],[NOM_PLAZA_FINAL]],[1]!Locales[#Data],3,0)</f>
        <v>TIENDA MACHALA</v>
      </c>
      <c r="BA318" s="18" t="str">
        <f>IFERROR(VLOOKUP(Pospago[[#This Row],[USUARIO]],[1]!Personal[#Data],6,0),"EJECUTIVO NO REGISTRADO")</f>
        <v>ARROBO VICENTE YADIRA ESPERANZA</v>
      </c>
      <c r="BB318" s="18" t="str">
        <f>Pospago[[#This Row],[TIPO_MOVIMIENTO]]&amp;" "&amp;Pospago[[#This Row],[FORMA_PAGO_FINAL]]</f>
        <v>ALTAS PAGO EN CAJA</v>
      </c>
      <c r="BC318" s="18">
        <f>DAY(Pospago[[#This Row],[FECHA_ALTA]])</f>
        <v>8</v>
      </c>
      <c r="BD318" s="18">
        <f>IF(Pospago[[#This Row],[TARIFA_BASICA]]=11.42,1,0)</f>
        <v>0</v>
      </c>
      <c r="BE318" s="18">
        <f>IF(Pospago[[#This Row],[PLANES TELEVENTAS]]="SI",1,0)</f>
        <v>0</v>
      </c>
      <c r="BF318" s="18">
        <f>1</f>
        <v>1</v>
      </c>
      <c r="BG318" s="18">
        <f>IF(OR(Pospago[[#This Row],[TARIFA_BASICA]]=11.42,Pospago[[#This Row],[PLANES TELEVENTAS]]="SI"),1,0)</f>
        <v>0</v>
      </c>
      <c r="BH318" s="18" t="str">
        <f>IF(MID(Pospago[[#This Row],[PlanDesc]],1,4) = "PLAN","POSPAGO",IF(MID(Pospago[[#This Row],[PlanDesc]],1,4)="FULL","FULL MEGAS","PREVIOPAGO"))</f>
        <v>FULL MEGAS</v>
      </c>
      <c r="BI3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14.856</v>
      </c>
      <c r="BJ3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8" s="21">
        <f>Pospago[[#This Row],[TARIFA_BASICA]]*1.5</f>
        <v>22.5</v>
      </c>
    </row>
    <row r="319" spans="1:63" x14ac:dyDescent="0.25">
      <c r="A319" s="18" t="s">
        <v>64</v>
      </c>
      <c r="B319" s="18" t="s">
        <v>2211</v>
      </c>
      <c r="C319" s="18" t="s">
        <v>2212</v>
      </c>
      <c r="D319" s="19">
        <v>44903</v>
      </c>
      <c r="E319" s="18" t="s">
        <v>67</v>
      </c>
      <c r="F319" s="18" t="s">
        <v>2213</v>
      </c>
      <c r="G319" s="18" t="s">
        <v>2214</v>
      </c>
      <c r="H319" s="18" t="s">
        <v>70</v>
      </c>
      <c r="I319" s="18" t="s">
        <v>130</v>
      </c>
      <c r="J319" s="18" t="s">
        <v>131</v>
      </c>
      <c r="K319" s="18" t="s">
        <v>73</v>
      </c>
      <c r="L319" s="20" t="s">
        <v>2215</v>
      </c>
      <c r="M319" s="18" t="s">
        <v>75</v>
      </c>
      <c r="N319" s="20" t="s">
        <v>2216</v>
      </c>
      <c r="O319" s="18" t="s">
        <v>77</v>
      </c>
      <c r="P319" s="18" t="s">
        <v>78</v>
      </c>
      <c r="Q319" s="19">
        <v>44914</v>
      </c>
      <c r="R319" s="21">
        <v>15</v>
      </c>
      <c r="S319" s="18" t="s">
        <v>79</v>
      </c>
      <c r="T319" s="18" t="s">
        <v>174</v>
      </c>
      <c r="U319" s="18" t="s">
        <v>83</v>
      </c>
      <c r="V319" s="18" t="s">
        <v>95</v>
      </c>
      <c r="W319" s="18" t="s">
        <v>83</v>
      </c>
      <c r="X319" s="18" t="s">
        <v>84</v>
      </c>
      <c r="Y319" s="18" t="s">
        <v>85</v>
      </c>
      <c r="Z319" s="18" t="s">
        <v>86</v>
      </c>
      <c r="AA319" s="18" t="s">
        <v>87</v>
      </c>
      <c r="AB319" s="18" t="s">
        <v>926</v>
      </c>
      <c r="AC319" s="18" t="s">
        <v>927</v>
      </c>
      <c r="AD319" s="18" t="s">
        <v>85</v>
      </c>
      <c r="AE319" s="18" t="s">
        <v>90</v>
      </c>
      <c r="AF319" s="18" t="s">
        <v>177</v>
      </c>
      <c r="AG319" s="18" t="s">
        <v>139</v>
      </c>
      <c r="AH319" s="18" t="s">
        <v>93</v>
      </c>
      <c r="AI319" s="18" t="s">
        <v>94</v>
      </c>
      <c r="AJ319" s="19">
        <v>44903</v>
      </c>
      <c r="AK319" s="22" t="s">
        <v>95</v>
      </c>
      <c r="AL319" s="18" t="s">
        <v>95</v>
      </c>
      <c r="AM319" s="18" t="s">
        <v>95</v>
      </c>
      <c r="AN319" s="18" t="s">
        <v>95</v>
      </c>
      <c r="AO319" s="18" t="s">
        <v>95</v>
      </c>
      <c r="AP319" s="18" t="s">
        <v>95</v>
      </c>
      <c r="AQ319" s="18" t="s">
        <v>95</v>
      </c>
      <c r="AR319" s="18" t="s">
        <v>95</v>
      </c>
      <c r="AS319" s="18" t="s">
        <v>83</v>
      </c>
      <c r="AT319" s="18" t="s">
        <v>83</v>
      </c>
      <c r="AU319" s="18" t="s">
        <v>81</v>
      </c>
      <c r="AV319" s="18" t="s">
        <v>95</v>
      </c>
      <c r="AW319" s="18" t="s">
        <v>95</v>
      </c>
      <c r="AX319" s="18"/>
      <c r="AY319" s="18" t="str">
        <f>Pospago[[#This Row],[NUM_TELEFONICO]]&amp;"POSPAGOSI"</f>
        <v>983893510POSPAGOSI</v>
      </c>
      <c r="AZ319" s="18" t="str">
        <f>VLOOKUP(Pospago[[#This Row],[NOM_PLAZA_FINAL]],[1]!Locales[#Data],3,0)</f>
        <v>TIENDA RECREO</v>
      </c>
      <c r="BA319" s="18" t="str">
        <f>IFERROR(VLOOKUP(Pospago[[#This Row],[USUARIO]],[1]!Personal[#Data],6,0),"EJECUTIVO NO REGISTRADO")</f>
        <v>CABEZAS LOPEZ ROBERTO ALEJANDRO</v>
      </c>
      <c r="BB319" s="18" t="str">
        <f>Pospago[[#This Row],[TIPO_MOVIMIENTO]]&amp;" "&amp;Pospago[[#This Row],[FORMA_PAGO_FINAL]]</f>
        <v>ALTAS DOMICILIADO</v>
      </c>
      <c r="BC319" s="18">
        <f>DAY(Pospago[[#This Row],[FECHA_ALTA]])</f>
        <v>8</v>
      </c>
      <c r="BD319" s="18">
        <f>IF(Pospago[[#This Row],[TARIFA_BASICA]]=11.42,1,0)</f>
        <v>0</v>
      </c>
      <c r="BE319" s="18">
        <f>IF(Pospago[[#This Row],[PLANES TELEVENTAS]]="SI",1,0)</f>
        <v>0</v>
      </c>
      <c r="BF319" s="18">
        <f>1</f>
        <v>1</v>
      </c>
      <c r="BG319" s="18">
        <f>IF(OR(Pospago[[#This Row],[TARIFA_BASICA]]=11.42,Pospago[[#This Row],[PLANES TELEVENTAS]]="SI"),1,0)</f>
        <v>0</v>
      </c>
      <c r="BH319" s="18" t="str">
        <f>IF(MID(Pospago[[#This Row],[PlanDesc]],1,4) = "PLAN","POSPAGO",IF(MID(Pospago[[#This Row],[PlanDesc]],1,4)="FULL","FULL MEGAS","PREVIOPAGO"))</f>
        <v>PREVIOPAGO</v>
      </c>
      <c r="BI3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3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19" s="21">
        <f>Pospago[[#This Row],[TARIFA_BASICA]]*1.5</f>
        <v>22.5</v>
      </c>
    </row>
    <row r="320" spans="1:63" x14ac:dyDescent="0.25">
      <c r="A320" s="18" t="s">
        <v>154</v>
      </c>
      <c r="B320" s="18" t="s">
        <v>2217</v>
      </c>
      <c r="C320" s="18" t="s">
        <v>2218</v>
      </c>
      <c r="D320" s="19">
        <v>44905</v>
      </c>
      <c r="E320" s="18" t="s">
        <v>67</v>
      </c>
      <c r="F320" s="18" t="s">
        <v>2219</v>
      </c>
      <c r="G320" s="18" t="s">
        <v>2220</v>
      </c>
      <c r="H320" s="18" t="s">
        <v>159</v>
      </c>
      <c r="I320" s="18" t="s">
        <v>71</v>
      </c>
      <c r="J320" s="18" t="s">
        <v>258</v>
      </c>
      <c r="K320" s="18" t="s">
        <v>73</v>
      </c>
      <c r="L320" s="20" t="s">
        <v>2221</v>
      </c>
      <c r="M320" s="18" t="s">
        <v>75</v>
      </c>
      <c r="N320" s="20" t="s">
        <v>2222</v>
      </c>
      <c r="O320" s="18" t="s">
        <v>164</v>
      </c>
      <c r="P320" s="18" t="s">
        <v>78</v>
      </c>
      <c r="Q320" s="19">
        <v>44914</v>
      </c>
      <c r="R320" s="21">
        <v>11.42</v>
      </c>
      <c r="S320" s="18" t="s">
        <v>79</v>
      </c>
      <c r="T320" s="18" t="s">
        <v>148</v>
      </c>
      <c r="U320" s="18" t="s">
        <v>83</v>
      </c>
      <c r="V320" s="18" t="s">
        <v>95</v>
      </c>
      <c r="W320" s="18" t="s">
        <v>95</v>
      </c>
      <c r="X320" s="18" t="s">
        <v>118</v>
      </c>
      <c r="Y320" s="18" t="s">
        <v>85</v>
      </c>
      <c r="Z320" s="18" t="s">
        <v>86</v>
      </c>
      <c r="AA320" s="18" t="s">
        <v>119</v>
      </c>
      <c r="AB320" s="18" t="s">
        <v>420</v>
      </c>
      <c r="AC320" s="18" t="s">
        <v>421</v>
      </c>
      <c r="AD320" s="18" t="s">
        <v>85</v>
      </c>
      <c r="AE320" s="18" t="s">
        <v>90</v>
      </c>
      <c r="AF320" s="18" t="s">
        <v>151</v>
      </c>
      <c r="AG320" s="18" t="s">
        <v>92</v>
      </c>
      <c r="AH320" s="18" t="s">
        <v>165</v>
      </c>
      <c r="AI320" s="18" t="s">
        <v>94</v>
      </c>
      <c r="AJ320" s="19">
        <v>44905</v>
      </c>
      <c r="AK320" s="22" t="s">
        <v>95</v>
      </c>
      <c r="AL320" s="18" t="s">
        <v>95</v>
      </c>
      <c r="AM320" s="18" t="s">
        <v>95</v>
      </c>
      <c r="AN320" s="18" t="s">
        <v>95</v>
      </c>
      <c r="AO320" s="18" t="s">
        <v>95</v>
      </c>
      <c r="AP320" s="18" t="s">
        <v>95</v>
      </c>
      <c r="AQ320" s="18" t="s">
        <v>95</v>
      </c>
      <c r="AR320" s="18" t="s">
        <v>95</v>
      </c>
      <c r="AS320" s="18" t="s">
        <v>83</v>
      </c>
      <c r="AT320" s="18" t="s">
        <v>83</v>
      </c>
      <c r="AU320" s="18" t="s">
        <v>81</v>
      </c>
      <c r="AV320" s="18" t="s">
        <v>95</v>
      </c>
      <c r="AW320" s="18" t="s">
        <v>95</v>
      </c>
      <c r="AX320" s="18"/>
      <c r="AY320" s="18" t="str">
        <f>Pospago[[#This Row],[NUM_TELEFONICO]]&amp;"POSPAGOSI"</f>
        <v>983894675POSPAGOSI</v>
      </c>
      <c r="AZ320" s="18" t="str">
        <f>VLOOKUP(Pospago[[#This Row],[NOM_PLAZA_FINAL]],[1]!Locales[#Data],3,0)</f>
        <v>TIENDA CUENCA REMIGIO</v>
      </c>
      <c r="BA320" s="18" t="str">
        <f>IFERROR(VLOOKUP(Pospago[[#This Row],[USUARIO]],[1]!Personal[#Data],6,0),"EJECUTIVO NO REGISTRADO")</f>
        <v>YEPEZ PALOMEQUE DIANA PATRICIA</v>
      </c>
      <c r="BB320" s="18" t="str">
        <f>Pospago[[#This Row],[TIPO_MOVIMIENTO]]&amp;" "&amp;Pospago[[#This Row],[FORMA_PAGO_FINAL]]</f>
        <v>TRANSFERENCIAS PAGO EN CAJA</v>
      </c>
      <c r="BC320" s="18">
        <f>DAY(Pospago[[#This Row],[FECHA_ALTA]])</f>
        <v>10</v>
      </c>
      <c r="BD320" s="18">
        <f>IF(Pospago[[#This Row],[TARIFA_BASICA]]=11.42,1,0)</f>
        <v>1</v>
      </c>
      <c r="BE320" s="18">
        <f>IF(Pospago[[#This Row],[PLANES TELEVENTAS]]="SI",1,0)</f>
        <v>0</v>
      </c>
      <c r="BF320" s="18">
        <f>1</f>
        <v>1</v>
      </c>
      <c r="BG320" s="18">
        <f>IF(OR(Pospago[[#This Row],[TARIFA_BASICA]]=11.42,Pospago[[#This Row],[PLANES TELEVENTAS]]="SI"),1,0)</f>
        <v>1</v>
      </c>
      <c r="BH320" s="18" t="str">
        <f>IF(MID(Pospago[[#This Row],[PlanDesc]],1,4) = "PLAN","POSPAGO",IF(MID(Pospago[[#This Row],[PlanDesc]],1,4)="FULL","FULL MEGAS","PREVIOPAGO"))</f>
        <v>PREVIOPAGO</v>
      </c>
      <c r="BI3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20" s="21">
        <f>Pospago[[#This Row],[TARIFA_BASICA]]*1.5</f>
        <v>17.13</v>
      </c>
    </row>
    <row r="321" spans="1:63" x14ac:dyDescent="0.25">
      <c r="A321" s="18" t="s">
        <v>64</v>
      </c>
      <c r="B321" s="18" t="s">
        <v>2223</v>
      </c>
      <c r="C321" s="18" t="s">
        <v>2224</v>
      </c>
      <c r="D321" s="19">
        <v>44906</v>
      </c>
      <c r="E321" s="18" t="s">
        <v>67</v>
      </c>
      <c r="F321" s="18" t="s">
        <v>2225</v>
      </c>
      <c r="G321" s="18" t="s">
        <v>2226</v>
      </c>
      <c r="H321" s="18" t="s">
        <v>70</v>
      </c>
      <c r="I321" s="18" t="s">
        <v>606</v>
      </c>
      <c r="J321" s="18" t="s">
        <v>607</v>
      </c>
      <c r="K321" s="18" t="s">
        <v>560</v>
      </c>
      <c r="L321" s="20" t="s">
        <v>2227</v>
      </c>
      <c r="M321" s="18" t="s">
        <v>75</v>
      </c>
      <c r="N321" s="20" t="s">
        <v>2228</v>
      </c>
      <c r="O321" s="18" t="s">
        <v>77</v>
      </c>
      <c r="P321" s="18" t="s">
        <v>78</v>
      </c>
      <c r="Q321" s="19">
        <v>44914</v>
      </c>
      <c r="R321" s="21">
        <v>26.78</v>
      </c>
      <c r="S321" s="18" t="s">
        <v>79</v>
      </c>
      <c r="T321" s="18" t="s">
        <v>174</v>
      </c>
      <c r="U321" s="18" t="s">
        <v>83</v>
      </c>
      <c r="V321" s="18" t="s">
        <v>95</v>
      </c>
      <c r="W321" s="18" t="s">
        <v>83</v>
      </c>
      <c r="X321" s="18" t="s">
        <v>84</v>
      </c>
      <c r="Y321" s="18" t="s">
        <v>85</v>
      </c>
      <c r="Z321" s="18" t="s">
        <v>86</v>
      </c>
      <c r="AA321" s="18" t="s">
        <v>87</v>
      </c>
      <c r="AB321" s="18" t="s">
        <v>740</v>
      </c>
      <c r="AC321" s="18" t="s">
        <v>741</v>
      </c>
      <c r="AD321" s="18" t="s">
        <v>85</v>
      </c>
      <c r="AE321" s="18" t="s">
        <v>90</v>
      </c>
      <c r="AF321" s="18" t="s">
        <v>177</v>
      </c>
      <c r="AG321" s="18" t="s">
        <v>139</v>
      </c>
      <c r="AH321" s="18" t="s">
        <v>93</v>
      </c>
      <c r="AI321" s="18" t="s">
        <v>94</v>
      </c>
      <c r="AJ321" s="19">
        <v>44906</v>
      </c>
      <c r="AK321" s="22" t="s">
        <v>95</v>
      </c>
      <c r="AL321" s="18" t="s">
        <v>95</v>
      </c>
      <c r="AM321" s="18" t="s">
        <v>95</v>
      </c>
      <c r="AN321" s="18" t="s">
        <v>95</v>
      </c>
      <c r="AO321" s="18" t="s">
        <v>95</v>
      </c>
      <c r="AP321" s="18" t="s">
        <v>95</v>
      </c>
      <c r="AQ321" s="18" t="s">
        <v>95</v>
      </c>
      <c r="AR321" s="18" t="s">
        <v>95</v>
      </c>
      <c r="AS321" s="18" t="s">
        <v>83</v>
      </c>
      <c r="AT321" s="18" t="s">
        <v>83</v>
      </c>
      <c r="AU321" s="18" t="s">
        <v>81</v>
      </c>
      <c r="AV321" s="18" t="s">
        <v>95</v>
      </c>
      <c r="AW321" s="18" t="s">
        <v>95</v>
      </c>
      <c r="AX321" s="18"/>
      <c r="AY321" s="18" t="str">
        <f>Pospago[[#This Row],[NUM_TELEFONICO]]&amp;"POSPAGOSI"</f>
        <v>983899678POSPAGOSI</v>
      </c>
      <c r="AZ321" s="18" t="str">
        <f>VLOOKUP(Pospago[[#This Row],[NOM_PLAZA_FINAL]],[1]!Locales[#Data],3,0)</f>
        <v>TIENDA RECREO</v>
      </c>
      <c r="BA321" s="18" t="str">
        <f>IFERROR(VLOOKUP(Pospago[[#This Row],[USUARIO]],[1]!Personal[#Data],6,0),"EJECUTIVO NO REGISTRADO")</f>
        <v>CHAVEZ VASQUEZ YESSENIA KATHERINE</v>
      </c>
      <c r="BB321" s="18" t="str">
        <f>Pospago[[#This Row],[TIPO_MOVIMIENTO]]&amp;" "&amp;Pospago[[#This Row],[FORMA_PAGO_FINAL]]</f>
        <v>ALTAS DOMICILIADO</v>
      </c>
      <c r="BC321" s="18">
        <f>DAY(Pospago[[#This Row],[FECHA_ALTA]])</f>
        <v>11</v>
      </c>
      <c r="BD321" s="18">
        <f>IF(Pospago[[#This Row],[TARIFA_BASICA]]=11.42,1,0)</f>
        <v>0</v>
      </c>
      <c r="BE321" s="18">
        <f>IF(Pospago[[#This Row],[PLANES TELEVENTAS]]="SI",1,0)</f>
        <v>0</v>
      </c>
      <c r="BF321" s="18">
        <f>1</f>
        <v>1</v>
      </c>
      <c r="BG321" s="18">
        <f>IF(OR(Pospago[[#This Row],[TARIFA_BASICA]]=11.42,Pospago[[#This Row],[PLANES TELEVENTAS]]="SI"),1,0)</f>
        <v>0</v>
      </c>
      <c r="BH321" s="18" t="str">
        <f>IF(MID(Pospago[[#This Row],[PlanDesc]],1,4) = "PLAN","POSPAGO",IF(MID(Pospago[[#This Row],[PlanDesc]],1,4)="FULL","FULL MEGAS","PREVIOPAGO"))</f>
        <v>PREVIOPAGO</v>
      </c>
      <c r="BI3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3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21" s="21">
        <f>Pospago[[#This Row],[TARIFA_BASICA]]*1.5</f>
        <v>40.17</v>
      </c>
    </row>
    <row r="322" spans="1:63" x14ac:dyDescent="0.25">
      <c r="A322" s="18" t="s">
        <v>64</v>
      </c>
      <c r="B322" s="18" t="s">
        <v>2229</v>
      </c>
      <c r="C322" s="18" t="s">
        <v>2230</v>
      </c>
      <c r="D322" s="19">
        <v>44907</v>
      </c>
      <c r="E322" s="18" t="s">
        <v>67</v>
      </c>
      <c r="F322" s="18" t="s">
        <v>2231</v>
      </c>
      <c r="G322" s="18" t="s">
        <v>2232</v>
      </c>
      <c r="H322" s="18" t="s">
        <v>70</v>
      </c>
      <c r="I322" s="18" t="s">
        <v>194</v>
      </c>
      <c r="J322" s="18" t="s">
        <v>195</v>
      </c>
      <c r="K322" s="18" t="s">
        <v>73</v>
      </c>
      <c r="L322" s="20" t="s">
        <v>2233</v>
      </c>
      <c r="M322" s="18" t="s">
        <v>75</v>
      </c>
      <c r="N322" s="20" t="s">
        <v>2234</v>
      </c>
      <c r="O322" s="18" t="s">
        <v>77</v>
      </c>
      <c r="P322" s="18" t="s">
        <v>78</v>
      </c>
      <c r="Q322" s="19">
        <v>44914</v>
      </c>
      <c r="R322" s="21">
        <v>14.28</v>
      </c>
      <c r="S322" s="18" t="s">
        <v>79</v>
      </c>
      <c r="T322" s="18" t="s">
        <v>80</v>
      </c>
      <c r="U322" s="18" t="s">
        <v>83</v>
      </c>
      <c r="V322" s="18" t="s">
        <v>95</v>
      </c>
      <c r="W322" s="18" t="s">
        <v>83</v>
      </c>
      <c r="X322" s="18" t="s">
        <v>84</v>
      </c>
      <c r="Y322" s="18" t="s">
        <v>85</v>
      </c>
      <c r="Z322" s="18" t="s">
        <v>86</v>
      </c>
      <c r="AA322" s="18" t="s">
        <v>87</v>
      </c>
      <c r="AB322" s="18" t="s">
        <v>1415</v>
      </c>
      <c r="AC322" s="18" t="s">
        <v>1416</v>
      </c>
      <c r="AD322" s="18" t="s">
        <v>85</v>
      </c>
      <c r="AE322" s="18" t="s">
        <v>90</v>
      </c>
      <c r="AF322" s="18" t="s">
        <v>91</v>
      </c>
      <c r="AG322" s="18" t="s">
        <v>92</v>
      </c>
      <c r="AH322" s="18" t="s">
        <v>93</v>
      </c>
      <c r="AI322" s="18" t="s">
        <v>94</v>
      </c>
      <c r="AJ322" s="19">
        <v>44907</v>
      </c>
      <c r="AK322" s="22" t="s">
        <v>95</v>
      </c>
      <c r="AL322" s="18" t="s">
        <v>95</v>
      </c>
      <c r="AM322" s="18" t="s">
        <v>95</v>
      </c>
      <c r="AN322" s="18" t="s">
        <v>95</v>
      </c>
      <c r="AO322" s="18" t="s">
        <v>95</v>
      </c>
      <c r="AP322" s="18" t="s">
        <v>95</v>
      </c>
      <c r="AQ322" s="18" t="s">
        <v>95</v>
      </c>
      <c r="AR322" s="18" t="s">
        <v>95</v>
      </c>
      <c r="AS322" s="18" t="s">
        <v>83</v>
      </c>
      <c r="AT322" s="18" t="s">
        <v>81</v>
      </c>
      <c r="AU322" s="18" t="s">
        <v>81</v>
      </c>
      <c r="AV322" s="18" t="s">
        <v>95</v>
      </c>
      <c r="AW322" s="18" t="s">
        <v>95</v>
      </c>
      <c r="AX322" s="18"/>
      <c r="AY322" s="18" t="str">
        <f>Pospago[[#This Row],[NUM_TELEFONICO]]&amp;"POSPAGOSI"</f>
        <v>983901910POSPAGOSI</v>
      </c>
      <c r="AZ322" s="18" t="str">
        <f>VLOOKUP(Pospago[[#This Row],[NOM_PLAZA_FINAL]],[1]!Locales[#Data],3,0)</f>
        <v>TIENDA CUENCA CENTRO</v>
      </c>
      <c r="BA322" s="18" t="str">
        <f>IFERROR(VLOOKUP(Pospago[[#This Row],[USUARIO]],[1]!Personal[#Data],6,0),"EJECUTIVO NO REGISTRADO")</f>
        <v>PATIÑO URGILES DIANA CATALINA</v>
      </c>
      <c r="BB322" s="18" t="str">
        <f>Pospago[[#This Row],[TIPO_MOVIMIENTO]]&amp;" "&amp;Pospago[[#This Row],[FORMA_PAGO_FINAL]]</f>
        <v>ALTAS DOMICILIADO</v>
      </c>
      <c r="BC322" s="18">
        <f>DAY(Pospago[[#This Row],[FECHA_ALTA]])</f>
        <v>12</v>
      </c>
      <c r="BD322" s="18">
        <f>IF(Pospago[[#This Row],[TARIFA_BASICA]]=11.42,1,0)</f>
        <v>0</v>
      </c>
      <c r="BE322" s="18">
        <f>IF(Pospago[[#This Row],[PLANES TELEVENTAS]]="SI",1,0)</f>
        <v>1</v>
      </c>
      <c r="BF322" s="18">
        <f>1</f>
        <v>1</v>
      </c>
      <c r="BG322" s="18">
        <f>IF(OR(Pospago[[#This Row],[TARIFA_BASICA]]=11.42,Pospago[[#This Row],[PLANES TELEVENTAS]]="SI"),1,0)</f>
        <v>1</v>
      </c>
      <c r="BH322" s="18" t="str">
        <f>IF(MID(Pospago[[#This Row],[PlanDesc]],1,4) = "PLAN","POSPAGO",IF(MID(Pospago[[#This Row],[PlanDesc]],1,4)="FULL","FULL MEGAS","PREVIOPAGO"))</f>
        <v>PREVIOPAGO</v>
      </c>
      <c r="BI3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22" s="21">
        <f>Pospago[[#This Row],[TARIFA_BASICA]]*1.5</f>
        <v>21.419999999999998</v>
      </c>
    </row>
    <row r="323" spans="1:63" x14ac:dyDescent="0.25">
      <c r="A323" s="18" t="s">
        <v>154</v>
      </c>
      <c r="B323" s="18" t="s">
        <v>2235</v>
      </c>
      <c r="C323" s="18" t="s">
        <v>2236</v>
      </c>
      <c r="D323" s="19">
        <v>44909</v>
      </c>
      <c r="E323" s="18" t="s">
        <v>67</v>
      </c>
      <c r="F323" s="18" t="s">
        <v>2237</v>
      </c>
      <c r="G323" s="18" t="s">
        <v>2238</v>
      </c>
      <c r="H323" s="18" t="s">
        <v>159</v>
      </c>
      <c r="I323" s="18" t="s">
        <v>194</v>
      </c>
      <c r="J323" s="18" t="s">
        <v>268</v>
      </c>
      <c r="K323" s="18" t="s">
        <v>95</v>
      </c>
      <c r="L323" s="20" t="s">
        <v>2239</v>
      </c>
      <c r="M323" s="18" t="s">
        <v>75</v>
      </c>
      <c r="N323" s="20" t="s">
        <v>2240</v>
      </c>
      <c r="O323" s="18" t="s">
        <v>2241</v>
      </c>
      <c r="P323" s="18" t="s">
        <v>78</v>
      </c>
      <c r="Q323" s="19">
        <v>44914</v>
      </c>
      <c r="R323" s="21">
        <v>14.28</v>
      </c>
      <c r="S323" s="18" t="s">
        <v>79</v>
      </c>
      <c r="T323" s="18" t="s">
        <v>232</v>
      </c>
      <c r="U323" s="18" t="s">
        <v>83</v>
      </c>
      <c r="V323" s="18" t="s">
        <v>95</v>
      </c>
      <c r="W323" s="18" t="s">
        <v>95</v>
      </c>
      <c r="X323" s="18" t="s">
        <v>84</v>
      </c>
      <c r="Y323" s="18" t="s">
        <v>85</v>
      </c>
      <c r="Z323" s="18" t="s">
        <v>86</v>
      </c>
      <c r="AA323" s="18" t="s">
        <v>87</v>
      </c>
      <c r="AB323" s="18" t="s">
        <v>280</v>
      </c>
      <c r="AC323" s="18" t="s">
        <v>281</v>
      </c>
      <c r="AD323" s="18" t="s">
        <v>85</v>
      </c>
      <c r="AE323" s="18" t="s">
        <v>90</v>
      </c>
      <c r="AF323" s="18" t="s">
        <v>235</v>
      </c>
      <c r="AG323" s="18" t="s">
        <v>139</v>
      </c>
      <c r="AH323" s="18" t="s">
        <v>165</v>
      </c>
      <c r="AI323" s="18" t="s">
        <v>94</v>
      </c>
      <c r="AJ323" s="19">
        <v>44909</v>
      </c>
      <c r="AK323" s="22" t="s">
        <v>95</v>
      </c>
      <c r="AL323" s="18" t="s">
        <v>95</v>
      </c>
      <c r="AM323" s="18" t="s">
        <v>95</v>
      </c>
      <c r="AN323" s="18" t="s">
        <v>95</v>
      </c>
      <c r="AO323" s="18" t="s">
        <v>95</v>
      </c>
      <c r="AP323" s="18" t="s">
        <v>95</v>
      </c>
      <c r="AQ323" s="18" t="s">
        <v>95</v>
      </c>
      <c r="AR323" s="18" t="s">
        <v>95</v>
      </c>
      <c r="AS323" s="18" t="s">
        <v>83</v>
      </c>
      <c r="AT323" s="18" t="s">
        <v>81</v>
      </c>
      <c r="AU323" s="18" t="s">
        <v>81</v>
      </c>
      <c r="AV323" s="18" t="s">
        <v>95</v>
      </c>
      <c r="AW323" s="18" t="s">
        <v>95</v>
      </c>
      <c r="AX323" s="18"/>
      <c r="AY323" s="18" t="str">
        <f>Pospago[[#This Row],[NUM_TELEFONICO]]&amp;"POSPAGOSI"</f>
        <v>983907197POSPAGOSI</v>
      </c>
      <c r="AZ323" s="18" t="str">
        <f>VLOOKUP(Pospago[[#This Row],[NOM_PLAZA_FINAL]],[1]!Locales[#Data],3,0)</f>
        <v>TIENDA CONDADO</v>
      </c>
      <c r="BA323" s="18" t="str">
        <f>IFERROR(VLOOKUP(Pospago[[#This Row],[USUARIO]],[1]!Personal[#Data],6,0),"EJECUTIVO NO REGISTRADO")</f>
        <v>GUACHAMIN CAZA HUGO ADRIAN</v>
      </c>
      <c r="BB323" s="18" t="str">
        <f>Pospago[[#This Row],[TIPO_MOVIMIENTO]]&amp;" "&amp;Pospago[[#This Row],[FORMA_PAGO_FINAL]]</f>
        <v>TRANSFERENCIAS DOMICILIADO</v>
      </c>
      <c r="BC323" s="18">
        <f>DAY(Pospago[[#This Row],[FECHA_ALTA]])</f>
        <v>14</v>
      </c>
      <c r="BD323" s="18">
        <f>IF(Pospago[[#This Row],[TARIFA_BASICA]]=11.42,1,0)</f>
        <v>0</v>
      </c>
      <c r="BE323" s="18">
        <f>IF(Pospago[[#This Row],[PLANES TELEVENTAS]]="SI",1,0)</f>
        <v>1</v>
      </c>
      <c r="BF323" s="18">
        <f>1</f>
        <v>1</v>
      </c>
      <c r="BG323" s="18">
        <f>IF(OR(Pospago[[#This Row],[TARIFA_BASICA]]=11.42,Pospago[[#This Row],[PLANES TELEVENTAS]]="SI"),1,0)</f>
        <v>1</v>
      </c>
      <c r="BH323" s="18" t="str">
        <f>IF(MID(Pospago[[#This Row],[PlanDesc]],1,4) = "PLAN","POSPAGO",IF(MID(Pospago[[#This Row],[PlanDesc]],1,4)="FULL","FULL MEGAS","PREVIOPAGO"))</f>
        <v>PREVIOPAGO</v>
      </c>
      <c r="BI3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23" s="21">
        <f>Pospago[[#This Row],[TARIFA_BASICA]]*1.5</f>
        <v>21.419999999999998</v>
      </c>
    </row>
    <row r="324" spans="1:63" x14ac:dyDescent="0.25">
      <c r="A324" s="18" t="s">
        <v>64</v>
      </c>
      <c r="B324" s="18" t="s">
        <v>2242</v>
      </c>
      <c r="C324" s="18" t="s">
        <v>2243</v>
      </c>
      <c r="D324" s="19">
        <v>44896</v>
      </c>
      <c r="E324" s="18" t="s">
        <v>67</v>
      </c>
      <c r="F324" s="18" t="s">
        <v>2244</v>
      </c>
      <c r="G324" s="18" t="s">
        <v>2245</v>
      </c>
      <c r="H324" s="18" t="s">
        <v>193</v>
      </c>
      <c r="I324" s="18" t="s">
        <v>194</v>
      </c>
      <c r="J324" s="18" t="s">
        <v>195</v>
      </c>
      <c r="K324" s="18" t="s">
        <v>73</v>
      </c>
      <c r="L324" s="20" t="s">
        <v>2246</v>
      </c>
      <c r="M324" s="18" t="s">
        <v>75</v>
      </c>
      <c r="N324" s="20" t="s">
        <v>2247</v>
      </c>
      <c r="O324" s="18" t="s">
        <v>77</v>
      </c>
      <c r="P324" s="18" t="s">
        <v>78</v>
      </c>
      <c r="Q324" s="19">
        <v>44914</v>
      </c>
      <c r="R324" s="21">
        <v>14.28</v>
      </c>
      <c r="S324" s="18" t="s">
        <v>79</v>
      </c>
      <c r="T324" s="18" t="s">
        <v>80</v>
      </c>
      <c r="U324" s="18" t="s">
        <v>83</v>
      </c>
      <c r="V324" s="18" t="s">
        <v>95</v>
      </c>
      <c r="W324" s="18" t="s">
        <v>83</v>
      </c>
      <c r="X324" s="18" t="s">
        <v>215</v>
      </c>
      <c r="Y324" s="18" t="s">
        <v>85</v>
      </c>
      <c r="Z324" s="18" t="s">
        <v>86</v>
      </c>
      <c r="AA324" s="18" t="s">
        <v>87</v>
      </c>
      <c r="AB324" s="18" t="s">
        <v>242</v>
      </c>
      <c r="AC324" s="18" t="s">
        <v>243</v>
      </c>
      <c r="AD324" s="18" t="s">
        <v>85</v>
      </c>
      <c r="AE324" s="18" t="s">
        <v>90</v>
      </c>
      <c r="AF324" s="18" t="s">
        <v>91</v>
      </c>
      <c r="AG324" s="18" t="s">
        <v>92</v>
      </c>
      <c r="AH324" s="18" t="s">
        <v>93</v>
      </c>
      <c r="AI324" s="18" t="s">
        <v>94</v>
      </c>
      <c r="AJ324" s="19">
        <v>44896</v>
      </c>
      <c r="AK324" s="22" t="s">
        <v>95</v>
      </c>
      <c r="AL324" s="18" t="s">
        <v>95</v>
      </c>
      <c r="AM324" s="18" t="s">
        <v>95</v>
      </c>
      <c r="AN324" s="18" t="s">
        <v>95</v>
      </c>
      <c r="AO324" s="18" t="s">
        <v>95</v>
      </c>
      <c r="AP324" s="18" t="s">
        <v>95</v>
      </c>
      <c r="AQ324" s="18" t="s">
        <v>95</v>
      </c>
      <c r="AR324" s="18" t="s">
        <v>95</v>
      </c>
      <c r="AS324" s="18" t="s">
        <v>83</v>
      </c>
      <c r="AT324" s="18" t="s">
        <v>81</v>
      </c>
      <c r="AU324" s="18" t="s">
        <v>81</v>
      </c>
      <c r="AV324" s="18" t="s">
        <v>95</v>
      </c>
      <c r="AW324" s="18" t="s">
        <v>95</v>
      </c>
      <c r="AX324" s="18"/>
      <c r="AY324" s="18" t="str">
        <f>Pospago[[#This Row],[NUM_TELEFONICO]]&amp;"POSPAGOSI"</f>
        <v>983915394POSPAGOSI</v>
      </c>
      <c r="AZ324" s="18" t="str">
        <f>VLOOKUP(Pospago[[#This Row],[NOM_PLAZA_FINAL]],[1]!Locales[#Data],3,0)</f>
        <v>TIENDA CUENCA CENTRO</v>
      </c>
      <c r="BA324" s="18" t="str">
        <f>IFERROR(VLOOKUP(Pospago[[#This Row],[USUARIO]],[1]!Personal[#Data],6,0),"EJECUTIVO NO REGISTRADO")</f>
        <v>VALLEJO DELEG ROMAN NICOLAS</v>
      </c>
      <c r="BB324" s="18" t="str">
        <f>Pospago[[#This Row],[TIPO_MOVIMIENTO]]&amp;" "&amp;Pospago[[#This Row],[FORMA_PAGO_FINAL]]</f>
        <v>ALTAS DOMICILIADO</v>
      </c>
      <c r="BC324" s="18">
        <f>DAY(Pospago[[#This Row],[FECHA_ALTA]])</f>
        <v>1</v>
      </c>
      <c r="BD324" s="18">
        <f>IF(Pospago[[#This Row],[TARIFA_BASICA]]=11.42,1,0)</f>
        <v>0</v>
      </c>
      <c r="BE324" s="18">
        <f>IF(Pospago[[#This Row],[PLANES TELEVENTAS]]="SI",1,0)</f>
        <v>1</v>
      </c>
      <c r="BF324" s="18">
        <f>1</f>
        <v>1</v>
      </c>
      <c r="BG324" s="18">
        <f>IF(OR(Pospago[[#This Row],[TARIFA_BASICA]]=11.42,Pospago[[#This Row],[PLANES TELEVENTAS]]="SI"),1,0)</f>
        <v>1</v>
      </c>
      <c r="BH324" s="18" t="str">
        <f>IF(MID(Pospago[[#This Row],[PlanDesc]],1,4) = "PLAN","POSPAGO",IF(MID(Pospago[[#This Row],[PlanDesc]],1,4)="FULL","FULL MEGAS","PREVIOPAGO"))</f>
        <v>PREVIOPAGO</v>
      </c>
      <c r="BI3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24" s="21">
        <f>Pospago[[#This Row],[TARIFA_BASICA]]*1.5</f>
        <v>21.419999999999998</v>
      </c>
    </row>
    <row r="325" spans="1:63" x14ac:dyDescent="0.25">
      <c r="A325" s="18" t="s">
        <v>154</v>
      </c>
      <c r="B325" s="18" t="s">
        <v>2248</v>
      </c>
      <c r="C325" s="18" t="s">
        <v>2249</v>
      </c>
      <c r="D325" s="19">
        <v>44903</v>
      </c>
      <c r="E325" s="18" t="s">
        <v>67</v>
      </c>
      <c r="F325" s="18" t="s">
        <v>2250</v>
      </c>
      <c r="G325" s="18" t="s">
        <v>2251</v>
      </c>
      <c r="H325" s="18" t="s">
        <v>159</v>
      </c>
      <c r="I325" s="18" t="s">
        <v>71</v>
      </c>
      <c r="J325" s="18" t="s">
        <v>258</v>
      </c>
      <c r="K325" s="18" t="s">
        <v>132</v>
      </c>
      <c r="L325" s="20" t="s">
        <v>2252</v>
      </c>
      <c r="M325" s="18" t="s">
        <v>75</v>
      </c>
      <c r="N325" s="20" t="s">
        <v>2253</v>
      </c>
      <c r="O325" s="18" t="s">
        <v>164</v>
      </c>
      <c r="P325" s="18" t="s">
        <v>78</v>
      </c>
      <c r="Q325" s="19">
        <v>44914</v>
      </c>
      <c r="R325" s="21">
        <v>11.42</v>
      </c>
      <c r="S325" s="18" t="s">
        <v>79</v>
      </c>
      <c r="T325" s="18" t="s">
        <v>174</v>
      </c>
      <c r="U325" s="18" t="s">
        <v>83</v>
      </c>
      <c r="V325" s="18" t="s">
        <v>95</v>
      </c>
      <c r="W325" s="18" t="s">
        <v>95</v>
      </c>
      <c r="X325" s="18" t="s">
        <v>84</v>
      </c>
      <c r="Y325" s="18" t="s">
        <v>85</v>
      </c>
      <c r="Z325" s="18" t="s">
        <v>86</v>
      </c>
      <c r="AA325" s="18" t="s">
        <v>87</v>
      </c>
      <c r="AB325" s="18" t="s">
        <v>926</v>
      </c>
      <c r="AC325" s="18" t="s">
        <v>927</v>
      </c>
      <c r="AD325" s="18" t="s">
        <v>85</v>
      </c>
      <c r="AE325" s="18" t="s">
        <v>90</v>
      </c>
      <c r="AF325" s="18" t="s">
        <v>177</v>
      </c>
      <c r="AG325" s="18" t="s">
        <v>139</v>
      </c>
      <c r="AH325" s="18" t="s">
        <v>165</v>
      </c>
      <c r="AI325" s="18" t="s">
        <v>94</v>
      </c>
      <c r="AJ325" s="19">
        <v>44903</v>
      </c>
      <c r="AK325" s="22" t="s">
        <v>95</v>
      </c>
      <c r="AL325" s="18" t="s">
        <v>95</v>
      </c>
      <c r="AM325" s="18" t="s">
        <v>95</v>
      </c>
      <c r="AN325" s="18" t="s">
        <v>95</v>
      </c>
      <c r="AO325" s="18" t="s">
        <v>95</v>
      </c>
      <c r="AP325" s="18" t="s">
        <v>95</v>
      </c>
      <c r="AQ325" s="18" t="s">
        <v>95</v>
      </c>
      <c r="AR325" s="18" t="s">
        <v>95</v>
      </c>
      <c r="AS325" s="18" t="s">
        <v>83</v>
      </c>
      <c r="AT325" s="18" t="s">
        <v>83</v>
      </c>
      <c r="AU325" s="18" t="s">
        <v>81</v>
      </c>
      <c r="AV325" s="18" t="s">
        <v>95</v>
      </c>
      <c r="AW325" s="18" t="s">
        <v>95</v>
      </c>
      <c r="AX325" s="18"/>
      <c r="AY325" s="18" t="str">
        <f>Pospago[[#This Row],[NUM_TELEFONICO]]&amp;"POSPAGOSI"</f>
        <v>983915844POSPAGOSI</v>
      </c>
      <c r="AZ325" s="18" t="str">
        <f>VLOOKUP(Pospago[[#This Row],[NOM_PLAZA_FINAL]],[1]!Locales[#Data],3,0)</f>
        <v>TIENDA RECREO</v>
      </c>
      <c r="BA325" s="18" t="str">
        <f>IFERROR(VLOOKUP(Pospago[[#This Row],[USUARIO]],[1]!Personal[#Data],6,0),"EJECUTIVO NO REGISTRADO")</f>
        <v>CABEZAS LOPEZ ROBERTO ALEJANDRO</v>
      </c>
      <c r="BB325" s="18" t="str">
        <f>Pospago[[#This Row],[TIPO_MOVIMIENTO]]&amp;" "&amp;Pospago[[#This Row],[FORMA_PAGO_FINAL]]</f>
        <v>TRANSFERENCIAS DOMICILIADO</v>
      </c>
      <c r="BC325" s="18">
        <f>DAY(Pospago[[#This Row],[FECHA_ALTA]])</f>
        <v>8</v>
      </c>
      <c r="BD325" s="18">
        <f>IF(Pospago[[#This Row],[TARIFA_BASICA]]=11.42,1,0)</f>
        <v>1</v>
      </c>
      <c r="BE325" s="18">
        <f>IF(Pospago[[#This Row],[PLANES TELEVENTAS]]="SI",1,0)</f>
        <v>0</v>
      </c>
      <c r="BF325" s="18">
        <f>1</f>
        <v>1</v>
      </c>
      <c r="BG325" s="18">
        <f>IF(OR(Pospago[[#This Row],[TARIFA_BASICA]]=11.42,Pospago[[#This Row],[PLANES TELEVENTAS]]="SI"),1,0)</f>
        <v>1</v>
      </c>
      <c r="BH325" s="18" t="str">
        <f>IF(MID(Pospago[[#This Row],[PlanDesc]],1,4) = "PLAN","POSPAGO",IF(MID(Pospago[[#This Row],[PlanDesc]],1,4)="FULL","FULL MEGAS","PREVIOPAGO"))</f>
        <v>PREVIOPAGO</v>
      </c>
      <c r="BI3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3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25" s="21">
        <f>Pospago[[#This Row],[TARIFA_BASICA]]*1.5</f>
        <v>17.13</v>
      </c>
    </row>
    <row r="326" spans="1:63" x14ac:dyDescent="0.25">
      <c r="A326" s="18" t="s">
        <v>154</v>
      </c>
      <c r="B326" s="18" t="s">
        <v>2254</v>
      </c>
      <c r="C326" s="18" t="s">
        <v>2255</v>
      </c>
      <c r="D326" s="19">
        <v>44898</v>
      </c>
      <c r="E326" s="18" t="s">
        <v>67</v>
      </c>
      <c r="F326" s="18" t="s">
        <v>2256</v>
      </c>
      <c r="G326" s="18" t="s">
        <v>2257</v>
      </c>
      <c r="H326" s="18" t="s">
        <v>159</v>
      </c>
      <c r="I326" s="18" t="s">
        <v>160</v>
      </c>
      <c r="J326" s="18" t="s">
        <v>161</v>
      </c>
      <c r="K326" s="18" t="s">
        <v>132</v>
      </c>
      <c r="L326" s="20" t="s">
        <v>2258</v>
      </c>
      <c r="M326" s="18" t="s">
        <v>287</v>
      </c>
      <c r="N326" s="20" t="s">
        <v>2259</v>
      </c>
      <c r="O326" s="18" t="s">
        <v>164</v>
      </c>
      <c r="P326" s="18" t="s">
        <v>78</v>
      </c>
      <c r="Q326" s="19">
        <v>44914</v>
      </c>
      <c r="R326" s="21">
        <v>14.28</v>
      </c>
      <c r="S326" s="18" t="s">
        <v>79</v>
      </c>
      <c r="T326" s="18" t="s">
        <v>174</v>
      </c>
      <c r="U326" s="18" t="s">
        <v>83</v>
      </c>
      <c r="V326" s="18" t="s">
        <v>95</v>
      </c>
      <c r="W326" s="18" t="s">
        <v>95</v>
      </c>
      <c r="X326" s="18" t="s">
        <v>215</v>
      </c>
      <c r="Y326" s="18" t="s">
        <v>85</v>
      </c>
      <c r="Z326" s="18" t="s">
        <v>86</v>
      </c>
      <c r="AA326" s="18" t="s">
        <v>87</v>
      </c>
      <c r="AB326" s="18" t="s">
        <v>303</v>
      </c>
      <c r="AC326" s="18" t="s">
        <v>304</v>
      </c>
      <c r="AD326" s="18" t="s">
        <v>85</v>
      </c>
      <c r="AE326" s="18" t="s">
        <v>90</v>
      </c>
      <c r="AF326" s="18" t="s">
        <v>177</v>
      </c>
      <c r="AG326" s="18" t="s">
        <v>139</v>
      </c>
      <c r="AH326" s="18" t="s">
        <v>165</v>
      </c>
      <c r="AI326" s="18" t="s">
        <v>94</v>
      </c>
      <c r="AJ326" s="19">
        <v>44898</v>
      </c>
      <c r="AK326" s="22">
        <v>44913</v>
      </c>
      <c r="AL326" s="18" t="s">
        <v>291</v>
      </c>
      <c r="AM326" s="18" t="s">
        <v>292</v>
      </c>
      <c r="AN326" s="18" t="s">
        <v>494</v>
      </c>
      <c r="AO326" s="18" t="s">
        <v>2260</v>
      </c>
      <c r="AP326" s="18">
        <v>1</v>
      </c>
      <c r="AQ326" s="18">
        <v>196.42857000000001</v>
      </c>
      <c r="AR326" s="18" t="s">
        <v>496</v>
      </c>
      <c r="AS326" s="18" t="s">
        <v>81</v>
      </c>
      <c r="AT326" s="18" t="s">
        <v>83</v>
      </c>
      <c r="AU326" s="18" t="s">
        <v>81</v>
      </c>
      <c r="AV326" s="18" t="s">
        <v>95</v>
      </c>
      <c r="AW326" s="18" t="s">
        <v>95</v>
      </c>
      <c r="AX326" s="18"/>
      <c r="AY326" s="18" t="str">
        <f>Pospago[[#This Row],[NUM_TELEFONICO]]&amp;"POSPAGOSI"</f>
        <v>983917395POSPAGOSI</v>
      </c>
      <c r="AZ326" s="18" t="str">
        <f>VLOOKUP(Pospago[[#This Row],[NOM_PLAZA_FINAL]],[1]!Locales[#Data],3,0)</f>
        <v>TIENDA RECREO</v>
      </c>
      <c r="BA326" s="18" t="str">
        <f>IFERROR(VLOOKUP(Pospago[[#This Row],[USUARIO]],[1]!Personal[#Data],6,0),"EJECUTIVO NO REGISTRADO")</f>
        <v>CORDOVA GAIBOR JONATHAN HERNAN</v>
      </c>
      <c r="BB326" s="18" t="str">
        <f>Pospago[[#This Row],[TIPO_MOVIMIENTO]]&amp;" "&amp;Pospago[[#This Row],[FORMA_PAGO_FINAL]]</f>
        <v>TRANSFERENCIAS DOMICILIADO</v>
      </c>
      <c r="BC326" s="18">
        <f>DAY(Pospago[[#This Row],[FECHA_ALTA]])</f>
        <v>3</v>
      </c>
      <c r="BD326" s="18">
        <f>IF(Pospago[[#This Row],[TARIFA_BASICA]]=11.42,1,0)</f>
        <v>0</v>
      </c>
      <c r="BE326" s="18">
        <f>IF(Pospago[[#This Row],[PLANES TELEVENTAS]]="SI",1,0)</f>
        <v>0</v>
      </c>
      <c r="BF326" s="18">
        <f>1</f>
        <v>1</v>
      </c>
      <c r="BG326" s="18">
        <f>IF(OR(Pospago[[#This Row],[TARIFA_BASICA]]=11.42,Pospago[[#This Row],[PLANES TELEVENTAS]]="SI"),1,0)</f>
        <v>0</v>
      </c>
      <c r="BH326" s="18" t="str">
        <f>IF(MID(Pospago[[#This Row],[PlanDesc]],1,4) = "PLAN","POSPAGO",IF(MID(Pospago[[#This Row],[PlanDesc]],1,4)="FULL","FULL MEGAS","PREVIOPAGO"))</f>
        <v>PREVIOPAGO</v>
      </c>
      <c r="BI3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26" s="21">
        <f>Pospago[[#This Row],[TARIFA_BASICA]]*1.5</f>
        <v>21.419999999999998</v>
      </c>
    </row>
    <row r="327" spans="1:63" x14ac:dyDescent="0.25">
      <c r="A327" s="18" t="s">
        <v>154</v>
      </c>
      <c r="B327" s="18" t="s">
        <v>2261</v>
      </c>
      <c r="C327" s="18" t="s">
        <v>2262</v>
      </c>
      <c r="D327" s="19">
        <v>44912</v>
      </c>
      <c r="E327" s="18" t="s">
        <v>67</v>
      </c>
      <c r="F327" s="18" t="s">
        <v>2263</v>
      </c>
      <c r="G327" s="18" t="s">
        <v>2264</v>
      </c>
      <c r="H327" s="18" t="s">
        <v>159</v>
      </c>
      <c r="I327" s="18" t="s">
        <v>160</v>
      </c>
      <c r="J327" s="18" t="s">
        <v>161</v>
      </c>
      <c r="K327" s="18" t="s">
        <v>132</v>
      </c>
      <c r="L327" s="20" t="s">
        <v>2265</v>
      </c>
      <c r="M327" s="18" t="s">
        <v>75</v>
      </c>
      <c r="N327" s="20" t="s">
        <v>2266</v>
      </c>
      <c r="O327" s="18" t="s">
        <v>164</v>
      </c>
      <c r="P327" s="18" t="s">
        <v>78</v>
      </c>
      <c r="Q327" s="19">
        <v>44914</v>
      </c>
      <c r="R327" s="21">
        <v>14.28</v>
      </c>
      <c r="S327" s="18" t="s">
        <v>79</v>
      </c>
      <c r="T327" s="18" t="s">
        <v>174</v>
      </c>
      <c r="U327" s="18" t="s">
        <v>83</v>
      </c>
      <c r="V327" s="18" t="s">
        <v>95</v>
      </c>
      <c r="W327" s="18" t="s">
        <v>95</v>
      </c>
      <c r="X327" s="18" t="s">
        <v>118</v>
      </c>
      <c r="Y327" s="18" t="s">
        <v>85</v>
      </c>
      <c r="Z327" s="18" t="s">
        <v>86</v>
      </c>
      <c r="AA327" s="18" t="s">
        <v>119</v>
      </c>
      <c r="AB327" s="18" t="s">
        <v>262</v>
      </c>
      <c r="AC327" s="18" t="s">
        <v>263</v>
      </c>
      <c r="AD327" s="18" t="s">
        <v>85</v>
      </c>
      <c r="AE327" s="18" t="s">
        <v>90</v>
      </c>
      <c r="AF327" s="18" t="s">
        <v>177</v>
      </c>
      <c r="AG327" s="18" t="s">
        <v>139</v>
      </c>
      <c r="AH327" s="18" t="s">
        <v>165</v>
      </c>
      <c r="AI327" s="18" t="s">
        <v>94</v>
      </c>
      <c r="AJ327" s="19">
        <v>44912</v>
      </c>
      <c r="AK327" s="22" t="s">
        <v>95</v>
      </c>
      <c r="AL327" s="18" t="s">
        <v>95</v>
      </c>
      <c r="AM327" s="18" t="s">
        <v>95</v>
      </c>
      <c r="AN327" s="18" t="s">
        <v>95</v>
      </c>
      <c r="AO327" s="18" t="s">
        <v>95</v>
      </c>
      <c r="AP327" s="18" t="s">
        <v>95</v>
      </c>
      <c r="AQ327" s="18" t="s">
        <v>95</v>
      </c>
      <c r="AR327" s="18" t="s">
        <v>95</v>
      </c>
      <c r="AS327" s="18" t="s">
        <v>83</v>
      </c>
      <c r="AT327" s="18" t="s">
        <v>83</v>
      </c>
      <c r="AU327" s="18" t="s">
        <v>81</v>
      </c>
      <c r="AV327" s="18" t="s">
        <v>95</v>
      </c>
      <c r="AW327" s="18" t="s">
        <v>95</v>
      </c>
      <c r="AX327" s="18"/>
      <c r="AY327" s="18" t="str">
        <f>Pospago[[#This Row],[NUM_TELEFONICO]]&amp;"POSPAGOSI"</f>
        <v>983918248POSPAGOSI</v>
      </c>
      <c r="AZ327" s="18" t="str">
        <f>VLOOKUP(Pospago[[#This Row],[NOM_PLAZA_FINAL]],[1]!Locales[#Data],3,0)</f>
        <v>TIENDA RECREO</v>
      </c>
      <c r="BA327" s="18" t="str">
        <f>IFERROR(VLOOKUP(Pospago[[#This Row],[USUARIO]],[1]!Personal[#Data],6,0),"EJECUTIVO NO REGISTRADO")</f>
        <v>CHICAIZA TOAPANTA ALEX DANILO</v>
      </c>
      <c r="BB327" s="18" t="str">
        <f>Pospago[[#This Row],[TIPO_MOVIMIENTO]]&amp;" "&amp;Pospago[[#This Row],[FORMA_PAGO_FINAL]]</f>
        <v>TRANSFERENCIAS PAGO EN CAJA</v>
      </c>
      <c r="BC327" s="18">
        <f>DAY(Pospago[[#This Row],[FECHA_ALTA]])</f>
        <v>17</v>
      </c>
      <c r="BD327" s="18">
        <f>IF(Pospago[[#This Row],[TARIFA_BASICA]]=11.42,1,0)</f>
        <v>0</v>
      </c>
      <c r="BE327" s="18">
        <f>IF(Pospago[[#This Row],[PLANES TELEVENTAS]]="SI",1,0)</f>
        <v>0</v>
      </c>
      <c r="BF327" s="18">
        <f>1</f>
        <v>1</v>
      </c>
      <c r="BG327" s="18">
        <f>IF(OR(Pospago[[#This Row],[TARIFA_BASICA]]=11.42,Pospago[[#This Row],[PLANES TELEVENTAS]]="SI"),1,0)</f>
        <v>0</v>
      </c>
      <c r="BH327" s="18" t="str">
        <f>IF(MID(Pospago[[#This Row],[PlanDesc]],1,4) = "PLAN","POSPAGO",IF(MID(Pospago[[#This Row],[PlanDesc]],1,4)="FULL","FULL MEGAS","PREVIOPAGO"))</f>
        <v>PREVIOPAGO</v>
      </c>
      <c r="BI3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27" s="21">
        <f>Pospago[[#This Row],[TARIFA_BASICA]]*1.5</f>
        <v>21.419999999999998</v>
      </c>
    </row>
    <row r="328" spans="1:63" x14ac:dyDescent="0.25">
      <c r="A328" s="18" t="s">
        <v>154</v>
      </c>
      <c r="B328" s="18" t="s">
        <v>2267</v>
      </c>
      <c r="C328" s="18" t="s">
        <v>2268</v>
      </c>
      <c r="D328" s="19">
        <v>44905</v>
      </c>
      <c r="E328" s="18" t="s">
        <v>67</v>
      </c>
      <c r="F328" s="18" t="s">
        <v>2269</v>
      </c>
      <c r="G328" s="18" t="s">
        <v>2270</v>
      </c>
      <c r="H328" s="18" t="s">
        <v>159</v>
      </c>
      <c r="I328" s="18" t="s">
        <v>71</v>
      </c>
      <c r="J328" s="18" t="s">
        <v>258</v>
      </c>
      <c r="K328" s="18" t="s">
        <v>95</v>
      </c>
      <c r="L328" s="20" t="s">
        <v>2271</v>
      </c>
      <c r="M328" s="18" t="s">
        <v>75</v>
      </c>
      <c r="N328" s="20" t="s">
        <v>2272</v>
      </c>
      <c r="O328" s="18" t="s">
        <v>164</v>
      </c>
      <c r="P328" s="18" t="s">
        <v>78</v>
      </c>
      <c r="Q328" s="19">
        <v>44914</v>
      </c>
      <c r="R328" s="21">
        <v>11.42</v>
      </c>
      <c r="S328" s="18" t="s">
        <v>79</v>
      </c>
      <c r="T328" s="18" t="s">
        <v>232</v>
      </c>
      <c r="U328" s="18" t="s">
        <v>83</v>
      </c>
      <c r="V328" s="18" t="s">
        <v>95</v>
      </c>
      <c r="W328" s="18" t="s">
        <v>95</v>
      </c>
      <c r="X328" s="18" t="s">
        <v>84</v>
      </c>
      <c r="Y328" s="18" t="s">
        <v>85</v>
      </c>
      <c r="Z328" s="18" t="s">
        <v>86</v>
      </c>
      <c r="AA328" s="18" t="s">
        <v>87</v>
      </c>
      <c r="AB328" s="18" t="s">
        <v>233</v>
      </c>
      <c r="AC328" s="18" t="s">
        <v>234</v>
      </c>
      <c r="AD328" s="18" t="s">
        <v>85</v>
      </c>
      <c r="AE328" s="18" t="s">
        <v>90</v>
      </c>
      <c r="AF328" s="18" t="s">
        <v>235</v>
      </c>
      <c r="AG328" s="18" t="s">
        <v>139</v>
      </c>
      <c r="AH328" s="18" t="s">
        <v>165</v>
      </c>
      <c r="AI328" s="18" t="s">
        <v>94</v>
      </c>
      <c r="AJ328" s="19">
        <v>44905</v>
      </c>
      <c r="AK328" s="22" t="s">
        <v>95</v>
      </c>
      <c r="AL328" s="18" t="s">
        <v>95</v>
      </c>
      <c r="AM328" s="18" t="s">
        <v>95</v>
      </c>
      <c r="AN328" s="18" t="s">
        <v>95</v>
      </c>
      <c r="AO328" s="18" t="s">
        <v>95</v>
      </c>
      <c r="AP328" s="18" t="s">
        <v>95</v>
      </c>
      <c r="AQ328" s="18" t="s">
        <v>95</v>
      </c>
      <c r="AR328" s="18" t="s">
        <v>95</v>
      </c>
      <c r="AS328" s="18" t="s">
        <v>83</v>
      </c>
      <c r="AT328" s="18" t="s">
        <v>83</v>
      </c>
      <c r="AU328" s="18" t="s">
        <v>81</v>
      </c>
      <c r="AV328" s="18" t="s">
        <v>95</v>
      </c>
      <c r="AW328" s="18" t="s">
        <v>95</v>
      </c>
      <c r="AX328" s="18"/>
      <c r="AY328" s="18" t="str">
        <f>Pospago[[#This Row],[NUM_TELEFONICO]]&amp;"POSPAGOSI"</f>
        <v>983925507POSPAGOSI</v>
      </c>
      <c r="AZ328" s="18" t="str">
        <f>VLOOKUP(Pospago[[#This Row],[NOM_PLAZA_FINAL]],[1]!Locales[#Data],3,0)</f>
        <v>TIENDA CONDADO</v>
      </c>
      <c r="BA328" s="18" t="str">
        <f>IFERROR(VLOOKUP(Pospago[[#This Row],[USUARIO]],[1]!Personal[#Data],6,0),"EJECUTIVO NO REGISTRADO")</f>
        <v>ROSALES MALDONADO JESSICA GABRIELA</v>
      </c>
      <c r="BB328" s="18" t="str">
        <f>Pospago[[#This Row],[TIPO_MOVIMIENTO]]&amp;" "&amp;Pospago[[#This Row],[FORMA_PAGO_FINAL]]</f>
        <v>TRANSFERENCIAS DOMICILIADO</v>
      </c>
      <c r="BC328" s="18">
        <f>DAY(Pospago[[#This Row],[FECHA_ALTA]])</f>
        <v>10</v>
      </c>
      <c r="BD328" s="18">
        <f>IF(Pospago[[#This Row],[TARIFA_BASICA]]=11.42,1,0)</f>
        <v>1</v>
      </c>
      <c r="BE328" s="18">
        <f>IF(Pospago[[#This Row],[PLANES TELEVENTAS]]="SI",1,0)</f>
        <v>0</v>
      </c>
      <c r="BF328" s="18">
        <f>1</f>
        <v>1</v>
      </c>
      <c r="BG328" s="18">
        <f>IF(OR(Pospago[[#This Row],[TARIFA_BASICA]]=11.42,Pospago[[#This Row],[PLANES TELEVENTAS]]="SI"),1,0)</f>
        <v>1</v>
      </c>
      <c r="BH328" s="18" t="str">
        <f>IF(MID(Pospago[[#This Row],[PlanDesc]],1,4) = "PLAN","POSPAGO",IF(MID(Pospago[[#This Row],[PlanDesc]],1,4)="FULL","FULL MEGAS","PREVIOPAGO"))</f>
        <v>PREVIOPAGO</v>
      </c>
      <c r="BI3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3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28" s="21">
        <f>Pospago[[#This Row],[TARIFA_BASICA]]*1.5</f>
        <v>17.13</v>
      </c>
    </row>
    <row r="329" spans="1:63" x14ac:dyDescent="0.25">
      <c r="A329" s="18" t="s">
        <v>64</v>
      </c>
      <c r="B329" s="18" t="s">
        <v>2273</v>
      </c>
      <c r="C329" s="18" t="s">
        <v>2274</v>
      </c>
      <c r="D329" s="19">
        <v>44900</v>
      </c>
      <c r="E329" s="18" t="s">
        <v>67</v>
      </c>
      <c r="F329" s="18" t="s">
        <v>2275</v>
      </c>
      <c r="G329" s="18" t="s">
        <v>2276</v>
      </c>
      <c r="H329" s="18" t="s">
        <v>70</v>
      </c>
      <c r="I329" s="18" t="s">
        <v>160</v>
      </c>
      <c r="J329" s="18" t="s">
        <v>195</v>
      </c>
      <c r="K329" s="18" t="s">
        <v>132</v>
      </c>
      <c r="L329" s="20" t="s">
        <v>2277</v>
      </c>
      <c r="M329" s="18" t="s">
        <v>75</v>
      </c>
      <c r="N329" s="20" t="s">
        <v>2278</v>
      </c>
      <c r="O329" s="18" t="s">
        <v>77</v>
      </c>
      <c r="P329" s="18" t="s">
        <v>78</v>
      </c>
      <c r="Q329" s="19">
        <v>44914</v>
      </c>
      <c r="R329" s="21">
        <v>14.28</v>
      </c>
      <c r="S329" s="18" t="s">
        <v>79</v>
      </c>
      <c r="T329" s="18" t="s">
        <v>232</v>
      </c>
      <c r="U329" s="18" t="s">
        <v>83</v>
      </c>
      <c r="V329" s="18" t="s">
        <v>95</v>
      </c>
      <c r="W329" s="18" t="s">
        <v>83</v>
      </c>
      <c r="X329" s="18" t="s">
        <v>84</v>
      </c>
      <c r="Y329" s="18" t="s">
        <v>85</v>
      </c>
      <c r="Z329" s="18" t="s">
        <v>86</v>
      </c>
      <c r="AA329" s="18" t="s">
        <v>87</v>
      </c>
      <c r="AB329" s="18" t="s">
        <v>769</v>
      </c>
      <c r="AC329" s="18" t="s">
        <v>770</v>
      </c>
      <c r="AD329" s="18" t="s">
        <v>85</v>
      </c>
      <c r="AE329" s="18" t="s">
        <v>90</v>
      </c>
      <c r="AF329" s="18" t="s">
        <v>235</v>
      </c>
      <c r="AG329" s="18" t="s">
        <v>139</v>
      </c>
      <c r="AH329" s="18" t="s">
        <v>93</v>
      </c>
      <c r="AI329" s="18" t="s">
        <v>94</v>
      </c>
      <c r="AJ329" s="19">
        <v>44900</v>
      </c>
      <c r="AK329" s="22" t="s">
        <v>95</v>
      </c>
      <c r="AL329" s="18" t="s">
        <v>95</v>
      </c>
      <c r="AM329" s="18" t="s">
        <v>95</v>
      </c>
      <c r="AN329" s="18" t="s">
        <v>95</v>
      </c>
      <c r="AO329" s="18" t="s">
        <v>95</v>
      </c>
      <c r="AP329" s="18" t="s">
        <v>95</v>
      </c>
      <c r="AQ329" s="18" t="s">
        <v>95</v>
      </c>
      <c r="AR329" s="18" t="s">
        <v>95</v>
      </c>
      <c r="AS329" s="18" t="s">
        <v>83</v>
      </c>
      <c r="AT329" s="18" t="s">
        <v>83</v>
      </c>
      <c r="AU329" s="18" t="s">
        <v>81</v>
      </c>
      <c r="AV329" s="18" t="s">
        <v>95</v>
      </c>
      <c r="AW329" s="18" t="s">
        <v>95</v>
      </c>
      <c r="AX329" s="18"/>
      <c r="AY329" s="18" t="str">
        <f>Pospago[[#This Row],[NUM_TELEFONICO]]&amp;"POSPAGOSI"</f>
        <v>983941727POSPAGOSI</v>
      </c>
      <c r="AZ329" s="18" t="str">
        <f>VLOOKUP(Pospago[[#This Row],[NOM_PLAZA_FINAL]],[1]!Locales[#Data],3,0)</f>
        <v>TIENDA CONDADO</v>
      </c>
      <c r="BA329" s="18" t="str">
        <f>IFERROR(VLOOKUP(Pospago[[#This Row],[USUARIO]],[1]!Personal[#Data],6,0),"EJECUTIVO NO REGISTRADO")</f>
        <v>ROJAS VEGA JHOSMERY MICHELE</v>
      </c>
      <c r="BB329" s="18" t="str">
        <f>Pospago[[#This Row],[TIPO_MOVIMIENTO]]&amp;" "&amp;Pospago[[#This Row],[FORMA_PAGO_FINAL]]</f>
        <v>ALTAS DOMICILIADO</v>
      </c>
      <c r="BC329" s="18">
        <f>DAY(Pospago[[#This Row],[FECHA_ALTA]])</f>
        <v>5</v>
      </c>
      <c r="BD329" s="18">
        <f>IF(Pospago[[#This Row],[TARIFA_BASICA]]=11.42,1,0)</f>
        <v>0</v>
      </c>
      <c r="BE329" s="18">
        <f>IF(Pospago[[#This Row],[PLANES TELEVENTAS]]="SI",1,0)</f>
        <v>0</v>
      </c>
      <c r="BF329" s="18">
        <f>1</f>
        <v>1</v>
      </c>
      <c r="BG329" s="18">
        <f>IF(OR(Pospago[[#This Row],[TARIFA_BASICA]]=11.42,Pospago[[#This Row],[PLANES TELEVENTAS]]="SI"),1,0)</f>
        <v>0</v>
      </c>
      <c r="BH329" s="18" t="str">
        <f>IF(MID(Pospago[[#This Row],[PlanDesc]],1,4) = "PLAN","POSPAGO",IF(MID(Pospago[[#This Row],[PlanDesc]],1,4)="FULL","FULL MEGAS","PREVIOPAGO"))</f>
        <v>PREVIOPAGO</v>
      </c>
      <c r="BI3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29" s="21">
        <f>Pospago[[#This Row],[TARIFA_BASICA]]*1.5</f>
        <v>21.419999999999998</v>
      </c>
    </row>
    <row r="330" spans="1:63" x14ac:dyDescent="0.25">
      <c r="A330" s="18" t="s">
        <v>64</v>
      </c>
      <c r="B330" s="18" t="s">
        <v>2279</v>
      </c>
      <c r="C330" s="18" t="s">
        <v>2280</v>
      </c>
      <c r="D330" s="19">
        <v>44903</v>
      </c>
      <c r="E330" s="18" t="s">
        <v>67</v>
      </c>
      <c r="F330" s="18" t="s">
        <v>2281</v>
      </c>
      <c r="G330" s="18" t="s">
        <v>2282</v>
      </c>
      <c r="H330" s="18" t="s">
        <v>70</v>
      </c>
      <c r="I330" s="18" t="s">
        <v>183</v>
      </c>
      <c r="J330" s="18" t="s">
        <v>184</v>
      </c>
      <c r="K330" s="18" t="s">
        <v>73</v>
      </c>
      <c r="L330" s="20" t="s">
        <v>2283</v>
      </c>
      <c r="M330" s="18" t="s">
        <v>75</v>
      </c>
      <c r="N330" s="20" t="s">
        <v>2284</v>
      </c>
      <c r="O330" s="18" t="s">
        <v>768</v>
      </c>
      <c r="P330" s="18" t="s">
        <v>78</v>
      </c>
      <c r="Q330" s="19">
        <v>44914</v>
      </c>
      <c r="R330" s="21">
        <v>11.42</v>
      </c>
      <c r="S330" s="18" t="s">
        <v>79</v>
      </c>
      <c r="T330" s="18" t="s">
        <v>148</v>
      </c>
      <c r="U330" s="18" t="s">
        <v>83</v>
      </c>
      <c r="V330" s="18" t="s">
        <v>95</v>
      </c>
      <c r="W330" s="18" t="s">
        <v>83</v>
      </c>
      <c r="X330" s="18" t="s">
        <v>84</v>
      </c>
      <c r="Y330" s="18" t="s">
        <v>85</v>
      </c>
      <c r="Z330" s="18" t="s">
        <v>86</v>
      </c>
      <c r="AA330" s="18" t="s">
        <v>87</v>
      </c>
      <c r="AB330" s="18" t="s">
        <v>610</v>
      </c>
      <c r="AC330" s="18" t="s">
        <v>611</v>
      </c>
      <c r="AD330" s="18" t="s">
        <v>85</v>
      </c>
      <c r="AE330" s="18" t="s">
        <v>90</v>
      </c>
      <c r="AF330" s="18" t="s">
        <v>151</v>
      </c>
      <c r="AG330" s="18" t="s">
        <v>92</v>
      </c>
      <c r="AH330" s="18" t="s">
        <v>93</v>
      </c>
      <c r="AI330" s="18" t="s">
        <v>94</v>
      </c>
      <c r="AJ330" s="19">
        <v>44903</v>
      </c>
      <c r="AK330" s="22" t="s">
        <v>95</v>
      </c>
      <c r="AL330" s="18" t="s">
        <v>95</v>
      </c>
      <c r="AM330" s="18" t="s">
        <v>95</v>
      </c>
      <c r="AN330" s="18" t="s">
        <v>95</v>
      </c>
      <c r="AO330" s="18" t="s">
        <v>95</v>
      </c>
      <c r="AP330" s="18" t="s">
        <v>95</v>
      </c>
      <c r="AQ330" s="18" t="s">
        <v>95</v>
      </c>
      <c r="AR330" s="18" t="s">
        <v>95</v>
      </c>
      <c r="AS330" s="18" t="s">
        <v>83</v>
      </c>
      <c r="AT330" s="18" t="s">
        <v>83</v>
      </c>
      <c r="AU330" s="18" t="s">
        <v>83</v>
      </c>
      <c r="AV330" s="18" t="s">
        <v>95</v>
      </c>
      <c r="AW330" s="18" t="s">
        <v>95</v>
      </c>
      <c r="AX330" s="18"/>
      <c r="AY330" s="18" t="str">
        <f>Pospago[[#This Row],[NUM_TELEFONICO]]&amp;"POSPAGOSI"</f>
        <v>983941737POSPAGOSI</v>
      </c>
      <c r="AZ330" s="18" t="str">
        <f>VLOOKUP(Pospago[[#This Row],[NOM_PLAZA_FINAL]],[1]!Locales[#Data],3,0)</f>
        <v>TIENDA CUENCA REMIGIO</v>
      </c>
      <c r="BA330" s="18" t="str">
        <f>IFERROR(VLOOKUP(Pospago[[#This Row],[USUARIO]],[1]!Personal[#Data],6,0),"EJECUTIVO NO REGISTRADO")</f>
        <v>PATIÑO TAPIA ANDRES SANTIAGO</v>
      </c>
      <c r="BB330" s="18" t="str">
        <f>Pospago[[#This Row],[TIPO_MOVIMIENTO]]&amp;" "&amp;Pospago[[#This Row],[FORMA_PAGO_FINAL]]</f>
        <v>ALTAS DOMICILIADO</v>
      </c>
      <c r="BC330" s="18">
        <f>DAY(Pospago[[#This Row],[FECHA_ALTA]])</f>
        <v>8</v>
      </c>
      <c r="BD330" s="18">
        <f>IF(Pospago[[#This Row],[TARIFA_BASICA]]=11.42,1,0)</f>
        <v>1</v>
      </c>
      <c r="BE330" s="18">
        <f>IF(Pospago[[#This Row],[PLANES TELEVENTAS]]="SI",1,0)</f>
        <v>0</v>
      </c>
      <c r="BF330" s="18">
        <f>1</f>
        <v>1</v>
      </c>
      <c r="BG330" s="18">
        <f>IF(OR(Pospago[[#This Row],[TARIFA_BASICA]]=11.42,Pospago[[#This Row],[PLANES TELEVENTAS]]="SI"),1,0)</f>
        <v>1</v>
      </c>
      <c r="BH330" s="18" t="str">
        <f>IF(MID(Pospago[[#This Row],[PlanDesc]],1,4) = "PLAN","POSPAGO",IF(MID(Pospago[[#This Row],[PlanDesc]],1,4)="FULL","FULL MEGAS","PREVIOPAGO"))</f>
        <v>POSPAGO</v>
      </c>
      <c r="BI3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3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30" s="21">
        <f>Pospago[[#This Row],[TARIFA_BASICA]]*1.5</f>
        <v>17.13</v>
      </c>
    </row>
    <row r="331" spans="1:63" x14ac:dyDescent="0.25">
      <c r="A331" s="18" t="s">
        <v>64</v>
      </c>
      <c r="B331" s="18" t="s">
        <v>2285</v>
      </c>
      <c r="C331" s="18" t="s">
        <v>2286</v>
      </c>
      <c r="D331" s="19">
        <v>44907</v>
      </c>
      <c r="E331" s="18" t="s">
        <v>67</v>
      </c>
      <c r="F331" s="18" t="s">
        <v>2287</v>
      </c>
      <c r="G331" s="18" t="s">
        <v>2288</v>
      </c>
      <c r="H331" s="18" t="s">
        <v>70</v>
      </c>
      <c r="I331" s="18" t="s">
        <v>160</v>
      </c>
      <c r="J331" s="18" t="s">
        <v>195</v>
      </c>
      <c r="K331" s="18" t="s">
        <v>259</v>
      </c>
      <c r="L331" s="20" t="s">
        <v>2289</v>
      </c>
      <c r="M331" s="18" t="s">
        <v>75</v>
      </c>
      <c r="N331" s="20" t="s">
        <v>2290</v>
      </c>
      <c r="O331" s="18" t="s">
        <v>77</v>
      </c>
      <c r="P331" s="18" t="s">
        <v>78</v>
      </c>
      <c r="Q331" s="19">
        <v>44914</v>
      </c>
      <c r="R331" s="21">
        <v>14.28</v>
      </c>
      <c r="S331" s="18" t="s">
        <v>79</v>
      </c>
      <c r="T331" s="18" t="s">
        <v>117</v>
      </c>
      <c r="U331" s="18" t="s">
        <v>83</v>
      </c>
      <c r="V331" s="18" t="s">
        <v>95</v>
      </c>
      <c r="W331" s="18" t="s">
        <v>83</v>
      </c>
      <c r="X331" s="18" t="s">
        <v>84</v>
      </c>
      <c r="Y331" s="18" t="s">
        <v>85</v>
      </c>
      <c r="Z331" s="18" t="s">
        <v>86</v>
      </c>
      <c r="AA331" s="18" t="s">
        <v>87</v>
      </c>
      <c r="AB331" s="18" t="s">
        <v>352</v>
      </c>
      <c r="AC331" s="18" t="s">
        <v>353</v>
      </c>
      <c r="AD331" s="18" t="s">
        <v>85</v>
      </c>
      <c r="AE331" s="18" t="s">
        <v>90</v>
      </c>
      <c r="AF331" s="18" t="s">
        <v>122</v>
      </c>
      <c r="AG331" s="18" t="s">
        <v>92</v>
      </c>
      <c r="AH331" s="18" t="s">
        <v>93</v>
      </c>
      <c r="AI331" s="18" t="s">
        <v>94</v>
      </c>
      <c r="AJ331" s="19">
        <v>44907</v>
      </c>
      <c r="AK331" s="22" t="s">
        <v>95</v>
      </c>
      <c r="AL331" s="18" t="s">
        <v>95</v>
      </c>
      <c r="AM331" s="18" t="s">
        <v>95</v>
      </c>
      <c r="AN331" s="18" t="s">
        <v>95</v>
      </c>
      <c r="AO331" s="18" t="s">
        <v>95</v>
      </c>
      <c r="AP331" s="18" t="s">
        <v>95</v>
      </c>
      <c r="AQ331" s="18" t="s">
        <v>95</v>
      </c>
      <c r="AR331" s="18" t="s">
        <v>95</v>
      </c>
      <c r="AS331" s="18" t="s">
        <v>83</v>
      </c>
      <c r="AT331" s="18" t="s">
        <v>83</v>
      </c>
      <c r="AU331" s="18" t="s">
        <v>81</v>
      </c>
      <c r="AV331" s="18" t="s">
        <v>95</v>
      </c>
      <c r="AW331" s="18" t="s">
        <v>95</v>
      </c>
      <c r="AX331" s="18"/>
      <c r="AY331" s="18" t="str">
        <f>Pospago[[#This Row],[NUM_TELEFONICO]]&amp;"POSPAGOSI"</f>
        <v>983941809POSPAGOSI</v>
      </c>
      <c r="AZ331" s="18" t="str">
        <f>VLOOKUP(Pospago[[#This Row],[NOM_PLAZA_FINAL]],[1]!Locales[#Data],3,0)</f>
        <v>TIENDA MACHALA</v>
      </c>
      <c r="BA331" s="18" t="str">
        <f>IFERROR(VLOOKUP(Pospago[[#This Row],[USUARIO]],[1]!Personal[#Data],6,0),"EJECUTIVO NO REGISTRADO")</f>
        <v>TENORIO MARIA DEL PILAR</v>
      </c>
      <c r="BB331" s="18" t="str">
        <f>Pospago[[#This Row],[TIPO_MOVIMIENTO]]&amp;" "&amp;Pospago[[#This Row],[FORMA_PAGO_FINAL]]</f>
        <v>ALTAS DOMICILIADO</v>
      </c>
      <c r="BC331" s="18">
        <f>DAY(Pospago[[#This Row],[FECHA_ALTA]])</f>
        <v>12</v>
      </c>
      <c r="BD331" s="18">
        <f>IF(Pospago[[#This Row],[TARIFA_BASICA]]=11.42,1,0)</f>
        <v>0</v>
      </c>
      <c r="BE331" s="18">
        <f>IF(Pospago[[#This Row],[PLANES TELEVENTAS]]="SI",1,0)</f>
        <v>0</v>
      </c>
      <c r="BF331" s="18">
        <f>1</f>
        <v>1</v>
      </c>
      <c r="BG331" s="18">
        <f>IF(OR(Pospago[[#This Row],[TARIFA_BASICA]]=11.42,Pospago[[#This Row],[PLANES TELEVENTAS]]="SI"),1,0)</f>
        <v>0</v>
      </c>
      <c r="BH331" s="18" t="str">
        <f>IF(MID(Pospago[[#This Row],[PlanDesc]],1,4) = "PLAN","POSPAGO",IF(MID(Pospago[[#This Row],[PlanDesc]],1,4)="FULL","FULL MEGAS","PREVIOPAGO"))</f>
        <v>PREVIOPAGO</v>
      </c>
      <c r="BI3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3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31" s="21">
        <f>Pospago[[#This Row],[TARIFA_BASICA]]*1.5</f>
        <v>21.419999999999998</v>
      </c>
    </row>
    <row r="332" spans="1:63" x14ac:dyDescent="0.25">
      <c r="A332" s="18" t="s">
        <v>154</v>
      </c>
      <c r="B332" s="18" t="s">
        <v>2291</v>
      </c>
      <c r="C332" s="18" t="s">
        <v>1836</v>
      </c>
      <c r="D332" s="19">
        <v>44908</v>
      </c>
      <c r="E332" s="18" t="s">
        <v>67</v>
      </c>
      <c r="F332" s="18" t="s">
        <v>1837</v>
      </c>
      <c r="G332" s="18" t="s">
        <v>1838</v>
      </c>
      <c r="H332" s="18" t="s">
        <v>159</v>
      </c>
      <c r="I332" s="18" t="s">
        <v>194</v>
      </c>
      <c r="J332" s="18" t="s">
        <v>268</v>
      </c>
      <c r="K332" s="18" t="s">
        <v>1839</v>
      </c>
      <c r="L332" s="20" t="s">
        <v>2292</v>
      </c>
      <c r="M332" s="18" t="s">
        <v>75</v>
      </c>
      <c r="N332" s="20" t="s">
        <v>2293</v>
      </c>
      <c r="O332" s="18" t="s">
        <v>164</v>
      </c>
      <c r="P332" s="18" t="s">
        <v>78</v>
      </c>
      <c r="Q332" s="19">
        <v>44914</v>
      </c>
      <c r="R332" s="21">
        <v>14.28</v>
      </c>
      <c r="S332" s="18" t="s">
        <v>79</v>
      </c>
      <c r="T332" s="18" t="s">
        <v>232</v>
      </c>
      <c r="U332" s="18" t="s">
        <v>83</v>
      </c>
      <c r="V332" s="18" t="s">
        <v>95</v>
      </c>
      <c r="W332" s="18" t="s">
        <v>95</v>
      </c>
      <c r="X332" s="18" t="s">
        <v>118</v>
      </c>
      <c r="Y332" s="18" t="s">
        <v>85</v>
      </c>
      <c r="Z332" s="18" t="s">
        <v>86</v>
      </c>
      <c r="AA332" s="18" t="s">
        <v>119</v>
      </c>
      <c r="AB332" s="18" t="s">
        <v>280</v>
      </c>
      <c r="AC332" s="18" t="s">
        <v>281</v>
      </c>
      <c r="AD332" s="18" t="s">
        <v>85</v>
      </c>
      <c r="AE332" s="18" t="s">
        <v>90</v>
      </c>
      <c r="AF332" s="18" t="s">
        <v>235</v>
      </c>
      <c r="AG332" s="18" t="s">
        <v>139</v>
      </c>
      <c r="AH332" s="18" t="s">
        <v>165</v>
      </c>
      <c r="AI332" s="18" t="s">
        <v>94</v>
      </c>
      <c r="AJ332" s="19">
        <v>44908</v>
      </c>
      <c r="AK332" s="22" t="s">
        <v>95</v>
      </c>
      <c r="AL332" s="18" t="s">
        <v>95</v>
      </c>
      <c r="AM332" s="18" t="s">
        <v>95</v>
      </c>
      <c r="AN332" s="18" t="s">
        <v>95</v>
      </c>
      <c r="AO332" s="18" t="s">
        <v>95</v>
      </c>
      <c r="AP332" s="18" t="s">
        <v>95</v>
      </c>
      <c r="AQ332" s="18" t="s">
        <v>95</v>
      </c>
      <c r="AR332" s="18" t="s">
        <v>95</v>
      </c>
      <c r="AS332" s="18" t="s">
        <v>83</v>
      </c>
      <c r="AT332" s="18" t="s">
        <v>81</v>
      </c>
      <c r="AU332" s="18" t="s">
        <v>81</v>
      </c>
      <c r="AV332" s="18" t="s">
        <v>95</v>
      </c>
      <c r="AW332" s="18" t="s">
        <v>95</v>
      </c>
      <c r="AX332" s="18"/>
      <c r="AY332" s="18" t="str">
        <f>Pospago[[#This Row],[NUM_TELEFONICO]]&amp;"POSPAGOSI"</f>
        <v>983942219POSPAGOSI</v>
      </c>
      <c r="AZ332" s="18" t="str">
        <f>VLOOKUP(Pospago[[#This Row],[NOM_PLAZA_FINAL]],[1]!Locales[#Data],3,0)</f>
        <v>TIENDA CONDADO</v>
      </c>
      <c r="BA332" s="18" t="str">
        <f>IFERROR(VLOOKUP(Pospago[[#This Row],[USUARIO]],[1]!Personal[#Data],6,0),"EJECUTIVO NO REGISTRADO")</f>
        <v>GUACHAMIN CAZA HUGO ADRIAN</v>
      </c>
      <c r="BB332" s="18" t="str">
        <f>Pospago[[#This Row],[TIPO_MOVIMIENTO]]&amp;" "&amp;Pospago[[#This Row],[FORMA_PAGO_FINAL]]</f>
        <v>TRANSFERENCIAS PAGO EN CAJA</v>
      </c>
      <c r="BC332" s="18">
        <f>DAY(Pospago[[#This Row],[FECHA_ALTA]])</f>
        <v>13</v>
      </c>
      <c r="BD332" s="18">
        <f>IF(Pospago[[#This Row],[TARIFA_BASICA]]=11.42,1,0)</f>
        <v>0</v>
      </c>
      <c r="BE332" s="18">
        <f>IF(Pospago[[#This Row],[PLANES TELEVENTAS]]="SI",1,0)</f>
        <v>1</v>
      </c>
      <c r="BF332" s="18">
        <f>1</f>
        <v>1</v>
      </c>
      <c r="BG332" s="18">
        <f>IF(OR(Pospago[[#This Row],[TARIFA_BASICA]]=11.42,Pospago[[#This Row],[PLANES TELEVENTAS]]="SI"),1,0)</f>
        <v>1</v>
      </c>
      <c r="BH332" s="18" t="str">
        <f>IF(MID(Pospago[[#This Row],[PlanDesc]],1,4) = "PLAN","POSPAGO",IF(MID(Pospago[[#This Row],[PlanDesc]],1,4)="FULL","FULL MEGAS","PREVIOPAGO"))</f>
        <v>PREVIOPAGO</v>
      </c>
      <c r="BI3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32" s="21">
        <f>Pospago[[#This Row],[TARIFA_BASICA]]*1.5</f>
        <v>21.419999999999998</v>
      </c>
    </row>
    <row r="333" spans="1:63" x14ac:dyDescent="0.25">
      <c r="A333" s="18" t="s">
        <v>154</v>
      </c>
      <c r="B333" s="18" t="s">
        <v>2294</v>
      </c>
      <c r="C333" s="18" t="s">
        <v>2295</v>
      </c>
      <c r="D333" s="19">
        <v>44911</v>
      </c>
      <c r="E333" s="18" t="s">
        <v>67</v>
      </c>
      <c r="F333" s="18" t="s">
        <v>2296</v>
      </c>
      <c r="G333" s="18" t="s">
        <v>2297</v>
      </c>
      <c r="H333" s="18" t="s">
        <v>159</v>
      </c>
      <c r="I333" s="18" t="s">
        <v>130</v>
      </c>
      <c r="J333" s="18" t="s">
        <v>433</v>
      </c>
      <c r="K333" s="18" t="s">
        <v>132</v>
      </c>
      <c r="L333" s="20" t="s">
        <v>2298</v>
      </c>
      <c r="M333" s="18" t="s">
        <v>75</v>
      </c>
      <c r="N333" s="20" t="s">
        <v>2299</v>
      </c>
      <c r="O333" s="18" t="s">
        <v>164</v>
      </c>
      <c r="P333" s="18" t="s">
        <v>78</v>
      </c>
      <c r="Q333" s="19">
        <v>44914</v>
      </c>
      <c r="R333" s="21">
        <v>15</v>
      </c>
      <c r="S333" s="18" t="s">
        <v>79</v>
      </c>
      <c r="T333" s="18" t="s">
        <v>135</v>
      </c>
      <c r="U333" s="18" t="s">
        <v>83</v>
      </c>
      <c r="V333" s="18" t="s">
        <v>95</v>
      </c>
      <c r="W333" s="18" t="s">
        <v>95</v>
      </c>
      <c r="X333" s="18" t="s">
        <v>118</v>
      </c>
      <c r="Y333" s="18" t="s">
        <v>85</v>
      </c>
      <c r="Z333" s="18" t="s">
        <v>86</v>
      </c>
      <c r="AA333" s="18" t="s">
        <v>119</v>
      </c>
      <c r="AB333" s="18" t="s">
        <v>541</v>
      </c>
      <c r="AC333" s="18" t="s">
        <v>542</v>
      </c>
      <c r="AD333" s="18" t="s">
        <v>85</v>
      </c>
      <c r="AE333" s="18" t="s">
        <v>90</v>
      </c>
      <c r="AF333" s="18" t="s">
        <v>138</v>
      </c>
      <c r="AG333" s="18" t="s">
        <v>139</v>
      </c>
      <c r="AH333" s="18" t="s">
        <v>165</v>
      </c>
      <c r="AI333" s="18" t="s">
        <v>94</v>
      </c>
      <c r="AJ333" s="19">
        <v>44911</v>
      </c>
      <c r="AK333" s="22" t="s">
        <v>95</v>
      </c>
      <c r="AL333" s="18" t="s">
        <v>95</v>
      </c>
      <c r="AM333" s="18" t="s">
        <v>95</v>
      </c>
      <c r="AN333" s="18" t="s">
        <v>95</v>
      </c>
      <c r="AO333" s="18" t="s">
        <v>95</v>
      </c>
      <c r="AP333" s="18" t="s">
        <v>95</v>
      </c>
      <c r="AQ333" s="18" t="s">
        <v>95</v>
      </c>
      <c r="AR333" s="18" t="s">
        <v>95</v>
      </c>
      <c r="AS333" s="18" t="s">
        <v>83</v>
      </c>
      <c r="AT333" s="18" t="s">
        <v>83</v>
      </c>
      <c r="AU333" s="18" t="s">
        <v>81</v>
      </c>
      <c r="AV333" s="18" t="s">
        <v>95</v>
      </c>
      <c r="AW333" s="18" t="s">
        <v>95</v>
      </c>
      <c r="AX333" s="18"/>
      <c r="AY333" s="18" t="str">
        <f>Pospago[[#This Row],[NUM_TELEFONICO]]&amp;"POSPAGOSI"</f>
        <v>983947565POSPAGOSI</v>
      </c>
      <c r="AZ333" s="18" t="str">
        <f>VLOOKUP(Pospago[[#This Row],[NOM_PLAZA_FINAL]],[1]!Locales[#Data],3,0)</f>
        <v>TIENDA AMERICA</v>
      </c>
      <c r="BA333" s="18" t="str">
        <f>IFERROR(VLOOKUP(Pospago[[#This Row],[USUARIO]],[1]!Personal[#Data],6,0),"EJECUTIVO NO REGISTRADO")</f>
        <v>CEVALLOS PONCE DIANA CAROLINA</v>
      </c>
      <c r="BB333" s="18" t="str">
        <f>Pospago[[#This Row],[TIPO_MOVIMIENTO]]&amp;" "&amp;Pospago[[#This Row],[FORMA_PAGO_FINAL]]</f>
        <v>TRANSFERENCIAS PAGO EN CAJA</v>
      </c>
      <c r="BC333" s="18">
        <f>DAY(Pospago[[#This Row],[FECHA_ALTA]])</f>
        <v>16</v>
      </c>
      <c r="BD333" s="18">
        <f>IF(Pospago[[#This Row],[TARIFA_BASICA]]=11.42,1,0)</f>
        <v>0</v>
      </c>
      <c r="BE333" s="18">
        <f>IF(Pospago[[#This Row],[PLANES TELEVENTAS]]="SI",1,0)</f>
        <v>0</v>
      </c>
      <c r="BF333" s="18">
        <f>1</f>
        <v>1</v>
      </c>
      <c r="BG333" s="18">
        <f>IF(OR(Pospago[[#This Row],[TARIFA_BASICA]]=11.42,Pospago[[#This Row],[PLANES TELEVENTAS]]="SI"),1,0)</f>
        <v>0</v>
      </c>
      <c r="BH333" s="18" t="str">
        <f>IF(MID(Pospago[[#This Row],[PlanDesc]],1,4) = "PLAN","POSPAGO",IF(MID(Pospago[[#This Row],[PlanDesc]],1,4)="FULL","FULL MEGAS","PREVIOPAGO"))</f>
        <v>PREVIOPAGO</v>
      </c>
      <c r="BI3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3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33" s="21">
        <f>Pospago[[#This Row],[TARIFA_BASICA]]*1.5</f>
        <v>22.5</v>
      </c>
    </row>
    <row r="334" spans="1:63" x14ac:dyDescent="0.25">
      <c r="A334" s="18" t="s">
        <v>154</v>
      </c>
      <c r="B334" s="18" t="s">
        <v>2300</v>
      </c>
      <c r="C334" s="18" t="s">
        <v>2301</v>
      </c>
      <c r="D334" s="19">
        <v>44900</v>
      </c>
      <c r="E334" s="18" t="s">
        <v>67</v>
      </c>
      <c r="F334" s="18" t="s">
        <v>2302</v>
      </c>
      <c r="G334" s="18" t="s">
        <v>2303</v>
      </c>
      <c r="H334" s="18" t="s">
        <v>159</v>
      </c>
      <c r="I334" s="18" t="s">
        <v>227</v>
      </c>
      <c r="J334" s="18" t="s">
        <v>426</v>
      </c>
      <c r="K334" s="18" t="s">
        <v>73</v>
      </c>
      <c r="L334" s="20" t="s">
        <v>2304</v>
      </c>
      <c r="M334" s="18" t="s">
        <v>75</v>
      </c>
      <c r="N334" s="20" t="s">
        <v>2305</v>
      </c>
      <c r="O334" s="18" t="s">
        <v>164</v>
      </c>
      <c r="P334" s="18" t="s">
        <v>78</v>
      </c>
      <c r="Q334" s="19">
        <v>44914</v>
      </c>
      <c r="R334" s="21">
        <v>21.42</v>
      </c>
      <c r="S334" s="18" t="s">
        <v>79</v>
      </c>
      <c r="T334" s="18" t="s">
        <v>117</v>
      </c>
      <c r="U334" s="18" t="s">
        <v>83</v>
      </c>
      <c r="V334" s="18" t="s">
        <v>95</v>
      </c>
      <c r="W334" s="18" t="s">
        <v>95</v>
      </c>
      <c r="X334" s="18" t="s">
        <v>84</v>
      </c>
      <c r="Y334" s="18" t="s">
        <v>85</v>
      </c>
      <c r="Z334" s="18" t="s">
        <v>86</v>
      </c>
      <c r="AA334" s="18" t="s">
        <v>87</v>
      </c>
      <c r="AB334" s="18" t="s">
        <v>651</v>
      </c>
      <c r="AC334" s="18" t="s">
        <v>652</v>
      </c>
      <c r="AD334" s="18" t="s">
        <v>85</v>
      </c>
      <c r="AE334" s="18" t="s">
        <v>90</v>
      </c>
      <c r="AF334" s="18" t="s">
        <v>122</v>
      </c>
      <c r="AG334" s="18" t="s">
        <v>92</v>
      </c>
      <c r="AH334" s="18" t="s">
        <v>165</v>
      </c>
      <c r="AI334" s="18" t="s">
        <v>94</v>
      </c>
      <c r="AJ334" s="19">
        <v>44900</v>
      </c>
      <c r="AK334" s="22" t="s">
        <v>95</v>
      </c>
      <c r="AL334" s="18" t="s">
        <v>95</v>
      </c>
      <c r="AM334" s="18" t="s">
        <v>95</v>
      </c>
      <c r="AN334" s="18" t="s">
        <v>95</v>
      </c>
      <c r="AO334" s="18" t="s">
        <v>95</v>
      </c>
      <c r="AP334" s="18" t="s">
        <v>95</v>
      </c>
      <c r="AQ334" s="18" t="s">
        <v>95</v>
      </c>
      <c r="AR334" s="18" t="s">
        <v>95</v>
      </c>
      <c r="AS334" s="18" t="s">
        <v>83</v>
      </c>
      <c r="AT334" s="18" t="s">
        <v>83</v>
      </c>
      <c r="AU334" s="18" t="s">
        <v>81</v>
      </c>
      <c r="AV334" s="18" t="s">
        <v>95</v>
      </c>
      <c r="AW334" s="18" t="s">
        <v>95</v>
      </c>
      <c r="AX334" s="18"/>
      <c r="AY334" s="18" t="str">
        <f>Pospago[[#This Row],[NUM_TELEFONICO]]&amp;"POSPAGOSI"</f>
        <v>983948181POSPAGOSI</v>
      </c>
      <c r="AZ334" s="18" t="str">
        <f>VLOOKUP(Pospago[[#This Row],[NOM_PLAZA_FINAL]],[1]!Locales[#Data],3,0)</f>
        <v>TIENDA MACHALA</v>
      </c>
      <c r="BA334" s="18" t="str">
        <f>IFERROR(VLOOKUP(Pospago[[#This Row],[USUARIO]],[1]!Personal[#Data],6,0),"EJECUTIVO NO REGISTRADO")</f>
        <v>SANCHEZ SARITAMA JOEL LUIS</v>
      </c>
      <c r="BB334" s="18" t="str">
        <f>Pospago[[#This Row],[TIPO_MOVIMIENTO]]&amp;" "&amp;Pospago[[#This Row],[FORMA_PAGO_FINAL]]</f>
        <v>TRANSFERENCIAS DOMICILIADO</v>
      </c>
      <c r="BC334" s="18">
        <f>DAY(Pospago[[#This Row],[FECHA_ALTA]])</f>
        <v>5</v>
      </c>
      <c r="BD334" s="18">
        <f>IF(Pospago[[#This Row],[TARIFA_BASICA]]=11.42,1,0)</f>
        <v>0</v>
      </c>
      <c r="BE334" s="18">
        <f>IF(Pospago[[#This Row],[PLANES TELEVENTAS]]="SI",1,0)</f>
        <v>0</v>
      </c>
      <c r="BF334" s="18">
        <f>1</f>
        <v>1</v>
      </c>
      <c r="BG334" s="18">
        <f>IF(OR(Pospago[[#This Row],[TARIFA_BASICA]]=11.42,Pospago[[#This Row],[PLANES TELEVENTAS]]="SI"),1,0)</f>
        <v>0</v>
      </c>
      <c r="BH334" s="18" t="str">
        <f>IF(MID(Pospago[[#This Row],[PlanDesc]],1,4) = "PLAN","POSPAGO",IF(MID(Pospago[[#This Row],[PlanDesc]],1,4)="FULL","FULL MEGAS","PREVIOPAGO"))</f>
        <v>PREVIOPAGO</v>
      </c>
      <c r="BI3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18</v>
      </c>
      <c r="BJ3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34" s="21">
        <f>Pospago[[#This Row],[TARIFA_BASICA]]*1.5</f>
        <v>32.130000000000003</v>
      </c>
    </row>
    <row r="335" spans="1:63" x14ac:dyDescent="0.25">
      <c r="A335" s="18" t="s">
        <v>154</v>
      </c>
      <c r="B335" s="18" t="s">
        <v>2306</v>
      </c>
      <c r="C335" s="18" t="s">
        <v>2307</v>
      </c>
      <c r="D335" s="19">
        <v>44905</v>
      </c>
      <c r="E335" s="18" t="s">
        <v>67</v>
      </c>
      <c r="F335" s="18" t="s">
        <v>2308</v>
      </c>
      <c r="G335" s="18" t="s">
        <v>2309</v>
      </c>
      <c r="H335" s="18" t="s">
        <v>159</v>
      </c>
      <c r="I335" s="18" t="s">
        <v>71</v>
      </c>
      <c r="J335" s="18" t="s">
        <v>258</v>
      </c>
      <c r="K335" s="18" t="s">
        <v>132</v>
      </c>
      <c r="L335" s="20" t="s">
        <v>2310</v>
      </c>
      <c r="M335" s="18" t="s">
        <v>75</v>
      </c>
      <c r="N335" s="20" t="s">
        <v>2311</v>
      </c>
      <c r="O335" s="18" t="s">
        <v>164</v>
      </c>
      <c r="P335" s="18" t="s">
        <v>78</v>
      </c>
      <c r="Q335" s="19">
        <v>44914</v>
      </c>
      <c r="R335" s="21">
        <v>11.42</v>
      </c>
      <c r="S335" s="18" t="s">
        <v>79</v>
      </c>
      <c r="T335" s="18" t="s">
        <v>117</v>
      </c>
      <c r="U335" s="18" t="s">
        <v>83</v>
      </c>
      <c r="V335" s="18" t="s">
        <v>95</v>
      </c>
      <c r="W335" s="18" t="s">
        <v>95</v>
      </c>
      <c r="X335" s="18" t="s">
        <v>118</v>
      </c>
      <c r="Y335" s="18" t="s">
        <v>85</v>
      </c>
      <c r="Z335" s="18" t="s">
        <v>86</v>
      </c>
      <c r="AA335" s="18" t="s">
        <v>119</v>
      </c>
      <c r="AB335" s="18" t="s">
        <v>808</v>
      </c>
      <c r="AC335" s="18" t="s">
        <v>809</v>
      </c>
      <c r="AD335" s="18" t="s">
        <v>85</v>
      </c>
      <c r="AE335" s="18" t="s">
        <v>90</v>
      </c>
      <c r="AF335" s="18" t="s">
        <v>122</v>
      </c>
      <c r="AG335" s="18" t="s">
        <v>92</v>
      </c>
      <c r="AH335" s="18" t="s">
        <v>165</v>
      </c>
      <c r="AI335" s="18" t="s">
        <v>94</v>
      </c>
      <c r="AJ335" s="19">
        <v>44905</v>
      </c>
      <c r="AK335" s="22" t="s">
        <v>95</v>
      </c>
      <c r="AL335" s="18" t="s">
        <v>95</v>
      </c>
      <c r="AM335" s="18" t="s">
        <v>95</v>
      </c>
      <c r="AN335" s="18" t="s">
        <v>95</v>
      </c>
      <c r="AO335" s="18" t="s">
        <v>95</v>
      </c>
      <c r="AP335" s="18" t="s">
        <v>95</v>
      </c>
      <c r="AQ335" s="18" t="s">
        <v>95</v>
      </c>
      <c r="AR335" s="18" t="s">
        <v>95</v>
      </c>
      <c r="AS335" s="18" t="s">
        <v>83</v>
      </c>
      <c r="AT335" s="18" t="s">
        <v>83</v>
      </c>
      <c r="AU335" s="18" t="s">
        <v>81</v>
      </c>
      <c r="AV335" s="18" t="s">
        <v>95</v>
      </c>
      <c r="AW335" s="18" t="s">
        <v>95</v>
      </c>
      <c r="AX335" s="18"/>
      <c r="AY335" s="18" t="str">
        <f>Pospago[[#This Row],[NUM_TELEFONICO]]&amp;"POSPAGOSI"</f>
        <v>983949932POSPAGOSI</v>
      </c>
      <c r="AZ335" s="18" t="str">
        <f>VLOOKUP(Pospago[[#This Row],[NOM_PLAZA_FINAL]],[1]!Locales[#Data],3,0)</f>
        <v>TIENDA MACHALA</v>
      </c>
      <c r="BA335" s="18" t="str">
        <f>IFERROR(VLOOKUP(Pospago[[#This Row],[USUARIO]],[1]!Personal[#Data],6,0),"EJECUTIVO NO REGISTRADO")</f>
        <v>ALICIA ROMINA GONZALEZ SANDOYA</v>
      </c>
      <c r="BB335" s="18" t="str">
        <f>Pospago[[#This Row],[TIPO_MOVIMIENTO]]&amp;" "&amp;Pospago[[#This Row],[FORMA_PAGO_FINAL]]</f>
        <v>TRANSFERENCIAS PAGO EN CAJA</v>
      </c>
      <c r="BC335" s="18">
        <f>DAY(Pospago[[#This Row],[FECHA_ALTA]])</f>
        <v>10</v>
      </c>
      <c r="BD335" s="18">
        <f>IF(Pospago[[#This Row],[TARIFA_BASICA]]=11.42,1,0)</f>
        <v>1</v>
      </c>
      <c r="BE335" s="18">
        <f>IF(Pospago[[#This Row],[PLANES TELEVENTAS]]="SI",1,0)</f>
        <v>0</v>
      </c>
      <c r="BF335" s="18">
        <f>1</f>
        <v>1</v>
      </c>
      <c r="BG335" s="18">
        <f>IF(OR(Pospago[[#This Row],[TARIFA_BASICA]]=11.42,Pospago[[#This Row],[PLANES TELEVENTAS]]="SI"),1,0)</f>
        <v>1</v>
      </c>
      <c r="BH335" s="18" t="str">
        <f>IF(MID(Pospago[[#This Row],[PlanDesc]],1,4) = "PLAN","POSPAGO",IF(MID(Pospago[[#This Row],[PlanDesc]],1,4)="FULL","FULL MEGAS","PREVIOPAGO"))</f>
        <v>PREVIOPAGO</v>
      </c>
      <c r="BI3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3.7439999999999998</v>
      </c>
      <c r="BJ3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35" s="21">
        <f>Pospago[[#This Row],[TARIFA_BASICA]]*1.5</f>
        <v>17.13</v>
      </c>
    </row>
    <row r="336" spans="1:63" x14ac:dyDescent="0.25">
      <c r="A336" s="18" t="s">
        <v>154</v>
      </c>
      <c r="B336" s="18" t="s">
        <v>2312</v>
      </c>
      <c r="C336" s="18" t="s">
        <v>2313</v>
      </c>
      <c r="D336" s="19">
        <v>44911</v>
      </c>
      <c r="E336" s="18" t="s">
        <v>67</v>
      </c>
      <c r="F336" s="18" t="s">
        <v>2314</v>
      </c>
      <c r="G336" s="18" t="s">
        <v>2315</v>
      </c>
      <c r="H336" s="18" t="s">
        <v>159</v>
      </c>
      <c r="I336" s="18" t="s">
        <v>1357</v>
      </c>
      <c r="J336" s="18" t="s">
        <v>2022</v>
      </c>
      <c r="K336" s="18" t="s">
        <v>2316</v>
      </c>
      <c r="L336" s="20" t="s">
        <v>2317</v>
      </c>
      <c r="M336" s="18" t="s">
        <v>75</v>
      </c>
      <c r="N336" s="20" t="s">
        <v>2318</v>
      </c>
      <c r="O336" s="18" t="s">
        <v>2241</v>
      </c>
      <c r="P336" s="18" t="s">
        <v>78</v>
      </c>
      <c r="Q336" s="19">
        <v>44914</v>
      </c>
      <c r="R336" s="21">
        <v>11.42</v>
      </c>
      <c r="S336" s="18" t="s">
        <v>79</v>
      </c>
      <c r="T336" s="18" t="s">
        <v>174</v>
      </c>
      <c r="U336" s="18" t="s">
        <v>83</v>
      </c>
      <c r="V336" s="18" t="s">
        <v>95</v>
      </c>
      <c r="W336" s="18" t="s">
        <v>95</v>
      </c>
      <c r="X336" s="18" t="s">
        <v>84</v>
      </c>
      <c r="Y336" s="18" t="s">
        <v>85</v>
      </c>
      <c r="Z336" s="18" t="s">
        <v>86</v>
      </c>
      <c r="AA336" s="18" t="s">
        <v>87</v>
      </c>
      <c r="AB336" s="18" t="s">
        <v>457</v>
      </c>
      <c r="AC336" s="18" t="s">
        <v>458</v>
      </c>
      <c r="AD336" s="18" t="s">
        <v>85</v>
      </c>
      <c r="AE336" s="18" t="s">
        <v>90</v>
      </c>
      <c r="AF336" s="18" t="s">
        <v>177</v>
      </c>
      <c r="AG336" s="18" t="s">
        <v>139</v>
      </c>
      <c r="AH336" s="18" t="s">
        <v>165</v>
      </c>
      <c r="AI336" s="18" t="s">
        <v>94</v>
      </c>
      <c r="AJ336" s="19">
        <v>44911</v>
      </c>
      <c r="AK336" s="22" t="s">
        <v>95</v>
      </c>
      <c r="AL336" s="18" t="s">
        <v>95</v>
      </c>
      <c r="AM336" s="18" t="s">
        <v>95</v>
      </c>
      <c r="AN336" s="18" t="s">
        <v>95</v>
      </c>
      <c r="AO336" s="18" t="s">
        <v>95</v>
      </c>
      <c r="AP336" s="18" t="s">
        <v>95</v>
      </c>
      <c r="AQ336" s="18" t="s">
        <v>95</v>
      </c>
      <c r="AR336" s="18" t="s">
        <v>95</v>
      </c>
      <c r="AS336" s="18" t="s">
        <v>83</v>
      </c>
      <c r="AT336" s="18" t="s">
        <v>81</v>
      </c>
      <c r="AU336" s="18" t="s">
        <v>81</v>
      </c>
      <c r="AV336" s="18" t="s">
        <v>95</v>
      </c>
      <c r="AW336" s="18" t="s">
        <v>291</v>
      </c>
      <c r="AX336" s="18"/>
      <c r="AY336" s="18" t="str">
        <f>Pospago[[#This Row],[NUM_TELEFONICO]]&amp;"POSPAGOSI"</f>
        <v>983950134POSPAGOSI</v>
      </c>
      <c r="AZ336" s="18" t="str">
        <f>VLOOKUP(Pospago[[#This Row],[NOM_PLAZA_FINAL]],[1]!Locales[#Data],3,0)</f>
        <v>TIENDA RECREO</v>
      </c>
      <c r="BA336" s="18" t="str">
        <f>IFERROR(VLOOKUP(Pospago[[#This Row],[USUARIO]],[1]!Personal[#Data],6,0),"EJECUTIVO NO REGISTRADO")</f>
        <v>LOZADA REYES BERTHA MARIBEL</v>
      </c>
      <c r="BB336" s="18" t="str">
        <f>Pospago[[#This Row],[TIPO_MOVIMIENTO]]&amp;" "&amp;Pospago[[#This Row],[FORMA_PAGO_FINAL]]</f>
        <v>TRANSFERENCIAS DOMICILIADO</v>
      </c>
      <c r="BC336" s="18">
        <f>DAY(Pospago[[#This Row],[FECHA_ALTA]])</f>
        <v>16</v>
      </c>
      <c r="BD336" s="18">
        <f>IF(Pospago[[#This Row],[TARIFA_BASICA]]=11.42,1,0)</f>
        <v>1</v>
      </c>
      <c r="BE336" s="18">
        <f>IF(Pospago[[#This Row],[PLANES TELEVENTAS]]="SI",1,0)</f>
        <v>1</v>
      </c>
      <c r="BF336" s="18">
        <f>1</f>
        <v>1</v>
      </c>
      <c r="BG336" s="18">
        <f>IF(OR(Pospago[[#This Row],[TARIFA_BASICA]]=11.42,Pospago[[#This Row],[PLANES TELEVENTAS]]="SI"),1,0)</f>
        <v>1</v>
      </c>
      <c r="BH336" s="18" t="str">
        <f>IF(MID(Pospago[[#This Row],[PlanDesc]],1,4) = "PLAN","POSPAGO",IF(MID(Pospago[[#This Row],[PlanDesc]],1,4)="FULL","FULL MEGAS","PREVIOPAGO"))</f>
        <v>PREVIOPAGO</v>
      </c>
      <c r="BI3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3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36" s="21">
        <f>Pospago[[#This Row],[TARIFA_BASICA]]*1.5</f>
        <v>17.13</v>
      </c>
    </row>
    <row r="337" spans="1:63" x14ac:dyDescent="0.25">
      <c r="A337" s="18" t="s">
        <v>154</v>
      </c>
      <c r="B337" s="18" t="s">
        <v>2319</v>
      </c>
      <c r="C337" s="18" t="s">
        <v>2320</v>
      </c>
      <c r="D337" s="19">
        <v>44911</v>
      </c>
      <c r="E337" s="18" t="s">
        <v>67</v>
      </c>
      <c r="F337" s="18" t="s">
        <v>2321</v>
      </c>
      <c r="G337" s="18" t="s">
        <v>2322</v>
      </c>
      <c r="H337" s="18" t="s">
        <v>159</v>
      </c>
      <c r="I337" s="18" t="s">
        <v>194</v>
      </c>
      <c r="J337" s="18" t="s">
        <v>268</v>
      </c>
      <c r="K337" s="18" t="s">
        <v>132</v>
      </c>
      <c r="L337" s="20" t="s">
        <v>2323</v>
      </c>
      <c r="M337" s="18" t="s">
        <v>75</v>
      </c>
      <c r="N337" s="20" t="s">
        <v>2324</v>
      </c>
      <c r="O337" s="18" t="s">
        <v>164</v>
      </c>
      <c r="P337" s="18" t="s">
        <v>78</v>
      </c>
      <c r="Q337" s="19">
        <v>44914</v>
      </c>
      <c r="R337" s="21">
        <v>14.28</v>
      </c>
      <c r="S337" s="18" t="s">
        <v>79</v>
      </c>
      <c r="T337" s="18" t="s">
        <v>232</v>
      </c>
      <c r="U337" s="18" t="s">
        <v>83</v>
      </c>
      <c r="V337" s="18" t="s">
        <v>95</v>
      </c>
      <c r="W337" s="18" t="s">
        <v>95</v>
      </c>
      <c r="X337" s="18" t="s">
        <v>118</v>
      </c>
      <c r="Y337" s="18" t="s">
        <v>85</v>
      </c>
      <c r="Z337" s="18" t="s">
        <v>86</v>
      </c>
      <c r="AA337" s="18" t="s">
        <v>119</v>
      </c>
      <c r="AB337" s="18" t="s">
        <v>280</v>
      </c>
      <c r="AC337" s="18" t="s">
        <v>281</v>
      </c>
      <c r="AD337" s="18" t="s">
        <v>85</v>
      </c>
      <c r="AE337" s="18" t="s">
        <v>90</v>
      </c>
      <c r="AF337" s="18" t="s">
        <v>235</v>
      </c>
      <c r="AG337" s="18" t="s">
        <v>139</v>
      </c>
      <c r="AH337" s="18" t="s">
        <v>165</v>
      </c>
      <c r="AI337" s="18" t="s">
        <v>94</v>
      </c>
      <c r="AJ337" s="19">
        <v>44911</v>
      </c>
      <c r="AK337" s="22" t="s">
        <v>95</v>
      </c>
      <c r="AL337" s="18" t="s">
        <v>95</v>
      </c>
      <c r="AM337" s="18" t="s">
        <v>95</v>
      </c>
      <c r="AN337" s="18" t="s">
        <v>95</v>
      </c>
      <c r="AO337" s="18" t="s">
        <v>95</v>
      </c>
      <c r="AP337" s="18" t="s">
        <v>95</v>
      </c>
      <c r="AQ337" s="18" t="s">
        <v>95</v>
      </c>
      <c r="AR337" s="18" t="s">
        <v>95</v>
      </c>
      <c r="AS337" s="18" t="s">
        <v>83</v>
      </c>
      <c r="AT337" s="18" t="s">
        <v>81</v>
      </c>
      <c r="AU337" s="18" t="s">
        <v>81</v>
      </c>
      <c r="AV337" s="18" t="s">
        <v>95</v>
      </c>
      <c r="AW337" s="18" t="s">
        <v>95</v>
      </c>
      <c r="AX337" s="18"/>
      <c r="AY337" s="18" t="str">
        <f>Pospago[[#This Row],[NUM_TELEFONICO]]&amp;"POSPAGOSI"</f>
        <v>983954037POSPAGOSI</v>
      </c>
      <c r="AZ337" s="18" t="str">
        <f>VLOOKUP(Pospago[[#This Row],[NOM_PLAZA_FINAL]],[1]!Locales[#Data],3,0)</f>
        <v>TIENDA CONDADO</v>
      </c>
      <c r="BA337" s="18" t="str">
        <f>IFERROR(VLOOKUP(Pospago[[#This Row],[USUARIO]],[1]!Personal[#Data],6,0),"EJECUTIVO NO REGISTRADO")</f>
        <v>GUACHAMIN CAZA HUGO ADRIAN</v>
      </c>
      <c r="BB337" s="18" t="str">
        <f>Pospago[[#This Row],[TIPO_MOVIMIENTO]]&amp;" "&amp;Pospago[[#This Row],[FORMA_PAGO_FINAL]]</f>
        <v>TRANSFERENCIAS PAGO EN CAJA</v>
      </c>
      <c r="BC337" s="18">
        <f>DAY(Pospago[[#This Row],[FECHA_ALTA]])</f>
        <v>16</v>
      </c>
      <c r="BD337" s="18">
        <f>IF(Pospago[[#This Row],[TARIFA_BASICA]]=11.42,1,0)</f>
        <v>0</v>
      </c>
      <c r="BE337" s="18">
        <f>IF(Pospago[[#This Row],[PLANES TELEVENTAS]]="SI",1,0)</f>
        <v>1</v>
      </c>
      <c r="BF337" s="18">
        <f>1</f>
        <v>1</v>
      </c>
      <c r="BG337" s="18">
        <f>IF(OR(Pospago[[#This Row],[TARIFA_BASICA]]=11.42,Pospago[[#This Row],[PLANES TELEVENTAS]]="SI"),1,0)</f>
        <v>1</v>
      </c>
      <c r="BH337" s="18" t="str">
        <f>IF(MID(Pospago[[#This Row],[PlanDesc]],1,4) = "PLAN","POSPAGO",IF(MID(Pospago[[#This Row],[PlanDesc]],1,4)="FULL","FULL MEGAS","PREVIOPAGO"))</f>
        <v>PREVIOPAGO</v>
      </c>
      <c r="BI3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37" s="21">
        <f>Pospago[[#This Row],[TARIFA_BASICA]]*1.5</f>
        <v>21.419999999999998</v>
      </c>
    </row>
    <row r="338" spans="1:63" x14ac:dyDescent="0.25">
      <c r="A338" s="18" t="s">
        <v>154</v>
      </c>
      <c r="B338" s="18" t="s">
        <v>2325</v>
      </c>
      <c r="C338" s="18" t="s">
        <v>2326</v>
      </c>
      <c r="D338" s="19">
        <v>44899</v>
      </c>
      <c r="E338" s="18" t="s">
        <v>67</v>
      </c>
      <c r="F338" s="18" t="s">
        <v>2327</v>
      </c>
      <c r="G338" s="18" t="s">
        <v>2328</v>
      </c>
      <c r="H338" s="18" t="s">
        <v>159</v>
      </c>
      <c r="I338" s="18" t="s">
        <v>160</v>
      </c>
      <c r="J338" s="18" t="s">
        <v>161</v>
      </c>
      <c r="K338" s="18" t="s">
        <v>95</v>
      </c>
      <c r="L338" s="20" t="s">
        <v>2329</v>
      </c>
      <c r="M338" s="18" t="s">
        <v>75</v>
      </c>
      <c r="N338" s="20" t="s">
        <v>2330</v>
      </c>
      <c r="O338" s="18" t="s">
        <v>164</v>
      </c>
      <c r="P338" s="18" t="s">
        <v>78</v>
      </c>
      <c r="Q338" s="19">
        <v>44914</v>
      </c>
      <c r="R338" s="21">
        <v>14.28</v>
      </c>
      <c r="S338" s="18" t="s">
        <v>79</v>
      </c>
      <c r="T338" s="18" t="s">
        <v>174</v>
      </c>
      <c r="U338" s="18" t="s">
        <v>83</v>
      </c>
      <c r="V338" s="18" t="s">
        <v>95</v>
      </c>
      <c r="W338" s="18" t="s">
        <v>95</v>
      </c>
      <c r="X338" s="18" t="s">
        <v>84</v>
      </c>
      <c r="Y338" s="18" t="s">
        <v>85</v>
      </c>
      <c r="Z338" s="18" t="s">
        <v>86</v>
      </c>
      <c r="AA338" s="18" t="s">
        <v>87</v>
      </c>
      <c r="AB338" s="18" t="s">
        <v>630</v>
      </c>
      <c r="AC338" s="18" t="s">
        <v>631</v>
      </c>
      <c r="AD338" s="18" t="s">
        <v>85</v>
      </c>
      <c r="AE338" s="18" t="s">
        <v>90</v>
      </c>
      <c r="AF338" s="18" t="s">
        <v>177</v>
      </c>
      <c r="AG338" s="18" t="s">
        <v>139</v>
      </c>
      <c r="AH338" s="18" t="s">
        <v>165</v>
      </c>
      <c r="AI338" s="18" t="s">
        <v>94</v>
      </c>
      <c r="AJ338" s="19">
        <v>44899</v>
      </c>
      <c r="AK338" s="22" t="s">
        <v>95</v>
      </c>
      <c r="AL338" s="18" t="s">
        <v>95</v>
      </c>
      <c r="AM338" s="18" t="s">
        <v>95</v>
      </c>
      <c r="AN338" s="18" t="s">
        <v>95</v>
      </c>
      <c r="AO338" s="18" t="s">
        <v>95</v>
      </c>
      <c r="AP338" s="18" t="s">
        <v>95</v>
      </c>
      <c r="AQ338" s="18" t="s">
        <v>95</v>
      </c>
      <c r="AR338" s="18" t="s">
        <v>95</v>
      </c>
      <c r="AS338" s="18" t="s">
        <v>83</v>
      </c>
      <c r="AT338" s="18" t="s">
        <v>83</v>
      </c>
      <c r="AU338" s="18" t="s">
        <v>81</v>
      </c>
      <c r="AV338" s="18" t="s">
        <v>95</v>
      </c>
      <c r="AW338" s="18" t="s">
        <v>95</v>
      </c>
      <c r="AX338" s="18"/>
      <c r="AY338" s="18" t="str">
        <f>Pospago[[#This Row],[NUM_TELEFONICO]]&amp;"POSPAGOSI"</f>
        <v>983955257POSPAGOSI</v>
      </c>
      <c r="AZ338" s="18" t="str">
        <f>VLOOKUP(Pospago[[#This Row],[NOM_PLAZA_FINAL]],[1]!Locales[#Data],3,0)</f>
        <v>TIENDA RECREO</v>
      </c>
      <c r="BA338" s="18" t="str">
        <f>IFERROR(VLOOKUP(Pospago[[#This Row],[USUARIO]],[1]!Personal[#Data],6,0),"EJECUTIVO NO REGISTRADO")</f>
        <v>LOAYZA AGUILAR JONATHAN FABIAN</v>
      </c>
      <c r="BB338" s="18" t="str">
        <f>Pospago[[#This Row],[TIPO_MOVIMIENTO]]&amp;" "&amp;Pospago[[#This Row],[FORMA_PAGO_FINAL]]</f>
        <v>TRANSFERENCIAS DOMICILIADO</v>
      </c>
      <c r="BC338" s="18">
        <f>DAY(Pospago[[#This Row],[FECHA_ALTA]])</f>
        <v>4</v>
      </c>
      <c r="BD338" s="18">
        <f>IF(Pospago[[#This Row],[TARIFA_BASICA]]=11.42,1,0)</f>
        <v>0</v>
      </c>
      <c r="BE338" s="18">
        <f>IF(Pospago[[#This Row],[PLANES TELEVENTAS]]="SI",1,0)</f>
        <v>0</v>
      </c>
      <c r="BF338" s="18">
        <f>1</f>
        <v>1</v>
      </c>
      <c r="BG338" s="18">
        <f>IF(OR(Pospago[[#This Row],[TARIFA_BASICA]]=11.42,Pospago[[#This Row],[PLANES TELEVENTAS]]="SI"),1,0)</f>
        <v>0</v>
      </c>
      <c r="BH338" s="18" t="str">
        <f>IF(MID(Pospago[[#This Row],[PlanDesc]],1,4) = "PLAN","POSPAGO",IF(MID(Pospago[[#This Row],[PlanDesc]],1,4)="FULL","FULL MEGAS","PREVIOPAGO"))</f>
        <v>PREVIOPAGO</v>
      </c>
      <c r="BI3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38" s="21">
        <f>Pospago[[#This Row],[TARIFA_BASICA]]*1.5</f>
        <v>21.419999999999998</v>
      </c>
    </row>
    <row r="339" spans="1:63" x14ac:dyDescent="0.25">
      <c r="A339" s="18" t="s">
        <v>64</v>
      </c>
      <c r="B339" s="18" t="s">
        <v>2331</v>
      </c>
      <c r="C339" s="18" t="s">
        <v>2332</v>
      </c>
      <c r="D339" s="19">
        <v>44906</v>
      </c>
      <c r="E339" s="18" t="s">
        <v>67</v>
      </c>
      <c r="F339" s="18" t="s">
        <v>2333</v>
      </c>
      <c r="G339" s="18" t="s">
        <v>2334</v>
      </c>
      <c r="H339" s="18" t="s">
        <v>70</v>
      </c>
      <c r="I339" s="18" t="s">
        <v>211</v>
      </c>
      <c r="J339" s="18" t="s">
        <v>212</v>
      </c>
      <c r="K339" s="18" t="s">
        <v>73</v>
      </c>
      <c r="L339" s="20" t="s">
        <v>2335</v>
      </c>
      <c r="M339" s="18" t="s">
        <v>75</v>
      </c>
      <c r="N339" s="20" t="s">
        <v>2336</v>
      </c>
      <c r="O339" s="18" t="s">
        <v>77</v>
      </c>
      <c r="P339" s="18" t="s">
        <v>78</v>
      </c>
      <c r="Q339" s="19">
        <v>44914</v>
      </c>
      <c r="R339" s="21">
        <v>25</v>
      </c>
      <c r="S339" s="18" t="s">
        <v>79</v>
      </c>
      <c r="T339" s="18" t="s">
        <v>174</v>
      </c>
      <c r="U339" s="18" t="s">
        <v>83</v>
      </c>
      <c r="V339" s="18" t="s">
        <v>95</v>
      </c>
      <c r="W339" s="18" t="s">
        <v>83</v>
      </c>
      <c r="X339" s="18" t="s">
        <v>118</v>
      </c>
      <c r="Y339" s="18" t="s">
        <v>85</v>
      </c>
      <c r="Z339" s="18" t="s">
        <v>86</v>
      </c>
      <c r="AA339" s="18" t="s">
        <v>119</v>
      </c>
      <c r="AB339" s="18" t="s">
        <v>369</v>
      </c>
      <c r="AC339" s="18" t="s">
        <v>370</v>
      </c>
      <c r="AD339" s="18" t="s">
        <v>85</v>
      </c>
      <c r="AE339" s="18" t="s">
        <v>90</v>
      </c>
      <c r="AF339" s="18" t="s">
        <v>177</v>
      </c>
      <c r="AG339" s="18" t="s">
        <v>139</v>
      </c>
      <c r="AH339" s="18" t="s">
        <v>93</v>
      </c>
      <c r="AI339" s="18" t="s">
        <v>94</v>
      </c>
      <c r="AJ339" s="19">
        <v>44906</v>
      </c>
      <c r="AK339" s="22" t="s">
        <v>95</v>
      </c>
      <c r="AL339" s="18" t="s">
        <v>95</v>
      </c>
      <c r="AM339" s="18" t="s">
        <v>95</v>
      </c>
      <c r="AN339" s="18" t="s">
        <v>95</v>
      </c>
      <c r="AO339" s="18" t="s">
        <v>95</v>
      </c>
      <c r="AP339" s="18" t="s">
        <v>95</v>
      </c>
      <c r="AQ339" s="18" t="s">
        <v>95</v>
      </c>
      <c r="AR339" s="18" t="s">
        <v>95</v>
      </c>
      <c r="AS339" s="18" t="s">
        <v>83</v>
      </c>
      <c r="AT339" s="18" t="s">
        <v>95</v>
      </c>
      <c r="AU339" s="18" t="s">
        <v>95</v>
      </c>
      <c r="AV339" s="18" t="s">
        <v>95</v>
      </c>
      <c r="AW339" s="18" t="s">
        <v>95</v>
      </c>
      <c r="AX339" s="18"/>
      <c r="AY339" s="18" t="str">
        <f>Pospago[[#This Row],[NUM_TELEFONICO]]&amp;"POSPAGOSI"</f>
        <v>983959957POSPAGOSI</v>
      </c>
      <c r="AZ339" s="18" t="str">
        <f>VLOOKUP(Pospago[[#This Row],[NOM_PLAZA_FINAL]],[1]!Locales[#Data],3,0)</f>
        <v>TIENDA RECREO</v>
      </c>
      <c r="BA339" s="18" t="str">
        <f>IFERROR(VLOOKUP(Pospago[[#This Row],[USUARIO]],[1]!Personal[#Data],6,0),"EJECUTIVO NO REGISTRADO")</f>
        <v>GUAIGUA REINOSO GENESIS CAROLINA</v>
      </c>
      <c r="BB339" s="18" t="str">
        <f>Pospago[[#This Row],[TIPO_MOVIMIENTO]]&amp;" "&amp;Pospago[[#This Row],[FORMA_PAGO_FINAL]]</f>
        <v>ALTAS PAGO EN CAJA</v>
      </c>
      <c r="BC339" s="18">
        <f>DAY(Pospago[[#This Row],[FECHA_ALTA]])</f>
        <v>11</v>
      </c>
      <c r="BD339" s="18">
        <f>IF(Pospago[[#This Row],[TARIFA_BASICA]]=11.42,1,0)</f>
        <v>0</v>
      </c>
      <c r="BE339" s="18">
        <f>IF(Pospago[[#This Row],[PLANES TELEVENTAS]]="SI",1,0)</f>
        <v>0</v>
      </c>
      <c r="BF339" s="18">
        <f>1</f>
        <v>1</v>
      </c>
      <c r="BG339" s="18">
        <f>IF(OR(Pospago[[#This Row],[TARIFA_BASICA]]=11.42,Pospago[[#This Row],[PLANES TELEVENTAS]]="SI"),1,0)</f>
        <v>0</v>
      </c>
      <c r="BH339" s="18" t="str">
        <f>IF(MID(Pospago[[#This Row],[PlanDesc]],1,4) = "PLAN","POSPAGO",IF(MID(Pospago[[#This Row],[PlanDesc]],1,4)="FULL","FULL MEGAS","PREVIOPAGO"))</f>
        <v>FULL MEGAS</v>
      </c>
      <c r="BI3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32</v>
      </c>
      <c r="BJ3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39" s="21">
        <f>Pospago[[#This Row],[TARIFA_BASICA]]*1.5</f>
        <v>37.5</v>
      </c>
    </row>
    <row r="340" spans="1:63" x14ac:dyDescent="0.25">
      <c r="A340" s="18" t="s">
        <v>154</v>
      </c>
      <c r="B340" s="18" t="s">
        <v>2337</v>
      </c>
      <c r="C340" s="18" t="s">
        <v>2338</v>
      </c>
      <c r="D340" s="19">
        <v>44902</v>
      </c>
      <c r="E340" s="18" t="s">
        <v>67</v>
      </c>
      <c r="F340" s="18" t="s">
        <v>2339</v>
      </c>
      <c r="G340" s="18" t="s">
        <v>2340</v>
      </c>
      <c r="H340" s="18" t="s">
        <v>159</v>
      </c>
      <c r="I340" s="18" t="s">
        <v>1357</v>
      </c>
      <c r="J340" s="18" t="s">
        <v>2022</v>
      </c>
      <c r="K340" s="18" t="s">
        <v>95</v>
      </c>
      <c r="L340" s="20" t="s">
        <v>2341</v>
      </c>
      <c r="M340" s="18" t="s">
        <v>75</v>
      </c>
      <c r="N340" s="20" t="s">
        <v>2342</v>
      </c>
      <c r="O340" s="18" t="s">
        <v>164</v>
      </c>
      <c r="P340" s="18" t="s">
        <v>78</v>
      </c>
      <c r="Q340" s="19">
        <v>44914</v>
      </c>
      <c r="R340" s="21">
        <v>11.42</v>
      </c>
      <c r="S340" s="18" t="s">
        <v>79</v>
      </c>
      <c r="T340" s="18" t="s">
        <v>174</v>
      </c>
      <c r="U340" s="18" t="s">
        <v>83</v>
      </c>
      <c r="V340" s="18" t="s">
        <v>95</v>
      </c>
      <c r="W340" s="18" t="s">
        <v>95</v>
      </c>
      <c r="X340" s="18" t="s">
        <v>118</v>
      </c>
      <c r="Y340" s="18" t="s">
        <v>85</v>
      </c>
      <c r="Z340" s="18" t="s">
        <v>86</v>
      </c>
      <c r="AA340" s="18" t="s">
        <v>119</v>
      </c>
      <c r="AB340" s="18" t="s">
        <v>187</v>
      </c>
      <c r="AC340" s="18" t="s">
        <v>188</v>
      </c>
      <c r="AD340" s="18" t="s">
        <v>85</v>
      </c>
      <c r="AE340" s="18" t="s">
        <v>90</v>
      </c>
      <c r="AF340" s="18" t="s">
        <v>177</v>
      </c>
      <c r="AG340" s="18" t="s">
        <v>139</v>
      </c>
      <c r="AH340" s="18" t="s">
        <v>165</v>
      </c>
      <c r="AI340" s="18" t="s">
        <v>94</v>
      </c>
      <c r="AJ340" s="19">
        <v>44902</v>
      </c>
      <c r="AK340" s="22" t="s">
        <v>95</v>
      </c>
      <c r="AL340" s="18" t="s">
        <v>95</v>
      </c>
      <c r="AM340" s="18" t="s">
        <v>95</v>
      </c>
      <c r="AN340" s="18" t="s">
        <v>95</v>
      </c>
      <c r="AO340" s="18" t="s">
        <v>95</v>
      </c>
      <c r="AP340" s="18" t="s">
        <v>95</v>
      </c>
      <c r="AQ340" s="18" t="s">
        <v>95</v>
      </c>
      <c r="AR340" s="18" t="s">
        <v>95</v>
      </c>
      <c r="AS340" s="18" t="s">
        <v>83</v>
      </c>
      <c r="AT340" s="18" t="s">
        <v>81</v>
      </c>
      <c r="AU340" s="18" t="s">
        <v>81</v>
      </c>
      <c r="AV340" s="18" t="s">
        <v>95</v>
      </c>
      <c r="AW340" s="18" t="s">
        <v>95</v>
      </c>
      <c r="AX340" s="18"/>
      <c r="AY340" s="18" t="str">
        <f>Pospago[[#This Row],[NUM_TELEFONICO]]&amp;"POSPAGOSI"</f>
        <v>983965224POSPAGOSI</v>
      </c>
      <c r="AZ340" s="18" t="str">
        <f>VLOOKUP(Pospago[[#This Row],[NOM_PLAZA_FINAL]],[1]!Locales[#Data],3,0)</f>
        <v>TIENDA RECREO</v>
      </c>
      <c r="BA340" s="18" t="str">
        <f>IFERROR(VLOOKUP(Pospago[[#This Row],[USUARIO]],[1]!Personal[#Data],6,0),"EJECUTIVO NO REGISTRADO")</f>
        <v>ESPINOZA MARTINES LAURA XIOMARA</v>
      </c>
      <c r="BB340" s="18" t="str">
        <f>Pospago[[#This Row],[TIPO_MOVIMIENTO]]&amp;" "&amp;Pospago[[#This Row],[FORMA_PAGO_FINAL]]</f>
        <v>TRANSFERENCIAS PAGO EN CAJA</v>
      </c>
      <c r="BC340" s="18">
        <f>DAY(Pospago[[#This Row],[FECHA_ALTA]])</f>
        <v>7</v>
      </c>
      <c r="BD340" s="18">
        <f>IF(Pospago[[#This Row],[TARIFA_BASICA]]=11.42,1,0)</f>
        <v>1</v>
      </c>
      <c r="BE340" s="18">
        <f>IF(Pospago[[#This Row],[PLANES TELEVENTAS]]="SI",1,0)</f>
        <v>1</v>
      </c>
      <c r="BF340" s="18">
        <f>1</f>
        <v>1</v>
      </c>
      <c r="BG340" s="18">
        <f>IF(OR(Pospago[[#This Row],[TARIFA_BASICA]]=11.42,Pospago[[#This Row],[PLANES TELEVENTAS]]="SI"),1,0)</f>
        <v>1</v>
      </c>
      <c r="BH340" s="18" t="str">
        <f>IF(MID(Pospago[[#This Row],[PlanDesc]],1,4) = "PLAN","POSPAGO",IF(MID(Pospago[[#This Row],[PlanDesc]],1,4)="FULL","FULL MEGAS","PREVIOPAGO"))</f>
        <v>PREVIOPAGO</v>
      </c>
      <c r="BI3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40" s="21">
        <f>Pospago[[#This Row],[TARIFA_BASICA]]*1.5</f>
        <v>17.13</v>
      </c>
    </row>
    <row r="341" spans="1:63" x14ac:dyDescent="0.25">
      <c r="A341" s="18" t="s">
        <v>154</v>
      </c>
      <c r="B341" s="18" t="s">
        <v>2343</v>
      </c>
      <c r="C341" s="18" t="s">
        <v>2344</v>
      </c>
      <c r="D341" s="19">
        <v>44898</v>
      </c>
      <c r="E341" s="18" t="s">
        <v>67</v>
      </c>
      <c r="F341" s="18" t="s">
        <v>2345</v>
      </c>
      <c r="G341" s="18" t="s">
        <v>2346</v>
      </c>
      <c r="H341" s="18" t="s">
        <v>159</v>
      </c>
      <c r="I341" s="18" t="s">
        <v>130</v>
      </c>
      <c r="J341" s="18" t="s">
        <v>433</v>
      </c>
      <c r="K341" s="18" t="s">
        <v>259</v>
      </c>
      <c r="L341" s="20" t="s">
        <v>2347</v>
      </c>
      <c r="M341" s="18" t="s">
        <v>75</v>
      </c>
      <c r="N341" s="20" t="s">
        <v>2348</v>
      </c>
      <c r="O341" s="18" t="s">
        <v>164</v>
      </c>
      <c r="P341" s="18" t="s">
        <v>78</v>
      </c>
      <c r="Q341" s="19">
        <v>44914</v>
      </c>
      <c r="R341" s="21">
        <v>15</v>
      </c>
      <c r="S341" s="18" t="s">
        <v>79</v>
      </c>
      <c r="T341" s="18" t="s">
        <v>232</v>
      </c>
      <c r="U341" s="18" t="s">
        <v>83</v>
      </c>
      <c r="V341" s="18" t="s">
        <v>95</v>
      </c>
      <c r="W341" s="18" t="s">
        <v>95</v>
      </c>
      <c r="X341" s="18" t="s">
        <v>215</v>
      </c>
      <c r="Y341" s="18" t="s">
        <v>85</v>
      </c>
      <c r="Z341" s="18" t="s">
        <v>86</v>
      </c>
      <c r="AA341" s="18" t="s">
        <v>87</v>
      </c>
      <c r="AB341" s="18" t="s">
        <v>769</v>
      </c>
      <c r="AC341" s="18" t="s">
        <v>770</v>
      </c>
      <c r="AD341" s="18" t="s">
        <v>85</v>
      </c>
      <c r="AE341" s="18" t="s">
        <v>90</v>
      </c>
      <c r="AF341" s="18" t="s">
        <v>235</v>
      </c>
      <c r="AG341" s="18" t="s">
        <v>139</v>
      </c>
      <c r="AH341" s="18" t="s">
        <v>165</v>
      </c>
      <c r="AI341" s="18" t="s">
        <v>94</v>
      </c>
      <c r="AJ341" s="19">
        <v>44898</v>
      </c>
      <c r="AK341" s="22" t="s">
        <v>95</v>
      </c>
      <c r="AL341" s="18" t="s">
        <v>95</v>
      </c>
      <c r="AM341" s="18" t="s">
        <v>95</v>
      </c>
      <c r="AN341" s="18" t="s">
        <v>95</v>
      </c>
      <c r="AO341" s="18" t="s">
        <v>95</v>
      </c>
      <c r="AP341" s="18" t="s">
        <v>95</v>
      </c>
      <c r="AQ341" s="18" t="s">
        <v>95</v>
      </c>
      <c r="AR341" s="18" t="s">
        <v>95</v>
      </c>
      <c r="AS341" s="18" t="s">
        <v>83</v>
      </c>
      <c r="AT341" s="18" t="s">
        <v>83</v>
      </c>
      <c r="AU341" s="18" t="s">
        <v>81</v>
      </c>
      <c r="AV341" s="18" t="s">
        <v>95</v>
      </c>
      <c r="AW341" s="18" t="s">
        <v>95</v>
      </c>
      <c r="AX341" s="18"/>
      <c r="AY341" s="18" t="str">
        <f>Pospago[[#This Row],[NUM_TELEFONICO]]&amp;"POSPAGOSI"</f>
        <v>983977560POSPAGOSI</v>
      </c>
      <c r="AZ341" s="18" t="str">
        <f>VLOOKUP(Pospago[[#This Row],[NOM_PLAZA_FINAL]],[1]!Locales[#Data],3,0)</f>
        <v>TIENDA CONDADO</v>
      </c>
      <c r="BA341" s="18" t="str">
        <f>IFERROR(VLOOKUP(Pospago[[#This Row],[USUARIO]],[1]!Personal[#Data],6,0),"EJECUTIVO NO REGISTRADO")</f>
        <v>ROJAS VEGA JHOSMERY MICHELE</v>
      </c>
      <c r="BB341" s="18" t="str">
        <f>Pospago[[#This Row],[TIPO_MOVIMIENTO]]&amp;" "&amp;Pospago[[#This Row],[FORMA_PAGO_FINAL]]</f>
        <v>TRANSFERENCIAS DOMICILIADO</v>
      </c>
      <c r="BC341" s="18">
        <f>DAY(Pospago[[#This Row],[FECHA_ALTA]])</f>
        <v>3</v>
      </c>
      <c r="BD341" s="18">
        <f>IF(Pospago[[#This Row],[TARIFA_BASICA]]=11.42,1,0)</f>
        <v>0</v>
      </c>
      <c r="BE341" s="18">
        <f>IF(Pospago[[#This Row],[PLANES TELEVENTAS]]="SI",1,0)</f>
        <v>0</v>
      </c>
      <c r="BF341" s="18">
        <f>1</f>
        <v>1</v>
      </c>
      <c r="BG341" s="18">
        <f>IF(OR(Pospago[[#This Row],[TARIFA_BASICA]]=11.42,Pospago[[#This Row],[PLANES TELEVENTAS]]="SI"),1,0)</f>
        <v>0</v>
      </c>
      <c r="BH341" s="18" t="str">
        <f>IF(MID(Pospago[[#This Row],[PlanDesc]],1,4) = "PLAN","POSPAGO",IF(MID(Pospago[[#This Row],[PlanDesc]],1,4)="FULL","FULL MEGAS","PREVIOPAGO"))</f>
        <v>PREVIOPAGO</v>
      </c>
      <c r="BI3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3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41" s="21">
        <f>Pospago[[#This Row],[TARIFA_BASICA]]*1.5</f>
        <v>22.5</v>
      </c>
    </row>
    <row r="342" spans="1:63" x14ac:dyDescent="0.25">
      <c r="A342" s="18" t="s">
        <v>64</v>
      </c>
      <c r="B342" s="18" t="s">
        <v>2349</v>
      </c>
      <c r="C342" s="18" t="s">
        <v>2350</v>
      </c>
      <c r="D342" s="19">
        <v>44904</v>
      </c>
      <c r="E342" s="18" t="s">
        <v>67</v>
      </c>
      <c r="F342" s="18" t="s">
        <v>2351</v>
      </c>
      <c r="G342" s="18" t="s">
        <v>2352</v>
      </c>
      <c r="H342" s="18" t="s">
        <v>70</v>
      </c>
      <c r="I342" s="18" t="s">
        <v>392</v>
      </c>
      <c r="J342" s="18" t="s">
        <v>131</v>
      </c>
      <c r="K342" s="18" t="s">
        <v>132</v>
      </c>
      <c r="L342" s="20" t="s">
        <v>2353</v>
      </c>
      <c r="M342" s="18" t="s">
        <v>75</v>
      </c>
      <c r="N342" s="20" t="s">
        <v>2354</v>
      </c>
      <c r="O342" s="18" t="s">
        <v>77</v>
      </c>
      <c r="P342" s="18" t="s">
        <v>78</v>
      </c>
      <c r="Q342" s="19">
        <v>44914</v>
      </c>
      <c r="R342" s="21">
        <v>15</v>
      </c>
      <c r="S342" s="18" t="s">
        <v>79</v>
      </c>
      <c r="T342" s="18" t="s">
        <v>174</v>
      </c>
      <c r="U342" s="18" t="s">
        <v>83</v>
      </c>
      <c r="V342" s="18" t="s">
        <v>95</v>
      </c>
      <c r="W342" s="18" t="s">
        <v>83</v>
      </c>
      <c r="X342" s="18" t="s">
        <v>84</v>
      </c>
      <c r="Y342" s="18" t="s">
        <v>85</v>
      </c>
      <c r="Z342" s="18" t="s">
        <v>86</v>
      </c>
      <c r="AA342" s="18" t="s">
        <v>87</v>
      </c>
      <c r="AB342" s="18" t="s">
        <v>262</v>
      </c>
      <c r="AC342" s="18" t="s">
        <v>263</v>
      </c>
      <c r="AD342" s="18" t="s">
        <v>85</v>
      </c>
      <c r="AE342" s="18" t="s">
        <v>90</v>
      </c>
      <c r="AF342" s="18" t="s">
        <v>177</v>
      </c>
      <c r="AG342" s="18" t="s">
        <v>139</v>
      </c>
      <c r="AH342" s="18" t="s">
        <v>93</v>
      </c>
      <c r="AI342" s="18" t="s">
        <v>94</v>
      </c>
      <c r="AJ342" s="19">
        <v>44904</v>
      </c>
      <c r="AK342" s="22" t="s">
        <v>95</v>
      </c>
      <c r="AL342" s="18" t="s">
        <v>95</v>
      </c>
      <c r="AM342" s="18" t="s">
        <v>95</v>
      </c>
      <c r="AN342" s="18" t="s">
        <v>95</v>
      </c>
      <c r="AO342" s="18" t="s">
        <v>95</v>
      </c>
      <c r="AP342" s="18" t="s">
        <v>95</v>
      </c>
      <c r="AQ342" s="18" t="s">
        <v>95</v>
      </c>
      <c r="AR342" s="18" t="s">
        <v>95</v>
      </c>
      <c r="AS342" s="18" t="s">
        <v>83</v>
      </c>
      <c r="AT342" s="18" t="s">
        <v>81</v>
      </c>
      <c r="AU342" s="18" t="s">
        <v>81</v>
      </c>
      <c r="AV342" s="18" t="s">
        <v>95</v>
      </c>
      <c r="AW342" s="18" t="s">
        <v>95</v>
      </c>
      <c r="AX342" s="18"/>
      <c r="AY342" s="18" t="str">
        <f>Pospago[[#This Row],[NUM_TELEFONICO]]&amp;"POSPAGOSI"</f>
        <v>983989314POSPAGOSI</v>
      </c>
      <c r="AZ342" s="18" t="str">
        <f>VLOOKUP(Pospago[[#This Row],[NOM_PLAZA_FINAL]],[1]!Locales[#Data],3,0)</f>
        <v>TIENDA RECREO</v>
      </c>
      <c r="BA342" s="18" t="str">
        <f>IFERROR(VLOOKUP(Pospago[[#This Row],[USUARIO]],[1]!Personal[#Data],6,0),"EJECUTIVO NO REGISTRADO")</f>
        <v>CHICAIZA TOAPANTA ALEX DANILO</v>
      </c>
      <c r="BB342" s="18" t="str">
        <f>Pospago[[#This Row],[TIPO_MOVIMIENTO]]&amp;" "&amp;Pospago[[#This Row],[FORMA_PAGO_FINAL]]</f>
        <v>ALTAS DOMICILIADO</v>
      </c>
      <c r="BC342" s="18">
        <f>DAY(Pospago[[#This Row],[FECHA_ALTA]])</f>
        <v>9</v>
      </c>
      <c r="BD342" s="18">
        <f>IF(Pospago[[#This Row],[TARIFA_BASICA]]=11.42,1,0)</f>
        <v>0</v>
      </c>
      <c r="BE342" s="18">
        <f>IF(Pospago[[#This Row],[PLANES TELEVENTAS]]="SI",1,0)</f>
        <v>1</v>
      </c>
      <c r="BF342" s="18">
        <f>1</f>
        <v>1</v>
      </c>
      <c r="BG342" s="18">
        <f>IF(OR(Pospago[[#This Row],[TARIFA_BASICA]]=11.42,Pospago[[#This Row],[PLANES TELEVENTAS]]="SI"),1,0)</f>
        <v>1</v>
      </c>
      <c r="BH342" s="18" t="str">
        <f>IF(MID(Pospago[[#This Row],[PlanDesc]],1,4) = "PLAN","POSPAGO",IF(MID(Pospago[[#This Row],[PlanDesc]],1,4)="FULL","FULL MEGAS","PREVIOPAGO"))</f>
        <v>PREVIOPAGO</v>
      </c>
      <c r="BI3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3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42" s="21">
        <f>Pospago[[#This Row],[TARIFA_BASICA]]*1.5</f>
        <v>22.5</v>
      </c>
    </row>
    <row r="343" spans="1:63" x14ac:dyDescent="0.25">
      <c r="A343" s="18" t="s">
        <v>64</v>
      </c>
      <c r="B343" s="18" t="s">
        <v>2355</v>
      </c>
      <c r="C343" s="18" t="s">
        <v>2356</v>
      </c>
      <c r="D343" s="19">
        <v>44909</v>
      </c>
      <c r="E343" s="18" t="s">
        <v>67</v>
      </c>
      <c r="F343" s="18" t="s">
        <v>2357</v>
      </c>
      <c r="G343" s="18" t="s">
        <v>2358</v>
      </c>
      <c r="H343" s="18" t="s">
        <v>70</v>
      </c>
      <c r="I343" s="18" t="s">
        <v>698</v>
      </c>
      <c r="J343" s="18" t="s">
        <v>607</v>
      </c>
      <c r="K343" s="18" t="s">
        <v>2359</v>
      </c>
      <c r="L343" s="20" t="s">
        <v>2360</v>
      </c>
      <c r="M343" s="18" t="s">
        <v>75</v>
      </c>
      <c r="N343" s="20" t="s">
        <v>2361</v>
      </c>
      <c r="O343" s="18" t="s">
        <v>77</v>
      </c>
      <c r="P343" s="18" t="s">
        <v>78</v>
      </c>
      <c r="Q343" s="19">
        <v>44914</v>
      </c>
      <c r="R343" s="21">
        <v>26.78</v>
      </c>
      <c r="S343" s="18" t="s">
        <v>79</v>
      </c>
      <c r="T343" s="18" t="s">
        <v>135</v>
      </c>
      <c r="U343" s="18" t="s">
        <v>83</v>
      </c>
      <c r="V343" s="18" t="s">
        <v>95</v>
      </c>
      <c r="W343" s="18" t="s">
        <v>83</v>
      </c>
      <c r="X343" s="18" t="s">
        <v>84</v>
      </c>
      <c r="Y343" s="18" t="s">
        <v>85</v>
      </c>
      <c r="Z343" s="18" t="s">
        <v>86</v>
      </c>
      <c r="AA343" s="18" t="s">
        <v>87</v>
      </c>
      <c r="AB343" s="18" t="s">
        <v>866</v>
      </c>
      <c r="AC343" s="18" t="s">
        <v>867</v>
      </c>
      <c r="AD343" s="18" t="s">
        <v>85</v>
      </c>
      <c r="AE343" s="18" t="s">
        <v>90</v>
      </c>
      <c r="AF343" s="18" t="s">
        <v>138</v>
      </c>
      <c r="AG343" s="18" t="s">
        <v>139</v>
      </c>
      <c r="AH343" s="18" t="s">
        <v>93</v>
      </c>
      <c r="AI343" s="18" t="s">
        <v>94</v>
      </c>
      <c r="AJ343" s="19">
        <v>44909</v>
      </c>
      <c r="AK343" s="22" t="s">
        <v>95</v>
      </c>
      <c r="AL343" s="18" t="s">
        <v>95</v>
      </c>
      <c r="AM343" s="18" t="s">
        <v>95</v>
      </c>
      <c r="AN343" s="18" t="s">
        <v>95</v>
      </c>
      <c r="AO343" s="18" t="s">
        <v>95</v>
      </c>
      <c r="AP343" s="18" t="s">
        <v>95</v>
      </c>
      <c r="AQ343" s="18" t="s">
        <v>95</v>
      </c>
      <c r="AR343" s="18" t="s">
        <v>95</v>
      </c>
      <c r="AS343" s="18" t="s">
        <v>83</v>
      </c>
      <c r="AT343" s="18" t="s">
        <v>81</v>
      </c>
      <c r="AU343" s="18" t="s">
        <v>81</v>
      </c>
      <c r="AV343" s="18" t="s">
        <v>95</v>
      </c>
      <c r="AW343" s="18" t="s">
        <v>95</v>
      </c>
      <c r="AX343" s="18"/>
      <c r="AY343" s="18" t="str">
        <f>Pospago[[#This Row],[NUM_TELEFONICO]]&amp;"POSPAGOSI"</f>
        <v>984004081POSPAGOSI</v>
      </c>
      <c r="AZ343" s="18" t="str">
        <f>VLOOKUP(Pospago[[#This Row],[NOM_PLAZA_FINAL]],[1]!Locales[#Data],3,0)</f>
        <v>TIENDA AMERICA</v>
      </c>
      <c r="BA343" s="18" t="str">
        <f>IFERROR(VLOOKUP(Pospago[[#This Row],[USUARIO]],[1]!Personal[#Data],6,0),"EJECUTIVO NO REGISTRADO")</f>
        <v>ORTEGA RUIZ GABRIEL ANTONIO</v>
      </c>
      <c r="BB343" s="18" t="str">
        <f>Pospago[[#This Row],[TIPO_MOVIMIENTO]]&amp;" "&amp;Pospago[[#This Row],[FORMA_PAGO_FINAL]]</f>
        <v>ALTAS DOMICILIADO</v>
      </c>
      <c r="BC343" s="18">
        <f>DAY(Pospago[[#This Row],[FECHA_ALTA]])</f>
        <v>14</v>
      </c>
      <c r="BD343" s="18">
        <f>IF(Pospago[[#This Row],[TARIFA_BASICA]]=11.42,1,0)</f>
        <v>0</v>
      </c>
      <c r="BE343" s="18">
        <f>IF(Pospago[[#This Row],[PLANES TELEVENTAS]]="SI",1,0)</f>
        <v>1</v>
      </c>
      <c r="BF343" s="18">
        <f>1</f>
        <v>1</v>
      </c>
      <c r="BG343" s="18">
        <f>IF(OR(Pospago[[#This Row],[TARIFA_BASICA]]=11.42,Pospago[[#This Row],[PLANES TELEVENTAS]]="SI"),1,0)</f>
        <v>1</v>
      </c>
      <c r="BH343" s="18" t="str">
        <f>IF(MID(Pospago[[#This Row],[PlanDesc]],1,4) = "PLAN","POSPAGO",IF(MID(Pospago[[#This Row],[PlanDesc]],1,4)="FULL","FULL MEGAS","PREVIOPAGO"))</f>
        <v>PREVIOPAGO</v>
      </c>
      <c r="BI3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3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43" s="21">
        <f>Pospago[[#This Row],[TARIFA_BASICA]]*1.5</f>
        <v>40.17</v>
      </c>
    </row>
    <row r="344" spans="1:63" x14ac:dyDescent="0.25">
      <c r="A344" s="18" t="s">
        <v>64</v>
      </c>
      <c r="B344" s="18" t="s">
        <v>2362</v>
      </c>
      <c r="C344" s="18" t="s">
        <v>2363</v>
      </c>
      <c r="D344" s="19">
        <v>44908</v>
      </c>
      <c r="E344" s="18" t="s">
        <v>67</v>
      </c>
      <c r="F344" s="18" t="s">
        <v>2364</v>
      </c>
      <c r="G344" s="18" t="s">
        <v>2365</v>
      </c>
      <c r="H344" s="18" t="s">
        <v>70</v>
      </c>
      <c r="I344" s="18" t="s">
        <v>130</v>
      </c>
      <c r="J344" s="18" t="s">
        <v>131</v>
      </c>
      <c r="K344" s="18" t="s">
        <v>132</v>
      </c>
      <c r="L344" s="20" t="s">
        <v>2366</v>
      </c>
      <c r="M344" s="18" t="s">
        <v>75</v>
      </c>
      <c r="N344" s="20" t="s">
        <v>2367</v>
      </c>
      <c r="O344" s="18" t="s">
        <v>77</v>
      </c>
      <c r="P344" s="18" t="s">
        <v>78</v>
      </c>
      <c r="Q344" s="19">
        <v>44914</v>
      </c>
      <c r="R344" s="21">
        <v>15</v>
      </c>
      <c r="S344" s="18" t="s">
        <v>79</v>
      </c>
      <c r="T344" s="18" t="s">
        <v>174</v>
      </c>
      <c r="U344" s="18" t="s">
        <v>83</v>
      </c>
      <c r="V344" s="18" t="s">
        <v>95</v>
      </c>
      <c r="W344" s="18" t="s">
        <v>83</v>
      </c>
      <c r="X344" s="18" t="s">
        <v>118</v>
      </c>
      <c r="Y344" s="18" t="s">
        <v>85</v>
      </c>
      <c r="Z344" s="18" t="s">
        <v>86</v>
      </c>
      <c r="AA344" s="18" t="s">
        <v>119</v>
      </c>
      <c r="AB344" s="18" t="s">
        <v>404</v>
      </c>
      <c r="AC344" s="18" t="s">
        <v>405</v>
      </c>
      <c r="AD344" s="18" t="s">
        <v>85</v>
      </c>
      <c r="AE344" s="18" t="s">
        <v>90</v>
      </c>
      <c r="AF344" s="18" t="s">
        <v>177</v>
      </c>
      <c r="AG344" s="18" t="s">
        <v>139</v>
      </c>
      <c r="AH344" s="18" t="s">
        <v>93</v>
      </c>
      <c r="AI344" s="18" t="s">
        <v>94</v>
      </c>
      <c r="AJ344" s="19">
        <v>44908</v>
      </c>
      <c r="AK344" s="22" t="s">
        <v>95</v>
      </c>
      <c r="AL344" s="18" t="s">
        <v>95</v>
      </c>
      <c r="AM344" s="18" t="s">
        <v>95</v>
      </c>
      <c r="AN344" s="18" t="s">
        <v>95</v>
      </c>
      <c r="AO344" s="18" t="s">
        <v>95</v>
      </c>
      <c r="AP344" s="18" t="s">
        <v>95</v>
      </c>
      <c r="AQ344" s="18" t="s">
        <v>95</v>
      </c>
      <c r="AR344" s="18" t="s">
        <v>95</v>
      </c>
      <c r="AS344" s="18" t="s">
        <v>83</v>
      </c>
      <c r="AT344" s="18" t="s">
        <v>83</v>
      </c>
      <c r="AU344" s="18" t="s">
        <v>81</v>
      </c>
      <c r="AV344" s="18" t="s">
        <v>95</v>
      </c>
      <c r="AW344" s="18" t="s">
        <v>95</v>
      </c>
      <c r="AX344" s="18"/>
      <c r="AY344" s="18" t="str">
        <f>Pospago[[#This Row],[NUM_TELEFONICO]]&amp;"POSPAGOSI"</f>
        <v>984010902POSPAGOSI</v>
      </c>
      <c r="AZ344" s="18" t="str">
        <f>VLOOKUP(Pospago[[#This Row],[NOM_PLAZA_FINAL]],[1]!Locales[#Data],3,0)</f>
        <v>TIENDA RECREO</v>
      </c>
      <c r="BA344" s="18" t="str">
        <f>IFERROR(VLOOKUP(Pospago[[#This Row],[USUARIO]],[1]!Personal[#Data],6,0),"EJECUTIVO NO REGISTRADO")</f>
        <v>OTERO YEPEZ ANDREA SOLEDAD</v>
      </c>
      <c r="BB344" s="18" t="str">
        <f>Pospago[[#This Row],[TIPO_MOVIMIENTO]]&amp;" "&amp;Pospago[[#This Row],[FORMA_PAGO_FINAL]]</f>
        <v>ALTAS PAGO EN CAJA</v>
      </c>
      <c r="BC344" s="18">
        <f>DAY(Pospago[[#This Row],[FECHA_ALTA]])</f>
        <v>13</v>
      </c>
      <c r="BD344" s="18">
        <f>IF(Pospago[[#This Row],[TARIFA_BASICA]]=11.42,1,0)</f>
        <v>0</v>
      </c>
      <c r="BE344" s="18">
        <f>IF(Pospago[[#This Row],[PLANES TELEVENTAS]]="SI",1,0)</f>
        <v>0</v>
      </c>
      <c r="BF344" s="18">
        <f>1</f>
        <v>1</v>
      </c>
      <c r="BG344" s="18">
        <f>IF(OR(Pospago[[#This Row],[TARIFA_BASICA]]=11.42,Pospago[[#This Row],[PLANES TELEVENTAS]]="SI"),1,0)</f>
        <v>0</v>
      </c>
      <c r="BH344" s="18" t="str">
        <f>IF(MID(Pospago[[#This Row],[PlanDesc]],1,4) = "PLAN","POSPAGO",IF(MID(Pospago[[#This Row],[PlanDesc]],1,4)="FULL","FULL MEGAS","PREVIOPAGO"))</f>
        <v>PREVIOPAGO</v>
      </c>
      <c r="BI3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3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44" s="21">
        <f>Pospago[[#This Row],[TARIFA_BASICA]]*1.5</f>
        <v>22.5</v>
      </c>
    </row>
    <row r="345" spans="1:63" x14ac:dyDescent="0.25">
      <c r="A345" s="18" t="s">
        <v>154</v>
      </c>
      <c r="B345" s="18" t="s">
        <v>2368</v>
      </c>
      <c r="C345" s="18" t="s">
        <v>2369</v>
      </c>
      <c r="D345" s="19">
        <v>44900</v>
      </c>
      <c r="E345" s="18" t="s">
        <v>67</v>
      </c>
      <c r="F345" s="18" t="s">
        <v>2370</v>
      </c>
      <c r="G345" s="18" t="s">
        <v>2371</v>
      </c>
      <c r="H345" s="18" t="s">
        <v>159</v>
      </c>
      <c r="I345" s="18" t="s">
        <v>71</v>
      </c>
      <c r="J345" s="18" t="s">
        <v>258</v>
      </c>
      <c r="K345" s="18" t="s">
        <v>132</v>
      </c>
      <c r="L345" s="20" t="s">
        <v>2372</v>
      </c>
      <c r="M345" s="18" t="s">
        <v>75</v>
      </c>
      <c r="N345" s="20" t="s">
        <v>2373</v>
      </c>
      <c r="O345" s="18" t="s">
        <v>164</v>
      </c>
      <c r="P345" s="18" t="s">
        <v>78</v>
      </c>
      <c r="Q345" s="19">
        <v>44914</v>
      </c>
      <c r="R345" s="21">
        <v>11.42</v>
      </c>
      <c r="S345" s="18" t="s">
        <v>79</v>
      </c>
      <c r="T345" s="18" t="s">
        <v>174</v>
      </c>
      <c r="U345" s="18" t="s">
        <v>83</v>
      </c>
      <c r="V345" s="18" t="s">
        <v>95</v>
      </c>
      <c r="W345" s="18" t="s">
        <v>95</v>
      </c>
      <c r="X345" s="18" t="s">
        <v>84</v>
      </c>
      <c r="Y345" s="18" t="s">
        <v>85</v>
      </c>
      <c r="Z345" s="18" t="s">
        <v>86</v>
      </c>
      <c r="AA345" s="18" t="s">
        <v>87</v>
      </c>
      <c r="AB345" s="18" t="s">
        <v>2159</v>
      </c>
      <c r="AC345" s="18" t="s">
        <v>2160</v>
      </c>
      <c r="AD345" s="18" t="s">
        <v>85</v>
      </c>
      <c r="AE345" s="18" t="s">
        <v>90</v>
      </c>
      <c r="AF345" s="18" t="s">
        <v>177</v>
      </c>
      <c r="AG345" s="18" t="s">
        <v>139</v>
      </c>
      <c r="AH345" s="18" t="s">
        <v>165</v>
      </c>
      <c r="AI345" s="18" t="s">
        <v>94</v>
      </c>
      <c r="AJ345" s="19">
        <v>44900</v>
      </c>
      <c r="AK345" s="22" t="s">
        <v>95</v>
      </c>
      <c r="AL345" s="18" t="s">
        <v>95</v>
      </c>
      <c r="AM345" s="18" t="s">
        <v>95</v>
      </c>
      <c r="AN345" s="18" t="s">
        <v>95</v>
      </c>
      <c r="AO345" s="18" t="s">
        <v>95</v>
      </c>
      <c r="AP345" s="18" t="s">
        <v>95</v>
      </c>
      <c r="AQ345" s="18" t="s">
        <v>95</v>
      </c>
      <c r="AR345" s="18" t="s">
        <v>95</v>
      </c>
      <c r="AS345" s="18" t="s">
        <v>83</v>
      </c>
      <c r="AT345" s="18" t="s">
        <v>83</v>
      </c>
      <c r="AU345" s="18" t="s">
        <v>81</v>
      </c>
      <c r="AV345" s="18" t="s">
        <v>95</v>
      </c>
      <c r="AW345" s="18" t="s">
        <v>95</v>
      </c>
      <c r="AX345" s="18"/>
      <c r="AY345" s="18" t="str">
        <f>Pospago[[#This Row],[NUM_TELEFONICO]]&amp;"POSPAGOSI"</f>
        <v>984030160POSPAGOSI</v>
      </c>
      <c r="AZ345" s="18" t="str">
        <f>VLOOKUP(Pospago[[#This Row],[NOM_PLAZA_FINAL]],[1]!Locales[#Data],3,0)</f>
        <v>TIENDA RECREO</v>
      </c>
      <c r="BA345" s="18" t="str">
        <f>IFERROR(VLOOKUP(Pospago[[#This Row],[USUARIO]],[1]!Personal[#Data],6,0),"EJECUTIVO NO REGISTRADO")</f>
        <v>GUEVARA MAZA CRISTIAN FABIAN</v>
      </c>
      <c r="BB345" s="18" t="str">
        <f>Pospago[[#This Row],[TIPO_MOVIMIENTO]]&amp;" "&amp;Pospago[[#This Row],[FORMA_PAGO_FINAL]]</f>
        <v>TRANSFERENCIAS DOMICILIADO</v>
      </c>
      <c r="BC345" s="18">
        <f>DAY(Pospago[[#This Row],[FECHA_ALTA]])</f>
        <v>5</v>
      </c>
      <c r="BD345" s="18">
        <f>IF(Pospago[[#This Row],[TARIFA_BASICA]]=11.42,1,0)</f>
        <v>1</v>
      </c>
      <c r="BE345" s="18">
        <f>IF(Pospago[[#This Row],[PLANES TELEVENTAS]]="SI",1,0)</f>
        <v>0</v>
      </c>
      <c r="BF345" s="18">
        <f>1</f>
        <v>1</v>
      </c>
      <c r="BG345" s="18">
        <f>IF(OR(Pospago[[#This Row],[TARIFA_BASICA]]=11.42,Pospago[[#This Row],[PLANES TELEVENTAS]]="SI"),1,0)</f>
        <v>1</v>
      </c>
      <c r="BH345" s="18" t="str">
        <f>IF(MID(Pospago[[#This Row],[PlanDesc]],1,4) = "PLAN","POSPAGO",IF(MID(Pospago[[#This Row],[PlanDesc]],1,4)="FULL","FULL MEGAS","PREVIOPAGO"))</f>
        <v>PREVIOPAGO</v>
      </c>
      <c r="BI3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3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45" s="21">
        <f>Pospago[[#This Row],[TARIFA_BASICA]]*1.5</f>
        <v>17.13</v>
      </c>
    </row>
    <row r="346" spans="1:63" x14ac:dyDescent="0.25">
      <c r="A346" s="18" t="s">
        <v>154</v>
      </c>
      <c r="B346" s="18" t="s">
        <v>2374</v>
      </c>
      <c r="C346" s="18" t="s">
        <v>2375</v>
      </c>
      <c r="D346" s="19">
        <v>44900</v>
      </c>
      <c r="E346" s="18" t="s">
        <v>67</v>
      </c>
      <c r="F346" s="18" t="s">
        <v>2376</v>
      </c>
      <c r="G346" s="18" t="s">
        <v>2377</v>
      </c>
      <c r="H346" s="18" t="s">
        <v>159</v>
      </c>
      <c r="I346" s="18" t="s">
        <v>130</v>
      </c>
      <c r="J346" s="18" t="s">
        <v>433</v>
      </c>
      <c r="K346" s="18" t="s">
        <v>132</v>
      </c>
      <c r="L346" s="20" t="s">
        <v>2378</v>
      </c>
      <c r="M346" s="18" t="s">
        <v>75</v>
      </c>
      <c r="N346" s="20" t="s">
        <v>2379</v>
      </c>
      <c r="O346" s="18" t="s">
        <v>164</v>
      </c>
      <c r="P346" s="18" t="s">
        <v>78</v>
      </c>
      <c r="Q346" s="19">
        <v>44914</v>
      </c>
      <c r="R346" s="21">
        <v>15</v>
      </c>
      <c r="S346" s="18" t="s">
        <v>79</v>
      </c>
      <c r="T346" s="18" t="s">
        <v>174</v>
      </c>
      <c r="U346" s="18" t="s">
        <v>83</v>
      </c>
      <c r="V346" s="18" t="s">
        <v>95</v>
      </c>
      <c r="W346" s="18" t="s">
        <v>95</v>
      </c>
      <c r="X346" s="18" t="s">
        <v>118</v>
      </c>
      <c r="Y346" s="18" t="s">
        <v>85</v>
      </c>
      <c r="Z346" s="18" t="s">
        <v>86</v>
      </c>
      <c r="AA346" s="18" t="s">
        <v>119</v>
      </c>
      <c r="AB346" s="18" t="s">
        <v>303</v>
      </c>
      <c r="AC346" s="18" t="s">
        <v>304</v>
      </c>
      <c r="AD346" s="18" t="s">
        <v>85</v>
      </c>
      <c r="AE346" s="18" t="s">
        <v>90</v>
      </c>
      <c r="AF346" s="18" t="s">
        <v>177</v>
      </c>
      <c r="AG346" s="18" t="s">
        <v>139</v>
      </c>
      <c r="AH346" s="18" t="s">
        <v>165</v>
      </c>
      <c r="AI346" s="18" t="s">
        <v>94</v>
      </c>
      <c r="AJ346" s="19">
        <v>44900</v>
      </c>
      <c r="AK346" s="22" t="s">
        <v>95</v>
      </c>
      <c r="AL346" s="18" t="s">
        <v>95</v>
      </c>
      <c r="AM346" s="18" t="s">
        <v>95</v>
      </c>
      <c r="AN346" s="18" t="s">
        <v>95</v>
      </c>
      <c r="AO346" s="18" t="s">
        <v>95</v>
      </c>
      <c r="AP346" s="18" t="s">
        <v>95</v>
      </c>
      <c r="AQ346" s="18" t="s">
        <v>95</v>
      </c>
      <c r="AR346" s="18" t="s">
        <v>95</v>
      </c>
      <c r="AS346" s="18" t="s">
        <v>83</v>
      </c>
      <c r="AT346" s="18" t="s">
        <v>83</v>
      </c>
      <c r="AU346" s="18" t="s">
        <v>81</v>
      </c>
      <c r="AV346" s="18" t="s">
        <v>95</v>
      </c>
      <c r="AW346" s="18" t="s">
        <v>95</v>
      </c>
      <c r="AX346" s="18"/>
      <c r="AY346" s="18" t="str">
        <f>Pospago[[#This Row],[NUM_TELEFONICO]]&amp;"POSPAGOSI"</f>
        <v>984033267POSPAGOSI</v>
      </c>
      <c r="AZ346" s="18" t="str">
        <f>VLOOKUP(Pospago[[#This Row],[NOM_PLAZA_FINAL]],[1]!Locales[#Data],3,0)</f>
        <v>TIENDA RECREO</v>
      </c>
      <c r="BA346" s="18" t="str">
        <f>IFERROR(VLOOKUP(Pospago[[#This Row],[USUARIO]],[1]!Personal[#Data],6,0),"EJECUTIVO NO REGISTRADO")</f>
        <v>CORDOVA GAIBOR JONATHAN HERNAN</v>
      </c>
      <c r="BB346" s="18" t="str">
        <f>Pospago[[#This Row],[TIPO_MOVIMIENTO]]&amp;" "&amp;Pospago[[#This Row],[FORMA_PAGO_FINAL]]</f>
        <v>TRANSFERENCIAS PAGO EN CAJA</v>
      </c>
      <c r="BC346" s="18">
        <f>DAY(Pospago[[#This Row],[FECHA_ALTA]])</f>
        <v>5</v>
      </c>
      <c r="BD346" s="18">
        <f>IF(Pospago[[#This Row],[TARIFA_BASICA]]=11.42,1,0)</f>
        <v>0</v>
      </c>
      <c r="BE346" s="18">
        <f>IF(Pospago[[#This Row],[PLANES TELEVENTAS]]="SI",1,0)</f>
        <v>0</v>
      </c>
      <c r="BF346" s="18">
        <f>1</f>
        <v>1</v>
      </c>
      <c r="BG346" s="18">
        <f>IF(OR(Pospago[[#This Row],[TARIFA_BASICA]]=11.42,Pospago[[#This Row],[PLANES TELEVENTAS]]="SI"),1,0)</f>
        <v>0</v>
      </c>
      <c r="BH346" s="18" t="str">
        <f>IF(MID(Pospago[[#This Row],[PlanDesc]],1,4) = "PLAN","POSPAGO",IF(MID(Pospago[[#This Row],[PlanDesc]],1,4)="FULL","FULL MEGAS","PREVIOPAGO"))</f>
        <v>PREVIOPAGO</v>
      </c>
      <c r="BI3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3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46" s="21">
        <f>Pospago[[#This Row],[TARIFA_BASICA]]*1.5</f>
        <v>22.5</v>
      </c>
    </row>
    <row r="347" spans="1:63" x14ac:dyDescent="0.25">
      <c r="A347" s="18" t="s">
        <v>64</v>
      </c>
      <c r="B347" s="18" t="s">
        <v>2380</v>
      </c>
      <c r="C347" s="18" t="s">
        <v>2381</v>
      </c>
      <c r="D347" s="19">
        <v>44912</v>
      </c>
      <c r="E347" s="18" t="s">
        <v>67</v>
      </c>
      <c r="F347" s="18" t="s">
        <v>2382</v>
      </c>
      <c r="G347" s="18" t="s">
        <v>2383</v>
      </c>
      <c r="H347" s="18" t="s">
        <v>193</v>
      </c>
      <c r="I347" s="18" t="s">
        <v>160</v>
      </c>
      <c r="J347" s="18" t="s">
        <v>195</v>
      </c>
      <c r="K347" s="18" t="s">
        <v>132</v>
      </c>
      <c r="L347" s="20" t="s">
        <v>2384</v>
      </c>
      <c r="M347" s="18" t="s">
        <v>75</v>
      </c>
      <c r="N347" s="20" t="s">
        <v>2385</v>
      </c>
      <c r="O347" s="18" t="s">
        <v>77</v>
      </c>
      <c r="P347" s="18" t="s">
        <v>78</v>
      </c>
      <c r="Q347" s="19">
        <v>44914</v>
      </c>
      <c r="R347" s="21">
        <v>14.28</v>
      </c>
      <c r="S347" s="18" t="s">
        <v>79</v>
      </c>
      <c r="T347" s="18" t="s">
        <v>174</v>
      </c>
      <c r="U347" s="18" t="s">
        <v>83</v>
      </c>
      <c r="V347" s="18" t="s">
        <v>95</v>
      </c>
      <c r="W347" s="18" t="s">
        <v>83</v>
      </c>
      <c r="X347" s="18" t="s">
        <v>84</v>
      </c>
      <c r="Y347" s="18" t="s">
        <v>85</v>
      </c>
      <c r="Z347" s="18" t="s">
        <v>86</v>
      </c>
      <c r="AA347" s="18" t="s">
        <v>87</v>
      </c>
      <c r="AB347" s="18" t="s">
        <v>199</v>
      </c>
      <c r="AC347" s="18" t="s">
        <v>200</v>
      </c>
      <c r="AD347" s="18" t="s">
        <v>85</v>
      </c>
      <c r="AE347" s="18" t="s">
        <v>90</v>
      </c>
      <c r="AF347" s="18" t="s">
        <v>177</v>
      </c>
      <c r="AG347" s="18" t="s">
        <v>139</v>
      </c>
      <c r="AH347" s="18" t="s">
        <v>93</v>
      </c>
      <c r="AI347" s="18" t="s">
        <v>94</v>
      </c>
      <c r="AJ347" s="19">
        <v>44912</v>
      </c>
      <c r="AK347" s="22" t="s">
        <v>95</v>
      </c>
      <c r="AL347" s="18" t="s">
        <v>95</v>
      </c>
      <c r="AM347" s="18" t="s">
        <v>95</v>
      </c>
      <c r="AN347" s="18" t="s">
        <v>95</v>
      </c>
      <c r="AO347" s="18" t="s">
        <v>95</v>
      </c>
      <c r="AP347" s="18" t="s">
        <v>95</v>
      </c>
      <c r="AQ347" s="18" t="s">
        <v>95</v>
      </c>
      <c r="AR347" s="18" t="s">
        <v>95</v>
      </c>
      <c r="AS347" s="18" t="s">
        <v>83</v>
      </c>
      <c r="AT347" s="18" t="s">
        <v>83</v>
      </c>
      <c r="AU347" s="18" t="s">
        <v>81</v>
      </c>
      <c r="AV347" s="18" t="s">
        <v>95</v>
      </c>
      <c r="AW347" s="18" t="s">
        <v>95</v>
      </c>
      <c r="AX347" s="18"/>
      <c r="AY347" s="18" t="str">
        <f>Pospago[[#This Row],[NUM_TELEFONICO]]&amp;"POSPAGOSI"</f>
        <v>984047658POSPAGOSI</v>
      </c>
      <c r="AZ347" s="18" t="str">
        <f>VLOOKUP(Pospago[[#This Row],[NOM_PLAZA_FINAL]],[1]!Locales[#Data],3,0)</f>
        <v>TIENDA RECREO</v>
      </c>
      <c r="BA347" s="18" t="str">
        <f>IFERROR(VLOOKUP(Pospago[[#This Row],[USUARIO]],[1]!Personal[#Data],6,0),"EJECUTIVO NO REGISTRADO")</f>
        <v>MEDINA LAPO DAYANNA CAROLINA</v>
      </c>
      <c r="BB347" s="18" t="str">
        <f>Pospago[[#This Row],[TIPO_MOVIMIENTO]]&amp;" "&amp;Pospago[[#This Row],[FORMA_PAGO_FINAL]]</f>
        <v>ALTAS DOMICILIADO</v>
      </c>
      <c r="BC347" s="18">
        <f>DAY(Pospago[[#This Row],[FECHA_ALTA]])</f>
        <v>17</v>
      </c>
      <c r="BD347" s="18">
        <f>IF(Pospago[[#This Row],[TARIFA_BASICA]]=11.42,1,0)</f>
        <v>0</v>
      </c>
      <c r="BE347" s="18">
        <f>IF(Pospago[[#This Row],[PLANES TELEVENTAS]]="SI",1,0)</f>
        <v>0</v>
      </c>
      <c r="BF347" s="18">
        <f>1</f>
        <v>1</v>
      </c>
      <c r="BG347" s="18">
        <f>IF(OR(Pospago[[#This Row],[TARIFA_BASICA]]=11.42,Pospago[[#This Row],[PLANES TELEVENTAS]]="SI"),1,0)</f>
        <v>0</v>
      </c>
      <c r="BH347" s="18" t="str">
        <f>IF(MID(Pospago[[#This Row],[PlanDesc]],1,4) = "PLAN","POSPAGO",IF(MID(Pospago[[#This Row],[PlanDesc]],1,4)="FULL","FULL MEGAS","PREVIOPAGO"))</f>
        <v>PREVIOPAGO</v>
      </c>
      <c r="BI3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47" s="21">
        <f>Pospago[[#This Row],[TARIFA_BASICA]]*1.5</f>
        <v>21.419999999999998</v>
      </c>
    </row>
    <row r="348" spans="1:63" x14ac:dyDescent="0.25">
      <c r="A348" s="18" t="s">
        <v>64</v>
      </c>
      <c r="B348" s="18" t="s">
        <v>2386</v>
      </c>
      <c r="C348" s="18" t="s">
        <v>2387</v>
      </c>
      <c r="D348" s="19">
        <v>44903</v>
      </c>
      <c r="E348" s="18" t="s">
        <v>67</v>
      </c>
      <c r="F348" s="18" t="s">
        <v>2388</v>
      </c>
      <c r="G348" s="18" t="s">
        <v>2389</v>
      </c>
      <c r="H348" s="18" t="s">
        <v>70</v>
      </c>
      <c r="I348" s="18" t="s">
        <v>359</v>
      </c>
      <c r="J348" s="18" t="s">
        <v>360</v>
      </c>
      <c r="K348" s="18" t="s">
        <v>132</v>
      </c>
      <c r="L348" s="20" t="s">
        <v>2390</v>
      </c>
      <c r="M348" s="18" t="s">
        <v>75</v>
      </c>
      <c r="N348" s="20" t="s">
        <v>2391</v>
      </c>
      <c r="O348" s="18" t="s">
        <v>768</v>
      </c>
      <c r="P348" s="18" t="s">
        <v>78</v>
      </c>
      <c r="Q348" s="19">
        <v>44914</v>
      </c>
      <c r="R348" s="21">
        <v>14.28</v>
      </c>
      <c r="S348" s="18" t="s">
        <v>79</v>
      </c>
      <c r="T348" s="18" t="s">
        <v>232</v>
      </c>
      <c r="U348" s="18" t="s">
        <v>83</v>
      </c>
      <c r="V348" s="18" t="s">
        <v>95</v>
      </c>
      <c r="W348" s="18" t="s">
        <v>83</v>
      </c>
      <c r="X348" s="18" t="s">
        <v>84</v>
      </c>
      <c r="Y348" s="18" t="s">
        <v>85</v>
      </c>
      <c r="Z348" s="18" t="s">
        <v>86</v>
      </c>
      <c r="AA348" s="18" t="s">
        <v>87</v>
      </c>
      <c r="AB348" s="18" t="s">
        <v>233</v>
      </c>
      <c r="AC348" s="18" t="s">
        <v>234</v>
      </c>
      <c r="AD348" s="18" t="s">
        <v>85</v>
      </c>
      <c r="AE348" s="18" t="s">
        <v>90</v>
      </c>
      <c r="AF348" s="18" t="s">
        <v>235</v>
      </c>
      <c r="AG348" s="18" t="s">
        <v>139</v>
      </c>
      <c r="AH348" s="18" t="s">
        <v>93</v>
      </c>
      <c r="AI348" s="18" t="s">
        <v>94</v>
      </c>
      <c r="AJ348" s="19">
        <v>44903</v>
      </c>
      <c r="AK348" s="22" t="s">
        <v>95</v>
      </c>
      <c r="AL348" s="18" t="s">
        <v>95</v>
      </c>
      <c r="AM348" s="18" t="s">
        <v>95</v>
      </c>
      <c r="AN348" s="18" t="s">
        <v>95</v>
      </c>
      <c r="AO348" s="18" t="s">
        <v>95</v>
      </c>
      <c r="AP348" s="18" t="s">
        <v>95</v>
      </c>
      <c r="AQ348" s="18" t="s">
        <v>95</v>
      </c>
      <c r="AR348" s="18" t="s">
        <v>95</v>
      </c>
      <c r="AS348" s="18" t="s">
        <v>83</v>
      </c>
      <c r="AT348" s="18" t="s">
        <v>83</v>
      </c>
      <c r="AU348" s="18" t="s">
        <v>83</v>
      </c>
      <c r="AV348" s="18" t="s">
        <v>95</v>
      </c>
      <c r="AW348" s="18" t="s">
        <v>95</v>
      </c>
      <c r="AX348" s="18"/>
      <c r="AY348" s="18" t="str">
        <f>Pospago[[#This Row],[NUM_TELEFONICO]]&amp;"POSPAGOSI"</f>
        <v>984048169POSPAGOSI</v>
      </c>
      <c r="AZ348" s="18" t="str">
        <f>VLOOKUP(Pospago[[#This Row],[NOM_PLAZA_FINAL]],[1]!Locales[#Data],3,0)</f>
        <v>TIENDA CONDADO</v>
      </c>
      <c r="BA348" s="18" t="str">
        <f>IFERROR(VLOOKUP(Pospago[[#This Row],[USUARIO]],[1]!Personal[#Data],6,0),"EJECUTIVO NO REGISTRADO")</f>
        <v>ROSALES MALDONADO JESSICA GABRIELA</v>
      </c>
      <c r="BB348" s="18" t="str">
        <f>Pospago[[#This Row],[TIPO_MOVIMIENTO]]&amp;" "&amp;Pospago[[#This Row],[FORMA_PAGO_FINAL]]</f>
        <v>ALTAS DOMICILIADO</v>
      </c>
      <c r="BC348" s="18">
        <f>DAY(Pospago[[#This Row],[FECHA_ALTA]])</f>
        <v>8</v>
      </c>
      <c r="BD348" s="18">
        <f>IF(Pospago[[#This Row],[TARIFA_BASICA]]=11.42,1,0)</f>
        <v>0</v>
      </c>
      <c r="BE348" s="18">
        <f>IF(Pospago[[#This Row],[PLANES TELEVENTAS]]="SI",1,0)</f>
        <v>0</v>
      </c>
      <c r="BF348" s="18">
        <f>1</f>
        <v>1</v>
      </c>
      <c r="BG348" s="18">
        <f>IF(OR(Pospago[[#This Row],[TARIFA_BASICA]]=11.42,Pospago[[#This Row],[PLANES TELEVENTAS]]="SI"),1,0)</f>
        <v>0</v>
      </c>
      <c r="BH348" s="18" t="str">
        <f>IF(MID(Pospago[[#This Row],[PlanDesc]],1,4) = "PLAN","POSPAGO",IF(MID(Pospago[[#This Row],[PlanDesc]],1,4)="FULL","FULL MEGAS","PREVIOPAGO"))</f>
        <v>POSPAGO</v>
      </c>
      <c r="BI3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48" s="21">
        <f>Pospago[[#This Row],[TARIFA_BASICA]]*1.5</f>
        <v>21.419999999999998</v>
      </c>
    </row>
    <row r="349" spans="1:63" x14ac:dyDescent="0.25">
      <c r="A349" s="18" t="s">
        <v>154</v>
      </c>
      <c r="B349" s="18" t="s">
        <v>2392</v>
      </c>
      <c r="C349" s="18" t="s">
        <v>2393</v>
      </c>
      <c r="D349" s="19">
        <v>44903</v>
      </c>
      <c r="E349" s="18" t="s">
        <v>67</v>
      </c>
      <c r="F349" s="18" t="s">
        <v>2394</v>
      </c>
      <c r="G349" s="18" t="s">
        <v>2395</v>
      </c>
      <c r="H349" s="18" t="s">
        <v>159</v>
      </c>
      <c r="I349" s="18" t="s">
        <v>160</v>
      </c>
      <c r="J349" s="18" t="s">
        <v>161</v>
      </c>
      <c r="K349" s="18" t="s">
        <v>95</v>
      </c>
      <c r="L349" s="20" t="s">
        <v>2396</v>
      </c>
      <c r="M349" s="18" t="s">
        <v>75</v>
      </c>
      <c r="N349" s="20" t="s">
        <v>2397</v>
      </c>
      <c r="O349" s="18" t="s">
        <v>164</v>
      </c>
      <c r="P349" s="18" t="s">
        <v>78</v>
      </c>
      <c r="Q349" s="19">
        <v>44914</v>
      </c>
      <c r="R349" s="21">
        <v>14.28</v>
      </c>
      <c r="S349" s="18" t="s">
        <v>79</v>
      </c>
      <c r="T349" s="18" t="s">
        <v>135</v>
      </c>
      <c r="U349" s="18" t="s">
        <v>83</v>
      </c>
      <c r="V349" s="18" t="s">
        <v>95</v>
      </c>
      <c r="W349" s="18" t="s">
        <v>95</v>
      </c>
      <c r="X349" s="18" t="s">
        <v>84</v>
      </c>
      <c r="Y349" s="18" t="s">
        <v>85</v>
      </c>
      <c r="Z349" s="18" t="s">
        <v>86</v>
      </c>
      <c r="AA349" s="18" t="s">
        <v>87</v>
      </c>
      <c r="AB349" s="18" t="s">
        <v>478</v>
      </c>
      <c r="AC349" s="18" t="s">
        <v>479</v>
      </c>
      <c r="AD349" s="18" t="s">
        <v>85</v>
      </c>
      <c r="AE349" s="18" t="s">
        <v>90</v>
      </c>
      <c r="AF349" s="18" t="s">
        <v>138</v>
      </c>
      <c r="AG349" s="18" t="s">
        <v>139</v>
      </c>
      <c r="AH349" s="18" t="s">
        <v>165</v>
      </c>
      <c r="AI349" s="18" t="s">
        <v>94</v>
      </c>
      <c r="AJ349" s="19">
        <v>44903</v>
      </c>
      <c r="AK349" s="22" t="s">
        <v>95</v>
      </c>
      <c r="AL349" s="18" t="s">
        <v>95</v>
      </c>
      <c r="AM349" s="18" t="s">
        <v>95</v>
      </c>
      <c r="AN349" s="18" t="s">
        <v>95</v>
      </c>
      <c r="AO349" s="18" t="s">
        <v>95</v>
      </c>
      <c r="AP349" s="18" t="s">
        <v>95</v>
      </c>
      <c r="AQ349" s="18" t="s">
        <v>95</v>
      </c>
      <c r="AR349" s="18" t="s">
        <v>95</v>
      </c>
      <c r="AS349" s="18" t="s">
        <v>83</v>
      </c>
      <c r="AT349" s="18" t="s">
        <v>83</v>
      </c>
      <c r="AU349" s="18" t="s">
        <v>81</v>
      </c>
      <c r="AV349" s="18" t="s">
        <v>95</v>
      </c>
      <c r="AW349" s="18" t="s">
        <v>95</v>
      </c>
      <c r="AX349" s="18"/>
      <c r="AY349" s="18" t="str">
        <f>Pospago[[#This Row],[NUM_TELEFONICO]]&amp;"POSPAGOSI"</f>
        <v>984066157POSPAGOSI</v>
      </c>
      <c r="AZ349" s="18" t="str">
        <f>VLOOKUP(Pospago[[#This Row],[NOM_PLAZA_FINAL]],[1]!Locales[#Data],3,0)</f>
        <v>TIENDA AMERICA</v>
      </c>
      <c r="BA349" s="18" t="str">
        <f>IFERROR(VLOOKUP(Pospago[[#This Row],[USUARIO]],[1]!Personal[#Data],6,0),"EJECUTIVO NO REGISTRADO")</f>
        <v>REINO TUFINO PAULTEH KATHERINE</v>
      </c>
      <c r="BB349" s="18" t="str">
        <f>Pospago[[#This Row],[TIPO_MOVIMIENTO]]&amp;" "&amp;Pospago[[#This Row],[FORMA_PAGO_FINAL]]</f>
        <v>TRANSFERENCIAS DOMICILIADO</v>
      </c>
      <c r="BC349" s="18">
        <f>DAY(Pospago[[#This Row],[FECHA_ALTA]])</f>
        <v>8</v>
      </c>
      <c r="BD349" s="18">
        <f>IF(Pospago[[#This Row],[TARIFA_BASICA]]=11.42,1,0)</f>
        <v>0</v>
      </c>
      <c r="BE349" s="18">
        <f>IF(Pospago[[#This Row],[PLANES TELEVENTAS]]="SI",1,0)</f>
        <v>0</v>
      </c>
      <c r="BF349" s="18">
        <f>1</f>
        <v>1</v>
      </c>
      <c r="BG349" s="18">
        <f>IF(OR(Pospago[[#This Row],[TARIFA_BASICA]]=11.42,Pospago[[#This Row],[PLANES TELEVENTAS]]="SI"),1,0)</f>
        <v>0</v>
      </c>
      <c r="BH349" s="18" t="str">
        <f>IF(MID(Pospago[[#This Row],[PlanDesc]],1,4) = "PLAN","POSPAGO",IF(MID(Pospago[[#This Row],[PlanDesc]],1,4)="FULL","FULL MEGAS","PREVIOPAGO"))</f>
        <v>PREVIOPAGO</v>
      </c>
      <c r="BI3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49" s="21">
        <f>Pospago[[#This Row],[TARIFA_BASICA]]*1.5</f>
        <v>21.419999999999998</v>
      </c>
    </row>
    <row r="350" spans="1:63" x14ac:dyDescent="0.25">
      <c r="A350" s="18" t="s">
        <v>154</v>
      </c>
      <c r="B350" s="18" t="s">
        <v>2398</v>
      </c>
      <c r="C350" s="18" t="s">
        <v>2399</v>
      </c>
      <c r="D350" s="19">
        <v>44913</v>
      </c>
      <c r="E350" s="18" t="s">
        <v>67</v>
      </c>
      <c r="F350" s="18" t="s">
        <v>2400</v>
      </c>
      <c r="G350" s="18" t="s">
        <v>2401</v>
      </c>
      <c r="H350" s="18" t="s">
        <v>159</v>
      </c>
      <c r="I350" s="18" t="s">
        <v>160</v>
      </c>
      <c r="J350" s="18" t="s">
        <v>161</v>
      </c>
      <c r="K350" s="18" t="s">
        <v>132</v>
      </c>
      <c r="L350" s="20" t="s">
        <v>2402</v>
      </c>
      <c r="M350" s="18" t="s">
        <v>75</v>
      </c>
      <c r="N350" s="20" t="s">
        <v>2403</v>
      </c>
      <c r="O350" s="18" t="s">
        <v>164</v>
      </c>
      <c r="P350" s="18" t="s">
        <v>78</v>
      </c>
      <c r="Q350" s="19">
        <v>44914</v>
      </c>
      <c r="R350" s="21">
        <v>14.28</v>
      </c>
      <c r="S350" s="18" t="s">
        <v>79</v>
      </c>
      <c r="T350" s="18" t="s">
        <v>174</v>
      </c>
      <c r="U350" s="18" t="s">
        <v>83</v>
      </c>
      <c r="V350" s="18" t="s">
        <v>95</v>
      </c>
      <c r="W350" s="18" t="s">
        <v>95</v>
      </c>
      <c r="X350" s="18" t="s">
        <v>84</v>
      </c>
      <c r="Y350" s="18" t="s">
        <v>85</v>
      </c>
      <c r="Z350" s="18" t="s">
        <v>86</v>
      </c>
      <c r="AA350" s="18" t="s">
        <v>87</v>
      </c>
      <c r="AB350" s="18" t="s">
        <v>396</v>
      </c>
      <c r="AC350" s="18" t="s">
        <v>397</v>
      </c>
      <c r="AD350" s="18" t="s">
        <v>85</v>
      </c>
      <c r="AE350" s="18" t="s">
        <v>90</v>
      </c>
      <c r="AF350" s="18" t="s">
        <v>177</v>
      </c>
      <c r="AG350" s="18" t="s">
        <v>139</v>
      </c>
      <c r="AH350" s="18" t="s">
        <v>165</v>
      </c>
      <c r="AI350" s="18" t="s">
        <v>94</v>
      </c>
      <c r="AJ350" s="19">
        <v>44913</v>
      </c>
      <c r="AK350" s="22" t="s">
        <v>95</v>
      </c>
      <c r="AL350" s="18" t="s">
        <v>95</v>
      </c>
      <c r="AM350" s="18" t="s">
        <v>95</v>
      </c>
      <c r="AN350" s="18" t="s">
        <v>95</v>
      </c>
      <c r="AO350" s="18" t="s">
        <v>95</v>
      </c>
      <c r="AP350" s="18" t="s">
        <v>95</v>
      </c>
      <c r="AQ350" s="18" t="s">
        <v>95</v>
      </c>
      <c r="AR350" s="18" t="s">
        <v>95</v>
      </c>
      <c r="AS350" s="18" t="s">
        <v>83</v>
      </c>
      <c r="AT350" s="18" t="s">
        <v>83</v>
      </c>
      <c r="AU350" s="18" t="s">
        <v>81</v>
      </c>
      <c r="AV350" s="18" t="s">
        <v>95</v>
      </c>
      <c r="AW350" s="18" t="s">
        <v>95</v>
      </c>
      <c r="AX350" s="18"/>
      <c r="AY350" s="18" t="str">
        <f>Pospago[[#This Row],[NUM_TELEFONICO]]&amp;"POSPAGOSI"</f>
        <v>984066900POSPAGOSI</v>
      </c>
      <c r="AZ350" s="18" t="str">
        <f>VLOOKUP(Pospago[[#This Row],[NOM_PLAZA_FINAL]],[1]!Locales[#Data],3,0)</f>
        <v>TIENDA RECREO</v>
      </c>
      <c r="BA350" s="18" t="str">
        <f>IFERROR(VLOOKUP(Pospago[[#This Row],[USUARIO]],[1]!Personal[#Data],6,0),"EJECUTIVO NO REGISTRADO")</f>
        <v>VINUEZA VELASCO ANGY DAYANA</v>
      </c>
      <c r="BB350" s="18" t="str">
        <f>Pospago[[#This Row],[TIPO_MOVIMIENTO]]&amp;" "&amp;Pospago[[#This Row],[FORMA_PAGO_FINAL]]</f>
        <v>TRANSFERENCIAS DOMICILIADO</v>
      </c>
      <c r="BC350" s="18">
        <f>DAY(Pospago[[#This Row],[FECHA_ALTA]])</f>
        <v>18</v>
      </c>
      <c r="BD350" s="18">
        <f>IF(Pospago[[#This Row],[TARIFA_BASICA]]=11.42,1,0)</f>
        <v>0</v>
      </c>
      <c r="BE350" s="18">
        <f>IF(Pospago[[#This Row],[PLANES TELEVENTAS]]="SI",1,0)</f>
        <v>0</v>
      </c>
      <c r="BF350" s="18">
        <f>1</f>
        <v>1</v>
      </c>
      <c r="BG350" s="18">
        <f>IF(OR(Pospago[[#This Row],[TARIFA_BASICA]]=11.42,Pospago[[#This Row],[PLANES TELEVENTAS]]="SI"),1,0)</f>
        <v>0</v>
      </c>
      <c r="BH350" s="18" t="str">
        <f>IF(MID(Pospago[[#This Row],[PlanDesc]],1,4) = "PLAN","POSPAGO",IF(MID(Pospago[[#This Row],[PlanDesc]],1,4)="FULL","FULL MEGAS","PREVIOPAGO"))</f>
        <v>PREVIOPAGO</v>
      </c>
      <c r="BI3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0" s="21">
        <f>Pospago[[#This Row],[TARIFA_BASICA]]*1.5</f>
        <v>21.419999999999998</v>
      </c>
    </row>
    <row r="351" spans="1:63" x14ac:dyDescent="0.25">
      <c r="A351" s="18" t="s">
        <v>154</v>
      </c>
      <c r="B351" s="18" t="s">
        <v>2404</v>
      </c>
      <c r="C351" s="18" t="s">
        <v>2405</v>
      </c>
      <c r="D351" s="19">
        <v>44903</v>
      </c>
      <c r="E351" s="18" t="s">
        <v>67</v>
      </c>
      <c r="F351" s="18" t="s">
        <v>2406</v>
      </c>
      <c r="G351" s="18" t="s">
        <v>2407</v>
      </c>
      <c r="H351" s="18" t="s">
        <v>159</v>
      </c>
      <c r="I351" s="18" t="s">
        <v>160</v>
      </c>
      <c r="J351" s="18" t="s">
        <v>161</v>
      </c>
      <c r="K351" s="18" t="s">
        <v>73</v>
      </c>
      <c r="L351" s="20" t="s">
        <v>2408</v>
      </c>
      <c r="M351" s="18" t="s">
        <v>75</v>
      </c>
      <c r="N351" s="20" t="s">
        <v>2409</v>
      </c>
      <c r="O351" s="18" t="s">
        <v>164</v>
      </c>
      <c r="P351" s="18" t="s">
        <v>78</v>
      </c>
      <c r="Q351" s="19">
        <v>44914</v>
      </c>
      <c r="R351" s="21">
        <v>14.28</v>
      </c>
      <c r="S351" s="18" t="s">
        <v>79</v>
      </c>
      <c r="T351" s="18" t="s">
        <v>135</v>
      </c>
      <c r="U351" s="18" t="s">
        <v>83</v>
      </c>
      <c r="V351" s="18" t="s">
        <v>95</v>
      </c>
      <c r="W351" s="18" t="s">
        <v>95</v>
      </c>
      <c r="X351" s="18" t="s">
        <v>84</v>
      </c>
      <c r="Y351" s="18" t="s">
        <v>85</v>
      </c>
      <c r="Z351" s="18" t="s">
        <v>86</v>
      </c>
      <c r="AA351" s="18" t="s">
        <v>87</v>
      </c>
      <c r="AB351" s="18" t="s">
        <v>136</v>
      </c>
      <c r="AC351" s="18" t="s">
        <v>137</v>
      </c>
      <c r="AD351" s="18" t="s">
        <v>85</v>
      </c>
      <c r="AE351" s="18" t="s">
        <v>90</v>
      </c>
      <c r="AF351" s="18" t="s">
        <v>138</v>
      </c>
      <c r="AG351" s="18" t="s">
        <v>139</v>
      </c>
      <c r="AH351" s="18" t="s">
        <v>165</v>
      </c>
      <c r="AI351" s="18" t="s">
        <v>94</v>
      </c>
      <c r="AJ351" s="19">
        <v>44903</v>
      </c>
      <c r="AK351" s="22" t="s">
        <v>95</v>
      </c>
      <c r="AL351" s="18" t="s">
        <v>95</v>
      </c>
      <c r="AM351" s="18" t="s">
        <v>95</v>
      </c>
      <c r="AN351" s="18" t="s">
        <v>95</v>
      </c>
      <c r="AO351" s="18" t="s">
        <v>95</v>
      </c>
      <c r="AP351" s="18" t="s">
        <v>95</v>
      </c>
      <c r="AQ351" s="18" t="s">
        <v>95</v>
      </c>
      <c r="AR351" s="18" t="s">
        <v>95</v>
      </c>
      <c r="AS351" s="18" t="s">
        <v>83</v>
      </c>
      <c r="AT351" s="18" t="s">
        <v>83</v>
      </c>
      <c r="AU351" s="18" t="s">
        <v>81</v>
      </c>
      <c r="AV351" s="18" t="s">
        <v>95</v>
      </c>
      <c r="AW351" s="18" t="s">
        <v>95</v>
      </c>
      <c r="AX351" s="18"/>
      <c r="AY351" s="18" t="str">
        <f>Pospago[[#This Row],[NUM_TELEFONICO]]&amp;"POSPAGOSI"</f>
        <v>984067529POSPAGOSI</v>
      </c>
      <c r="AZ351" s="18" t="str">
        <f>VLOOKUP(Pospago[[#This Row],[NOM_PLAZA_FINAL]],[1]!Locales[#Data],3,0)</f>
        <v>TIENDA AMERICA</v>
      </c>
      <c r="BA351" s="18" t="str">
        <f>IFERROR(VLOOKUP(Pospago[[#This Row],[USUARIO]],[1]!Personal[#Data],6,0),"EJECUTIVO NO REGISTRADO")</f>
        <v>SALVATIERRA GUERRA JULIAN ENRIQUE</v>
      </c>
      <c r="BB351" s="18" t="str">
        <f>Pospago[[#This Row],[TIPO_MOVIMIENTO]]&amp;" "&amp;Pospago[[#This Row],[FORMA_PAGO_FINAL]]</f>
        <v>TRANSFERENCIAS DOMICILIADO</v>
      </c>
      <c r="BC351" s="18">
        <f>DAY(Pospago[[#This Row],[FECHA_ALTA]])</f>
        <v>8</v>
      </c>
      <c r="BD351" s="18">
        <f>IF(Pospago[[#This Row],[TARIFA_BASICA]]=11.42,1,0)</f>
        <v>0</v>
      </c>
      <c r="BE351" s="18">
        <f>IF(Pospago[[#This Row],[PLANES TELEVENTAS]]="SI",1,0)</f>
        <v>0</v>
      </c>
      <c r="BF351" s="18">
        <f>1</f>
        <v>1</v>
      </c>
      <c r="BG351" s="18">
        <f>IF(OR(Pospago[[#This Row],[TARIFA_BASICA]]=11.42,Pospago[[#This Row],[PLANES TELEVENTAS]]="SI"),1,0)</f>
        <v>0</v>
      </c>
      <c r="BH351" s="18" t="str">
        <f>IF(MID(Pospago[[#This Row],[PlanDesc]],1,4) = "PLAN","POSPAGO",IF(MID(Pospago[[#This Row],[PlanDesc]],1,4)="FULL","FULL MEGAS","PREVIOPAGO"))</f>
        <v>PREVIOPAGO</v>
      </c>
      <c r="BI3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1" s="21">
        <f>Pospago[[#This Row],[TARIFA_BASICA]]*1.5</f>
        <v>21.419999999999998</v>
      </c>
    </row>
    <row r="352" spans="1:63" x14ac:dyDescent="0.25">
      <c r="A352" s="18" t="s">
        <v>154</v>
      </c>
      <c r="B352" s="18" t="s">
        <v>2410</v>
      </c>
      <c r="C352" s="18" t="s">
        <v>2411</v>
      </c>
      <c r="D352" s="19">
        <v>44901</v>
      </c>
      <c r="E352" s="18" t="s">
        <v>67</v>
      </c>
      <c r="F352" s="18" t="s">
        <v>2412</v>
      </c>
      <c r="G352" s="18" t="s">
        <v>2413</v>
      </c>
      <c r="H352" s="18" t="s">
        <v>159</v>
      </c>
      <c r="I352" s="18" t="s">
        <v>160</v>
      </c>
      <c r="J352" s="18" t="s">
        <v>161</v>
      </c>
      <c r="K352" s="18" t="s">
        <v>73</v>
      </c>
      <c r="L352" s="20" t="s">
        <v>2414</v>
      </c>
      <c r="M352" s="18" t="s">
        <v>75</v>
      </c>
      <c r="N352" s="20" t="s">
        <v>2415</v>
      </c>
      <c r="O352" s="18" t="s">
        <v>164</v>
      </c>
      <c r="P352" s="18" t="s">
        <v>78</v>
      </c>
      <c r="Q352" s="19">
        <v>44914</v>
      </c>
      <c r="R352" s="21">
        <v>14.28</v>
      </c>
      <c r="S352" s="18" t="s">
        <v>79</v>
      </c>
      <c r="T352" s="18" t="s">
        <v>232</v>
      </c>
      <c r="U352" s="18" t="s">
        <v>83</v>
      </c>
      <c r="V352" s="18" t="s">
        <v>95</v>
      </c>
      <c r="W352" s="18" t="s">
        <v>95</v>
      </c>
      <c r="X352" s="18" t="s">
        <v>84</v>
      </c>
      <c r="Y352" s="18" t="s">
        <v>85</v>
      </c>
      <c r="Z352" s="18" t="s">
        <v>86</v>
      </c>
      <c r="AA352" s="18" t="s">
        <v>87</v>
      </c>
      <c r="AB352" s="18" t="s">
        <v>280</v>
      </c>
      <c r="AC352" s="18" t="s">
        <v>281</v>
      </c>
      <c r="AD352" s="18" t="s">
        <v>85</v>
      </c>
      <c r="AE352" s="18" t="s">
        <v>90</v>
      </c>
      <c r="AF352" s="18" t="s">
        <v>235</v>
      </c>
      <c r="AG352" s="18" t="s">
        <v>139</v>
      </c>
      <c r="AH352" s="18" t="s">
        <v>165</v>
      </c>
      <c r="AI352" s="18" t="s">
        <v>94</v>
      </c>
      <c r="AJ352" s="19">
        <v>44901</v>
      </c>
      <c r="AK352" s="22" t="s">
        <v>95</v>
      </c>
      <c r="AL352" s="18" t="s">
        <v>95</v>
      </c>
      <c r="AM352" s="18" t="s">
        <v>95</v>
      </c>
      <c r="AN352" s="18" t="s">
        <v>95</v>
      </c>
      <c r="AO352" s="18" t="s">
        <v>95</v>
      </c>
      <c r="AP352" s="18" t="s">
        <v>95</v>
      </c>
      <c r="AQ352" s="18" t="s">
        <v>95</v>
      </c>
      <c r="AR352" s="18" t="s">
        <v>95</v>
      </c>
      <c r="AS352" s="18" t="s">
        <v>83</v>
      </c>
      <c r="AT352" s="18" t="s">
        <v>83</v>
      </c>
      <c r="AU352" s="18" t="s">
        <v>81</v>
      </c>
      <c r="AV352" s="18" t="s">
        <v>95</v>
      </c>
      <c r="AW352" s="18" t="s">
        <v>95</v>
      </c>
      <c r="AX352" s="18"/>
      <c r="AY352" s="18" t="str">
        <f>Pospago[[#This Row],[NUM_TELEFONICO]]&amp;"POSPAGOSI"</f>
        <v>984068453POSPAGOSI</v>
      </c>
      <c r="AZ352" s="18" t="str">
        <f>VLOOKUP(Pospago[[#This Row],[NOM_PLAZA_FINAL]],[1]!Locales[#Data],3,0)</f>
        <v>TIENDA CONDADO</v>
      </c>
      <c r="BA352" s="18" t="str">
        <f>IFERROR(VLOOKUP(Pospago[[#This Row],[USUARIO]],[1]!Personal[#Data],6,0),"EJECUTIVO NO REGISTRADO")</f>
        <v>GUACHAMIN CAZA HUGO ADRIAN</v>
      </c>
      <c r="BB352" s="18" t="str">
        <f>Pospago[[#This Row],[TIPO_MOVIMIENTO]]&amp;" "&amp;Pospago[[#This Row],[FORMA_PAGO_FINAL]]</f>
        <v>TRANSFERENCIAS DOMICILIADO</v>
      </c>
      <c r="BC352" s="18">
        <f>DAY(Pospago[[#This Row],[FECHA_ALTA]])</f>
        <v>6</v>
      </c>
      <c r="BD352" s="18">
        <f>IF(Pospago[[#This Row],[TARIFA_BASICA]]=11.42,1,0)</f>
        <v>0</v>
      </c>
      <c r="BE352" s="18">
        <f>IF(Pospago[[#This Row],[PLANES TELEVENTAS]]="SI",1,0)</f>
        <v>0</v>
      </c>
      <c r="BF352" s="18">
        <f>1</f>
        <v>1</v>
      </c>
      <c r="BG352" s="18">
        <f>IF(OR(Pospago[[#This Row],[TARIFA_BASICA]]=11.42,Pospago[[#This Row],[PLANES TELEVENTAS]]="SI"),1,0)</f>
        <v>0</v>
      </c>
      <c r="BH352" s="18" t="str">
        <f>IF(MID(Pospago[[#This Row],[PlanDesc]],1,4) = "PLAN","POSPAGO",IF(MID(Pospago[[#This Row],[PlanDesc]],1,4)="FULL","FULL MEGAS","PREVIOPAGO"))</f>
        <v>PREVIOPAGO</v>
      </c>
      <c r="BI3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2" s="21">
        <f>Pospago[[#This Row],[TARIFA_BASICA]]*1.5</f>
        <v>21.419999999999998</v>
      </c>
    </row>
    <row r="353" spans="1:63" x14ac:dyDescent="0.25">
      <c r="A353" s="18" t="s">
        <v>154</v>
      </c>
      <c r="B353" s="18" t="s">
        <v>2416</v>
      </c>
      <c r="C353" s="18" t="s">
        <v>2417</v>
      </c>
      <c r="D353" s="19">
        <v>44908</v>
      </c>
      <c r="E353" s="18" t="s">
        <v>67</v>
      </c>
      <c r="F353" s="18" t="s">
        <v>2418</v>
      </c>
      <c r="G353" s="18" t="s">
        <v>2419</v>
      </c>
      <c r="H353" s="18" t="s">
        <v>159</v>
      </c>
      <c r="I353" s="18" t="s">
        <v>194</v>
      </c>
      <c r="J353" s="18" t="s">
        <v>268</v>
      </c>
      <c r="K353" s="18" t="s">
        <v>73</v>
      </c>
      <c r="L353" s="20" t="s">
        <v>2420</v>
      </c>
      <c r="M353" s="18" t="s">
        <v>75</v>
      </c>
      <c r="N353" s="20" t="s">
        <v>2421</v>
      </c>
      <c r="O353" s="18" t="s">
        <v>164</v>
      </c>
      <c r="P353" s="18" t="s">
        <v>78</v>
      </c>
      <c r="Q353" s="19">
        <v>44914</v>
      </c>
      <c r="R353" s="21">
        <v>14.28</v>
      </c>
      <c r="S353" s="18" t="s">
        <v>79</v>
      </c>
      <c r="T353" s="18" t="s">
        <v>232</v>
      </c>
      <c r="U353" s="18" t="s">
        <v>83</v>
      </c>
      <c r="V353" s="18" t="s">
        <v>95</v>
      </c>
      <c r="W353" s="18" t="s">
        <v>95</v>
      </c>
      <c r="X353" s="18" t="s">
        <v>84</v>
      </c>
      <c r="Y353" s="18" t="s">
        <v>85</v>
      </c>
      <c r="Z353" s="18" t="s">
        <v>86</v>
      </c>
      <c r="AA353" s="18" t="s">
        <v>87</v>
      </c>
      <c r="AB353" s="18" t="s">
        <v>443</v>
      </c>
      <c r="AC353" s="18" t="s">
        <v>444</v>
      </c>
      <c r="AD353" s="18" t="s">
        <v>85</v>
      </c>
      <c r="AE353" s="18" t="s">
        <v>90</v>
      </c>
      <c r="AF353" s="18" t="s">
        <v>235</v>
      </c>
      <c r="AG353" s="18" t="s">
        <v>139</v>
      </c>
      <c r="AH353" s="18" t="s">
        <v>165</v>
      </c>
      <c r="AI353" s="18" t="s">
        <v>94</v>
      </c>
      <c r="AJ353" s="19">
        <v>44908</v>
      </c>
      <c r="AK353" s="22" t="s">
        <v>95</v>
      </c>
      <c r="AL353" s="18" t="s">
        <v>95</v>
      </c>
      <c r="AM353" s="18" t="s">
        <v>95</v>
      </c>
      <c r="AN353" s="18" t="s">
        <v>95</v>
      </c>
      <c r="AO353" s="18" t="s">
        <v>95</v>
      </c>
      <c r="AP353" s="18" t="s">
        <v>95</v>
      </c>
      <c r="AQ353" s="18" t="s">
        <v>95</v>
      </c>
      <c r="AR353" s="18" t="s">
        <v>95</v>
      </c>
      <c r="AS353" s="18" t="s">
        <v>83</v>
      </c>
      <c r="AT353" s="18" t="s">
        <v>81</v>
      </c>
      <c r="AU353" s="18" t="s">
        <v>81</v>
      </c>
      <c r="AV353" s="18" t="s">
        <v>95</v>
      </c>
      <c r="AW353" s="18" t="s">
        <v>95</v>
      </c>
      <c r="AX353" s="18"/>
      <c r="AY353" s="18" t="str">
        <f>Pospago[[#This Row],[NUM_TELEFONICO]]&amp;"POSPAGOSI"</f>
        <v>984072094POSPAGOSI</v>
      </c>
      <c r="AZ353" s="18" t="str">
        <f>VLOOKUP(Pospago[[#This Row],[NOM_PLAZA_FINAL]],[1]!Locales[#Data],3,0)</f>
        <v>TIENDA CONDADO</v>
      </c>
      <c r="BA353" s="18" t="str">
        <f>IFERROR(VLOOKUP(Pospago[[#This Row],[USUARIO]],[1]!Personal[#Data],6,0),"EJECUTIVO NO REGISTRADO")</f>
        <v>JARAMILLO ESPINOZA KENIA KATRINA</v>
      </c>
      <c r="BB353" s="18" t="str">
        <f>Pospago[[#This Row],[TIPO_MOVIMIENTO]]&amp;" "&amp;Pospago[[#This Row],[FORMA_PAGO_FINAL]]</f>
        <v>TRANSFERENCIAS DOMICILIADO</v>
      </c>
      <c r="BC353" s="18">
        <f>DAY(Pospago[[#This Row],[FECHA_ALTA]])</f>
        <v>13</v>
      </c>
      <c r="BD353" s="18">
        <f>IF(Pospago[[#This Row],[TARIFA_BASICA]]=11.42,1,0)</f>
        <v>0</v>
      </c>
      <c r="BE353" s="18">
        <f>IF(Pospago[[#This Row],[PLANES TELEVENTAS]]="SI",1,0)</f>
        <v>1</v>
      </c>
      <c r="BF353" s="18">
        <f>1</f>
        <v>1</v>
      </c>
      <c r="BG353" s="18">
        <f>IF(OR(Pospago[[#This Row],[TARIFA_BASICA]]=11.42,Pospago[[#This Row],[PLANES TELEVENTAS]]="SI"),1,0)</f>
        <v>1</v>
      </c>
      <c r="BH353" s="18" t="str">
        <f>IF(MID(Pospago[[#This Row],[PlanDesc]],1,4) = "PLAN","POSPAGO",IF(MID(Pospago[[#This Row],[PlanDesc]],1,4)="FULL","FULL MEGAS","PREVIOPAGO"))</f>
        <v>PREVIOPAGO</v>
      </c>
      <c r="BI3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3" s="21">
        <f>Pospago[[#This Row],[TARIFA_BASICA]]*1.5</f>
        <v>21.419999999999998</v>
      </c>
    </row>
    <row r="354" spans="1:63" x14ac:dyDescent="0.25">
      <c r="A354" s="18" t="s">
        <v>154</v>
      </c>
      <c r="B354" s="18" t="s">
        <v>2422</v>
      </c>
      <c r="C354" s="18" t="s">
        <v>2423</v>
      </c>
      <c r="D354" s="19">
        <v>44899</v>
      </c>
      <c r="E354" s="18" t="s">
        <v>67</v>
      </c>
      <c r="F354" s="18" t="s">
        <v>2424</v>
      </c>
      <c r="G354" s="18" t="s">
        <v>2425</v>
      </c>
      <c r="H354" s="18" t="s">
        <v>159</v>
      </c>
      <c r="I354" s="18" t="s">
        <v>160</v>
      </c>
      <c r="J354" s="18" t="s">
        <v>161</v>
      </c>
      <c r="K354" s="18" t="s">
        <v>73</v>
      </c>
      <c r="L354" s="20" t="s">
        <v>2426</v>
      </c>
      <c r="M354" s="18" t="s">
        <v>75</v>
      </c>
      <c r="N354" s="20" t="s">
        <v>2427</v>
      </c>
      <c r="O354" s="18" t="s">
        <v>164</v>
      </c>
      <c r="P354" s="18" t="s">
        <v>78</v>
      </c>
      <c r="Q354" s="19">
        <v>44914</v>
      </c>
      <c r="R354" s="21">
        <v>14.28</v>
      </c>
      <c r="S354" s="18" t="s">
        <v>79</v>
      </c>
      <c r="T354" s="18" t="s">
        <v>174</v>
      </c>
      <c r="U354" s="18" t="s">
        <v>83</v>
      </c>
      <c r="V354" s="18" t="s">
        <v>95</v>
      </c>
      <c r="W354" s="18" t="s">
        <v>95</v>
      </c>
      <c r="X354" s="18" t="s">
        <v>84</v>
      </c>
      <c r="Y354" s="18" t="s">
        <v>85</v>
      </c>
      <c r="Z354" s="18" t="s">
        <v>86</v>
      </c>
      <c r="AA354" s="18" t="s">
        <v>87</v>
      </c>
      <c r="AB354" s="18" t="s">
        <v>303</v>
      </c>
      <c r="AC354" s="18" t="s">
        <v>304</v>
      </c>
      <c r="AD354" s="18" t="s">
        <v>85</v>
      </c>
      <c r="AE354" s="18" t="s">
        <v>90</v>
      </c>
      <c r="AF354" s="18" t="s">
        <v>177</v>
      </c>
      <c r="AG354" s="18" t="s">
        <v>139</v>
      </c>
      <c r="AH354" s="18" t="s">
        <v>165</v>
      </c>
      <c r="AI354" s="18" t="s">
        <v>94</v>
      </c>
      <c r="AJ354" s="19">
        <v>44899</v>
      </c>
      <c r="AK354" s="22" t="s">
        <v>95</v>
      </c>
      <c r="AL354" s="18" t="s">
        <v>95</v>
      </c>
      <c r="AM354" s="18" t="s">
        <v>95</v>
      </c>
      <c r="AN354" s="18" t="s">
        <v>95</v>
      </c>
      <c r="AO354" s="18" t="s">
        <v>95</v>
      </c>
      <c r="AP354" s="18" t="s">
        <v>95</v>
      </c>
      <c r="AQ354" s="18" t="s">
        <v>95</v>
      </c>
      <c r="AR354" s="18" t="s">
        <v>95</v>
      </c>
      <c r="AS354" s="18" t="s">
        <v>83</v>
      </c>
      <c r="AT354" s="18" t="s">
        <v>83</v>
      </c>
      <c r="AU354" s="18" t="s">
        <v>81</v>
      </c>
      <c r="AV354" s="18" t="s">
        <v>95</v>
      </c>
      <c r="AW354" s="18" t="s">
        <v>95</v>
      </c>
      <c r="AX354" s="18"/>
      <c r="AY354" s="18" t="str">
        <f>Pospago[[#This Row],[NUM_TELEFONICO]]&amp;"POSPAGOSI"</f>
        <v>984076552POSPAGOSI</v>
      </c>
      <c r="AZ354" s="18" t="str">
        <f>VLOOKUP(Pospago[[#This Row],[NOM_PLAZA_FINAL]],[1]!Locales[#Data],3,0)</f>
        <v>TIENDA RECREO</v>
      </c>
      <c r="BA354" s="18" t="str">
        <f>IFERROR(VLOOKUP(Pospago[[#This Row],[USUARIO]],[1]!Personal[#Data],6,0),"EJECUTIVO NO REGISTRADO")</f>
        <v>CORDOVA GAIBOR JONATHAN HERNAN</v>
      </c>
      <c r="BB354" s="18" t="str">
        <f>Pospago[[#This Row],[TIPO_MOVIMIENTO]]&amp;" "&amp;Pospago[[#This Row],[FORMA_PAGO_FINAL]]</f>
        <v>TRANSFERENCIAS DOMICILIADO</v>
      </c>
      <c r="BC354" s="18">
        <f>DAY(Pospago[[#This Row],[FECHA_ALTA]])</f>
        <v>4</v>
      </c>
      <c r="BD354" s="18">
        <f>IF(Pospago[[#This Row],[TARIFA_BASICA]]=11.42,1,0)</f>
        <v>0</v>
      </c>
      <c r="BE354" s="18">
        <f>IF(Pospago[[#This Row],[PLANES TELEVENTAS]]="SI",1,0)</f>
        <v>0</v>
      </c>
      <c r="BF354" s="18">
        <f>1</f>
        <v>1</v>
      </c>
      <c r="BG354" s="18">
        <f>IF(OR(Pospago[[#This Row],[TARIFA_BASICA]]=11.42,Pospago[[#This Row],[PLANES TELEVENTAS]]="SI"),1,0)</f>
        <v>0</v>
      </c>
      <c r="BH354" s="18" t="str">
        <f>IF(MID(Pospago[[#This Row],[PlanDesc]],1,4) = "PLAN","POSPAGO",IF(MID(Pospago[[#This Row],[PlanDesc]],1,4)="FULL","FULL MEGAS","PREVIOPAGO"))</f>
        <v>PREVIOPAGO</v>
      </c>
      <c r="BI3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4" s="21">
        <f>Pospago[[#This Row],[TARIFA_BASICA]]*1.5</f>
        <v>21.419999999999998</v>
      </c>
    </row>
    <row r="355" spans="1:63" x14ac:dyDescent="0.25">
      <c r="A355" s="18" t="s">
        <v>154</v>
      </c>
      <c r="B355" s="18" t="s">
        <v>2428</v>
      </c>
      <c r="C355" s="18" t="s">
        <v>2429</v>
      </c>
      <c r="D355" s="19">
        <v>44898</v>
      </c>
      <c r="E355" s="18" t="s">
        <v>67</v>
      </c>
      <c r="F355" s="18" t="s">
        <v>2430</v>
      </c>
      <c r="G355" s="18" t="s">
        <v>2431</v>
      </c>
      <c r="H355" s="18" t="s">
        <v>159</v>
      </c>
      <c r="I355" s="18" t="s">
        <v>160</v>
      </c>
      <c r="J355" s="18" t="s">
        <v>161</v>
      </c>
      <c r="K355" s="18" t="s">
        <v>73</v>
      </c>
      <c r="L355" s="20" t="s">
        <v>2432</v>
      </c>
      <c r="M355" s="18" t="s">
        <v>75</v>
      </c>
      <c r="N355" s="20" t="s">
        <v>2433</v>
      </c>
      <c r="O355" s="18" t="s">
        <v>164</v>
      </c>
      <c r="P355" s="18" t="s">
        <v>78</v>
      </c>
      <c r="Q355" s="19">
        <v>44914</v>
      </c>
      <c r="R355" s="21">
        <v>14.28</v>
      </c>
      <c r="S355" s="18" t="s">
        <v>79</v>
      </c>
      <c r="T355" s="18" t="s">
        <v>174</v>
      </c>
      <c r="U355" s="18" t="s">
        <v>83</v>
      </c>
      <c r="V355" s="18" t="s">
        <v>95</v>
      </c>
      <c r="W355" s="18" t="s">
        <v>95</v>
      </c>
      <c r="X355" s="18" t="s">
        <v>84</v>
      </c>
      <c r="Y355" s="18" t="s">
        <v>85</v>
      </c>
      <c r="Z355" s="18" t="s">
        <v>86</v>
      </c>
      <c r="AA355" s="18" t="s">
        <v>87</v>
      </c>
      <c r="AB355" s="18" t="s">
        <v>303</v>
      </c>
      <c r="AC355" s="18" t="s">
        <v>304</v>
      </c>
      <c r="AD355" s="18" t="s">
        <v>85</v>
      </c>
      <c r="AE355" s="18" t="s">
        <v>90</v>
      </c>
      <c r="AF355" s="18" t="s">
        <v>177</v>
      </c>
      <c r="AG355" s="18" t="s">
        <v>139</v>
      </c>
      <c r="AH355" s="18" t="s">
        <v>165</v>
      </c>
      <c r="AI355" s="18" t="s">
        <v>94</v>
      </c>
      <c r="AJ355" s="19">
        <v>44898</v>
      </c>
      <c r="AK355" s="22" t="s">
        <v>95</v>
      </c>
      <c r="AL355" s="18" t="s">
        <v>95</v>
      </c>
      <c r="AM355" s="18" t="s">
        <v>95</v>
      </c>
      <c r="AN355" s="18" t="s">
        <v>95</v>
      </c>
      <c r="AO355" s="18" t="s">
        <v>95</v>
      </c>
      <c r="AP355" s="18" t="s">
        <v>95</v>
      </c>
      <c r="AQ355" s="18" t="s">
        <v>95</v>
      </c>
      <c r="AR355" s="18" t="s">
        <v>95</v>
      </c>
      <c r="AS355" s="18" t="s">
        <v>83</v>
      </c>
      <c r="AT355" s="18" t="s">
        <v>83</v>
      </c>
      <c r="AU355" s="18" t="s">
        <v>81</v>
      </c>
      <c r="AV355" s="18" t="s">
        <v>95</v>
      </c>
      <c r="AW355" s="18" t="s">
        <v>95</v>
      </c>
      <c r="AX355" s="18"/>
      <c r="AY355" s="18" t="str">
        <f>Pospago[[#This Row],[NUM_TELEFONICO]]&amp;"POSPAGOSI"</f>
        <v>984080548POSPAGOSI</v>
      </c>
      <c r="AZ355" s="18" t="str">
        <f>VLOOKUP(Pospago[[#This Row],[NOM_PLAZA_FINAL]],[1]!Locales[#Data],3,0)</f>
        <v>TIENDA RECREO</v>
      </c>
      <c r="BA355" s="18" t="str">
        <f>IFERROR(VLOOKUP(Pospago[[#This Row],[USUARIO]],[1]!Personal[#Data],6,0),"EJECUTIVO NO REGISTRADO")</f>
        <v>CORDOVA GAIBOR JONATHAN HERNAN</v>
      </c>
      <c r="BB355" s="18" t="str">
        <f>Pospago[[#This Row],[TIPO_MOVIMIENTO]]&amp;" "&amp;Pospago[[#This Row],[FORMA_PAGO_FINAL]]</f>
        <v>TRANSFERENCIAS DOMICILIADO</v>
      </c>
      <c r="BC355" s="18">
        <f>DAY(Pospago[[#This Row],[FECHA_ALTA]])</f>
        <v>3</v>
      </c>
      <c r="BD355" s="18">
        <f>IF(Pospago[[#This Row],[TARIFA_BASICA]]=11.42,1,0)</f>
        <v>0</v>
      </c>
      <c r="BE355" s="18">
        <f>IF(Pospago[[#This Row],[PLANES TELEVENTAS]]="SI",1,0)</f>
        <v>0</v>
      </c>
      <c r="BF355" s="18">
        <f>1</f>
        <v>1</v>
      </c>
      <c r="BG355" s="18">
        <f>IF(OR(Pospago[[#This Row],[TARIFA_BASICA]]=11.42,Pospago[[#This Row],[PLANES TELEVENTAS]]="SI"),1,0)</f>
        <v>0</v>
      </c>
      <c r="BH355" s="18" t="str">
        <f>IF(MID(Pospago[[#This Row],[PlanDesc]],1,4) = "PLAN","POSPAGO",IF(MID(Pospago[[#This Row],[PlanDesc]],1,4)="FULL","FULL MEGAS","PREVIOPAGO"))</f>
        <v>PREVIOPAGO</v>
      </c>
      <c r="BI3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5" s="21">
        <f>Pospago[[#This Row],[TARIFA_BASICA]]*1.5</f>
        <v>21.419999999999998</v>
      </c>
    </row>
    <row r="356" spans="1:63" x14ac:dyDescent="0.25">
      <c r="A356" s="18" t="s">
        <v>154</v>
      </c>
      <c r="B356" s="18" t="s">
        <v>2434</v>
      </c>
      <c r="C356" s="18" t="s">
        <v>2435</v>
      </c>
      <c r="D356" s="19">
        <v>44905</v>
      </c>
      <c r="E356" s="18" t="s">
        <v>67</v>
      </c>
      <c r="F356" s="18" t="s">
        <v>2436</v>
      </c>
      <c r="G356" s="18" t="s">
        <v>2437</v>
      </c>
      <c r="H356" s="18" t="s">
        <v>159</v>
      </c>
      <c r="I356" s="18" t="s">
        <v>359</v>
      </c>
      <c r="J356" s="18" t="s">
        <v>360</v>
      </c>
      <c r="K356" s="18" t="s">
        <v>132</v>
      </c>
      <c r="L356" s="20" t="s">
        <v>2438</v>
      </c>
      <c r="M356" s="18" t="s">
        <v>75</v>
      </c>
      <c r="N356" s="20" t="s">
        <v>2439</v>
      </c>
      <c r="O356" s="18" t="s">
        <v>231</v>
      </c>
      <c r="P356" s="18" t="s">
        <v>78</v>
      </c>
      <c r="Q356" s="19">
        <v>44914</v>
      </c>
      <c r="R356" s="21">
        <v>14.28</v>
      </c>
      <c r="S356" s="18" t="s">
        <v>79</v>
      </c>
      <c r="T356" s="18" t="s">
        <v>232</v>
      </c>
      <c r="U356" s="18" t="s">
        <v>83</v>
      </c>
      <c r="V356" s="18" t="s">
        <v>95</v>
      </c>
      <c r="W356" s="18" t="s">
        <v>95</v>
      </c>
      <c r="X356" s="18" t="s">
        <v>215</v>
      </c>
      <c r="Y356" s="18" t="s">
        <v>85</v>
      </c>
      <c r="Z356" s="18" t="s">
        <v>86</v>
      </c>
      <c r="AA356" s="18" t="s">
        <v>87</v>
      </c>
      <c r="AB356" s="18" t="s">
        <v>271</v>
      </c>
      <c r="AC356" s="18" t="s">
        <v>272</v>
      </c>
      <c r="AD356" s="18" t="s">
        <v>85</v>
      </c>
      <c r="AE356" s="18" t="s">
        <v>90</v>
      </c>
      <c r="AF356" s="18" t="s">
        <v>235</v>
      </c>
      <c r="AG356" s="18" t="s">
        <v>139</v>
      </c>
      <c r="AH356" s="18" t="s">
        <v>165</v>
      </c>
      <c r="AI356" s="18" t="s">
        <v>94</v>
      </c>
      <c r="AJ356" s="19">
        <v>44905</v>
      </c>
      <c r="AK356" s="22" t="s">
        <v>95</v>
      </c>
      <c r="AL356" s="18" t="s">
        <v>95</v>
      </c>
      <c r="AM356" s="18" t="s">
        <v>95</v>
      </c>
      <c r="AN356" s="18" t="s">
        <v>95</v>
      </c>
      <c r="AO356" s="18" t="s">
        <v>95</v>
      </c>
      <c r="AP356" s="18" t="s">
        <v>95</v>
      </c>
      <c r="AQ356" s="18" t="s">
        <v>95</v>
      </c>
      <c r="AR356" s="18" t="s">
        <v>95</v>
      </c>
      <c r="AS356" s="18" t="s">
        <v>83</v>
      </c>
      <c r="AT356" s="18" t="s">
        <v>83</v>
      </c>
      <c r="AU356" s="18" t="s">
        <v>83</v>
      </c>
      <c r="AV356" s="18" t="s">
        <v>95</v>
      </c>
      <c r="AW356" s="18" t="s">
        <v>95</v>
      </c>
      <c r="AX356" s="18"/>
      <c r="AY356" s="18" t="str">
        <f>Pospago[[#This Row],[NUM_TELEFONICO]]&amp;"POSPAGOSI"</f>
        <v>984095794POSPAGOSI</v>
      </c>
      <c r="AZ356" s="18" t="str">
        <f>VLOOKUP(Pospago[[#This Row],[NOM_PLAZA_FINAL]],[1]!Locales[#Data],3,0)</f>
        <v>TIENDA CONDADO</v>
      </c>
      <c r="BA356" s="18" t="str">
        <f>IFERROR(VLOOKUP(Pospago[[#This Row],[USUARIO]],[1]!Personal[#Data],6,0),"EJECUTIVO NO REGISTRADO")</f>
        <v>CASTILLO AGUIRRE EDWIN MODESTO</v>
      </c>
      <c r="BB356" s="18" t="str">
        <f>Pospago[[#This Row],[TIPO_MOVIMIENTO]]&amp;" "&amp;Pospago[[#This Row],[FORMA_PAGO_FINAL]]</f>
        <v>TRANSFERENCIAS DOMICILIADO</v>
      </c>
      <c r="BC356" s="18">
        <f>DAY(Pospago[[#This Row],[FECHA_ALTA]])</f>
        <v>10</v>
      </c>
      <c r="BD356" s="18">
        <f>IF(Pospago[[#This Row],[TARIFA_BASICA]]=11.42,1,0)</f>
        <v>0</v>
      </c>
      <c r="BE356" s="18">
        <f>IF(Pospago[[#This Row],[PLANES TELEVENTAS]]="SI",1,0)</f>
        <v>0</v>
      </c>
      <c r="BF356" s="18">
        <f>1</f>
        <v>1</v>
      </c>
      <c r="BG356" s="18">
        <f>IF(OR(Pospago[[#This Row],[TARIFA_BASICA]]=11.42,Pospago[[#This Row],[PLANES TELEVENTAS]]="SI"),1,0)</f>
        <v>0</v>
      </c>
      <c r="BH356" s="18" t="str">
        <f>IF(MID(Pospago[[#This Row],[PlanDesc]],1,4) = "PLAN","POSPAGO",IF(MID(Pospago[[#This Row],[PlanDesc]],1,4)="FULL","FULL MEGAS","PREVIOPAGO"))</f>
        <v>POSPAGO</v>
      </c>
      <c r="BI3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6" s="21">
        <f>Pospago[[#This Row],[TARIFA_BASICA]]*1.5</f>
        <v>21.419999999999998</v>
      </c>
    </row>
    <row r="357" spans="1:63" x14ac:dyDescent="0.25">
      <c r="A357" s="18" t="s">
        <v>154</v>
      </c>
      <c r="B357" s="18" t="s">
        <v>2440</v>
      </c>
      <c r="C357" s="18" t="s">
        <v>2441</v>
      </c>
      <c r="D357" s="19">
        <v>44903</v>
      </c>
      <c r="E357" s="18" t="s">
        <v>67</v>
      </c>
      <c r="F357" s="18" t="s">
        <v>2442</v>
      </c>
      <c r="G357" s="18" t="s">
        <v>2443</v>
      </c>
      <c r="H357" s="18" t="s">
        <v>159</v>
      </c>
      <c r="I357" s="18" t="s">
        <v>160</v>
      </c>
      <c r="J357" s="18" t="s">
        <v>161</v>
      </c>
      <c r="K357" s="18" t="s">
        <v>132</v>
      </c>
      <c r="L357" s="20" t="s">
        <v>2444</v>
      </c>
      <c r="M357" s="18" t="s">
        <v>75</v>
      </c>
      <c r="N357" s="20" t="s">
        <v>2445</v>
      </c>
      <c r="O357" s="18" t="s">
        <v>164</v>
      </c>
      <c r="P357" s="18" t="s">
        <v>78</v>
      </c>
      <c r="Q357" s="19">
        <v>44914</v>
      </c>
      <c r="R357" s="21">
        <v>14.28</v>
      </c>
      <c r="S357" s="18" t="s">
        <v>79</v>
      </c>
      <c r="T357" s="18" t="s">
        <v>174</v>
      </c>
      <c r="U357" s="18" t="s">
        <v>83</v>
      </c>
      <c r="V357" s="18" t="s">
        <v>95</v>
      </c>
      <c r="W357" s="18" t="s">
        <v>95</v>
      </c>
      <c r="X357" s="18" t="s">
        <v>118</v>
      </c>
      <c r="Y357" s="18" t="s">
        <v>85</v>
      </c>
      <c r="Z357" s="18" t="s">
        <v>86</v>
      </c>
      <c r="AA357" s="18" t="s">
        <v>119</v>
      </c>
      <c r="AB357" s="18" t="s">
        <v>199</v>
      </c>
      <c r="AC357" s="18" t="s">
        <v>200</v>
      </c>
      <c r="AD357" s="18" t="s">
        <v>85</v>
      </c>
      <c r="AE357" s="18" t="s">
        <v>90</v>
      </c>
      <c r="AF357" s="18" t="s">
        <v>177</v>
      </c>
      <c r="AG357" s="18" t="s">
        <v>139</v>
      </c>
      <c r="AH357" s="18" t="s">
        <v>165</v>
      </c>
      <c r="AI357" s="18" t="s">
        <v>94</v>
      </c>
      <c r="AJ357" s="19">
        <v>44903</v>
      </c>
      <c r="AK357" s="22" t="s">
        <v>95</v>
      </c>
      <c r="AL357" s="18" t="s">
        <v>95</v>
      </c>
      <c r="AM357" s="18" t="s">
        <v>95</v>
      </c>
      <c r="AN357" s="18" t="s">
        <v>95</v>
      </c>
      <c r="AO357" s="18" t="s">
        <v>95</v>
      </c>
      <c r="AP357" s="18" t="s">
        <v>95</v>
      </c>
      <c r="AQ357" s="18" t="s">
        <v>95</v>
      </c>
      <c r="AR357" s="18" t="s">
        <v>95</v>
      </c>
      <c r="AS357" s="18" t="s">
        <v>83</v>
      </c>
      <c r="AT357" s="18" t="s">
        <v>83</v>
      </c>
      <c r="AU357" s="18" t="s">
        <v>81</v>
      </c>
      <c r="AV357" s="18" t="s">
        <v>95</v>
      </c>
      <c r="AW357" s="18" t="s">
        <v>95</v>
      </c>
      <c r="AX357" s="18"/>
      <c r="AY357" s="18" t="str">
        <f>Pospago[[#This Row],[NUM_TELEFONICO]]&amp;"POSPAGOSI"</f>
        <v>984096502POSPAGOSI</v>
      </c>
      <c r="AZ357" s="18" t="str">
        <f>VLOOKUP(Pospago[[#This Row],[NOM_PLAZA_FINAL]],[1]!Locales[#Data],3,0)</f>
        <v>TIENDA RECREO</v>
      </c>
      <c r="BA357" s="18" t="str">
        <f>IFERROR(VLOOKUP(Pospago[[#This Row],[USUARIO]],[1]!Personal[#Data],6,0),"EJECUTIVO NO REGISTRADO")</f>
        <v>MEDINA LAPO DAYANNA CAROLINA</v>
      </c>
      <c r="BB357" s="18" t="str">
        <f>Pospago[[#This Row],[TIPO_MOVIMIENTO]]&amp;" "&amp;Pospago[[#This Row],[FORMA_PAGO_FINAL]]</f>
        <v>TRANSFERENCIAS PAGO EN CAJA</v>
      </c>
      <c r="BC357" s="18">
        <f>DAY(Pospago[[#This Row],[FECHA_ALTA]])</f>
        <v>8</v>
      </c>
      <c r="BD357" s="18">
        <f>IF(Pospago[[#This Row],[TARIFA_BASICA]]=11.42,1,0)</f>
        <v>0</v>
      </c>
      <c r="BE357" s="18">
        <f>IF(Pospago[[#This Row],[PLANES TELEVENTAS]]="SI",1,0)</f>
        <v>0</v>
      </c>
      <c r="BF357" s="18">
        <f>1</f>
        <v>1</v>
      </c>
      <c r="BG357" s="18">
        <f>IF(OR(Pospago[[#This Row],[TARIFA_BASICA]]=11.42,Pospago[[#This Row],[PLANES TELEVENTAS]]="SI"),1,0)</f>
        <v>0</v>
      </c>
      <c r="BH357" s="18" t="str">
        <f>IF(MID(Pospago[[#This Row],[PlanDesc]],1,4) = "PLAN","POSPAGO",IF(MID(Pospago[[#This Row],[PlanDesc]],1,4)="FULL","FULL MEGAS","PREVIOPAGO"))</f>
        <v>PREVIOPAGO</v>
      </c>
      <c r="BI3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7" s="21">
        <f>Pospago[[#This Row],[TARIFA_BASICA]]*1.5</f>
        <v>21.419999999999998</v>
      </c>
    </row>
    <row r="358" spans="1:63" x14ac:dyDescent="0.25">
      <c r="A358" s="18" t="s">
        <v>154</v>
      </c>
      <c r="B358" s="18" t="s">
        <v>2446</v>
      </c>
      <c r="C358" s="18" t="s">
        <v>2447</v>
      </c>
      <c r="D358" s="19">
        <v>44903</v>
      </c>
      <c r="E358" s="18" t="s">
        <v>67</v>
      </c>
      <c r="F358" s="18" t="s">
        <v>2448</v>
      </c>
      <c r="G358" s="18" t="s">
        <v>2449</v>
      </c>
      <c r="H358" s="18" t="s">
        <v>159</v>
      </c>
      <c r="I358" s="18" t="s">
        <v>194</v>
      </c>
      <c r="J358" s="18" t="s">
        <v>268</v>
      </c>
      <c r="K358" s="18" t="s">
        <v>132</v>
      </c>
      <c r="L358" s="20" t="s">
        <v>2450</v>
      </c>
      <c r="M358" s="18" t="s">
        <v>75</v>
      </c>
      <c r="N358" s="20" t="s">
        <v>2451</v>
      </c>
      <c r="O358" s="18" t="s">
        <v>164</v>
      </c>
      <c r="P358" s="18" t="s">
        <v>78</v>
      </c>
      <c r="Q358" s="19">
        <v>44914</v>
      </c>
      <c r="R358" s="21">
        <v>14.28</v>
      </c>
      <c r="S358" s="18" t="s">
        <v>79</v>
      </c>
      <c r="T358" s="18" t="s">
        <v>232</v>
      </c>
      <c r="U358" s="18" t="s">
        <v>83</v>
      </c>
      <c r="V358" s="18" t="s">
        <v>95</v>
      </c>
      <c r="W358" s="18" t="s">
        <v>95</v>
      </c>
      <c r="X358" s="18" t="s">
        <v>118</v>
      </c>
      <c r="Y358" s="18" t="s">
        <v>85</v>
      </c>
      <c r="Z358" s="18" t="s">
        <v>86</v>
      </c>
      <c r="AA358" s="18" t="s">
        <v>119</v>
      </c>
      <c r="AB358" s="18" t="s">
        <v>280</v>
      </c>
      <c r="AC358" s="18" t="s">
        <v>281</v>
      </c>
      <c r="AD358" s="18" t="s">
        <v>85</v>
      </c>
      <c r="AE358" s="18" t="s">
        <v>90</v>
      </c>
      <c r="AF358" s="18" t="s">
        <v>235</v>
      </c>
      <c r="AG358" s="18" t="s">
        <v>139</v>
      </c>
      <c r="AH358" s="18" t="s">
        <v>165</v>
      </c>
      <c r="AI358" s="18" t="s">
        <v>94</v>
      </c>
      <c r="AJ358" s="19">
        <v>44903</v>
      </c>
      <c r="AK358" s="22" t="s">
        <v>95</v>
      </c>
      <c r="AL358" s="18" t="s">
        <v>95</v>
      </c>
      <c r="AM358" s="18" t="s">
        <v>95</v>
      </c>
      <c r="AN358" s="18" t="s">
        <v>95</v>
      </c>
      <c r="AO358" s="18" t="s">
        <v>95</v>
      </c>
      <c r="AP358" s="18" t="s">
        <v>95</v>
      </c>
      <c r="AQ358" s="18" t="s">
        <v>95</v>
      </c>
      <c r="AR358" s="18" t="s">
        <v>95</v>
      </c>
      <c r="AS358" s="18" t="s">
        <v>83</v>
      </c>
      <c r="AT358" s="18" t="s">
        <v>81</v>
      </c>
      <c r="AU358" s="18" t="s">
        <v>81</v>
      </c>
      <c r="AV358" s="18" t="s">
        <v>95</v>
      </c>
      <c r="AW358" s="18" t="s">
        <v>95</v>
      </c>
      <c r="AX358" s="18"/>
      <c r="AY358" s="18" t="str">
        <f>Pospago[[#This Row],[NUM_TELEFONICO]]&amp;"POSPAGOSI"</f>
        <v>984099988POSPAGOSI</v>
      </c>
      <c r="AZ358" s="18" t="str">
        <f>VLOOKUP(Pospago[[#This Row],[NOM_PLAZA_FINAL]],[1]!Locales[#Data],3,0)</f>
        <v>TIENDA CONDADO</v>
      </c>
      <c r="BA358" s="18" t="str">
        <f>IFERROR(VLOOKUP(Pospago[[#This Row],[USUARIO]],[1]!Personal[#Data],6,0),"EJECUTIVO NO REGISTRADO")</f>
        <v>GUACHAMIN CAZA HUGO ADRIAN</v>
      </c>
      <c r="BB358" s="18" t="str">
        <f>Pospago[[#This Row],[TIPO_MOVIMIENTO]]&amp;" "&amp;Pospago[[#This Row],[FORMA_PAGO_FINAL]]</f>
        <v>TRANSFERENCIAS PAGO EN CAJA</v>
      </c>
      <c r="BC358" s="18">
        <f>DAY(Pospago[[#This Row],[FECHA_ALTA]])</f>
        <v>8</v>
      </c>
      <c r="BD358" s="18">
        <f>IF(Pospago[[#This Row],[TARIFA_BASICA]]=11.42,1,0)</f>
        <v>0</v>
      </c>
      <c r="BE358" s="18">
        <f>IF(Pospago[[#This Row],[PLANES TELEVENTAS]]="SI",1,0)</f>
        <v>1</v>
      </c>
      <c r="BF358" s="18">
        <f>1</f>
        <v>1</v>
      </c>
      <c r="BG358" s="18">
        <f>IF(OR(Pospago[[#This Row],[TARIFA_BASICA]]=11.42,Pospago[[#This Row],[PLANES TELEVENTAS]]="SI"),1,0)</f>
        <v>1</v>
      </c>
      <c r="BH358" s="18" t="str">
        <f>IF(MID(Pospago[[#This Row],[PlanDesc]],1,4) = "PLAN","POSPAGO",IF(MID(Pospago[[#This Row],[PlanDesc]],1,4)="FULL","FULL MEGAS","PREVIOPAGO"))</f>
        <v>PREVIOPAGO</v>
      </c>
      <c r="BI3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8" s="21">
        <f>Pospago[[#This Row],[TARIFA_BASICA]]*1.5</f>
        <v>21.419999999999998</v>
      </c>
    </row>
    <row r="359" spans="1:63" x14ac:dyDescent="0.25">
      <c r="A359" s="18" t="s">
        <v>154</v>
      </c>
      <c r="B359" s="18" t="s">
        <v>2452</v>
      </c>
      <c r="C359" s="18" t="s">
        <v>2453</v>
      </c>
      <c r="D359" s="19">
        <v>44904</v>
      </c>
      <c r="E359" s="18" t="s">
        <v>67</v>
      </c>
      <c r="F359" s="18" t="s">
        <v>2454</v>
      </c>
      <c r="G359" s="18" t="s">
        <v>2455</v>
      </c>
      <c r="H359" s="18" t="s">
        <v>159</v>
      </c>
      <c r="I359" s="18" t="s">
        <v>130</v>
      </c>
      <c r="J359" s="18" t="s">
        <v>433</v>
      </c>
      <c r="K359" s="18" t="s">
        <v>132</v>
      </c>
      <c r="L359" s="20" t="s">
        <v>2456</v>
      </c>
      <c r="M359" s="18" t="s">
        <v>75</v>
      </c>
      <c r="N359" s="20" t="s">
        <v>2457</v>
      </c>
      <c r="O359" s="18" t="s">
        <v>164</v>
      </c>
      <c r="P359" s="18" t="s">
        <v>78</v>
      </c>
      <c r="Q359" s="19">
        <v>44914</v>
      </c>
      <c r="R359" s="21">
        <v>15</v>
      </c>
      <c r="S359" s="18" t="s">
        <v>79</v>
      </c>
      <c r="T359" s="18" t="s">
        <v>135</v>
      </c>
      <c r="U359" s="18" t="s">
        <v>83</v>
      </c>
      <c r="V359" s="18" t="s">
        <v>95</v>
      </c>
      <c r="W359" s="18" t="s">
        <v>95</v>
      </c>
      <c r="X359" s="18" t="s">
        <v>118</v>
      </c>
      <c r="Y359" s="18" t="s">
        <v>85</v>
      </c>
      <c r="Z359" s="18" t="s">
        <v>86</v>
      </c>
      <c r="AA359" s="18" t="s">
        <v>119</v>
      </c>
      <c r="AB359" s="18" t="s">
        <v>478</v>
      </c>
      <c r="AC359" s="18" t="s">
        <v>479</v>
      </c>
      <c r="AD359" s="18" t="s">
        <v>85</v>
      </c>
      <c r="AE359" s="18" t="s">
        <v>90</v>
      </c>
      <c r="AF359" s="18" t="s">
        <v>138</v>
      </c>
      <c r="AG359" s="18" t="s">
        <v>139</v>
      </c>
      <c r="AH359" s="18" t="s">
        <v>165</v>
      </c>
      <c r="AI359" s="18" t="s">
        <v>94</v>
      </c>
      <c r="AJ359" s="19">
        <v>44904</v>
      </c>
      <c r="AK359" s="22" t="s">
        <v>95</v>
      </c>
      <c r="AL359" s="18" t="s">
        <v>95</v>
      </c>
      <c r="AM359" s="18" t="s">
        <v>95</v>
      </c>
      <c r="AN359" s="18" t="s">
        <v>95</v>
      </c>
      <c r="AO359" s="18" t="s">
        <v>95</v>
      </c>
      <c r="AP359" s="18" t="s">
        <v>95</v>
      </c>
      <c r="AQ359" s="18" t="s">
        <v>95</v>
      </c>
      <c r="AR359" s="18" t="s">
        <v>95</v>
      </c>
      <c r="AS359" s="18" t="s">
        <v>83</v>
      </c>
      <c r="AT359" s="18" t="s">
        <v>83</v>
      </c>
      <c r="AU359" s="18" t="s">
        <v>81</v>
      </c>
      <c r="AV359" s="18" t="s">
        <v>95</v>
      </c>
      <c r="AW359" s="18" t="s">
        <v>95</v>
      </c>
      <c r="AX359" s="18"/>
      <c r="AY359" s="18" t="str">
        <f>Pospago[[#This Row],[NUM_TELEFONICO]]&amp;"POSPAGOSI"</f>
        <v>984101402POSPAGOSI</v>
      </c>
      <c r="AZ359" s="18" t="str">
        <f>VLOOKUP(Pospago[[#This Row],[NOM_PLAZA_FINAL]],[1]!Locales[#Data],3,0)</f>
        <v>TIENDA AMERICA</v>
      </c>
      <c r="BA359" s="18" t="str">
        <f>IFERROR(VLOOKUP(Pospago[[#This Row],[USUARIO]],[1]!Personal[#Data],6,0),"EJECUTIVO NO REGISTRADO")</f>
        <v>REINO TUFINO PAULTEH KATHERINE</v>
      </c>
      <c r="BB359" s="18" t="str">
        <f>Pospago[[#This Row],[TIPO_MOVIMIENTO]]&amp;" "&amp;Pospago[[#This Row],[FORMA_PAGO_FINAL]]</f>
        <v>TRANSFERENCIAS PAGO EN CAJA</v>
      </c>
      <c r="BC359" s="18">
        <f>DAY(Pospago[[#This Row],[FECHA_ALTA]])</f>
        <v>9</v>
      </c>
      <c r="BD359" s="18">
        <f>IF(Pospago[[#This Row],[TARIFA_BASICA]]=11.42,1,0)</f>
        <v>0</v>
      </c>
      <c r="BE359" s="18">
        <f>IF(Pospago[[#This Row],[PLANES TELEVENTAS]]="SI",1,0)</f>
        <v>0</v>
      </c>
      <c r="BF359" s="18">
        <f>1</f>
        <v>1</v>
      </c>
      <c r="BG359" s="18">
        <f>IF(OR(Pospago[[#This Row],[TARIFA_BASICA]]=11.42,Pospago[[#This Row],[PLANES TELEVENTAS]]="SI"),1,0)</f>
        <v>0</v>
      </c>
      <c r="BH359" s="18" t="str">
        <f>IF(MID(Pospago[[#This Row],[PlanDesc]],1,4) = "PLAN","POSPAGO",IF(MID(Pospago[[#This Row],[PlanDesc]],1,4)="FULL","FULL MEGAS","PREVIOPAGO"))</f>
        <v>PREVIOPAGO</v>
      </c>
      <c r="BI3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3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59" s="21">
        <f>Pospago[[#This Row],[TARIFA_BASICA]]*1.5</f>
        <v>22.5</v>
      </c>
    </row>
    <row r="360" spans="1:63" x14ac:dyDescent="0.25">
      <c r="A360" s="18" t="s">
        <v>154</v>
      </c>
      <c r="B360" s="18" t="s">
        <v>2458</v>
      </c>
      <c r="C360" s="18" t="s">
        <v>2459</v>
      </c>
      <c r="D360" s="19">
        <v>44907</v>
      </c>
      <c r="E360" s="18" t="s">
        <v>67</v>
      </c>
      <c r="F360" s="18" t="s">
        <v>2460</v>
      </c>
      <c r="G360" s="18" t="s">
        <v>2461</v>
      </c>
      <c r="H360" s="18" t="s">
        <v>159</v>
      </c>
      <c r="I360" s="18" t="s">
        <v>160</v>
      </c>
      <c r="J360" s="18" t="s">
        <v>161</v>
      </c>
      <c r="K360" s="18" t="s">
        <v>132</v>
      </c>
      <c r="L360" s="20" t="s">
        <v>2462</v>
      </c>
      <c r="M360" s="18" t="s">
        <v>75</v>
      </c>
      <c r="N360" s="20" t="s">
        <v>2463</v>
      </c>
      <c r="O360" s="18" t="s">
        <v>164</v>
      </c>
      <c r="P360" s="18" t="s">
        <v>78</v>
      </c>
      <c r="Q360" s="19">
        <v>44914</v>
      </c>
      <c r="R360" s="21">
        <v>14.28</v>
      </c>
      <c r="S360" s="18" t="s">
        <v>79</v>
      </c>
      <c r="T360" s="18" t="s">
        <v>174</v>
      </c>
      <c r="U360" s="18" t="s">
        <v>83</v>
      </c>
      <c r="V360" s="18" t="s">
        <v>95</v>
      </c>
      <c r="W360" s="18" t="s">
        <v>95</v>
      </c>
      <c r="X360" s="18" t="s">
        <v>118</v>
      </c>
      <c r="Y360" s="18" t="s">
        <v>85</v>
      </c>
      <c r="Z360" s="18" t="s">
        <v>86</v>
      </c>
      <c r="AA360" s="18" t="s">
        <v>119</v>
      </c>
      <c r="AB360" s="18" t="s">
        <v>262</v>
      </c>
      <c r="AC360" s="18" t="s">
        <v>263</v>
      </c>
      <c r="AD360" s="18" t="s">
        <v>85</v>
      </c>
      <c r="AE360" s="18" t="s">
        <v>90</v>
      </c>
      <c r="AF360" s="18" t="s">
        <v>177</v>
      </c>
      <c r="AG360" s="18" t="s">
        <v>139</v>
      </c>
      <c r="AH360" s="18" t="s">
        <v>165</v>
      </c>
      <c r="AI360" s="18" t="s">
        <v>94</v>
      </c>
      <c r="AJ360" s="19">
        <v>44907</v>
      </c>
      <c r="AK360" s="22" t="s">
        <v>95</v>
      </c>
      <c r="AL360" s="18" t="s">
        <v>95</v>
      </c>
      <c r="AM360" s="18" t="s">
        <v>95</v>
      </c>
      <c r="AN360" s="18" t="s">
        <v>95</v>
      </c>
      <c r="AO360" s="18" t="s">
        <v>95</v>
      </c>
      <c r="AP360" s="18" t="s">
        <v>95</v>
      </c>
      <c r="AQ360" s="18" t="s">
        <v>95</v>
      </c>
      <c r="AR360" s="18" t="s">
        <v>95</v>
      </c>
      <c r="AS360" s="18" t="s">
        <v>83</v>
      </c>
      <c r="AT360" s="18" t="s">
        <v>83</v>
      </c>
      <c r="AU360" s="18" t="s">
        <v>81</v>
      </c>
      <c r="AV360" s="18" t="s">
        <v>95</v>
      </c>
      <c r="AW360" s="18" t="s">
        <v>95</v>
      </c>
      <c r="AX360" s="18"/>
      <c r="AY360" s="18" t="str">
        <f>Pospago[[#This Row],[NUM_TELEFONICO]]&amp;"POSPAGOSI"</f>
        <v>984113102POSPAGOSI</v>
      </c>
      <c r="AZ360" s="18" t="str">
        <f>VLOOKUP(Pospago[[#This Row],[NOM_PLAZA_FINAL]],[1]!Locales[#Data],3,0)</f>
        <v>TIENDA RECREO</v>
      </c>
      <c r="BA360" s="18" t="str">
        <f>IFERROR(VLOOKUP(Pospago[[#This Row],[USUARIO]],[1]!Personal[#Data],6,0),"EJECUTIVO NO REGISTRADO")</f>
        <v>CHICAIZA TOAPANTA ALEX DANILO</v>
      </c>
      <c r="BB360" s="18" t="str">
        <f>Pospago[[#This Row],[TIPO_MOVIMIENTO]]&amp;" "&amp;Pospago[[#This Row],[FORMA_PAGO_FINAL]]</f>
        <v>TRANSFERENCIAS PAGO EN CAJA</v>
      </c>
      <c r="BC360" s="18">
        <f>DAY(Pospago[[#This Row],[FECHA_ALTA]])</f>
        <v>12</v>
      </c>
      <c r="BD360" s="18">
        <f>IF(Pospago[[#This Row],[TARIFA_BASICA]]=11.42,1,0)</f>
        <v>0</v>
      </c>
      <c r="BE360" s="18">
        <f>IF(Pospago[[#This Row],[PLANES TELEVENTAS]]="SI",1,0)</f>
        <v>0</v>
      </c>
      <c r="BF360" s="18">
        <f>1</f>
        <v>1</v>
      </c>
      <c r="BG360" s="18">
        <f>IF(OR(Pospago[[#This Row],[TARIFA_BASICA]]=11.42,Pospago[[#This Row],[PLANES TELEVENTAS]]="SI"),1,0)</f>
        <v>0</v>
      </c>
      <c r="BH360" s="18" t="str">
        <f>IF(MID(Pospago[[#This Row],[PlanDesc]],1,4) = "PLAN","POSPAGO",IF(MID(Pospago[[#This Row],[PlanDesc]],1,4)="FULL","FULL MEGAS","PREVIOPAGO"))</f>
        <v>PREVIOPAGO</v>
      </c>
      <c r="BI3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60" s="21">
        <f>Pospago[[#This Row],[TARIFA_BASICA]]*1.5</f>
        <v>21.419999999999998</v>
      </c>
    </row>
    <row r="361" spans="1:63" x14ac:dyDescent="0.25">
      <c r="A361" s="18" t="s">
        <v>64</v>
      </c>
      <c r="B361" s="18" t="s">
        <v>2464</v>
      </c>
      <c r="C361" s="18" t="s">
        <v>2465</v>
      </c>
      <c r="D361" s="19">
        <v>44905</v>
      </c>
      <c r="E361" s="18" t="s">
        <v>67</v>
      </c>
      <c r="F361" s="18" t="s">
        <v>2466</v>
      </c>
      <c r="G361" s="18" t="s">
        <v>2467</v>
      </c>
      <c r="H361" s="18" t="s">
        <v>70</v>
      </c>
      <c r="I361" s="18" t="s">
        <v>130</v>
      </c>
      <c r="J361" s="18" t="s">
        <v>131</v>
      </c>
      <c r="K361" s="18" t="s">
        <v>132</v>
      </c>
      <c r="L361" s="20" t="s">
        <v>2468</v>
      </c>
      <c r="M361" s="18" t="s">
        <v>75</v>
      </c>
      <c r="N361" s="20" t="s">
        <v>2469</v>
      </c>
      <c r="O361" s="18" t="s">
        <v>77</v>
      </c>
      <c r="P361" s="18" t="s">
        <v>78</v>
      </c>
      <c r="Q361" s="19">
        <v>44914</v>
      </c>
      <c r="R361" s="21">
        <v>15</v>
      </c>
      <c r="S361" s="18" t="s">
        <v>79</v>
      </c>
      <c r="T361" s="18" t="s">
        <v>174</v>
      </c>
      <c r="U361" s="18" t="s">
        <v>83</v>
      </c>
      <c r="V361" s="18" t="s">
        <v>95</v>
      </c>
      <c r="W361" s="18" t="s">
        <v>83</v>
      </c>
      <c r="X361" s="18" t="s">
        <v>84</v>
      </c>
      <c r="Y361" s="18" t="s">
        <v>85</v>
      </c>
      <c r="Z361" s="18" t="s">
        <v>86</v>
      </c>
      <c r="AA361" s="18" t="s">
        <v>87</v>
      </c>
      <c r="AB361" s="18" t="s">
        <v>492</v>
      </c>
      <c r="AC361" s="18" t="s">
        <v>493</v>
      </c>
      <c r="AD361" s="18" t="s">
        <v>85</v>
      </c>
      <c r="AE361" s="18" t="s">
        <v>90</v>
      </c>
      <c r="AF361" s="18" t="s">
        <v>177</v>
      </c>
      <c r="AG361" s="18" t="s">
        <v>139</v>
      </c>
      <c r="AH361" s="18" t="s">
        <v>93</v>
      </c>
      <c r="AI361" s="18" t="s">
        <v>94</v>
      </c>
      <c r="AJ361" s="19">
        <v>44905</v>
      </c>
      <c r="AK361" s="22" t="s">
        <v>95</v>
      </c>
      <c r="AL361" s="18" t="s">
        <v>95</v>
      </c>
      <c r="AM361" s="18" t="s">
        <v>95</v>
      </c>
      <c r="AN361" s="18" t="s">
        <v>95</v>
      </c>
      <c r="AO361" s="18" t="s">
        <v>95</v>
      </c>
      <c r="AP361" s="18" t="s">
        <v>95</v>
      </c>
      <c r="AQ361" s="18" t="s">
        <v>95</v>
      </c>
      <c r="AR361" s="18" t="s">
        <v>95</v>
      </c>
      <c r="AS361" s="18" t="s">
        <v>83</v>
      </c>
      <c r="AT361" s="18" t="s">
        <v>83</v>
      </c>
      <c r="AU361" s="18" t="s">
        <v>81</v>
      </c>
      <c r="AV361" s="18" t="s">
        <v>95</v>
      </c>
      <c r="AW361" s="18" t="s">
        <v>96</v>
      </c>
      <c r="AX361" s="18"/>
      <c r="AY361" s="18" t="str">
        <f>Pospago[[#This Row],[NUM_TELEFONICO]]&amp;"POSPAGOSI"</f>
        <v>984113427POSPAGOSI</v>
      </c>
      <c r="AZ361" s="18" t="str">
        <f>VLOOKUP(Pospago[[#This Row],[NOM_PLAZA_FINAL]],[1]!Locales[#Data],3,0)</f>
        <v>TIENDA RECREO</v>
      </c>
      <c r="BA361" s="18" t="str">
        <f>IFERROR(VLOOKUP(Pospago[[#This Row],[USUARIO]],[1]!Personal[#Data],6,0),"EJECUTIVO NO REGISTRADO")</f>
        <v>CONDO GARCIA NICOLAS MATIAS</v>
      </c>
      <c r="BB361" s="18" t="str">
        <f>Pospago[[#This Row],[TIPO_MOVIMIENTO]]&amp;" "&amp;Pospago[[#This Row],[FORMA_PAGO_FINAL]]</f>
        <v>ALTAS DOMICILIADO</v>
      </c>
      <c r="BC361" s="18">
        <f>DAY(Pospago[[#This Row],[FECHA_ALTA]])</f>
        <v>10</v>
      </c>
      <c r="BD361" s="18">
        <f>IF(Pospago[[#This Row],[TARIFA_BASICA]]=11.42,1,0)</f>
        <v>0</v>
      </c>
      <c r="BE361" s="18">
        <f>IF(Pospago[[#This Row],[PLANES TELEVENTAS]]="SI",1,0)</f>
        <v>0</v>
      </c>
      <c r="BF361" s="18">
        <f>1</f>
        <v>1</v>
      </c>
      <c r="BG361" s="18">
        <f>IF(OR(Pospago[[#This Row],[TARIFA_BASICA]]=11.42,Pospago[[#This Row],[PLANES TELEVENTAS]]="SI"),1,0)</f>
        <v>0</v>
      </c>
      <c r="BH361" s="18" t="str">
        <f>IF(MID(Pospago[[#This Row],[PlanDesc]],1,4) = "PLAN","POSPAGO",IF(MID(Pospago[[#This Row],[PlanDesc]],1,4)="FULL","FULL MEGAS","PREVIOPAGO"))</f>
        <v>PREVIOPAGO</v>
      </c>
      <c r="BI3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3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61" s="21">
        <f>Pospago[[#This Row],[TARIFA_BASICA]]*1.5</f>
        <v>22.5</v>
      </c>
    </row>
    <row r="362" spans="1:63" x14ac:dyDescent="0.25">
      <c r="A362" s="18" t="s">
        <v>154</v>
      </c>
      <c r="B362" s="18" t="s">
        <v>2470</v>
      </c>
      <c r="C362" s="18" t="s">
        <v>2471</v>
      </c>
      <c r="D362" s="19">
        <v>44905</v>
      </c>
      <c r="E362" s="18" t="s">
        <v>67</v>
      </c>
      <c r="F362" s="18" t="s">
        <v>2472</v>
      </c>
      <c r="G362" s="18" t="s">
        <v>2473</v>
      </c>
      <c r="H362" s="18" t="s">
        <v>159</v>
      </c>
      <c r="I362" s="18" t="s">
        <v>160</v>
      </c>
      <c r="J362" s="18" t="s">
        <v>161</v>
      </c>
      <c r="K362" s="18" t="s">
        <v>73</v>
      </c>
      <c r="L362" s="20" t="s">
        <v>2474</v>
      </c>
      <c r="M362" s="18" t="s">
        <v>75</v>
      </c>
      <c r="N362" s="20" t="s">
        <v>2475</v>
      </c>
      <c r="O362" s="18" t="s">
        <v>164</v>
      </c>
      <c r="P362" s="18" t="s">
        <v>78</v>
      </c>
      <c r="Q362" s="19">
        <v>44914</v>
      </c>
      <c r="R362" s="21">
        <v>14.28</v>
      </c>
      <c r="S362" s="18" t="s">
        <v>79</v>
      </c>
      <c r="T362" s="18" t="s">
        <v>174</v>
      </c>
      <c r="U362" s="18" t="s">
        <v>83</v>
      </c>
      <c r="V362" s="18" t="s">
        <v>95</v>
      </c>
      <c r="W362" s="18" t="s">
        <v>95</v>
      </c>
      <c r="X362" s="18" t="s">
        <v>118</v>
      </c>
      <c r="Y362" s="18" t="s">
        <v>85</v>
      </c>
      <c r="Z362" s="18" t="s">
        <v>86</v>
      </c>
      <c r="AA362" s="18" t="s">
        <v>119</v>
      </c>
      <c r="AB362" s="18" t="s">
        <v>369</v>
      </c>
      <c r="AC362" s="18" t="s">
        <v>370</v>
      </c>
      <c r="AD362" s="18" t="s">
        <v>85</v>
      </c>
      <c r="AE362" s="18" t="s">
        <v>90</v>
      </c>
      <c r="AF362" s="18" t="s">
        <v>177</v>
      </c>
      <c r="AG362" s="18" t="s">
        <v>139</v>
      </c>
      <c r="AH362" s="18" t="s">
        <v>165</v>
      </c>
      <c r="AI362" s="18" t="s">
        <v>94</v>
      </c>
      <c r="AJ362" s="19">
        <v>44905</v>
      </c>
      <c r="AK362" s="22" t="s">
        <v>95</v>
      </c>
      <c r="AL362" s="18" t="s">
        <v>95</v>
      </c>
      <c r="AM362" s="18" t="s">
        <v>95</v>
      </c>
      <c r="AN362" s="18" t="s">
        <v>95</v>
      </c>
      <c r="AO362" s="18" t="s">
        <v>95</v>
      </c>
      <c r="AP362" s="18" t="s">
        <v>95</v>
      </c>
      <c r="AQ362" s="18" t="s">
        <v>95</v>
      </c>
      <c r="AR362" s="18" t="s">
        <v>95</v>
      </c>
      <c r="AS362" s="18" t="s">
        <v>83</v>
      </c>
      <c r="AT362" s="18" t="s">
        <v>83</v>
      </c>
      <c r="AU362" s="18" t="s">
        <v>81</v>
      </c>
      <c r="AV362" s="18" t="s">
        <v>95</v>
      </c>
      <c r="AW362" s="18" t="s">
        <v>96</v>
      </c>
      <c r="AX362" s="18"/>
      <c r="AY362" s="18" t="str">
        <f>Pospago[[#This Row],[NUM_TELEFONICO]]&amp;"POSPAGOSI"</f>
        <v>984132786POSPAGOSI</v>
      </c>
      <c r="AZ362" s="18" t="str">
        <f>VLOOKUP(Pospago[[#This Row],[NOM_PLAZA_FINAL]],[1]!Locales[#Data],3,0)</f>
        <v>TIENDA RECREO</v>
      </c>
      <c r="BA362" s="18" t="str">
        <f>IFERROR(VLOOKUP(Pospago[[#This Row],[USUARIO]],[1]!Personal[#Data],6,0),"EJECUTIVO NO REGISTRADO")</f>
        <v>GUAIGUA REINOSO GENESIS CAROLINA</v>
      </c>
      <c r="BB362" s="18" t="str">
        <f>Pospago[[#This Row],[TIPO_MOVIMIENTO]]&amp;" "&amp;Pospago[[#This Row],[FORMA_PAGO_FINAL]]</f>
        <v>TRANSFERENCIAS PAGO EN CAJA</v>
      </c>
      <c r="BC362" s="18">
        <f>DAY(Pospago[[#This Row],[FECHA_ALTA]])</f>
        <v>10</v>
      </c>
      <c r="BD362" s="18">
        <f>IF(Pospago[[#This Row],[TARIFA_BASICA]]=11.42,1,0)</f>
        <v>0</v>
      </c>
      <c r="BE362" s="18">
        <f>IF(Pospago[[#This Row],[PLANES TELEVENTAS]]="SI",1,0)</f>
        <v>0</v>
      </c>
      <c r="BF362" s="18">
        <f>1</f>
        <v>1</v>
      </c>
      <c r="BG362" s="18">
        <f>IF(OR(Pospago[[#This Row],[TARIFA_BASICA]]=11.42,Pospago[[#This Row],[PLANES TELEVENTAS]]="SI"),1,0)</f>
        <v>0</v>
      </c>
      <c r="BH362" s="18" t="str">
        <f>IF(MID(Pospago[[#This Row],[PlanDesc]],1,4) = "PLAN","POSPAGO",IF(MID(Pospago[[#This Row],[PlanDesc]],1,4)="FULL","FULL MEGAS","PREVIOPAGO"))</f>
        <v>PREVIOPAGO</v>
      </c>
      <c r="BI3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62" s="21">
        <f>Pospago[[#This Row],[TARIFA_BASICA]]*1.5</f>
        <v>21.419999999999998</v>
      </c>
    </row>
    <row r="363" spans="1:63" x14ac:dyDescent="0.25">
      <c r="A363" s="18" t="s">
        <v>64</v>
      </c>
      <c r="B363" s="18" t="s">
        <v>2476</v>
      </c>
      <c r="C363" s="18" t="s">
        <v>2477</v>
      </c>
      <c r="D363" s="19">
        <v>44907</v>
      </c>
      <c r="E363" s="18" t="s">
        <v>67</v>
      </c>
      <c r="F363" s="18" t="s">
        <v>2478</v>
      </c>
      <c r="G363" s="18" t="s">
        <v>2479</v>
      </c>
      <c r="H363" s="18" t="s">
        <v>70</v>
      </c>
      <c r="I363" s="18" t="s">
        <v>194</v>
      </c>
      <c r="J363" s="18" t="s">
        <v>195</v>
      </c>
      <c r="K363" s="18" t="s">
        <v>95</v>
      </c>
      <c r="L363" s="20" t="s">
        <v>2480</v>
      </c>
      <c r="M363" s="18" t="s">
        <v>75</v>
      </c>
      <c r="N363" s="20" t="s">
        <v>2481</v>
      </c>
      <c r="O363" s="18" t="s">
        <v>77</v>
      </c>
      <c r="P363" s="18" t="s">
        <v>78</v>
      </c>
      <c r="Q363" s="19">
        <v>44914</v>
      </c>
      <c r="R363" s="21">
        <v>14.28</v>
      </c>
      <c r="S363" s="18" t="s">
        <v>79</v>
      </c>
      <c r="T363" s="18" t="s">
        <v>232</v>
      </c>
      <c r="U363" s="18" t="s">
        <v>83</v>
      </c>
      <c r="V363" s="18" t="s">
        <v>95</v>
      </c>
      <c r="W363" s="18" t="s">
        <v>83</v>
      </c>
      <c r="X363" s="18" t="s">
        <v>84</v>
      </c>
      <c r="Y363" s="18" t="s">
        <v>85</v>
      </c>
      <c r="Z363" s="18" t="s">
        <v>86</v>
      </c>
      <c r="AA363" s="18" t="s">
        <v>87</v>
      </c>
      <c r="AB363" s="18" t="s">
        <v>443</v>
      </c>
      <c r="AC363" s="18" t="s">
        <v>444</v>
      </c>
      <c r="AD363" s="18" t="s">
        <v>85</v>
      </c>
      <c r="AE363" s="18" t="s">
        <v>90</v>
      </c>
      <c r="AF363" s="18" t="s">
        <v>235</v>
      </c>
      <c r="AG363" s="18" t="s">
        <v>139</v>
      </c>
      <c r="AH363" s="18" t="s">
        <v>93</v>
      </c>
      <c r="AI363" s="18" t="s">
        <v>94</v>
      </c>
      <c r="AJ363" s="19">
        <v>44907</v>
      </c>
      <c r="AK363" s="22" t="s">
        <v>95</v>
      </c>
      <c r="AL363" s="18" t="s">
        <v>95</v>
      </c>
      <c r="AM363" s="18" t="s">
        <v>95</v>
      </c>
      <c r="AN363" s="18" t="s">
        <v>95</v>
      </c>
      <c r="AO363" s="18" t="s">
        <v>95</v>
      </c>
      <c r="AP363" s="18" t="s">
        <v>95</v>
      </c>
      <c r="AQ363" s="18" t="s">
        <v>95</v>
      </c>
      <c r="AR363" s="18" t="s">
        <v>95</v>
      </c>
      <c r="AS363" s="18" t="s">
        <v>83</v>
      </c>
      <c r="AT363" s="18" t="s">
        <v>81</v>
      </c>
      <c r="AU363" s="18" t="s">
        <v>81</v>
      </c>
      <c r="AV363" s="18" t="s">
        <v>95</v>
      </c>
      <c r="AW363" s="18" t="s">
        <v>95</v>
      </c>
      <c r="AX363" s="18"/>
      <c r="AY363" s="18" t="str">
        <f>Pospago[[#This Row],[NUM_TELEFONICO]]&amp;"POSPAGOSI"</f>
        <v>984143416POSPAGOSI</v>
      </c>
      <c r="AZ363" s="18" t="str">
        <f>VLOOKUP(Pospago[[#This Row],[NOM_PLAZA_FINAL]],[1]!Locales[#Data],3,0)</f>
        <v>TIENDA CONDADO</v>
      </c>
      <c r="BA363" s="18" t="str">
        <f>IFERROR(VLOOKUP(Pospago[[#This Row],[USUARIO]],[1]!Personal[#Data],6,0),"EJECUTIVO NO REGISTRADO")</f>
        <v>JARAMILLO ESPINOZA KENIA KATRINA</v>
      </c>
      <c r="BB363" s="18" t="str">
        <f>Pospago[[#This Row],[TIPO_MOVIMIENTO]]&amp;" "&amp;Pospago[[#This Row],[FORMA_PAGO_FINAL]]</f>
        <v>ALTAS DOMICILIADO</v>
      </c>
      <c r="BC363" s="18">
        <f>DAY(Pospago[[#This Row],[FECHA_ALTA]])</f>
        <v>12</v>
      </c>
      <c r="BD363" s="18">
        <f>IF(Pospago[[#This Row],[TARIFA_BASICA]]=11.42,1,0)</f>
        <v>0</v>
      </c>
      <c r="BE363" s="18">
        <f>IF(Pospago[[#This Row],[PLANES TELEVENTAS]]="SI",1,0)</f>
        <v>1</v>
      </c>
      <c r="BF363" s="18">
        <f>1</f>
        <v>1</v>
      </c>
      <c r="BG363" s="18">
        <f>IF(OR(Pospago[[#This Row],[TARIFA_BASICA]]=11.42,Pospago[[#This Row],[PLANES TELEVENTAS]]="SI"),1,0)</f>
        <v>1</v>
      </c>
      <c r="BH363" s="18" t="str">
        <f>IF(MID(Pospago[[#This Row],[PlanDesc]],1,4) = "PLAN","POSPAGO",IF(MID(Pospago[[#This Row],[PlanDesc]],1,4)="FULL","FULL MEGAS","PREVIOPAGO"))</f>
        <v>PREVIOPAGO</v>
      </c>
      <c r="BI3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63" s="21">
        <f>Pospago[[#This Row],[TARIFA_BASICA]]*1.5</f>
        <v>21.419999999999998</v>
      </c>
    </row>
    <row r="364" spans="1:63" x14ac:dyDescent="0.25">
      <c r="A364" s="18" t="s">
        <v>154</v>
      </c>
      <c r="B364" s="18" t="s">
        <v>2482</v>
      </c>
      <c r="C364" s="18" t="s">
        <v>2483</v>
      </c>
      <c r="D364" s="19">
        <v>44908</v>
      </c>
      <c r="E364" s="18" t="s">
        <v>67</v>
      </c>
      <c r="F364" s="18" t="s">
        <v>2484</v>
      </c>
      <c r="G364" s="18" t="s">
        <v>2485</v>
      </c>
      <c r="H364" s="18" t="s">
        <v>159</v>
      </c>
      <c r="I364" s="18" t="s">
        <v>183</v>
      </c>
      <c r="J364" s="18" t="s">
        <v>184</v>
      </c>
      <c r="K364" s="18" t="s">
        <v>73</v>
      </c>
      <c r="L364" s="20" t="s">
        <v>2486</v>
      </c>
      <c r="M364" s="18" t="s">
        <v>75</v>
      </c>
      <c r="N364" s="20" t="s">
        <v>2487</v>
      </c>
      <c r="O364" s="18" t="s">
        <v>311</v>
      </c>
      <c r="P364" s="18" t="s">
        <v>78</v>
      </c>
      <c r="Q364" s="19">
        <v>44914</v>
      </c>
      <c r="R364" s="21">
        <v>11.42</v>
      </c>
      <c r="S364" s="18" t="s">
        <v>79</v>
      </c>
      <c r="T364" s="18" t="s">
        <v>148</v>
      </c>
      <c r="U364" s="18" t="s">
        <v>83</v>
      </c>
      <c r="V364" s="18" t="s">
        <v>95</v>
      </c>
      <c r="W364" s="18" t="s">
        <v>95</v>
      </c>
      <c r="X364" s="18" t="s">
        <v>84</v>
      </c>
      <c r="Y364" s="18" t="s">
        <v>85</v>
      </c>
      <c r="Z364" s="18" t="s">
        <v>86</v>
      </c>
      <c r="AA364" s="18" t="s">
        <v>87</v>
      </c>
      <c r="AB364" s="18" t="s">
        <v>610</v>
      </c>
      <c r="AC364" s="18" t="s">
        <v>611</v>
      </c>
      <c r="AD364" s="18" t="s">
        <v>85</v>
      </c>
      <c r="AE364" s="18" t="s">
        <v>90</v>
      </c>
      <c r="AF364" s="18" t="s">
        <v>151</v>
      </c>
      <c r="AG364" s="18" t="s">
        <v>92</v>
      </c>
      <c r="AH364" s="18" t="s">
        <v>165</v>
      </c>
      <c r="AI364" s="18" t="s">
        <v>94</v>
      </c>
      <c r="AJ364" s="19">
        <v>44908</v>
      </c>
      <c r="AK364" s="22" t="s">
        <v>95</v>
      </c>
      <c r="AL364" s="18" t="s">
        <v>95</v>
      </c>
      <c r="AM364" s="18" t="s">
        <v>95</v>
      </c>
      <c r="AN364" s="18" t="s">
        <v>95</v>
      </c>
      <c r="AO364" s="18" t="s">
        <v>95</v>
      </c>
      <c r="AP364" s="18" t="s">
        <v>95</v>
      </c>
      <c r="AQ364" s="18" t="s">
        <v>95</v>
      </c>
      <c r="AR364" s="18" t="s">
        <v>95</v>
      </c>
      <c r="AS364" s="18" t="s">
        <v>83</v>
      </c>
      <c r="AT364" s="18" t="s">
        <v>83</v>
      </c>
      <c r="AU364" s="18" t="s">
        <v>83</v>
      </c>
      <c r="AV364" s="18" t="s">
        <v>95</v>
      </c>
      <c r="AW364" s="18" t="s">
        <v>95</v>
      </c>
      <c r="AX364" s="18"/>
      <c r="AY364" s="18" t="str">
        <f>Pospago[[#This Row],[NUM_TELEFONICO]]&amp;"POSPAGOSI"</f>
        <v>984145021POSPAGOSI</v>
      </c>
      <c r="AZ364" s="18" t="str">
        <f>VLOOKUP(Pospago[[#This Row],[NOM_PLAZA_FINAL]],[1]!Locales[#Data],3,0)</f>
        <v>TIENDA CUENCA REMIGIO</v>
      </c>
      <c r="BA364" s="18" t="str">
        <f>IFERROR(VLOOKUP(Pospago[[#This Row],[USUARIO]],[1]!Personal[#Data],6,0),"EJECUTIVO NO REGISTRADO")</f>
        <v>PATIÑO TAPIA ANDRES SANTIAGO</v>
      </c>
      <c r="BB364" s="18" t="str">
        <f>Pospago[[#This Row],[TIPO_MOVIMIENTO]]&amp;" "&amp;Pospago[[#This Row],[FORMA_PAGO_FINAL]]</f>
        <v>TRANSFERENCIAS DOMICILIADO</v>
      </c>
      <c r="BC364" s="18">
        <f>DAY(Pospago[[#This Row],[FECHA_ALTA]])</f>
        <v>13</v>
      </c>
      <c r="BD364" s="18">
        <f>IF(Pospago[[#This Row],[TARIFA_BASICA]]=11.42,1,0)</f>
        <v>1</v>
      </c>
      <c r="BE364" s="18">
        <f>IF(Pospago[[#This Row],[PLANES TELEVENTAS]]="SI",1,0)</f>
        <v>0</v>
      </c>
      <c r="BF364" s="18">
        <f>1</f>
        <v>1</v>
      </c>
      <c r="BG364" s="18">
        <f>IF(OR(Pospago[[#This Row],[TARIFA_BASICA]]=11.42,Pospago[[#This Row],[PLANES TELEVENTAS]]="SI"),1,0)</f>
        <v>1</v>
      </c>
      <c r="BH364" s="18" t="str">
        <f>IF(MID(Pospago[[#This Row],[PlanDesc]],1,4) = "PLAN","POSPAGO",IF(MID(Pospago[[#This Row],[PlanDesc]],1,4)="FULL","FULL MEGAS","PREVIOPAGO"))</f>
        <v>POSPAGO</v>
      </c>
      <c r="BI3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3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64" s="21">
        <f>Pospago[[#This Row],[TARIFA_BASICA]]*1.5</f>
        <v>17.13</v>
      </c>
    </row>
    <row r="365" spans="1:63" x14ac:dyDescent="0.25">
      <c r="A365" s="18" t="s">
        <v>154</v>
      </c>
      <c r="B365" s="18" t="s">
        <v>2488</v>
      </c>
      <c r="C365" s="18" t="s">
        <v>2489</v>
      </c>
      <c r="D365" s="19">
        <v>44901</v>
      </c>
      <c r="E365" s="18" t="s">
        <v>67</v>
      </c>
      <c r="F365" s="18" t="s">
        <v>2490</v>
      </c>
      <c r="G365" s="18" t="s">
        <v>2491</v>
      </c>
      <c r="H365" s="18" t="s">
        <v>159</v>
      </c>
      <c r="I365" s="18" t="s">
        <v>160</v>
      </c>
      <c r="J365" s="18" t="s">
        <v>161</v>
      </c>
      <c r="K365" s="18" t="s">
        <v>132</v>
      </c>
      <c r="L365" s="20" t="s">
        <v>2492</v>
      </c>
      <c r="M365" s="18" t="s">
        <v>75</v>
      </c>
      <c r="N365" s="20" t="s">
        <v>2493</v>
      </c>
      <c r="O365" s="18" t="s">
        <v>164</v>
      </c>
      <c r="P365" s="18" t="s">
        <v>78</v>
      </c>
      <c r="Q365" s="19">
        <v>44914</v>
      </c>
      <c r="R365" s="21">
        <v>14.28</v>
      </c>
      <c r="S365" s="18" t="s">
        <v>79</v>
      </c>
      <c r="T365" s="18" t="s">
        <v>174</v>
      </c>
      <c r="U365" s="18" t="s">
        <v>83</v>
      </c>
      <c r="V365" s="18" t="s">
        <v>95</v>
      </c>
      <c r="W365" s="18" t="s">
        <v>95</v>
      </c>
      <c r="X365" s="18" t="s">
        <v>84</v>
      </c>
      <c r="Y365" s="18" t="s">
        <v>85</v>
      </c>
      <c r="Z365" s="18" t="s">
        <v>86</v>
      </c>
      <c r="AA365" s="18" t="s">
        <v>87</v>
      </c>
      <c r="AB365" s="18" t="s">
        <v>303</v>
      </c>
      <c r="AC365" s="18" t="s">
        <v>304</v>
      </c>
      <c r="AD365" s="18" t="s">
        <v>85</v>
      </c>
      <c r="AE365" s="18" t="s">
        <v>90</v>
      </c>
      <c r="AF365" s="18" t="s">
        <v>177</v>
      </c>
      <c r="AG365" s="18" t="s">
        <v>139</v>
      </c>
      <c r="AH365" s="18" t="s">
        <v>165</v>
      </c>
      <c r="AI365" s="18" t="s">
        <v>94</v>
      </c>
      <c r="AJ365" s="19">
        <v>44901</v>
      </c>
      <c r="AK365" s="22" t="s">
        <v>95</v>
      </c>
      <c r="AL365" s="18" t="s">
        <v>95</v>
      </c>
      <c r="AM365" s="18" t="s">
        <v>95</v>
      </c>
      <c r="AN365" s="18" t="s">
        <v>95</v>
      </c>
      <c r="AO365" s="18" t="s">
        <v>95</v>
      </c>
      <c r="AP365" s="18" t="s">
        <v>95</v>
      </c>
      <c r="AQ365" s="18" t="s">
        <v>95</v>
      </c>
      <c r="AR365" s="18" t="s">
        <v>95</v>
      </c>
      <c r="AS365" s="18" t="s">
        <v>83</v>
      </c>
      <c r="AT365" s="18" t="s">
        <v>83</v>
      </c>
      <c r="AU365" s="18" t="s">
        <v>81</v>
      </c>
      <c r="AV365" s="18" t="s">
        <v>95</v>
      </c>
      <c r="AW365" s="18" t="s">
        <v>95</v>
      </c>
      <c r="AX365" s="18"/>
      <c r="AY365" s="18" t="str">
        <f>Pospago[[#This Row],[NUM_TELEFONICO]]&amp;"POSPAGOSI"</f>
        <v>984151594POSPAGOSI</v>
      </c>
      <c r="AZ365" s="18" t="str">
        <f>VLOOKUP(Pospago[[#This Row],[NOM_PLAZA_FINAL]],[1]!Locales[#Data],3,0)</f>
        <v>TIENDA RECREO</v>
      </c>
      <c r="BA365" s="18" t="str">
        <f>IFERROR(VLOOKUP(Pospago[[#This Row],[USUARIO]],[1]!Personal[#Data],6,0),"EJECUTIVO NO REGISTRADO")</f>
        <v>CORDOVA GAIBOR JONATHAN HERNAN</v>
      </c>
      <c r="BB365" s="18" t="str">
        <f>Pospago[[#This Row],[TIPO_MOVIMIENTO]]&amp;" "&amp;Pospago[[#This Row],[FORMA_PAGO_FINAL]]</f>
        <v>TRANSFERENCIAS DOMICILIADO</v>
      </c>
      <c r="BC365" s="18">
        <f>DAY(Pospago[[#This Row],[FECHA_ALTA]])</f>
        <v>6</v>
      </c>
      <c r="BD365" s="18">
        <f>IF(Pospago[[#This Row],[TARIFA_BASICA]]=11.42,1,0)</f>
        <v>0</v>
      </c>
      <c r="BE365" s="18">
        <f>IF(Pospago[[#This Row],[PLANES TELEVENTAS]]="SI",1,0)</f>
        <v>0</v>
      </c>
      <c r="BF365" s="18">
        <f>1</f>
        <v>1</v>
      </c>
      <c r="BG365" s="18">
        <f>IF(OR(Pospago[[#This Row],[TARIFA_BASICA]]=11.42,Pospago[[#This Row],[PLANES TELEVENTAS]]="SI"),1,0)</f>
        <v>0</v>
      </c>
      <c r="BH365" s="18" t="str">
        <f>IF(MID(Pospago[[#This Row],[PlanDesc]],1,4) = "PLAN","POSPAGO",IF(MID(Pospago[[#This Row],[PlanDesc]],1,4)="FULL","FULL MEGAS","PREVIOPAGO"))</f>
        <v>PREVIOPAGO</v>
      </c>
      <c r="BI3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65" s="21">
        <f>Pospago[[#This Row],[TARIFA_BASICA]]*1.5</f>
        <v>21.419999999999998</v>
      </c>
    </row>
    <row r="366" spans="1:63" x14ac:dyDescent="0.25">
      <c r="A366" s="18" t="s">
        <v>154</v>
      </c>
      <c r="B366" s="18" t="s">
        <v>2494</v>
      </c>
      <c r="C366" s="18" t="s">
        <v>2495</v>
      </c>
      <c r="D366" s="19">
        <v>44902</v>
      </c>
      <c r="E366" s="18" t="s">
        <v>67</v>
      </c>
      <c r="F366" s="18" t="s">
        <v>2496</v>
      </c>
      <c r="G366" s="18" t="s">
        <v>2497</v>
      </c>
      <c r="H366" s="18" t="s">
        <v>159</v>
      </c>
      <c r="I366" s="18" t="s">
        <v>160</v>
      </c>
      <c r="J366" s="18" t="s">
        <v>161</v>
      </c>
      <c r="K366" s="18" t="s">
        <v>980</v>
      </c>
      <c r="L366" s="20" t="s">
        <v>2498</v>
      </c>
      <c r="M366" s="18" t="s">
        <v>75</v>
      </c>
      <c r="N366" s="20" t="s">
        <v>2499</v>
      </c>
      <c r="O366" s="18" t="s">
        <v>164</v>
      </c>
      <c r="P366" s="18" t="s">
        <v>78</v>
      </c>
      <c r="Q366" s="19">
        <v>44914</v>
      </c>
      <c r="R366" s="21">
        <v>14.28</v>
      </c>
      <c r="S366" s="18" t="s">
        <v>79</v>
      </c>
      <c r="T366" s="18" t="s">
        <v>80</v>
      </c>
      <c r="U366" s="18" t="s">
        <v>83</v>
      </c>
      <c r="V366" s="18" t="s">
        <v>95</v>
      </c>
      <c r="W366" s="18" t="s">
        <v>95</v>
      </c>
      <c r="X366" s="18" t="s">
        <v>84</v>
      </c>
      <c r="Y366" s="18" t="s">
        <v>85</v>
      </c>
      <c r="Z366" s="18" t="s">
        <v>86</v>
      </c>
      <c r="AA366" s="18" t="s">
        <v>87</v>
      </c>
      <c r="AB366" s="18" t="s">
        <v>880</v>
      </c>
      <c r="AC366" s="18" t="s">
        <v>881</v>
      </c>
      <c r="AD366" s="18" t="s">
        <v>85</v>
      </c>
      <c r="AE366" s="18" t="s">
        <v>90</v>
      </c>
      <c r="AF366" s="18" t="s">
        <v>91</v>
      </c>
      <c r="AG366" s="18" t="s">
        <v>92</v>
      </c>
      <c r="AH366" s="18" t="s">
        <v>165</v>
      </c>
      <c r="AI366" s="18" t="s">
        <v>94</v>
      </c>
      <c r="AJ366" s="19">
        <v>44902</v>
      </c>
      <c r="AK366" s="22" t="s">
        <v>95</v>
      </c>
      <c r="AL366" s="18" t="s">
        <v>95</v>
      </c>
      <c r="AM366" s="18" t="s">
        <v>95</v>
      </c>
      <c r="AN366" s="18" t="s">
        <v>95</v>
      </c>
      <c r="AO366" s="18" t="s">
        <v>95</v>
      </c>
      <c r="AP366" s="18" t="s">
        <v>95</v>
      </c>
      <c r="AQ366" s="18" t="s">
        <v>95</v>
      </c>
      <c r="AR366" s="18" t="s">
        <v>95</v>
      </c>
      <c r="AS366" s="18" t="s">
        <v>83</v>
      </c>
      <c r="AT366" s="18" t="s">
        <v>83</v>
      </c>
      <c r="AU366" s="18" t="s">
        <v>81</v>
      </c>
      <c r="AV366" s="18" t="s">
        <v>95</v>
      </c>
      <c r="AW366" s="18" t="s">
        <v>95</v>
      </c>
      <c r="AX366" s="18"/>
      <c r="AY366" s="18" t="str">
        <f>Pospago[[#This Row],[NUM_TELEFONICO]]&amp;"POSPAGOSI"</f>
        <v>984154695POSPAGOSI</v>
      </c>
      <c r="AZ366" s="18" t="str">
        <f>VLOOKUP(Pospago[[#This Row],[NOM_PLAZA_FINAL]],[1]!Locales[#Data],3,0)</f>
        <v>TIENDA CUENCA CENTRO</v>
      </c>
      <c r="BA366" s="18" t="str">
        <f>IFERROR(VLOOKUP(Pospago[[#This Row],[USUARIO]],[1]!Personal[#Data],6,0),"EJECUTIVO NO REGISTRADO")</f>
        <v>LUNA JACHO ANDREA GABRIELA</v>
      </c>
      <c r="BB366" s="18" t="str">
        <f>Pospago[[#This Row],[TIPO_MOVIMIENTO]]&amp;" "&amp;Pospago[[#This Row],[FORMA_PAGO_FINAL]]</f>
        <v>TRANSFERENCIAS DOMICILIADO</v>
      </c>
      <c r="BC366" s="18">
        <f>DAY(Pospago[[#This Row],[FECHA_ALTA]])</f>
        <v>7</v>
      </c>
      <c r="BD366" s="18">
        <f>IF(Pospago[[#This Row],[TARIFA_BASICA]]=11.42,1,0)</f>
        <v>0</v>
      </c>
      <c r="BE366" s="18">
        <f>IF(Pospago[[#This Row],[PLANES TELEVENTAS]]="SI",1,0)</f>
        <v>0</v>
      </c>
      <c r="BF366" s="18">
        <f>1</f>
        <v>1</v>
      </c>
      <c r="BG366" s="18">
        <f>IF(OR(Pospago[[#This Row],[TARIFA_BASICA]]=11.42,Pospago[[#This Row],[PLANES TELEVENTAS]]="SI"),1,0)</f>
        <v>0</v>
      </c>
      <c r="BH366" s="18" t="str">
        <f>IF(MID(Pospago[[#This Row],[PlanDesc]],1,4) = "PLAN","POSPAGO",IF(MID(Pospago[[#This Row],[PlanDesc]],1,4)="FULL","FULL MEGAS","PREVIOPAGO"))</f>
        <v>PREVIOPAGO</v>
      </c>
      <c r="BI3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66" s="21">
        <f>Pospago[[#This Row],[TARIFA_BASICA]]*1.5</f>
        <v>21.419999999999998</v>
      </c>
    </row>
    <row r="367" spans="1:63" x14ac:dyDescent="0.25">
      <c r="A367" s="18" t="s">
        <v>64</v>
      </c>
      <c r="B367" s="18" t="s">
        <v>2500</v>
      </c>
      <c r="C367" s="18" t="s">
        <v>2501</v>
      </c>
      <c r="D367" s="19">
        <v>44911</v>
      </c>
      <c r="E367" s="18" t="s">
        <v>67</v>
      </c>
      <c r="F367" s="18" t="s">
        <v>2502</v>
      </c>
      <c r="G367" s="18" t="s">
        <v>2503</v>
      </c>
      <c r="H367" s="18" t="s">
        <v>70</v>
      </c>
      <c r="I367" s="18" t="s">
        <v>130</v>
      </c>
      <c r="J367" s="18" t="s">
        <v>131</v>
      </c>
      <c r="K367" s="18" t="s">
        <v>132</v>
      </c>
      <c r="L367" s="20" t="s">
        <v>2504</v>
      </c>
      <c r="M367" s="18" t="s">
        <v>75</v>
      </c>
      <c r="N367" s="20" t="s">
        <v>2505</v>
      </c>
      <c r="O367" s="18" t="s">
        <v>77</v>
      </c>
      <c r="P367" s="18" t="s">
        <v>78</v>
      </c>
      <c r="Q367" s="19">
        <v>44914</v>
      </c>
      <c r="R367" s="21">
        <v>15</v>
      </c>
      <c r="S367" s="18" t="s">
        <v>79</v>
      </c>
      <c r="T367" s="18" t="s">
        <v>174</v>
      </c>
      <c r="U367" s="18" t="s">
        <v>83</v>
      </c>
      <c r="V367" s="18" t="s">
        <v>95</v>
      </c>
      <c r="W367" s="18" t="s">
        <v>83</v>
      </c>
      <c r="X367" s="18" t="s">
        <v>84</v>
      </c>
      <c r="Y367" s="18" t="s">
        <v>85</v>
      </c>
      <c r="Z367" s="18" t="s">
        <v>86</v>
      </c>
      <c r="AA367" s="18" t="s">
        <v>87</v>
      </c>
      <c r="AB367" s="18" t="s">
        <v>251</v>
      </c>
      <c r="AC367" s="18" t="s">
        <v>252</v>
      </c>
      <c r="AD367" s="18" t="s">
        <v>85</v>
      </c>
      <c r="AE367" s="18" t="s">
        <v>90</v>
      </c>
      <c r="AF367" s="18" t="s">
        <v>177</v>
      </c>
      <c r="AG367" s="18" t="s">
        <v>139</v>
      </c>
      <c r="AH367" s="18" t="s">
        <v>93</v>
      </c>
      <c r="AI367" s="18" t="s">
        <v>94</v>
      </c>
      <c r="AJ367" s="19">
        <v>44911</v>
      </c>
      <c r="AK367" s="22" t="s">
        <v>95</v>
      </c>
      <c r="AL367" s="18" t="s">
        <v>95</v>
      </c>
      <c r="AM367" s="18" t="s">
        <v>95</v>
      </c>
      <c r="AN367" s="18" t="s">
        <v>95</v>
      </c>
      <c r="AO367" s="18" t="s">
        <v>95</v>
      </c>
      <c r="AP367" s="18" t="s">
        <v>95</v>
      </c>
      <c r="AQ367" s="18" t="s">
        <v>95</v>
      </c>
      <c r="AR367" s="18" t="s">
        <v>95</v>
      </c>
      <c r="AS367" s="18" t="s">
        <v>83</v>
      </c>
      <c r="AT367" s="18" t="s">
        <v>83</v>
      </c>
      <c r="AU367" s="18" t="s">
        <v>81</v>
      </c>
      <c r="AV367" s="18" t="s">
        <v>95</v>
      </c>
      <c r="AW367" s="18" t="s">
        <v>95</v>
      </c>
      <c r="AX367" s="18"/>
      <c r="AY367" s="18" t="str">
        <f>Pospago[[#This Row],[NUM_TELEFONICO]]&amp;"POSPAGOSI"</f>
        <v>984168393POSPAGOSI</v>
      </c>
      <c r="AZ367" s="18" t="str">
        <f>VLOOKUP(Pospago[[#This Row],[NOM_PLAZA_FINAL]],[1]!Locales[#Data],3,0)</f>
        <v>TIENDA RECREO</v>
      </c>
      <c r="BA367" s="18" t="str">
        <f>IFERROR(VLOOKUP(Pospago[[#This Row],[USUARIO]],[1]!Personal[#Data],6,0),"EJECUTIVO NO REGISTRADO")</f>
        <v>CRUZ MONTUFAR KATHERINE ALEJANDRA</v>
      </c>
      <c r="BB367" s="18" t="str">
        <f>Pospago[[#This Row],[TIPO_MOVIMIENTO]]&amp;" "&amp;Pospago[[#This Row],[FORMA_PAGO_FINAL]]</f>
        <v>ALTAS DOMICILIADO</v>
      </c>
      <c r="BC367" s="18">
        <f>DAY(Pospago[[#This Row],[FECHA_ALTA]])</f>
        <v>16</v>
      </c>
      <c r="BD367" s="18">
        <f>IF(Pospago[[#This Row],[TARIFA_BASICA]]=11.42,1,0)</f>
        <v>0</v>
      </c>
      <c r="BE367" s="18">
        <f>IF(Pospago[[#This Row],[PLANES TELEVENTAS]]="SI",1,0)</f>
        <v>0</v>
      </c>
      <c r="BF367" s="18">
        <f>1</f>
        <v>1</v>
      </c>
      <c r="BG367" s="18">
        <f>IF(OR(Pospago[[#This Row],[TARIFA_BASICA]]=11.42,Pospago[[#This Row],[PLANES TELEVENTAS]]="SI"),1,0)</f>
        <v>0</v>
      </c>
      <c r="BH367" s="18" t="str">
        <f>IF(MID(Pospago[[#This Row],[PlanDesc]],1,4) = "PLAN","POSPAGO",IF(MID(Pospago[[#This Row],[PlanDesc]],1,4)="FULL","FULL MEGAS","PREVIOPAGO"))</f>
        <v>PREVIOPAGO</v>
      </c>
      <c r="BI3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3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67" s="21">
        <f>Pospago[[#This Row],[TARIFA_BASICA]]*1.5</f>
        <v>22.5</v>
      </c>
    </row>
    <row r="368" spans="1:63" x14ac:dyDescent="0.25">
      <c r="A368" s="18" t="s">
        <v>64</v>
      </c>
      <c r="B368" s="18" t="s">
        <v>2506</v>
      </c>
      <c r="C368" s="18" t="s">
        <v>2507</v>
      </c>
      <c r="D368" s="19">
        <v>44900</v>
      </c>
      <c r="E368" s="18" t="s">
        <v>67</v>
      </c>
      <c r="F368" s="18" t="s">
        <v>2508</v>
      </c>
      <c r="G368" s="18" t="s">
        <v>2509</v>
      </c>
      <c r="H368" s="18" t="s">
        <v>70</v>
      </c>
      <c r="I368" s="18" t="s">
        <v>227</v>
      </c>
      <c r="J368" s="18" t="s">
        <v>228</v>
      </c>
      <c r="K368" s="18" t="s">
        <v>73</v>
      </c>
      <c r="L368" s="20" t="s">
        <v>2510</v>
      </c>
      <c r="M368" s="18" t="s">
        <v>75</v>
      </c>
      <c r="N368" s="20" t="s">
        <v>2511</v>
      </c>
      <c r="O368" s="18" t="s">
        <v>77</v>
      </c>
      <c r="P368" s="18" t="s">
        <v>78</v>
      </c>
      <c r="Q368" s="19">
        <v>44914</v>
      </c>
      <c r="R368" s="21">
        <v>21.42</v>
      </c>
      <c r="S368" s="18" t="s">
        <v>79</v>
      </c>
      <c r="T368" s="18" t="s">
        <v>80</v>
      </c>
      <c r="U368" s="18" t="s">
        <v>83</v>
      </c>
      <c r="V368" s="18" t="s">
        <v>95</v>
      </c>
      <c r="W368" s="18" t="s">
        <v>83</v>
      </c>
      <c r="X368" s="18" t="s">
        <v>84</v>
      </c>
      <c r="Y368" s="18" t="s">
        <v>85</v>
      </c>
      <c r="Z368" s="18" t="s">
        <v>86</v>
      </c>
      <c r="AA368" s="18" t="s">
        <v>87</v>
      </c>
      <c r="AB368" s="18" t="s">
        <v>242</v>
      </c>
      <c r="AC368" s="18" t="s">
        <v>243</v>
      </c>
      <c r="AD368" s="18" t="s">
        <v>85</v>
      </c>
      <c r="AE368" s="18" t="s">
        <v>90</v>
      </c>
      <c r="AF368" s="18" t="s">
        <v>91</v>
      </c>
      <c r="AG368" s="18" t="s">
        <v>92</v>
      </c>
      <c r="AH368" s="18" t="s">
        <v>93</v>
      </c>
      <c r="AI368" s="18" t="s">
        <v>94</v>
      </c>
      <c r="AJ368" s="19">
        <v>44900</v>
      </c>
      <c r="AK368" s="22" t="s">
        <v>95</v>
      </c>
      <c r="AL368" s="18" t="s">
        <v>95</v>
      </c>
      <c r="AM368" s="18" t="s">
        <v>95</v>
      </c>
      <c r="AN368" s="18" t="s">
        <v>95</v>
      </c>
      <c r="AO368" s="18" t="s">
        <v>95</v>
      </c>
      <c r="AP368" s="18" t="s">
        <v>95</v>
      </c>
      <c r="AQ368" s="18" t="s">
        <v>95</v>
      </c>
      <c r="AR368" s="18" t="s">
        <v>95</v>
      </c>
      <c r="AS368" s="18" t="s">
        <v>83</v>
      </c>
      <c r="AT368" s="18" t="s">
        <v>83</v>
      </c>
      <c r="AU368" s="18" t="s">
        <v>81</v>
      </c>
      <c r="AV368" s="18" t="s">
        <v>95</v>
      </c>
      <c r="AW368" s="18" t="s">
        <v>95</v>
      </c>
      <c r="AX368" s="18"/>
      <c r="AY368" s="18" t="str">
        <f>Pospago[[#This Row],[NUM_TELEFONICO]]&amp;"POSPAGOSI"</f>
        <v>984179188POSPAGOSI</v>
      </c>
      <c r="AZ368" s="18" t="str">
        <f>VLOOKUP(Pospago[[#This Row],[NOM_PLAZA_FINAL]],[1]!Locales[#Data],3,0)</f>
        <v>TIENDA CUENCA CENTRO</v>
      </c>
      <c r="BA368" s="18" t="str">
        <f>IFERROR(VLOOKUP(Pospago[[#This Row],[USUARIO]],[1]!Personal[#Data],6,0),"EJECUTIVO NO REGISTRADO")</f>
        <v>VALLEJO DELEG ROMAN NICOLAS</v>
      </c>
      <c r="BB368" s="18" t="str">
        <f>Pospago[[#This Row],[TIPO_MOVIMIENTO]]&amp;" "&amp;Pospago[[#This Row],[FORMA_PAGO_FINAL]]</f>
        <v>ALTAS DOMICILIADO</v>
      </c>
      <c r="BC368" s="18">
        <f>DAY(Pospago[[#This Row],[FECHA_ALTA]])</f>
        <v>5</v>
      </c>
      <c r="BD368" s="18">
        <f>IF(Pospago[[#This Row],[TARIFA_BASICA]]=11.42,1,0)</f>
        <v>0</v>
      </c>
      <c r="BE368" s="18">
        <f>IF(Pospago[[#This Row],[PLANES TELEVENTAS]]="SI",1,0)</f>
        <v>0</v>
      </c>
      <c r="BF368" s="18">
        <f>1</f>
        <v>1</v>
      </c>
      <c r="BG368" s="18">
        <f>IF(OR(Pospago[[#This Row],[TARIFA_BASICA]]=11.42,Pospago[[#This Row],[PLANES TELEVENTAS]]="SI"),1,0)</f>
        <v>0</v>
      </c>
      <c r="BH368" s="18" t="str">
        <f>IF(MID(Pospago[[#This Row],[PlanDesc]],1,4) = "PLAN","POSPAGO",IF(MID(Pospago[[#This Row],[PlanDesc]],1,4)="FULL","FULL MEGAS","PREVIOPAGO"))</f>
        <v>PREVIOPAGO</v>
      </c>
      <c r="BI3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3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68" s="21">
        <f>Pospago[[#This Row],[TARIFA_BASICA]]*1.5</f>
        <v>32.130000000000003</v>
      </c>
    </row>
    <row r="369" spans="1:63" x14ac:dyDescent="0.25">
      <c r="A369" s="18" t="s">
        <v>154</v>
      </c>
      <c r="B369" s="18" t="s">
        <v>2512</v>
      </c>
      <c r="C369" s="18" t="s">
        <v>2513</v>
      </c>
      <c r="D369" s="19">
        <v>44901</v>
      </c>
      <c r="E369" s="18" t="s">
        <v>67</v>
      </c>
      <c r="F369" s="18" t="s">
        <v>2514</v>
      </c>
      <c r="G369" s="18" t="s">
        <v>2515</v>
      </c>
      <c r="H369" s="18" t="s">
        <v>159</v>
      </c>
      <c r="I369" s="18" t="s">
        <v>71</v>
      </c>
      <c r="J369" s="18" t="s">
        <v>258</v>
      </c>
      <c r="K369" s="18" t="s">
        <v>95</v>
      </c>
      <c r="L369" s="20" t="s">
        <v>2516</v>
      </c>
      <c r="M369" s="18" t="s">
        <v>75</v>
      </c>
      <c r="N369" s="20" t="s">
        <v>2517</v>
      </c>
      <c r="O369" s="18" t="s">
        <v>2241</v>
      </c>
      <c r="P369" s="18" t="s">
        <v>78</v>
      </c>
      <c r="Q369" s="19">
        <v>44914</v>
      </c>
      <c r="R369" s="21">
        <v>11.42</v>
      </c>
      <c r="S369" s="18" t="s">
        <v>79</v>
      </c>
      <c r="T369" s="18" t="s">
        <v>148</v>
      </c>
      <c r="U369" s="18" t="s">
        <v>83</v>
      </c>
      <c r="V369" s="18" t="s">
        <v>95</v>
      </c>
      <c r="W369" s="18" t="s">
        <v>95</v>
      </c>
      <c r="X369" s="18" t="s">
        <v>118</v>
      </c>
      <c r="Y369" s="18" t="s">
        <v>85</v>
      </c>
      <c r="Z369" s="18" t="s">
        <v>86</v>
      </c>
      <c r="AA369" s="18" t="s">
        <v>119</v>
      </c>
      <c r="AB369" s="18" t="s">
        <v>420</v>
      </c>
      <c r="AC369" s="18" t="s">
        <v>421</v>
      </c>
      <c r="AD369" s="18" t="s">
        <v>85</v>
      </c>
      <c r="AE369" s="18" t="s">
        <v>90</v>
      </c>
      <c r="AF369" s="18" t="s">
        <v>151</v>
      </c>
      <c r="AG369" s="18" t="s">
        <v>92</v>
      </c>
      <c r="AH369" s="18" t="s">
        <v>165</v>
      </c>
      <c r="AI369" s="18" t="s">
        <v>94</v>
      </c>
      <c r="AJ369" s="19">
        <v>44901</v>
      </c>
      <c r="AK369" s="22" t="s">
        <v>95</v>
      </c>
      <c r="AL369" s="18" t="s">
        <v>95</v>
      </c>
      <c r="AM369" s="18" t="s">
        <v>95</v>
      </c>
      <c r="AN369" s="18" t="s">
        <v>95</v>
      </c>
      <c r="AO369" s="18" t="s">
        <v>95</v>
      </c>
      <c r="AP369" s="18" t="s">
        <v>95</v>
      </c>
      <c r="AQ369" s="18" t="s">
        <v>95</v>
      </c>
      <c r="AR369" s="18" t="s">
        <v>95</v>
      </c>
      <c r="AS369" s="18" t="s">
        <v>83</v>
      </c>
      <c r="AT369" s="18" t="s">
        <v>83</v>
      </c>
      <c r="AU369" s="18" t="s">
        <v>81</v>
      </c>
      <c r="AV369" s="18" t="s">
        <v>95</v>
      </c>
      <c r="AW369" s="18" t="s">
        <v>95</v>
      </c>
      <c r="AX369" s="18"/>
      <c r="AY369" s="18" t="str">
        <f>Pospago[[#This Row],[NUM_TELEFONICO]]&amp;"POSPAGOSI"</f>
        <v>984181701POSPAGOSI</v>
      </c>
      <c r="AZ369" s="18" t="str">
        <f>VLOOKUP(Pospago[[#This Row],[NOM_PLAZA_FINAL]],[1]!Locales[#Data],3,0)</f>
        <v>TIENDA CUENCA REMIGIO</v>
      </c>
      <c r="BA369" s="18" t="str">
        <f>IFERROR(VLOOKUP(Pospago[[#This Row],[USUARIO]],[1]!Personal[#Data],6,0),"EJECUTIVO NO REGISTRADO")</f>
        <v>YEPEZ PALOMEQUE DIANA PATRICIA</v>
      </c>
      <c r="BB369" s="18" t="str">
        <f>Pospago[[#This Row],[TIPO_MOVIMIENTO]]&amp;" "&amp;Pospago[[#This Row],[FORMA_PAGO_FINAL]]</f>
        <v>TRANSFERENCIAS PAGO EN CAJA</v>
      </c>
      <c r="BC369" s="18">
        <f>DAY(Pospago[[#This Row],[FECHA_ALTA]])</f>
        <v>6</v>
      </c>
      <c r="BD369" s="18">
        <f>IF(Pospago[[#This Row],[TARIFA_BASICA]]=11.42,1,0)</f>
        <v>1</v>
      </c>
      <c r="BE369" s="18">
        <f>IF(Pospago[[#This Row],[PLANES TELEVENTAS]]="SI",1,0)</f>
        <v>0</v>
      </c>
      <c r="BF369" s="18">
        <f>1</f>
        <v>1</v>
      </c>
      <c r="BG369" s="18">
        <f>IF(OR(Pospago[[#This Row],[TARIFA_BASICA]]=11.42,Pospago[[#This Row],[PLANES TELEVENTAS]]="SI"),1,0)</f>
        <v>1</v>
      </c>
      <c r="BH369" s="18" t="str">
        <f>IF(MID(Pospago[[#This Row],[PlanDesc]],1,4) = "PLAN","POSPAGO",IF(MID(Pospago[[#This Row],[PlanDesc]],1,4)="FULL","FULL MEGAS","PREVIOPAGO"))</f>
        <v>PREVIOPAGO</v>
      </c>
      <c r="BI3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69" s="21">
        <f>Pospago[[#This Row],[TARIFA_BASICA]]*1.5</f>
        <v>17.13</v>
      </c>
    </row>
    <row r="370" spans="1:63" x14ac:dyDescent="0.25">
      <c r="A370" s="18" t="s">
        <v>154</v>
      </c>
      <c r="B370" s="18" t="s">
        <v>2518</v>
      </c>
      <c r="C370" s="18" t="s">
        <v>2519</v>
      </c>
      <c r="D370" s="19">
        <v>44896</v>
      </c>
      <c r="E370" s="18" t="s">
        <v>246</v>
      </c>
      <c r="F370" s="18" t="s">
        <v>2520</v>
      </c>
      <c r="G370" s="18" t="s">
        <v>2521</v>
      </c>
      <c r="H370" s="18" t="s">
        <v>159</v>
      </c>
      <c r="I370" s="18" t="s">
        <v>160</v>
      </c>
      <c r="J370" s="18" t="s">
        <v>161</v>
      </c>
      <c r="K370" s="18" t="s">
        <v>73</v>
      </c>
      <c r="L370" s="20" t="s">
        <v>2522</v>
      </c>
      <c r="M370" s="18" t="s">
        <v>75</v>
      </c>
      <c r="N370" s="20" t="s">
        <v>2523</v>
      </c>
      <c r="O370" s="18" t="s">
        <v>164</v>
      </c>
      <c r="P370" s="18" t="s">
        <v>78</v>
      </c>
      <c r="Q370" s="19">
        <v>44914</v>
      </c>
      <c r="R370" s="21">
        <v>14.28</v>
      </c>
      <c r="S370" s="18" t="s">
        <v>79</v>
      </c>
      <c r="T370" s="18" t="s">
        <v>174</v>
      </c>
      <c r="U370" s="18" t="s">
        <v>83</v>
      </c>
      <c r="V370" s="18" t="s">
        <v>95</v>
      </c>
      <c r="W370" s="18" t="s">
        <v>95</v>
      </c>
      <c r="X370" s="18" t="s">
        <v>118</v>
      </c>
      <c r="Y370" s="18" t="s">
        <v>85</v>
      </c>
      <c r="Z370" s="18" t="s">
        <v>86</v>
      </c>
      <c r="AA370" s="18" t="s">
        <v>119</v>
      </c>
      <c r="AB370" s="18" t="s">
        <v>760</v>
      </c>
      <c r="AC370" s="18" t="s">
        <v>761</v>
      </c>
      <c r="AD370" s="18" t="s">
        <v>85</v>
      </c>
      <c r="AE370" s="18" t="s">
        <v>90</v>
      </c>
      <c r="AF370" s="18" t="s">
        <v>177</v>
      </c>
      <c r="AG370" s="18" t="s">
        <v>139</v>
      </c>
      <c r="AH370" s="18" t="s">
        <v>165</v>
      </c>
      <c r="AI370" s="18" t="s">
        <v>94</v>
      </c>
      <c r="AJ370" s="19">
        <v>44896</v>
      </c>
      <c r="AK370" s="22" t="s">
        <v>95</v>
      </c>
      <c r="AL370" s="18" t="s">
        <v>95</v>
      </c>
      <c r="AM370" s="18" t="s">
        <v>95</v>
      </c>
      <c r="AN370" s="18" t="s">
        <v>95</v>
      </c>
      <c r="AO370" s="18" t="s">
        <v>95</v>
      </c>
      <c r="AP370" s="18" t="s">
        <v>95</v>
      </c>
      <c r="AQ370" s="18" t="s">
        <v>95</v>
      </c>
      <c r="AR370" s="18" t="s">
        <v>95</v>
      </c>
      <c r="AS370" s="18" t="s">
        <v>83</v>
      </c>
      <c r="AT370" s="18" t="s">
        <v>83</v>
      </c>
      <c r="AU370" s="18" t="s">
        <v>81</v>
      </c>
      <c r="AV370" s="18" t="s">
        <v>95</v>
      </c>
      <c r="AW370" s="18" t="s">
        <v>95</v>
      </c>
      <c r="AX370" s="18"/>
      <c r="AY370" s="18" t="str">
        <f>Pospago[[#This Row],[NUM_TELEFONICO]]&amp;"POSPAGOSI"</f>
        <v>984185038POSPAGOSI</v>
      </c>
      <c r="AZ370" s="18" t="str">
        <f>VLOOKUP(Pospago[[#This Row],[NOM_PLAZA_FINAL]],[1]!Locales[#Data],3,0)</f>
        <v>TIENDA RECREO</v>
      </c>
      <c r="BA370" s="18" t="str">
        <f>IFERROR(VLOOKUP(Pospago[[#This Row],[USUARIO]],[1]!Personal[#Data],6,0),"EJECUTIVO NO REGISTRADO")</f>
        <v>VALBUENA SANCHEZ ALBERT ANTHONY</v>
      </c>
      <c r="BB370" s="18" t="str">
        <f>Pospago[[#This Row],[TIPO_MOVIMIENTO]]&amp;" "&amp;Pospago[[#This Row],[FORMA_PAGO_FINAL]]</f>
        <v>TRANSFERENCIAS PAGO EN CAJA</v>
      </c>
      <c r="BC370" s="18">
        <f>DAY(Pospago[[#This Row],[FECHA_ALTA]])</f>
        <v>1</v>
      </c>
      <c r="BD370" s="18">
        <f>IF(Pospago[[#This Row],[TARIFA_BASICA]]=11.42,1,0)</f>
        <v>0</v>
      </c>
      <c r="BE370" s="18">
        <f>IF(Pospago[[#This Row],[PLANES TELEVENTAS]]="SI",1,0)</f>
        <v>0</v>
      </c>
      <c r="BF370" s="18">
        <f>1</f>
        <v>1</v>
      </c>
      <c r="BG370" s="18">
        <f>IF(OR(Pospago[[#This Row],[TARIFA_BASICA]]=11.42,Pospago[[#This Row],[PLANES TELEVENTAS]]="SI"),1,0)</f>
        <v>0</v>
      </c>
      <c r="BH370" s="18" t="str">
        <f>IF(MID(Pospago[[#This Row],[PlanDesc]],1,4) = "PLAN","POSPAGO",IF(MID(Pospago[[#This Row],[PlanDesc]],1,4)="FULL","FULL MEGAS","PREVIOPAGO"))</f>
        <v>PREVIOPAGO</v>
      </c>
      <c r="BI3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70" s="21">
        <f>Pospago[[#This Row],[TARIFA_BASICA]]*1.5</f>
        <v>21.419999999999998</v>
      </c>
    </row>
    <row r="371" spans="1:63" x14ac:dyDescent="0.25">
      <c r="A371" s="18" t="s">
        <v>154</v>
      </c>
      <c r="B371" s="18" t="s">
        <v>2524</v>
      </c>
      <c r="C371" s="18" t="s">
        <v>2525</v>
      </c>
      <c r="D371" s="19">
        <v>44907</v>
      </c>
      <c r="E371" s="18" t="s">
        <v>67</v>
      </c>
      <c r="F371" s="18" t="s">
        <v>2526</v>
      </c>
      <c r="G371" s="18" t="s">
        <v>2527</v>
      </c>
      <c r="H371" s="18" t="s">
        <v>159</v>
      </c>
      <c r="I371" s="18" t="s">
        <v>71</v>
      </c>
      <c r="J371" s="18" t="s">
        <v>258</v>
      </c>
      <c r="K371" s="18" t="s">
        <v>73</v>
      </c>
      <c r="L371" s="20" t="s">
        <v>2528</v>
      </c>
      <c r="M371" s="18" t="s">
        <v>75</v>
      </c>
      <c r="N371" s="20" t="s">
        <v>2529</v>
      </c>
      <c r="O371" s="18" t="s">
        <v>164</v>
      </c>
      <c r="P371" s="18" t="s">
        <v>78</v>
      </c>
      <c r="Q371" s="19">
        <v>44914</v>
      </c>
      <c r="R371" s="21">
        <v>11.42</v>
      </c>
      <c r="S371" s="18" t="s">
        <v>79</v>
      </c>
      <c r="T371" s="18" t="s">
        <v>174</v>
      </c>
      <c r="U371" s="18" t="s">
        <v>83</v>
      </c>
      <c r="V371" s="18" t="s">
        <v>95</v>
      </c>
      <c r="W371" s="18" t="s">
        <v>95</v>
      </c>
      <c r="X371" s="18" t="s">
        <v>118</v>
      </c>
      <c r="Y371" s="18" t="s">
        <v>85</v>
      </c>
      <c r="Z371" s="18" t="s">
        <v>86</v>
      </c>
      <c r="AA371" s="18" t="s">
        <v>119</v>
      </c>
      <c r="AB371" s="18" t="s">
        <v>822</v>
      </c>
      <c r="AC371" s="18" t="s">
        <v>823</v>
      </c>
      <c r="AD371" s="18" t="s">
        <v>85</v>
      </c>
      <c r="AE371" s="18" t="s">
        <v>90</v>
      </c>
      <c r="AF371" s="18" t="s">
        <v>177</v>
      </c>
      <c r="AG371" s="18" t="s">
        <v>139</v>
      </c>
      <c r="AH371" s="18" t="s">
        <v>165</v>
      </c>
      <c r="AI371" s="18" t="s">
        <v>94</v>
      </c>
      <c r="AJ371" s="19">
        <v>44907</v>
      </c>
      <c r="AK371" s="22" t="s">
        <v>95</v>
      </c>
      <c r="AL371" s="18" t="s">
        <v>95</v>
      </c>
      <c r="AM371" s="18" t="s">
        <v>95</v>
      </c>
      <c r="AN371" s="18" t="s">
        <v>95</v>
      </c>
      <c r="AO371" s="18" t="s">
        <v>95</v>
      </c>
      <c r="AP371" s="18" t="s">
        <v>95</v>
      </c>
      <c r="AQ371" s="18" t="s">
        <v>95</v>
      </c>
      <c r="AR371" s="18" t="s">
        <v>95</v>
      </c>
      <c r="AS371" s="18" t="s">
        <v>83</v>
      </c>
      <c r="AT371" s="18" t="s">
        <v>83</v>
      </c>
      <c r="AU371" s="18" t="s">
        <v>81</v>
      </c>
      <c r="AV371" s="18" t="s">
        <v>95</v>
      </c>
      <c r="AW371" s="18" t="s">
        <v>95</v>
      </c>
      <c r="AX371" s="18"/>
      <c r="AY371" s="18" t="str">
        <f>Pospago[[#This Row],[NUM_TELEFONICO]]&amp;"POSPAGOSI"</f>
        <v>984207801POSPAGOSI</v>
      </c>
      <c r="AZ371" s="18" t="str">
        <f>VLOOKUP(Pospago[[#This Row],[NOM_PLAZA_FINAL]],[1]!Locales[#Data],3,0)</f>
        <v>TIENDA RECREO</v>
      </c>
      <c r="BA371" s="18" t="str">
        <f>IFERROR(VLOOKUP(Pospago[[#This Row],[USUARIO]],[1]!Personal[#Data],6,0),"EJECUTIVO NO REGISTRADO")</f>
        <v>SALAS PARRA MARIA JOSE</v>
      </c>
      <c r="BB371" s="18" t="str">
        <f>Pospago[[#This Row],[TIPO_MOVIMIENTO]]&amp;" "&amp;Pospago[[#This Row],[FORMA_PAGO_FINAL]]</f>
        <v>TRANSFERENCIAS PAGO EN CAJA</v>
      </c>
      <c r="BC371" s="18">
        <f>DAY(Pospago[[#This Row],[FECHA_ALTA]])</f>
        <v>12</v>
      </c>
      <c r="BD371" s="18">
        <f>IF(Pospago[[#This Row],[TARIFA_BASICA]]=11.42,1,0)</f>
        <v>1</v>
      </c>
      <c r="BE371" s="18">
        <f>IF(Pospago[[#This Row],[PLANES TELEVENTAS]]="SI",1,0)</f>
        <v>0</v>
      </c>
      <c r="BF371" s="18">
        <f>1</f>
        <v>1</v>
      </c>
      <c r="BG371" s="18">
        <f>IF(OR(Pospago[[#This Row],[TARIFA_BASICA]]=11.42,Pospago[[#This Row],[PLANES TELEVENTAS]]="SI"),1,0)</f>
        <v>1</v>
      </c>
      <c r="BH371" s="18" t="str">
        <f>IF(MID(Pospago[[#This Row],[PlanDesc]],1,4) = "PLAN","POSPAGO",IF(MID(Pospago[[#This Row],[PlanDesc]],1,4)="FULL","FULL MEGAS","PREVIOPAGO"))</f>
        <v>PREVIOPAGO</v>
      </c>
      <c r="BI3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71" s="21">
        <f>Pospago[[#This Row],[TARIFA_BASICA]]*1.5</f>
        <v>17.13</v>
      </c>
    </row>
    <row r="372" spans="1:63" x14ac:dyDescent="0.25">
      <c r="A372" s="18" t="s">
        <v>64</v>
      </c>
      <c r="B372" s="18" t="s">
        <v>2530</v>
      </c>
      <c r="C372" s="18" t="s">
        <v>2531</v>
      </c>
      <c r="D372" s="19">
        <v>44910</v>
      </c>
      <c r="E372" s="18" t="s">
        <v>67</v>
      </c>
      <c r="F372" s="18" t="s">
        <v>2532</v>
      </c>
      <c r="G372" s="18" t="s">
        <v>2533</v>
      </c>
      <c r="H372" s="18" t="s">
        <v>70</v>
      </c>
      <c r="I372" s="18" t="s">
        <v>112</v>
      </c>
      <c r="J372" s="18" t="s">
        <v>113</v>
      </c>
      <c r="K372" s="18" t="s">
        <v>2534</v>
      </c>
      <c r="L372" s="20" t="s">
        <v>2535</v>
      </c>
      <c r="M372" s="18" t="s">
        <v>75</v>
      </c>
      <c r="N372" s="20" t="s">
        <v>2536</v>
      </c>
      <c r="O372" s="18" t="s">
        <v>77</v>
      </c>
      <c r="P372" s="18" t="s">
        <v>78</v>
      </c>
      <c r="Q372" s="19">
        <v>44914</v>
      </c>
      <c r="R372" s="21">
        <v>17.850000000000001</v>
      </c>
      <c r="S372" s="18" t="s">
        <v>79</v>
      </c>
      <c r="T372" s="18" t="s">
        <v>135</v>
      </c>
      <c r="U372" s="18" t="s">
        <v>83</v>
      </c>
      <c r="V372" s="18" t="s">
        <v>95</v>
      </c>
      <c r="W372" s="18" t="s">
        <v>83</v>
      </c>
      <c r="X372" s="18" t="s">
        <v>84</v>
      </c>
      <c r="Y372" s="18" t="s">
        <v>85</v>
      </c>
      <c r="Z372" s="18" t="s">
        <v>86</v>
      </c>
      <c r="AA372" s="18" t="s">
        <v>87</v>
      </c>
      <c r="AB372" s="18" t="s">
        <v>478</v>
      </c>
      <c r="AC372" s="18" t="s">
        <v>479</v>
      </c>
      <c r="AD372" s="18" t="s">
        <v>85</v>
      </c>
      <c r="AE372" s="18" t="s">
        <v>90</v>
      </c>
      <c r="AF372" s="18" t="s">
        <v>138</v>
      </c>
      <c r="AG372" s="18" t="s">
        <v>139</v>
      </c>
      <c r="AH372" s="18" t="s">
        <v>93</v>
      </c>
      <c r="AI372" s="18" t="s">
        <v>94</v>
      </c>
      <c r="AJ372" s="19">
        <v>44910</v>
      </c>
      <c r="AK372" s="22" t="s">
        <v>95</v>
      </c>
      <c r="AL372" s="18" t="s">
        <v>95</v>
      </c>
      <c r="AM372" s="18" t="s">
        <v>95</v>
      </c>
      <c r="AN372" s="18" t="s">
        <v>95</v>
      </c>
      <c r="AO372" s="18" t="s">
        <v>95</v>
      </c>
      <c r="AP372" s="18" t="s">
        <v>95</v>
      </c>
      <c r="AQ372" s="18" t="s">
        <v>95</v>
      </c>
      <c r="AR372" s="18" t="s">
        <v>95</v>
      </c>
      <c r="AS372" s="18" t="s">
        <v>83</v>
      </c>
      <c r="AT372" s="18" t="s">
        <v>83</v>
      </c>
      <c r="AU372" s="18" t="s">
        <v>81</v>
      </c>
      <c r="AV372" s="18" t="s">
        <v>95</v>
      </c>
      <c r="AW372" s="18" t="s">
        <v>95</v>
      </c>
      <c r="AX372" s="18"/>
      <c r="AY372" s="18" t="str">
        <f>Pospago[[#This Row],[NUM_TELEFONICO]]&amp;"POSPAGOSI"</f>
        <v>984216658POSPAGOSI</v>
      </c>
      <c r="AZ372" s="18" t="str">
        <f>VLOOKUP(Pospago[[#This Row],[NOM_PLAZA_FINAL]],[1]!Locales[#Data],3,0)</f>
        <v>TIENDA AMERICA</v>
      </c>
      <c r="BA372" s="18" t="str">
        <f>IFERROR(VLOOKUP(Pospago[[#This Row],[USUARIO]],[1]!Personal[#Data],6,0),"EJECUTIVO NO REGISTRADO")</f>
        <v>REINO TUFINO PAULTEH KATHERINE</v>
      </c>
      <c r="BB372" s="18" t="str">
        <f>Pospago[[#This Row],[TIPO_MOVIMIENTO]]&amp;" "&amp;Pospago[[#This Row],[FORMA_PAGO_FINAL]]</f>
        <v>ALTAS DOMICILIADO</v>
      </c>
      <c r="BC372" s="18">
        <f>DAY(Pospago[[#This Row],[FECHA_ALTA]])</f>
        <v>15</v>
      </c>
      <c r="BD372" s="18">
        <f>IF(Pospago[[#This Row],[TARIFA_BASICA]]=11.42,1,0)</f>
        <v>0</v>
      </c>
      <c r="BE372" s="18">
        <f>IF(Pospago[[#This Row],[PLANES TELEVENTAS]]="SI",1,0)</f>
        <v>0</v>
      </c>
      <c r="BF372" s="18">
        <f>1</f>
        <v>1</v>
      </c>
      <c r="BG372" s="18">
        <f>IF(OR(Pospago[[#This Row],[TARIFA_BASICA]]=11.42,Pospago[[#This Row],[PLANES TELEVENTAS]]="SI"),1,0)</f>
        <v>0</v>
      </c>
      <c r="BH372" s="18" t="str">
        <f>IF(MID(Pospago[[#This Row],[PlanDesc]],1,4) = "PLAN","POSPAGO",IF(MID(Pospago[[#This Row],[PlanDesc]],1,4)="FULL","FULL MEGAS","PREVIOPAGO"))</f>
        <v>PREVIOPAGO</v>
      </c>
      <c r="BI3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3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72" s="21">
        <f>Pospago[[#This Row],[TARIFA_BASICA]]*1.5</f>
        <v>26.775000000000002</v>
      </c>
    </row>
    <row r="373" spans="1:63" x14ac:dyDescent="0.25">
      <c r="A373" s="18" t="s">
        <v>64</v>
      </c>
      <c r="B373" s="18" t="s">
        <v>2537</v>
      </c>
      <c r="C373" s="18" t="s">
        <v>2538</v>
      </c>
      <c r="D373" s="19">
        <v>44896</v>
      </c>
      <c r="E373" s="18" t="s">
        <v>67</v>
      </c>
      <c r="F373" s="18" t="s">
        <v>2539</v>
      </c>
      <c r="G373" s="18" t="s">
        <v>2540</v>
      </c>
      <c r="H373" s="18" t="s">
        <v>70</v>
      </c>
      <c r="I373" s="18" t="s">
        <v>160</v>
      </c>
      <c r="J373" s="18" t="s">
        <v>195</v>
      </c>
      <c r="K373" s="18" t="s">
        <v>132</v>
      </c>
      <c r="L373" s="20" t="s">
        <v>2541</v>
      </c>
      <c r="M373" s="18" t="s">
        <v>75</v>
      </c>
      <c r="N373" s="20" t="s">
        <v>2542</v>
      </c>
      <c r="O373" s="18" t="s">
        <v>77</v>
      </c>
      <c r="P373" s="18" t="s">
        <v>78</v>
      </c>
      <c r="Q373" s="19">
        <v>44914</v>
      </c>
      <c r="R373" s="21">
        <v>14.28</v>
      </c>
      <c r="S373" s="18" t="s">
        <v>79</v>
      </c>
      <c r="T373" s="18" t="s">
        <v>174</v>
      </c>
      <c r="U373" s="18" t="s">
        <v>83</v>
      </c>
      <c r="V373" s="18" t="s">
        <v>95</v>
      </c>
      <c r="W373" s="18" t="s">
        <v>83</v>
      </c>
      <c r="X373" s="18" t="s">
        <v>84</v>
      </c>
      <c r="Y373" s="18" t="s">
        <v>85</v>
      </c>
      <c r="Z373" s="18" t="s">
        <v>86</v>
      </c>
      <c r="AA373" s="18" t="s">
        <v>87</v>
      </c>
      <c r="AB373" s="18" t="s">
        <v>175</v>
      </c>
      <c r="AC373" s="18" t="s">
        <v>176</v>
      </c>
      <c r="AD373" s="18" t="s">
        <v>85</v>
      </c>
      <c r="AE373" s="18" t="s">
        <v>90</v>
      </c>
      <c r="AF373" s="18" t="s">
        <v>177</v>
      </c>
      <c r="AG373" s="18" t="s">
        <v>139</v>
      </c>
      <c r="AH373" s="18" t="s">
        <v>93</v>
      </c>
      <c r="AI373" s="18" t="s">
        <v>94</v>
      </c>
      <c r="AJ373" s="19">
        <v>44896</v>
      </c>
      <c r="AK373" s="22" t="s">
        <v>95</v>
      </c>
      <c r="AL373" s="18" t="s">
        <v>95</v>
      </c>
      <c r="AM373" s="18" t="s">
        <v>95</v>
      </c>
      <c r="AN373" s="18" t="s">
        <v>95</v>
      </c>
      <c r="AO373" s="18" t="s">
        <v>95</v>
      </c>
      <c r="AP373" s="18" t="s">
        <v>95</v>
      </c>
      <c r="AQ373" s="18" t="s">
        <v>95</v>
      </c>
      <c r="AR373" s="18" t="s">
        <v>95</v>
      </c>
      <c r="AS373" s="18" t="s">
        <v>83</v>
      </c>
      <c r="AT373" s="18" t="s">
        <v>83</v>
      </c>
      <c r="AU373" s="18" t="s">
        <v>81</v>
      </c>
      <c r="AV373" s="18" t="s">
        <v>95</v>
      </c>
      <c r="AW373" s="18" t="s">
        <v>95</v>
      </c>
      <c r="AX373" s="18"/>
      <c r="AY373" s="18" t="str">
        <f>Pospago[[#This Row],[NUM_TELEFONICO]]&amp;"POSPAGOSI"</f>
        <v>984220963POSPAGOSI</v>
      </c>
      <c r="AZ373" s="18" t="str">
        <f>VLOOKUP(Pospago[[#This Row],[NOM_PLAZA_FINAL]],[1]!Locales[#Data],3,0)</f>
        <v>TIENDA RECREO</v>
      </c>
      <c r="BA373" s="18" t="str">
        <f>IFERROR(VLOOKUP(Pospago[[#This Row],[USUARIO]],[1]!Personal[#Data],6,0),"EJECUTIVO NO REGISTRADO")</f>
        <v>VARGAS REYES LUIS EDUARDO</v>
      </c>
      <c r="BB373" s="18" t="str">
        <f>Pospago[[#This Row],[TIPO_MOVIMIENTO]]&amp;" "&amp;Pospago[[#This Row],[FORMA_PAGO_FINAL]]</f>
        <v>ALTAS DOMICILIADO</v>
      </c>
      <c r="BC373" s="18">
        <f>DAY(Pospago[[#This Row],[FECHA_ALTA]])</f>
        <v>1</v>
      </c>
      <c r="BD373" s="18">
        <f>IF(Pospago[[#This Row],[TARIFA_BASICA]]=11.42,1,0)</f>
        <v>0</v>
      </c>
      <c r="BE373" s="18">
        <f>IF(Pospago[[#This Row],[PLANES TELEVENTAS]]="SI",1,0)</f>
        <v>0</v>
      </c>
      <c r="BF373" s="18">
        <f>1</f>
        <v>1</v>
      </c>
      <c r="BG373" s="18">
        <f>IF(OR(Pospago[[#This Row],[TARIFA_BASICA]]=11.42,Pospago[[#This Row],[PLANES TELEVENTAS]]="SI"),1,0)</f>
        <v>0</v>
      </c>
      <c r="BH373" s="18" t="str">
        <f>IF(MID(Pospago[[#This Row],[PlanDesc]],1,4) = "PLAN","POSPAGO",IF(MID(Pospago[[#This Row],[PlanDesc]],1,4)="FULL","FULL MEGAS","PREVIOPAGO"))</f>
        <v>PREVIOPAGO</v>
      </c>
      <c r="BI3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73" s="21">
        <f>Pospago[[#This Row],[TARIFA_BASICA]]*1.5</f>
        <v>21.419999999999998</v>
      </c>
    </row>
    <row r="374" spans="1:63" x14ac:dyDescent="0.25">
      <c r="A374" s="18" t="s">
        <v>64</v>
      </c>
      <c r="B374" s="18" t="s">
        <v>2543</v>
      </c>
      <c r="C374" s="18" t="s">
        <v>2544</v>
      </c>
      <c r="D374" s="19">
        <v>44907</v>
      </c>
      <c r="E374" s="18" t="s">
        <v>67</v>
      </c>
      <c r="F374" s="18" t="s">
        <v>2545</v>
      </c>
      <c r="G374" s="18" t="s">
        <v>2546</v>
      </c>
      <c r="H374" s="18" t="s">
        <v>70</v>
      </c>
      <c r="I374" s="18" t="s">
        <v>112</v>
      </c>
      <c r="J374" s="18" t="s">
        <v>113</v>
      </c>
      <c r="K374" s="18" t="s">
        <v>114</v>
      </c>
      <c r="L374" s="20" t="s">
        <v>2547</v>
      </c>
      <c r="M374" s="18" t="s">
        <v>75</v>
      </c>
      <c r="N374" s="20" t="s">
        <v>2548</v>
      </c>
      <c r="O374" s="18" t="s">
        <v>77</v>
      </c>
      <c r="P374" s="18" t="s">
        <v>78</v>
      </c>
      <c r="Q374" s="19">
        <v>44914</v>
      </c>
      <c r="R374" s="21">
        <v>17.850000000000001</v>
      </c>
      <c r="S374" s="18" t="s">
        <v>79</v>
      </c>
      <c r="T374" s="18" t="s">
        <v>80</v>
      </c>
      <c r="U374" s="18" t="s">
        <v>83</v>
      </c>
      <c r="V374" s="18" t="s">
        <v>95</v>
      </c>
      <c r="W374" s="18" t="s">
        <v>83</v>
      </c>
      <c r="X374" s="18" t="s">
        <v>84</v>
      </c>
      <c r="Y374" s="18" t="s">
        <v>85</v>
      </c>
      <c r="Z374" s="18" t="s">
        <v>86</v>
      </c>
      <c r="AA374" s="18" t="s">
        <v>87</v>
      </c>
      <c r="AB374" s="18" t="s">
        <v>88</v>
      </c>
      <c r="AC374" s="18" t="s">
        <v>89</v>
      </c>
      <c r="AD374" s="18" t="s">
        <v>85</v>
      </c>
      <c r="AE374" s="18" t="s">
        <v>90</v>
      </c>
      <c r="AF374" s="18" t="s">
        <v>91</v>
      </c>
      <c r="AG374" s="18" t="s">
        <v>92</v>
      </c>
      <c r="AH374" s="18" t="s">
        <v>93</v>
      </c>
      <c r="AI374" s="18" t="s">
        <v>94</v>
      </c>
      <c r="AJ374" s="19">
        <v>44907</v>
      </c>
      <c r="AK374" s="22" t="s">
        <v>95</v>
      </c>
      <c r="AL374" s="18" t="s">
        <v>95</v>
      </c>
      <c r="AM374" s="18" t="s">
        <v>95</v>
      </c>
      <c r="AN374" s="18" t="s">
        <v>95</v>
      </c>
      <c r="AO374" s="18" t="s">
        <v>95</v>
      </c>
      <c r="AP374" s="18" t="s">
        <v>95</v>
      </c>
      <c r="AQ374" s="18" t="s">
        <v>95</v>
      </c>
      <c r="AR374" s="18" t="s">
        <v>95</v>
      </c>
      <c r="AS374" s="18" t="s">
        <v>83</v>
      </c>
      <c r="AT374" s="18" t="s">
        <v>83</v>
      </c>
      <c r="AU374" s="18" t="s">
        <v>81</v>
      </c>
      <c r="AV374" s="18" t="s">
        <v>95</v>
      </c>
      <c r="AW374" s="18" t="s">
        <v>95</v>
      </c>
      <c r="AX374" s="18"/>
      <c r="AY374" s="18" t="str">
        <f>Pospago[[#This Row],[NUM_TELEFONICO]]&amp;"POSPAGOSI"</f>
        <v>984226702POSPAGOSI</v>
      </c>
      <c r="AZ374" s="18" t="str">
        <f>VLOOKUP(Pospago[[#This Row],[NOM_PLAZA_FINAL]],[1]!Locales[#Data],3,0)</f>
        <v>TIENDA CUENCA CENTRO</v>
      </c>
      <c r="BA374" s="18" t="str">
        <f>IFERROR(VLOOKUP(Pospago[[#This Row],[USUARIO]],[1]!Personal[#Data],6,0),"EJECUTIVO NO REGISTRADO")</f>
        <v>ANDRADE CONDO CHRISTIAN EDUARDO</v>
      </c>
      <c r="BB374" s="18" t="str">
        <f>Pospago[[#This Row],[TIPO_MOVIMIENTO]]&amp;" "&amp;Pospago[[#This Row],[FORMA_PAGO_FINAL]]</f>
        <v>ALTAS DOMICILIADO</v>
      </c>
      <c r="BC374" s="18">
        <f>DAY(Pospago[[#This Row],[FECHA_ALTA]])</f>
        <v>12</v>
      </c>
      <c r="BD374" s="18">
        <f>IF(Pospago[[#This Row],[TARIFA_BASICA]]=11.42,1,0)</f>
        <v>0</v>
      </c>
      <c r="BE374" s="18">
        <f>IF(Pospago[[#This Row],[PLANES TELEVENTAS]]="SI",1,0)</f>
        <v>0</v>
      </c>
      <c r="BF374" s="18">
        <f>1</f>
        <v>1</v>
      </c>
      <c r="BG374" s="18">
        <f>IF(OR(Pospago[[#This Row],[TARIFA_BASICA]]=11.42,Pospago[[#This Row],[PLANES TELEVENTAS]]="SI"),1,0)</f>
        <v>0</v>
      </c>
      <c r="BH374" s="18" t="str">
        <f>IF(MID(Pospago[[#This Row],[PlanDesc]],1,4) = "PLAN","POSPAGO",IF(MID(Pospago[[#This Row],[PlanDesc]],1,4)="FULL","FULL MEGAS","PREVIOPAGO"))</f>
        <v>PREVIOPAGO</v>
      </c>
      <c r="BI3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3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74" s="21">
        <f>Pospago[[#This Row],[TARIFA_BASICA]]*1.5</f>
        <v>26.775000000000002</v>
      </c>
    </row>
    <row r="375" spans="1:63" x14ac:dyDescent="0.25">
      <c r="A375" s="18" t="s">
        <v>154</v>
      </c>
      <c r="B375" s="18" t="s">
        <v>2549</v>
      </c>
      <c r="C375" s="18" t="s">
        <v>2550</v>
      </c>
      <c r="D375" s="19">
        <v>44910</v>
      </c>
      <c r="E375" s="18" t="s">
        <v>67</v>
      </c>
      <c r="F375" s="18" t="s">
        <v>2551</v>
      </c>
      <c r="G375" s="18" t="s">
        <v>2552</v>
      </c>
      <c r="H375" s="18" t="s">
        <v>159</v>
      </c>
      <c r="I375" s="18" t="s">
        <v>160</v>
      </c>
      <c r="J375" s="18" t="s">
        <v>161</v>
      </c>
      <c r="K375" s="18" t="s">
        <v>132</v>
      </c>
      <c r="L375" s="20" t="s">
        <v>2553</v>
      </c>
      <c r="M375" s="18" t="s">
        <v>75</v>
      </c>
      <c r="N375" s="20" t="s">
        <v>2554</v>
      </c>
      <c r="O375" s="18" t="s">
        <v>164</v>
      </c>
      <c r="P375" s="18" t="s">
        <v>78</v>
      </c>
      <c r="Q375" s="19">
        <v>44914</v>
      </c>
      <c r="R375" s="21">
        <v>14.28</v>
      </c>
      <c r="S375" s="18" t="s">
        <v>79</v>
      </c>
      <c r="T375" s="18" t="s">
        <v>232</v>
      </c>
      <c r="U375" s="18" t="s">
        <v>83</v>
      </c>
      <c r="V375" s="18" t="s">
        <v>95</v>
      </c>
      <c r="W375" s="18" t="s">
        <v>95</v>
      </c>
      <c r="X375" s="18" t="s">
        <v>118</v>
      </c>
      <c r="Y375" s="18" t="s">
        <v>85</v>
      </c>
      <c r="Z375" s="18" t="s">
        <v>86</v>
      </c>
      <c r="AA375" s="18" t="s">
        <v>119</v>
      </c>
      <c r="AB375" s="18" t="s">
        <v>443</v>
      </c>
      <c r="AC375" s="18" t="s">
        <v>444</v>
      </c>
      <c r="AD375" s="18" t="s">
        <v>85</v>
      </c>
      <c r="AE375" s="18" t="s">
        <v>90</v>
      </c>
      <c r="AF375" s="18" t="s">
        <v>235</v>
      </c>
      <c r="AG375" s="18" t="s">
        <v>139</v>
      </c>
      <c r="AH375" s="18" t="s">
        <v>165</v>
      </c>
      <c r="AI375" s="18" t="s">
        <v>94</v>
      </c>
      <c r="AJ375" s="19">
        <v>44910</v>
      </c>
      <c r="AK375" s="22" t="s">
        <v>95</v>
      </c>
      <c r="AL375" s="18" t="s">
        <v>95</v>
      </c>
      <c r="AM375" s="18" t="s">
        <v>95</v>
      </c>
      <c r="AN375" s="18" t="s">
        <v>95</v>
      </c>
      <c r="AO375" s="18" t="s">
        <v>95</v>
      </c>
      <c r="AP375" s="18" t="s">
        <v>95</v>
      </c>
      <c r="AQ375" s="18" t="s">
        <v>95</v>
      </c>
      <c r="AR375" s="18" t="s">
        <v>95</v>
      </c>
      <c r="AS375" s="18" t="s">
        <v>83</v>
      </c>
      <c r="AT375" s="18" t="s">
        <v>83</v>
      </c>
      <c r="AU375" s="18" t="s">
        <v>81</v>
      </c>
      <c r="AV375" s="18" t="s">
        <v>95</v>
      </c>
      <c r="AW375" s="18" t="s">
        <v>95</v>
      </c>
      <c r="AX375" s="18"/>
      <c r="AY375" s="18" t="str">
        <f>Pospago[[#This Row],[NUM_TELEFONICO]]&amp;"POSPAGOSI"</f>
        <v>984229471POSPAGOSI</v>
      </c>
      <c r="AZ375" s="18" t="str">
        <f>VLOOKUP(Pospago[[#This Row],[NOM_PLAZA_FINAL]],[1]!Locales[#Data],3,0)</f>
        <v>TIENDA CONDADO</v>
      </c>
      <c r="BA375" s="18" t="str">
        <f>IFERROR(VLOOKUP(Pospago[[#This Row],[USUARIO]],[1]!Personal[#Data],6,0),"EJECUTIVO NO REGISTRADO")</f>
        <v>JARAMILLO ESPINOZA KENIA KATRINA</v>
      </c>
      <c r="BB375" s="18" t="str">
        <f>Pospago[[#This Row],[TIPO_MOVIMIENTO]]&amp;" "&amp;Pospago[[#This Row],[FORMA_PAGO_FINAL]]</f>
        <v>TRANSFERENCIAS PAGO EN CAJA</v>
      </c>
      <c r="BC375" s="18">
        <f>DAY(Pospago[[#This Row],[FECHA_ALTA]])</f>
        <v>15</v>
      </c>
      <c r="BD375" s="18">
        <f>IF(Pospago[[#This Row],[TARIFA_BASICA]]=11.42,1,0)</f>
        <v>0</v>
      </c>
      <c r="BE375" s="18">
        <f>IF(Pospago[[#This Row],[PLANES TELEVENTAS]]="SI",1,0)</f>
        <v>0</v>
      </c>
      <c r="BF375" s="18">
        <f>1</f>
        <v>1</v>
      </c>
      <c r="BG375" s="18">
        <f>IF(OR(Pospago[[#This Row],[TARIFA_BASICA]]=11.42,Pospago[[#This Row],[PLANES TELEVENTAS]]="SI"),1,0)</f>
        <v>0</v>
      </c>
      <c r="BH375" s="18" t="str">
        <f>IF(MID(Pospago[[#This Row],[PlanDesc]],1,4) = "PLAN","POSPAGO",IF(MID(Pospago[[#This Row],[PlanDesc]],1,4)="FULL","FULL MEGAS","PREVIOPAGO"))</f>
        <v>PREVIOPAGO</v>
      </c>
      <c r="BI3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75" s="21">
        <f>Pospago[[#This Row],[TARIFA_BASICA]]*1.5</f>
        <v>21.419999999999998</v>
      </c>
    </row>
    <row r="376" spans="1:63" x14ac:dyDescent="0.25">
      <c r="A376" s="18" t="s">
        <v>154</v>
      </c>
      <c r="B376" s="18" t="s">
        <v>2555</v>
      </c>
      <c r="C376" s="18" t="s">
        <v>2556</v>
      </c>
      <c r="D376" s="19">
        <v>44908</v>
      </c>
      <c r="E376" s="18" t="s">
        <v>67</v>
      </c>
      <c r="F376" s="18" t="s">
        <v>2557</v>
      </c>
      <c r="G376" s="18" t="s">
        <v>2558</v>
      </c>
      <c r="H376" s="18" t="s">
        <v>159</v>
      </c>
      <c r="I376" s="18" t="s">
        <v>71</v>
      </c>
      <c r="J376" s="18" t="s">
        <v>258</v>
      </c>
      <c r="K376" s="18" t="s">
        <v>95</v>
      </c>
      <c r="L376" s="20" t="s">
        <v>2559</v>
      </c>
      <c r="M376" s="18" t="s">
        <v>75</v>
      </c>
      <c r="N376" s="20" t="s">
        <v>2560</v>
      </c>
      <c r="O376" s="18" t="s">
        <v>164</v>
      </c>
      <c r="P376" s="18" t="s">
        <v>78</v>
      </c>
      <c r="Q376" s="19">
        <v>44914</v>
      </c>
      <c r="R376" s="21">
        <v>11.42</v>
      </c>
      <c r="S376" s="18" t="s">
        <v>79</v>
      </c>
      <c r="T376" s="18" t="s">
        <v>80</v>
      </c>
      <c r="U376" s="18" t="s">
        <v>83</v>
      </c>
      <c r="V376" s="18" t="s">
        <v>95</v>
      </c>
      <c r="W376" s="18" t="s">
        <v>95</v>
      </c>
      <c r="X376" s="18" t="s">
        <v>84</v>
      </c>
      <c r="Y376" s="18" t="s">
        <v>85</v>
      </c>
      <c r="Z376" s="18" t="s">
        <v>86</v>
      </c>
      <c r="AA376" s="18" t="s">
        <v>87</v>
      </c>
      <c r="AB376" s="18" t="s">
        <v>880</v>
      </c>
      <c r="AC376" s="18" t="s">
        <v>881</v>
      </c>
      <c r="AD376" s="18" t="s">
        <v>85</v>
      </c>
      <c r="AE376" s="18" t="s">
        <v>90</v>
      </c>
      <c r="AF376" s="18" t="s">
        <v>91</v>
      </c>
      <c r="AG376" s="18" t="s">
        <v>92</v>
      </c>
      <c r="AH376" s="18" t="s">
        <v>165</v>
      </c>
      <c r="AI376" s="18" t="s">
        <v>94</v>
      </c>
      <c r="AJ376" s="19">
        <v>44908</v>
      </c>
      <c r="AK376" s="22" t="s">
        <v>95</v>
      </c>
      <c r="AL376" s="18" t="s">
        <v>95</v>
      </c>
      <c r="AM376" s="18" t="s">
        <v>95</v>
      </c>
      <c r="AN376" s="18" t="s">
        <v>95</v>
      </c>
      <c r="AO376" s="18" t="s">
        <v>95</v>
      </c>
      <c r="AP376" s="18" t="s">
        <v>95</v>
      </c>
      <c r="AQ376" s="18" t="s">
        <v>95</v>
      </c>
      <c r="AR376" s="18" t="s">
        <v>95</v>
      </c>
      <c r="AS376" s="18" t="s">
        <v>83</v>
      </c>
      <c r="AT376" s="18" t="s">
        <v>83</v>
      </c>
      <c r="AU376" s="18" t="s">
        <v>81</v>
      </c>
      <c r="AV376" s="18" t="s">
        <v>95</v>
      </c>
      <c r="AW376" s="18" t="s">
        <v>95</v>
      </c>
      <c r="AX376" s="18"/>
      <c r="AY376" s="18" t="str">
        <f>Pospago[[#This Row],[NUM_TELEFONICO]]&amp;"POSPAGOSI"</f>
        <v>984229550POSPAGOSI</v>
      </c>
      <c r="AZ376" s="18" t="str">
        <f>VLOOKUP(Pospago[[#This Row],[NOM_PLAZA_FINAL]],[1]!Locales[#Data],3,0)</f>
        <v>TIENDA CUENCA CENTRO</v>
      </c>
      <c r="BA376" s="18" t="str">
        <f>IFERROR(VLOOKUP(Pospago[[#This Row],[USUARIO]],[1]!Personal[#Data],6,0),"EJECUTIVO NO REGISTRADO")</f>
        <v>LUNA JACHO ANDREA GABRIELA</v>
      </c>
      <c r="BB376" s="18" t="str">
        <f>Pospago[[#This Row],[TIPO_MOVIMIENTO]]&amp;" "&amp;Pospago[[#This Row],[FORMA_PAGO_FINAL]]</f>
        <v>TRANSFERENCIAS DOMICILIADO</v>
      </c>
      <c r="BC376" s="18">
        <f>DAY(Pospago[[#This Row],[FECHA_ALTA]])</f>
        <v>13</v>
      </c>
      <c r="BD376" s="18">
        <f>IF(Pospago[[#This Row],[TARIFA_BASICA]]=11.42,1,0)</f>
        <v>1</v>
      </c>
      <c r="BE376" s="18">
        <f>IF(Pospago[[#This Row],[PLANES TELEVENTAS]]="SI",1,0)</f>
        <v>0</v>
      </c>
      <c r="BF376" s="18">
        <f>1</f>
        <v>1</v>
      </c>
      <c r="BG376" s="18">
        <f>IF(OR(Pospago[[#This Row],[TARIFA_BASICA]]=11.42,Pospago[[#This Row],[PLANES TELEVENTAS]]="SI"),1,0)</f>
        <v>1</v>
      </c>
      <c r="BH376" s="18" t="str">
        <f>IF(MID(Pospago[[#This Row],[PlanDesc]],1,4) = "PLAN","POSPAGO",IF(MID(Pospago[[#This Row],[PlanDesc]],1,4)="FULL","FULL MEGAS","PREVIOPAGO"))</f>
        <v>PREVIOPAGO</v>
      </c>
      <c r="BI3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3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76" s="21">
        <f>Pospago[[#This Row],[TARIFA_BASICA]]*1.5</f>
        <v>17.13</v>
      </c>
    </row>
    <row r="377" spans="1:63" x14ac:dyDescent="0.25">
      <c r="A377" s="18" t="s">
        <v>64</v>
      </c>
      <c r="B377" s="18" t="s">
        <v>2561</v>
      </c>
      <c r="C377" s="18" t="s">
        <v>2562</v>
      </c>
      <c r="D377" s="19">
        <v>44901</v>
      </c>
      <c r="E377" s="18" t="s">
        <v>67</v>
      </c>
      <c r="F377" s="18" t="s">
        <v>2563</v>
      </c>
      <c r="G377" s="18" t="s">
        <v>2564</v>
      </c>
      <c r="H377" s="18" t="s">
        <v>70</v>
      </c>
      <c r="I377" s="18" t="s">
        <v>574</v>
      </c>
      <c r="J377" s="18" t="s">
        <v>575</v>
      </c>
      <c r="K377" s="18" t="s">
        <v>132</v>
      </c>
      <c r="L377" s="20" t="s">
        <v>2565</v>
      </c>
      <c r="M377" s="18" t="s">
        <v>75</v>
      </c>
      <c r="N377" s="20" t="s">
        <v>2566</v>
      </c>
      <c r="O377" s="18" t="s">
        <v>311</v>
      </c>
      <c r="P377" s="18" t="s">
        <v>78</v>
      </c>
      <c r="Q377" s="19">
        <v>44914</v>
      </c>
      <c r="R377" s="21">
        <v>17.850000000000001</v>
      </c>
      <c r="S377" s="18" t="s">
        <v>79</v>
      </c>
      <c r="T377" s="18" t="s">
        <v>135</v>
      </c>
      <c r="U377" s="18" t="s">
        <v>83</v>
      </c>
      <c r="V377" s="18" t="s">
        <v>95</v>
      </c>
      <c r="W377" s="18" t="s">
        <v>83</v>
      </c>
      <c r="X377" s="18" t="s">
        <v>84</v>
      </c>
      <c r="Y377" s="18" t="s">
        <v>85</v>
      </c>
      <c r="Z377" s="18" t="s">
        <v>86</v>
      </c>
      <c r="AA377" s="18" t="s">
        <v>87</v>
      </c>
      <c r="AB377" s="18" t="s">
        <v>1545</v>
      </c>
      <c r="AC377" s="18" t="s">
        <v>1546</v>
      </c>
      <c r="AD377" s="18" t="s">
        <v>85</v>
      </c>
      <c r="AE377" s="18" t="s">
        <v>90</v>
      </c>
      <c r="AF377" s="18" t="s">
        <v>138</v>
      </c>
      <c r="AG377" s="18" t="s">
        <v>139</v>
      </c>
      <c r="AH377" s="18" t="s">
        <v>93</v>
      </c>
      <c r="AI377" s="18" t="s">
        <v>94</v>
      </c>
      <c r="AJ377" s="19">
        <v>44901</v>
      </c>
      <c r="AK377" s="22" t="s">
        <v>95</v>
      </c>
      <c r="AL377" s="18" t="s">
        <v>95</v>
      </c>
      <c r="AM377" s="18" t="s">
        <v>95</v>
      </c>
      <c r="AN377" s="18" t="s">
        <v>95</v>
      </c>
      <c r="AO377" s="18" t="s">
        <v>95</v>
      </c>
      <c r="AP377" s="18" t="s">
        <v>95</v>
      </c>
      <c r="AQ377" s="18" t="s">
        <v>95</v>
      </c>
      <c r="AR377" s="18" t="s">
        <v>95</v>
      </c>
      <c r="AS377" s="18" t="s">
        <v>83</v>
      </c>
      <c r="AT377" s="18" t="s">
        <v>83</v>
      </c>
      <c r="AU377" s="18" t="s">
        <v>83</v>
      </c>
      <c r="AV377" s="18" t="s">
        <v>95</v>
      </c>
      <c r="AW377" s="18" t="s">
        <v>95</v>
      </c>
      <c r="AX377" s="18"/>
      <c r="AY377" s="18" t="str">
        <f>Pospago[[#This Row],[NUM_TELEFONICO]]&amp;"POSPAGOSI"</f>
        <v>984231896POSPAGOSI</v>
      </c>
      <c r="AZ377" s="18" t="str">
        <f>VLOOKUP(Pospago[[#This Row],[NOM_PLAZA_FINAL]],[1]!Locales[#Data],3,0)</f>
        <v>TIENDA AMERICA</v>
      </c>
      <c r="BA377" s="18" t="str">
        <f>IFERROR(VLOOKUP(Pospago[[#This Row],[USUARIO]],[1]!Personal[#Data],6,0),"EJECUTIVO NO REGISTRADO")</f>
        <v>GRANDA ESPINOZA ANDRES SEBASTIAN</v>
      </c>
      <c r="BB377" s="18" t="str">
        <f>Pospago[[#This Row],[TIPO_MOVIMIENTO]]&amp;" "&amp;Pospago[[#This Row],[FORMA_PAGO_FINAL]]</f>
        <v>ALTAS DOMICILIADO</v>
      </c>
      <c r="BC377" s="18">
        <f>DAY(Pospago[[#This Row],[FECHA_ALTA]])</f>
        <v>6</v>
      </c>
      <c r="BD377" s="18">
        <f>IF(Pospago[[#This Row],[TARIFA_BASICA]]=11.42,1,0)</f>
        <v>0</v>
      </c>
      <c r="BE377" s="18">
        <f>IF(Pospago[[#This Row],[PLANES TELEVENTAS]]="SI",1,0)</f>
        <v>0</v>
      </c>
      <c r="BF377" s="18">
        <f>1</f>
        <v>1</v>
      </c>
      <c r="BG377" s="18">
        <f>IF(OR(Pospago[[#This Row],[TARIFA_BASICA]]=11.42,Pospago[[#This Row],[PLANES TELEVENTAS]]="SI"),1,0)</f>
        <v>0</v>
      </c>
      <c r="BH377" s="18" t="str">
        <f>IF(MID(Pospago[[#This Row],[PlanDesc]],1,4) = "PLAN","POSPAGO",IF(MID(Pospago[[#This Row],[PlanDesc]],1,4)="FULL","FULL MEGAS","PREVIOPAGO"))</f>
        <v>POSPAGO</v>
      </c>
      <c r="BI3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3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77" s="21">
        <f>Pospago[[#This Row],[TARIFA_BASICA]]*1.5</f>
        <v>26.775000000000002</v>
      </c>
    </row>
    <row r="378" spans="1:63" x14ac:dyDescent="0.25">
      <c r="A378" s="18" t="s">
        <v>154</v>
      </c>
      <c r="B378" s="18" t="s">
        <v>2567</v>
      </c>
      <c r="C378" s="18" t="s">
        <v>2568</v>
      </c>
      <c r="D378" s="19">
        <v>44897</v>
      </c>
      <c r="E378" s="18" t="s">
        <v>67</v>
      </c>
      <c r="F378" s="18" t="s">
        <v>2569</v>
      </c>
      <c r="G378" s="18" t="s">
        <v>2570</v>
      </c>
      <c r="H378" s="18" t="s">
        <v>159</v>
      </c>
      <c r="I378" s="18" t="s">
        <v>194</v>
      </c>
      <c r="J378" s="18" t="s">
        <v>268</v>
      </c>
      <c r="K378" s="18" t="s">
        <v>95</v>
      </c>
      <c r="L378" s="20" t="s">
        <v>2571</v>
      </c>
      <c r="M378" s="18" t="s">
        <v>75</v>
      </c>
      <c r="N378" s="20" t="s">
        <v>2572</v>
      </c>
      <c r="O378" s="18" t="s">
        <v>164</v>
      </c>
      <c r="P378" s="18" t="s">
        <v>78</v>
      </c>
      <c r="Q378" s="19">
        <v>44914</v>
      </c>
      <c r="R378" s="21">
        <v>14.28</v>
      </c>
      <c r="S378" s="18" t="s">
        <v>79</v>
      </c>
      <c r="T378" s="18" t="s">
        <v>174</v>
      </c>
      <c r="U378" s="18" t="s">
        <v>83</v>
      </c>
      <c r="V378" s="18" t="s">
        <v>95</v>
      </c>
      <c r="W378" s="18" t="s">
        <v>95</v>
      </c>
      <c r="X378" s="18" t="s">
        <v>84</v>
      </c>
      <c r="Y378" s="18" t="s">
        <v>85</v>
      </c>
      <c r="Z378" s="18" t="s">
        <v>86</v>
      </c>
      <c r="AA378" s="18" t="s">
        <v>87</v>
      </c>
      <c r="AB378" s="18" t="s">
        <v>630</v>
      </c>
      <c r="AC378" s="18" t="s">
        <v>631</v>
      </c>
      <c r="AD378" s="18" t="s">
        <v>85</v>
      </c>
      <c r="AE378" s="18" t="s">
        <v>90</v>
      </c>
      <c r="AF378" s="18" t="s">
        <v>177</v>
      </c>
      <c r="AG378" s="18" t="s">
        <v>139</v>
      </c>
      <c r="AH378" s="18" t="s">
        <v>165</v>
      </c>
      <c r="AI378" s="18" t="s">
        <v>94</v>
      </c>
      <c r="AJ378" s="19">
        <v>44897</v>
      </c>
      <c r="AK378" s="22" t="s">
        <v>95</v>
      </c>
      <c r="AL378" s="18" t="s">
        <v>95</v>
      </c>
      <c r="AM378" s="18" t="s">
        <v>95</v>
      </c>
      <c r="AN378" s="18" t="s">
        <v>95</v>
      </c>
      <c r="AO378" s="18" t="s">
        <v>95</v>
      </c>
      <c r="AP378" s="18" t="s">
        <v>95</v>
      </c>
      <c r="AQ378" s="18" t="s">
        <v>95</v>
      </c>
      <c r="AR378" s="18" t="s">
        <v>95</v>
      </c>
      <c r="AS378" s="18" t="s">
        <v>83</v>
      </c>
      <c r="AT378" s="18" t="s">
        <v>81</v>
      </c>
      <c r="AU378" s="18" t="s">
        <v>81</v>
      </c>
      <c r="AV378" s="18" t="s">
        <v>95</v>
      </c>
      <c r="AW378" s="18" t="s">
        <v>95</v>
      </c>
      <c r="AX378" s="18"/>
      <c r="AY378" s="18" t="str">
        <f>Pospago[[#This Row],[NUM_TELEFONICO]]&amp;"POSPAGOSI"</f>
        <v>984243762POSPAGOSI</v>
      </c>
      <c r="AZ378" s="18" t="str">
        <f>VLOOKUP(Pospago[[#This Row],[NOM_PLAZA_FINAL]],[1]!Locales[#Data],3,0)</f>
        <v>TIENDA RECREO</v>
      </c>
      <c r="BA378" s="18" t="str">
        <f>IFERROR(VLOOKUP(Pospago[[#This Row],[USUARIO]],[1]!Personal[#Data],6,0),"EJECUTIVO NO REGISTRADO")</f>
        <v>LOAYZA AGUILAR JONATHAN FABIAN</v>
      </c>
      <c r="BB378" s="18" t="str">
        <f>Pospago[[#This Row],[TIPO_MOVIMIENTO]]&amp;" "&amp;Pospago[[#This Row],[FORMA_PAGO_FINAL]]</f>
        <v>TRANSFERENCIAS DOMICILIADO</v>
      </c>
      <c r="BC378" s="18">
        <f>DAY(Pospago[[#This Row],[FECHA_ALTA]])</f>
        <v>2</v>
      </c>
      <c r="BD378" s="18">
        <f>IF(Pospago[[#This Row],[TARIFA_BASICA]]=11.42,1,0)</f>
        <v>0</v>
      </c>
      <c r="BE378" s="18">
        <f>IF(Pospago[[#This Row],[PLANES TELEVENTAS]]="SI",1,0)</f>
        <v>1</v>
      </c>
      <c r="BF378" s="18">
        <f>1</f>
        <v>1</v>
      </c>
      <c r="BG378" s="18">
        <f>IF(OR(Pospago[[#This Row],[TARIFA_BASICA]]=11.42,Pospago[[#This Row],[PLANES TELEVENTAS]]="SI"),1,0)</f>
        <v>1</v>
      </c>
      <c r="BH378" s="18" t="str">
        <f>IF(MID(Pospago[[#This Row],[PlanDesc]],1,4) = "PLAN","POSPAGO",IF(MID(Pospago[[#This Row],[PlanDesc]],1,4)="FULL","FULL MEGAS","PREVIOPAGO"))</f>
        <v>PREVIOPAGO</v>
      </c>
      <c r="BI3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78" s="21">
        <f>Pospago[[#This Row],[TARIFA_BASICA]]*1.5</f>
        <v>21.419999999999998</v>
      </c>
    </row>
    <row r="379" spans="1:63" x14ac:dyDescent="0.25">
      <c r="A379" s="18" t="s">
        <v>154</v>
      </c>
      <c r="B379" s="18" t="s">
        <v>2573</v>
      </c>
      <c r="C379" s="18" t="s">
        <v>2574</v>
      </c>
      <c r="D379" s="19">
        <v>44901</v>
      </c>
      <c r="E379" s="18" t="s">
        <v>67</v>
      </c>
      <c r="F379" s="18" t="s">
        <v>2575</v>
      </c>
      <c r="G379" s="18" t="s">
        <v>2576</v>
      </c>
      <c r="H379" s="18" t="s">
        <v>159</v>
      </c>
      <c r="I379" s="18" t="s">
        <v>71</v>
      </c>
      <c r="J379" s="18" t="s">
        <v>258</v>
      </c>
      <c r="K379" s="18" t="s">
        <v>132</v>
      </c>
      <c r="L379" s="20" t="s">
        <v>2577</v>
      </c>
      <c r="M379" s="18" t="s">
        <v>75</v>
      </c>
      <c r="N379" s="20" t="s">
        <v>2578</v>
      </c>
      <c r="O379" s="18" t="s">
        <v>164</v>
      </c>
      <c r="P379" s="18" t="s">
        <v>78</v>
      </c>
      <c r="Q379" s="19">
        <v>44914</v>
      </c>
      <c r="R379" s="21">
        <v>11.42</v>
      </c>
      <c r="S379" s="18" t="s">
        <v>79</v>
      </c>
      <c r="T379" s="18" t="s">
        <v>80</v>
      </c>
      <c r="U379" s="18" t="s">
        <v>83</v>
      </c>
      <c r="V379" s="18" t="s">
        <v>95</v>
      </c>
      <c r="W379" s="18" t="s">
        <v>95</v>
      </c>
      <c r="X379" s="18" t="s">
        <v>84</v>
      </c>
      <c r="Y379" s="18" t="s">
        <v>85</v>
      </c>
      <c r="Z379" s="18" t="s">
        <v>86</v>
      </c>
      <c r="AA379" s="18" t="s">
        <v>87</v>
      </c>
      <c r="AB379" s="18" t="s">
        <v>1020</v>
      </c>
      <c r="AC379" s="18" t="s">
        <v>1021</v>
      </c>
      <c r="AD379" s="18" t="s">
        <v>85</v>
      </c>
      <c r="AE379" s="18" t="s">
        <v>90</v>
      </c>
      <c r="AF379" s="18" t="s">
        <v>91</v>
      </c>
      <c r="AG379" s="18" t="s">
        <v>92</v>
      </c>
      <c r="AH379" s="18" t="s">
        <v>165</v>
      </c>
      <c r="AI379" s="18" t="s">
        <v>94</v>
      </c>
      <c r="AJ379" s="19">
        <v>44901</v>
      </c>
      <c r="AK379" s="22" t="s">
        <v>95</v>
      </c>
      <c r="AL379" s="18" t="s">
        <v>95</v>
      </c>
      <c r="AM379" s="18" t="s">
        <v>95</v>
      </c>
      <c r="AN379" s="18" t="s">
        <v>95</v>
      </c>
      <c r="AO379" s="18" t="s">
        <v>95</v>
      </c>
      <c r="AP379" s="18" t="s">
        <v>95</v>
      </c>
      <c r="AQ379" s="18" t="s">
        <v>95</v>
      </c>
      <c r="AR379" s="18" t="s">
        <v>95</v>
      </c>
      <c r="AS379" s="18" t="s">
        <v>83</v>
      </c>
      <c r="AT379" s="18" t="s">
        <v>83</v>
      </c>
      <c r="AU379" s="18" t="s">
        <v>81</v>
      </c>
      <c r="AV379" s="18" t="s">
        <v>95</v>
      </c>
      <c r="AW379" s="18" t="s">
        <v>95</v>
      </c>
      <c r="AX379" s="18"/>
      <c r="AY379" s="18" t="str">
        <f>Pospago[[#This Row],[NUM_TELEFONICO]]&amp;"POSPAGOSI"</f>
        <v>984250199POSPAGOSI</v>
      </c>
      <c r="AZ379" s="18" t="str">
        <f>VLOOKUP(Pospago[[#This Row],[NOM_PLAZA_FINAL]],[1]!Locales[#Data],3,0)</f>
        <v>TIENDA CUENCA CENTRO</v>
      </c>
      <c r="BA379" s="18" t="str">
        <f>IFERROR(VLOOKUP(Pospago[[#This Row],[USUARIO]],[1]!Personal[#Data],6,0),"EJECUTIVO NO REGISTRADO")</f>
        <v>GONZALES ALVARRACIN PAOLA YESSENIA</v>
      </c>
      <c r="BB379" s="18" t="str">
        <f>Pospago[[#This Row],[TIPO_MOVIMIENTO]]&amp;" "&amp;Pospago[[#This Row],[FORMA_PAGO_FINAL]]</f>
        <v>TRANSFERENCIAS DOMICILIADO</v>
      </c>
      <c r="BC379" s="18">
        <f>DAY(Pospago[[#This Row],[FECHA_ALTA]])</f>
        <v>6</v>
      </c>
      <c r="BD379" s="18">
        <f>IF(Pospago[[#This Row],[TARIFA_BASICA]]=11.42,1,0)</f>
        <v>1</v>
      </c>
      <c r="BE379" s="18">
        <f>IF(Pospago[[#This Row],[PLANES TELEVENTAS]]="SI",1,0)</f>
        <v>0</v>
      </c>
      <c r="BF379" s="18">
        <f>1</f>
        <v>1</v>
      </c>
      <c r="BG379" s="18">
        <f>IF(OR(Pospago[[#This Row],[TARIFA_BASICA]]=11.42,Pospago[[#This Row],[PLANES TELEVENTAS]]="SI"),1,0)</f>
        <v>1</v>
      </c>
      <c r="BH379" s="18" t="str">
        <f>IF(MID(Pospago[[#This Row],[PlanDesc]],1,4) = "PLAN","POSPAGO",IF(MID(Pospago[[#This Row],[PlanDesc]],1,4)="FULL","FULL MEGAS","PREVIOPAGO"))</f>
        <v>PREVIOPAGO</v>
      </c>
      <c r="BI3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3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79" s="21">
        <f>Pospago[[#This Row],[TARIFA_BASICA]]*1.5</f>
        <v>17.13</v>
      </c>
    </row>
    <row r="380" spans="1:63" x14ac:dyDescent="0.25">
      <c r="A380" s="18" t="s">
        <v>64</v>
      </c>
      <c r="B380" s="18" t="s">
        <v>2579</v>
      </c>
      <c r="C380" s="18" t="s">
        <v>2580</v>
      </c>
      <c r="D380" s="19">
        <v>44907</v>
      </c>
      <c r="E380" s="18" t="s">
        <v>67</v>
      </c>
      <c r="F380" s="18" t="s">
        <v>2581</v>
      </c>
      <c r="G380" s="18" t="s">
        <v>2582</v>
      </c>
      <c r="H380" s="18" t="s">
        <v>70</v>
      </c>
      <c r="I380" s="18" t="s">
        <v>574</v>
      </c>
      <c r="J380" s="18" t="s">
        <v>575</v>
      </c>
      <c r="K380" s="18" t="s">
        <v>132</v>
      </c>
      <c r="L380" s="20" t="s">
        <v>2583</v>
      </c>
      <c r="M380" s="18" t="s">
        <v>75</v>
      </c>
      <c r="N380" s="20" t="s">
        <v>2584</v>
      </c>
      <c r="O380" s="18" t="s">
        <v>77</v>
      </c>
      <c r="P380" s="18" t="s">
        <v>78</v>
      </c>
      <c r="Q380" s="19">
        <v>44914</v>
      </c>
      <c r="R380" s="21">
        <v>17.850000000000001</v>
      </c>
      <c r="S380" s="18" t="s">
        <v>79</v>
      </c>
      <c r="T380" s="18" t="s">
        <v>135</v>
      </c>
      <c r="U380" s="18" t="s">
        <v>81</v>
      </c>
      <c r="V380" s="18" t="s">
        <v>82</v>
      </c>
      <c r="W380" s="18" t="s">
        <v>83</v>
      </c>
      <c r="X380" s="18" t="s">
        <v>84</v>
      </c>
      <c r="Y380" s="18" t="s">
        <v>85</v>
      </c>
      <c r="Z380" s="18" t="s">
        <v>86</v>
      </c>
      <c r="AA380" s="18" t="s">
        <v>87</v>
      </c>
      <c r="AB380" s="18" t="s">
        <v>326</v>
      </c>
      <c r="AC380" s="18" t="s">
        <v>327</v>
      </c>
      <c r="AD380" s="18" t="s">
        <v>85</v>
      </c>
      <c r="AE380" s="18" t="s">
        <v>90</v>
      </c>
      <c r="AF380" s="18" t="s">
        <v>138</v>
      </c>
      <c r="AG380" s="18" t="s">
        <v>139</v>
      </c>
      <c r="AH380" s="18" t="s">
        <v>93</v>
      </c>
      <c r="AI380" s="18" t="s">
        <v>94</v>
      </c>
      <c r="AJ380" s="19">
        <v>44907</v>
      </c>
      <c r="AK380" s="22" t="s">
        <v>95</v>
      </c>
      <c r="AL380" s="18" t="s">
        <v>95</v>
      </c>
      <c r="AM380" s="18" t="s">
        <v>95</v>
      </c>
      <c r="AN380" s="18" t="s">
        <v>95</v>
      </c>
      <c r="AO380" s="18" t="s">
        <v>95</v>
      </c>
      <c r="AP380" s="18" t="s">
        <v>95</v>
      </c>
      <c r="AQ380" s="18" t="s">
        <v>95</v>
      </c>
      <c r="AR380" s="18" t="s">
        <v>95</v>
      </c>
      <c r="AS380" s="18" t="s">
        <v>83</v>
      </c>
      <c r="AT380" s="18" t="s">
        <v>83</v>
      </c>
      <c r="AU380" s="18" t="s">
        <v>83</v>
      </c>
      <c r="AV380" s="18" t="s">
        <v>95</v>
      </c>
      <c r="AW380" s="18" t="s">
        <v>95</v>
      </c>
      <c r="AX380" s="18"/>
      <c r="AY380" s="18" t="str">
        <f>Pospago[[#This Row],[NUM_TELEFONICO]]&amp;"POSPAGOSI"</f>
        <v>984251997POSPAGOSI</v>
      </c>
      <c r="AZ380" s="18" t="str">
        <f>VLOOKUP(Pospago[[#This Row],[NOM_PLAZA_FINAL]],[1]!Locales[#Data],3,0)</f>
        <v>TIENDA AMERICA</v>
      </c>
      <c r="BA380" s="18" t="str">
        <f>IFERROR(VLOOKUP(Pospago[[#This Row],[USUARIO]],[1]!Personal[#Data],6,0),"EJECUTIVO NO REGISTRADO")</f>
        <v>AMBULUDI ROLDAN GIANELLA GRIMANEZA</v>
      </c>
      <c r="BB380" s="18" t="str">
        <f>Pospago[[#This Row],[TIPO_MOVIMIENTO]]&amp;" "&amp;Pospago[[#This Row],[FORMA_PAGO_FINAL]]</f>
        <v>ALTAS DOMICILIADO</v>
      </c>
      <c r="BC380" s="18">
        <f>DAY(Pospago[[#This Row],[FECHA_ALTA]])</f>
        <v>12</v>
      </c>
      <c r="BD380" s="18">
        <f>IF(Pospago[[#This Row],[TARIFA_BASICA]]=11.42,1,0)</f>
        <v>0</v>
      </c>
      <c r="BE380" s="18">
        <f>IF(Pospago[[#This Row],[PLANES TELEVENTAS]]="SI",1,0)</f>
        <v>0</v>
      </c>
      <c r="BF380" s="18">
        <f>1</f>
        <v>1</v>
      </c>
      <c r="BG380" s="18">
        <f>IF(OR(Pospago[[#This Row],[TARIFA_BASICA]]=11.42,Pospago[[#This Row],[PLANES TELEVENTAS]]="SI"),1,0)</f>
        <v>0</v>
      </c>
      <c r="BH380" s="18" t="str">
        <f>IF(MID(Pospago[[#This Row],[PlanDesc]],1,4) = "PLAN","POSPAGO",IF(MID(Pospago[[#This Row],[PlanDesc]],1,4)="FULL","FULL MEGAS","PREVIOPAGO"))</f>
        <v>POSPAGO</v>
      </c>
      <c r="BI3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3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80" s="21">
        <f>Pospago[[#This Row],[TARIFA_BASICA]]*1.5</f>
        <v>26.775000000000002</v>
      </c>
    </row>
    <row r="381" spans="1:63" x14ac:dyDescent="0.25">
      <c r="A381" s="18" t="s">
        <v>154</v>
      </c>
      <c r="B381" s="18" t="s">
        <v>2585</v>
      </c>
      <c r="C381" s="18" t="s">
        <v>2586</v>
      </c>
      <c r="D381" s="19">
        <v>44906</v>
      </c>
      <c r="E381" s="18" t="s">
        <v>67</v>
      </c>
      <c r="F381" s="18" t="s">
        <v>2587</v>
      </c>
      <c r="G381" s="18" t="s">
        <v>2588</v>
      </c>
      <c r="H381" s="18" t="s">
        <v>159</v>
      </c>
      <c r="I381" s="18" t="s">
        <v>160</v>
      </c>
      <c r="J381" s="18" t="s">
        <v>161</v>
      </c>
      <c r="K381" s="18" t="s">
        <v>95</v>
      </c>
      <c r="L381" s="20" t="s">
        <v>2589</v>
      </c>
      <c r="M381" s="18" t="s">
        <v>75</v>
      </c>
      <c r="N381" s="20" t="s">
        <v>2590</v>
      </c>
      <c r="O381" s="18" t="s">
        <v>164</v>
      </c>
      <c r="P381" s="18" t="s">
        <v>78</v>
      </c>
      <c r="Q381" s="19">
        <v>44914</v>
      </c>
      <c r="R381" s="21">
        <v>14.28</v>
      </c>
      <c r="S381" s="18" t="s">
        <v>79</v>
      </c>
      <c r="T381" s="18" t="s">
        <v>232</v>
      </c>
      <c r="U381" s="18" t="s">
        <v>83</v>
      </c>
      <c r="V381" s="18" t="s">
        <v>95</v>
      </c>
      <c r="W381" s="18" t="s">
        <v>95</v>
      </c>
      <c r="X381" s="18" t="s">
        <v>84</v>
      </c>
      <c r="Y381" s="18" t="s">
        <v>85</v>
      </c>
      <c r="Z381" s="18" t="s">
        <v>86</v>
      </c>
      <c r="AA381" s="18" t="s">
        <v>87</v>
      </c>
      <c r="AB381" s="18" t="s">
        <v>271</v>
      </c>
      <c r="AC381" s="18" t="s">
        <v>272</v>
      </c>
      <c r="AD381" s="18" t="s">
        <v>85</v>
      </c>
      <c r="AE381" s="18" t="s">
        <v>90</v>
      </c>
      <c r="AF381" s="18" t="s">
        <v>235</v>
      </c>
      <c r="AG381" s="18" t="s">
        <v>139</v>
      </c>
      <c r="AH381" s="18" t="s">
        <v>165</v>
      </c>
      <c r="AI381" s="18" t="s">
        <v>94</v>
      </c>
      <c r="AJ381" s="19">
        <v>44906</v>
      </c>
      <c r="AK381" s="22" t="s">
        <v>95</v>
      </c>
      <c r="AL381" s="18" t="s">
        <v>95</v>
      </c>
      <c r="AM381" s="18" t="s">
        <v>95</v>
      </c>
      <c r="AN381" s="18" t="s">
        <v>95</v>
      </c>
      <c r="AO381" s="18" t="s">
        <v>95</v>
      </c>
      <c r="AP381" s="18" t="s">
        <v>95</v>
      </c>
      <c r="AQ381" s="18" t="s">
        <v>95</v>
      </c>
      <c r="AR381" s="18" t="s">
        <v>95</v>
      </c>
      <c r="AS381" s="18" t="s">
        <v>83</v>
      </c>
      <c r="AT381" s="18" t="s">
        <v>83</v>
      </c>
      <c r="AU381" s="18" t="s">
        <v>81</v>
      </c>
      <c r="AV381" s="18" t="s">
        <v>95</v>
      </c>
      <c r="AW381" s="18" t="s">
        <v>95</v>
      </c>
      <c r="AX381" s="18"/>
      <c r="AY381" s="18" t="str">
        <f>Pospago[[#This Row],[NUM_TELEFONICO]]&amp;"POSPAGOSI"</f>
        <v>984259793POSPAGOSI</v>
      </c>
      <c r="AZ381" s="18" t="str">
        <f>VLOOKUP(Pospago[[#This Row],[NOM_PLAZA_FINAL]],[1]!Locales[#Data],3,0)</f>
        <v>TIENDA CONDADO</v>
      </c>
      <c r="BA381" s="18" t="str">
        <f>IFERROR(VLOOKUP(Pospago[[#This Row],[USUARIO]],[1]!Personal[#Data],6,0),"EJECUTIVO NO REGISTRADO")</f>
        <v>CASTILLO AGUIRRE EDWIN MODESTO</v>
      </c>
      <c r="BB381" s="18" t="str">
        <f>Pospago[[#This Row],[TIPO_MOVIMIENTO]]&amp;" "&amp;Pospago[[#This Row],[FORMA_PAGO_FINAL]]</f>
        <v>TRANSFERENCIAS DOMICILIADO</v>
      </c>
      <c r="BC381" s="18">
        <f>DAY(Pospago[[#This Row],[FECHA_ALTA]])</f>
        <v>11</v>
      </c>
      <c r="BD381" s="18">
        <f>IF(Pospago[[#This Row],[TARIFA_BASICA]]=11.42,1,0)</f>
        <v>0</v>
      </c>
      <c r="BE381" s="18">
        <f>IF(Pospago[[#This Row],[PLANES TELEVENTAS]]="SI",1,0)</f>
        <v>0</v>
      </c>
      <c r="BF381" s="18">
        <f>1</f>
        <v>1</v>
      </c>
      <c r="BG381" s="18">
        <f>IF(OR(Pospago[[#This Row],[TARIFA_BASICA]]=11.42,Pospago[[#This Row],[PLANES TELEVENTAS]]="SI"),1,0)</f>
        <v>0</v>
      </c>
      <c r="BH381" s="18" t="str">
        <f>IF(MID(Pospago[[#This Row],[PlanDesc]],1,4) = "PLAN","POSPAGO",IF(MID(Pospago[[#This Row],[PlanDesc]],1,4)="FULL","FULL MEGAS","PREVIOPAGO"))</f>
        <v>PREVIOPAGO</v>
      </c>
      <c r="BI3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81" s="21">
        <f>Pospago[[#This Row],[TARIFA_BASICA]]*1.5</f>
        <v>21.419999999999998</v>
      </c>
    </row>
    <row r="382" spans="1:63" x14ac:dyDescent="0.25">
      <c r="A382" s="18" t="s">
        <v>154</v>
      </c>
      <c r="B382" s="18" t="s">
        <v>2591</v>
      </c>
      <c r="C382" s="18" t="s">
        <v>2592</v>
      </c>
      <c r="D382" s="19">
        <v>44900</v>
      </c>
      <c r="E382" s="18" t="s">
        <v>67</v>
      </c>
      <c r="F382" s="18" t="s">
        <v>2593</v>
      </c>
      <c r="G382" s="18" t="s">
        <v>2594</v>
      </c>
      <c r="H382" s="18" t="s">
        <v>159</v>
      </c>
      <c r="I382" s="18" t="s">
        <v>194</v>
      </c>
      <c r="J382" s="18" t="s">
        <v>268</v>
      </c>
      <c r="K382" s="18" t="s">
        <v>95</v>
      </c>
      <c r="L382" s="20" t="s">
        <v>2595</v>
      </c>
      <c r="M382" s="18" t="s">
        <v>75</v>
      </c>
      <c r="N382" s="20" t="s">
        <v>2596</v>
      </c>
      <c r="O382" s="18" t="s">
        <v>164</v>
      </c>
      <c r="P382" s="18" t="s">
        <v>78</v>
      </c>
      <c r="Q382" s="19">
        <v>44914</v>
      </c>
      <c r="R382" s="21">
        <v>14.28</v>
      </c>
      <c r="S382" s="18" t="s">
        <v>79</v>
      </c>
      <c r="T382" s="18" t="s">
        <v>232</v>
      </c>
      <c r="U382" s="18" t="s">
        <v>83</v>
      </c>
      <c r="V382" s="18" t="s">
        <v>95</v>
      </c>
      <c r="W382" s="18" t="s">
        <v>95</v>
      </c>
      <c r="X382" s="18" t="s">
        <v>84</v>
      </c>
      <c r="Y382" s="18" t="s">
        <v>85</v>
      </c>
      <c r="Z382" s="18" t="s">
        <v>86</v>
      </c>
      <c r="AA382" s="18" t="s">
        <v>87</v>
      </c>
      <c r="AB382" s="18" t="s">
        <v>280</v>
      </c>
      <c r="AC382" s="18" t="s">
        <v>281</v>
      </c>
      <c r="AD382" s="18" t="s">
        <v>85</v>
      </c>
      <c r="AE382" s="18" t="s">
        <v>90</v>
      </c>
      <c r="AF382" s="18" t="s">
        <v>235</v>
      </c>
      <c r="AG382" s="18" t="s">
        <v>139</v>
      </c>
      <c r="AH382" s="18" t="s">
        <v>165</v>
      </c>
      <c r="AI382" s="18" t="s">
        <v>94</v>
      </c>
      <c r="AJ382" s="19">
        <v>44900</v>
      </c>
      <c r="AK382" s="22" t="s">
        <v>95</v>
      </c>
      <c r="AL382" s="18" t="s">
        <v>95</v>
      </c>
      <c r="AM382" s="18" t="s">
        <v>95</v>
      </c>
      <c r="AN382" s="18" t="s">
        <v>95</v>
      </c>
      <c r="AO382" s="18" t="s">
        <v>95</v>
      </c>
      <c r="AP382" s="18" t="s">
        <v>95</v>
      </c>
      <c r="AQ382" s="18" t="s">
        <v>95</v>
      </c>
      <c r="AR382" s="18" t="s">
        <v>95</v>
      </c>
      <c r="AS382" s="18" t="s">
        <v>83</v>
      </c>
      <c r="AT382" s="18" t="s">
        <v>81</v>
      </c>
      <c r="AU382" s="18" t="s">
        <v>81</v>
      </c>
      <c r="AV382" s="18" t="s">
        <v>95</v>
      </c>
      <c r="AW382" s="18" t="s">
        <v>95</v>
      </c>
      <c r="AX382" s="18"/>
      <c r="AY382" s="18" t="str">
        <f>Pospago[[#This Row],[NUM_TELEFONICO]]&amp;"POSPAGOSI"</f>
        <v>984269865POSPAGOSI</v>
      </c>
      <c r="AZ382" s="18" t="str">
        <f>VLOOKUP(Pospago[[#This Row],[NOM_PLAZA_FINAL]],[1]!Locales[#Data],3,0)</f>
        <v>TIENDA CONDADO</v>
      </c>
      <c r="BA382" s="18" t="str">
        <f>IFERROR(VLOOKUP(Pospago[[#This Row],[USUARIO]],[1]!Personal[#Data],6,0),"EJECUTIVO NO REGISTRADO")</f>
        <v>GUACHAMIN CAZA HUGO ADRIAN</v>
      </c>
      <c r="BB382" s="18" t="str">
        <f>Pospago[[#This Row],[TIPO_MOVIMIENTO]]&amp;" "&amp;Pospago[[#This Row],[FORMA_PAGO_FINAL]]</f>
        <v>TRANSFERENCIAS DOMICILIADO</v>
      </c>
      <c r="BC382" s="18">
        <f>DAY(Pospago[[#This Row],[FECHA_ALTA]])</f>
        <v>5</v>
      </c>
      <c r="BD382" s="18">
        <f>IF(Pospago[[#This Row],[TARIFA_BASICA]]=11.42,1,0)</f>
        <v>0</v>
      </c>
      <c r="BE382" s="18">
        <f>IF(Pospago[[#This Row],[PLANES TELEVENTAS]]="SI",1,0)</f>
        <v>1</v>
      </c>
      <c r="BF382" s="18">
        <f>1</f>
        <v>1</v>
      </c>
      <c r="BG382" s="18">
        <f>IF(OR(Pospago[[#This Row],[TARIFA_BASICA]]=11.42,Pospago[[#This Row],[PLANES TELEVENTAS]]="SI"),1,0)</f>
        <v>1</v>
      </c>
      <c r="BH382" s="18" t="str">
        <f>IF(MID(Pospago[[#This Row],[PlanDesc]],1,4) = "PLAN","POSPAGO",IF(MID(Pospago[[#This Row],[PlanDesc]],1,4)="FULL","FULL MEGAS","PREVIOPAGO"))</f>
        <v>PREVIOPAGO</v>
      </c>
      <c r="BI3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82" s="21">
        <f>Pospago[[#This Row],[TARIFA_BASICA]]*1.5</f>
        <v>21.419999999999998</v>
      </c>
    </row>
    <row r="383" spans="1:63" x14ac:dyDescent="0.25">
      <c r="A383" s="18" t="s">
        <v>154</v>
      </c>
      <c r="B383" s="18" t="s">
        <v>2597</v>
      </c>
      <c r="C383" s="18" t="s">
        <v>2598</v>
      </c>
      <c r="D383" s="19">
        <v>44907</v>
      </c>
      <c r="E383" s="18" t="s">
        <v>67</v>
      </c>
      <c r="F383" s="18" t="s">
        <v>2599</v>
      </c>
      <c r="G383" s="18" t="s">
        <v>2600</v>
      </c>
      <c r="H383" s="18" t="s">
        <v>159</v>
      </c>
      <c r="I383" s="18" t="s">
        <v>160</v>
      </c>
      <c r="J383" s="18" t="s">
        <v>161</v>
      </c>
      <c r="K383" s="18" t="s">
        <v>2601</v>
      </c>
      <c r="L383" s="20" t="s">
        <v>2602</v>
      </c>
      <c r="M383" s="18" t="s">
        <v>75</v>
      </c>
      <c r="N383" s="20" t="s">
        <v>2603</v>
      </c>
      <c r="O383" s="18" t="s">
        <v>164</v>
      </c>
      <c r="P383" s="18" t="s">
        <v>78</v>
      </c>
      <c r="Q383" s="19">
        <v>44914</v>
      </c>
      <c r="R383" s="21">
        <v>14.28</v>
      </c>
      <c r="S383" s="18" t="s">
        <v>79</v>
      </c>
      <c r="T383" s="18" t="s">
        <v>232</v>
      </c>
      <c r="U383" s="18" t="s">
        <v>83</v>
      </c>
      <c r="V383" s="18" t="s">
        <v>95</v>
      </c>
      <c r="W383" s="18" t="s">
        <v>95</v>
      </c>
      <c r="X383" s="18" t="s">
        <v>84</v>
      </c>
      <c r="Y383" s="18" t="s">
        <v>85</v>
      </c>
      <c r="Z383" s="18" t="s">
        <v>86</v>
      </c>
      <c r="AA383" s="18" t="s">
        <v>87</v>
      </c>
      <c r="AB383" s="18" t="s">
        <v>271</v>
      </c>
      <c r="AC383" s="18" t="s">
        <v>272</v>
      </c>
      <c r="AD383" s="18" t="s">
        <v>85</v>
      </c>
      <c r="AE383" s="18" t="s">
        <v>90</v>
      </c>
      <c r="AF383" s="18" t="s">
        <v>235</v>
      </c>
      <c r="AG383" s="18" t="s">
        <v>139</v>
      </c>
      <c r="AH383" s="18" t="s">
        <v>165</v>
      </c>
      <c r="AI383" s="18" t="s">
        <v>94</v>
      </c>
      <c r="AJ383" s="19">
        <v>44907</v>
      </c>
      <c r="AK383" s="22" t="s">
        <v>95</v>
      </c>
      <c r="AL383" s="18" t="s">
        <v>95</v>
      </c>
      <c r="AM383" s="18" t="s">
        <v>95</v>
      </c>
      <c r="AN383" s="18" t="s">
        <v>95</v>
      </c>
      <c r="AO383" s="18" t="s">
        <v>95</v>
      </c>
      <c r="AP383" s="18" t="s">
        <v>95</v>
      </c>
      <c r="AQ383" s="18" t="s">
        <v>95</v>
      </c>
      <c r="AR383" s="18" t="s">
        <v>95</v>
      </c>
      <c r="AS383" s="18" t="s">
        <v>83</v>
      </c>
      <c r="AT383" s="18" t="s">
        <v>83</v>
      </c>
      <c r="AU383" s="18" t="s">
        <v>81</v>
      </c>
      <c r="AV383" s="18" t="s">
        <v>95</v>
      </c>
      <c r="AW383" s="18" t="s">
        <v>95</v>
      </c>
      <c r="AX383" s="18"/>
      <c r="AY383" s="18" t="str">
        <f>Pospago[[#This Row],[NUM_TELEFONICO]]&amp;"POSPAGOSI"</f>
        <v>984279069POSPAGOSI</v>
      </c>
      <c r="AZ383" s="18" t="str">
        <f>VLOOKUP(Pospago[[#This Row],[NOM_PLAZA_FINAL]],[1]!Locales[#Data],3,0)</f>
        <v>TIENDA CONDADO</v>
      </c>
      <c r="BA383" s="18" t="str">
        <f>IFERROR(VLOOKUP(Pospago[[#This Row],[USUARIO]],[1]!Personal[#Data],6,0),"EJECUTIVO NO REGISTRADO")</f>
        <v>CASTILLO AGUIRRE EDWIN MODESTO</v>
      </c>
      <c r="BB383" s="18" t="str">
        <f>Pospago[[#This Row],[TIPO_MOVIMIENTO]]&amp;" "&amp;Pospago[[#This Row],[FORMA_PAGO_FINAL]]</f>
        <v>TRANSFERENCIAS DOMICILIADO</v>
      </c>
      <c r="BC383" s="18">
        <f>DAY(Pospago[[#This Row],[FECHA_ALTA]])</f>
        <v>12</v>
      </c>
      <c r="BD383" s="18">
        <f>IF(Pospago[[#This Row],[TARIFA_BASICA]]=11.42,1,0)</f>
        <v>0</v>
      </c>
      <c r="BE383" s="18">
        <f>IF(Pospago[[#This Row],[PLANES TELEVENTAS]]="SI",1,0)</f>
        <v>0</v>
      </c>
      <c r="BF383" s="18">
        <f>1</f>
        <v>1</v>
      </c>
      <c r="BG383" s="18">
        <f>IF(OR(Pospago[[#This Row],[TARIFA_BASICA]]=11.42,Pospago[[#This Row],[PLANES TELEVENTAS]]="SI"),1,0)</f>
        <v>0</v>
      </c>
      <c r="BH383" s="18" t="str">
        <f>IF(MID(Pospago[[#This Row],[PlanDesc]],1,4) = "PLAN","POSPAGO",IF(MID(Pospago[[#This Row],[PlanDesc]],1,4)="FULL","FULL MEGAS","PREVIOPAGO"))</f>
        <v>PREVIOPAGO</v>
      </c>
      <c r="BI3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83" s="21">
        <f>Pospago[[#This Row],[TARIFA_BASICA]]*1.5</f>
        <v>21.419999999999998</v>
      </c>
    </row>
    <row r="384" spans="1:63" x14ac:dyDescent="0.25">
      <c r="A384" s="18" t="s">
        <v>64</v>
      </c>
      <c r="B384" s="18" t="s">
        <v>2604</v>
      </c>
      <c r="C384" s="18" t="s">
        <v>2605</v>
      </c>
      <c r="D384" s="19">
        <v>44907</v>
      </c>
      <c r="E384" s="18" t="s">
        <v>67</v>
      </c>
      <c r="F384" s="18" t="s">
        <v>2606</v>
      </c>
      <c r="G384" s="18" t="s">
        <v>2607</v>
      </c>
      <c r="H384" s="18" t="s">
        <v>193</v>
      </c>
      <c r="I384" s="18" t="s">
        <v>1487</v>
      </c>
      <c r="J384" s="18" t="s">
        <v>228</v>
      </c>
      <c r="K384" s="18" t="s">
        <v>73</v>
      </c>
      <c r="L384" s="20" t="s">
        <v>2608</v>
      </c>
      <c r="M384" s="18" t="s">
        <v>75</v>
      </c>
      <c r="N384" s="20" t="s">
        <v>2609</v>
      </c>
      <c r="O384" s="18" t="s">
        <v>77</v>
      </c>
      <c r="P384" s="18" t="s">
        <v>78</v>
      </c>
      <c r="Q384" s="19">
        <v>44914</v>
      </c>
      <c r="R384" s="21">
        <v>21.42</v>
      </c>
      <c r="S384" s="18" t="s">
        <v>79</v>
      </c>
      <c r="T384" s="18" t="s">
        <v>80</v>
      </c>
      <c r="U384" s="18" t="s">
        <v>83</v>
      </c>
      <c r="V384" s="18" t="s">
        <v>95</v>
      </c>
      <c r="W384" s="18" t="s">
        <v>83</v>
      </c>
      <c r="X384" s="18" t="s">
        <v>118</v>
      </c>
      <c r="Y384" s="18" t="s">
        <v>85</v>
      </c>
      <c r="Z384" s="18" t="s">
        <v>86</v>
      </c>
      <c r="AA384" s="18" t="s">
        <v>119</v>
      </c>
      <c r="AB384" s="18" t="s">
        <v>1415</v>
      </c>
      <c r="AC384" s="18" t="s">
        <v>1416</v>
      </c>
      <c r="AD384" s="18" t="s">
        <v>85</v>
      </c>
      <c r="AE384" s="18" t="s">
        <v>90</v>
      </c>
      <c r="AF384" s="18" t="s">
        <v>91</v>
      </c>
      <c r="AG384" s="18" t="s">
        <v>92</v>
      </c>
      <c r="AH384" s="18" t="s">
        <v>93</v>
      </c>
      <c r="AI384" s="18" t="s">
        <v>94</v>
      </c>
      <c r="AJ384" s="19">
        <v>44907</v>
      </c>
      <c r="AK384" s="22" t="s">
        <v>95</v>
      </c>
      <c r="AL384" s="18" t="s">
        <v>95</v>
      </c>
      <c r="AM384" s="18" t="s">
        <v>95</v>
      </c>
      <c r="AN384" s="18" t="s">
        <v>95</v>
      </c>
      <c r="AO384" s="18" t="s">
        <v>95</v>
      </c>
      <c r="AP384" s="18" t="s">
        <v>95</v>
      </c>
      <c r="AQ384" s="18" t="s">
        <v>95</v>
      </c>
      <c r="AR384" s="18" t="s">
        <v>95</v>
      </c>
      <c r="AS384" s="18" t="s">
        <v>83</v>
      </c>
      <c r="AT384" s="18" t="s">
        <v>81</v>
      </c>
      <c r="AU384" s="18" t="s">
        <v>81</v>
      </c>
      <c r="AV384" s="18" t="s">
        <v>95</v>
      </c>
      <c r="AW384" s="18" t="s">
        <v>95</v>
      </c>
      <c r="AX384" s="18"/>
      <c r="AY384" s="18" t="str">
        <f>Pospago[[#This Row],[NUM_TELEFONICO]]&amp;"POSPAGOSI"</f>
        <v>984291119POSPAGOSI</v>
      </c>
      <c r="AZ384" s="18" t="str">
        <f>VLOOKUP(Pospago[[#This Row],[NOM_PLAZA_FINAL]],[1]!Locales[#Data],3,0)</f>
        <v>TIENDA CUENCA CENTRO</v>
      </c>
      <c r="BA384" s="18" t="str">
        <f>IFERROR(VLOOKUP(Pospago[[#This Row],[USUARIO]],[1]!Personal[#Data],6,0),"EJECUTIVO NO REGISTRADO")</f>
        <v>PATIÑO URGILES DIANA CATALINA</v>
      </c>
      <c r="BB384" s="18" t="str">
        <f>Pospago[[#This Row],[TIPO_MOVIMIENTO]]&amp;" "&amp;Pospago[[#This Row],[FORMA_PAGO_FINAL]]</f>
        <v>ALTAS PAGO EN CAJA</v>
      </c>
      <c r="BC384" s="18">
        <f>DAY(Pospago[[#This Row],[FECHA_ALTA]])</f>
        <v>12</v>
      </c>
      <c r="BD384" s="18">
        <f>IF(Pospago[[#This Row],[TARIFA_BASICA]]=11.42,1,0)</f>
        <v>0</v>
      </c>
      <c r="BE384" s="18">
        <f>IF(Pospago[[#This Row],[PLANES TELEVENTAS]]="SI",1,0)</f>
        <v>1</v>
      </c>
      <c r="BF384" s="18">
        <f>1</f>
        <v>1</v>
      </c>
      <c r="BG384" s="18">
        <f>IF(OR(Pospago[[#This Row],[TARIFA_BASICA]]=11.42,Pospago[[#This Row],[PLANES TELEVENTAS]]="SI"),1,0)</f>
        <v>1</v>
      </c>
      <c r="BH384" s="18" t="str">
        <f>IF(MID(Pospago[[#This Row],[PlanDesc]],1,4) = "PLAN","POSPAGO",IF(MID(Pospago[[#This Row],[PlanDesc]],1,4)="FULL","FULL MEGAS","PREVIOPAGO"))</f>
        <v>PREVIOPAGO</v>
      </c>
      <c r="BI3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22.5</v>
      </c>
      <c r="BJ3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84" s="21">
        <f>Pospago[[#This Row],[TARIFA_BASICA]]*1.5</f>
        <v>32.130000000000003</v>
      </c>
    </row>
    <row r="385" spans="1:63" x14ac:dyDescent="0.25">
      <c r="A385" s="18" t="s">
        <v>154</v>
      </c>
      <c r="B385" s="18" t="s">
        <v>2610</v>
      </c>
      <c r="C385" s="18" t="s">
        <v>2611</v>
      </c>
      <c r="D385" s="19">
        <v>44912</v>
      </c>
      <c r="E385" s="18" t="s">
        <v>67</v>
      </c>
      <c r="F385" s="18" t="s">
        <v>2612</v>
      </c>
      <c r="G385" s="18" t="s">
        <v>2613</v>
      </c>
      <c r="H385" s="18" t="s">
        <v>159</v>
      </c>
      <c r="I385" s="18" t="s">
        <v>1357</v>
      </c>
      <c r="J385" s="18" t="s">
        <v>2022</v>
      </c>
      <c r="K385" s="18" t="s">
        <v>95</v>
      </c>
      <c r="L385" s="20" t="s">
        <v>2614</v>
      </c>
      <c r="M385" s="18" t="s">
        <v>75</v>
      </c>
      <c r="N385" s="20" t="s">
        <v>2615</v>
      </c>
      <c r="O385" s="18" t="s">
        <v>164</v>
      </c>
      <c r="P385" s="18" t="s">
        <v>78</v>
      </c>
      <c r="Q385" s="19">
        <v>44914</v>
      </c>
      <c r="R385" s="21">
        <v>11.42</v>
      </c>
      <c r="S385" s="18" t="s">
        <v>79</v>
      </c>
      <c r="T385" s="18" t="s">
        <v>174</v>
      </c>
      <c r="U385" s="18" t="s">
        <v>83</v>
      </c>
      <c r="V385" s="18" t="s">
        <v>95</v>
      </c>
      <c r="W385" s="18" t="s">
        <v>95</v>
      </c>
      <c r="X385" s="18" t="s">
        <v>118</v>
      </c>
      <c r="Y385" s="18" t="s">
        <v>85</v>
      </c>
      <c r="Z385" s="18" t="s">
        <v>86</v>
      </c>
      <c r="AA385" s="18" t="s">
        <v>119</v>
      </c>
      <c r="AB385" s="18" t="s">
        <v>251</v>
      </c>
      <c r="AC385" s="18" t="s">
        <v>252</v>
      </c>
      <c r="AD385" s="18" t="s">
        <v>85</v>
      </c>
      <c r="AE385" s="18" t="s">
        <v>90</v>
      </c>
      <c r="AF385" s="18" t="s">
        <v>177</v>
      </c>
      <c r="AG385" s="18" t="s">
        <v>139</v>
      </c>
      <c r="AH385" s="18" t="s">
        <v>165</v>
      </c>
      <c r="AI385" s="18" t="s">
        <v>94</v>
      </c>
      <c r="AJ385" s="19">
        <v>44912</v>
      </c>
      <c r="AK385" s="22" t="s">
        <v>95</v>
      </c>
      <c r="AL385" s="18" t="s">
        <v>95</v>
      </c>
      <c r="AM385" s="18" t="s">
        <v>95</v>
      </c>
      <c r="AN385" s="18" t="s">
        <v>95</v>
      </c>
      <c r="AO385" s="18" t="s">
        <v>95</v>
      </c>
      <c r="AP385" s="18" t="s">
        <v>95</v>
      </c>
      <c r="AQ385" s="18" t="s">
        <v>95</v>
      </c>
      <c r="AR385" s="18" t="s">
        <v>95</v>
      </c>
      <c r="AS385" s="18" t="s">
        <v>83</v>
      </c>
      <c r="AT385" s="18" t="s">
        <v>81</v>
      </c>
      <c r="AU385" s="18" t="s">
        <v>81</v>
      </c>
      <c r="AV385" s="18" t="s">
        <v>95</v>
      </c>
      <c r="AW385" s="18" t="s">
        <v>95</v>
      </c>
      <c r="AX385" s="18"/>
      <c r="AY385" s="18" t="str">
        <f>Pospago[[#This Row],[NUM_TELEFONICO]]&amp;"POSPAGOSI"</f>
        <v>984303650POSPAGOSI</v>
      </c>
      <c r="AZ385" s="18" t="str">
        <f>VLOOKUP(Pospago[[#This Row],[NOM_PLAZA_FINAL]],[1]!Locales[#Data],3,0)</f>
        <v>TIENDA RECREO</v>
      </c>
      <c r="BA385" s="18" t="str">
        <f>IFERROR(VLOOKUP(Pospago[[#This Row],[USUARIO]],[1]!Personal[#Data],6,0),"EJECUTIVO NO REGISTRADO")</f>
        <v>CRUZ MONTUFAR KATHERINE ALEJANDRA</v>
      </c>
      <c r="BB385" s="18" t="str">
        <f>Pospago[[#This Row],[TIPO_MOVIMIENTO]]&amp;" "&amp;Pospago[[#This Row],[FORMA_PAGO_FINAL]]</f>
        <v>TRANSFERENCIAS PAGO EN CAJA</v>
      </c>
      <c r="BC385" s="18">
        <f>DAY(Pospago[[#This Row],[FECHA_ALTA]])</f>
        <v>17</v>
      </c>
      <c r="BD385" s="18">
        <f>IF(Pospago[[#This Row],[TARIFA_BASICA]]=11.42,1,0)</f>
        <v>1</v>
      </c>
      <c r="BE385" s="18">
        <f>IF(Pospago[[#This Row],[PLANES TELEVENTAS]]="SI",1,0)</f>
        <v>1</v>
      </c>
      <c r="BF385" s="18">
        <f>1</f>
        <v>1</v>
      </c>
      <c r="BG385" s="18">
        <f>IF(OR(Pospago[[#This Row],[TARIFA_BASICA]]=11.42,Pospago[[#This Row],[PLANES TELEVENTAS]]="SI"),1,0)</f>
        <v>1</v>
      </c>
      <c r="BH385" s="18" t="str">
        <f>IF(MID(Pospago[[#This Row],[PlanDesc]],1,4) = "PLAN","POSPAGO",IF(MID(Pospago[[#This Row],[PlanDesc]],1,4)="FULL","FULL MEGAS","PREVIOPAGO"))</f>
        <v>PREVIOPAGO</v>
      </c>
      <c r="BI3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85" s="21">
        <f>Pospago[[#This Row],[TARIFA_BASICA]]*1.5</f>
        <v>17.13</v>
      </c>
    </row>
    <row r="386" spans="1:63" x14ac:dyDescent="0.25">
      <c r="A386" s="18" t="s">
        <v>154</v>
      </c>
      <c r="B386" s="18" t="s">
        <v>2616</v>
      </c>
      <c r="C386" s="18" t="s">
        <v>2617</v>
      </c>
      <c r="D386" s="19">
        <v>44902</v>
      </c>
      <c r="E386" s="18" t="s">
        <v>67</v>
      </c>
      <c r="F386" s="18" t="s">
        <v>2618</v>
      </c>
      <c r="G386" s="18" t="s">
        <v>2619</v>
      </c>
      <c r="H386" s="18" t="s">
        <v>159</v>
      </c>
      <c r="I386" s="18" t="s">
        <v>71</v>
      </c>
      <c r="J386" s="18" t="s">
        <v>258</v>
      </c>
      <c r="K386" s="18" t="s">
        <v>132</v>
      </c>
      <c r="L386" s="20" t="s">
        <v>2620</v>
      </c>
      <c r="M386" s="18" t="s">
        <v>75</v>
      </c>
      <c r="N386" s="20" t="s">
        <v>2621</v>
      </c>
      <c r="O386" s="18" t="s">
        <v>2241</v>
      </c>
      <c r="P386" s="18" t="s">
        <v>78</v>
      </c>
      <c r="Q386" s="19">
        <v>44914</v>
      </c>
      <c r="R386" s="21">
        <v>11.42</v>
      </c>
      <c r="S386" s="18" t="s">
        <v>79</v>
      </c>
      <c r="T386" s="18" t="s">
        <v>174</v>
      </c>
      <c r="U386" s="18" t="s">
        <v>83</v>
      </c>
      <c r="V386" s="18" t="s">
        <v>95</v>
      </c>
      <c r="W386" s="18" t="s">
        <v>95</v>
      </c>
      <c r="X386" s="18" t="s">
        <v>118</v>
      </c>
      <c r="Y386" s="18" t="s">
        <v>85</v>
      </c>
      <c r="Z386" s="18" t="s">
        <v>86</v>
      </c>
      <c r="AA386" s="18" t="s">
        <v>119</v>
      </c>
      <c r="AB386" s="18" t="s">
        <v>492</v>
      </c>
      <c r="AC386" s="18" t="s">
        <v>493</v>
      </c>
      <c r="AD386" s="18" t="s">
        <v>85</v>
      </c>
      <c r="AE386" s="18" t="s">
        <v>90</v>
      </c>
      <c r="AF386" s="18" t="s">
        <v>177</v>
      </c>
      <c r="AG386" s="18" t="s">
        <v>139</v>
      </c>
      <c r="AH386" s="18" t="s">
        <v>165</v>
      </c>
      <c r="AI386" s="18" t="s">
        <v>94</v>
      </c>
      <c r="AJ386" s="19">
        <v>44902</v>
      </c>
      <c r="AK386" s="22" t="s">
        <v>95</v>
      </c>
      <c r="AL386" s="18" t="s">
        <v>95</v>
      </c>
      <c r="AM386" s="18" t="s">
        <v>95</v>
      </c>
      <c r="AN386" s="18" t="s">
        <v>95</v>
      </c>
      <c r="AO386" s="18" t="s">
        <v>95</v>
      </c>
      <c r="AP386" s="18" t="s">
        <v>95</v>
      </c>
      <c r="AQ386" s="18" t="s">
        <v>95</v>
      </c>
      <c r="AR386" s="18" t="s">
        <v>95</v>
      </c>
      <c r="AS386" s="18" t="s">
        <v>83</v>
      </c>
      <c r="AT386" s="18" t="s">
        <v>83</v>
      </c>
      <c r="AU386" s="18" t="s">
        <v>81</v>
      </c>
      <c r="AV386" s="18" t="s">
        <v>95</v>
      </c>
      <c r="AW386" s="18" t="s">
        <v>95</v>
      </c>
      <c r="AX386" s="18"/>
      <c r="AY386" s="18" t="str">
        <f>Pospago[[#This Row],[NUM_TELEFONICO]]&amp;"POSPAGOSI"</f>
        <v>984308525POSPAGOSI</v>
      </c>
      <c r="AZ386" s="18" t="str">
        <f>VLOOKUP(Pospago[[#This Row],[NOM_PLAZA_FINAL]],[1]!Locales[#Data],3,0)</f>
        <v>TIENDA RECREO</v>
      </c>
      <c r="BA386" s="18" t="str">
        <f>IFERROR(VLOOKUP(Pospago[[#This Row],[USUARIO]],[1]!Personal[#Data],6,0),"EJECUTIVO NO REGISTRADO")</f>
        <v>CONDO GARCIA NICOLAS MATIAS</v>
      </c>
      <c r="BB386" s="18" t="str">
        <f>Pospago[[#This Row],[TIPO_MOVIMIENTO]]&amp;" "&amp;Pospago[[#This Row],[FORMA_PAGO_FINAL]]</f>
        <v>TRANSFERENCIAS PAGO EN CAJA</v>
      </c>
      <c r="BC386" s="18">
        <f>DAY(Pospago[[#This Row],[FECHA_ALTA]])</f>
        <v>7</v>
      </c>
      <c r="BD386" s="18">
        <f>IF(Pospago[[#This Row],[TARIFA_BASICA]]=11.42,1,0)</f>
        <v>1</v>
      </c>
      <c r="BE386" s="18">
        <f>IF(Pospago[[#This Row],[PLANES TELEVENTAS]]="SI",1,0)</f>
        <v>0</v>
      </c>
      <c r="BF386" s="18">
        <f>1</f>
        <v>1</v>
      </c>
      <c r="BG386" s="18">
        <f>IF(OR(Pospago[[#This Row],[TARIFA_BASICA]]=11.42,Pospago[[#This Row],[PLANES TELEVENTAS]]="SI"),1,0)</f>
        <v>1</v>
      </c>
      <c r="BH386" s="18" t="str">
        <f>IF(MID(Pospago[[#This Row],[PlanDesc]],1,4) = "PLAN","POSPAGO",IF(MID(Pospago[[#This Row],[PlanDesc]],1,4)="FULL","FULL MEGAS","PREVIOPAGO"))</f>
        <v>PREVIOPAGO</v>
      </c>
      <c r="BI3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86" s="21">
        <f>Pospago[[#This Row],[TARIFA_BASICA]]*1.5</f>
        <v>17.13</v>
      </c>
    </row>
    <row r="387" spans="1:63" x14ac:dyDescent="0.25">
      <c r="A387" s="18" t="s">
        <v>154</v>
      </c>
      <c r="B387" s="18" t="s">
        <v>2622</v>
      </c>
      <c r="C387" s="18" t="s">
        <v>2623</v>
      </c>
      <c r="D387" s="19">
        <v>44909</v>
      </c>
      <c r="E387" s="18" t="s">
        <v>67</v>
      </c>
      <c r="F387" s="18" t="s">
        <v>2624</v>
      </c>
      <c r="G387" s="18" t="s">
        <v>2625</v>
      </c>
      <c r="H387" s="18" t="s">
        <v>159</v>
      </c>
      <c r="I387" s="18" t="s">
        <v>160</v>
      </c>
      <c r="J387" s="18" t="s">
        <v>161</v>
      </c>
      <c r="K387" s="18" t="s">
        <v>95</v>
      </c>
      <c r="L387" s="20" t="s">
        <v>2626</v>
      </c>
      <c r="M387" s="18" t="s">
        <v>75</v>
      </c>
      <c r="N387" s="20" t="s">
        <v>2627</v>
      </c>
      <c r="O387" s="18" t="s">
        <v>164</v>
      </c>
      <c r="P387" s="18" t="s">
        <v>78</v>
      </c>
      <c r="Q387" s="19">
        <v>44914</v>
      </c>
      <c r="R387" s="21">
        <v>14.28</v>
      </c>
      <c r="S387" s="18" t="s">
        <v>79</v>
      </c>
      <c r="T387" s="18" t="s">
        <v>80</v>
      </c>
      <c r="U387" s="18" t="s">
        <v>83</v>
      </c>
      <c r="V387" s="18" t="s">
        <v>95</v>
      </c>
      <c r="W387" s="18" t="s">
        <v>95</v>
      </c>
      <c r="X387" s="18" t="s">
        <v>118</v>
      </c>
      <c r="Y387" s="18" t="s">
        <v>85</v>
      </c>
      <c r="Z387" s="18" t="s">
        <v>86</v>
      </c>
      <c r="AA387" s="18" t="s">
        <v>119</v>
      </c>
      <c r="AB387" s="18" t="s">
        <v>242</v>
      </c>
      <c r="AC387" s="18" t="s">
        <v>243</v>
      </c>
      <c r="AD387" s="18" t="s">
        <v>85</v>
      </c>
      <c r="AE387" s="18" t="s">
        <v>90</v>
      </c>
      <c r="AF387" s="18" t="s">
        <v>91</v>
      </c>
      <c r="AG387" s="18" t="s">
        <v>92</v>
      </c>
      <c r="AH387" s="18" t="s">
        <v>165</v>
      </c>
      <c r="AI387" s="18" t="s">
        <v>94</v>
      </c>
      <c r="AJ387" s="19">
        <v>44909</v>
      </c>
      <c r="AK387" s="22" t="s">
        <v>95</v>
      </c>
      <c r="AL387" s="18" t="s">
        <v>95</v>
      </c>
      <c r="AM387" s="18" t="s">
        <v>95</v>
      </c>
      <c r="AN387" s="18" t="s">
        <v>95</v>
      </c>
      <c r="AO387" s="18" t="s">
        <v>95</v>
      </c>
      <c r="AP387" s="18" t="s">
        <v>95</v>
      </c>
      <c r="AQ387" s="18" t="s">
        <v>95</v>
      </c>
      <c r="AR387" s="18" t="s">
        <v>95</v>
      </c>
      <c r="AS387" s="18" t="s">
        <v>83</v>
      </c>
      <c r="AT387" s="18" t="s">
        <v>83</v>
      </c>
      <c r="AU387" s="18" t="s">
        <v>81</v>
      </c>
      <c r="AV387" s="18" t="s">
        <v>95</v>
      </c>
      <c r="AW387" s="18" t="s">
        <v>95</v>
      </c>
      <c r="AX387" s="18"/>
      <c r="AY387" s="18" t="str">
        <f>Pospago[[#This Row],[NUM_TELEFONICO]]&amp;"POSPAGOSI"</f>
        <v>984312521POSPAGOSI</v>
      </c>
      <c r="AZ387" s="18" t="str">
        <f>VLOOKUP(Pospago[[#This Row],[NOM_PLAZA_FINAL]],[1]!Locales[#Data],3,0)</f>
        <v>TIENDA CUENCA CENTRO</v>
      </c>
      <c r="BA387" s="18" t="str">
        <f>IFERROR(VLOOKUP(Pospago[[#This Row],[USUARIO]],[1]!Personal[#Data],6,0),"EJECUTIVO NO REGISTRADO")</f>
        <v>VALLEJO DELEG ROMAN NICOLAS</v>
      </c>
      <c r="BB387" s="18" t="str">
        <f>Pospago[[#This Row],[TIPO_MOVIMIENTO]]&amp;" "&amp;Pospago[[#This Row],[FORMA_PAGO_FINAL]]</f>
        <v>TRANSFERENCIAS PAGO EN CAJA</v>
      </c>
      <c r="BC387" s="18">
        <f>DAY(Pospago[[#This Row],[FECHA_ALTA]])</f>
        <v>14</v>
      </c>
      <c r="BD387" s="18">
        <f>IF(Pospago[[#This Row],[TARIFA_BASICA]]=11.42,1,0)</f>
        <v>0</v>
      </c>
      <c r="BE387" s="18">
        <f>IF(Pospago[[#This Row],[PLANES TELEVENTAS]]="SI",1,0)</f>
        <v>0</v>
      </c>
      <c r="BF387" s="18">
        <f>1</f>
        <v>1</v>
      </c>
      <c r="BG387" s="18">
        <f>IF(OR(Pospago[[#This Row],[TARIFA_BASICA]]=11.42,Pospago[[#This Row],[PLANES TELEVENTAS]]="SI"),1,0)</f>
        <v>0</v>
      </c>
      <c r="BH387" s="18" t="str">
        <f>IF(MID(Pospago[[#This Row],[PlanDesc]],1,4) = "PLAN","POSPAGO",IF(MID(Pospago[[#This Row],[PlanDesc]],1,4)="FULL","FULL MEGAS","PREVIOPAGO"))</f>
        <v>PREVIOPAGO</v>
      </c>
      <c r="BI3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87" s="21">
        <f>Pospago[[#This Row],[TARIFA_BASICA]]*1.5</f>
        <v>21.419999999999998</v>
      </c>
    </row>
    <row r="388" spans="1:63" x14ac:dyDescent="0.25">
      <c r="A388" s="18" t="s">
        <v>64</v>
      </c>
      <c r="B388" s="18" t="s">
        <v>2628</v>
      </c>
      <c r="C388" s="18" t="s">
        <v>2629</v>
      </c>
      <c r="D388" s="19">
        <v>44908</v>
      </c>
      <c r="E388" s="18" t="s">
        <v>67</v>
      </c>
      <c r="F388" s="18" t="s">
        <v>2630</v>
      </c>
      <c r="G388" s="18" t="s">
        <v>2631</v>
      </c>
      <c r="H388" s="18" t="s">
        <v>70</v>
      </c>
      <c r="I388" s="18" t="s">
        <v>194</v>
      </c>
      <c r="J388" s="18" t="s">
        <v>195</v>
      </c>
      <c r="K388" s="18" t="s">
        <v>114</v>
      </c>
      <c r="L388" s="20" t="s">
        <v>2632</v>
      </c>
      <c r="M388" s="18" t="s">
        <v>75</v>
      </c>
      <c r="N388" s="20" t="s">
        <v>2633</v>
      </c>
      <c r="O388" s="18" t="s">
        <v>77</v>
      </c>
      <c r="P388" s="18" t="s">
        <v>78</v>
      </c>
      <c r="Q388" s="19">
        <v>44914</v>
      </c>
      <c r="R388" s="21">
        <v>14.28</v>
      </c>
      <c r="S388" s="18" t="s">
        <v>79</v>
      </c>
      <c r="T388" s="18" t="s">
        <v>117</v>
      </c>
      <c r="U388" s="18" t="s">
        <v>83</v>
      </c>
      <c r="V388" s="18" t="s">
        <v>95</v>
      </c>
      <c r="W388" s="18" t="s">
        <v>83</v>
      </c>
      <c r="X388" s="18" t="s">
        <v>84</v>
      </c>
      <c r="Y388" s="18" t="s">
        <v>85</v>
      </c>
      <c r="Z388" s="18" t="s">
        <v>86</v>
      </c>
      <c r="AA388" s="18" t="s">
        <v>87</v>
      </c>
      <c r="AB388" s="18" t="s">
        <v>1043</v>
      </c>
      <c r="AC388" s="18" t="s">
        <v>1044</v>
      </c>
      <c r="AD388" s="18" t="s">
        <v>85</v>
      </c>
      <c r="AE388" s="18" t="s">
        <v>90</v>
      </c>
      <c r="AF388" s="18" t="s">
        <v>122</v>
      </c>
      <c r="AG388" s="18" t="s">
        <v>92</v>
      </c>
      <c r="AH388" s="18" t="s">
        <v>93</v>
      </c>
      <c r="AI388" s="18" t="s">
        <v>94</v>
      </c>
      <c r="AJ388" s="19">
        <v>44908</v>
      </c>
      <c r="AK388" s="22" t="s">
        <v>95</v>
      </c>
      <c r="AL388" s="18" t="s">
        <v>95</v>
      </c>
      <c r="AM388" s="18" t="s">
        <v>95</v>
      </c>
      <c r="AN388" s="18" t="s">
        <v>95</v>
      </c>
      <c r="AO388" s="18" t="s">
        <v>95</v>
      </c>
      <c r="AP388" s="18" t="s">
        <v>95</v>
      </c>
      <c r="AQ388" s="18" t="s">
        <v>95</v>
      </c>
      <c r="AR388" s="18" t="s">
        <v>95</v>
      </c>
      <c r="AS388" s="18" t="s">
        <v>83</v>
      </c>
      <c r="AT388" s="18" t="s">
        <v>81</v>
      </c>
      <c r="AU388" s="18" t="s">
        <v>81</v>
      </c>
      <c r="AV388" s="18" t="s">
        <v>95</v>
      </c>
      <c r="AW388" s="18" t="s">
        <v>95</v>
      </c>
      <c r="AX388" s="18"/>
      <c r="AY388" s="18" t="str">
        <f>Pospago[[#This Row],[NUM_TELEFONICO]]&amp;"POSPAGOSI"</f>
        <v>984332719POSPAGOSI</v>
      </c>
      <c r="AZ388" s="18" t="str">
        <f>VLOOKUP(Pospago[[#This Row],[NOM_PLAZA_FINAL]],[1]!Locales[#Data],3,0)</f>
        <v>TIENDA MACHALA</v>
      </c>
      <c r="BA388" s="18" t="str">
        <f>IFERROR(VLOOKUP(Pospago[[#This Row],[USUARIO]],[1]!Personal[#Data],6,0),"EJECUTIVO NO REGISTRADO")</f>
        <v>GONZAGA YUPANGUI LIZBETH KATHERINE</v>
      </c>
      <c r="BB388" s="18" t="str">
        <f>Pospago[[#This Row],[TIPO_MOVIMIENTO]]&amp;" "&amp;Pospago[[#This Row],[FORMA_PAGO_FINAL]]</f>
        <v>ALTAS DOMICILIADO</v>
      </c>
      <c r="BC388" s="18">
        <f>DAY(Pospago[[#This Row],[FECHA_ALTA]])</f>
        <v>13</v>
      </c>
      <c r="BD388" s="18">
        <f>IF(Pospago[[#This Row],[TARIFA_BASICA]]=11.42,1,0)</f>
        <v>0</v>
      </c>
      <c r="BE388" s="18">
        <f>IF(Pospago[[#This Row],[PLANES TELEVENTAS]]="SI",1,0)</f>
        <v>1</v>
      </c>
      <c r="BF388" s="18">
        <f>1</f>
        <v>1</v>
      </c>
      <c r="BG388" s="18">
        <f>IF(OR(Pospago[[#This Row],[TARIFA_BASICA]]=11.42,Pospago[[#This Row],[PLANES TELEVENTAS]]="SI"),1,0)</f>
        <v>1</v>
      </c>
      <c r="BH388" s="18" t="str">
        <f>IF(MID(Pospago[[#This Row],[PlanDesc]],1,4) = "PLAN","POSPAGO",IF(MID(Pospago[[#This Row],[PlanDesc]],1,4)="FULL","FULL MEGAS","PREVIOPAGO"))</f>
        <v>PREVIOPAGO</v>
      </c>
      <c r="BI3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3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88" s="21">
        <f>Pospago[[#This Row],[TARIFA_BASICA]]*1.5</f>
        <v>21.419999999999998</v>
      </c>
    </row>
    <row r="389" spans="1:63" x14ac:dyDescent="0.25">
      <c r="A389" s="18" t="s">
        <v>64</v>
      </c>
      <c r="B389" s="18" t="s">
        <v>2634</v>
      </c>
      <c r="C389" s="18" t="s">
        <v>2635</v>
      </c>
      <c r="D389" s="19">
        <v>44900</v>
      </c>
      <c r="E389" s="18" t="s">
        <v>67</v>
      </c>
      <c r="F389" s="18" t="s">
        <v>2636</v>
      </c>
      <c r="G389" s="18" t="s">
        <v>2637</v>
      </c>
      <c r="H389" s="18" t="s">
        <v>70</v>
      </c>
      <c r="I389" s="18" t="s">
        <v>71</v>
      </c>
      <c r="J389" s="18" t="s">
        <v>72</v>
      </c>
      <c r="K389" s="18" t="s">
        <v>95</v>
      </c>
      <c r="L389" s="20" t="s">
        <v>2638</v>
      </c>
      <c r="M389" s="18" t="s">
        <v>75</v>
      </c>
      <c r="N389" s="20" t="s">
        <v>2639</v>
      </c>
      <c r="O389" s="18" t="s">
        <v>77</v>
      </c>
      <c r="P389" s="18" t="s">
        <v>78</v>
      </c>
      <c r="Q389" s="19">
        <v>44914</v>
      </c>
      <c r="R389" s="21">
        <v>11.42</v>
      </c>
      <c r="S389" s="18" t="s">
        <v>79</v>
      </c>
      <c r="T389" s="18" t="s">
        <v>174</v>
      </c>
      <c r="U389" s="18" t="s">
        <v>83</v>
      </c>
      <c r="V389" s="18" t="s">
        <v>95</v>
      </c>
      <c r="W389" s="18" t="s">
        <v>83</v>
      </c>
      <c r="X389" s="18" t="s">
        <v>118</v>
      </c>
      <c r="Y389" s="18" t="s">
        <v>85</v>
      </c>
      <c r="Z389" s="18" t="s">
        <v>86</v>
      </c>
      <c r="AA389" s="18" t="s">
        <v>119</v>
      </c>
      <c r="AB389" s="18" t="s">
        <v>630</v>
      </c>
      <c r="AC389" s="18" t="s">
        <v>631</v>
      </c>
      <c r="AD389" s="18" t="s">
        <v>85</v>
      </c>
      <c r="AE389" s="18" t="s">
        <v>90</v>
      </c>
      <c r="AF389" s="18" t="s">
        <v>177</v>
      </c>
      <c r="AG389" s="18" t="s">
        <v>139</v>
      </c>
      <c r="AH389" s="18" t="s">
        <v>93</v>
      </c>
      <c r="AI389" s="18" t="s">
        <v>94</v>
      </c>
      <c r="AJ389" s="19">
        <v>44900</v>
      </c>
      <c r="AK389" s="22" t="s">
        <v>95</v>
      </c>
      <c r="AL389" s="18" t="s">
        <v>95</v>
      </c>
      <c r="AM389" s="18" t="s">
        <v>95</v>
      </c>
      <c r="AN389" s="18" t="s">
        <v>95</v>
      </c>
      <c r="AO389" s="18" t="s">
        <v>95</v>
      </c>
      <c r="AP389" s="18" t="s">
        <v>95</v>
      </c>
      <c r="AQ389" s="18" t="s">
        <v>95</v>
      </c>
      <c r="AR389" s="18" t="s">
        <v>95</v>
      </c>
      <c r="AS389" s="18" t="s">
        <v>83</v>
      </c>
      <c r="AT389" s="18" t="s">
        <v>83</v>
      </c>
      <c r="AU389" s="18" t="s">
        <v>81</v>
      </c>
      <c r="AV389" s="18" t="s">
        <v>95</v>
      </c>
      <c r="AW389" s="18" t="s">
        <v>95</v>
      </c>
      <c r="AX389" s="18"/>
      <c r="AY389" s="18" t="str">
        <f>Pospago[[#This Row],[NUM_TELEFONICO]]&amp;"POSPAGOSI"</f>
        <v>984333422POSPAGOSI</v>
      </c>
      <c r="AZ389" s="18" t="str">
        <f>VLOOKUP(Pospago[[#This Row],[NOM_PLAZA_FINAL]],[1]!Locales[#Data],3,0)</f>
        <v>TIENDA RECREO</v>
      </c>
      <c r="BA389" s="18" t="str">
        <f>IFERROR(VLOOKUP(Pospago[[#This Row],[USUARIO]],[1]!Personal[#Data],6,0),"EJECUTIVO NO REGISTRADO")</f>
        <v>LOAYZA AGUILAR JONATHAN FABIAN</v>
      </c>
      <c r="BB389" s="18" t="str">
        <f>Pospago[[#This Row],[TIPO_MOVIMIENTO]]&amp;" "&amp;Pospago[[#This Row],[FORMA_PAGO_FINAL]]</f>
        <v>ALTAS PAGO EN CAJA</v>
      </c>
      <c r="BC389" s="18">
        <f>DAY(Pospago[[#This Row],[FECHA_ALTA]])</f>
        <v>5</v>
      </c>
      <c r="BD389" s="18">
        <f>IF(Pospago[[#This Row],[TARIFA_BASICA]]=11.42,1,0)</f>
        <v>1</v>
      </c>
      <c r="BE389" s="18">
        <f>IF(Pospago[[#This Row],[PLANES TELEVENTAS]]="SI",1,0)</f>
        <v>0</v>
      </c>
      <c r="BF389" s="18">
        <f>1</f>
        <v>1</v>
      </c>
      <c r="BG389" s="18">
        <f>IF(OR(Pospago[[#This Row],[TARIFA_BASICA]]=11.42,Pospago[[#This Row],[PLANES TELEVENTAS]]="SI"),1,0)</f>
        <v>1</v>
      </c>
      <c r="BH389" s="18" t="str">
        <f>IF(MID(Pospago[[#This Row],[PlanDesc]],1,4) = "PLAN","POSPAGO",IF(MID(Pospago[[#This Row],[PlanDesc]],1,4)="FULL","FULL MEGAS","PREVIOPAGO"))</f>
        <v>PREVIOPAGO</v>
      </c>
      <c r="BI3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3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89" s="21">
        <f>Pospago[[#This Row],[TARIFA_BASICA]]*1.5</f>
        <v>17.13</v>
      </c>
    </row>
    <row r="390" spans="1:63" x14ac:dyDescent="0.25">
      <c r="A390" s="18" t="s">
        <v>64</v>
      </c>
      <c r="B390" s="18" t="s">
        <v>2640</v>
      </c>
      <c r="C390" s="18" t="s">
        <v>2641</v>
      </c>
      <c r="D390" s="19">
        <v>44913</v>
      </c>
      <c r="E390" s="18" t="s">
        <v>67</v>
      </c>
      <c r="F390" s="18" t="s">
        <v>2642</v>
      </c>
      <c r="G390" s="18" t="s">
        <v>2643</v>
      </c>
      <c r="H390" s="18" t="s">
        <v>70</v>
      </c>
      <c r="I390" s="18" t="s">
        <v>71</v>
      </c>
      <c r="J390" s="18" t="s">
        <v>72</v>
      </c>
      <c r="K390" s="18" t="s">
        <v>132</v>
      </c>
      <c r="L390" s="20" t="s">
        <v>2644</v>
      </c>
      <c r="M390" s="18" t="s">
        <v>75</v>
      </c>
      <c r="N390" s="20" t="s">
        <v>2645</v>
      </c>
      <c r="O390" s="18" t="s">
        <v>77</v>
      </c>
      <c r="P390" s="18" t="s">
        <v>78</v>
      </c>
      <c r="Q390" s="19">
        <v>44914</v>
      </c>
      <c r="R390" s="21">
        <v>11.42</v>
      </c>
      <c r="S390" s="18" t="s">
        <v>79</v>
      </c>
      <c r="T390" s="18" t="s">
        <v>174</v>
      </c>
      <c r="U390" s="18" t="s">
        <v>83</v>
      </c>
      <c r="V390" s="18" t="s">
        <v>95</v>
      </c>
      <c r="W390" s="18" t="s">
        <v>83</v>
      </c>
      <c r="X390" s="18" t="s">
        <v>118</v>
      </c>
      <c r="Y390" s="18" t="s">
        <v>85</v>
      </c>
      <c r="Z390" s="18" t="s">
        <v>86</v>
      </c>
      <c r="AA390" s="18" t="s">
        <v>119</v>
      </c>
      <c r="AB390" s="18" t="s">
        <v>2159</v>
      </c>
      <c r="AC390" s="18" t="s">
        <v>2160</v>
      </c>
      <c r="AD390" s="18" t="s">
        <v>85</v>
      </c>
      <c r="AE390" s="18" t="s">
        <v>90</v>
      </c>
      <c r="AF390" s="18" t="s">
        <v>177</v>
      </c>
      <c r="AG390" s="18" t="s">
        <v>139</v>
      </c>
      <c r="AH390" s="18" t="s">
        <v>93</v>
      </c>
      <c r="AI390" s="18" t="s">
        <v>94</v>
      </c>
      <c r="AJ390" s="19">
        <v>44913</v>
      </c>
      <c r="AK390" s="22" t="s">
        <v>95</v>
      </c>
      <c r="AL390" s="18" t="s">
        <v>95</v>
      </c>
      <c r="AM390" s="18" t="s">
        <v>95</v>
      </c>
      <c r="AN390" s="18" t="s">
        <v>95</v>
      </c>
      <c r="AO390" s="18" t="s">
        <v>95</v>
      </c>
      <c r="AP390" s="18" t="s">
        <v>95</v>
      </c>
      <c r="AQ390" s="18" t="s">
        <v>95</v>
      </c>
      <c r="AR390" s="18" t="s">
        <v>95</v>
      </c>
      <c r="AS390" s="18" t="s">
        <v>83</v>
      </c>
      <c r="AT390" s="18" t="s">
        <v>83</v>
      </c>
      <c r="AU390" s="18" t="s">
        <v>81</v>
      </c>
      <c r="AV390" s="18" t="s">
        <v>95</v>
      </c>
      <c r="AW390" s="18" t="s">
        <v>95</v>
      </c>
      <c r="AX390" s="18"/>
      <c r="AY390" s="18" t="str">
        <f>Pospago[[#This Row],[NUM_TELEFONICO]]&amp;"POSPAGOSI"</f>
        <v>984333792POSPAGOSI</v>
      </c>
      <c r="AZ390" s="18" t="str">
        <f>VLOOKUP(Pospago[[#This Row],[NOM_PLAZA_FINAL]],[1]!Locales[#Data],3,0)</f>
        <v>TIENDA RECREO</v>
      </c>
      <c r="BA390" s="18" t="str">
        <f>IFERROR(VLOOKUP(Pospago[[#This Row],[USUARIO]],[1]!Personal[#Data],6,0),"EJECUTIVO NO REGISTRADO")</f>
        <v>GUEVARA MAZA CRISTIAN FABIAN</v>
      </c>
      <c r="BB390" s="18" t="str">
        <f>Pospago[[#This Row],[TIPO_MOVIMIENTO]]&amp;" "&amp;Pospago[[#This Row],[FORMA_PAGO_FINAL]]</f>
        <v>ALTAS PAGO EN CAJA</v>
      </c>
      <c r="BC390" s="18">
        <f>DAY(Pospago[[#This Row],[FECHA_ALTA]])</f>
        <v>18</v>
      </c>
      <c r="BD390" s="18">
        <f>IF(Pospago[[#This Row],[TARIFA_BASICA]]=11.42,1,0)</f>
        <v>1</v>
      </c>
      <c r="BE390" s="18">
        <f>IF(Pospago[[#This Row],[PLANES TELEVENTAS]]="SI",1,0)</f>
        <v>0</v>
      </c>
      <c r="BF390" s="18">
        <f>1</f>
        <v>1</v>
      </c>
      <c r="BG390" s="18">
        <f>IF(OR(Pospago[[#This Row],[TARIFA_BASICA]]=11.42,Pospago[[#This Row],[PLANES TELEVENTAS]]="SI"),1,0)</f>
        <v>1</v>
      </c>
      <c r="BH390" s="18" t="str">
        <f>IF(MID(Pospago[[#This Row],[PlanDesc]],1,4) = "PLAN","POSPAGO",IF(MID(Pospago[[#This Row],[PlanDesc]],1,4)="FULL","FULL MEGAS","PREVIOPAGO"))</f>
        <v>PREVIOPAGO</v>
      </c>
      <c r="BI3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3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90" s="21">
        <f>Pospago[[#This Row],[TARIFA_BASICA]]*1.5</f>
        <v>17.13</v>
      </c>
    </row>
    <row r="391" spans="1:63" x14ac:dyDescent="0.25">
      <c r="A391" s="18" t="s">
        <v>154</v>
      </c>
      <c r="B391" s="18" t="s">
        <v>2646</v>
      </c>
      <c r="C391" s="18" t="s">
        <v>2647</v>
      </c>
      <c r="D391" s="19">
        <v>44907</v>
      </c>
      <c r="E391" s="18" t="s">
        <v>67</v>
      </c>
      <c r="F391" s="18" t="s">
        <v>2648</v>
      </c>
      <c r="G391" s="18" t="s">
        <v>2649</v>
      </c>
      <c r="H391" s="18" t="s">
        <v>159</v>
      </c>
      <c r="I391" s="18" t="s">
        <v>160</v>
      </c>
      <c r="J391" s="18" t="s">
        <v>161</v>
      </c>
      <c r="K391" s="18" t="s">
        <v>73</v>
      </c>
      <c r="L391" s="20" t="s">
        <v>2650</v>
      </c>
      <c r="M391" s="18" t="s">
        <v>75</v>
      </c>
      <c r="N391" s="20" t="s">
        <v>2651</v>
      </c>
      <c r="O391" s="18" t="s">
        <v>164</v>
      </c>
      <c r="P391" s="18" t="s">
        <v>78</v>
      </c>
      <c r="Q391" s="19">
        <v>44914</v>
      </c>
      <c r="R391" s="21">
        <v>14.28</v>
      </c>
      <c r="S391" s="18" t="s">
        <v>79</v>
      </c>
      <c r="T391" s="18" t="s">
        <v>148</v>
      </c>
      <c r="U391" s="18" t="s">
        <v>83</v>
      </c>
      <c r="V391" s="18" t="s">
        <v>95</v>
      </c>
      <c r="W391" s="18" t="s">
        <v>95</v>
      </c>
      <c r="X391" s="18" t="s">
        <v>84</v>
      </c>
      <c r="Y391" s="18" t="s">
        <v>85</v>
      </c>
      <c r="Z391" s="18" t="s">
        <v>86</v>
      </c>
      <c r="AA391" s="18" t="s">
        <v>87</v>
      </c>
      <c r="AB391" s="18" t="s">
        <v>420</v>
      </c>
      <c r="AC391" s="18" t="s">
        <v>421</v>
      </c>
      <c r="AD391" s="18" t="s">
        <v>85</v>
      </c>
      <c r="AE391" s="18" t="s">
        <v>90</v>
      </c>
      <c r="AF391" s="18" t="s">
        <v>151</v>
      </c>
      <c r="AG391" s="18" t="s">
        <v>92</v>
      </c>
      <c r="AH391" s="18" t="s">
        <v>165</v>
      </c>
      <c r="AI391" s="18" t="s">
        <v>94</v>
      </c>
      <c r="AJ391" s="19">
        <v>44907</v>
      </c>
      <c r="AK391" s="22" t="s">
        <v>95</v>
      </c>
      <c r="AL391" s="18" t="s">
        <v>95</v>
      </c>
      <c r="AM391" s="18" t="s">
        <v>95</v>
      </c>
      <c r="AN391" s="18" t="s">
        <v>95</v>
      </c>
      <c r="AO391" s="18" t="s">
        <v>95</v>
      </c>
      <c r="AP391" s="18" t="s">
        <v>95</v>
      </c>
      <c r="AQ391" s="18" t="s">
        <v>95</v>
      </c>
      <c r="AR391" s="18" t="s">
        <v>95</v>
      </c>
      <c r="AS391" s="18" t="s">
        <v>83</v>
      </c>
      <c r="AT391" s="18" t="s">
        <v>83</v>
      </c>
      <c r="AU391" s="18" t="s">
        <v>81</v>
      </c>
      <c r="AV391" s="18" t="s">
        <v>95</v>
      </c>
      <c r="AW391" s="18" t="s">
        <v>95</v>
      </c>
      <c r="AX391" s="18"/>
      <c r="AY391" s="18" t="str">
        <f>Pospago[[#This Row],[NUM_TELEFONICO]]&amp;"POSPAGOSI"</f>
        <v>984346766POSPAGOSI</v>
      </c>
      <c r="AZ391" s="18" t="str">
        <f>VLOOKUP(Pospago[[#This Row],[NOM_PLAZA_FINAL]],[1]!Locales[#Data],3,0)</f>
        <v>TIENDA CUENCA REMIGIO</v>
      </c>
      <c r="BA391" s="18" t="str">
        <f>IFERROR(VLOOKUP(Pospago[[#This Row],[USUARIO]],[1]!Personal[#Data],6,0),"EJECUTIVO NO REGISTRADO")</f>
        <v>YEPEZ PALOMEQUE DIANA PATRICIA</v>
      </c>
      <c r="BB391" s="18" t="str">
        <f>Pospago[[#This Row],[TIPO_MOVIMIENTO]]&amp;" "&amp;Pospago[[#This Row],[FORMA_PAGO_FINAL]]</f>
        <v>TRANSFERENCIAS DOMICILIADO</v>
      </c>
      <c r="BC391" s="18">
        <f>DAY(Pospago[[#This Row],[FECHA_ALTA]])</f>
        <v>12</v>
      </c>
      <c r="BD391" s="18">
        <f>IF(Pospago[[#This Row],[TARIFA_BASICA]]=11.42,1,0)</f>
        <v>0</v>
      </c>
      <c r="BE391" s="18">
        <f>IF(Pospago[[#This Row],[PLANES TELEVENTAS]]="SI",1,0)</f>
        <v>0</v>
      </c>
      <c r="BF391" s="18">
        <f>1</f>
        <v>1</v>
      </c>
      <c r="BG391" s="18">
        <f>IF(OR(Pospago[[#This Row],[TARIFA_BASICA]]=11.42,Pospago[[#This Row],[PLANES TELEVENTAS]]="SI"),1,0)</f>
        <v>0</v>
      </c>
      <c r="BH391" s="18" t="str">
        <f>IF(MID(Pospago[[#This Row],[PlanDesc]],1,4) = "PLAN","POSPAGO",IF(MID(Pospago[[#This Row],[PlanDesc]],1,4)="FULL","FULL MEGAS","PREVIOPAGO"))</f>
        <v>PREVIOPAGO</v>
      </c>
      <c r="BI3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91" s="21">
        <f>Pospago[[#This Row],[TARIFA_BASICA]]*1.5</f>
        <v>21.419999999999998</v>
      </c>
    </row>
    <row r="392" spans="1:63" x14ac:dyDescent="0.25">
      <c r="A392" s="18" t="s">
        <v>154</v>
      </c>
      <c r="B392" s="18" t="s">
        <v>2652</v>
      </c>
      <c r="C392" s="18" t="s">
        <v>2653</v>
      </c>
      <c r="D392" s="19">
        <v>44907</v>
      </c>
      <c r="E392" s="18" t="s">
        <v>67</v>
      </c>
      <c r="F392" s="18" t="s">
        <v>2654</v>
      </c>
      <c r="G392" s="18" t="s">
        <v>2655</v>
      </c>
      <c r="H392" s="18" t="s">
        <v>391</v>
      </c>
      <c r="I392" s="18" t="s">
        <v>160</v>
      </c>
      <c r="J392" s="18" t="s">
        <v>161</v>
      </c>
      <c r="K392" s="18" t="s">
        <v>73</v>
      </c>
      <c r="L392" s="20" t="s">
        <v>2656</v>
      </c>
      <c r="M392" s="18" t="s">
        <v>75</v>
      </c>
      <c r="N392" s="20" t="s">
        <v>2657</v>
      </c>
      <c r="O392" s="18" t="s">
        <v>164</v>
      </c>
      <c r="P392" s="18" t="s">
        <v>78</v>
      </c>
      <c r="Q392" s="19">
        <v>44914</v>
      </c>
      <c r="R392" s="21">
        <v>14.28</v>
      </c>
      <c r="S392" s="18" t="s">
        <v>79</v>
      </c>
      <c r="T392" s="18" t="s">
        <v>148</v>
      </c>
      <c r="U392" s="18" t="s">
        <v>83</v>
      </c>
      <c r="V392" s="18" t="s">
        <v>95</v>
      </c>
      <c r="W392" s="18" t="s">
        <v>95</v>
      </c>
      <c r="X392" s="18" t="s">
        <v>118</v>
      </c>
      <c r="Y392" s="18" t="s">
        <v>85</v>
      </c>
      <c r="Z392" s="18" t="s">
        <v>86</v>
      </c>
      <c r="AA392" s="18" t="s">
        <v>119</v>
      </c>
      <c r="AB392" s="18" t="s">
        <v>149</v>
      </c>
      <c r="AC392" s="18" t="s">
        <v>150</v>
      </c>
      <c r="AD392" s="18" t="s">
        <v>85</v>
      </c>
      <c r="AE392" s="18" t="s">
        <v>90</v>
      </c>
      <c r="AF392" s="18" t="s">
        <v>151</v>
      </c>
      <c r="AG392" s="18" t="s">
        <v>92</v>
      </c>
      <c r="AH392" s="18" t="s">
        <v>165</v>
      </c>
      <c r="AI392" s="18" t="s">
        <v>94</v>
      </c>
      <c r="AJ392" s="19">
        <v>44907</v>
      </c>
      <c r="AK392" s="22" t="s">
        <v>95</v>
      </c>
      <c r="AL392" s="18" t="s">
        <v>95</v>
      </c>
      <c r="AM392" s="18" t="s">
        <v>95</v>
      </c>
      <c r="AN392" s="18" t="s">
        <v>95</v>
      </c>
      <c r="AO392" s="18" t="s">
        <v>95</v>
      </c>
      <c r="AP392" s="18" t="s">
        <v>95</v>
      </c>
      <c r="AQ392" s="18" t="s">
        <v>95</v>
      </c>
      <c r="AR392" s="18" t="s">
        <v>95</v>
      </c>
      <c r="AS392" s="18" t="s">
        <v>83</v>
      </c>
      <c r="AT392" s="18" t="s">
        <v>83</v>
      </c>
      <c r="AU392" s="18" t="s">
        <v>81</v>
      </c>
      <c r="AV392" s="18" t="s">
        <v>95</v>
      </c>
      <c r="AW392" s="18" t="s">
        <v>95</v>
      </c>
      <c r="AX392" s="18"/>
      <c r="AY392" s="18" t="str">
        <f>Pospago[[#This Row],[NUM_TELEFONICO]]&amp;"POSPAGOSI"</f>
        <v>984347884POSPAGOSI</v>
      </c>
      <c r="AZ392" s="18" t="str">
        <f>VLOOKUP(Pospago[[#This Row],[NOM_PLAZA_FINAL]],[1]!Locales[#Data],3,0)</f>
        <v>TIENDA CUENCA REMIGIO</v>
      </c>
      <c r="BA392" s="18" t="str">
        <f>IFERROR(VLOOKUP(Pospago[[#This Row],[USUARIO]],[1]!Personal[#Data],6,0),"EJECUTIVO NO REGISTRADO")</f>
        <v>OSORIO TEJADA ANA ESTEFANIA</v>
      </c>
      <c r="BB392" s="18" t="str">
        <f>Pospago[[#This Row],[TIPO_MOVIMIENTO]]&amp;" "&amp;Pospago[[#This Row],[FORMA_PAGO_FINAL]]</f>
        <v>TRANSFERENCIAS PAGO EN CAJA</v>
      </c>
      <c r="BC392" s="18">
        <f>DAY(Pospago[[#This Row],[FECHA_ALTA]])</f>
        <v>12</v>
      </c>
      <c r="BD392" s="18">
        <f>IF(Pospago[[#This Row],[TARIFA_BASICA]]=11.42,1,0)</f>
        <v>0</v>
      </c>
      <c r="BE392" s="18">
        <f>IF(Pospago[[#This Row],[PLANES TELEVENTAS]]="SI",1,0)</f>
        <v>0</v>
      </c>
      <c r="BF392" s="18">
        <f>1</f>
        <v>1</v>
      </c>
      <c r="BG392" s="18">
        <f>IF(OR(Pospago[[#This Row],[TARIFA_BASICA]]=11.42,Pospago[[#This Row],[PLANES TELEVENTAS]]="SI"),1,0)</f>
        <v>0</v>
      </c>
      <c r="BH392" s="18" t="str">
        <f>IF(MID(Pospago[[#This Row],[PlanDesc]],1,4) = "PLAN","POSPAGO",IF(MID(Pospago[[#This Row],[PlanDesc]],1,4)="FULL","FULL MEGAS","PREVIOPAGO"))</f>
        <v>PREVIOPAGO</v>
      </c>
      <c r="BI3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3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92" s="21">
        <f>Pospago[[#This Row],[TARIFA_BASICA]]*1.5</f>
        <v>21.419999999999998</v>
      </c>
    </row>
    <row r="393" spans="1:63" x14ac:dyDescent="0.25">
      <c r="A393" s="18" t="s">
        <v>64</v>
      </c>
      <c r="B393" s="18" t="s">
        <v>2658</v>
      </c>
      <c r="C393" s="18" t="s">
        <v>2659</v>
      </c>
      <c r="D393" s="19">
        <v>44901</v>
      </c>
      <c r="E393" s="18" t="s">
        <v>67</v>
      </c>
      <c r="F393" s="18" t="s">
        <v>2660</v>
      </c>
      <c r="G393" s="18" t="s">
        <v>2661</v>
      </c>
      <c r="H393" s="18" t="s">
        <v>70</v>
      </c>
      <c r="I393" s="18" t="s">
        <v>392</v>
      </c>
      <c r="J393" s="18" t="s">
        <v>131</v>
      </c>
      <c r="K393" s="18" t="s">
        <v>73</v>
      </c>
      <c r="L393" s="20" t="s">
        <v>2662</v>
      </c>
      <c r="M393" s="18" t="s">
        <v>75</v>
      </c>
      <c r="N393" s="20" t="s">
        <v>2663</v>
      </c>
      <c r="O393" s="18" t="s">
        <v>77</v>
      </c>
      <c r="P393" s="18" t="s">
        <v>78</v>
      </c>
      <c r="Q393" s="19">
        <v>44914</v>
      </c>
      <c r="R393" s="21">
        <v>15</v>
      </c>
      <c r="S393" s="18" t="s">
        <v>79</v>
      </c>
      <c r="T393" s="18" t="s">
        <v>80</v>
      </c>
      <c r="U393" s="18" t="s">
        <v>83</v>
      </c>
      <c r="V393" s="18" t="s">
        <v>95</v>
      </c>
      <c r="W393" s="18" t="s">
        <v>83</v>
      </c>
      <c r="X393" s="18" t="s">
        <v>215</v>
      </c>
      <c r="Y393" s="18" t="s">
        <v>85</v>
      </c>
      <c r="Z393" s="18" t="s">
        <v>86</v>
      </c>
      <c r="AA393" s="18" t="s">
        <v>87</v>
      </c>
      <c r="AB393" s="18" t="s">
        <v>289</v>
      </c>
      <c r="AC393" s="18" t="s">
        <v>290</v>
      </c>
      <c r="AD393" s="18" t="s">
        <v>85</v>
      </c>
      <c r="AE393" s="18" t="s">
        <v>90</v>
      </c>
      <c r="AF393" s="18" t="s">
        <v>91</v>
      </c>
      <c r="AG393" s="18" t="s">
        <v>92</v>
      </c>
      <c r="AH393" s="18" t="s">
        <v>93</v>
      </c>
      <c r="AI393" s="18" t="s">
        <v>94</v>
      </c>
      <c r="AJ393" s="19">
        <v>44901</v>
      </c>
      <c r="AK393" s="22" t="s">
        <v>95</v>
      </c>
      <c r="AL393" s="18" t="s">
        <v>95</v>
      </c>
      <c r="AM393" s="18" t="s">
        <v>95</v>
      </c>
      <c r="AN393" s="18" t="s">
        <v>95</v>
      </c>
      <c r="AO393" s="18" t="s">
        <v>95</v>
      </c>
      <c r="AP393" s="18" t="s">
        <v>95</v>
      </c>
      <c r="AQ393" s="18" t="s">
        <v>95</v>
      </c>
      <c r="AR393" s="18" t="s">
        <v>95</v>
      </c>
      <c r="AS393" s="18" t="s">
        <v>83</v>
      </c>
      <c r="AT393" s="18" t="s">
        <v>81</v>
      </c>
      <c r="AU393" s="18" t="s">
        <v>81</v>
      </c>
      <c r="AV393" s="18" t="s">
        <v>95</v>
      </c>
      <c r="AW393" s="18" t="s">
        <v>291</v>
      </c>
      <c r="AX393" s="18"/>
      <c r="AY393" s="18" t="str">
        <f>Pospago[[#This Row],[NUM_TELEFONICO]]&amp;"POSPAGOSI"</f>
        <v>984352386POSPAGOSI</v>
      </c>
      <c r="AZ393" s="18" t="str">
        <f>VLOOKUP(Pospago[[#This Row],[NOM_PLAZA_FINAL]],[1]!Locales[#Data],3,0)</f>
        <v>TIENDA CUENCA CENTRO</v>
      </c>
      <c r="BA393" s="18" t="str">
        <f>IFERROR(VLOOKUP(Pospago[[#This Row],[USUARIO]],[1]!Personal[#Data],6,0),"EJECUTIVO NO REGISTRADO")</f>
        <v>CALLE CHACA JORGE VINICIO</v>
      </c>
      <c r="BB393" s="18" t="str">
        <f>Pospago[[#This Row],[TIPO_MOVIMIENTO]]&amp;" "&amp;Pospago[[#This Row],[FORMA_PAGO_FINAL]]</f>
        <v>ALTAS DOMICILIADO</v>
      </c>
      <c r="BC393" s="18">
        <f>DAY(Pospago[[#This Row],[FECHA_ALTA]])</f>
        <v>6</v>
      </c>
      <c r="BD393" s="18">
        <f>IF(Pospago[[#This Row],[TARIFA_BASICA]]=11.42,1,0)</f>
        <v>0</v>
      </c>
      <c r="BE393" s="18">
        <f>IF(Pospago[[#This Row],[PLANES TELEVENTAS]]="SI",1,0)</f>
        <v>1</v>
      </c>
      <c r="BF393" s="18">
        <f>1</f>
        <v>1</v>
      </c>
      <c r="BG393" s="18">
        <f>IF(OR(Pospago[[#This Row],[TARIFA_BASICA]]=11.42,Pospago[[#This Row],[PLANES TELEVENTAS]]="SI"),1,0)</f>
        <v>1</v>
      </c>
      <c r="BH393" s="18" t="str">
        <f>IF(MID(Pospago[[#This Row],[PlanDesc]],1,4) = "PLAN","POSPAGO",IF(MID(Pospago[[#This Row],[PlanDesc]],1,4)="FULL","FULL MEGAS","PREVIOPAGO"))</f>
        <v>PREVIOPAGO</v>
      </c>
      <c r="BI3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3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93" s="21">
        <f>Pospago[[#This Row],[TARIFA_BASICA]]*1.5</f>
        <v>22.5</v>
      </c>
    </row>
    <row r="394" spans="1:63" x14ac:dyDescent="0.25">
      <c r="A394" s="18" t="s">
        <v>154</v>
      </c>
      <c r="B394" s="18" t="s">
        <v>2664</v>
      </c>
      <c r="C394" s="18" t="s">
        <v>2665</v>
      </c>
      <c r="D394" s="19">
        <v>44899</v>
      </c>
      <c r="E394" s="18" t="s">
        <v>67</v>
      </c>
      <c r="F394" s="18" t="s">
        <v>2666</v>
      </c>
      <c r="G394" s="18" t="s">
        <v>2667</v>
      </c>
      <c r="H394" s="18" t="s">
        <v>159</v>
      </c>
      <c r="I394" s="18" t="s">
        <v>359</v>
      </c>
      <c r="J394" s="18" t="s">
        <v>360</v>
      </c>
      <c r="K394" s="18" t="s">
        <v>132</v>
      </c>
      <c r="L394" s="20" t="s">
        <v>2668</v>
      </c>
      <c r="M394" s="18" t="s">
        <v>287</v>
      </c>
      <c r="N394" s="20" t="s">
        <v>2669</v>
      </c>
      <c r="O394" s="18" t="s">
        <v>768</v>
      </c>
      <c r="P394" s="18" t="s">
        <v>78</v>
      </c>
      <c r="Q394" s="19">
        <v>44914</v>
      </c>
      <c r="R394" s="21">
        <v>14.28</v>
      </c>
      <c r="S394" s="18" t="s">
        <v>79</v>
      </c>
      <c r="T394" s="18" t="s">
        <v>232</v>
      </c>
      <c r="U394" s="18" t="s">
        <v>83</v>
      </c>
      <c r="V394" s="18" t="s">
        <v>95</v>
      </c>
      <c r="W394" s="18" t="s">
        <v>95</v>
      </c>
      <c r="X394" s="18" t="s">
        <v>84</v>
      </c>
      <c r="Y394" s="18" t="s">
        <v>85</v>
      </c>
      <c r="Z394" s="18" t="s">
        <v>86</v>
      </c>
      <c r="AA394" s="18" t="s">
        <v>87</v>
      </c>
      <c r="AB394" s="18" t="s">
        <v>233</v>
      </c>
      <c r="AC394" s="18" t="s">
        <v>234</v>
      </c>
      <c r="AD394" s="18" t="s">
        <v>85</v>
      </c>
      <c r="AE394" s="18" t="s">
        <v>90</v>
      </c>
      <c r="AF394" s="18" t="s">
        <v>235</v>
      </c>
      <c r="AG394" s="18" t="s">
        <v>139</v>
      </c>
      <c r="AH394" s="18" t="s">
        <v>165</v>
      </c>
      <c r="AI394" s="18" t="s">
        <v>94</v>
      </c>
      <c r="AJ394" s="19">
        <v>44899</v>
      </c>
      <c r="AK394" s="22" t="s">
        <v>95</v>
      </c>
      <c r="AL394" s="18" t="s">
        <v>95</v>
      </c>
      <c r="AM394" s="18" t="s">
        <v>95</v>
      </c>
      <c r="AN394" s="18" t="s">
        <v>95</v>
      </c>
      <c r="AO394" s="18" t="s">
        <v>95</v>
      </c>
      <c r="AP394" s="18" t="s">
        <v>95</v>
      </c>
      <c r="AQ394" s="18" t="s">
        <v>95</v>
      </c>
      <c r="AR394" s="18" t="s">
        <v>95</v>
      </c>
      <c r="AS394" s="18" t="s">
        <v>83</v>
      </c>
      <c r="AT394" s="18" t="s">
        <v>83</v>
      </c>
      <c r="AU394" s="18" t="s">
        <v>83</v>
      </c>
      <c r="AV394" s="18" t="s">
        <v>95</v>
      </c>
      <c r="AW394" s="18" t="s">
        <v>95</v>
      </c>
      <c r="AX394" s="18"/>
      <c r="AY394" s="18" t="str">
        <f>Pospago[[#This Row],[NUM_TELEFONICO]]&amp;"POSPAGOSI"</f>
        <v>984357761POSPAGOSI</v>
      </c>
      <c r="AZ394" s="18" t="str">
        <f>VLOOKUP(Pospago[[#This Row],[NOM_PLAZA_FINAL]],[1]!Locales[#Data],3,0)</f>
        <v>TIENDA CONDADO</v>
      </c>
      <c r="BA394" s="18" t="str">
        <f>IFERROR(VLOOKUP(Pospago[[#This Row],[USUARIO]],[1]!Personal[#Data],6,0),"EJECUTIVO NO REGISTRADO")</f>
        <v>ROSALES MALDONADO JESSICA GABRIELA</v>
      </c>
      <c r="BB394" s="18" t="str">
        <f>Pospago[[#This Row],[TIPO_MOVIMIENTO]]&amp;" "&amp;Pospago[[#This Row],[FORMA_PAGO_FINAL]]</f>
        <v>TRANSFERENCIAS DOMICILIADO</v>
      </c>
      <c r="BC394" s="18">
        <f>DAY(Pospago[[#This Row],[FECHA_ALTA]])</f>
        <v>4</v>
      </c>
      <c r="BD394" s="18">
        <f>IF(Pospago[[#This Row],[TARIFA_BASICA]]=11.42,1,0)</f>
        <v>0</v>
      </c>
      <c r="BE394" s="18">
        <f>IF(Pospago[[#This Row],[PLANES TELEVENTAS]]="SI",1,0)</f>
        <v>0</v>
      </c>
      <c r="BF394" s="18">
        <f>1</f>
        <v>1</v>
      </c>
      <c r="BG394" s="18">
        <f>IF(OR(Pospago[[#This Row],[TARIFA_BASICA]]=11.42,Pospago[[#This Row],[PLANES TELEVENTAS]]="SI"),1,0)</f>
        <v>0</v>
      </c>
      <c r="BH394" s="18" t="str">
        <f>IF(MID(Pospago[[#This Row],[PlanDesc]],1,4) = "PLAN","POSPAGO",IF(MID(Pospago[[#This Row],[PlanDesc]],1,4)="FULL","FULL MEGAS","PREVIOPAGO"))</f>
        <v>POSPAGO</v>
      </c>
      <c r="BI3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3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94" s="21">
        <f>Pospago[[#This Row],[TARIFA_BASICA]]*1.5</f>
        <v>21.419999999999998</v>
      </c>
    </row>
    <row r="395" spans="1:63" x14ac:dyDescent="0.25">
      <c r="A395" s="18" t="s">
        <v>154</v>
      </c>
      <c r="B395" s="18" t="s">
        <v>2670</v>
      </c>
      <c r="C395" s="18" t="s">
        <v>2671</v>
      </c>
      <c r="D395" s="19">
        <v>44902</v>
      </c>
      <c r="E395" s="18" t="s">
        <v>67</v>
      </c>
      <c r="F395" s="18" t="s">
        <v>2672</v>
      </c>
      <c r="G395" s="18" t="s">
        <v>2673</v>
      </c>
      <c r="H395" s="18" t="s">
        <v>159</v>
      </c>
      <c r="I395" s="18" t="s">
        <v>71</v>
      </c>
      <c r="J395" s="18" t="s">
        <v>258</v>
      </c>
      <c r="K395" s="18" t="s">
        <v>73</v>
      </c>
      <c r="L395" s="20" t="s">
        <v>2674</v>
      </c>
      <c r="M395" s="18" t="s">
        <v>75</v>
      </c>
      <c r="N395" s="20" t="s">
        <v>2675</v>
      </c>
      <c r="O395" s="18" t="s">
        <v>164</v>
      </c>
      <c r="P395" s="18" t="s">
        <v>78</v>
      </c>
      <c r="Q395" s="19">
        <v>44914</v>
      </c>
      <c r="R395" s="21">
        <v>11.42</v>
      </c>
      <c r="S395" s="18" t="s">
        <v>79</v>
      </c>
      <c r="T395" s="18" t="s">
        <v>80</v>
      </c>
      <c r="U395" s="18" t="s">
        <v>83</v>
      </c>
      <c r="V395" s="18" t="s">
        <v>95</v>
      </c>
      <c r="W395" s="18" t="s">
        <v>95</v>
      </c>
      <c r="X395" s="18" t="s">
        <v>118</v>
      </c>
      <c r="Y395" s="18" t="s">
        <v>85</v>
      </c>
      <c r="Z395" s="18" t="s">
        <v>86</v>
      </c>
      <c r="AA395" s="18" t="s">
        <v>119</v>
      </c>
      <c r="AB395" s="18" t="s">
        <v>1020</v>
      </c>
      <c r="AC395" s="18" t="s">
        <v>1021</v>
      </c>
      <c r="AD395" s="18" t="s">
        <v>85</v>
      </c>
      <c r="AE395" s="18" t="s">
        <v>90</v>
      </c>
      <c r="AF395" s="18" t="s">
        <v>91</v>
      </c>
      <c r="AG395" s="18" t="s">
        <v>92</v>
      </c>
      <c r="AH395" s="18" t="s">
        <v>165</v>
      </c>
      <c r="AI395" s="18" t="s">
        <v>94</v>
      </c>
      <c r="AJ395" s="19">
        <v>44902</v>
      </c>
      <c r="AK395" s="22" t="s">
        <v>95</v>
      </c>
      <c r="AL395" s="18" t="s">
        <v>95</v>
      </c>
      <c r="AM395" s="18" t="s">
        <v>95</v>
      </c>
      <c r="AN395" s="18" t="s">
        <v>95</v>
      </c>
      <c r="AO395" s="18" t="s">
        <v>95</v>
      </c>
      <c r="AP395" s="18" t="s">
        <v>95</v>
      </c>
      <c r="AQ395" s="18" t="s">
        <v>95</v>
      </c>
      <c r="AR395" s="18" t="s">
        <v>95</v>
      </c>
      <c r="AS395" s="18" t="s">
        <v>83</v>
      </c>
      <c r="AT395" s="18" t="s">
        <v>83</v>
      </c>
      <c r="AU395" s="18" t="s">
        <v>81</v>
      </c>
      <c r="AV395" s="18" t="s">
        <v>95</v>
      </c>
      <c r="AW395" s="18" t="s">
        <v>95</v>
      </c>
      <c r="AX395" s="18"/>
      <c r="AY395" s="18" t="str">
        <f>Pospago[[#This Row],[NUM_TELEFONICO]]&amp;"POSPAGOSI"</f>
        <v>984364911POSPAGOSI</v>
      </c>
      <c r="AZ395" s="18" t="str">
        <f>VLOOKUP(Pospago[[#This Row],[NOM_PLAZA_FINAL]],[1]!Locales[#Data],3,0)</f>
        <v>TIENDA CUENCA CENTRO</v>
      </c>
      <c r="BA395" s="18" t="str">
        <f>IFERROR(VLOOKUP(Pospago[[#This Row],[USUARIO]],[1]!Personal[#Data],6,0),"EJECUTIVO NO REGISTRADO")</f>
        <v>GONZALES ALVARRACIN PAOLA YESSENIA</v>
      </c>
      <c r="BB395" s="18" t="str">
        <f>Pospago[[#This Row],[TIPO_MOVIMIENTO]]&amp;" "&amp;Pospago[[#This Row],[FORMA_PAGO_FINAL]]</f>
        <v>TRANSFERENCIAS PAGO EN CAJA</v>
      </c>
      <c r="BC395" s="18">
        <f>DAY(Pospago[[#This Row],[FECHA_ALTA]])</f>
        <v>7</v>
      </c>
      <c r="BD395" s="18">
        <f>IF(Pospago[[#This Row],[TARIFA_BASICA]]=11.42,1,0)</f>
        <v>1</v>
      </c>
      <c r="BE395" s="18">
        <f>IF(Pospago[[#This Row],[PLANES TELEVENTAS]]="SI",1,0)</f>
        <v>0</v>
      </c>
      <c r="BF395" s="18">
        <f>1</f>
        <v>1</v>
      </c>
      <c r="BG395" s="18">
        <f>IF(OR(Pospago[[#This Row],[TARIFA_BASICA]]=11.42,Pospago[[#This Row],[PLANES TELEVENTAS]]="SI"),1,0)</f>
        <v>1</v>
      </c>
      <c r="BH395" s="18" t="str">
        <f>IF(MID(Pospago[[#This Row],[PlanDesc]],1,4) = "PLAN","POSPAGO",IF(MID(Pospago[[#This Row],[PlanDesc]],1,4)="FULL","FULL MEGAS","PREVIOPAGO"))</f>
        <v>PREVIOPAGO</v>
      </c>
      <c r="BI3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3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95" s="21">
        <f>Pospago[[#This Row],[TARIFA_BASICA]]*1.5</f>
        <v>17.13</v>
      </c>
    </row>
    <row r="396" spans="1:63" x14ac:dyDescent="0.25">
      <c r="A396" s="18" t="s">
        <v>64</v>
      </c>
      <c r="B396" s="18" t="s">
        <v>2676</v>
      </c>
      <c r="C396" s="18" t="s">
        <v>2677</v>
      </c>
      <c r="D396" s="19">
        <v>44909</v>
      </c>
      <c r="E396" s="18" t="s">
        <v>67</v>
      </c>
      <c r="F396" s="18" t="s">
        <v>2678</v>
      </c>
      <c r="G396" s="18" t="s">
        <v>2679</v>
      </c>
      <c r="H396" s="18" t="s">
        <v>70</v>
      </c>
      <c r="I396" s="18" t="s">
        <v>227</v>
      </c>
      <c r="J396" s="18" t="s">
        <v>228</v>
      </c>
      <c r="K396" s="18" t="s">
        <v>95</v>
      </c>
      <c r="L396" s="20" t="s">
        <v>2680</v>
      </c>
      <c r="M396" s="18" t="s">
        <v>75</v>
      </c>
      <c r="N396" s="20" t="s">
        <v>2681</v>
      </c>
      <c r="O396" s="18" t="s">
        <v>77</v>
      </c>
      <c r="P396" s="18" t="s">
        <v>78</v>
      </c>
      <c r="Q396" s="19">
        <v>44914</v>
      </c>
      <c r="R396" s="21">
        <v>21.42</v>
      </c>
      <c r="S396" s="18" t="s">
        <v>79</v>
      </c>
      <c r="T396" s="18" t="s">
        <v>148</v>
      </c>
      <c r="U396" s="18" t="s">
        <v>83</v>
      </c>
      <c r="V396" s="18" t="s">
        <v>95</v>
      </c>
      <c r="W396" s="18" t="s">
        <v>83</v>
      </c>
      <c r="X396" s="18" t="s">
        <v>84</v>
      </c>
      <c r="Y396" s="18" t="s">
        <v>85</v>
      </c>
      <c r="Z396" s="18" t="s">
        <v>86</v>
      </c>
      <c r="AA396" s="18" t="s">
        <v>87</v>
      </c>
      <c r="AB396" s="18" t="s">
        <v>385</v>
      </c>
      <c r="AC396" s="18" t="s">
        <v>386</v>
      </c>
      <c r="AD396" s="18" t="s">
        <v>85</v>
      </c>
      <c r="AE396" s="18" t="s">
        <v>90</v>
      </c>
      <c r="AF396" s="18" t="s">
        <v>151</v>
      </c>
      <c r="AG396" s="18" t="s">
        <v>92</v>
      </c>
      <c r="AH396" s="18" t="s">
        <v>93</v>
      </c>
      <c r="AI396" s="18" t="s">
        <v>94</v>
      </c>
      <c r="AJ396" s="19">
        <v>44909</v>
      </c>
      <c r="AK396" s="22" t="s">
        <v>95</v>
      </c>
      <c r="AL396" s="18" t="s">
        <v>95</v>
      </c>
      <c r="AM396" s="18" t="s">
        <v>95</v>
      </c>
      <c r="AN396" s="18" t="s">
        <v>95</v>
      </c>
      <c r="AO396" s="18" t="s">
        <v>95</v>
      </c>
      <c r="AP396" s="18" t="s">
        <v>95</v>
      </c>
      <c r="AQ396" s="18" t="s">
        <v>95</v>
      </c>
      <c r="AR396" s="18" t="s">
        <v>95</v>
      </c>
      <c r="AS396" s="18" t="s">
        <v>83</v>
      </c>
      <c r="AT396" s="18" t="s">
        <v>83</v>
      </c>
      <c r="AU396" s="18" t="s">
        <v>81</v>
      </c>
      <c r="AV396" s="18" t="s">
        <v>95</v>
      </c>
      <c r="AW396" s="18" t="s">
        <v>95</v>
      </c>
      <c r="AX396" s="18"/>
      <c r="AY396" s="18" t="str">
        <f>Pospago[[#This Row],[NUM_TELEFONICO]]&amp;"POSPAGOSI"</f>
        <v>984379272POSPAGOSI</v>
      </c>
      <c r="AZ396" s="18" t="str">
        <f>VLOOKUP(Pospago[[#This Row],[NOM_PLAZA_FINAL]],[1]!Locales[#Data],3,0)</f>
        <v>TIENDA CUENCA REMIGIO</v>
      </c>
      <c r="BA396" s="18" t="str">
        <f>IFERROR(VLOOKUP(Pospago[[#This Row],[USUARIO]],[1]!Personal[#Data],6,0),"EJECUTIVO NO REGISTRADO")</f>
        <v>RAMIREZ RUBIO NELLY LILIANA</v>
      </c>
      <c r="BB396" s="18" t="str">
        <f>Pospago[[#This Row],[TIPO_MOVIMIENTO]]&amp;" "&amp;Pospago[[#This Row],[FORMA_PAGO_FINAL]]</f>
        <v>ALTAS DOMICILIADO</v>
      </c>
      <c r="BC396" s="18">
        <f>DAY(Pospago[[#This Row],[FECHA_ALTA]])</f>
        <v>14</v>
      </c>
      <c r="BD396" s="18">
        <f>IF(Pospago[[#This Row],[TARIFA_BASICA]]=11.42,1,0)</f>
        <v>0</v>
      </c>
      <c r="BE396" s="18">
        <f>IF(Pospago[[#This Row],[PLANES TELEVENTAS]]="SI",1,0)</f>
        <v>0</v>
      </c>
      <c r="BF396" s="18">
        <f>1</f>
        <v>1</v>
      </c>
      <c r="BG396" s="18">
        <f>IF(OR(Pospago[[#This Row],[TARIFA_BASICA]]=11.42,Pospago[[#This Row],[PLANES TELEVENTAS]]="SI"),1,0)</f>
        <v>0</v>
      </c>
      <c r="BH396" s="18" t="str">
        <f>IF(MID(Pospago[[#This Row],[PlanDesc]],1,4) = "PLAN","POSPAGO",IF(MID(Pospago[[#This Row],[PlanDesc]],1,4)="FULL","FULL MEGAS","PREVIOPAGO"))</f>
        <v>PREVIOPAGO</v>
      </c>
      <c r="BI3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3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96" s="21">
        <f>Pospago[[#This Row],[TARIFA_BASICA]]*1.5</f>
        <v>32.130000000000003</v>
      </c>
    </row>
    <row r="397" spans="1:63" x14ac:dyDescent="0.25">
      <c r="A397" s="18" t="s">
        <v>64</v>
      </c>
      <c r="B397" s="18" t="s">
        <v>2682</v>
      </c>
      <c r="C397" s="18" t="s">
        <v>2683</v>
      </c>
      <c r="D397" s="19">
        <v>44901</v>
      </c>
      <c r="E397" s="18" t="s">
        <v>67</v>
      </c>
      <c r="F397" s="18" t="s">
        <v>2684</v>
      </c>
      <c r="G397" s="18" t="s">
        <v>2685</v>
      </c>
      <c r="H397" s="18" t="s">
        <v>70</v>
      </c>
      <c r="I397" s="18" t="s">
        <v>130</v>
      </c>
      <c r="J397" s="18" t="s">
        <v>131</v>
      </c>
      <c r="K397" s="18" t="s">
        <v>73</v>
      </c>
      <c r="L397" s="20" t="s">
        <v>2686</v>
      </c>
      <c r="M397" s="18" t="s">
        <v>75</v>
      </c>
      <c r="N397" s="20" t="s">
        <v>2687</v>
      </c>
      <c r="O397" s="18" t="s">
        <v>77</v>
      </c>
      <c r="P397" s="18" t="s">
        <v>78</v>
      </c>
      <c r="Q397" s="19">
        <v>44914</v>
      </c>
      <c r="R397" s="21">
        <v>15</v>
      </c>
      <c r="S397" s="18" t="s">
        <v>79</v>
      </c>
      <c r="T397" s="18" t="s">
        <v>148</v>
      </c>
      <c r="U397" s="18" t="s">
        <v>83</v>
      </c>
      <c r="V397" s="18" t="s">
        <v>95</v>
      </c>
      <c r="W397" s="18" t="s">
        <v>83</v>
      </c>
      <c r="X397" s="18" t="s">
        <v>84</v>
      </c>
      <c r="Y397" s="18" t="s">
        <v>85</v>
      </c>
      <c r="Z397" s="18" t="s">
        <v>86</v>
      </c>
      <c r="AA397" s="18" t="s">
        <v>87</v>
      </c>
      <c r="AB397" s="18" t="s">
        <v>149</v>
      </c>
      <c r="AC397" s="18" t="s">
        <v>150</v>
      </c>
      <c r="AD397" s="18" t="s">
        <v>85</v>
      </c>
      <c r="AE397" s="18" t="s">
        <v>90</v>
      </c>
      <c r="AF397" s="18" t="s">
        <v>151</v>
      </c>
      <c r="AG397" s="18" t="s">
        <v>92</v>
      </c>
      <c r="AH397" s="18" t="s">
        <v>93</v>
      </c>
      <c r="AI397" s="18" t="s">
        <v>94</v>
      </c>
      <c r="AJ397" s="19">
        <v>44901</v>
      </c>
      <c r="AK397" s="22" t="s">
        <v>95</v>
      </c>
      <c r="AL397" s="18" t="s">
        <v>95</v>
      </c>
      <c r="AM397" s="18" t="s">
        <v>95</v>
      </c>
      <c r="AN397" s="18" t="s">
        <v>95</v>
      </c>
      <c r="AO397" s="18" t="s">
        <v>95</v>
      </c>
      <c r="AP397" s="18" t="s">
        <v>95</v>
      </c>
      <c r="AQ397" s="18" t="s">
        <v>95</v>
      </c>
      <c r="AR397" s="18" t="s">
        <v>95</v>
      </c>
      <c r="AS397" s="18" t="s">
        <v>83</v>
      </c>
      <c r="AT397" s="18" t="s">
        <v>83</v>
      </c>
      <c r="AU397" s="18" t="s">
        <v>81</v>
      </c>
      <c r="AV397" s="18" t="s">
        <v>95</v>
      </c>
      <c r="AW397" s="18" t="s">
        <v>95</v>
      </c>
      <c r="AX397" s="18"/>
      <c r="AY397" s="18" t="str">
        <f>Pospago[[#This Row],[NUM_TELEFONICO]]&amp;"POSPAGOSI"</f>
        <v>984399078POSPAGOSI</v>
      </c>
      <c r="AZ397" s="18" t="str">
        <f>VLOOKUP(Pospago[[#This Row],[NOM_PLAZA_FINAL]],[1]!Locales[#Data],3,0)</f>
        <v>TIENDA CUENCA REMIGIO</v>
      </c>
      <c r="BA397" s="18" t="str">
        <f>IFERROR(VLOOKUP(Pospago[[#This Row],[USUARIO]],[1]!Personal[#Data],6,0),"EJECUTIVO NO REGISTRADO")</f>
        <v>OSORIO TEJADA ANA ESTEFANIA</v>
      </c>
      <c r="BB397" s="18" t="str">
        <f>Pospago[[#This Row],[TIPO_MOVIMIENTO]]&amp;" "&amp;Pospago[[#This Row],[FORMA_PAGO_FINAL]]</f>
        <v>ALTAS DOMICILIADO</v>
      </c>
      <c r="BC397" s="18">
        <f>DAY(Pospago[[#This Row],[FECHA_ALTA]])</f>
        <v>6</v>
      </c>
      <c r="BD397" s="18">
        <f>IF(Pospago[[#This Row],[TARIFA_BASICA]]=11.42,1,0)</f>
        <v>0</v>
      </c>
      <c r="BE397" s="18">
        <f>IF(Pospago[[#This Row],[PLANES TELEVENTAS]]="SI",1,0)</f>
        <v>0</v>
      </c>
      <c r="BF397" s="18">
        <f>1</f>
        <v>1</v>
      </c>
      <c r="BG397" s="18">
        <f>IF(OR(Pospago[[#This Row],[TARIFA_BASICA]]=11.42,Pospago[[#This Row],[PLANES TELEVENTAS]]="SI"),1,0)</f>
        <v>0</v>
      </c>
      <c r="BH397" s="18" t="str">
        <f>IF(MID(Pospago[[#This Row],[PlanDesc]],1,4) = "PLAN","POSPAGO",IF(MID(Pospago[[#This Row],[PlanDesc]],1,4)="FULL","FULL MEGAS","PREVIOPAGO"))</f>
        <v>PREVIOPAGO</v>
      </c>
      <c r="BI3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3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97" s="21">
        <f>Pospago[[#This Row],[TARIFA_BASICA]]*1.5</f>
        <v>22.5</v>
      </c>
    </row>
    <row r="398" spans="1:63" x14ac:dyDescent="0.25">
      <c r="A398" s="18" t="s">
        <v>64</v>
      </c>
      <c r="B398" s="18" t="s">
        <v>2688</v>
      </c>
      <c r="C398" s="18" t="s">
        <v>2689</v>
      </c>
      <c r="D398" s="19">
        <v>44908</v>
      </c>
      <c r="E398" s="18" t="s">
        <v>67</v>
      </c>
      <c r="F398" s="18" t="s">
        <v>2690</v>
      </c>
      <c r="G398" s="18" t="s">
        <v>2691</v>
      </c>
      <c r="H398" s="18" t="s">
        <v>70</v>
      </c>
      <c r="I398" s="18" t="s">
        <v>160</v>
      </c>
      <c r="J398" s="18" t="s">
        <v>195</v>
      </c>
      <c r="K398" s="18" t="s">
        <v>73</v>
      </c>
      <c r="L398" s="20" t="s">
        <v>2692</v>
      </c>
      <c r="M398" s="18" t="s">
        <v>75</v>
      </c>
      <c r="N398" s="20" t="s">
        <v>2693</v>
      </c>
      <c r="O398" s="18" t="s">
        <v>77</v>
      </c>
      <c r="P398" s="18" t="s">
        <v>78</v>
      </c>
      <c r="Q398" s="19">
        <v>44914</v>
      </c>
      <c r="R398" s="21">
        <v>14.28</v>
      </c>
      <c r="S398" s="18" t="s">
        <v>79</v>
      </c>
      <c r="T398" s="18" t="s">
        <v>148</v>
      </c>
      <c r="U398" s="18" t="s">
        <v>83</v>
      </c>
      <c r="V398" s="18" t="s">
        <v>95</v>
      </c>
      <c r="W398" s="18" t="s">
        <v>83</v>
      </c>
      <c r="X398" s="18" t="s">
        <v>84</v>
      </c>
      <c r="Y398" s="18" t="s">
        <v>85</v>
      </c>
      <c r="Z398" s="18" t="s">
        <v>86</v>
      </c>
      <c r="AA398" s="18" t="s">
        <v>87</v>
      </c>
      <c r="AB398" s="18" t="s">
        <v>318</v>
      </c>
      <c r="AC398" s="18" t="s">
        <v>319</v>
      </c>
      <c r="AD398" s="18" t="s">
        <v>85</v>
      </c>
      <c r="AE398" s="18" t="s">
        <v>90</v>
      </c>
      <c r="AF398" s="18" t="s">
        <v>151</v>
      </c>
      <c r="AG398" s="18" t="s">
        <v>92</v>
      </c>
      <c r="AH398" s="18" t="s">
        <v>93</v>
      </c>
      <c r="AI398" s="18" t="s">
        <v>94</v>
      </c>
      <c r="AJ398" s="19">
        <v>44908</v>
      </c>
      <c r="AK398" s="22" t="s">
        <v>95</v>
      </c>
      <c r="AL398" s="18" t="s">
        <v>95</v>
      </c>
      <c r="AM398" s="18" t="s">
        <v>95</v>
      </c>
      <c r="AN398" s="18" t="s">
        <v>95</v>
      </c>
      <c r="AO398" s="18" t="s">
        <v>95</v>
      </c>
      <c r="AP398" s="18" t="s">
        <v>95</v>
      </c>
      <c r="AQ398" s="18" t="s">
        <v>95</v>
      </c>
      <c r="AR398" s="18" t="s">
        <v>95</v>
      </c>
      <c r="AS398" s="18" t="s">
        <v>83</v>
      </c>
      <c r="AT398" s="18" t="s">
        <v>83</v>
      </c>
      <c r="AU398" s="18" t="s">
        <v>81</v>
      </c>
      <c r="AV398" s="18" t="s">
        <v>95</v>
      </c>
      <c r="AW398" s="18" t="s">
        <v>95</v>
      </c>
      <c r="AX398" s="18"/>
      <c r="AY398" s="18" t="str">
        <f>Pospago[[#This Row],[NUM_TELEFONICO]]&amp;"POSPAGOSI"</f>
        <v>984409479POSPAGOSI</v>
      </c>
      <c r="AZ398" s="18" t="str">
        <f>VLOOKUP(Pospago[[#This Row],[NOM_PLAZA_FINAL]],[1]!Locales[#Data],3,0)</f>
        <v>TIENDA CUENCA REMIGIO</v>
      </c>
      <c r="BA398" s="18" t="str">
        <f>IFERROR(VLOOKUP(Pospago[[#This Row],[USUARIO]],[1]!Personal[#Data],6,0),"EJECUTIVO NO REGISTRADO")</f>
        <v>RODRIGUEZ QUITO JESSICA GABRIELA</v>
      </c>
      <c r="BB398" s="18" t="str">
        <f>Pospago[[#This Row],[TIPO_MOVIMIENTO]]&amp;" "&amp;Pospago[[#This Row],[FORMA_PAGO_FINAL]]</f>
        <v>ALTAS DOMICILIADO</v>
      </c>
      <c r="BC398" s="18">
        <f>DAY(Pospago[[#This Row],[FECHA_ALTA]])</f>
        <v>13</v>
      </c>
      <c r="BD398" s="18">
        <f>IF(Pospago[[#This Row],[TARIFA_BASICA]]=11.42,1,0)</f>
        <v>0</v>
      </c>
      <c r="BE398" s="18">
        <f>IF(Pospago[[#This Row],[PLANES TELEVENTAS]]="SI",1,0)</f>
        <v>0</v>
      </c>
      <c r="BF398" s="18">
        <f>1</f>
        <v>1</v>
      </c>
      <c r="BG398" s="18">
        <f>IF(OR(Pospago[[#This Row],[TARIFA_BASICA]]=11.42,Pospago[[#This Row],[PLANES TELEVENTAS]]="SI"),1,0)</f>
        <v>0</v>
      </c>
      <c r="BH398" s="18" t="str">
        <f>IF(MID(Pospago[[#This Row],[PlanDesc]],1,4) = "PLAN","POSPAGO",IF(MID(Pospago[[#This Row],[PlanDesc]],1,4)="FULL","FULL MEGAS","PREVIOPAGO"))</f>
        <v>PREVIOPAGO</v>
      </c>
      <c r="BI3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3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398" s="21">
        <f>Pospago[[#This Row],[TARIFA_BASICA]]*1.5</f>
        <v>21.419999999999998</v>
      </c>
    </row>
    <row r="399" spans="1:63" x14ac:dyDescent="0.25">
      <c r="A399" s="18" t="s">
        <v>64</v>
      </c>
      <c r="B399" s="18" t="s">
        <v>2694</v>
      </c>
      <c r="C399" s="18" t="s">
        <v>2695</v>
      </c>
      <c r="D399" s="19">
        <v>44896</v>
      </c>
      <c r="E399" s="18" t="s">
        <v>67</v>
      </c>
      <c r="F399" s="18" t="s">
        <v>2696</v>
      </c>
      <c r="G399" s="18" t="s">
        <v>2697</v>
      </c>
      <c r="H399" s="18" t="s">
        <v>70</v>
      </c>
      <c r="I399" s="18" t="s">
        <v>1357</v>
      </c>
      <c r="J399" s="18" t="s">
        <v>72</v>
      </c>
      <c r="K399" s="18" t="s">
        <v>114</v>
      </c>
      <c r="L399" s="20" t="s">
        <v>2698</v>
      </c>
      <c r="M399" s="18" t="s">
        <v>75</v>
      </c>
      <c r="N399" s="20" t="s">
        <v>2699</v>
      </c>
      <c r="O399" s="18" t="s">
        <v>77</v>
      </c>
      <c r="P399" s="18" t="s">
        <v>78</v>
      </c>
      <c r="Q399" s="19">
        <v>44914</v>
      </c>
      <c r="R399" s="21">
        <v>11.42</v>
      </c>
      <c r="S399" s="18" t="s">
        <v>79</v>
      </c>
      <c r="T399" s="18" t="s">
        <v>117</v>
      </c>
      <c r="U399" s="18" t="s">
        <v>83</v>
      </c>
      <c r="V399" s="18" t="s">
        <v>95</v>
      </c>
      <c r="W399" s="18" t="s">
        <v>83</v>
      </c>
      <c r="X399" s="18" t="s">
        <v>118</v>
      </c>
      <c r="Y399" s="18" t="s">
        <v>85</v>
      </c>
      <c r="Z399" s="18" t="s">
        <v>86</v>
      </c>
      <c r="AA399" s="18" t="s">
        <v>119</v>
      </c>
      <c r="AB399" s="18" t="s">
        <v>120</v>
      </c>
      <c r="AC399" s="18" t="s">
        <v>121</v>
      </c>
      <c r="AD399" s="18" t="s">
        <v>85</v>
      </c>
      <c r="AE399" s="18" t="s">
        <v>90</v>
      </c>
      <c r="AF399" s="18" t="s">
        <v>122</v>
      </c>
      <c r="AG399" s="18" t="s">
        <v>92</v>
      </c>
      <c r="AH399" s="18" t="s">
        <v>93</v>
      </c>
      <c r="AI399" s="18" t="s">
        <v>94</v>
      </c>
      <c r="AJ399" s="19">
        <v>44896</v>
      </c>
      <c r="AK399" s="22" t="s">
        <v>95</v>
      </c>
      <c r="AL399" s="18" t="s">
        <v>95</v>
      </c>
      <c r="AM399" s="18" t="s">
        <v>95</v>
      </c>
      <c r="AN399" s="18" t="s">
        <v>95</v>
      </c>
      <c r="AO399" s="18" t="s">
        <v>95</v>
      </c>
      <c r="AP399" s="18" t="s">
        <v>95</v>
      </c>
      <c r="AQ399" s="18" t="s">
        <v>95</v>
      </c>
      <c r="AR399" s="18" t="s">
        <v>95</v>
      </c>
      <c r="AS399" s="18" t="s">
        <v>83</v>
      </c>
      <c r="AT399" s="18" t="s">
        <v>81</v>
      </c>
      <c r="AU399" s="18" t="s">
        <v>81</v>
      </c>
      <c r="AV399" s="18" t="s">
        <v>95</v>
      </c>
      <c r="AW399" s="18" t="s">
        <v>96</v>
      </c>
      <c r="AX399" s="18"/>
      <c r="AY399" s="18" t="str">
        <f>Pospago[[#This Row],[NUM_TELEFONICO]]&amp;"POSPAGOSI"</f>
        <v>984418020POSPAGOSI</v>
      </c>
      <c r="AZ399" s="18" t="str">
        <f>VLOOKUP(Pospago[[#This Row],[NOM_PLAZA_FINAL]],[1]!Locales[#Data],3,0)</f>
        <v>TIENDA MACHALA</v>
      </c>
      <c r="BA399" s="18" t="str">
        <f>IFERROR(VLOOKUP(Pospago[[#This Row],[USUARIO]],[1]!Personal[#Data],6,0),"EJECUTIVO NO REGISTRADO")</f>
        <v>ARROBO VICENTE YADIRA ESPERANZA</v>
      </c>
      <c r="BB399" s="18" t="str">
        <f>Pospago[[#This Row],[TIPO_MOVIMIENTO]]&amp;" "&amp;Pospago[[#This Row],[FORMA_PAGO_FINAL]]</f>
        <v>ALTAS PAGO EN CAJA</v>
      </c>
      <c r="BC399" s="18">
        <f>DAY(Pospago[[#This Row],[FECHA_ALTA]])</f>
        <v>1</v>
      </c>
      <c r="BD399" s="18">
        <f>IF(Pospago[[#This Row],[TARIFA_BASICA]]=11.42,1,0)</f>
        <v>1</v>
      </c>
      <c r="BE399" s="18">
        <f>IF(Pospago[[#This Row],[PLANES TELEVENTAS]]="SI",1,0)</f>
        <v>1</v>
      </c>
      <c r="BF399" s="18">
        <f>1</f>
        <v>1</v>
      </c>
      <c r="BG399" s="18">
        <f>IF(OR(Pospago[[#This Row],[TARIFA_BASICA]]=11.42,Pospago[[#This Row],[PLANES TELEVENTAS]]="SI"),1,0)</f>
        <v>1</v>
      </c>
      <c r="BH399" s="18" t="str">
        <f>IF(MID(Pospago[[#This Row],[PlanDesc]],1,4) = "PLAN","POSPAGO",IF(MID(Pospago[[#This Row],[PlanDesc]],1,4)="FULL","FULL MEGAS","PREVIOPAGO"))</f>
        <v>PREVIOPAGO</v>
      </c>
      <c r="BI3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7.4879999999999995</v>
      </c>
      <c r="BJ3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399" s="21">
        <f>Pospago[[#This Row],[TARIFA_BASICA]]*1.5</f>
        <v>17.13</v>
      </c>
    </row>
    <row r="400" spans="1:63" x14ac:dyDescent="0.25">
      <c r="A400" s="18" t="s">
        <v>64</v>
      </c>
      <c r="B400" s="18" t="s">
        <v>2700</v>
      </c>
      <c r="C400" s="18" t="s">
        <v>1292</v>
      </c>
      <c r="D400" s="19">
        <v>44903</v>
      </c>
      <c r="E400" s="18" t="s">
        <v>67</v>
      </c>
      <c r="F400" s="18" t="s">
        <v>1293</v>
      </c>
      <c r="G400" s="18" t="s">
        <v>1294</v>
      </c>
      <c r="H400" s="18" t="s">
        <v>70</v>
      </c>
      <c r="I400" s="18" t="s">
        <v>160</v>
      </c>
      <c r="J400" s="18" t="s">
        <v>195</v>
      </c>
      <c r="K400" s="18" t="s">
        <v>73</v>
      </c>
      <c r="L400" s="20" t="s">
        <v>2701</v>
      </c>
      <c r="M400" s="18" t="s">
        <v>75</v>
      </c>
      <c r="N400" s="20" t="s">
        <v>2702</v>
      </c>
      <c r="O400" s="18" t="s">
        <v>77</v>
      </c>
      <c r="P400" s="18" t="s">
        <v>78</v>
      </c>
      <c r="Q400" s="19">
        <v>44914</v>
      </c>
      <c r="R400" s="21">
        <v>14.28</v>
      </c>
      <c r="S400" s="18" t="s">
        <v>79</v>
      </c>
      <c r="T400" s="18" t="s">
        <v>80</v>
      </c>
      <c r="U400" s="18" t="s">
        <v>83</v>
      </c>
      <c r="V400" s="18" t="s">
        <v>95</v>
      </c>
      <c r="W400" s="18" t="s">
        <v>83</v>
      </c>
      <c r="X400" s="18" t="s">
        <v>118</v>
      </c>
      <c r="Y400" s="18" t="s">
        <v>85</v>
      </c>
      <c r="Z400" s="18" t="s">
        <v>86</v>
      </c>
      <c r="AA400" s="18" t="s">
        <v>119</v>
      </c>
      <c r="AB400" s="18" t="s">
        <v>88</v>
      </c>
      <c r="AC400" s="18" t="s">
        <v>89</v>
      </c>
      <c r="AD400" s="18" t="s">
        <v>85</v>
      </c>
      <c r="AE400" s="18" t="s">
        <v>90</v>
      </c>
      <c r="AF400" s="18" t="s">
        <v>91</v>
      </c>
      <c r="AG400" s="18" t="s">
        <v>92</v>
      </c>
      <c r="AH400" s="18" t="s">
        <v>93</v>
      </c>
      <c r="AI400" s="18" t="s">
        <v>94</v>
      </c>
      <c r="AJ400" s="19">
        <v>44903</v>
      </c>
      <c r="AK400" s="22" t="s">
        <v>95</v>
      </c>
      <c r="AL400" s="18" t="s">
        <v>95</v>
      </c>
      <c r="AM400" s="18" t="s">
        <v>95</v>
      </c>
      <c r="AN400" s="18" t="s">
        <v>95</v>
      </c>
      <c r="AO400" s="18" t="s">
        <v>95</v>
      </c>
      <c r="AP400" s="18" t="s">
        <v>95</v>
      </c>
      <c r="AQ400" s="18" t="s">
        <v>95</v>
      </c>
      <c r="AR400" s="18" t="s">
        <v>95</v>
      </c>
      <c r="AS400" s="18" t="s">
        <v>83</v>
      </c>
      <c r="AT400" s="18" t="s">
        <v>83</v>
      </c>
      <c r="AU400" s="18" t="s">
        <v>81</v>
      </c>
      <c r="AV400" s="18" t="s">
        <v>95</v>
      </c>
      <c r="AW400" s="18" t="s">
        <v>96</v>
      </c>
      <c r="AX400" s="18"/>
      <c r="AY400" s="18" t="str">
        <f>Pospago[[#This Row],[NUM_TELEFONICO]]&amp;"POSPAGOSI"</f>
        <v>984420139POSPAGOSI</v>
      </c>
      <c r="AZ400" s="18" t="str">
        <f>VLOOKUP(Pospago[[#This Row],[NOM_PLAZA_FINAL]],[1]!Locales[#Data],3,0)</f>
        <v>TIENDA CUENCA CENTRO</v>
      </c>
      <c r="BA400" s="18" t="str">
        <f>IFERROR(VLOOKUP(Pospago[[#This Row],[USUARIO]],[1]!Personal[#Data],6,0),"EJECUTIVO NO REGISTRADO")</f>
        <v>ANDRADE CONDO CHRISTIAN EDUARDO</v>
      </c>
      <c r="BB400" s="18" t="str">
        <f>Pospago[[#This Row],[TIPO_MOVIMIENTO]]&amp;" "&amp;Pospago[[#This Row],[FORMA_PAGO_FINAL]]</f>
        <v>ALTAS PAGO EN CAJA</v>
      </c>
      <c r="BC400" s="18">
        <f>DAY(Pospago[[#This Row],[FECHA_ALTA]])</f>
        <v>8</v>
      </c>
      <c r="BD400" s="18">
        <f>IF(Pospago[[#This Row],[TARIFA_BASICA]]=11.42,1,0)</f>
        <v>0</v>
      </c>
      <c r="BE400" s="18">
        <f>IF(Pospago[[#This Row],[PLANES TELEVENTAS]]="SI",1,0)</f>
        <v>0</v>
      </c>
      <c r="BF400" s="18">
        <f>1</f>
        <v>1</v>
      </c>
      <c r="BG400" s="18">
        <f>IF(OR(Pospago[[#This Row],[TARIFA_BASICA]]=11.42,Pospago[[#This Row],[PLANES TELEVENTAS]]="SI"),1,0)</f>
        <v>0</v>
      </c>
      <c r="BH400" s="18" t="str">
        <f>IF(MID(Pospago[[#This Row],[PlanDesc]],1,4) = "PLAN","POSPAGO",IF(MID(Pospago[[#This Row],[PlanDesc]],1,4)="FULL","FULL MEGAS","PREVIOPAGO"))</f>
        <v>PREVIOPAGO</v>
      </c>
      <c r="BI4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4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00" s="21">
        <f>Pospago[[#This Row],[TARIFA_BASICA]]*1.5</f>
        <v>21.419999999999998</v>
      </c>
    </row>
    <row r="401" spans="1:63" x14ac:dyDescent="0.25">
      <c r="A401" s="18" t="s">
        <v>154</v>
      </c>
      <c r="B401" s="18" t="s">
        <v>2703</v>
      </c>
      <c r="C401" s="18" t="s">
        <v>2704</v>
      </c>
      <c r="D401" s="19">
        <v>44901</v>
      </c>
      <c r="E401" s="18" t="s">
        <v>67</v>
      </c>
      <c r="F401" s="18" t="s">
        <v>2705</v>
      </c>
      <c r="G401" s="18" t="s">
        <v>2706</v>
      </c>
      <c r="H401" s="18" t="s">
        <v>159</v>
      </c>
      <c r="I401" s="18" t="s">
        <v>112</v>
      </c>
      <c r="J401" s="18" t="s">
        <v>781</v>
      </c>
      <c r="K401" s="18" t="s">
        <v>73</v>
      </c>
      <c r="L401" s="20" t="s">
        <v>2707</v>
      </c>
      <c r="M401" s="18" t="s">
        <v>75</v>
      </c>
      <c r="N401" s="20" t="s">
        <v>2708</v>
      </c>
      <c r="O401" s="18" t="s">
        <v>2241</v>
      </c>
      <c r="P401" s="18" t="s">
        <v>78</v>
      </c>
      <c r="Q401" s="19">
        <v>44914</v>
      </c>
      <c r="R401" s="21">
        <v>17.850000000000001</v>
      </c>
      <c r="S401" s="18" t="s">
        <v>79</v>
      </c>
      <c r="T401" s="18" t="s">
        <v>148</v>
      </c>
      <c r="U401" s="18" t="s">
        <v>83</v>
      </c>
      <c r="V401" s="18" t="s">
        <v>95</v>
      </c>
      <c r="W401" s="18" t="s">
        <v>95</v>
      </c>
      <c r="X401" s="18" t="s">
        <v>118</v>
      </c>
      <c r="Y401" s="18" t="s">
        <v>85</v>
      </c>
      <c r="Z401" s="18" t="s">
        <v>86</v>
      </c>
      <c r="AA401" s="18" t="s">
        <v>119</v>
      </c>
      <c r="AB401" s="18" t="s">
        <v>149</v>
      </c>
      <c r="AC401" s="18" t="s">
        <v>150</v>
      </c>
      <c r="AD401" s="18" t="s">
        <v>85</v>
      </c>
      <c r="AE401" s="18" t="s">
        <v>90</v>
      </c>
      <c r="AF401" s="18" t="s">
        <v>151</v>
      </c>
      <c r="AG401" s="18" t="s">
        <v>92</v>
      </c>
      <c r="AH401" s="18" t="s">
        <v>165</v>
      </c>
      <c r="AI401" s="18" t="s">
        <v>94</v>
      </c>
      <c r="AJ401" s="19">
        <v>44901</v>
      </c>
      <c r="AK401" s="22" t="s">
        <v>95</v>
      </c>
      <c r="AL401" s="18" t="s">
        <v>95</v>
      </c>
      <c r="AM401" s="18" t="s">
        <v>95</v>
      </c>
      <c r="AN401" s="18" t="s">
        <v>95</v>
      </c>
      <c r="AO401" s="18" t="s">
        <v>95</v>
      </c>
      <c r="AP401" s="18" t="s">
        <v>95</v>
      </c>
      <c r="AQ401" s="18" t="s">
        <v>95</v>
      </c>
      <c r="AR401" s="18" t="s">
        <v>95</v>
      </c>
      <c r="AS401" s="18" t="s">
        <v>83</v>
      </c>
      <c r="AT401" s="18" t="s">
        <v>83</v>
      </c>
      <c r="AU401" s="18" t="s">
        <v>81</v>
      </c>
      <c r="AV401" s="18" t="s">
        <v>95</v>
      </c>
      <c r="AW401" s="18" t="s">
        <v>96</v>
      </c>
      <c r="AX401" s="18"/>
      <c r="AY401" s="18" t="str">
        <f>Pospago[[#This Row],[NUM_TELEFONICO]]&amp;"POSPAGOSI"</f>
        <v>984423540POSPAGOSI</v>
      </c>
      <c r="AZ401" s="18" t="str">
        <f>VLOOKUP(Pospago[[#This Row],[NOM_PLAZA_FINAL]],[1]!Locales[#Data],3,0)</f>
        <v>TIENDA CUENCA REMIGIO</v>
      </c>
      <c r="BA401" s="18" t="str">
        <f>IFERROR(VLOOKUP(Pospago[[#This Row],[USUARIO]],[1]!Personal[#Data],6,0),"EJECUTIVO NO REGISTRADO")</f>
        <v>OSORIO TEJADA ANA ESTEFANIA</v>
      </c>
      <c r="BB401" s="18" t="str">
        <f>Pospago[[#This Row],[TIPO_MOVIMIENTO]]&amp;" "&amp;Pospago[[#This Row],[FORMA_PAGO_FINAL]]</f>
        <v>TRANSFERENCIAS PAGO EN CAJA</v>
      </c>
      <c r="BC401" s="18">
        <f>DAY(Pospago[[#This Row],[FECHA_ALTA]])</f>
        <v>6</v>
      </c>
      <c r="BD401" s="18">
        <f>IF(Pospago[[#This Row],[TARIFA_BASICA]]=11.42,1,0)</f>
        <v>0</v>
      </c>
      <c r="BE401" s="18">
        <f>IF(Pospago[[#This Row],[PLANES TELEVENTAS]]="SI",1,0)</f>
        <v>0</v>
      </c>
      <c r="BF401" s="18">
        <f>1</f>
        <v>1</v>
      </c>
      <c r="BG401" s="18">
        <f>IF(OR(Pospago[[#This Row],[TARIFA_BASICA]]=11.42,Pospago[[#This Row],[PLANES TELEVENTAS]]="SI"),1,0)</f>
        <v>0</v>
      </c>
      <c r="BH401" s="18" t="str">
        <f>IF(MID(Pospago[[#This Row],[PlanDesc]],1,4) = "PLAN","POSPAGO",IF(MID(Pospago[[#This Row],[PlanDesc]],1,4)="FULL","FULL MEGAS","PREVIOPAGO"))</f>
        <v>PREVIOPAGO</v>
      </c>
      <c r="BI4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7.88</v>
      </c>
      <c r="BJ4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01" s="21">
        <f>Pospago[[#This Row],[TARIFA_BASICA]]*1.5</f>
        <v>26.775000000000002</v>
      </c>
    </row>
    <row r="402" spans="1:63" x14ac:dyDescent="0.25">
      <c r="A402" s="18" t="s">
        <v>154</v>
      </c>
      <c r="B402" s="18" t="s">
        <v>2709</v>
      </c>
      <c r="C402" s="18" t="s">
        <v>2710</v>
      </c>
      <c r="D402" s="19">
        <v>44908</v>
      </c>
      <c r="E402" s="18" t="s">
        <v>67</v>
      </c>
      <c r="F402" s="18" t="s">
        <v>2711</v>
      </c>
      <c r="G402" s="18" t="s">
        <v>2712</v>
      </c>
      <c r="H402" s="18" t="s">
        <v>159</v>
      </c>
      <c r="I402" s="18" t="s">
        <v>160</v>
      </c>
      <c r="J402" s="18" t="s">
        <v>161</v>
      </c>
      <c r="K402" s="18" t="s">
        <v>73</v>
      </c>
      <c r="L402" s="20" t="s">
        <v>2713</v>
      </c>
      <c r="M402" s="18" t="s">
        <v>75</v>
      </c>
      <c r="N402" s="20" t="s">
        <v>2714</v>
      </c>
      <c r="O402" s="18" t="s">
        <v>164</v>
      </c>
      <c r="P402" s="18" t="s">
        <v>78</v>
      </c>
      <c r="Q402" s="19">
        <v>44914</v>
      </c>
      <c r="R402" s="21">
        <v>14.28</v>
      </c>
      <c r="S402" s="18" t="s">
        <v>79</v>
      </c>
      <c r="T402" s="18" t="s">
        <v>232</v>
      </c>
      <c r="U402" s="18" t="s">
        <v>83</v>
      </c>
      <c r="V402" s="18" t="s">
        <v>95</v>
      </c>
      <c r="W402" s="18" t="s">
        <v>95</v>
      </c>
      <c r="X402" s="18" t="s">
        <v>118</v>
      </c>
      <c r="Y402" s="18" t="s">
        <v>85</v>
      </c>
      <c r="Z402" s="18" t="s">
        <v>86</v>
      </c>
      <c r="AA402" s="18" t="s">
        <v>119</v>
      </c>
      <c r="AB402" s="18" t="s">
        <v>377</v>
      </c>
      <c r="AC402" s="18" t="s">
        <v>378</v>
      </c>
      <c r="AD402" s="18" t="s">
        <v>85</v>
      </c>
      <c r="AE402" s="18" t="s">
        <v>90</v>
      </c>
      <c r="AF402" s="18" t="s">
        <v>235</v>
      </c>
      <c r="AG402" s="18" t="s">
        <v>139</v>
      </c>
      <c r="AH402" s="18" t="s">
        <v>165</v>
      </c>
      <c r="AI402" s="18" t="s">
        <v>94</v>
      </c>
      <c r="AJ402" s="19">
        <v>44908</v>
      </c>
      <c r="AK402" s="22" t="s">
        <v>95</v>
      </c>
      <c r="AL402" s="18" t="s">
        <v>95</v>
      </c>
      <c r="AM402" s="18" t="s">
        <v>95</v>
      </c>
      <c r="AN402" s="18" t="s">
        <v>95</v>
      </c>
      <c r="AO402" s="18" t="s">
        <v>95</v>
      </c>
      <c r="AP402" s="18" t="s">
        <v>95</v>
      </c>
      <c r="AQ402" s="18" t="s">
        <v>95</v>
      </c>
      <c r="AR402" s="18" t="s">
        <v>95</v>
      </c>
      <c r="AS402" s="18" t="s">
        <v>83</v>
      </c>
      <c r="AT402" s="18" t="s">
        <v>83</v>
      </c>
      <c r="AU402" s="18" t="s">
        <v>81</v>
      </c>
      <c r="AV402" s="18" t="s">
        <v>95</v>
      </c>
      <c r="AW402" s="18" t="s">
        <v>95</v>
      </c>
      <c r="AX402" s="18"/>
      <c r="AY402" s="18" t="str">
        <f>Pospago[[#This Row],[NUM_TELEFONICO]]&amp;"POSPAGOSI"</f>
        <v>984430417POSPAGOSI</v>
      </c>
      <c r="AZ402" s="18" t="str">
        <f>VLOOKUP(Pospago[[#This Row],[NOM_PLAZA_FINAL]],[1]!Locales[#Data],3,0)</f>
        <v>TIENDA CONDADO</v>
      </c>
      <c r="BA402" s="18" t="str">
        <f>IFERROR(VLOOKUP(Pospago[[#This Row],[USUARIO]],[1]!Personal[#Data],6,0),"EJECUTIVO NO REGISTRADO")</f>
        <v>MELCHIADE ISAAC VALMORE</v>
      </c>
      <c r="BB402" s="18" t="str">
        <f>Pospago[[#This Row],[TIPO_MOVIMIENTO]]&amp;" "&amp;Pospago[[#This Row],[FORMA_PAGO_FINAL]]</f>
        <v>TRANSFERENCIAS PAGO EN CAJA</v>
      </c>
      <c r="BC402" s="18">
        <f>DAY(Pospago[[#This Row],[FECHA_ALTA]])</f>
        <v>13</v>
      </c>
      <c r="BD402" s="18">
        <f>IF(Pospago[[#This Row],[TARIFA_BASICA]]=11.42,1,0)</f>
        <v>0</v>
      </c>
      <c r="BE402" s="18">
        <f>IF(Pospago[[#This Row],[PLANES TELEVENTAS]]="SI",1,0)</f>
        <v>0</v>
      </c>
      <c r="BF402" s="18">
        <f>1</f>
        <v>1</v>
      </c>
      <c r="BG402" s="18">
        <f>IF(OR(Pospago[[#This Row],[TARIFA_BASICA]]=11.42,Pospago[[#This Row],[PLANES TELEVENTAS]]="SI"),1,0)</f>
        <v>0</v>
      </c>
      <c r="BH402" s="18" t="str">
        <f>IF(MID(Pospago[[#This Row],[PlanDesc]],1,4) = "PLAN","POSPAGO",IF(MID(Pospago[[#This Row],[PlanDesc]],1,4)="FULL","FULL MEGAS","PREVIOPAGO"))</f>
        <v>PREVIOPAGO</v>
      </c>
      <c r="BI4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02" s="21">
        <f>Pospago[[#This Row],[TARIFA_BASICA]]*1.5</f>
        <v>21.419999999999998</v>
      </c>
    </row>
    <row r="403" spans="1:63" x14ac:dyDescent="0.25">
      <c r="A403" s="18" t="s">
        <v>64</v>
      </c>
      <c r="B403" s="18" t="s">
        <v>2715</v>
      </c>
      <c r="C403" s="18" t="s">
        <v>2716</v>
      </c>
      <c r="D403" s="19">
        <v>44902</v>
      </c>
      <c r="E403" s="18" t="s">
        <v>67</v>
      </c>
      <c r="F403" s="18" t="s">
        <v>2717</v>
      </c>
      <c r="G403" s="18" t="s">
        <v>2718</v>
      </c>
      <c r="H403" s="18" t="s">
        <v>70</v>
      </c>
      <c r="I403" s="18" t="s">
        <v>130</v>
      </c>
      <c r="J403" s="18" t="s">
        <v>131</v>
      </c>
      <c r="K403" s="18" t="s">
        <v>132</v>
      </c>
      <c r="L403" s="20" t="s">
        <v>2719</v>
      </c>
      <c r="M403" s="18" t="s">
        <v>75</v>
      </c>
      <c r="N403" s="20" t="s">
        <v>2720</v>
      </c>
      <c r="O403" s="18" t="s">
        <v>768</v>
      </c>
      <c r="P403" s="18" t="s">
        <v>78</v>
      </c>
      <c r="Q403" s="19">
        <v>44914</v>
      </c>
      <c r="R403" s="21">
        <v>15</v>
      </c>
      <c r="S403" s="18" t="s">
        <v>79</v>
      </c>
      <c r="T403" s="18" t="s">
        <v>174</v>
      </c>
      <c r="U403" s="18" t="s">
        <v>83</v>
      </c>
      <c r="V403" s="18" t="s">
        <v>95</v>
      </c>
      <c r="W403" s="18" t="s">
        <v>83</v>
      </c>
      <c r="X403" s="18" t="s">
        <v>118</v>
      </c>
      <c r="Y403" s="18" t="s">
        <v>85</v>
      </c>
      <c r="Z403" s="18" t="s">
        <v>86</v>
      </c>
      <c r="AA403" s="18" t="s">
        <v>119</v>
      </c>
      <c r="AB403" s="18" t="s">
        <v>630</v>
      </c>
      <c r="AC403" s="18" t="s">
        <v>631</v>
      </c>
      <c r="AD403" s="18" t="s">
        <v>85</v>
      </c>
      <c r="AE403" s="18" t="s">
        <v>90</v>
      </c>
      <c r="AF403" s="18" t="s">
        <v>177</v>
      </c>
      <c r="AG403" s="18" t="s">
        <v>139</v>
      </c>
      <c r="AH403" s="18" t="s">
        <v>93</v>
      </c>
      <c r="AI403" s="18" t="s">
        <v>94</v>
      </c>
      <c r="AJ403" s="19">
        <v>44902</v>
      </c>
      <c r="AK403" s="22" t="s">
        <v>95</v>
      </c>
      <c r="AL403" s="18" t="s">
        <v>95</v>
      </c>
      <c r="AM403" s="18" t="s">
        <v>95</v>
      </c>
      <c r="AN403" s="18" t="s">
        <v>95</v>
      </c>
      <c r="AO403" s="18" t="s">
        <v>95</v>
      </c>
      <c r="AP403" s="18" t="s">
        <v>95</v>
      </c>
      <c r="AQ403" s="18" t="s">
        <v>95</v>
      </c>
      <c r="AR403" s="18" t="s">
        <v>95</v>
      </c>
      <c r="AS403" s="18" t="s">
        <v>83</v>
      </c>
      <c r="AT403" s="18" t="s">
        <v>83</v>
      </c>
      <c r="AU403" s="18" t="s">
        <v>81</v>
      </c>
      <c r="AV403" s="18" t="s">
        <v>95</v>
      </c>
      <c r="AW403" s="18" t="s">
        <v>95</v>
      </c>
      <c r="AX403" s="18"/>
      <c r="AY403" s="18" t="str">
        <f>Pospago[[#This Row],[NUM_TELEFONICO]]&amp;"POSPAGOSI"</f>
        <v>984440802POSPAGOSI</v>
      </c>
      <c r="AZ403" s="18" t="str">
        <f>VLOOKUP(Pospago[[#This Row],[NOM_PLAZA_FINAL]],[1]!Locales[#Data],3,0)</f>
        <v>TIENDA RECREO</v>
      </c>
      <c r="BA403" s="18" t="str">
        <f>IFERROR(VLOOKUP(Pospago[[#This Row],[USUARIO]],[1]!Personal[#Data],6,0),"EJECUTIVO NO REGISTRADO")</f>
        <v>LOAYZA AGUILAR JONATHAN FABIAN</v>
      </c>
      <c r="BB403" s="18" t="str">
        <f>Pospago[[#This Row],[TIPO_MOVIMIENTO]]&amp;" "&amp;Pospago[[#This Row],[FORMA_PAGO_FINAL]]</f>
        <v>ALTAS PAGO EN CAJA</v>
      </c>
      <c r="BC403" s="18">
        <f>DAY(Pospago[[#This Row],[FECHA_ALTA]])</f>
        <v>7</v>
      </c>
      <c r="BD403" s="18">
        <f>IF(Pospago[[#This Row],[TARIFA_BASICA]]=11.42,1,0)</f>
        <v>0</v>
      </c>
      <c r="BE403" s="18">
        <f>IF(Pospago[[#This Row],[PLANES TELEVENTAS]]="SI",1,0)</f>
        <v>0</v>
      </c>
      <c r="BF403" s="18">
        <f>1</f>
        <v>1</v>
      </c>
      <c r="BG403" s="18">
        <f>IF(OR(Pospago[[#This Row],[TARIFA_BASICA]]=11.42,Pospago[[#This Row],[PLANES TELEVENTAS]]="SI"),1,0)</f>
        <v>0</v>
      </c>
      <c r="BH403" s="18" t="str">
        <f>IF(MID(Pospago[[#This Row],[PlanDesc]],1,4) = "PLAN","POSPAGO",IF(MID(Pospago[[#This Row],[PlanDesc]],1,4)="FULL","FULL MEGAS","PREVIOPAGO"))</f>
        <v>PREVIOPAGO</v>
      </c>
      <c r="BI4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4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03" s="21">
        <f>Pospago[[#This Row],[TARIFA_BASICA]]*1.5</f>
        <v>22.5</v>
      </c>
    </row>
    <row r="404" spans="1:63" x14ac:dyDescent="0.25">
      <c r="A404" s="18" t="s">
        <v>64</v>
      </c>
      <c r="B404" s="18" t="s">
        <v>2721</v>
      </c>
      <c r="C404" s="18" t="s">
        <v>2722</v>
      </c>
      <c r="D404" s="19">
        <v>44899</v>
      </c>
      <c r="E404" s="18" t="s">
        <v>67</v>
      </c>
      <c r="F404" s="18" t="s">
        <v>2723</v>
      </c>
      <c r="G404" s="18" t="s">
        <v>2724</v>
      </c>
      <c r="H404" s="18" t="s">
        <v>70</v>
      </c>
      <c r="I404" s="18" t="s">
        <v>194</v>
      </c>
      <c r="J404" s="18" t="s">
        <v>195</v>
      </c>
      <c r="K404" s="18" t="s">
        <v>73</v>
      </c>
      <c r="L404" s="20" t="s">
        <v>2725</v>
      </c>
      <c r="M404" s="18" t="s">
        <v>75</v>
      </c>
      <c r="N404" s="20" t="s">
        <v>2726</v>
      </c>
      <c r="O404" s="18" t="s">
        <v>77</v>
      </c>
      <c r="P404" s="18" t="s">
        <v>78</v>
      </c>
      <c r="Q404" s="19">
        <v>44914</v>
      </c>
      <c r="R404" s="21">
        <v>14.28</v>
      </c>
      <c r="S404" s="18" t="s">
        <v>79</v>
      </c>
      <c r="T404" s="18" t="s">
        <v>174</v>
      </c>
      <c r="U404" s="18" t="s">
        <v>83</v>
      </c>
      <c r="V404" s="18" t="s">
        <v>95</v>
      </c>
      <c r="W404" s="18" t="s">
        <v>83</v>
      </c>
      <c r="X404" s="18" t="s">
        <v>84</v>
      </c>
      <c r="Y404" s="18" t="s">
        <v>85</v>
      </c>
      <c r="Z404" s="18" t="s">
        <v>86</v>
      </c>
      <c r="AA404" s="18" t="s">
        <v>87</v>
      </c>
      <c r="AB404" s="18" t="s">
        <v>630</v>
      </c>
      <c r="AC404" s="18" t="s">
        <v>631</v>
      </c>
      <c r="AD404" s="18" t="s">
        <v>85</v>
      </c>
      <c r="AE404" s="18" t="s">
        <v>90</v>
      </c>
      <c r="AF404" s="18" t="s">
        <v>177</v>
      </c>
      <c r="AG404" s="18" t="s">
        <v>139</v>
      </c>
      <c r="AH404" s="18" t="s">
        <v>93</v>
      </c>
      <c r="AI404" s="18" t="s">
        <v>94</v>
      </c>
      <c r="AJ404" s="19">
        <v>44899</v>
      </c>
      <c r="AK404" s="22" t="s">
        <v>95</v>
      </c>
      <c r="AL404" s="18" t="s">
        <v>95</v>
      </c>
      <c r="AM404" s="18" t="s">
        <v>95</v>
      </c>
      <c r="AN404" s="18" t="s">
        <v>95</v>
      </c>
      <c r="AO404" s="18" t="s">
        <v>95</v>
      </c>
      <c r="AP404" s="18" t="s">
        <v>95</v>
      </c>
      <c r="AQ404" s="18" t="s">
        <v>95</v>
      </c>
      <c r="AR404" s="18" t="s">
        <v>95</v>
      </c>
      <c r="AS404" s="18" t="s">
        <v>83</v>
      </c>
      <c r="AT404" s="18" t="s">
        <v>81</v>
      </c>
      <c r="AU404" s="18" t="s">
        <v>81</v>
      </c>
      <c r="AV404" s="18" t="s">
        <v>95</v>
      </c>
      <c r="AW404" s="18" t="s">
        <v>95</v>
      </c>
      <c r="AX404" s="18"/>
      <c r="AY404" s="18" t="str">
        <f>Pospago[[#This Row],[NUM_TELEFONICO]]&amp;"POSPAGOSI"</f>
        <v>984441623POSPAGOSI</v>
      </c>
      <c r="AZ404" s="18" t="str">
        <f>VLOOKUP(Pospago[[#This Row],[NOM_PLAZA_FINAL]],[1]!Locales[#Data],3,0)</f>
        <v>TIENDA RECREO</v>
      </c>
      <c r="BA404" s="18" t="str">
        <f>IFERROR(VLOOKUP(Pospago[[#This Row],[USUARIO]],[1]!Personal[#Data],6,0),"EJECUTIVO NO REGISTRADO")</f>
        <v>LOAYZA AGUILAR JONATHAN FABIAN</v>
      </c>
      <c r="BB404" s="18" t="str">
        <f>Pospago[[#This Row],[TIPO_MOVIMIENTO]]&amp;" "&amp;Pospago[[#This Row],[FORMA_PAGO_FINAL]]</f>
        <v>ALTAS DOMICILIADO</v>
      </c>
      <c r="BC404" s="18">
        <f>DAY(Pospago[[#This Row],[FECHA_ALTA]])</f>
        <v>4</v>
      </c>
      <c r="BD404" s="18">
        <f>IF(Pospago[[#This Row],[TARIFA_BASICA]]=11.42,1,0)</f>
        <v>0</v>
      </c>
      <c r="BE404" s="18">
        <f>IF(Pospago[[#This Row],[PLANES TELEVENTAS]]="SI",1,0)</f>
        <v>1</v>
      </c>
      <c r="BF404" s="18">
        <f>1</f>
        <v>1</v>
      </c>
      <c r="BG404" s="18">
        <f>IF(OR(Pospago[[#This Row],[TARIFA_BASICA]]=11.42,Pospago[[#This Row],[PLANES TELEVENTAS]]="SI"),1,0)</f>
        <v>1</v>
      </c>
      <c r="BH404" s="18" t="str">
        <f>IF(MID(Pospago[[#This Row],[PlanDesc]],1,4) = "PLAN","POSPAGO",IF(MID(Pospago[[#This Row],[PlanDesc]],1,4)="FULL","FULL MEGAS","PREVIOPAGO"))</f>
        <v>PREVIOPAGO</v>
      </c>
      <c r="BI4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04" s="21">
        <f>Pospago[[#This Row],[TARIFA_BASICA]]*1.5</f>
        <v>21.419999999999998</v>
      </c>
    </row>
    <row r="405" spans="1:63" x14ac:dyDescent="0.25">
      <c r="A405" s="18" t="s">
        <v>154</v>
      </c>
      <c r="B405" s="18" t="s">
        <v>2727</v>
      </c>
      <c r="C405" s="18" t="s">
        <v>2728</v>
      </c>
      <c r="D405" s="19">
        <v>44911</v>
      </c>
      <c r="E405" s="18" t="s">
        <v>67</v>
      </c>
      <c r="F405" s="18" t="s">
        <v>2729</v>
      </c>
      <c r="G405" s="18" t="s">
        <v>2730</v>
      </c>
      <c r="H405" s="18" t="s">
        <v>159</v>
      </c>
      <c r="I405" s="18" t="s">
        <v>130</v>
      </c>
      <c r="J405" s="18" t="s">
        <v>433</v>
      </c>
      <c r="K405" s="18" t="s">
        <v>132</v>
      </c>
      <c r="L405" s="20" t="s">
        <v>2731</v>
      </c>
      <c r="M405" s="18" t="s">
        <v>75</v>
      </c>
      <c r="N405" s="20" t="s">
        <v>2732</v>
      </c>
      <c r="O405" s="18" t="s">
        <v>164</v>
      </c>
      <c r="P405" s="18" t="s">
        <v>78</v>
      </c>
      <c r="Q405" s="19">
        <v>44914</v>
      </c>
      <c r="R405" s="21">
        <v>15</v>
      </c>
      <c r="S405" s="18" t="s">
        <v>79</v>
      </c>
      <c r="T405" s="18" t="s">
        <v>174</v>
      </c>
      <c r="U405" s="18" t="s">
        <v>83</v>
      </c>
      <c r="V405" s="18" t="s">
        <v>95</v>
      </c>
      <c r="W405" s="18" t="s">
        <v>95</v>
      </c>
      <c r="X405" s="18" t="s">
        <v>118</v>
      </c>
      <c r="Y405" s="18" t="s">
        <v>85</v>
      </c>
      <c r="Z405" s="18" t="s">
        <v>86</v>
      </c>
      <c r="AA405" s="18" t="s">
        <v>119</v>
      </c>
      <c r="AB405" s="18" t="s">
        <v>369</v>
      </c>
      <c r="AC405" s="18" t="s">
        <v>370</v>
      </c>
      <c r="AD405" s="18" t="s">
        <v>85</v>
      </c>
      <c r="AE405" s="18" t="s">
        <v>90</v>
      </c>
      <c r="AF405" s="18" t="s">
        <v>177</v>
      </c>
      <c r="AG405" s="18" t="s">
        <v>139</v>
      </c>
      <c r="AH405" s="18" t="s">
        <v>165</v>
      </c>
      <c r="AI405" s="18" t="s">
        <v>94</v>
      </c>
      <c r="AJ405" s="19">
        <v>44911</v>
      </c>
      <c r="AK405" s="22" t="s">
        <v>95</v>
      </c>
      <c r="AL405" s="18" t="s">
        <v>95</v>
      </c>
      <c r="AM405" s="18" t="s">
        <v>95</v>
      </c>
      <c r="AN405" s="18" t="s">
        <v>95</v>
      </c>
      <c r="AO405" s="18" t="s">
        <v>95</v>
      </c>
      <c r="AP405" s="18" t="s">
        <v>95</v>
      </c>
      <c r="AQ405" s="18" t="s">
        <v>95</v>
      </c>
      <c r="AR405" s="18" t="s">
        <v>95</v>
      </c>
      <c r="AS405" s="18" t="s">
        <v>83</v>
      </c>
      <c r="AT405" s="18" t="s">
        <v>83</v>
      </c>
      <c r="AU405" s="18" t="s">
        <v>81</v>
      </c>
      <c r="AV405" s="18" t="s">
        <v>95</v>
      </c>
      <c r="AW405" s="18" t="s">
        <v>96</v>
      </c>
      <c r="AX405" s="18"/>
      <c r="AY405" s="18" t="str">
        <f>Pospago[[#This Row],[NUM_TELEFONICO]]&amp;"POSPAGOSI"</f>
        <v>984460945POSPAGOSI</v>
      </c>
      <c r="AZ405" s="18" t="str">
        <f>VLOOKUP(Pospago[[#This Row],[NOM_PLAZA_FINAL]],[1]!Locales[#Data],3,0)</f>
        <v>TIENDA RECREO</v>
      </c>
      <c r="BA405" s="18" t="str">
        <f>IFERROR(VLOOKUP(Pospago[[#This Row],[USUARIO]],[1]!Personal[#Data],6,0),"EJECUTIVO NO REGISTRADO")</f>
        <v>GUAIGUA REINOSO GENESIS CAROLINA</v>
      </c>
      <c r="BB405" s="18" t="str">
        <f>Pospago[[#This Row],[TIPO_MOVIMIENTO]]&amp;" "&amp;Pospago[[#This Row],[FORMA_PAGO_FINAL]]</f>
        <v>TRANSFERENCIAS PAGO EN CAJA</v>
      </c>
      <c r="BC405" s="18">
        <f>DAY(Pospago[[#This Row],[FECHA_ALTA]])</f>
        <v>16</v>
      </c>
      <c r="BD405" s="18">
        <f>IF(Pospago[[#This Row],[TARIFA_BASICA]]=11.42,1,0)</f>
        <v>0</v>
      </c>
      <c r="BE405" s="18">
        <f>IF(Pospago[[#This Row],[PLANES TELEVENTAS]]="SI",1,0)</f>
        <v>0</v>
      </c>
      <c r="BF405" s="18">
        <f>1</f>
        <v>1</v>
      </c>
      <c r="BG405" s="18">
        <f>IF(OR(Pospago[[#This Row],[TARIFA_BASICA]]=11.42,Pospago[[#This Row],[PLANES TELEVENTAS]]="SI"),1,0)</f>
        <v>0</v>
      </c>
      <c r="BH405" s="18" t="str">
        <f>IF(MID(Pospago[[#This Row],[PlanDesc]],1,4) = "PLAN","POSPAGO",IF(MID(Pospago[[#This Row],[PlanDesc]],1,4)="FULL","FULL MEGAS","PREVIOPAGO"))</f>
        <v>PREVIOPAGO</v>
      </c>
      <c r="BI4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4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05" s="21">
        <f>Pospago[[#This Row],[TARIFA_BASICA]]*1.5</f>
        <v>22.5</v>
      </c>
    </row>
    <row r="406" spans="1:63" x14ac:dyDescent="0.25">
      <c r="A406" s="18" t="s">
        <v>64</v>
      </c>
      <c r="B406" s="18" t="s">
        <v>2733</v>
      </c>
      <c r="C406" s="18" t="s">
        <v>2734</v>
      </c>
      <c r="D406" s="19">
        <v>44904</v>
      </c>
      <c r="E406" s="18" t="s">
        <v>67</v>
      </c>
      <c r="F406" s="18" t="s">
        <v>2735</v>
      </c>
      <c r="G406" s="18" t="s">
        <v>2736</v>
      </c>
      <c r="H406" s="18" t="s">
        <v>70</v>
      </c>
      <c r="I406" s="18" t="s">
        <v>1487</v>
      </c>
      <c r="J406" s="18" t="s">
        <v>228</v>
      </c>
      <c r="K406" s="18" t="s">
        <v>73</v>
      </c>
      <c r="L406" s="20" t="s">
        <v>2737</v>
      </c>
      <c r="M406" s="18" t="s">
        <v>75</v>
      </c>
      <c r="N406" s="20" t="s">
        <v>2738</v>
      </c>
      <c r="O406" s="18" t="s">
        <v>77</v>
      </c>
      <c r="P406" s="18" t="s">
        <v>78</v>
      </c>
      <c r="Q406" s="19">
        <v>44914</v>
      </c>
      <c r="R406" s="21">
        <v>21.42</v>
      </c>
      <c r="S406" s="18" t="s">
        <v>79</v>
      </c>
      <c r="T406" s="18" t="s">
        <v>80</v>
      </c>
      <c r="U406" s="18" t="s">
        <v>83</v>
      </c>
      <c r="V406" s="18" t="s">
        <v>95</v>
      </c>
      <c r="W406" s="18" t="s">
        <v>83</v>
      </c>
      <c r="X406" s="18" t="s">
        <v>84</v>
      </c>
      <c r="Y406" s="18" t="s">
        <v>85</v>
      </c>
      <c r="Z406" s="18" t="s">
        <v>86</v>
      </c>
      <c r="AA406" s="18" t="s">
        <v>87</v>
      </c>
      <c r="AB406" s="18" t="s">
        <v>88</v>
      </c>
      <c r="AC406" s="18" t="s">
        <v>89</v>
      </c>
      <c r="AD406" s="18" t="s">
        <v>85</v>
      </c>
      <c r="AE406" s="18" t="s">
        <v>90</v>
      </c>
      <c r="AF406" s="18" t="s">
        <v>91</v>
      </c>
      <c r="AG406" s="18" t="s">
        <v>92</v>
      </c>
      <c r="AH406" s="18" t="s">
        <v>93</v>
      </c>
      <c r="AI406" s="18" t="s">
        <v>94</v>
      </c>
      <c r="AJ406" s="19">
        <v>44904</v>
      </c>
      <c r="AK406" s="22" t="s">
        <v>95</v>
      </c>
      <c r="AL406" s="18" t="s">
        <v>95</v>
      </c>
      <c r="AM406" s="18" t="s">
        <v>95</v>
      </c>
      <c r="AN406" s="18" t="s">
        <v>95</v>
      </c>
      <c r="AO406" s="18" t="s">
        <v>95</v>
      </c>
      <c r="AP406" s="18" t="s">
        <v>95</v>
      </c>
      <c r="AQ406" s="18" t="s">
        <v>95</v>
      </c>
      <c r="AR406" s="18" t="s">
        <v>95</v>
      </c>
      <c r="AS406" s="18" t="s">
        <v>83</v>
      </c>
      <c r="AT406" s="18" t="s">
        <v>81</v>
      </c>
      <c r="AU406" s="18" t="s">
        <v>81</v>
      </c>
      <c r="AV406" s="18" t="s">
        <v>95</v>
      </c>
      <c r="AW406" s="18" t="s">
        <v>95</v>
      </c>
      <c r="AX406" s="18"/>
      <c r="AY406" s="18" t="str">
        <f>Pospago[[#This Row],[NUM_TELEFONICO]]&amp;"POSPAGOSI"</f>
        <v>984468850POSPAGOSI</v>
      </c>
      <c r="AZ406" s="18" t="str">
        <f>VLOOKUP(Pospago[[#This Row],[NOM_PLAZA_FINAL]],[1]!Locales[#Data],3,0)</f>
        <v>TIENDA CUENCA CENTRO</v>
      </c>
      <c r="BA406" s="18" t="str">
        <f>IFERROR(VLOOKUP(Pospago[[#This Row],[USUARIO]],[1]!Personal[#Data],6,0),"EJECUTIVO NO REGISTRADO")</f>
        <v>ANDRADE CONDO CHRISTIAN EDUARDO</v>
      </c>
      <c r="BB406" s="18" t="str">
        <f>Pospago[[#This Row],[TIPO_MOVIMIENTO]]&amp;" "&amp;Pospago[[#This Row],[FORMA_PAGO_FINAL]]</f>
        <v>ALTAS DOMICILIADO</v>
      </c>
      <c r="BC406" s="18">
        <f>DAY(Pospago[[#This Row],[FECHA_ALTA]])</f>
        <v>9</v>
      </c>
      <c r="BD406" s="18">
        <f>IF(Pospago[[#This Row],[TARIFA_BASICA]]=11.42,1,0)</f>
        <v>0</v>
      </c>
      <c r="BE406" s="18">
        <f>IF(Pospago[[#This Row],[PLANES TELEVENTAS]]="SI",1,0)</f>
        <v>1</v>
      </c>
      <c r="BF406" s="18">
        <f>1</f>
        <v>1</v>
      </c>
      <c r="BG406" s="18">
        <f>IF(OR(Pospago[[#This Row],[TARIFA_BASICA]]=11.42,Pospago[[#This Row],[PLANES TELEVENTAS]]="SI"),1,0)</f>
        <v>1</v>
      </c>
      <c r="BH406" s="18" t="str">
        <f>IF(MID(Pospago[[#This Row],[PlanDesc]],1,4) = "PLAN","POSPAGO",IF(MID(Pospago[[#This Row],[PlanDesc]],1,4)="FULL","FULL MEGAS","PREVIOPAGO"))</f>
        <v>PREVIOPAGO</v>
      </c>
      <c r="BI4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4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06" s="21">
        <f>Pospago[[#This Row],[TARIFA_BASICA]]*1.5</f>
        <v>32.130000000000003</v>
      </c>
    </row>
    <row r="407" spans="1:63" x14ac:dyDescent="0.25">
      <c r="A407" s="18" t="s">
        <v>154</v>
      </c>
      <c r="B407" s="18" t="s">
        <v>2739</v>
      </c>
      <c r="C407" s="18" t="s">
        <v>2740</v>
      </c>
      <c r="D407" s="19">
        <v>44898</v>
      </c>
      <c r="E407" s="18" t="s">
        <v>67</v>
      </c>
      <c r="F407" s="18" t="s">
        <v>2741</v>
      </c>
      <c r="G407" s="18" t="s">
        <v>2742</v>
      </c>
      <c r="H407" s="18" t="s">
        <v>159</v>
      </c>
      <c r="I407" s="18" t="s">
        <v>71</v>
      </c>
      <c r="J407" s="18" t="s">
        <v>258</v>
      </c>
      <c r="K407" s="18" t="s">
        <v>73</v>
      </c>
      <c r="L407" s="20" t="s">
        <v>2743</v>
      </c>
      <c r="M407" s="18" t="s">
        <v>75</v>
      </c>
      <c r="N407" s="20" t="s">
        <v>2744</v>
      </c>
      <c r="O407" s="18" t="s">
        <v>2241</v>
      </c>
      <c r="P407" s="18" t="s">
        <v>78</v>
      </c>
      <c r="Q407" s="19">
        <v>44914</v>
      </c>
      <c r="R407" s="21">
        <v>11.42</v>
      </c>
      <c r="S407" s="18" t="s">
        <v>79</v>
      </c>
      <c r="T407" s="18" t="s">
        <v>80</v>
      </c>
      <c r="U407" s="18" t="s">
        <v>83</v>
      </c>
      <c r="V407" s="18" t="s">
        <v>95</v>
      </c>
      <c r="W407" s="18" t="s">
        <v>95</v>
      </c>
      <c r="X407" s="18" t="s">
        <v>215</v>
      </c>
      <c r="Y407" s="18" t="s">
        <v>85</v>
      </c>
      <c r="Z407" s="18" t="s">
        <v>86</v>
      </c>
      <c r="AA407" s="18" t="s">
        <v>87</v>
      </c>
      <c r="AB407" s="18" t="s">
        <v>289</v>
      </c>
      <c r="AC407" s="18" t="s">
        <v>290</v>
      </c>
      <c r="AD407" s="18" t="s">
        <v>85</v>
      </c>
      <c r="AE407" s="18" t="s">
        <v>90</v>
      </c>
      <c r="AF407" s="18" t="s">
        <v>91</v>
      </c>
      <c r="AG407" s="18" t="s">
        <v>92</v>
      </c>
      <c r="AH407" s="18" t="s">
        <v>165</v>
      </c>
      <c r="AI407" s="18" t="s">
        <v>94</v>
      </c>
      <c r="AJ407" s="19">
        <v>44898</v>
      </c>
      <c r="AK407" s="22" t="s">
        <v>95</v>
      </c>
      <c r="AL407" s="18" t="s">
        <v>95</v>
      </c>
      <c r="AM407" s="18" t="s">
        <v>95</v>
      </c>
      <c r="AN407" s="18" t="s">
        <v>95</v>
      </c>
      <c r="AO407" s="18" t="s">
        <v>95</v>
      </c>
      <c r="AP407" s="18" t="s">
        <v>95</v>
      </c>
      <c r="AQ407" s="18" t="s">
        <v>95</v>
      </c>
      <c r="AR407" s="18" t="s">
        <v>95</v>
      </c>
      <c r="AS407" s="18" t="s">
        <v>83</v>
      </c>
      <c r="AT407" s="18" t="s">
        <v>83</v>
      </c>
      <c r="AU407" s="18" t="s">
        <v>81</v>
      </c>
      <c r="AV407" s="18" t="s">
        <v>95</v>
      </c>
      <c r="AW407" s="18" t="s">
        <v>95</v>
      </c>
      <c r="AX407" s="18"/>
      <c r="AY407" s="18" t="str">
        <f>Pospago[[#This Row],[NUM_TELEFONICO]]&amp;"POSPAGOSI"</f>
        <v>984471176POSPAGOSI</v>
      </c>
      <c r="AZ407" s="18" t="str">
        <f>VLOOKUP(Pospago[[#This Row],[NOM_PLAZA_FINAL]],[1]!Locales[#Data],3,0)</f>
        <v>TIENDA CUENCA CENTRO</v>
      </c>
      <c r="BA407" s="18" t="str">
        <f>IFERROR(VLOOKUP(Pospago[[#This Row],[USUARIO]],[1]!Personal[#Data],6,0),"EJECUTIVO NO REGISTRADO")</f>
        <v>CALLE CHACA JORGE VINICIO</v>
      </c>
      <c r="BB407" s="18" t="str">
        <f>Pospago[[#This Row],[TIPO_MOVIMIENTO]]&amp;" "&amp;Pospago[[#This Row],[FORMA_PAGO_FINAL]]</f>
        <v>TRANSFERENCIAS DOMICILIADO</v>
      </c>
      <c r="BC407" s="18">
        <f>DAY(Pospago[[#This Row],[FECHA_ALTA]])</f>
        <v>3</v>
      </c>
      <c r="BD407" s="18">
        <f>IF(Pospago[[#This Row],[TARIFA_BASICA]]=11.42,1,0)</f>
        <v>1</v>
      </c>
      <c r="BE407" s="18">
        <f>IF(Pospago[[#This Row],[PLANES TELEVENTAS]]="SI",1,0)</f>
        <v>0</v>
      </c>
      <c r="BF407" s="18">
        <f>1</f>
        <v>1</v>
      </c>
      <c r="BG407" s="18">
        <f>IF(OR(Pospago[[#This Row],[TARIFA_BASICA]]=11.42,Pospago[[#This Row],[PLANES TELEVENTAS]]="SI"),1,0)</f>
        <v>1</v>
      </c>
      <c r="BH407" s="18" t="str">
        <f>IF(MID(Pospago[[#This Row],[PlanDesc]],1,4) = "PLAN","POSPAGO",IF(MID(Pospago[[#This Row],[PlanDesc]],1,4)="FULL","FULL MEGAS","PREVIOPAGO"))</f>
        <v>PREVIOPAGO</v>
      </c>
      <c r="BI4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4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07" s="21">
        <f>Pospago[[#This Row],[TARIFA_BASICA]]*1.5</f>
        <v>17.13</v>
      </c>
    </row>
    <row r="408" spans="1:63" x14ac:dyDescent="0.25">
      <c r="A408" s="18" t="s">
        <v>154</v>
      </c>
      <c r="B408" s="18" t="s">
        <v>2745</v>
      </c>
      <c r="C408" s="18" t="s">
        <v>2746</v>
      </c>
      <c r="D408" s="19">
        <v>44910</v>
      </c>
      <c r="E408" s="18" t="s">
        <v>67</v>
      </c>
      <c r="F408" s="18" t="s">
        <v>2747</v>
      </c>
      <c r="G408" s="18" t="s">
        <v>2748</v>
      </c>
      <c r="H408" s="18" t="s">
        <v>159</v>
      </c>
      <c r="I408" s="18" t="s">
        <v>160</v>
      </c>
      <c r="J408" s="18" t="s">
        <v>161</v>
      </c>
      <c r="K408" s="18" t="s">
        <v>132</v>
      </c>
      <c r="L408" s="20" t="s">
        <v>2749</v>
      </c>
      <c r="M408" s="18" t="s">
        <v>75</v>
      </c>
      <c r="N408" s="20" t="s">
        <v>2750</v>
      </c>
      <c r="O408" s="18" t="s">
        <v>164</v>
      </c>
      <c r="P408" s="18" t="s">
        <v>78</v>
      </c>
      <c r="Q408" s="19">
        <v>44914</v>
      </c>
      <c r="R408" s="21">
        <v>14.28</v>
      </c>
      <c r="S408" s="18" t="s">
        <v>79</v>
      </c>
      <c r="T408" s="18" t="s">
        <v>232</v>
      </c>
      <c r="U408" s="18" t="s">
        <v>83</v>
      </c>
      <c r="V408" s="18" t="s">
        <v>95</v>
      </c>
      <c r="W408" s="18" t="s">
        <v>95</v>
      </c>
      <c r="X408" s="18" t="s">
        <v>84</v>
      </c>
      <c r="Y408" s="18" t="s">
        <v>85</v>
      </c>
      <c r="Z408" s="18" t="s">
        <v>86</v>
      </c>
      <c r="AA408" s="18" t="s">
        <v>87</v>
      </c>
      <c r="AB408" s="18" t="s">
        <v>280</v>
      </c>
      <c r="AC408" s="18" t="s">
        <v>281</v>
      </c>
      <c r="AD408" s="18" t="s">
        <v>85</v>
      </c>
      <c r="AE408" s="18" t="s">
        <v>90</v>
      </c>
      <c r="AF408" s="18" t="s">
        <v>235</v>
      </c>
      <c r="AG408" s="18" t="s">
        <v>139</v>
      </c>
      <c r="AH408" s="18" t="s">
        <v>165</v>
      </c>
      <c r="AI408" s="18" t="s">
        <v>94</v>
      </c>
      <c r="AJ408" s="19">
        <v>44910</v>
      </c>
      <c r="AK408" s="22" t="s">
        <v>95</v>
      </c>
      <c r="AL408" s="18" t="s">
        <v>95</v>
      </c>
      <c r="AM408" s="18" t="s">
        <v>95</v>
      </c>
      <c r="AN408" s="18" t="s">
        <v>95</v>
      </c>
      <c r="AO408" s="18" t="s">
        <v>95</v>
      </c>
      <c r="AP408" s="18" t="s">
        <v>95</v>
      </c>
      <c r="AQ408" s="18" t="s">
        <v>95</v>
      </c>
      <c r="AR408" s="18" t="s">
        <v>95</v>
      </c>
      <c r="AS408" s="18" t="s">
        <v>83</v>
      </c>
      <c r="AT408" s="18" t="s">
        <v>83</v>
      </c>
      <c r="AU408" s="18" t="s">
        <v>81</v>
      </c>
      <c r="AV408" s="18" t="s">
        <v>95</v>
      </c>
      <c r="AW408" s="18" t="s">
        <v>95</v>
      </c>
      <c r="AX408" s="18"/>
      <c r="AY408" s="18" t="str">
        <f>Pospago[[#This Row],[NUM_TELEFONICO]]&amp;"POSPAGOSI"</f>
        <v>984473725POSPAGOSI</v>
      </c>
      <c r="AZ408" s="18" t="str">
        <f>VLOOKUP(Pospago[[#This Row],[NOM_PLAZA_FINAL]],[1]!Locales[#Data],3,0)</f>
        <v>TIENDA CONDADO</v>
      </c>
      <c r="BA408" s="18" t="str">
        <f>IFERROR(VLOOKUP(Pospago[[#This Row],[USUARIO]],[1]!Personal[#Data],6,0),"EJECUTIVO NO REGISTRADO")</f>
        <v>GUACHAMIN CAZA HUGO ADRIAN</v>
      </c>
      <c r="BB408" s="18" t="str">
        <f>Pospago[[#This Row],[TIPO_MOVIMIENTO]]&amp;" "&amp;Pospago[[#This Row],[FORMA_PAGO_FINAL]]</f>
        <v>TRANSFERENCIAS DOMICILIADO</v>
      </c>
      <c r="BC408" s="18">
        <f>DAY(Pospago[[#This Row],[FECHA_ALTA]])</f>
        <v>15</v>
      </c>
      <c r="BD408" s="18">
        <f>IF(Pospago[[#This Row],[TARIFA_BASICA]]=11.42,1,0)</f>
        <v>0</v>
      </c>
      <c r="BE408" s="18">
        <f>IF(Pospago[[#This Row],[PLANES TELEVENTAS]]="SI",1,0)</f>
        <v>0</v>
      </c>
      <c r="BF408" s="18">
        <f>1</f>
        <v>1</v>
      </c>
      <c r="BG408" s="18">
        <f>IF(OR(Pospago[[#This Row],[TARIFA_BASICA]]=11.42,Pospago[[#This Row],[PLANES TELEVENTAS]]="SI"),1,0)</f>
        <v>0</v>
      </c>
      <c r="BH408" s="18" t="str">
        <f>IF(MID(Pospago[[#This Row],[PlanDesc]],1,4) = "PLAN","POSPAGO",IF(MID(Pospago[[#This Row],[PlanDesc]],1,4)="FULL","FULL MEGAS","PREVIOPAGO"))</f>
        <v>PREVIOPAGO</v>
      </c>
      <c r="BI4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08" s="21">
        <f>Pospago[[#This Row],[TARIFA_BASICA]]*1.5</f>
        <v>21.419999999999998</v>
      </c>
    </row>
    <row r="409" spans="1:63" x14ac:dyDescent="0.25">
      <c r="A409" s="18" t="s">
        <v>154</v>
      </c>
      <c r="B409" s="18" t="s">
        <v>2751</v>
      </c>
      <c r="C409" s="18" t="s">
        <v>2752</v>
      </c>
      <c r="D409" s="19">
        <v>44899</v>
      </c>
      <c r="E409" s="18" t="s">
        <v>67</v>
      </c>
      <c r="F409" s="18" t="s">
        <v>2753</v>
      </c>
      <c r="G409" s="18" t="s">
        <v>2754</v>
      </c>
      <c r="H409" s="18" t="s">
        <v>159</v>
      </c>
      <c r="I409" s="18" t="s">
        <v>71</v>
      </c>
      <c r="J409" s="18" t="s">
        <v>258</v>
      </c>
      <c r="K409" s="18" t="s">
        <v>132</v>
      </c>
      <c r="L409" s="20" t="s">
        <v>2755</v>
      </c>
      <c r="M409" s="18" t="s">
        <v>75</v>
      </c>
      <c r="N409" s="20" t="s">
        <v>2756</v>
      </c>
      <c r="O409" s="18" t="s">
        <v>164</v>
      </c>
      <c r="P409" s="18" t="s">
        <v>78</v>
      </c>
      <c r="Q409" s="19">
        <v>44914</v>
      </c>
      <c r="R409" s="21">
        <v>11.42</v>
      </c>
      <c r="S409" s="18" t="s">
        <v>79</v>
      </c>
      <c r="T409" s="18" t="s">
        <v>174</v>
      </c>
      <c r="U409" s="18" t="s">
        <v>83</v>
      </c>
      <c r="V409" s="18" t="s">
        <v>95</v>
      </c>
      <c r="W409" s="18" t="s">
        <v>95</v>
      </c>
      <c r="X409" s="18" t="s">
        <v>118</v>
      </c>
      <c r="Y409" s="18" t="s">
        <v>85</v>
      </c>
      <c r="Z409" s="18" t="s">
        <v>86</v>
      </c>
      <c r="AA409" s="18" t="s">
        <v>119</v>
      </c>
      <c r="AB409" s="18" t="s">
        <v>175</v>
      </c>
      <c r="AC409" s="18" t="s">
        <v>176</v>
      </c>
      <c r="AD409" s="18" t="s">
        <v>85</v>
      </c>
      <c r="AE409" s="18" t="s">
        <v>90</v>
      </c>
      <c r="AF409" s="18" t="s">
        <v>177</v>
      </c>
      <c r="AG409" s="18" t="s">
        <v>139</v>
      </c>
      <c r="AH409" s="18" t="s">
        <v>165</v>
      </c>
      <c r="AI409" s="18" t="s">
        <v>94</v>
      </c>
      <c r="AJ409" s="19">
        <v>44899</v>
      </c>
      <c r="AK409" s="22" t="s">
        <v>95</v>
      </c>
      <c r="AL409" s="18" t="s">
        <v>95</v>
      </c>
      <c r="AM409" s="18" t="s">
        <v>95</v>
      </c>
      <c r="AN409" s="18" t="s">
        <v>95</v>
      </c>
      <c r="AO409" s="18" t="s">
        <v>95</v>
      </c>
      <c r="AP409" s="18" t="s">
        <v>95</v>
      </c>
      <c r="AQ409" s="18" t="s">
        <v>95</v>
      </c>
      <c r="AR409" s="18" t="s">
        <v>95</v>
      </c>
      <c r="AS409" s="18" t="s">
        <v>83</v>
      </c>
      <c r="AT409" s="18" t="s">
        <v>83</v>
      </c>
      <c r="AU409" s="18" t="s">
        <v>81</v>
      </c>
      <c r="AV409" s="18" t="s">
        <v>95</v>
      </c>
      <c r="AW409" s="18" t="s">
        <v>95</v>
      </c>
      <c r="AX409" s="18"/>
      <c r="AY409" s="18" t="str">
        <f>Pospago[[#This Row],[NUM_TELEFONICO]]&amp;"POSPAGOSI"</f>
        <v>984479292POSPAGOSI</v>
      </c>
      <c r="AZ409" s="18" t="str">
        <f>VLOOKUP(Pospago[[#This Row],[NOM_PLAZA_FINAL]],[1]!Locales[#Data],3,0)</f>
        <v>TIENDA RECREO</v>
      </c>
      <c r="BA409" s="18" t="str">
        <f>IFERROR(VLOOKUP(Pospago[[#This Row],[USUARIO]],[1]!Personal[#Data],6,0),"EJECUTIVO NO REGISTRADO")</f>
        <v>VARGAS REYES LUIS EDUARDO</v>
      </c>
      <c r="BB409" s="18" t="str">
        <f>Pospago[[#This Row],[TIPO_MOVIMIENTO]]&amp;" "&amp;Pospago[[#This Row],[FORMA_PAGO_FINAL]]</f>
        <v>TRANSFERENCIAS PAGO EN CAJA</v>
      </c>
      <c r="BC409" s="18">
        <f>DAY(Pospago[[#This Row],[FECHA_ALTA]])</f>
        <v>4</v>
      </c>
      <c r="BD409" s="18">
        <f>IF(Pospago[[#This Row],[TARIFA_BASICA]]=11.42,1,0)</f>
        <v>1</v>
      </c>
      <c r="BE409" s="18">
        <f>IF(Pospago[[#This Row],[PLANES TELEVENTAS]]="SI",1,0)</f>
        <v>0</v>
      </c>
      <c r="BF409" s="18">
        <f>1</f>
        <v>1</v>
      </c>
      <c r="BG409" s="18">
        <f>IF(OR(Pospago[[#This Row],[TARIFA_BASICA]]=11.42,Pospago[[#This Row],[PLANES TELEVENTAS]]="SI"),1,0)</f>
        <v>1</v>
      </c>
      <c r="BH409" s="18" t="str">
        <f>IF(MID(Pospago[[#This Row],[PlanDesc]],1,4) = "PLAN","POSPAGO",IF(MID(Pospago[[#This Row],[PlanDesc]],1,4)="FULL","FULL MEGAS","PREVIOPAGO"))</f>
        <v>PREVIOPAGO</v>
      </c>
      <c r="BI4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4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09" s="21">
        <f>Pospago[[#This Row],[TARIFA_BASICA]]*1.5</f>
        <v>17.13</v>
      </c>
    </row>
    <row r="410" spans="1:63" x14ac:dyDescent="0.25">
      <c r="A410" s="18" t="s">
        <v>64</v>
      </c>
      <c r="B410" s="18" t="s">
        <v>2757</v>
      </c>
      <c r="C410" s="18" t="s">
        <v>1767</v>
      </c>
      <c r="D410" s="19">
        <v>44902</v>
      </c>
      <c r="E410" s="18" t="s">
        <v>67</v>
      </c>
      <c r="F410" s="18" t="s">
        <v>1768</v>
      </c>
      <c r="G410" s="18" t="s">
        <v>1769</v>
      </c>
      <c r="H410" s="18" t="s">
        <v>70</v>
      </c>
      <c r="I410" s="18" t="s">
        <v>194</v>
      </c>
      <c r="J410" s="18" t="s">
        <v>195</v>
      </c>
      <c r="K410" s="18" t="s">
        <v>95</v>
      </c>
      <c r="L410" s="20" t="s">
        <v>2758</v>
      </c>
      <c r="M410" s="18" t="s">
        <v>75</v>
      </c>
      <c r="N410" s="20" t="s">
        <v>2759</v>
      </c>
      <c r="O410" s="18" t="s">
        <v>77</v>
      </c>
      <c r="P410" s="18" t="s">
        <v>78</v>
      </c>
      <c r="Q410" s="19">
        <v>44914</v>
      </c>
      <c r="R410" s="21">
        <v>14.28</v>
      </c>
      <c r="S410" s="18" t="s">
        <v>79</v>
      </c>
      <c r="T410" s="18" t="s">
        <v>232</v>
      </c>
      <c r="U410" s="18" t="s">
        <v>83</v>
      </c>
      <c r="V410" s="18" t="s">
        <v>95</v>
      </c>
      <c r="W410" s="18" t="s">
        <v>83</v>
      </c>
      <c r="X410" s="18" t="s">
        <v>84</v>
      </c>
      <c r="Y410" s="18" t="s">
        <v>85</v>
      </c>
      <c r="Z410" s="18" t="s">
        <v>86</v>
      </c>
      <c r="AA410" s="18" t="s">
        <v>87</v>
      </c>
      <c r="AB410" s="18" t="s">
        <v>377</v>
      </c>
      <c r="AC410" s="18" t="s">
        <v>378</v>
      </c>
      <c r="AD410" s="18" t="s">
        <v>85</v>
      </c>
      <c r="AE410" s="18" t="s">
        <v>90</v>
      </c>
      <c r="AF410" s="18" t="s">
        <v>235</v>
      </c>
      <c r="AG410" s="18" t="s">
        <v>139</v>
      </c>
      <c r="AH410" s="18" t="s">
        <v>93</v>
      </c>
      <c r="AI410" s="18" t="s">
        <v>94</v>
      </c>
      <c r="AJ410" s="19">
        <v>44902</v>
      </c>
      <c r="AK410" s="22" t="s">
        <v>95</v>
      </c>
      <c r="AL410" s="18" t="s">
        <v>95</v>
      </c>
      <c r="AM410" s="18" t="s">
        <v>95</v>
      </c>
      <c r="AN410" s="18" t="s">
        <v>95</v>
      </c>
      <c r="AO410" s="18" t="s">
        <v>95</v>
      </c>
      <c r="AP410" s="18" t="s">
        <v>95</v>
      </c>
      <c r="AQ410" s="18" t="s">
        <v>95</v>
      </c>
      <c r="AR410" s="18" t="s">
        <v>95</v>
      </c>
      <c r="AS410" s="18" t="s">
        <v>83</v>
      </c>
      <c r="AT410" s="18" t="s">
        <v>81</v>
      </c>
      <c r="AU410" s="18" t="s">
        <v>81</v>
      </c>
      <c r="AV410" s="18" t="s">
        <v>95</v>
      </c>
      <c r="AW410" s="18" t="s">
        <v>95</v>
      </c>
      <c r="AX410" s="18"/>
      <c r="AY410" s="18" t="str">
        <f>Pospago[[#This Row],[NUM_TELEFONICO]]&amp;"POSPAGOSI"</f>
        <v>984491835POSPAGOSI</v>
      </c>
      <c r="AZ410" s="18" t="str">
        <f>VLOOKUP(Pospago[[#This Row],[NOM_PLAZA_FINAL]],[1]!Locales[#Data],3,0)</f>
        <v>TIENDA CONDADO</v>
      </c>
      <c r="BA410" s="18" t="str">
        <f>IFERROR(VLOOKUP(Pospago[[#This Row],[USUARIO]],[1]!Personal[#Data],6,0),"EJECUTIVO NO REGISTRADO")</f>
        <v>MELCHIADE ISAAC VALMORE</v>
      </c>
      <c r="BB410" s="18" t="str">
        <f>Pospago[[#This Row],[TIPO_MOVIMIENTO]]&amp;" "&amp;Pospago[[#This Row],[FORMA_PAGO_FINAL]]</f>
        <v>ALTAS DOMICILIADO</v>
      </c>
      <c r="BC410" s="18">
        <f>DAY(Pospago[[#This Row],[FECHA_ALTA]])</f>
        <v>7</v>
      </c>
      <c r="BD410" s="18">
        <f>IF(Pospago[[#This Row],[TARIFA_BASICA]]=11.42,1,0)</f>
        <v>0</v>
      </c>
      <c r="BE410" s="18">
        <f>IF(Pospago[[#This Row],[PLANES TELEVENTAS]]="SI",1,0)</f>
        <v>1</v>
      </c>
      <c r="BF410" s="18">
        <f>1</f>
        <v>1</v>
      </c>
      <c r="BG410" s="18">
        <f>IF(OR(Pospago[[#This Row],[TARIFA_BASICA]]=11.42,Pospago[[#This Row],[PLANES TELEVENTAS]]="SI"),1,0)</f>
        <v>1</v>
      </c>
      <c r="BH410" s="18" t="str">
        <f>IF(MID(Pospago[[#This Row],[PlanDesc]],1,4) = "PLAN","POSPAGO",IF(MID(Pospago[[#This Row],[PlanDesc]],1,4)="FULL","FULL MEGAS","PREVIOPAGO"))</f>
        <v>PREVIOPAGO</v>
      </c>
      <c r="BI4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0" s="21">
        <f>Pospago[[#This Row],[TARIFA_BASICA]]*1.5</f>
        <v>21.419999999999998</v>
      </c>
    </row>
    <row r="411" spans="1:63" x14ac:dyDescent="0.25">
      <c r="A411" s="18" t="s">
        <v>154</v>
      </c>
      <c r="B411" s="18" t="s">
        <v>2760</v>
      </c>
      <c r="C411" s="18" t="s">
        <v>2761</v>
      </c>
      <c r="D411" s="19">
        <v>44913</v>
      </c>
      <c r="E411" s="18" t="s">
        <v>67</v>
      </c>
      <c r="F411" s="18" t="s">
        <v>2762</v>
      </c>
      <c r="G411" s="18" t="s">
        <v>2763</v>
      </c>
      <c r="H411" s="18" t="s">
        <v>159</v>
      </c>
      <c r="I411" s="18" t="s">
        <v>160</v>
      </c>
      <c r="J411" s="18" t="s">
        <v>161</v>
      </c>
      <c r="K411" s="18" t="s">
        <v>132</v>
      </c>
      <c r="L411" s="20" t="s">
        <v>2764</v>
      </c>
      <c r="M411" s="18" t="s">
        <v>75</v>
      </c>
      <c r="N411" s="20" t="s">
        <v>2765</v>
      </c>
      <c r="O411" s="18" t="s">
        <v>164</v>
      </c>
      <c r="P411" s="18" t="s">
        <v>78</v>
      </c>
      <c r="Q411" s="19">
        <v>44914</v>
      </c>
      <c r="R411" s="21">
        <v>14.28</v>
      </c>
      <c r="S411" s="18" t="s">
        <v>79</v>
      </c>
      <c r="T411" s="18" t="s">
        <v>174</v>
      </c>
      <c r="U411" s="18" t="s">
        <v>83</v>
      </c>
      <c r="V411" s="18" t="s">
        <v>95</v>
      </c>
      <c r="W411" s="18" t="s">
        <v>95</v>
      </c>
      <c r="X411" s="18" t="s">
        <v>118</v>
      </c>
      <c r="Y411" s="18" t="s">
        <v>85</v>
      </c>
      <c r="Z411" s="18" t="s">
        <v>86</v>
      </c>
      <c r="AA411" s="18" t="s">
        <v>119</v>
      </c>
      <c r="AB411" s="18" t="s">
        <v>918</v>
      </c>
      <c r="AC411" s="18" t="s">
        <v>919</v>
      </c>
      <c r="AD411" s="18" t="s">
        <v>85</v>
      </c>
      <c r="AE411" s="18" t="s">
        <v>90</v>
      </c>
      <c r="AF411" s="18" t="s">
        <v>177</v>
      </c>
      <c r="AG411" s="18" t="s">
        <v>139</v>
      </c>
      <c r="AH411" s="18" t="s">
        <v>165</v>
      </c>
      <c r="AI411" s="18" t="s">
        <v>94</v>
      </c>
      <c r="AJ411" s="19">
        <v>44913</v>
      </c>
      <c r="AK411" s="22" t="s">
        <v>95</v>
      </c>
      <c r="AL411" s="18" t="s">
        <v>95</v>
      </c>
      <c r="AM411" s="18" t="s">
        <v>95</v>
      </c>
      <c r="AN411" s="18" t="s">
        <v>95</v>
      </c>
      <c r="AO411" s="18" t="s">
        <v>95</v>
      </c>
      <c r="AP411" s="18" t="s">
        <v>95</v>
      </c>
      <c r="AQ411" s="18" t="s">
        <v>95</v>
      </c>
      <c r="AR411" s="18" t="s">
        <v>95</v>
      </c>
      <c r="AS411" s="18" t="s">
        <v>83</v>
      </c>
      <c r="AT411" s="18" t="s">
        <v>83</v>
      </c>
      <c r="AU411" s="18" t="s">
        <v>81</v>
      </c>
      <c r="AV411" s="18" t="s">
        <v>95</v>
      </c>
      <c r="AW411" s="18" t="s">
        <v>95</v>
      </c>
      <c r="AX411" s="18"/>
      <c r="AY411" s="18" t="str">
        <f>Pospago[[#This Row],[NUM_TELEFONICO]]&amp;"POSPAGOSI"</f>
        <v>984492847POSPAGOSI</v>
      </c>
      <c r="AZ411" s="18" t="str">
        <f>VLOOKUP(Pospago[[#This Row],[NOM_PLAZA_FINAL]],[1]!Locales[#Data],3,0)</f>
        <v>TIENDA RECREO</v>
      </c>
      <c r="BA411" s="18" t="str">
        <f>IFERROR(VLOOKUP(Pospago[[#This Row],[USUARIO]],[1]!Personal[#Data],6,0),"EJECUTIVO NO REGISTRADO")</f>
        <v>ORELLANA CARRERA MICHAEL ALEXANDER</v>
      </c>
      <c r="BB411" s="18" t="str">
        <f>Pospago[[#This Row],[TIPO_MOVIMIENTO]]&amp;" "&amp;Pospago[[#This Row],[FORMA_PAGO_FINAL]]</f>
        <v>TRANSFERENCIAS PAGO EN CAJA</v>
      </c>
      <c r="BC411" s="18">
        <f>DAY(Pospago[[#This Row],[FECHA_ALTA]])</f>
        <v>18</v>
      </c>
      <c r="BD411" s="18">
        <f>IF(Pospago[[#This Row],[TARIFA_BASICA]]=11.42,1,0)</f>
        <v>0</v>
      </c>
      <c r="BE411" s="18">
        <f>IF(Pospago[[#This Row],[PLANES TELEVENTAS]]="SI",1,0)</f>
        <v>0</v>
      </c>
      <c r="BF411" s="18">
        <f>1</f>
        <v>1</v>
      </c>
      <c r="BG411" s="18">
        <f>IF(OR(Pospago[[#This Row],[TARIFA_BASICA]]=11.42,Pospago[[#This Row],[PLANES TELEVENTAS]]="SI"),1,0)</f>
        <v>0</v>
      </c>
      <c r="BH411" s="18" t="str">
        <f>IF(MID(Pospago[[#This Row],[PlanDesc]],1,4) = "PLAN","POSPAGO",IF(MID(Pospago[[#This Row],[PlanDesc]],1,4)="FULL","FULL MEGAS","PREVIOPAGO"))</f>
        <v>PREVIOPAGO</v>
      </c>
      <c r="BI4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1" s="21">
        <f>Pospago[[#This Row],[TARIFA_BASICA]]*1.5</f>
        <v>21.419999999999998</v>
      </c>
    </row>
    <row r="412" spans="1:63" x14ac:dyDescent="0.25">
      <c r="A412" s="18" t="s">
        <v>64</v>
      </c>
      <c r="B412" s="18" t="s">
        <v>2766</v>
      </c>
      <c r="C412" s="18" t="s">
        <v>2767</v>
      </c>
      <c r="D412" s="19">
        <v>44896</v>
      </c>
      <c r="E412" s="18" t="s">
        <v>67</v>
      </c>
      <c r="F412" s="18" t="s">
        <v>2768</v>
      </c>
      <c r="G412" s="18" t="s">
        <v>2769</v>
      </c>
      <c r="H412" s="18" t="s">
        <v>70</v>
      </c>
      <c r="I412" s="18" t="s">
        <v>112</v>
      </c>
      <c r="J412" s="18" t="s">
        <v>113</v>
      </c>
      <c r="K412" s="18" t="s">
        <v>73</v>
      </c>
      <c r="L412" s="20" t="s">
        <v>2770</v>
      </c>
      <c r="M412" s="18" t="s">
        <v>75</v>
      </c>
      <c r="N412" s="20" t="s">
        <v>2771</v>
      </c>
      <c r="O412" s="18" t="s">
        <v>77</v>
      </c>
      <c r="P412" s="18" t="s">
        <v>78</v>
      </c>
      <c r="Q412" s="19">
        <v>44914</v>
      </c>
      <c r="R412" s="21">
        <v>17.850000000000001</v>
      </c>
      <c r="S412" s="18" t="s">
        <v>79</v>
      </c>
      <c r="T412" s="18" t="s">
        <v>80</v>
      </c>
      <c r="U412" s="18" t="s">
        <v>81</v>
      </c>
      <c r="V412" s="18" t="s">
        <v>82</v>
      </c>
      <c r="W412" s="18" t="s">
        <v>83</v>
      </c>
      <c r="X412" s="18" t="s">
        <v>118</v>
      </c>
      <c r="Y412" s="18" t="s">
        <v>85</v>
      </c>
      <c r="Z412" s="18" t="s">
        <v>86</v>
      </c>
      <c r="AA412" s="18" t="s">
        <v>119</v>
      </c>
      <c r="AB412" s="18" t="s">
        <v>289</v>
      </c>
      <c r="AC412" s="18" t="s">
        <v>290</v>
      </c>
      <c r="AD412" s="18" t="s">
        <v>85</v>
      </c>
      <c r="AE412" s="18" t="s">
        <v>90</v>
      </c>
      <c r="AF412" s="18" t="s">
        <v>91</v>
      </c>
      <c r="AG412" s="18" t="s">
        <v>92</v>
      </c>
      <c r="AH412" s="18" t="s">
        <v>93</v>
      </c>
      <c r="AI412" s="18" t="s">
        <v>94</v>
      </c>
      <c r="AJ412" s="19">
        <v>44896</v>
      </c>
      <c r="AK412" s="22" t="s">
        <v>95</v>
      </c>
      <c r="AL412" s="18" t="s">
        <v>95</v>
      </c>
      <c r="AM412" s="18" t="s">
        <v>95</v>
      </c>
      <c r="AN412" s="18" t="s">
        <v>95</v>
      </c>
      <c r="AO412" s="18" t="s">
        <v>95</v>
      </c>
      <c r="AP412" s="18" t="s">
        <v>95</v>
      </c>
      <c r="AQ412" s="18" t="s">
        <v>95</v>
      </c>
      <c r="AR412" s="18" t="s">
        <v>95</v>
      </c>
      <c r="AS412" s="18" t="s">
        <v>83</v>
      </c>
      <c r="AT412" s="18" t="s">
        <v>83</v>
      </c>
      <c r="AU412" s="18" t="s">
        <v>81</v>
      </c>
      <c r="AV412" s="18" t="s">
        <v>95</v>
      </c>
      <c r="AW412" s="18" t="s">
        <v>95</v>
      </c>
      <c r="AX412" s="18"/>
      <c r="AY412" s="18" t="str">
        <f>Pospago[[#This Row],[NUM_TELEFONICO]]&amp;"POSPAGOSI"</f>
        <v>984498359POSPAGOSI</v>
      </c>
      <c r="AZ412" s="18" t="str">
        <f>VLOOKUP(Pospago[[#This Row],[NOM_PLAZA_FINAL]],[1]!Locales[#Data],3,0)</f>
        <v>TIENDA CUENCA CENTRO</v>
      </c>
      <c r="BA412" s="18" t="str">
        <f>IFERROR(VLOOKUP(Pospago[[#This Row],[USUARIO]],[1]!Personal[#Data],6,0),"EJECUTIVO NO REGISTRADO")</f>
        <v>CALLE CHACA JORGE VINICIO</v>
      </c>
      <c r="BB412" s="18" t="str">
        <f>Pospago[[#This Row],[TIPO_MOVIMIENTO]]&amp;" "&amp;Pospago[[#This Row],[FORMA_PAGO_FINAL]]</f>
        <v>ALTAS PAGO EN CAJA</v>
      </c>
      <c r="BC412" s="18">
        <f>DAY(Pospago[[#This Row],[FECHA_ALTA]])</f>
        <v>1</v>
      </c>
      <c r="BD412" s="18">
        <f>IF(Pospago[[#This Row],[TARIFA_BASICA]]=11.42,1,0)</f>
        <v>0</v>
      </c>
      <c r="BE412" s="18">
        <f>IF(Pospago[[#This Row],[PLANES TELEVENTAS]]="SI",1,0)</f>
        <v>0</v>
      </c>
      <c r="BF412" s="18">
        <f>1</f>
        <v>1</v>
      </c>
      <c r="BG412" s="18">
        <f>IF(OR(Pospago[[#This Row],[TARIFA_BASICA]]=11.42,Pospago[[#This Row],[PLANES TELEVENTAS]]="SI"),1,0)</f>
        <v>0</v>
      </c>
      <c r="BH412" s="18" t="str">
        <f>IF(MID(Pospago[[#This Row],[PlanDesc]],1,4) = "PLAN","POSPAGO",IF(MID(Pospago[[#This Row],[PlanDesc]],1,4)="FULL","FULL MEGAS","PREVIOPAGO"))</f>
        <v>PREVIOPAGO</v>
      </c>
      <c r="BI4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4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2" s="21">
        <f>Pospago[[#This Row],[TARIFA_BASICA]]*1.5</f>
        <v>26.775000000000002</v>
      </c>
    </row>
    <row r="413" spans="1:63" x14ac:dyDescent="0.25">
      <c r="A413" s="18" t="s">
        <v>64</v>
      </c>
      <c r="B413" s="18" t="s">
        <v>2772</v>
      </c>
      <c r="C413" s="18" t="s">
        <v>2243</v>
      </c>
      <c r="D413" s="19">
        <v>44896</v>
      </c>
      <c r="E413" s="18" t="s">
        <v>67</v>
      </c>
      <c r="F413" s="18" t="s">
        <v>2244</v>
      </c>
      <c r="G413" s="18" t="s">
        <v>2245</v>
      </c>
      <c r="H413" s="18" t="s">
        <v>193</v>
      </c>
      <c r="I413" s="18" t="s">
        <v>194</v>
      </c>
      <c r="J413" s="18" t="s">
        <v>195</v>
      </c>
      <c r="K413" s="18" t="s">
        <v>73</v>
      </c>
      <c r="L413" s="20" t="s">
        <v>2773</v>
      </c>
      <c r="M413" s="18" t="s">
        <v>75</v>
      </c>
      <c r="N413" s="20" t="s">
        <v>2774</v>
      </c>
      <c r="O413" s="18" t="s">
        <v>77</v>
      </c>
      <c r="P413" s="18" t="s">
        <v>78</v>
      </c>
      <c r="Q413" s="19">
        <v>44914</v>
      </c>
      <c r="R413" s="21">
        <v>14.28</v>
      </c>
      <c r="S413" s="18" t="s">
        <v>79</v>
      </c>
      <c r="T413" s="18" t="s">
        <v>80</v>
      </c>
      <c r="U413" s="18" t="s">
        <v>83</v>
      </c>
      <c r="V413" s="18" t="s">
        <v>95</v>
      </c>
      <c r="W413" s="18" t="s">
        <v>83</v>
      </c>
      <c r="X413" s="18" t="s">
        <v>215</v>
      </c>
      <c r="Y413" s="18" t="s">
        <v>85</v>
      </c>
      <c r="Z413" s="18" t="s">
        <v>86</v>
      </c>
      <c r="AA413" s="18" t="s">
        <v>87</v>
      </c>
      <c r="AB413" s="18" t="s">
        <v>242</v>
      </c>
      <c r="AC413" s="18" t="s">
        <v>243</v>
      </c>
      <c r="AD413" s="18" t="s">
        <v>85</v>
      </c>
      <c r="AE413" s="18" t="s">
        <v>90</v>
      </c>
      <c r="AF413" s="18" t="s">
        <v>91</v>
      </c>
      <c r="AG413" s="18" t="s">
        <v>92</v>
      </c>
      <c r="AH413" s="18" t="s">
        <v>93</v>
      </c>
      <c r="AI413" s="18" t="s">
        <v>94</v>
      </c>
      <c r="AJ413" s="19">
        <v>44896</v>
      </c>
      <c r="AK413" s="22" t="s">
        <v>95</v>
      </c>
      <c r="AL413" s="18" t="s">
        <v>95</v>
      </c>
      <c r="AM413" s="18" t="s">
        <v>95</v>
      </c>
      <c r="AN413" s="18" t="s">
        <v>95</v>
      </c>
      <c r="AO413" s="18" t="s">
        <v>95</v>
      </c>
      <c r="AP413" s="18" t="s">
        <v>95</v>
      </c>
      <c r="AQ413" s="18" t="s">
        <v>95</v>
      </c>
      <c r="AR413" s="18" t="s">
        <v>95</v>
      </c>
      <c r="AS413" s="18" t="s">
        <v>83</v>
      </c>
      <c r="AT413" s="18" t="s">
        <v>81</v>
      </c>
      <c r="AU413" s="18" t="s">
        <v>81</v>
      </c>
      <c r="AV413" s="18" t="s">
        <v>95</v>
      </c>
      <c r="AW413" s="18" t="s">
        <v>95</v>
      </c>
      <c r="AX413" s="18"/>
      <c r="AY413" s="18" t="str">
        <f>Pospago[[#This Row],[NUM_TELEFONICO]]&amp;"POSPAGOSI"</f>
        <v>984514802POSPAGOSI</v>
      </c>
      <c r="AZ413" s="18" t="str">
        <f>VLOOKUP(Pospago[[#This Row],[NOM_PLAZA_FINAL]],[1]!Locales[#Data],3,0)</f>
        <v>TIENDA CUENCA CENTRO</v>
      </c>
      <c r="BA413" s="18" t="str">
        <f>IFERROR(VLOOKUP(Pospago[[#This Row],[USUARIO]],[1]!Personal[#Data],6,0),"EJECUTIVO NO REGISTRADO")</f>
        <v>VALLEJO DELEG ROMAN NICOLAS</v>
      </c>
      <c r="BB413" s="18" t="str">
        <f>Pospago[[#This Row],[TIPO_MOVIMIENTO]]&amp;" "&amp;Pospago[[#This Row],[FORMA_PAGO_FINAL]]</f>
        <v>ALTAS DOMICILIADO</v>
      </c>
      <c r="BC413" s="18">
        <f>DAY(Pospago[[#This Row],[FECHA_ALTA]])</f>
        <v>1</v>
      </c>
      <c r="BD413" s="18">
        <f>IF(Pospago[[#This Row],[TARIFA_BASICA]]=11.42,1,0)</f>
        <v>0</v>
      </c>
      <c r="BE413" s="18">
        <f>IF(Pospago[[#This Row],[PLANES TELEVENTAS]]="SI",1,0)</f>
        <v>1</v>
      </c>
      <c r="BF413" s="18">
        <f>1</f>
        <v>1</v>
      </c>
      <c r="BG413" s="18">
        <f>IF(OR(Pospago[[#This Row],[TARIFA_BASICA]]=11.42,Pospago[[#This Row],[PLANES TELEVENTAS]]="SI"),1,0)</f>
        <v>1</v>
      </c>
      <c r="BH413" s="18" t="str">
        <f>IF(MID(Pospago[[#This Row],[PlanDesc]],1,4) = "PLAN","POSPAGO",IF(MID(Pospago[[#This Row],[PlanDesc]],1,4)="FULL","FULL MEGAS","PREVIOPAGO"))</f>
        <v>PREVIOPAGO</v>
      </c>
      <c r="BI4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3" s="21">
        <f>Pospago[[#This Row],[TARIFA_BASICA]]*1.5</f>
        <v>21.419999999999998</v>
      </c>
    </row>
    <row r="414" spans="1:63" x14ac:dyDescent="0.25">
      <c r="A414" s="18" t="s">
        <v>64</v>
      </c>
      <c r="B414" s="18" t="s">
        <v>2775</v>
      </c>
      <c r="C414" s="18" t="s">
        <v>2776</v>
      </c>
      <c r="D414" s="19">
        <v>44908</v>
      </c>
      <c r="E414" s="18" t="s">
        <v>67</v>
      </c>
      <c r="F414" s="18" t="s">
        <v>2777</v>
      </c>
      <c r="G414" s="18" t="s">
        <v>2778</v>
      </c>
      <c r="H414" s="18" t="s">
        <v>70</v>
      </c>
      <c r="I414" s="18" t="s">
        <v>112</v>
      </c>
      <c r="J414" s="18" t="s">
        <v>113</v>
      </c>
      <c r="K414" s="18" t="s">
        <v>73</v>
      </c>
      <c r="L414" s="20" t="s">
        <v>2779</v>
      </c>
      <c r="M414" s="18" t="s">
        <v>75</v>
      </c>
      <c r="N414" s="20" t="s">
        <v>2780</v>
      </c>
      <c r="O414" s="18" t="s">
        <v>77</v>
      </c>
      <c r="P414" s="18" t="s">
        <v>78</v>
      </c>
      <c r="Q414" s="19">
        <v>44914</v>
      </c>
      <c r="R414" s="21">
        <v>17.850000000000001</v>
      </c>
      <c r="S414" s="18" t="s">
        <v>79</v>
      </c>
      <c r="T414" s="18" t="s">
        <v>148</v>
      </c>
      <c r="U414" s="18" t="s">
        <v>83</v>
      </c>
      <c r="V414" s="18" t="s">
        <v>95</v>
      </c>
      <c r="W414" s="18" t="s">
        <v>83</v>
      </c>
      <c r="X414" s="18" t="s">
        <v>215</v>
      </c>
      <c r="Y414" s="18" t="s">
        <v>85</v>
      </c>
      <c r="Z414" s="18" t="s">
        <v>86</v>
      </c>
      <c r="AA414" s="18" t="s">
        <v>87</v>
      </c>
      <c r="AB414" s="18" t="s">
        <v>610</v>
      </c>
      <c r="AC414" s="18" t="s">
        <v>611</v>
      </c>
      <c r="AD414" s="18" t="s">
        <v>85</v>
      </c>
      <c r="AE414" s="18" t="s">
        <v>90</v>
      </c>
      <c r="AF414" s="18" t="s">
        <v>151</v>
      </c>
      <c r="AG414" s="18" t="s">
        <v>92</v>
      </c>
      <c r="AH414" s="18" t="s">
        <v>93</v>
      </c>
      <c r="AI414" s="18" t="s">
        <v>94</v>
      </c>
      <c r="AJ414" s="19">
        <v>44908</v>
      </c>
      <c r="AK414" s="22" t="s">
        <v>95</v>
      </c>
      <c r="AL414" s="18" t="s">
        <v>95</v>
      </c>
      <c r="AM414" s="18" t="s">
        <v>95</v>
      </c>
      <c r="AN414" s="18" t="s">
        <v>95</v>
      </c>
      <c r="AO414" s="18" t="s">
        <v>95</v>
      </c>
      <c r="AP414" s="18" t="s">
        <v>95</v>
      </c>
      <c r="AQ414" s="18" t="s">
        <v>95</v>
      </c>
      <c r="AR414" s="18" t="s">
        <v>95</v>
      </c>
      <c r="AS414" s="18" t="s">
        <v>83</v>
      </c>
      <c r="AT414" s="18" t="s">
        <v>83</v>
      </c>
      <c r="AU414" s="18" t="s">
        <v>81</v>
      </c>
      <c r="AV414" s="18" t="s">
        <v>95</v>
      </c>
      <c r="AW414" s="18" t="s">
        <v>95</v>
      </c>
      <c r="AX414" s="18"/>
      <c r="AY414" s="18" t="str">
        <f>Pospago[[#This Row],[NUM_TELEFONICO]]&amp;"POSPAGOSI"</f>
        <v>984514910POSPAGOSI</v>
      </c>
      <c r="AZ414" s="18" t="str">
        <f>VLOOKUP(Pospago[[#This Row],[NOM_PLAZA_FINAL]],[1]!Locales[#Data],3,0)</f>
        <v>TIENDA CUENCA REMIGIO</v>
      </c>
      <c r="BA414" s="18" t="str">
        <f>IFERROR(VLOOKUP(Pospago[[#This Row],[USUARIO]],[1]!Personal[#Data],6,0),"EJECUTIVO NO REGISTRADO")</f>
        <v>PATIÑO TAPIA ANDRES SANTIAGO</v>
      </c>
      <c r="BB414" s="18" t="str">
        <f>Pospago[[#This Row],[TIPO_MOVIMIENTO]]&amp;" "&amp;Pospago[[#This Row],[FORMA_PAGO_FINAL]]</f>
        <v>ALTAS DOMICILIADO</v>
      </c>
      <c r="BC414" s="18">
        <f>DAY(Pospago[[#This Row],[FECHA_ALTA]])</f>
        <v>13</v>
      </c>
      <c r="BD414" s="18">
        <f>IF(Pospago[[#This Row],[TARIFA_BASICA]]=11.42,1,0)</f>
        <v>0</v>
      </c>
      <c r="BE414" s="18">
        <f>IF(Pospago[[#This Row],[PLANES TELEVENTAS]]="SI",1,0)</f>
        <v>0</v>
      </c>
      <c r="BF414" s="18">
        <f>1</f>
        <v>1</v>
      </c>
      <c r="BG414" s="18">
        <f>IF(OR(Pospago[[#This Row],[TARIFA_BASICA]]=11.42,Pospago[[#This Row],[PLANES TELEVENTAS]]="SI"),1,0)</f>
        <v>0</v>
      </c>
      <c r="BH414" s="18" t="str">
        <f>IF(MID(Pospago[[#This Row],[PlanDesc]],1,4) = "PLAN","POSPAGO",IF(MID(Pospago[[#This Row],[PlanDesc]],1,4)="FULL","FULL MEGAS","PREVIOPAGO"))</f>
        <v>PREVIOPAGO</v>
      </c>
      <c r="BI4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4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4" s="21">
        <f>Pospago[[#This Row],[TARIFA_BASICA]]*1.5</f>
        <v>26.775000000000002</v>
      </c>
    </row>
    <row r="415" spans="1:63" x14ac:dyDescent="0.25">
      <c r="A415" s="18" t="s">
        <v>154</v>
      </c>
      <c r="B415" s="18" t="s">
        <v>2781</v>
      </c>
      <c r="C415" s="18" t="s">
        <v>2782</v>
      </c>
      <c r="D415" s="19">
        <v>44907</v>
      </c>
      <c r="E415" s="18" t="s">
        <v>67</v>
      </c>
      <c r="F415" s="18" t="s">
        <v>2783</v>
      </c>
      <c r="G415" s="18" t="s">
        <v>2784</v>
      </c>
      <c r="H415" s="18" t="s">
        <v>159</v>
      </c>
      <c r="I415" s="18" t="s">
        <v>160</v>
      </c>
      <c r="J415" s="18" t="s">
        <v>161</v>
      </c>
      <c r="K415" s="18" t="s">
        <v>132</v>
      </c>
      <c r="L415" s="20" t="s">
        <v>2785</v>
      </c>
      <c r="M415" s="18" t="s">
        <v>287</v>
      </c>
      <c r="N415" s="20" t="s">
        <v>2786</v>
      </c>
      <c r="O415" s="18" t="s">
        <v>164</v>
      </c>
      <c r="P415" s="18" t="s">
        <v>78</v>
      </c>
      <c r="Q415" s="19">
        <v>44914</v>
      </c>
      <c r="R415" s="21">
        <v>14.28</v>
      </c>
      <c r="S415" s="18" t="s">
        <v>79</v>
      </c>
      <c r="T415" s="18" t="s">
        <v>232</v>
      </c>
      <c r="U415" s="18" t="s">
        <v>83</v>
      </c>
      <c r="V415" s="18" t="s">
        <v>95</v>
      </c>
      <c r="W415" s="18" t="s">
        <v>95</v>
      </c>
      <c r="X415" s="18" t="s">
        <v>118</v>
      </c>
      <c r="Y415" s="18" t="s">
        <v>85</v>
      </c>
      <c r="Z415" s="18" t="s">
        <v>86</v>
      </c>
      <c r="AA415" s="18" t="s">
        <v>119</v>
      </c>
      <c r="AB415" s="18" t="s">
        <v>233</v>
      </c>
      <c r="AC415" s="18" t="s">
        <v>234</v>
      </c>
      <c r="AD415" s="18" t="s">
        <v>85</v>
      </c>
      <c r="AE415" s="18" t="s">
        <v>90</v>
      </c>
      <c r="AF415" s="18" t="s">
        <v>235</v>
      </c>
      <c r="AG415" s="18" t="s">
        <v>139</v>
      </c>
      <c r="AH415" s="18" t="s">
        <v>165</v>
      </c>
      <c r="AI415" s="18" t="s">
        <v>94</v>
      </c>
      <c r="AJ415" s="19">
        <v>44907</v>
      </c>
      <c r="AK415" s="22" t="s">
        <v>95</v>
      </c>
      <c r="AL415" s="18" t="s">
        <v>95</v>
      </c>
      <c r="AM415" s="18" t="s">
        <v>95</v>
      </c>
      <c r="AN415" s="18" t="s">
        <v>95</v>
      </c>
      <c r="AO415" s="18" t="s">
        <v>95</v>
      </c>
      <c r="AP415" s="18" t="s">
        <v>95</v>
      </c>
      <c r="AQ415" s="18" t="s">
        <v>95</v>
      </c>
      <c r="AR415" s="18" t="s">
        <v>95</v>
      </c>
      <c r="AS415" s="18" t="s">
        <v>83</v>
      </c>
      <c r="AT415" s="18" t="s">
        <v>83</v>
      </c>
      <c r="AU415" s="18" t="s">
        <v>81</v>
      </c>
      <c r="AV415" s="18" t="s">
        <v>95</v>
      </c>
      <c r="AW415" s="18" t="s">
        <v>95</v>
      </c>
      <c r="AX415" s="18"/>
      <c r="AY415" s="18" t="str">
        <f>Pospago[[#This Row],[NUM_TELEFONICO]]&amp;"POSPAGOSI"</f>
        <v>984518359POSPAGOSI</v>
      </c>
      <c r="AZ415" s="18" t="str">
        <f>VLOOKUP(Pospago[[#This Row],[NOM_PLAZA_FINAL]],[1]!Locales[#Data],3,0)</f>
        <v>TIENDA CONDADO</v>
      </c>
      <c r="BA415" s="18" t="str">
        <f>IFERROR(VLOOKUP(Pospago[[#This Row],[USUARIO]],[1]!Personal[#Data],6,0),"EJECUTIVO NO REGISTRADO")</f>
        <v>ROSALES MALDONADO JESSICA GABRIELA</v>
      </c>
      <c r="BB415" s="18" t="str">
        <f>Pospago[[#This Row],[TIPO_MOVIMIENTO]]&amp;" "&amp;Pospago[[#This Row],[FORMA_PAGO_FINAL]]</f>
        <v>TRANSFERENCIAS PAGO EN CAJA</v>
      </c>
      <c r="BC415" s="18">
        <f>DAY(Pospago[[#This Row],[FECHA_ALTA]])</f>
        <v>12</v>
      </c>
      <c r="BD415" s="18">
        <f>IF(Pospago[[#This Row],[TARIFA_BASICA]]=11.42,1,0)</f>
        <v>0</v>
      </c>
      <c r="BE415" s="18">
        <f>IF(Pospago[[#This Row],[PLANES TELEVENTAS]]="SI",1,0)</f>
        <v>0</v>
      </c>
      <c r="BF415" s="18">
        <f>1</f>
        <v>1</v>
      </c>
      <c r="BG415" s="18">
        <f>IF(OR(Pospago[[#This Row],[TARIFA_BASICA]]=11.42,Pospago[[#This Row],[PLANES TELEVENTAS]]="SI"),1,0)</f>
        <v>0</v>
      </c>
      <c r="BH415" s="18" t="str">
        <f>IF(MID(Pospago[[#This Row],[PlanDesc]],1,4) = "PLAN","POSPAGO",IF(MID(Pospago[[#This Row],[PlanDesc]],1,4)="FULL","FULL MEGAS","PREVIOPAGO"))</f>
        <v>PREVIOPAGO</v>
      </c>
      <c r="BI4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5" s="21">
        <f>Pospago[[#This Row],[TARIFA_BASICA]]*1.5</f>
        <v>21.419999999999998</v>
      </c>
    </row>
    <row r="416" spans="1:63" x14ac:dyDescent="0.25">
      <c r="A416" s="18" t="s">
        <v>154</v>
      </c>
      <c r="B416" s="18" t="s">
        <v>2787</v>
      </c>
      <c r="C416" s="18" t="s">
        <v>2788</v>
      </c>
      <c r="D416" s="19">
        <v>44902</v>
      </c>
      <c r="E416" s="18" t="s">
        <v>67</v>
      </c>
      <c r="F416" s="18" t="s">
        <v>2789</v>
      </c>
      <c r="G416" s="18" t="s">
        <v>2790</v>
      </c>
      <c r="H416" s="18" t="s">
        <v>159</v>
      </c>
      <c r="I416" s="18" t="s">
        <v>160</v>
      </c>
      <c r="J416" s="18" t="s">
        <v>161</v>
      </c>
      <c r="K416" s="18" t="s">
        <v>259</v>
      </c>
      <c r="L416" s="20" t="s">
        <v>2791</v>
      </c>
      <c r="M416" s="18" t="s">
        <v>75</v>
      </c>
      <c r="N416" s="20" t="s">
        <v>2792</v>
      </c>
      <c r="O416" s="18" t="s">
        <v>164</v>
      </c>
      <c r="P416" s="18" t="s">
        <v>78</v>
      </c>
      <c r="Q416" s="19">
        <v>44914</v>
      </c>
      <c r="R416" s="21">
        <v>14.28</v>
      </c>
      <c r="S416" s="18" t="s">
        <v>79</v>
      </c>
      <c r="T416" s="18" t="s">
        <v>135</v>
      </c>
      <c r="U416" s="18" t="s">
        <v>83</v>
      </c>
      <c r="V416" s="18" t="s">
        <v>95</v>
      </c>
      <c r="W416" s="18" t="s">
        <v>95</v>
      </c>
      <c r="X416" s="18" t="s">
        <v>84</v>
      </c>
      <c r="Y416" s="18" t="s">
        <v>85</v>
      </c>
      <c r="Z416" s="18" t="s">
        <v>86</v>
      </c>
      <c r="AA416" s="18" t="s">
        <v>87</v>
      </c>
      <c r="AB416" s="18" t="s">
        <v>136</v>
      </c>
      <c r="AC416" s="18" t="s">
        <v>137</v>
      </c>
      <c r="AD416" s="18" t="s">
        <v>85</v>
      </c>
      <c r="AE416" s="18" t="s">
        <v>90</v>
      </c>
      <c r="AF416" s="18" t="s">
        <v>138</v>
      </c>
      <c r="AG416" s="18" t="s">
        <v>139</v>
      </c>
      <c r="AH416" s="18" t="s">
        <v>165</v>
      </c>
      <c r="AI416" s="18" t="s">
        <v>94</v>
      </c>
      <c r="AJ416" s="19">
        <v>44902</v>
      </c>
      <c r="AK416" s="22" t="s">
        <v>95</v>
      </c>
      <c r="AL416" s="18" t="s">
        <v>95</v>
      </c>
      <c r="AM416" s="18" t="s">
        <v>95</v>
      </c>
      <c r="AN416" s="18" t="s">
        <v>95</v>
      </c>
      <c r="AO416" s="18" t="s">
        <v>95</v>
      </c>
      <c r="AP416" s="18" t="s">
        <v>95</v>
      </c>
      <c r="AQ416" s="18" t="s">
        <v>95</v>
      </c>
      <c r="AR416" s="18" t="s">
        <v>95</v>
      </c>
      <c r="AS416" s="18" t="s">
        <v>83</v>
      </c>
      <c r="AT416" s="18" t="s">
        <v>83</v>
      </c>
      <c r="AU416" s="18" t="s">
        <v>81</v>
      </c>
      <c r="AV416" s="18" t="s">
        <v>95</v>
      </c>
      <c r="AW416" s="18" t="s">
        <v>95</v>
      </c>
      <c r="AX416" s="18"/>
      <c r="AY416" s="18" t="str">
        <f>Pospago[[#This Row],[NUM_TELEFONICO]]&amp;"POSPAGOSI"</f>
        <v>984521329POSPAGOSI</v>
      </c>
      <c r="AZ416" s="18" t="str">
        <f>VLOOKUP(Pospago[[#This Row],[NOM_PLAZA_FINAL]],[1]!Locales[#Data],3,0)</f>
        <v>TIENDA AMERICA</v>
      </c>
      <c r="BA416" s="18" t="str">
        <f>IFERROR(VLOOKUP(Pospago[[#This Row],[USUARIO]],[1]!Personal[#Data],6,0),"EJECUTIVO NO REGISTRADO")</f>
        <v>SALVATIERRA GUERRA JULIAN ENRIQUE</v>
      </c>
      <c r="BB416" s="18" t="str">
        <f>Pospago[[#This Row],[TIPO_MOVIMIENTO]]&amp;" "&amp;Pospago[[#This Row],[FORMA_PAGO_FINAL]]</f>
        <v>TRANSFERENCIAS DOMICILIADO</v>
      </c>
      <c r="BC416" s="18">
        <f>DAY(Pospago[[#This Row],[FECHA_ALTA]])</f>
        <v>7</v>
      </c>
      <c r="BD416" s="18">
        <f>IF(Pospago[[#This Row],[TARIFA_BASICA]]=11.42,1,0)</f>
        <v>0</v>
      </c>
      <c r="BE416" s="18">
        <f>IF(Pospago[[#This Row],[PLANES TELEVENTAS]]="SI",1,0)</f>
        <v>0</v>
      </c>
      <c r="BF416" s="18">
        <f>1</f>
        <v>1</v>
      </c>
      <c r="BG416" s="18">
        <f>IF(OR(Pospago[[#This Row],[TARIFA_BASICA]]=11.42,Pospago[[#This Row],[PLANES TELEVENTAS]]="SI"),1,0)</f>
        <v>0</v>
      </c>
      <c r="BH416" s="18" t="str">
        <f>IF(MID(Pospago[[#This Row],[PlanDesc]],1,4) = "PLAN","POSPAGO",IF(MID(Pospago[[#This Row],[PlanDesc]],1,4)="FULL","FULL MEGAS","PREVIOPAGO"))</f>
        <v>PREVIOPAGO</v>
      </c>
      <c r="BI4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6" s="21">
        <f>Pospago[[#This Row],[TARIFA_BASICA]]*1.5</f>
        <v>21.419999999999998</v>
      </c>
    </row>
    <row r="417" spans="1:63" x14ac:dyDescent="0.25">
      <c r="A417" s="18" t="s">
        <v>154</v>
      </c>
      <c r="B417" s="18" t="s">
        <v>2793</v>
      </c>
      <c r="C417" s="18" t="s">
        <v>2794</v>
      </c>
      <c r="D417" s="19">
        <v>44912</v>
      </c>
      <c r="E417" s="18" t="s">
        <v>67</v>
      </c>
      <c r="F417" s="18" t="s">
        <v>2795</v>
      </c>
      <c r="G417" s="18" t="s">
        <v>2796</v>
      </c>
      <c r="H417" s="18" t="s">
        <v>159</v>
      </c>
      <c r="I417" s="18" t="s">
        <v>160</v>
      </c>
      <c r="J417" s="18" t="s">
        <v>161</v>
      </c>
      <c r="K417" s="18" t="s">
        <v>1727</v>
      </c>
      <c r="L417" s="20" t="s">
        <v>2797</v>
      </c>
      <c r="M417" s="18" t="s">
        <v>287</v>
      </c>
      <c r="N417" s="20" t="s">
        <v>2798</v>
      </c>
      <c r="O417" s="18" t="s">
        <v>164</v>
      </c>
      <c r="P417" s="18" t="s">
        <v>78</v>
      </c>
      <c r="Q417" s="19">
        <v>44914</v>
      </c>
      <c r="R417" s="21">
        <v>14.28</v>
      </c>
      <c r="S417" s="18" t="s">
        <v>79</v>
      </c>
      <c r="T417" s="18" t="s">
        <v>148</v>
      </c>
      <c r="U417" s="18" t="s">
        <v>83</v>
      </c>
      <c r="V417" s="18" t="s">
        <v>95</v>
      </c>
      <c r="W417" s="18" t="s">
        <v>95</v>
      </c>
      <c r="X417" s="18" t="s">
        <v>84</v>
      </c>
      <c r="Y417" s="18" t="s">
        <v>85</v>
      </c>
      <c r="Z417" s="18" t="s">
        <v>86</v>
      </c>
      <c r="AA417" s="18" t="s">
        <v>87</v>
      </c>
      <c r="AB417" s="18" t="s">
        <v>318</v>
      </c>
      <c r="AC417" s="18" t="s">
        <v>319</v>
      </c>
      <c r="AD417" s="18" t="s">
        <v>85</v>
      </c>
      <c r="AE417" s="18" t="s">
        <v>90</v>
      </c>
      <c r="AF417" s="18" t="s">
        <v>151</v>
      </c>
      <c r="AG417" s="18" t="s">
        <v>92</v>
      </c>
      <c r="AH417" s="18" t="s">
        <v>165</v>
      </c>
      <c r="AI417" s="18" t="s">
        <v>94</v>
      </c>
      <c r="AJ417" s="19">
        <v>44912</v>
      </c>
      <c r="AK417" s="22" t="s">
        <v>95</v>
      </c>
      <c r="AL417" s="18" t="s">
        <v>95</v>
      </c>
      <c r="AM417" s="18" t="s">
        <v>95</v>
      </c>
      <c r="AN417" s="18" t="s">
        <v>95</v>
      </c>
      <c r="AO417" s="18" t="s">
        <v>95</v>
      </c>
      <c r="AP417" s="18" t="s">
        <v>95</v>
      </c>
      <c r="AQ417" s="18" t="s">
        <v>95</v>
      </c>
      <c r="AR417" s="18" t="s">
        <v>95</v>
      </c>
      <c r="AS417" s="18" t="s">
        <v>83</v>
      </c>
      <c r="AT417" s="18" t="s">
        <v>83</v>
      </c>
      <c r="AU417" s="18" t="s">
        <v>81</v>
      </c>
      <c r="AV417" s="18" t="s">
        <v>95</v>
      </c>
      <c r="AW417" s="18" t="s">
        <v>95</v>
      </c>
      <c r="AX417" s="18"/>
      <c r="AY417" s="18" t="str">
        <f>Pospago[[#This Row],[NUM_TELEFONICO]]&amp;"POSPAGOSI"</f>
        <v>984522822POSPAGOSI</v>
      </c>
      <c r="AZ417" s="18" t="str">
        <f>VLOOKUP(Pospago[[#This Row],[NOM_PLAZA_FINAL]],[1]!Locales[#Data],3,0)</f>
        <v>TIENDA CUENCA REMIGIO</v>
      </c>
      <c r="BA417" s="18" t="str">
        <f>IFERROR(VLOOKUP(Pospago[[#This Row],[USUARIO]],[1]!Personal[#Data],6,0),"EJECUTIVO NO REGISTRADO")</f>
        <v>RODRIGUEZ QUITO JESSICA GABRIELA</v>
      </c>
      <c r="BB417" s="18" t="str">
        <f>Pospago[[#This Row],[TIPO_MOVIMIENTO]]&amp;" "&amp;Pospago[[#This Row],[FORMA_PAGO_FINAL]]</f>
        <v>TRANSFERENCIAS DOMICILIADO</v>
      </c>
      <c r="BC417" s="18">
        <f>DAY(Pospago[[#This Row],[FECHA_ALTA]])</f>
        <v>17</v>
      </c>
      <c r="BD417" s="18">
        <f>IF(Pospago[[#This Row],[TARIFA_BASICA]]=11.42,1,0)</f>
        <v>0</v>
      </c>
      <c r="BE417" s="18">
        <f>IF(Pospago[[#This Row],[PLANES TELEVENTAS]]="SI",1,0)</f>
        <v>0</v>
      </c>
      <c r="BF417" s="18">
        <f>1</f>
        <v>1</v>
      </c>
      <c r="BG417" s="18">
        <f>IF(OR(Pospago[[#This Row],[TARIFA_BASICA]]=11.42,Pospago[[#This Row],[PLANES TELEVENTAS]]="SI"),1,0)</f>
        <v>0</v>
      </c>
      <c r="BH417" s="18" t="str">
        <f>IF(MID(Pospago[[#This Row],[PlanDesc]],1,4) = "PLAN","POSPAGO",IF(MID(Pospago[[#This Row],[PlanDesc]],1,4)="FULL","FULL MEGAS","PREVIOPAGO"))</f>
        <v>PREVIOPAGO</v>
      </c>
      <c r="BI4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7" s="21">
        <f>Pospago[[#This Row],[TARIFA_BASICA]]*1.5</f>
        <v>21.419999999999998</v>
      </c>
    </row>
    <row r="418" spans="1:63" x14ac:dyDescent="0.25">
      <c r="A418" s="18" t="s">
        <v>154</v>
      </c>
      <c r="B418" s="18" t="s">
        <v>2799</v>
      </c>
      <c r="C418" s="18" t="s">
        <v>2800</v>
      </c>
      <c r="D418" s="19">
        <v>44907</v>
      </c>
      <c r="E418" s="18" t="s">
        <v>67</v>
      </c>
      <c r="F418" s="18" t="s">
        <v>2801</v>
      </c>
      <c r="G418" s="18" t="s">
        <v>2802</v>
      </c>
      <c r="H418" s="18" t="s">
        <v>159</v>
      </c>
      <c r="I418" s="18" t="s">
        <v>160</v>
      </c>
      <c r="J418" s="18" t="s">
        <v>161</v>
      </c>
      <c r="K418" s="18" t="s">
        <v>95</v>
      </c>
      <c r="L418" s="20" t="s">
        <v>2803</v>
      </c>
      <c r="M418" s="18" t="s">
        <v>75</v>
      </c>
      <c r="N418" s="20" t="s">
        <v>2804</v>
      </c>
      <c r="O418" s="18" t="s">
        <v>164</v>
      </c>
      <c r="P418" s="18" t="s">
        <v>78</v>
      </c>
      <c r="Q418" s="19">
        <v>44914</v>
      </c>
      <c r="R418" s="21">
        <v>14.28</v>
      </c>
      <c r="S418" s="18" t="s">
        <v>79</v>
      </c>
      <c r="T418" s="18" t="s">
        <v>174</v>
      </c>
      <c r="U418" s="18" t="s">
        <v>83</v>
      </c>
      <c r="V418" s="18" t="s">
        <v>95</v>
      </c>
      <c r="W418" s="18" t="s">
        <v>95</v>
      </c>
      <c r="X418" s="18" t="s">
        <v>118</v>
      </c>
      <c r="Y418" s="18" t="s">
        <v>85</v>
      </c>
      <c r="Z418" s="18" t="s">
        <v>86</v>
      </c>
      <c r="AA418" s="18" t="s">
        <v>119</v>
      </c>
      <c r="AB418" s="18" t="s">
        <v>175</v>
      </c>
      <c r="AC418" s="18" t="s">
        <v>176</v>
      </c>
      <c r="AD418" s="18" t="s">
        <v>85</v>
      </c>
      <c r="AE418" s="18" t="s">
        <v>90</v>
      </c>
      <c r="AF418" s="18" t="s">
        <v>177</v>
      </c>
      <c r="AG418" s="18" t="s">
        <v>139</v>
      </c>
      <c r="AH418" s="18" t="s">
        <v>165</v>
      </c>
      <c r="AI418" s="18" t="s">
        <v>94</v>
      </c>
      <c r="AJ418" s="19">
        <v>44907</v>
      </c>
      <c r="AK418" s="22" t="s">
        <v>95</v>
      </c>
      <c r="AL418" s="18" t="s">
        <v>95</v>
      </c>
      <c r="AM418" s="18" t="s">
        <v>95</v>
      </c>
      <c r="AN418" s="18" t="s">
        <v>95</v>
      </c>
      <c r="AO418" s="18" t="s">
        <v>95</v>
      </c>
      <c r="AP418" s="18" t="s">
        <v>95</v>
      </c>
      <c r="AQ418" s="18" t="s">
        <v>95</v>
      </c>
      <c r="AR418" s="18" t="s">
        <v>95</v>
      </c>
      <c r="AS418" s="18" t="s">
        <v>83</v>
      </c>
      <c r="AT418" s="18" t="s">
        <v>83</v>
      </c>
      <c r="AU418" s="18" t="s">
        <v>81</v>
      </c>
      <c r="AV418" s="18" t="s">
        <v>95</v>
      </c>
      <c r="AW418" s="18" t="s">
        <v>95</v>
      </c>
      <c r="AX418" s="18"/>
      <c r="AY418" s="18" t="str">
        <f>Pospago[[#This Row],[NUM_TELEFONICO]]&amp;"POSPAGOSI"</f>
        <v>984522975POSPAGOSI</v>
      </c>
      <c r="AZ418" s="18" t="str">
        <f>VLOOKUP(Pospago[[#This Row],[NOM_PLAZA_FINAL]],[1]!Locales[#Data],3,0)</f>
        <v>TIENDA RECREO</v>
      </c>
      <c r="BA418" s="18" t="str">
        <f>IFERROR(VLOOKUP(Pospago[[#This Row],[USUARIO]],[1]!Personal[#Data],6,0),"EJECUTIVO NO REGISTRADO")</f>
        <v>VARGAS REYES LUIS EDUARDO</v>
      </c>
      <c r="BB418" s="18" t="str">
        <f>Pospago[[#This Row],[TIPO_MOVIMIENTO]]&amp;" "&amp;Pospago[[#This Row],[FORMA_PAGO_FINAL]]</f>
        <v>TRANSFERENCIAS PAGO EN CAJA</v>
      </c>
      <c r="BC418" s="18">
        <f>DAY(Pospago[[#This Row],[FECHA_ALTA]])</f>
        <v>12</v>
      </c>
      <c r="BD418" s="18">
        <f>IF(Pospago[[#This Row],[TARIFA_BASICA]]=11.42,1,0)</f>
        <v>0</v>
      </c>
      <c r="BE418" s="18">
        <f>IF(Pospago[[#This Row],[PLANES TELEVENTAS]]="SI",1,0)</f>
        <v>0</v>
      </c>
      <c r="BF418" s="18">
        <f>1</f>
        <v>1</v>
      </c>
      <c r="BG418" s="18">
        <f>IF(OR(Pospago[[#This Row],[TARIFA_BASICA]]=11.42,Pospago[[#This Row],[PLANES TELEVENTAS]]="SI"),1,0)</f>
        <v>0</v>
      </c>
      <c r="BH418" s="18" t="str">
        <f>IF(MID(Pospago[[#This Row],[PlanDesc]],1,4) = "PLAN","POSPAGO",IF(MID(Pospago[[#This Row],[PlanDesc]],1,4)="FULL","FULL MEGAS","PREVIOPAGO"))</f>
        <v>PREVIOPAGO</v>
      </c>
      <c r="BI4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8" s="21">
        <f>Pospago[[#This Row],[TARIFA_BASICA]]*1.5</f>
        <v>21.419999999999998</v>
      </c>
    </row>
    <row r="419" spans="1:63" x14ac:dyDescent="0.25">
      <c r="A419" s="18" t="s">
        <v>154</v>
      </c>
      <c r="B419" s="18" t="s">
        <v>2805</v>
      </c>
      <c r="C419" s="18" t="s">
        <v>2806</v>
      </c>
      <c r="D419" s="19">
        <v>44905</v>
      </c>
      <c r="E419" s="18" t="s">
        <v>67</v>
      </c>
      <c r="F419" s="18" t="s">
        <v>2807</v>
      </c>
      <c r="G419" s="18" t="s">
        <v>2808</v>
      </c>
      <c r="H419" s="18" t="s">
        <v>159</v>
      </c>
      <c r="I419" s="18" t="s">
        <v>160</v>
      </c>
      <c r="J419" s="18" t="s">
        <v>161</v>
      </c>
      <c r="K419" s="18" t="s">
        <v>132</v>
      </c>
      <c r="L419" s="20" t="s">
        <v>2809</v>
      </c>
      <c r="M419" s="18" t="s">
        <v>75</v>
      </c>
      <c r="N419" s="20" t="s">
        <v>2810</v>
      </c>
      <c r="O419" s="18" t="s">
        <v>164</v>
      </c>
      <c r="P419" s="18" t="s">
        <v>78</v>
      </c>
      <c r="Q419" s="19">
        <v>44914</v>
      </c>
      <c r="R419" s="21">
        <v>14.28</v>
      </c>
      <c r="S419" s="18" t="s">
        <v>79</v>
      </c>
      <c r="T419" s="18" t="s">
        <v>174</v>
      </c>
      <c r="U419" s="18" t="s">
        <v>83</v>
      </c>
      <c r="V419" s="18" t="s">
        <v>95</v>
      </c>
      <c r="W419" s="18" t="s">
        <v>95</v>
      </c>
      <c r="X419" s="18" t="s">
        <v>118</v>
      </c>
      <c r="Y419" s="18" t="s">
        <v>85</v>
      </c>
      <c r="Z419" s="18" t="s">
        <v>86</v>
      </c>
      <c r="AA419" s="18" t="s">
        <v>119</v>
      </c>
      <c r="AB419" s="18" t="s">
        <v>760</v>
      </c>
      <c r="AC419" s="18" t="s">
        <v>761</v>
      </c>
      <c r="AD419" s="18" t="s">
        <v>85</v>
      </c>
      <c r="AE419" s="18" t="s">
        <v>90</v>
      </c>
      <c r="AF419" s="18" t="s">
        <v>177</v>
      </c>
      <c r="AG419" s="18" t="s">
        <v>139</v>
      </c>
      <c r="AH419" s="18" t="s">
        <v>165</v>
      </c>
      <c r="AI419" s="18" t="s">
        <v>94</v>
      </c>
      <c r="AJ419" s="19">
        <v>44905</v>
      </c>
      <c r="AK419" s="22" t="s">
        <v>95</v>
      </c>
      <c r="AL419" s="18" t="s">
        <v>95</v>
      </c>
      <c r="AM419" s="18" t="s">
        <v>95</v>
      </c>
      <c r="AN419" s="18" t="s">
        <v>95</v>
      </c>
      <c r="AO419" s="18" t="s">
        <v>95</v>
      </c>
      <c r="AP419" s="18" t="s">
        <v>95</v>
      </c>
      <c r="AQ419" s="18" t="s">
        <v>95</v>
      </c>
      <c r="AR419" s="18" t="s">
        <v>95</v>
      </c>
      <c r="AS419" s="18" t="s">
        <v>83</v>
      </c>
      <c r="AT419" s="18" t="s">
        <v>83</v>
      </c>
      <c r="AU419" s="18" t="s">
        <v>81</v>
      </c>
      <c r="AV419" s="18" t="s">
        <v>95</v>
      </c>
      <c r="AW419" s="18" t="s">
        <v>95</v>
      </c>
      <c r="AX419" s="18"/>
      <c r="AY419" s="18" t="str">
        <f>Pospago[[#This Row],[NUM_TELEFONICO]]&amp;"POSPAGOSI"</f>
        <v>984525785POSPAGOSI</v>
      </c>
      <c r="AZ419" s="18" t="str">
        <f>VLOOKUP(Pospago[[#This Row],[NOM_PLAZA_FINAL]],[1]!Locales[#Data],3,0)</f>
        <v>TIENDA RECREO</v>
      </c>
      <c r="BA419" s="18" t="str">
        <f>IFERROR(VLOOKUP(Pospago[[#This Row],[USUARIO]],[1]!Personal[#Data],6,0),"EJECUTIVO NO REGISTRADO")</f>
        <v>VALBUENA SANCHEZ ALBERT ANTHONY</v>
      </c>
      <c r="BB419" s="18" t="str">
        <f>Pospago[[#This Row],[TIPO_MOVIMIENTO]]&amp;" "&amp;Pospago[[#This Row],[FORMA_PAGO_FINAL]]</f>
        <v>TRANSFERENCIAS PAGO EN CAJA</v>
      </c>
      <c r="BC419" s="18">
        <f>DAY(Pospago[[#This Row],[FECHA_ALTA]])</f>
        <v>10</v>
      </c>
      <c r="BD419" s="18">
        <f>IF(Pospago[[#This Row],[TARIFA_BASICA]]=11.42,1,0)</f>
        <v>0</v>
      </c>
      <c r="BE419" s="18">
        <f>IF(Pospago[[#This Row],[PLANES TELEVENTAS]]="SI",1,0)</f>
        <v>0</v>
      </c>
      <c r="BF419" s="18">
        <f>1</f>
        <v>1</v>
      </c>
      <c r="BG419" s="18">
        <f>IF(OR(Pospago[[#This Row],[TARIFA_BASICA]]=11.42,Pospago[[#This Row],[PLANES TELEVENTAS]]="SI"),1,0)</f>
        <v>0</v>
      </c>
      <c r="BH419" s="18" t="str">
        <f>IF(MID(Pospago[[#This Row],[PlanDesc]],1,4) = "PLAN","POSPAGO",IF(MID(Pospago[[#This Row],[PlanDesc]],1,4)="FULL","FULL MEGAS","PREVIOPAGO"))</f>
        <v>PREVIOPAGO</v>
      </c>
      <c r="BI4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19" s="21">
        <f>Pospago[[#This Row],[TARIFA_BASICA]]*1.5</f>
        <v>21.419999999999998</v>
      </c>
    </row>
    <row r="420" spans="1:63" x14ac:dyDescent="0.25">
      <c r="A420" s="18" t="s">
        <v>64</v>
      </c>
      <c r="B420" s="18" t="s">
        <v>2811</v>
      </c>
      <c r="C420" s="18" t="s">
        <v>2812</v>
      </c>
      <c r="D420" s="19">
        <v>44904</v>
      </c>
      <c r="E420" s="18" t="s">
        <v>67</v>
      </c>
      <c r="F420" s="18" t="s">
        <v>2813</v>
      </c>
      <c r="G420" s="18" t="s">
        <v>2814</v>
      </c>
      <c r="H420" s="18" t="s">
        <v>70</v>
      </c>
      <c r="I420" s="18" t="s">
        <v>112</v>
      </c>
      <c r="J420" s="18" t="s">
        <v>113</v>
      </c>
      <c r="K420" s="18" t="s">
        <v>95</v>
      </c>
      <c r="L420" s="20" t="s">
        <v>2815</v>
      </c>
      <c r="M420" s="18" t="s">
        <v>75</v>
      </c>
      <c r="N420" s="20" t="s">
        <v>2816</v>
      </c>
      <c r="O420" s="18" t="s">
        <v>77</v>
      </c>
      <c r="P420" s="18" t="s">
        <v>78</v>
      </c>
      <c r="Q420" s="19">
        <v>44914</v>
      </c>
      <c r="R420" s="21">
        <v>17.850000000000001</v>
      </c>
      <c r="S420" s="18" t="s">
        <v>79</v>
      </c>
      <c r="T420" s="18" t="s">
        <v>174</v>
      </c>
      <c r="U420" s="18" t="s">
        <v>83</v>
      </c>
      <c r="V420" s="18" t="s">
        <v>95</v>
      </c>
      <c r="W420" s="18" t="s">
        <v>83</v>
      </c>
      <c r="X420" s="18" t="s">
        <v>118</v>
      </c>
      <c r="Y420" s="18" t="s">
        <v>85</v>
      </c>
      <c r="Z420" s="18" t="s">
        <v>86</v>
      </c>
      <c r="AA420" s="18" t="s">
        <v>119</v>
      </c>
      <c r="AB420" s="18" t="s">
        <v>175</v>
      </c>
      <c r="AC420" s="18" t="s">
        <v>176</v>
      </c>
      <c r="AD420" s="18" t="s">
        <v>85</v>
      </c>
      <c r="AE420" s="18" t="s">
        <v>90</v>
      </c>
      <c r="AF420" s="18" t="s">
        <v>177</v>
      </c>
      <c r="AG420" s="18" t="s">
        <v>139</v>
      </c>
      <c r="AH420" s="18" t="s">
        <v>93</v>
      </c>
      <c r="AI420" s="18" t="s">
        <v>94</v>
      </c>
      <c r="AJ420" s="19">
        <v>44904</v>
      </c>
      <c r="AK420" s="22" t="s">
        <v>95</v>
      </c>
      <c r="AL420" s="18" t="s">
        <v>95</v>
      </c>
      <c r="AM420" s="18" t="s">
        <v>95</v>
      </c>
      <c r="AN420" s="18" t="s">
        <v>95</v>
      </c>
      <c r="AO420" s="18" t="s">
        <v>95</v>
      </c>
      <c r="AP420" s="18" t="s">
        <v>95</v>
      </c>
      <c r="AQ420" s="18" t="s">
        <v>95</v>
      </c>
      <c r="AR420" s="18" t="s">
        <v>95</v>
      </c>
      <c r="AS420" s="18" t="s">
        <v>83</v>
      </c>
      <c r="AT420" s="18" t="s">
        <v>83</v>
      </c>
      <c r="AU420" s="18" t="s">
        <v>81</v>
      </c>
      <c r="AV420" s="18" t="s">
        <v>95</v>
      </c>
      <c r="AW420" s="18" t="s">
        <v>95</v>
      </c>
      <c r="AX420" s="18"/>
      <c r="AY420" s="18" t="str">
        <f>Pospago[[#This Row],[NUM_TELEFONICO]]&amp;"POSPAGOSI"</f>
        <v>984528791POSPAGOSI</v>
      </c>
      <c r="AZ420" s="18" t="str">
        <f>VLOOKUP(Pospago[[#This Row],[NOM_PLAZA_FINAL]],[1]!Locales[#Data],3,0)</f>
        <v>TIENDA RECREO</v>
      </c>
      <c r="BA420" s="18" t="str">
        <f>IFERROR(VLOOKUP(Pospago[[#This Row],[USUARIO]],[1]!Personal[#Data],6,0),"EJECUTIVO NO REGISTRADO")</f>
        <v>VARGAS REYES LUIS EDUARDO</v>
      </c>
      <c r="BB420" s="18" t="str">
        <f>Pospago[[#This Row],[TIPO_MOVIMIENTO]]&amp;" "&amp;Pospago[[#This Row],[FORMA_PAGO_FINAL]]</f>
        <v>ALTAS PAGO EN CAJA</v>
      </c>
      <c r="BC420" s="18">
        <f>DAY(Pospago[[#This Row],[FECHA_ALTA]])</f>
        <v>9</v>
      </c>
      <c r="BD420" s="18">
        <f>IF(Pospago[[#This Row],[TARIFA_BASICA]]=11.42,1,0)</f>
        <v>0</v>
      </c>
      <c r="BE420" s="18">
        <f>IF(Pospago[[#This Row],[PLANES TELEVENTAS]]="SI",1,0)</f>
        <v>0</v>
      </c>
      <c r="BF420" s="18">
        <f>1</f>
        <v>1</v>
      </c>
      <c r="BG420" s="18">
        <f>IF(OR(Pospago[[#This Row],[TARIFA_BASICA]]=11.42,Pospago[[#This Row],[PLANES TELEVENTAS]]="SI"),1,0)</f>
        <v>0</v>
      </c>
      <c r="BH420" s="18" t="str">
        <f>IF(MID(Pospago[[#This Row],[PlanDesc]],1,4) = "PLAN","POSPAGO",IF(MID(Pospago[[#This Row],[PlanDesc]],1,4)="FULL","FULL MEGAS","PREVIOPAGO"))</f>
        <v>PREVIOPAGO</v>
      </c>
      <c r="BI4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4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20" s="21">
        <f>Pospago[[#This Row],[TARIFA_BASICA]]*1.5</f>
        <v>26.775000000000002</v>
      </c>
    </row>
    <row r="421" spans="1:63" x14ac:dyDescent="0.25">
      <c r="A421" s="18" t="s">
        <v>154</v>
      </c>
      <c r="B421" s="18" t="s">
        <v>2817</v>
      </c>
      <c r="C421" s="18" t="s">
        <v>2818</v>
      </c>
      <c r="D421" s="19">
        <v>44899</v>
      </c>
      <c r="E421" s="18" t="s">
        <v>67</v>
      </c>
      <c r="F421" s="18" t="s">
        <v>2819</v>
      </c>
      <c r="G421" s="18" t="s">
        <v>2820</v>
      </c>
      <c r="H421" s="18" t="s">
        <v>159</v>
      </c>
      <c r="I421" s="18" t="s">
        <v>160</v>
      </c>
      <c r="J421" s="18" t="s">
        <v>161</v>
      </c>
      <c r="K421" s="18" t="s">
        <v>73</v>
      </c>
      <c r="L421" s="20" t="s">
        <v>2821</v>
      </c>
      <c r="M421" s="18" t="s">
        <v>75</v>
      </c>
      <c r="N421" s="20" t="s">
        <v>2822</v>
      </c>
      <c r="O421" s="18" t="s">
        <v>164</v>
      </c>
      <c r="P421" s="18" t="s">
        <v>78</v>
      </c>
      <c r="Q421" s="19">
        <v>44914</v>
      </c>
      <c r="R421" s="21">
        <v>14.28</v>
      </c>
      <c r="S421" s="18" t="s">
        <v>79</v>
      </c>
      <c r="T421" s="18" t="s">
        <v>174</v>
      </c>
      <c r="U421" s="18" t="s">
        <v>83</v>
      </c>
      <c r="V421" s="18" t="s">
        <v>95</v>
      </c>
      <c r="W421" s="18" t="s">
        <v>95</v>
      </c>
      <c r="X421" s="18" t="s">
        <v>84</v>
      </c>
      <c r="Y421" s="18" t="s">
        <v>85</v>
      </c>
      <c r="Z421" s="18" t="s">
        <v>86</v>
      </c>
      <c r="AA421" s="18" t="s">
        <v>87</v>
      </c>
      <c r="AB421" s="18" t="s">
        <v>369</v>
      </c>
      <c r="AC421" s="18" t="s">
        <v>370</v>
      </c>
      <c r="AD421" s="18" t="s">
        <v>85</v>
      </c>
      <c r="AE421" s="18" t="s">
        <v>90</v>
      </c>
      <c r="AF421" s="18" t="s">
        <v>177</v>
      </c>
      <c r="AG421" s="18" t="s">
        <v>139</v>
      </c>
      <c r="AH421" s="18" t="s">
        <v>165</v>
      </c>
      <c r="AI421" s="18" t="s">
        <v>94</v>
      </c>
      <c r="AJ421" s="19">
        <v>44899</v>
      </c>
      <c r="AK421" s="22" t="s">
        <v>95</v>
      </c>
      <c r="AL421" s="18" t="s">
        <v>95</v>
      </c>
      <c r="AM421" s="18" t="s">
        <v>95</v>
      </c>
      <c r="AN421" s="18" t="s">
        <v>95</v>
      </c>
      <c r="AO421" s="18" t="s">
        <v>95</v>
      </c>
      <c r="AP421" s="18" t="s">
        <v>95</v>
      </c>
      <c r="AQ421" s="18" t="s">
        <v>95</v>
      </c>
      <c r="AR421" s="18" t="s">
        <v>95</v>
      </c>
      <c r="AS421" s="18" t="s">
        <v>83</v>
      </c>
      <c r="AT421" s="18" t="s">
        <v>83</v>
      </c>
      <c r="AU421" s="18" t="s">
        <v>81</v>
      </c>
      <c r="AV421" s="18" t="s">
        <v>95</v>
      </c>
      <c r="AW421" s="18" t="s">
        <v>95</v>
      </c>
      <c r="AX421" s="18"/>
      <c r="AY421" s="18" t="str">
        <f>Pospago[[#This Row],[NUM_TELEFONICO]]&amp;"POSPAGOSI"</f>
        <v>984533886POSPAGOSI</v>
      </c>
      <c r="AZ421" s="18" t="str">
        <f>VLOOKUP(Pospago[[#This Row],[NOM_PLAZA_FINAL]],[1]!Locales[#Data],3,0)</f>
        <v>TIENDA RECREO</v>
      </c>
      <c r="BA421" s="18" t="str">
        <f>IFERROR(VLOOKUP(Pospago[[#This Row],[USUARIO]],[1]!Personal[#Data],6,0),"EJECUTIVO NO REGISTRADO")</f>
        <v>GUAIGUA REINOSO GENESIS CAROLINA</v>
      </c>
      <c r="BB421" s="18" t="str">
        <f>Pospago[[#This Row],[TIPO_MOVIMIENTO]]&amp;" "&amp;Pospago[[#This Row],[FORMA_PAGO_FINAL]]</f>
        <v>TRANSFERENCIAS DOMICILIADO</v>
      </c>
      <c r="BC421" s="18">
        <f>DAY(Pospago[[#This Row],[FECHA_ALTA]])</f>
        <v>4</v>
      </c>
      <c r="BD421" s="18">
        <f>IF(Pospago[[#This Row],[TARIFA_BASICA]]=11.42,1,0)</f>
        <v>0</v>
      </c>
      <c r="BE421" s="18">
        <f>IF(Pospago[[#This Row],[PLANES TELEVENTAS]]="SI",1,0)</f>
        <v>0</v>
      </c>
      <c r="BF421" s="18">
        <f>1</f>
        <v>1</v>
      </c>
      <c r="BG421" s="18">
        <f>IF(OR(Pospago[[#This Row],[TARIFA_BASICA]]=11.42,Pospago[[#This Row],[PLANES TELEVENTAS]]="SI"),1,0)</f>
        <v>0</v>
      </c>
      <c r="BH421" s="18" t="str">
        <f>IF(MID(Pospago[[#This Row],[PlanDesc]],1,4) = "PLAN","POSPAGO",IF(MID(Pospago[[#This Row],[PlanDesc]],1,4)="FULL","FULL MEGAS","PREVIOPAGO"))</f>
        <v>PREVIOPAGO</v>
      </c>
      <c r="BI4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21" s="21">
        <f>Pospago[[#This Row],[TARIFA_BASICA]]*1.5</f>
        <v>21.419999999999998</v>
      </c>
    </row>
    <row r="422" spans="1:63" x14ac:dyDescent="0.25">
      <c r="A422" s="18" t="s">
        <v>154</v>
      </c>
      <c r="B422" s="18" t="s">
        <v>2823</v>
      </c>
      <c r="C422" s="18" t="s">
        <v>2824</v>
      </c>
      <c r="D422" s="19">
        <v>44900</v>
      </c>
      <c r="E422" s="18" t="s">
        <v>67</v>
      </c>
      <c r="F422" s="18" t="s">
        <v>2825</v>
      </c>
      <c r="G422" s="18" t="s">
        <v>2826</v>
      </c>
      <c r="H422" s="18" t="s">
        <v>159</v>
      </c>
      <c r="I422" s="18" t="s">
        <v>71</v>
      </c>
      <c r="J422" s="18" t="s">
        <v>258</v>
      </c>
      <c r="K422" s="18" t="s">
        <v>73</v>
      </c>
      <c r="L422" s="20" t="s">
        <v>2827</v>
      </c>
      <c r="M422" s="18" t="s">
        <v>75</v>
      </c>
      <c r="N422" s="20" t="s">
        <v>2828</v>
      </c>
      <c r="O422" s="18" t="s">
        <v>164</v>
      </c>
      <c r="P422" s="18" t="s">
        <v>78</v>
      </c>
      <c r="Q422" s="19">
        <v>44914</v>
      </c>
      <c r="R422" s="21">
        <v>11.42</v>
      </c>
      <c r="S422" s="18" t="s">
        <v>79</v>
      </c>
      <c r="T422" s="18" t="s">
        <v>174</v>
      </c>
      <c r="U422" s="18" t="s">
        <v>83</v>
      </c>
      <c r="V422" s="18" t="s">
        <v>95</v>
      </c>
      <c r="W422" s="18" t="s">
        <v>95</v>
      </c>
      <c r="X422" s="18" t="s">
        <v>118</v>
      </c>
      <c r="Y422" s="18" t="s">
        <v>85</v>
      </c>
      <c r="Z422" s="18" t="s">
        <v>86</v>
      </c>
      <c r="AA422" s="18" t="s">
        <v>119</v>
      </c>
      <c r="AB422" s="18" t="s">
        <v>630</v>
      </c>
      <c r="AC422" s="18" t="s">
        <v>631</v>
      </c>
      <c r="AD422" s="18" t="s">
        <v>85</v>
      </c>
      <c r="AE422" s="18" t="s">
        <v>90</v>
      </c>
      <c r="AF422" s="18" t="s">
        <v>177</v>
      </c>
      <c r="AG422" s="18" t="s">
        <v>139</v>
      </c>
      <c r="AH422" s="18" t="s">
        <v>165</v>
      </c>
      <c r="AI422" s="18" t="s">
        <v>94</v>
      </c>
      <c r="AJ422" s="19">
        <v>44900</v>
      </c>
      <c r="AK422" s="22" t="s">
        <v>95</v>
      </c>
      <c r="AL422" s="18" t="s">
        <v>95</v>
      </c>
      <c r="AM422" s="18" t="s">
        <v>95</v>
      </c>
      <c r="AN422" s="18" t="s">
        <v>95</v>
      </c>
      <c r="AO422" s="18" t="s">
        <v>95</v>
      </c>
      <c r="AP422" s="18" t="s">
        <v>95</v>
      </c>
      <c r="AQ422" s="18" t="s">
        <v>95</v>
      </c>
      <c r="AR422" s="18" t="s">
        <v>95</v>
      </c>
      <c r="AS422" s="18" t="s">
        <v>83</v>
      </c>
      <c r="AT422" s="18" t="s">
        <v>83</v>
      </c>
      <c r="AU422" s="18" t="s">
        <v>81</v>
      </c>
      <c r="AV422" s="18" t="s">
        <v>95</v>
      </c>
      <c r="AW422" s="18" t="s">
        <v>95</v>
      </c>
      <c r="AX422" s="18"/>
      <c r="AY422" s="18" t="str">
        <f>Pospago[[#This Row],[NUM_TELEFONICO]]&amp;"POSPAGOSI"</f>
        <v>984536295POSPAGOSI</v>
      </c>
      <c r="AZ422" s="18" t="str">
        <f>VLOOKUP(Pospago[[#This Row],[NOM_PLAZA_FINAL]],[1]!Locales[#Data],3,0)</f>
        <v>TIENDA RECREO</v>
      </c>
      <c r="BA422" s="18" t="str">
        <f>IFERROR(VLOOKUP(Pospago[[#This Row],[USUARIO]],[1]!Personal[#Data],6,0),"EJECUTIVO NO REGISTRADO")</f>
        <v>LOAYZA AGUILAR JONATHAN FABIAN</v>
      </c>
      <c r="BB422" s="18" t="str">
        <f>Pospago[[#This Row],[TIPO_MOVIMIENTO]]&amp;" "&amp;Pospago[[#This Row],[FORMA_PAGO_FINAL]]</f>
        <v>TRANSFERENCIAS PAGO EN CAJA</v>
      </c>
      <c r="BC422" s="18">
        <f>DAY(Pospago[[#This Row],[FECHA_ALTA]])</f>
        <v>5</v>
      </c>
      <c r="BD422" s="18">
        <f>IF(Pospago[[#This Row],[TARIFA_BASICA]]=11.42,1,0)</f>
        <v>1</v>
      </c>
      <c r="BE422" s="18">
        <f>IF(Pospago[[#This Row],[PLANES TELEVENTAS]]="SI",1,0)</f>
        <v>0</v>
      </c>
      <c r="BF422" s="18">
        <f>1</f>
        <v>1</v>
      </c>
      <c r="BG422" s="18">
        <f>IF(OR(Pospago[[#This Row],[TARIFA_BASICA]]=11.42,Pospago[[#This Row],[PLANES TELEVENTAS]]="SI"),1,0)</f>
        <v>1</v>
      </c>
      <c r="BH422" s="18" t="str">
        <f>IF(MID(Pospago[[#This Row],[PlanDesc]],1,4) = "PLAN","POSPAGO",IF(MID(Pospago[[#This Row],[PlanDesc]],1,4)="FULL","FULL MEGAS","PREVIOPAGO"))</f>
        <v>PREVIOPAGO</v>
      </c>
      <c r="BI4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4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22" s="21">
        <f>Pospago[[#This Row],[TARIFA_BASICA]]*1.5</f>
        <v>17.13</v>
      </c>
    </row>
    <row r="423" spans="1:63" x14ac:dyDescent="0.25">
      <c r="A423" s="18" t="s">
        <v>64</v>
      </c>
      <c r="B423" s="18" t="s">
        <v>2829</v>
      </c>
      <c r="C423" s="18" t="s">
        <v>446</v>
      </c>
      <c r="D423" s="19">
        <v>44910</v>
      </c>
      <c r="E423" s="18" t="s">
        <v>67</v>
      </c>
      <c r="F423" s="18" t="s">
        <v>447</v>
      </c>
      <c r="G423" s="18" t="s">
        <v>448</v>
      </c>
      <c r="H423" s="18" t="s">
        <v>70</v>
      </c>
      <c r="I423" s="18" t="s">
        <v>112</v>
      </c>
      <c r="J423" s="18" t="s">
        <v>113</v>
      </c>
      <c r="K423" s="18" t="s">
        <v>132</v>
      </c>
      <c r="L423" s="20" t="s">
        <v>2830</v>
      </c>
      <c r="M423" s="18" t="s">
        <v>75</v>
      </c>
      <c r="N423" s="20" t="s">
        <v>2831</v>
      </c>
      <c r="O423" s="18" t="s">
        <v>77</v>
      </c>
      <c r="P423" s="18" t="s">
        <v>78</v>
      </c>
      <c r="Q423" s="19">
        <v>44914</v>
      </c>
      <c r="R423" s="21">
        <v>17.850000000000001</v>
      </c>
      <c r="S423" s="18" t="s">
        <v>79</v>
      </c>
      <c r="T423" s="18" t="s">
        <v>232</v>
      </c>
      <c r="U423" s="18" t="s">
        <v>83</v>
      </c>
      <c r="V423" s="18" t="s">
        <v>95</v>
      </c>
      <c r="W423" s="18" t="s">
        <v>83</v>
      </c>
      <c r="X423" s="18" t="s">
        <v>118</v>
      </c>
      <c r="Y423" s="18" t="s">
        <v>85</v>
      </c>
      <c r="Z423" s="18" t="s">
        <v>86</v>
      </c>
      <c r="AA423" s="18" t="s">
        <v>119</v>
      </c>
      <c r="AB423" s="18" t="s">
        <v>443</v>
      </c>
      <c r="AC423" s="18" t="s">
        <v>444</v>
      </c>
      <c r="AD423" s="18" t="s">
        <v>85</v>
      </c>
      <c r="AE423" s="18" t="s">
        <v>90</v>
      </c>
      <c r="AF423" s="18" t="s">
        <v>235</v>
      </c>
      <c r="AG423" s="18" t="s">
        <v>139</v>
      </c>
      <c r="AH423" s="18" t="s">
        <v>93</v>
      </c>
      <c r="AI423" s="18" t="s">
        <v>94</v>
      </c>
      <c r="AJ423" s="19">
        <v>44910</v>
      </c>
      <c r="AK423" s="22" t="s">
        <v>95</v>
      </c>
      <c r="AL423" s="18" t="s">
        <v>95</v>
      </c>
      <c r="AM423" s="18" t="s">
        <v>95</v>
      </c>
      <c r="AN423" s="18" t="s">
        <v>95</v>
      </c>
      <c r="AO423" s="18" t="s">
        <v>95</v>
      </c>
      <c r="AP423" s="18" t="s">
        <v>95</v>
      </c>
      <c r="AQ423" s="18" t="s">
        <v>95</v>
      </c>
      <c r="AR423" s="18" t="s">
        <v>95</v>
      </c>
      <c r="AS423" s="18" t="s">
        <v>83</v>
      </c>
      <c r="AT423" s="18" t="s">
        <v>83</v>
      </c>
      <c r="AU423" s="18" t="s">
        <v>81</v>
      </c>
      <c r="AV423" s="18" t="s">
        <v>95</v>
      </c>
      <c r="AW423" s="18" t="s">
        <v>95</v>
      </c>
      <c r="AX423" s="18"/>
      <c r="AY423" s="18" t="str">
        <f>Pospago[[#This Row],[NUM_TELEFONICO]]&amp;"POSPAGOSI"</f>
        <v>984540235POSPAGOSI</v>
      </c>
      <c r="AZ423" s="18" t="str">
        <f>VLOOKUP(Pospago[[#This Row],[NOM_PLAZA_FINAL]],[1]!Locales[#Data],3,0)</f>
        <v>TIENDA CONDADO</v>
      </c>
      <c r="BA423" s="18" t="str">
        <f>IFERROR(VLOOKUP(Pospago[[#This Row],[USUARIO]],[1]!Personal[#Data],6,0),"EJECUTIVO NO REGISTRADO")</f>
        <v>JARAMILLO ESPINOZA KENIA KATRINA</v>
      </c>
      <c r="BB423" s="18" t="str">
        <f>Pospago[[#This Row],[TIPO_MOVIMIENTO]]&amp;" "&amp;Pospago[[#This Row],[FORMA_PAGO_FINAL]]</f>
        <v>ALTAS PAGO EN CAJA</v>
      </c>
      <c r="BC423" s="18">
        <f>DAY(Pospago[[#This Row],[FECHA_ALTA]])</f>
        <v>15</v>
      </c>
      <c r="BD423" s="18">
        <f>IF(Pospago[[#This Row],[TARIFA_BASICA]]=11.42,1,0)</f>
        <v>0</v>
      </c>
      <c r="BE423" s="18">
        <f>IF(Pospago[[#This Row],[PLANES TELEVENTAS]]="SI",1,0)</f>
        <v>0</v>
      </c>
      <c r="BF423" s="18">
        <f>1</f>
        <v>1</v>
      </c>
      <c r="BG423" s="18">
        <f>IF(OR(Pospago[[#This Row],[TARIFA_BASICA]]=11.42,Pospago[[#This Row],[PLANES TELEVENTAS]]="SI"),1,0)</f>
        <v>0</v>
      </c>
      <c r="BH423" s="18" t="str">
        <f>IF(MID(Pospago[[#This Row],[PlanDesc]],1,4) = "PLAN","POSPAGO",IF(MID(Pospago[[#This Row],[PlanDesc]],1,4)="FULL","FULL MEGAS","PREVIOPAGO"))</f>
        <v>PREVIOPAGO</v>
      </c>
      <c r="BI4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4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23" s="21">
        <f>Pospago[[#This Row],[TARIFA_BASICA]]*1.5</f>
        <v>26.775000000000002</v>
      </c>
    </row>
    <row r="424" spans="1:63" x14ac:dyDescent="0.25">
      <c r="A424" s="18" t="s">
        <v>154</v>
      </c>
      <c r="B424" s="18" t="s">
        <v>2832</v>
      </c>
      <c r="C424" s="18" t="s">
        <v>2833</v>
      </c>
      <c r="D424" s="19">
        <v>44911</v>
      </c>
      <c r="E424" s="18" t="s">
        <v>67</v>
      </c>
      <c r="F424" s="18" t="s">
        <v>2834</v>
      </c>
      <c r="G424" s="18" t="s">
        <v>2835</v>
      </c>
      <c r="H424" s="18" t="s">
        <v>391</v>
      </c>
      <c r="I424" s="18" t="s">
        <v>712</v>
      </c>
      <c r="J424" s="18" t="s">
        <v>2836</v>
      </c>
      <c r="K424" s="18" t="s">
        <v>259</v>
      </c>
      <c r="L424" s="20" t="s">
        <v>2837</v>
      </c>
      <c r="M424" s="18" t="s">
        <v>75</v>
      </c>
      <c r="N424" s="20" t="s">
        <v>2838</v>
      </c>
      <c r="O424" s="18" t="s">
        <v>164</v>
      </c>
      <c r="P424" s="18" t="s">
        <v>78</v>
      </c>
      <c r="Q424" s="19">
        <v>44914</v>
      </c>
      <c r="R424" s="21">
        <v>17.850000000000001</v>
      </c>
      <c r="S424" s="18" t="s">
        <v>79</v>
      </c>
      <c r="T424" s="18" t="s">
        <v>174</v>
      </c>
      <c r="U424" s="18" t="s">
        <v>83</v>
      </c>
      <c r="V424" s="18" t="s">
        <v>95</v>
      </c>
      <c r="W424" s="18" t="s">
        <v>95</v>
      </c>
      <c r="X424" s="18" t="s">
        <v>84</v>
      </c>
      <c r="Y424" s="18" t="s">
        <v>85</v>
      </c>
      <c r="Z424" s="18" t="s">
        <v>86</v>
      </c>
      <c r="AA424" s="18" t="s">
        <v>87</v>
      </c>
      <c r="AB424" s="18" t="s">
        <v>822</v>
      </c>
      <c r="AC424" s="18" t="s">
        <v>823</v>
      </c>
      <c r="AD424" s="18" t="s">
        <v>85</v>
      </c>
      <c r="AE424" s="18" t="s">
        <v>90</v>
      </c>
      <c r="AF424" s="18" t="s">
        <v>177</v>
      </c>
      <c r="AG424" s="18" t="s">
        <v>139</v>
      </c>
      <c r="AH424" s="18" t="s">
        <v>165</v>
      </c>
      <c r="AI424" s="18" t="s">
        <v>94</v>
      </c>
      <c r="AJ424" s="19">
        <v>44911</v>
      </c>
      <c r="AK424" s="22" t="s">
        <v>95</v>
      </c>
      <c r="AL424" s="18" t="s">
        <v>95</v>
      </c>
      <c r="AM424" s="18" t="s">
        <v>95</v>
      </c>
      <c r="AN424" s="18" t="s">
        <v>95</v>
      </c>
      <c r="AO424" s="18" t="s">
        <v>95</v>
      </c>
      <c r="AP424" s="18" t="s">
        <v>95</v>
      </c>
      <c r="AQ424" s="18" t="s">
        <v>95</v>
      </c>
      <c r="AR424" s="18" t="s">
        <v>95</v>
      </c>
      <c r="AS424" s="18" t="s">
        <v>83</v>
      </c>
      <c r="AT424" s="18" t="s">
        <v>81</v>
      </c>
      <c r="AU424" s="18" t="s">
        <v>81</v>
      </c>
      <c r="AV424" s="18" t="s">
        <v>95</v>
      </c>
      <c r="AW424" s="18" t="s">
        <v>95</v>
      </c>
      <c r="AX424" s="18"/>
      <c r="AY424" s="18" t="str">
        <f>Pospago[[#This Row],[NUM_TELEFONICO]]&amp;"POSPAGOSI"</f>
        <v>984547242POSPAGOSI</v>
      </c>
      <c r="AZ424" s="18" t="str">
        <f>VLOOKUP(Pospago[[#This Row],[NOM_PLAZA_FINAL]],[1]!Locales[#Data],3,0)</f>
        <v>TIENDA RECREO</v>
      </c>
      <c r="BA424" s="18" t="str">
        <f>IFERROR(VLOOKUP(Pospago[[#This Row],[USUARIO]],[1]!Personal[#Data],6,0),"EJECUTIVO NO REGISTRADO")</f>
        <v>SALAS PARRA MARIA JOSE</v>
      </c>
      <c r="BB424" s="18" t="str">
        <f>Pospago[[#This Row],[TIPO_MOVIMIENTO]]&amp;" "&amp;Pospago[[#This Row],[FORMA_PAGO_FINAL]]</f>
        <v>TRANSFERENCIAS DOMICILIADO</v>
      </c>
      <c r="BC424" s="18">
        <f>DAY(Pospago[[#This Row],[FECHA_ALTA]])</f>
        <v>16</v>
      </c>
      <c r="BD424" s="18">
        <f>IF(Pospago[[#This Row],[TARIFA_BASICA]]=11.42,1,0)</f>
        <v>0</v>
      </c>
      <c r="BE424" s="18">
        <f>IF(Pospago[[#This Row],[PLANES TELEVENTAS]]="SI",1,0)</f>
        <v>1</v>
      </c>
      <c r="BF424" s="18">
        <f>1</f>
        <v>1</v>
      </c>
      <c r="BG424" s="18">
        <f>IF(OR(Pospago[[#This Row],[TARIFA_BASICA]]=11.42,Pospago[[#This Row],[PLANES TELEVENTAS]]="SI"),1,0)</f>
        <v>1</v>
      </c>
      <c r="BH424" s="18" t="str">
        <f>IF(MID(Pospago[[#This Row],[PlanDesc]],1,4) = "PLAN","POSPAGO",IF(MID(Pospago[[#This Row],[PlanDesc]],1,4)="FULL","FULL MEGAS","PREVIOPAGO"))</f>
        <v>PREVIOPAGO</v>
      </c>
      <c r="BI4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4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24" s="21">
        <f>Pospago[[#This Row],[TARIFA_BASICA]]*1.5</f>
        <v>26.775000000000002</v>
      </c>
    </row>
    <row r="425" spans="1:63" x14ac:dyDescent="0.25">
      <c r="A425" s="18" t="s">
        <v>64</v>
      </c>
      <c r="B425" s="18" t="s">
        <v>2839</v>
      </c>
      <c r="C425" s="18" t="s">
        <v>2840</v>
      </c>
      <c r="D425" s="19">
        <v>44904</v>
      </c>
      <c r="E425" s="18" t="s">
        <v>67</v>
      </c>
      <c r="F425" s="18" t="s">
        <v>2841</v>
      </c>
      <c r="G425" s="18" t="s">
        <v>2842</v>
      </c>
      <c r="H425" s="18" t="s">
        <v>70</v>
      </c>
      <c r="I425" s="18" t="s">
        <v>227</v>
      </c>
      <c r="J425" s="18" t="s">
        <v>228</v>
      </c>
      <c r="K425" s="18" t="s">
        <v>95</v>
      </c>
      <c r="L425" s="20" t="s">
        <v>2843</v>
      </c>
      <c r="M425" s="18" t="s">
        <v>75</v>
      </c>
      <c r="N425" s="20" t="s">
        <v>2844</v>
      </c>
      <c r="O425" s="18" t="s">
        <v>77</v>
      </c>
      <c r="P425" s="18" t="s">
        <v>78</v>
      </c>
      <c r="Q425" s="19">
        <v>44914</v>
      </c>
      <c r="R425" s="21">
        <v>21.42</v>
      </c>
      <c r="S425" s="18" t="s">
        <v>79</v>
      </c>
      <c r="T425" s="18" t="s">
        <v>80</v>
      </c>
      <c r="U425" s="18" t="s">
        <v>83</v>
      </c>
      <c r="V425" s="18" t="s">
        <v>95</v>
      </c>
      <c r="W425" s="18" t="s">
        <v>83</v>
      </c>
      <c r="X425" s="18" t="s">
        <v>84</v>
      </c>
      <c r="Y425" s="18" t="s">
        <v>85</v>
      </c>
      <c r="Z425" s="18" t="s">
        <v>86</v>
      </c>
      <c r="AA425" s="18" t="s">
        <v>87</v>
      </c>
      <c r="AB425" s="18" t="s">
        <v>289</v>
      </c>
      <c r="AC425" s="18" t="s">
        <v>290</v>
      </c>
      <c r="AD425" s="18" t="s">
        <v>85</v>
      </c>
      <c r="AE425" s="18" t="s">
        <v>90</v>
      </c>
      <c r="AF425" s="18" t="s">
        <v>91</v>
      </c>
      <c r="AG425" s="18" t="s">
        <v>92</v>
      </c>
      <c r="AH425" s="18" t="s">
        <v>93</v>
      </c>
      <c r="AI425" s="18" t="s">
        <v>94</v>
      </c>
      <c r="AJ425" s="19">
        <v>44904</v>
      </c>
      <c r="AK425" s="22" t="s">
        <v>95</v>
      </c>
      <c r="AL425" s="18" t="s">
        <v>95</v>
      </c>
      <c r="AM425" s="18" t="s">
        <v>95</v>
      </c>
      <c r="AN425" s="18" t="s">
        <v>95</v>
      </c>
      <c r="AO425" s="18" t="s">
        <v>95</v>
      </c>
      <c r="AP425" s="18" t="s">
        <v>95</v>
      </c>
      <c r="AQ425" s="18" t="s">
        <v>95</v>
      </c>
      <c r="AR425" s="18" t="s">
        <v>95</v>
      </c>
      <c r="AS425" s="18" t="s">
        <v>83</v>
      </c>
      <c r="AT425" s="18" t="s">
        <v>83</v>
      </c>
      <c r="AU425" s="18" t="s">
        <v>81</v>
      </c>
      <c r="AV425" s="18" t="s">
        <v>95</v>
      </c>
      <c r="AW425" s="18" t="s">
        <v>95</v>
      </c>
      <c r="AX425" s="18"/>
      <c r="AY425" s="18" t="str">
        <f>Pospago[[#This Row],[NUM_TELEFONICO]]&amp;"POSPAGOSI"</f>
        <v>984549561POSPAGOSI</v>
      </c>
      <c r="AZ425" s="18" t="str">
        <f>VLOOKUP(Pospago[[#This Row],[NOM_PLAZA_FINAL]],[1]!Locales[#Data],3,0)</f>
        <v>TIENDA CUENCA CENTRO</v>
      </c>
      <c r="BA425" s="18" t="str">
        <f>IFERROR(VLOOKUP(Pospago[[#This Row],[USUARIO]],[1]!Personal[#Data],6,0),"EJECUTIVO NO REGISTRADO")</f>
        <v>CALLE CHACA JORGE VINICIO</v>
      </c>
      <c r="BB425" s="18" t="str">
        <f>Pospago[[#This Row],[TIPO_MOVIMIENTO]]&amp;" "&amp;Pospago[[#This Row],[FORMA_PAGO_FINAL]]</f>
        <v>ALTAS DOMICILIADO</v>
      </c>
      <c r="BC425" s="18">
        <f>DAY(Pospago[[#This Row],[FECHA_ALTA]])</f>
        <v>9</v>
      </c>
      <c r="BD425" s="18">
        <f>IF(Pospago[[#This Row],[TARIFA_BASICA]]=11.42,1,0)</f>
        <v>0</v>
      </c>
      <c r="BE425" s="18">
        <f>IF(Pospago[[#This Row],[PLANES TELEVENTAS]]="SI",1,0)</f>
        <v>0</v>
      </c>
      <c r="BF425" s="18">
        <f>1</f>
        <v>1</v>
      </c>
      <c r="BG425" s="18">
        <f>IF(OR(Pospago[[#This Row],[TARIFA_BASICA]]=11.42,Pospago[[#This Row],[PLANES TELEVENTAS]]="SI"),1,0)</f>
        <v>0</v>
      </c>
      <c r="BH425" s="18" t="str">
        <f>IF(MID(Pospago[[#This Row],[PlanDesc]],1,4) = "PLAN","POSPAGO",IF(MID(Pospago[[#This Row],[PlanDesc]],1,4)="FULL","FULL MEGAS","PREVIOPAGO"))</f>
        <v>PREVIOPAGO</v>
      </c>
      <c r="BI4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4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25" s="21">
        <f>Pospago[[#This Row],[TARIFA_BASICA]]*1.5</f>
        <v>32.130000000000003</v>
      </c>
    </row>
    <row r="426" spans="1:63" x14ac:dyDescent="0.25">
      <c r="A426" s="18" t="s">
        <v>64</v>
      </c>
      <c r="B426" s="18" t="s">
        <v>2845</v>
      </c>
      <c r="C426" s="18" t="s">
        <v>2846</v>
      </c>
      <c r="D426" s="19">
        <v>44904</v>
      </c>
      <c r="E426" s="18" t="s">
        <v>67</v>
      </c>
      <c r="F426" s="18" t="s">
        <v>2847</v>
      </c>
      <c r="G426" s="18" t="s">
        <v>2848</v>
      </c>
      <c r="H426" s="18" t="s">
        <v>70</v>
      </c>
      <c r="I426" s="18" t="s">
        <v>183</v>
      </c>
      <c r="J426" s="18" t="s">
        <v>184</v>
      </c>
      <c r="K426" s="18" t="s">
        <v>132</v>
      </c>
      <c r="L426" s="20" t="s">
        <v>2849</v>
      </c>
      <c r="M426" s="18" t="s">
        <v>75</v>
      </c>
      <c r="N426" s="20" t="s">
        <v>2850</v>
      </c>
      <c r="O426" s="18" t="s">
        <v>768</v>
      </c>
      <c r="P426" s="18" t="s">
        <v>78</v>
      </c>
      <c r="Q426" s="19">
        <v>44914</v>
      </c>
      <c r="R426" s="21">
        <v>11.42</v>
      </c>
      <c r="S426" s="18" t="s">
        <v>79</v>
      </c>
      <c r="T426" s="18" t="s">
        <v>135</v>
      </c>
      <c r="U426" s="18" t="s">
        <v>83</v>
      </c>
      <c r="V426" s="18" t="s">
        <v>95</v>
      </c>
      <c r="W426" s="18" t="s">
        <v>83</v>
      </c>
      <c r="X426" s="18" t="s">
        <v>84</v>
      </c>
      <c r="Y426" s="18" t="s">
        <v>85</v>
      </c>
      <c r="Z426" s="18" t="s">
        <v>86</v>
      </c>
      <c r="AA426" s="18" t="s">
        <v>87</v>
      </c>
      <c r="AB426" s="18" t="s">
        <v>326</v>
      </c>
      <c r="AC426" s="18" t="s">
        <v>327</v>
      </c>
      <c r="AD426" s="18" t="s">
        <v>85</v>
      </c>
      <c r="AE426" s="18" t="s">
        <v>90</v>
      </c>
      <c r="AF426" s="18" t="s">
        <v>138</v>
      </c>
      <c r="AG426" s="18" t="s">
        <v>139</v>
      </c>
      <c r="AH426" s="18" t="s">
        <v>93</v>
      </c>
      <c r="AI426" s="18" t="s">
        <v>94</v>
      </c>
      <c r="AJ426" s="19">
        <v>44904</v>
      </c>
      <c r="AK426" s="22" t="s">
        <v>95</v>
      </c>
      <c r="AL426" s="18" t="s">
        <v>95</v>
      </c>
      <c r="AM426" s="18" t="s">
        <v>95</v>
      </c>
      <c r="AN426" s="18" t="s">
        <v>95</v>
      </c>
      <c r="AO426" s="18" t="s">
        <v>95</v>
      </c>
      <c r="AP426" s="18" t="s">
        <v>95</v>
      </c>
      <c r="AQ426" s="18" t="s">
        <v>95</v>
      </c>
      <c r="AR426" s="18" t="s">
        <v>95</v>
      </c>
      <c r="AS426" s="18" t="s">
        <v>83</v>
      </c>
      <c r="AT426" s="18" t="s">
        <v>83</v>
      </c>
      <c r="AU426" s="18" t="s">
        <v>83</v>
      </c>
      <c r="AV426" s="18" t="s">
        <v>95</v>
      </c>
      <c r="AW426" s="18" t="s">
        <v>95</v>
      </c>
      <c r="AX426" s="18"/>
      <c r="AY426" s="18" t="str">
        <f>Pospago[[#This Row],[NUM_TELEFONICO]]&amp;"POSPAGOSI"</f>
        <v>984550522POSPAGOSI</v>
      </c>
      <c r="AZ426" s="18" t="str">
        <f>VLOOKUP(Pospago[[#This Row],[NOM_PLAZA_FINAL]],[1]!Locales[#Data],3,0)</f>
        <v>TIENDA AMERICA</v>
      </c>
      <c r="BA426" s="18" t="str">
        <f>IFERROR(VLOOKUP(Pospago[[#This Row],[USUARIO]],[1]!Personal[#Data],6,0),"EJECUTIVO NO REGISTRADO")</f>
        <v>AMBULUDI ROLDAN GIANELLA GRIMANEZA</v>
      </c>
      <c r="BB426" s="18" t="str">
        <f>Pospago[[#This Row],[TIPO_MOVIMIENTO]]&amp;" "&amp;Pospago[[#This Row],[FORMA_PAGO_FINAL]]</f>
        <v>ALTAS DOMICILIADO</v>
      </c>
      <c r="BC426" s="18">
        <f>DAY(Pospago[[#This Row],[FECHA_ALTA]])</f>
        <v>9</v>
      </c>
      <c r="BD426" s="18">
        <f>IF(Pospago[[#This Row],[TARIFA_BASICA]]=11.42,1,0)</f>
        <v>1</v>
      </c>
      <c r="BE426" s="18">
        <f>IF(Pospago[[#This Row],[PLANES TELEVENTAS]]="SI",1,0)</f>
        <v>0</v>
      </c>
      <c r="BF426" s="18">
        <f>1</f>
        <v>1</v>
      </c>
      <c r="BG426" s="18">
        <f>IF(OR(Pospago[[#This Row],[TARIFA_BASICA]]=11.42,Pospago[[#This Row],[PLANES TELEVENTAS]]="SI"),1,0)</f>
        <v>1</v>
      </c>
      <c r="BH426" s="18" t="str">
        <f>IF(MID(Pospago[[#This Row],[PlanDesc]],1,4) = "PLAN","POSPAGO",IF(MID(Pospago[[#This Row],[PlanDesc]],1,4)="FULL","FULL MEGAS","PREVIOPAGO"))</f>
        <v>POSPAGO</v>
      </c>
      <c r="BI4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4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26" s="21">
        <f>Pospago[[#This Row],[TARIFA_BASICA]]*1.5</f>
        <v>17.13</v>
      </c>
    </row>
    <row r="427" spans="1:63" x14ac:dyDescent="0.25">
      <c r="A427" s="18" t="s">
        <v>64</v>
      </c>
      <c r="B427" s="18" t="s">
        <v>2851</v>
      </c>
      <c r="C427" s="18" t="s">
        <v>2852</v>
      </c>
      <c r="D427" s="19">
        <v>44911</v>
      </c>
      <c r="E427" s="18" t="s">
        <v>67</v>
      </c>
      <c r="F427" s="18" t="s">
        <v>2853</v>
      </c>
      <c r="G427" s="18" t="s">
        <v>2854</v>
      </c>
      <c r="H427" s="18" t="s">
        <v>70</v>
      </c>
      <c r="I427" s="18" t="s">
        <v>160</v>
      </c>
      <c r="J427" s="18" t="s">
        <v>195</v>
      </c>
      <c r="K427" s="18" t="s">
        <v>132</v>
      </c>
      <c r="L427" s="20" t="s">
        <v>2855</v>
      </c>
      <c r="M427" s="18" t="s">
        <v>75</v>
      </c>
      <c r="N427" s="20" t="s">
        <v>2856</v>
      </c>
      <c r="O427" s="18" t="s">
        <v>77</v>
      </c>
      <c r="P427" s="18" t="s">
        <v>78</v>
      </c>
      <c r="Q427" s="19">
        <v>44914</v>
      </c>
      <c r="R427" s="21">
        <v>14.28</v>
      </c>
      <c r="S427" s="18" t="s">
        <v>79</v>
      </c>
      <c r="T427" s="18" t="s">
        <v>174</v>
      </c>
      <c r="U427" s="18" t="s">
        <v>83</v>
      </c>
      <c r="V427" s="18" t="s">
        <v>95</v>
      </c>
      <c r="W427" s="18" t="s">
        <v>83</v>
      </c>
      <c r="X427" s="18" t="s">
        <v>84</v>
      </c>
      <c r="Y427" s="18" t="s">
        <v>85</v>
      </c>
      <c r="Z427" s="18" t="s">
        <v>86</v>
      </c>
      <c r="AA427" s="18" t="s">
        <v>87</v>
      </c>
      <c r="AB427" s="18" t="s">
        <v>926</v>
      </c>
      <c r="AC427" s="18" t="s">
        <v>927</v>
      </c>
      <c r="AD427" s="18" t="s">
        <v>85</v>
      </c>
      <c r="AE427" s="18" t="s">
        <v>90</v>
      </c>
      <c r="AF427" s="18" t="s">
        <v>177</v>
      </c>
      <c r="AG427" s="18" t="s">
        <v>139</v>
      </c>
      <c r="AH427" s="18" t="s">
        <v>93</v>
      </c>
      <c r="AI427" s="18" t="s">
        <v>94</v>
      </c>
      <c r="AJ427" s="19">
        <v>44911</v>
      </c>
      <c r="AK427" s="22" t="s">
        <v>95</v>
      </c>
      <c r="AL427" s="18" t="s">
        <v>95</v>
      </c>
      <c r="AM427" s="18" t="s">
        <v>95</v>
      </c>
      <c r="AN427" s="18" t="s">
        <v>95</v>
      </c>
      <c r="AO427" s="18" t="s">
        <v>95</v>
      </c>
      <c r="AP427" s="18" t="s">
        <v>95</v>
      </c>
      <c r="AQ427" s="18" t="s">
        <v>95</v>
      </c>
      <c r="AR427" s="18" t="s">
        <v>95</v>
      </c>
      <c r="AS427" s="18" t="s">
        <v>83</v>
      </c>
      <c r="AT427" s="18" t="s">
        <v>83</v>
      </c>
      <c r="AU427" s="18" t="s">
        <v>81</v>
      </c>
      <c r="AV427" s="18" t="s">
        <v>95</v>
      </c>
      <c r="AW427" s="18" t="s">
        <v>95</v>
      </c>
      <c r="AX427" s="18"/>
      <c r="AY427" s="18" t="str">
        <f>Pospago[[#This Row],[NUM_TELEFONICO]]&amp;"POSPAGOSI"</f>
        <v>984551351POSPAGOSI</v>
      </c>
      <c r="AZ427" s="18" t="str">
        <f>VLOOKUP(Pospago[[#This Row],[NOM_PLAZA_FINAL]],[1]!Locales[#Data],3,0)</f>
        <v>TIENDA RECREO</v>
      </c>
      <c r="BA427" s="18" t="str">
        <f>IFERROR(VLOOKUP(Pospago[[#This Row],[USUARIO]],[1]!Personal[#Data],6,0),"EJECUTIVO NO REGISTRADO")</f>
        <v>CABEZAS LOPEZ ROBERTO ALEJANDRO</v>
      </c>
      <c r="BB427" s="18" t="str">
        <f>Pospago[[#This Row],[TIPO_MOVIMIENTO]]&amp;" "&amp;Pospago[[#This Row],[FORMA_PAGO_FINAL]]</f>
        <v>ALTAS DOMICILIADO</v>
      </c>
      <c r="BC427" s="18">
        <f>DAY(Pospago[[#This Row],[FECHA_ALTA]])</f>
        <v>16</v>
      </c>
      <c r="BD427" s="18">
        <f>IF(Pospago[[#This Row],[TARIFA_BASICA]]=11.42,1,0)</f>
        <v>0</v>
      </c>
      <c r="BE427" s="18">
        <f>IF(Pospago[[#This Row],[PLANES TELEVENTAS]]="SI",1,0)</f>
        <v>0</v>
      </c>
      <c r="BF427" s="18">
        <f>1</f>
        <v>1</v>
      </c>
      <c r="BG427" s="18">
        <f>IF(OR(Pospago[[#This Row],[TARIFA_BASICA]]=11.42,Pospago[[#This Row],[PLANES TELEVENTAS]]="SI"),1,0)</f>
        <v>0</v>
      </c>
      <c r="BH427" s="18" t="str">
        <f>IF(MID(Pospago[[#This Row],[PlanDesc]],1,4) = "PLAN","POSPAGO",IF(MID(Pospago[[#This Row],[PlanDesc]],1,4)="FULL","FULL MEGAS","PREVIOPAGO"))</f>
        <v>PREVIOPAGO</v>
      </c>
      <c r="BI4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27" s="21">
        <f>Pospago[[#This Row],[TARIFA_BASICA]]*1.5</f>
        <v>21.419999999999998</v>
      </c>
    </row>
    <row r="428" spans="1:63" x14ac:dyDescent="0.25">
      <c r="A428" s="18" t="s">
        <v>64</v>
      </c>
      <c r="B428" s="18" t="s">
        <v>2857</v>
      </c>
      <c r="C428" s="18" t="s">
        <v>2858</v>
      </c>
      <c r="D428" s="19">
        <v>44900</v>
      </c>
      <c r="E428" s="18" t="s">
        <v>67</v>
      </c>
      <c r="F428" s="18" t="s">
        <v>2859</v>
      </c>
      <c r="G428" s="18" t="s">
        <v>2860</v>
      </c>
      <c r="H428" s="18" t="s">
        <v>70</v>
      </c>
      <c r="I428" s="18" t="s">
        <v>112</v>
      </c>
      <c r="J428" s="18" t="s">
        <v>113</v>
      </c>
      <c r="K428" s="18" t="s">
        <v>114</v>
      </c>
      <c r="L428" s="20" t="s">
        <v>2861</v>
      </c>
      <c r="M428" s="18" t="s">
        <v>75</v>
      </c>
      <c r="N428" s="20" t="s">
        <v>2862</v>
      </c>
      <c r="O428" s="18" t="s">
        <v>77</v>
      </c>
      <c r="P428" s="18" t="s">
        <v>78</v>
      </c>
      <c r="Q428" s="19">
        <v>44914</v>
      </c>
      <c r="R428" s="21">
        <v>17.850000000000001</v>
      </c>
      <c r="S428" s="18" t="s">
        <v>79</v>
      </c>
      <c r="T428" s="18" t="s">
        <v>117</v>
      </c>
      <c r="U428" s="18" t="s">
        <v>83</v>
      </c>
      <c r="V428" s="18" t="s">
        <v>95</v>
      </c>
      <c r="W428" s="18" t="s">
        <v>83</v>
      </c>
      <c r="X428" s="18" t="s">
        <v>118</v>
      </c>
      <c r="Y428" s="18" t="s">
        <v>85</v>
      </c>
      <c r="Z428" s="18" t="s">
        <v>86</v>
      </c>
      <c r="AA428" s="18" t="s">
        <v>119</v>
      </c>
      <c r="AB428" s="18" t="s">
        <v>120</v>
      </c>
      <c r="AC428" s="18" t="s">
        <v>121</v>
      </c>
      <c r="AD428" s="18" t="s">
        <v>85</v>
      </c>
      <c r="AE428" s="18" t="s">
        <v>90</v>
      </c>
      <c r="AF428" s="18" t="s">
        <v>122</v>
      </c>
      <c r="AG428" s="18" t="s">
        <v>92</v>
      </c>
      <c r="AH428" s="18" t="s">
        <v>93</v>
      </c>
      <c r="AI428" s="18" t="s">
        <v>94</v>
      </c>
      <c r="AJ428" s="19">
        <v>44900</v>
      </c>
      <c r="AK428" s="22" t="s">
        <v>95</v>
      </c>
      <c r="AL428" s="18" t="s">
        <v>95</v>
      </c>
      <c r="AM428" s="18" t="s">
        <v>95</v>
      </c>
      <c r="AN428" s="18" t="s">
        <v>95</v>
      </c>
      <c r="AO428" s="18" t="s">
        <v>95</v>
      </c>
      <c r="AP428" s="18" t="s">
        <v>95</v>
      </c>
      <c r="AQ428" s="18" t="s">
        <v>95</v>
      </c>
      <c r="AR428" s="18" t="s">
        <v>95</v>
      </c>
      <c r="AS428" s="18" t="s">
        <v>83</v>
      </c>
      <c r="AT428" s="18" t="s">
        <v>83</v>
      </c>
      <c r="AU428" s="18" t="s">
        <v>81</v>
      </c>
      <c r="AV428" s="18" t="s">
        <v>95</v>
      </c>
      <c r="AW428" s="18" t="s">
        <v>95</v>
      </c>
      <c r="AX428" s="18"/>
      <c r="AY428" s="18" t="str">
        <f>Pospago[[#This Row],[NUM_TELEFONICO]]&amp;"POSPAGOSI"</f>
        <v>984553967POSPAGOSI</v>
      </c>
      <c r="AZ428" s="18" t="str">
        <f>VLOOKUP(Pospago[[#This Row],[NOM_PLAZA_FINAL]],[1]!Locales[#Data],3,0)</f>
        <v>TIENDA MACHALA</v>
      </c>
      <c r="BA428" s="18" t="str">
        <f>IFERROR(VLOOKUP(Pospago[[#This Row],[USUARIO]],[1]!Personal[#Data],6,0),"EJECUTIVO NO REGISTRADO")</f>
        <v>ARROBO VICENTE YADIRA ESPERANZA</v>
      </c>
      <c r="BB428" s="18" t="str">
        <f>Pospago[[#This Row],[TIPO_MOVIMIENTO]]&amp;" "&amp;Pospago[[#This Row],[FORMA_PAGO_FINAL]]</f>
        <v>ALTAS PAGO EN CAJA</v>
      </c>
      <c r="BC428" s="18">
        <f>DAY(Pospago[[#This Row],[FECHA_ALTA]])</f>
        <v>5</v>
      </c>
      <c r="BD428" s="18">
        <f>IF(Pospago[[#This Row],[TARIFA_BASICA]]=11.42,1,0)</f>
        <v>0</v>
      </c>
      <c r="BE428" s="18">
        <f>IF(Pospago[[#This Row],[PLANES TELEVENTAS]]="SI",1,0)</f>
        <v>0</v>
      </c>
      <c r="BF428" s="18">
        <f>1</f>
        <v>1</v>
      </c>
      <c r="BG428" s="18">
        <f>IF(OR(Pospago[[#This Row],[TARIFA_BASICA]]=11.42,Pospago[[#This Row],[PLANES TELEVENTAS]]="SI"),1,0)</f>
        <v>0</v>
      </c>
      <c r="BH428" s="18" t="str">
        <f>IF(MID(Pospago[[#This Row],[PlanDesc]],1,4) = "PLAN","POSPAGO",IF(MID(Pospago[[#This Row],[PlanDesc]],1,4)="FULL","FULL MEGAS","PREVIOPAGO"))</f>
        <v>PREVIOPAGO</v>
      </c>
      <c r="BI4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18.911999999999999</v>
      </c>
      <c r="BJ4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28" s="21">
        <f>Pospago[[#This Row],[TARIFA_BASICA]]*1.5</f>
        <v>26.775000000000002</v>
      </c>
    </row>
    <row r="429" spans="1:63" x14ac:dyDescent="0.25">
      <c r="A429" s="18" t="s">
        <v>64</v>
      </c>
      <c r="B429" s="18" t="s">
        <v>2863</v>
      </c>
      <c r="C429" s="18" t="s">
        <v>2864</v>
      </c>
      <c r="D429" s="19">
        <v>44910</v>
      </c>
      <c r="E429" s="18" t="s">
        <v>67</v>
      </c>
      <c r="F429" s="18" t="s">
        <v>2865</v>
      </c>
      <c r="G429" s="18" t="s">
        <v>2866</v>
      </c>
      <c r="H429" s="18" t="s">
        <v>70</v>
      </c>
      <c r="I429" s="18" t="s">
        <v>1089</v>
      </c>
      <c r="J429" s="18" t="s">
        <v>1090</v>
      </c>
      <c r="K429" s="18" t="s">
        <v>73</v>
      </c>
      <c r="L429" s="20" t="s">
        <v>2867</v>
      </c>
      <c r="M429" s="18" t="s">
        <v>75</v>
      </c>
      <c r="N429" s="20" t="s">
        <v>2868</v>
      </c>
      <c r="O429" s="18" t="s">
        <v>77</v>
      </c>
      <c r="P429" s="18" t="s">
        <v>78</v>
      </c>
      <c r="Q429" s="19">
        <v>44914</v>
      </c>
      <c r="R429" s="21">
        <v>21.42</v>
      </c>
      <c r="S429" s="18" t="s">
        <v>79</v>
      </c>
      <c r="T429" s="18" t="s">
        <v>117</v>
      </c>
      <c r="U429" s="18" t="s">
        <v>81</v>
      </c>
      <c r="V429" s="18" t="s">
        <v>693</v>
      </c>
      <c r="W429" s="18" t="s">
        <v>83</v>
      </c>
      <c r="X429" s="18" t="s">
        <v>84</v>
      </c>
      <c r="Y429" s="18" t="s">
        <v>85</v>
      </c>
      <c r="Z429" s="18" t="s">
        <v>86</v>
      </c>
      <c r="AA429" s="18" t="s">
        <v>87</v>
      </c>
      <c r="AB429" s="18" t="s">
        <v>808</v>
      </c>
      <c r="AC429" s="18" t="s">
        <v>809</v>
      </c>
      <c r="AD429" s="18" t="s">
        <v>85</v>
      </c>
      <c r="AE429" s="18" t="s">
        <v>90</v>
      </c>
      <c r="AF429" s="18" t="s">
        <v>122</v>
      </c>
      <c r="AG429" s="18" t="s">
        <v>92</v>
      </c>
      <c r="AH429" s="18" t="s">
        <v>93</v>
      </c>
      <c r="AI429" s="18" t="s">
        <v>94</v>
      </c>
      <c r="AJ429" s="19">
        <v>44910</v>
      </c>
      <c r="AK429" s="22" t="s">
        <v>95</v>
      </c>
      <c r="AL429" s="18" t="s">
        <v>95</v>
      </c>
      <c r="AM429" s="18" t="s">
        <v>95</v>
      </c>
      <c r="AN429" s="18" t="s">
        <v>95</v>
      </c>
      <c r="AO429" s="18" t="s">
        <v>95</v>
      </c>
      <c r="AP429" s="18" t="s">
        <v>95</v>
      </c>
      <c r="AQ429" s="18" t="s">
        <v>95</v>
      </c>
      <c r="AR429" s="18" t="s">
        <v>95</v>
      </c>
      <c r="AS429" s="18" t="s">
        <v>83</v>
      </c>
      <c r="AT429" s="18" t="s">
        <v>81</v>
      </c>
      <c r="AU429" s="18" t="s">
        <v>83</v>
      </c>
      <c r="AV429" s="18" t="s">
        <v>95</v>
      </c>
      <c r="AW429" s="18" t="s">
        <v>95</v>
      </c>
      <c r="AX429" s="18"/>
      <c r="AY429" s="18" t="str">
        <f>Pospago[[#This Row],[NUM_TELEFONICO]]&amp;"POSPAGOSI"</f>
        <v>984567310POSPAGOSI</v>
      </c>
      <c r="AZ429" s="18" t="str">
        <f>VLOOKUP(Pospago[[#This Row],[NOM_PLAZA_FINAL]],[1]!Locales[#Data],3,0)</f>
        <v>TIENDA MACHALA</v>
      </c>
      <c r="BA429" s="18" t="str">
        <f>IFERROR(VLOOKUP(Pospago[[#This Row],[USUARIO]],[1]!Personal[#Data],6,0),"EJECUTIVO NO REGISTRADO")</f>
        <v>ALICIA ROMINA GONZALEZ SANDOYA</v>
      </c>
      <c r="BB429" s="18" t="str">
        <f>Pospago[[#This Row],[TIPO_MOVIMIENTO]]&amp;" "&amp;Pospago[[#This Row],[FORMA_PAGO_FINAL]]</f>
        <v>ALTAS DOMICILIADO</v>
      </c>
      <c r="BC429" s="18">
        <f>DAY(Pospago[[#This Row],[FECHA_ALTA]])</f>
        <v>15</v>
      </c>
      <c r="BD429" s="18">
        <f>IF(Pospago[[#This Row],[TARIFA_BASICA]]=11.42,1,0)</f>
        <v>0</v>
      </c>
      <c r="BE429" s="18">
        <f>IF(Pospago[[#This Row],[PLANES TELEVENTAS]]="SI",1,0)</f>
        <v>1</v>
      </c>
      <c r="BF429" s="18">
        <f>1</f>
        <v>1</v>
      </c>
      <c r="BG429" s="18">
        <f>IF(OR(Pospago[[#This Row],[TARIFA_BASICA]]=11.42,Pospago[[#This Row],[PLANES TELEVENTAS]]="SI"),1,0)</f>
        <v>1</v>
      </c>
      <c r="BH429" s="18" t="str">
        <f>IF(MID(Pospago[[#This Row],[PlanDesc]],1,4) = "PLAN","POSPAGO",IF(MID(Pospago[[#This Row],[PlanDesc]],1,4)="FULL","FULL MEGAS","PREVIOPAGO"))</f>
        <v>POSPAGO</v>
      </c>
      <c r="BI4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36</v>
      </c>
      <c r="BJ4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29" s="21">
        <f>Pospago[[#This Row],[TARIFA_BASICA]]*1.5</f>
        <v>32.130000000000003</v>
      </c>
    </row>
    <row r="430" spans="1:63" x14ac:dyDescent="0.25">
      <c r="A430" s="18" t="s">
        <v>64</v>
      </c>
      <c r="B430" s="18" t="s">
        <v>2869</v>
      </c>
      <c r="C430" s="18" t="s">
        <v>2870</v>
      </c>
      <c r="D430" s="19">
        <v>44909</v>
      </c>
      <c r="E430" s="18" t="s">
        <v>67</v>
      </c>
      <c r="F430" s="18" t="s">
        <v>2871</v>
      </c>
      <c r="G430" s="18" t="s">
        <v>2872</v>
      </c>
      <c r="H430" s="18" t="s">
        <v>70</v>
      </c>
      <c r="I430" s="18" t="s">
        <v>130</v>
      </c>
      <c r="J430" s="18" t="s">
        <v>131</v>
      </c>
      <c r="K430" s="18" t="s">
        <v>132</v>
      </c>
      <c r="L430" s="20" t="s">
        <v>2873</v>
      </c>
      <c r="M430" s="18" t="s">
        <v>75</v>
      </c>
      <c r="N430" s="20" t="s">
        <v>2874</v>
      </c>
      <c r="O430" s="18" t="s">
        <v>77</v>
      </c>
      <c r="P430" s="18" t="s">
        <v>78</v>
      </c>
      <c r="Q430" s="19">
        <v>44914</v>
      </c>
      <c r="R430" s="21">
        <v>15</v>
      </c>
      <c r="S430" s="18" t="s">
        <v>79</v>
      </c>
      <c r="T430" s="18" t="s">
        <v>232</v>
      </c>
      <c r="U430" s="18" t="s">
        <v>83</v>
      </c>
      <c r="V430" s="18" t="s">
        <v>95</v>
      </c>
      <c r="W430" s="18" t="s">
        <v>83</v>
      </c>
      <c r="X430" s="18" t="s">
        <v>84</v>
      </c>
      <c r="Y430" s="18" t="s">
        <v>85</v>
      </c>
      <c r="Z430" s="18" t="s">
        <v>86</v>
      </c>
      <c r="AA430" s="18" t="s">
        <v>87</v>
      </c>
      <c r="AB430" s="18" t="s">
        <v>443</v>
      </c>
      <c r="AC430" s="18" t="s">
        <v>444</v>
      </c>
      <c r="AD430" s="18" t="s">
        <v>85</v>
      </c>
      <c r="AE430" s="18" t="s">
        <v>90</v>
      </c>
      <c r="AF430" s="18" t="s">
        <v>235</v>
      </c>
      <c r="AG430" s="18" t="s">
        <v>139</v>
      </c>
      <c r="AH430" s="18" t="s">
        <v>93</v>
      </c>
      <c r="AI430" s="18" t="s">
        <v>94</v>
      </c>
      <c r="AJ430" s="19">
        <v>44909</v>
      </c>
      <c r="AK430" s="22" t="s">
        <v>95</v>
      </c>
      <c r="AL430" s="18" t="s">
        <v>95</v>
      </c>
      <c r="AM430" s="18" t="s">
        <v>95</v>
      </c>
      <c r="AN430" s="18" t="s">
        <v>95</v>
      </c>
      <c r="AO430" s="18" t="s">
        <v>95</v>
      </c>
      <c r="AP430" s="18" t="s">
        <v>95</v>
      </c>
      <c r="AQ430" s="18" t="s">
        <v>95</v>
      </c>
      <c r="AR430" s="18" t="s">
        <v>95</v>
      </c>
      <c r="AS430" s="18" t="s">
        <v>83</v>
      </c>
      <c r="AT430" s="18" t="s">
        <v>83</v>
      </c>
      <c r="AU430" s="18" t="s">
        <v>81</v>
      </c>
      <c r="AV430" s="18" t="s">
        <v>95</v>
      </c>
      <c r="AW430" s="18" t="s">
        <v>95</v>
      </c>
      <c r="AX430" s="18"/>
      <c r="AY430" s="18" t="str">
        <f>Pospago[[#This Row],[NUM_TELEFONICO]]&amp;"POSPAGOSI"</f>
        <v>984571369POSPAGOSI</v>
      </c>
      <c r="AZ430" s="18" t="str">
        <f>VLOOKUP(Pospago[[#This Row],[NOM_PLAZA_FINAL]],[1]!Locales[#Data],3,0)</f>
        <v>TIENDA CONDADO</v>
      </c>
      <c r="BA430" s="18" t="str">
        <f>IFERROR(VLOOKUP(Pospago[[#This Row],[USUARIO]],[1]!Personal[#Data],6,0),"EJECUTIVO NO REGISTRADO")</f>
        <v>JARAMILLO ESPINOZA KENIA KATRINA</v>
      </c>
      <c r="BB430" s="18" t="str">
        <f>Pospago[[#This Row],[TIPO_MOVIMIENTO]]&amp;" "&amp;Pospago[[#This Row],[FORMA_PAGO_FINAL]]</f>
        <v>ALTAS DOMICILIADO</v>
      </c>
      <c r="BC430" s="18">
        <f>DAY(Pospago[[#This Row],[FECHA_ALTA]])</f>
        <v>14</v>
      </c>
      <c r="BD430" s="18">
        <f>IF(Pospago[[#This Row],[TARIFA_BASICA]]=11.42,1,0)</f>
        <v>0</v>
      </c>
      <c r="BE430" s="18">
        <f>IF(Pospago[[#This Row],[PLANES TELEVENTAS]]="SI",1,0)</f>
        <v>0</v>
      </c>
      <c r="BF430" s="18">
        <f>1</f>
        <v>1</v>
      </c>
      <c r="BG430" s="18">
        <f>IF(OR(Pospago[[#This Row],[TARIFA_BASICA]]=11.42,Pospago[[#This Row],[PLANES TELEVENTAS]]="SI"),1,0)</f>
        <v>0</v>
      </c>
      <c r="BH430" s="18" t="str">
        <f>IF(MID(Pospago[[#This Row],[PlanDesc]],1,4) = "PLAN","POSPAGO",IF(MID(Pospago[[#This Row],[PlanDesc]],1,4)="FULL","FULL MEGAS","PREVIOPAGO"))</f>
        <v>PREVIOPAGO</v>
      </c>
      <c r="BI4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4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30" s="21">
        <f>Pospago[[#This Row],[TARIFA_BASICA]]*1.5</f>
        <v>22.5</v>
      </c>
    </row>
    <row r="431" spans="1:63" x14ac:dyDescent="0.25">
      <c r="A431" s="18" t="s">
        <v>64</v>
      </c>
      <c r="B431" s="18" t="s">
        <v>2875</v>
      </c>
      <c r="C431" s="18" t="s">
        <v>2876</v>
      </c>
      <c r="D431" s="19">
        <v>44903</v>
      </c>
      <c r="E431" s="18" t="s">
        <v>67</v>
      </c>
      <c r="F431" s="18" t="s">
        <v>2877</v>
      </c>
      <c r="G431" s="18" t="s">
        <v>2878</v>
      </c>
      <c r="H431" s="18" t="s">
        <v>70</v>
      </c>
      <c r="I431" s="18" t="s">
        <v>160</v>
      </c>
      <c r="J431" s="18" t="s">
        <v>195</v>
      </c>
      <c r="K431" s="18" t="s">
        <v>132</v>
      </c>
      <c r="L431" s="20" t="s">
        <v>2879</v>
      </c>
      <c r="M431" s="18" t="s">
        <v>75</v>
      </c>
      <c r="N431" s="20" t="s">
        <v>2880</v>
      </c>
      <c r="O431" s="18" t="s">
        <v>77</v>
      </c>
      <c r="P431" s="18" t="s">
        <v>78</v>
      </c>
      <c r="Q431" s="19">
        <v>44914</v>
      </c>
      <c r="R431" s="21">
        <v>14.28</v>
      </c>
      <c r="S431" s="18" t="s">
        <v>79</v>
      </c>
      <c r="T431" s="18" t="s">
        <v>174</v>
      </c>
      <c r="U431" s="18" t="s">
        <v>83</v>
      </c>
      <c r="V431" s="18" t="s">
        <v>95</v>
      </c>
      <c r="W431" s="18" t="s">
        <v>83</v>
      </c>
      <c r="X431" s="18" t="s">
        <v>84</v>
      </c>
      <c r="Y431" s="18" t="s">
        <v>85</v>
      </c>
      <c r="Z431" s="18" t="s">
        <v>86</v>
      </c>
      <c r="AA431" s="18" t="s">
        <v>87</v>
      </c>
      <c r="AB431" s="18" t="s">
        <v>262</v>
      </c>
      <c r="AC431" s="18" t="s">
        <v>263</v>
      </c>
      <c r="AD431" s="18" t="s">
        <v>85</v>
      </c>
      <c r="AE431" s="18" t="s">
        <v>90</v>
      </c>
      <c r="AF431" s="18" t="s">
        <v>177</v>
      </c>
      <c r="AG431" s="18" t="s">
        <v>139</v>
      </c>
      <c r="AH431" s="18" t="s">
        <v>93</v>
      </c>
      <c r="AI431" s="18" t="s">
        <v>94</v>
      </c>
      <c r="AJ431" s="19">
        <v>44903</v>
      </c>
      <c r="AK431" s="22" t="s">
        <v>95</v>
      </c>
      <c r="AL431" s="18" t="s">
        <v>95</v>
      </c>
      <c r="AM431" s="18" t="s">
        <v>95</v>
      </c>
      <c r="AN431" s="18" t="s">
        <v>95</v>
      </c>
      <c r="AO431" s="18" t="s">
        <v>95</v>
      </c>
      <c r="AP431" s="18" t="s">
        <v>95</v>
      </c>
      <c r="AQ431" s="18" t="s">
        <v>95</v>
      </c>
      <c r="AR431" s="18" t="s">
        <v>95</v>
      </c>
      <c r="AS431" s="18" t="s">
        <v>83</v>
      </c>
      <c r="AT431" s="18" t="s">
        <v>83</v>
      </c>
      <c r="AU431" s="18" t="s">
        <v>81</v>
      </c>
      <c r="AV431" s="18" t="s">
        <v>95</v>
      </c>
      <c r="AW431" s="18" t="s">
        <v>95</v>
      </c>
      <c r="AX431" s="18"/>
      <c r="AY431" s="18" t="str">
        <f>Pospago[[#This Row],[NUM_TELEFONICO]]&amp;"POSPAGOSI"</f>
        <v>984577177POSPAGOSI</v>
      </c>
      <c r="AZ431" s="18" t="str">
        <f>VLOOKUP(Pospago[[#This Row],[NOM_PLAZA_FINAL]],[1]!Locales[#Data],3,0)</f>
        <v>TIENDA RECREO</v>
      </c>
      <c r="BA431" s="18" t="str">
        <f>IFERROR(VLOOKUP(Pospago[[#This Row],[USUARIO]],[1]!Personal[#Data],6,0),"EJECUTIVO NO REGISTRADO")</f>
        <v>CHICAIZA TOAPANTA ALEX DANILO</v>
      </c>
      <c r="BB431" s="18" t="str">
        <f>Pospago[[#This Row],[TIPO_MOVIMIENTO]]&amp;" "&amp;Pospago[[#This Row],[FORMA_PAGO_FINAL]]</f>
        <v>ALTAS DOMICILIADO</v>
      </c>
      <c r="BC431" s="18">
        <f>DAY(Pospago[[#This Row],[FECHA_ALTA]])</f>
        <v>8</v>
      </c>
      <c r="BD431" s="18">
        <f>IF(Pospago[[#This Row],[TARIFA_BASICA]]=11.42,1,0)</f>
        <v>0</v>
      </c>
      <c r="BE431" s="18">
        <f>IF(Pospago[[#This Row],[PLANES TELEVENTAS]]="SI",1,0)</f>
        <v>0</v>
      </c>
      <c r="BF431" s="18">
        <f>1</f>
        <v>1</v>
      </c>
      <c r="BG431" s="18">
        <f>IF(OR(Pospago[[#This Row],[TARIFA_BASICA]]=11.42,Pospago[[#This Row],[PLANES TELEVENTAS]]="SI"),1,0)</f>
        <v>0</v>
      </c>
      <c r="BH431" s="18" t="str">
        <f>IF(MID(Pospago[[#This Row],[PlanDesc]],1,4) = "PLAN","POSPAGO",IF(MID(Pospago[[#This Row],[PlanDesc]],1,4)="FULL","FULL MEGAS","PREVIOPAGO"))</f>
        <v>PREVIOPAGO</v>
      </c>
      <c r="BI4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31" s="21">
        <f>Pospago[[#This Row],[TARIFA_BASICA]]*1.5</f>
        <v>21.419999999999998</v>
      </c>
    </row>
    <row r="432" spans="1:63" x14ac:dyDescent="0.25">
      <c r="A432" s="18" t="s">
        <v>154</v>
      </c>
      <c r="B432" s="18" t="s">
        <v>2881</v>
      </c>
      <c r="C432" s="18" t="s">
        <v>2882</v>
      </c>
      <c r="D432" s="19">
        <v>44896</v>
      </c>
      <c r="E432" s="18" t="s">
        <v>67</v>
      </c>
      <c r="F432" s="18" t="s">
        <v>2883</v>
      </c>
      <c r="G432" s="18" t="s">
        <v>2884</v>
      </c>
      <c r="H432" s="18" t="s">
        <v>159</v>
      </c>
      <c r="I432" s="18" t="s">
        <v>71</v>
      </c>
      <c r="J432" s="18" t="s">
        <v>258</v>
      </c>
      <c r="K432" s="18" t="s">
        <v>73</v>
      </c>
      <c r="L432" s="20" t="s">
        <v>2885</v>
      </c>
      <c r="M432" s="18" t="s">
        <v>287</v>
      </c>
      <c r="N432" s="20" t="s">
        <v>2886</v>
      </c>
      <c r="O432" s="18" t="s">
        <v>164</v>
      </c>
      <c r="P432" s="18" t="s">
        <v>78</v>
      </c>
      <c r="Q432" s="19">
        <v>44914</v>
      </c>
      <c r="R432" s="21">
        <v>11.42</v>
      </c>
      <c r="S432" s="18" t="s">
        <v>79</v>
      </c>
      <c r="T432" s="18" t="s">
        <v>80</v>
      </c>
      <c r="U432" s="18" t="s">
        <v>83</v>
      </c>
      <c r="V432" s="18" t="s">
        <v>95</v>
      </c>
      <c r="W432" s="18" t="s">
        <v>95</v>
      </c>
      <c r="X432" s="18" t="s">
        <v>84</v>
      </c>
      <c r="Y432" s="18" t="s">
        <v>85</v>
      </c>
      <c r="Z432" s="18" t="s">
        <v>86</v>
      </c>
      <c r="AA432" s="18" t="s">
        <v>87</v>
      </c>
      <c r="AB432" s="18" t="s">
        <v>880</v>
      </c>
      <c r="AC432" s="18" t="s">
        <v>881</v>
      </c>
      <c r="AD432" s="18" t="s">
        <v>85</v>
      </c>
      <c r="AE432" s="18" t="s">
        <v>90</v>
      </c>
      <c r="AF432" s="18" t="s">
        <v>91</v>
      </c>
      <c r="AG432" s="18" t="s">
        <v>92</v>
      </c>
      <c r="AH432" s="18" t="s">
        <v>165</v>
      </c>
      <c r="AI432" s="18" t="s">
        <v>94</v>
      </c>
      <c r="AJ432" s="19">
        <v>44896</v>
      </c>
      <c r="AK432" s="22" t="s">
        <v>95</v>
      </c>
      <c r="AL432" s="18" t="s">
        <v>95</v>
      </c>
      <c r="AM432" s="18" t="s">
        <v>95</v>
      </c>
      <c r="AN432" s="18" t="s">
        <v>95</v>
      </c>
      <c r="AO432" s="18" t="s">
        <v>95</v>
      </c>
      <c r="AP432" s="18" t="s">
        <v>95</v>
      </c>
      <c r="AQ432" s="18" t="s">
        <v>95</v>
      </c>
      <c r="AR432" s="18" t="s">
        <v>95</v>
      </c>
      <c r="AS432" s="18" t="s">
        <v>83</v>
      </c>
      <c r="AT432" s="18" t="s">
        <v>83</v>
      </c>
      <c r="AU432" s="18" t="s">
        <v>81</v>
      </c>
      <c r="AV432" s="18" t="s">
        <v>95</v>
      </c>
      <c r="AW432" s="18" t="s">
        <v>95</v>
      </c>
      <c r="AX432" s="18"/>
      <c r="AY432" s="18" t="str">
        <f>Pospago[[#This Row],[NUM_TELEFONICO]]&amp;"POSPAGOSI"</f>
        <v>984586684POSPAGOSI</v>
      </c>
      <c r="AZ432" s="18" t="str">
        <f>VLOOKUP(Pospago[[#This Row],[NOM_PLAZA_FINAL]],[1]!Locales[#Data],3,0)</f>
        <v>TIENDA CUENCA CENTRO</v>
      </c>
      <c r="BA432" s="18" t="str">
        <f>IFERROR(VLOOKUP(Pospago[[#This Row],[USUARIO]],[1]!Personal[#Data],6,0),"EJECUTIVO NO REGISTRADO")</f>
        <v>LUNA JACHO ANDREA GABRIELA</v>
      </c>
      <c r="BB432" s="18" t="str">
        <f>Pospago[[#This Row],[TIPO_MOVIMIENTO]]&amp;" "&amp;Pospago[[#This Row],[FORMA_PAGO_FINAL]]</f>
        <v>TRANSFERENCIAS DOMICILIADO</v>
      </c>
      <c r="BC432" s="18">
        <f>DAY(Pospago[[#This Row],[FECHA_ALTA]])</f>
        <v>1</v>
      </c>
      <c r="BD432" s="18">
        <f>IF(Pospago[[#This Row],[TARIFA_BASICA]]=11.42,1,0)</f>
        <v>1</v>
      </c>
      <c r="BE432" s="18">
        <f>IF(Pospago[[#This Row],[PLANES TELEVENTAS]]="SI",1,0)</f>
        <v>0</v>
      </c>
      <c r="BF432" s="18">
        <f>1</f>
        <v>1</v>
      </c>
      <c r="BG432" s="18">
        <f>IF(OR(Pospago[[#This Row],[TARIFA_BASICA]]=11.42,Pospago[[#This Row],[PLANES TELEVENTAS]]="SI"),1,0)</f>
        <v>1</v>
      </c>
      <c r="BH432" s="18" t="str">
        <f>IF(MID(Pospago[[#This Row],[PlanDesc]],1,4) = "PLAN","POSPAGO",IF(MID(Pospago[[#This Row],[PlanDesc]],1,4)="FULL","FULL MEGAS","PREVIOPAGO"))</f>
        <v>PREVIOPAGO</v>
      </c>
      <c r="BI4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4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32" s="21">
        <f>Pospago[[#This Row],[TARIFA_BASICA]]*1.5</f>
        <v>17.13</v>
      </c>
    </row>
    <row r="433" spans="1:63" x14ac:dyDescent="0.25">
      <c r="A433" s="18" t="s">
        <v>154</v>
      </c>
      <c r="B433" s="18" t="s">
        <v>2887</v>
      </c>
      <c r="C433" s="18" t="s">
        <v>2888</v>
      </c>
      <c r="D433" s="19">
        <v>44905</v>
      </c>
      <c r="E433" s="18" t="s">
        <v>67</v>
      </c>
      <c r="F433" s="18" t="s">
        <v>2889</v>
      </c>
      <c r="G433" s="18" t="s">
        <v>2890</v>
      </c>
      <c r="H433" s="18" t="s">
        <v>159</v>
      </c>
      <c r="I433" s="18" t="s">
        <v>160</v>
      </c>
      <c r="J433" s="18" t="s">
        <v>161</v>
      </c>
      <c r="K433" s="18" t="s">
        <v>132</v>
      </c>
      <c r="L433" s="20" t="s">
        <v>2891</v>
      </c>
      <c r="M433" s="18" t="s">
        <v>75</v>
      </c>
      <c r="N433" s="20" t="s">
        <v>2892</v>
      </c>
      <c r="O433" s="18" t="s">
        <v>164</v>
      </c>
      <c r="P433" s="18" t="s">
        <v>78</v>
      </c>
      <c r="Q433" s="19">
        <v>44914</v>
      </c>
      <c r="R433" s="21">
        <v>14.28</v>
      </c>
      <c r="S433" s="18" t="s">
        <v>79</v>
      </c>
      <c r="T433" s="18" t="s">
        <v>174</v>
      </c>
      <c r="U433" s="18" t="s">
        <v>83</v>
      </c>
      <c r="V433" s="18" t="s">
        <v>95</v>
      </c>
      <c r="W433" s="18" t="s">
        <v>95</v>
      </c>
      <c r="X433" s="18" t="s">
        <v>84</v>
      </c>
      <c r="Y433" s="18" t="s">
        <v>85</v>
      </c>
      <c r="Z433" s="18" t="s">
        <v>86</v>
      </c>
      <c r="AA433" s="18" t="s">
        <v>87</v>
      </c>
      <c r="AB433" s="18" t="s">
        <v>760</v>
      </c>
      <c r="AC433" s="18" t="s">
        <v>761</v>
      </c>
      <c r="AD433" s="18" t="s">
        <v>85</v>
      </c>
      <c r="AE433" s="18" t="s">
        <v>90</v>
      </c>
      <c r="AF433" s="18" t="s">
        <v>177</v>
      </c>
      <c r="AG433" s="18" t="s">
        <v>139</v>
      </c>
      <c r="AH433" s="18" t="s">
        <v>165</v>
      </c>
      <c r="AI433" s="18" t="s">
        <v>94</v>
      </c>
      <c r="AJ433" s="19">
        <v>44905</v>
      </c>
      <c r="AK433" s="22" t="s">
        <v>95</v>
      </c>
      <c r="AL433" s="18" t="s">
        <v>95</v>
      </c>
      <c r="AM433" s="18" t="s">
        <v>95</v>
      </c>
      <c r="AN433" s="18" t="s">
        <v>95</v>
      </c>
      <c r="AO433" s="18" t="s">
        <v>95</v>
      </c>
      <c r="AP433" s="18" t="s">
        <v>95</v>
      </c>
      <c r="AQ433" s="18" t="s">
        <v>95</v>
      </c>
      <c r="AR433" s="18" t="s">
        <v>95</v>
      </c>
      <c r="AS433" s="18" t="s">
        <v>83</v>
      </c>
      <c r="AT433" s="18" t="s">
        <v>83</v>
      </c>
      <c r="AU433" s="18" t="s">
        <v>81</v>
      </c>
      <c r="AV433" s="18" t="s">
        <v>95</v>
      </c>
      <c r="AW433" s="18" t="s">
        <v>95</v>
      </c>
      <c r="AX433" s="18"/>
      <c r="AY433" s="18" t="str">
        <f>Pospago[[#This Row],[NUM_TELEFONICO]]&amp;"POSPAGOSI"</f>
        <v>984589230POSPAGOSI</v>
      </c>
      <c r="AZ433" s="18" t="str">
        <f>VLOOKUP(Pospago[[#This Row],[NOM_PLAZA_FINAL]],[1]!Locales[#Data],3,0)</f>
        <v>TIENDA RECREO</v>
      </c>
      <c r="BA433" s="18" t="str">
        <f>IFERROR(VLOOKUP(Pospago[[#This Row],[USUARIO]],[1]!Personal[#Data],6,0),"EJECUTIVO NO REGISTRADO")</f>
        <v>VALBUENA SANCHEZ ALBERT ANTHONY</v>
      </c>
      <c r="BB433" s="18" t="str">
        <f>Pospago[[#This Row],[TIPO_MOVIMIENTO]]&amp;" "&amp;Pospago[[#This Row],[FORMA_PAGO_FINAL]]</f>
        <v>TRANSFERENCIAS DOMICILIADO</v>
      </c>
      <c r="BC433" s="18">
        <f>DAY(Pospago[[#This Row],[FECHA_ALTA]])</f>
        <v>10</v>
      </c>
      <c r="BD433" s="18">
        <f>IF(Pospago[[#This Row],[TARIFA_BASICA]]=11.42,1,0)</f>
        <v>0</v>
      </c>
      <c r="BE433" s="18">
        <f>IF(Pospago[[#This Row],[PLANES TELEVENTAS]]="SI",1,0)</f>
        <v>0</v>
      </c>
      <c r="BF433" s="18">
        <f>1</f>
        <v>1</v>
      </c>
      <c r="BG433" s="18">
        <f>IF(OR(Pospago[[#This Row],[TARIFA_BASICA]]=11.42,Pospago[[#This Row],[PLANES TELEVENTAS]]="SI"),1,0)</f>
        <v>0</v>
      </c>
      <c r="BH433" s="18" t="str">
        <f>IF(MID(Pospago[[#This Row],[PlanDesc]],1,4) = "PLAN","POSPAGO",IF(MID(Pospago[[#This Row],[PlanDesc]],1,4)="FULL","FULL MEGAS","PREVIOPAGO"))</f>
        <v>PREVIOPAGO</v>
      </c>
      <c r="BI4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33" s="21">
        <f>Pospago[[#This Row],[TARIFA_BASICA]]*1.5</f>
        <v>21.419999999999998</v>
      </c>
    </row>
    <row r="434" spans="1:63" x14ac:dyDescent="0.25">
      <c r="A434" s="18" t="s">
        <v>154</v>
      </c>
      <c r="B434" s="18" t="s">
        <v>2893</v>
      </c>
      <c r="C434" s="18" t="s">
        <v>2894</v>
      </c>
      <c r="D434" s="19">
        <v>44908</v>
      </c>
      <c r="E434" s="18" t="s">
        <v>67</v>
      </c>
      <c r="F434" s="18" t="s">
        <v>2895</v>
      </c>
      <c r="G434" s="18" t="s">
        <v>2896</v>
      </c>
      <c r="H434" s="18" t="s">
        <v>159</v>
      </c>
      <c r="I434" s="18" t="s">
        <v>130</v>
      </c>
      <c r="J434" s="18" t="s">
        <v>433</v>
      </c>
      <c r="K434" s="18" t="s">
        <v>114</v>
      </c>
      <c r="L434" s="20" t="s">
        <v>2897</v>
      </c>
      <c r="M434" s="18" t="s">
        <v>75</v>
      </c>
      <c r="N434" s="20" t="s">
        <v>2898</v>
      </c>
      <c r="O434" s="18" t="s">
        <v>164</v>
      </c>
      <c r="P434" s="18" t="s">
        <v>78</v>
      </c>
      <c r="Q434" s="19">
        <v>44914</v>
      </c>
      <c r="R434" s="21">
        <v>15</v>
      </c>
      <c r="S434" s="18" t="s">
        <v>79</v>
      </c>
      <c r="T434" s="18" t="s">
        <v>117</v>
      </c>
      <c r="U434" s="18" t="s">
        <v>83</v>
      </c>
      <c r="V434" s="18" t="s">
        <v>95</v>
      </c>
      <c r="W434" s="18" t="s">
        <v>95</v>
      </c>
      <c r="X434" s="18" t="s">
        <v>84</v>
      </c>
      <c r="Y434" s="18" t="s">
        <v>85</v>
      </c>
      <c r="Z434" s="18" t="s">
        <v>86</v>
      </c>
      <c r="AA434" s="18" t="s">
        <v>87</v>
      </c>
      <c r="AB434" s="18" t="s">
        <v>1043</v>
      </c>
      <c r="AC434" s="18" t="s">
        <v>1044</v>
      </c>
      <c r="AD434" s="18" t="s">
        <v>85</v>
      </c>
      <c r="AE434" s="18" t="s">
        <v>90</v>
      </c>
      <c r="AF434" s="18" t="s">
        <v>122</v>
      </c>
      <c r="AG434" s="18" t="s">
        <v>92</v>
      </c>
      <c r="AH434" s="18" t="s">
        <v>165</v>
      </c>
      <c r="AI434" s="18" t="s">
        <v>94</v>
      </c>
      <c r="AJ434" s="19">
        <v>44908</v>
      </c>
      <c r="AK434" s="22" t="s">
        <v>95</v>
      </c>
      <c r="AL434" s="18" t="s">
        <v>95</v>
      </c>
      <c r="AM434" s="18" t="s">
        <v>95</v>
      </c>
      <c r="AN434" s="18" t="s">
        <v>95</v>
      </c>
      <c r="AO434" s="18" t="s">
        <v>95</v>
      </c>
      <c r="AP434" s="18" t="s">
        <v>95</v>
      </c>
      <c r="AQ434" s="18" t="s">
        <v>95</v>
      </c>
      <c r="AR434" s="18" t="s">
        <v>95</v>
      </c>
      <c r="AS434" s="18" t="s">
        <v>83</v>
      </c>
      <c r="AT434" s="18" t="s">
        <v>83</v>
      </c>
      <c r="AU434" s="18" t="s">
        <v>81</v>
      </c>
      <c r="AV434" s="18" t="s">
        <v>95</v>
      </c>
      <c r="AW434" s="18" t="s">
        <v>95</v>
      </c>
      <c r="AX434" s="18"/>
      <c r="AY434" s="18" t="str">
        <f>Pospago[[#This Row],[NUM_TELEFONICO]]&amp;"POSPAGOSI"</f>
        <v>984591792POSPAGOSI</v>
      </c>
      <c r="AZ434" s="18" t="str">
        <f>VLOOKUP(Pospago[[#This Row],[NOM_PLAZA_FINAL]],[1]!Locales[#Data],3,0)</f>
        <v>TIENDA MACHALA</v>
      </c>
      <c r="BA434" s="18" t="str">
        <f>IFERROR(VLOOKUP(Pospago[[#This Row],[USUARIO]],[1]!Personal[#Data],6,0),"EJECUTIVO NO REGISTRADO")</f>
        <v>GONZAGA YUPANGUI LIZBETH KATHERINE</v>
      </c>
      <c r="BB434" s="18" t="str">
        <f>Pospago[[#This Row],[TIPO_MOVIMIENTO]]&amp;" "&amp;Pospago[[#This Row],[FORMA_PAGO_FINAL]]</f>
        <v>TRANSFERENCIAS DOMICILIADO</v>
      </c>
      <c r="BC434" s="18">
        <f>DAY(Pospago[[#This Row],[FECHA_ALTA]])</f>
        <v>13</v>
      </c>
      <c r="BD434" s="18">
        <f>IF(Pospago[[#This Row],[TARIFA_BASICA]]=11.42,1,0)</f>
        <v>0</v>
      </c>
      <c r="BE434" s="18">
        <f>IF(Pospago[[#This Row],[PLANES TELEVENTAS]]="SI",1,0)</f>
        <v>0</v>
      </c>
      <c r="BF434" s="18">
        <f>1</f>
        <v>1</v>
      </c>
      <c r="BG434" s="18">
        <f>IF(OR(Pospago[[#This Row],[TARIFA_BASICA]]=11.42,Pospago[[#This Row],[PLANES TELEVENTAS]]="SI"),1,0)</f>
        <v>0</v>
      </c>
      <c r="BH434" s="18" t="str">
        <f>IF(MID(Pospago[[#This Row],[PlanDesc]],1,4) = "PLAN","POSPAGO",IF(MID(Pospago[[#This Row],[PlanDesc]],1,4)="FULL","FULL MEGAS","PREVIOPAGO"))</f>
        <v>PREVIOPAGO</v>
      </c>
      <c r="BI4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</v>
      </c>
      <c r="BJ4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34" s="21">
        <f>Pospago[[#This Row],[TARIFA_BASICA]]*1.5</f>
        <v>22.5</v>
      </c>
    </row>
    <row r="435" spans="1:63" x14ac:dyDescent="0.25">
      <c r="A435" s="18" t="s">
        <v>64</v>
      </c>
      <c r="B435" s="18" t="s">
        <v>2899</v>
      </c>
      <c r="C435" s="18" t="s">
        <v>2900</v>
      </c>
      <c r="D435" s="19">
        <v>44907</v>
      </c>
      <c r="E435" s="18" t="s">
        <v>67</v>
      </c>
      <c r="F435" s="18" t="s">
        <v>2901</v>
      </c>
      <c r="G435" s="18" t="s">
        <v>2902</v>
      </c>
      <c r="H435" s="18" t="s">
        <v>70</v>
      </c>
      <c r="I435" s="18" t="s">
        <v>515</v>
      </c>
      <c r="J435" s="18" t="s">
        <v>516</v>
      </c>
      <c r="K435" s="18" t="s">
        <v>95</v>
      </c>
      <c r="L435" s="20" t="s">
        <v>2903</v>
      </c>
      <c r="M435" s="18" t="s">
        <v>75</v>
      </c>
      <c r="N435" s="20" t="s">
        <v>2904</v>
      </c>
      <c r="O435" s="18" t="s">
        <v>231</v>
      </c>
      <c r="P435" s="18" t="s">
        <v>78</v>
      </c>
      <c r="Q435" s="19">
        <v>44914</v>
      </c>
      <c r="R435" s="21">
        <v>14.28</v>
      </c>
      <c r="S435" s="18" t="s">
        <v>79</v>
      </c>
      <c r="T435" s="18" t="s">
        <v>232</v>
      </c>
      <c r="U435" s="18" t="s">
        <v>83</v>
      </c>
      <c r="V435" s="18" t="s">
        <v>95</v>
      </c>
      <c r="W435" s="18" t="s">
        <v>83</v>
      </c>
      <c r="X435" s="18" t="s">
        <v>215</v>
      </c>
      <c r="Y435" s="18" t="s">
        <v>85</v>
      </c>
      <c r="Z435" s="18" t="s">
        <v>86</v>
      </c>
      <c r="AA435" s="18" t="s">
        <v>87</v>
      </c>
      <c r="AB435" s="18" t="s">
        <v>280</v>
      </c>
      <c r="AC435" s="18" t="s">
        <v>281</v>
      </c>
      <c r="AD435" s="18" t="s">
        <v>85</v>
      </c>
      <c r="AE435" s="18" t="s">
        <v>90</v>
      </c>
      <c r="AF435" s="18" t="s">
        <v>235</v>
      </c>
      <c r="AG435" s="18" t="s">
        <v>139</v>
      </c>
      <c r="AH435" s="18" t="s">
        <v>93</v>
      </c>
      <c r="AI435" s="18" t="s">
        <v>94</v>
      </c>
      <c r="AJ435" s="19">
        <v>44907</v>
      </c>
      <c r="AK435" s="22" t="s">
        <v>95</v>
      </c>
      <c r="AL435" s="18" t="s">
        <v>95</v>
      </c>
      <c r="AM435" s="18" t="s">
        <v>95</v>
      </c>
      <c r="AN435" s="18" t="s">
        <v>95</v>
      </c>
      <c r="AO435" s="18" t="s">
        <v>95</v>
      </c>
      <c r="AP435" s="18" t="s">
        <v>95</v>
      </c>
      <c r="AQ435" s="18" t="s">
        <v>95</v>
      </c>
      <c r="AR435" s="18" t="s">
        <v>95</v>
      </c>
      <c r="AS435" s="18" t="s">
        <v>83</v>
      </c>
      <c r="AT435" s="18" t="s">
        <v>81</v>
      </c>
      <c r="AU435" s="18" t="s">
        <v>83</v>
      </c>
      <c r="AV435" s="18" t="s">
        <v>95</v>
      </c>
      <c r="AW435" s="18" t="s">
        <v>95</v>
      </c>
      <c r="AX435" s="18"/>
      <c r="AY435" s="18" t="str">
        <f>Pospago[[#This Row],[NUM_TELEFONICO]]&amp;"POSPAGOSI"</f>
        <v>984601299POSPAGOSI</v>
      </c>
      <c r="AZ435" s="18" t="str">
        <f>VLOOKUP(Pospago[[#This Row],[NOM_PLAZA_FINAL]],[1]!Locales[#Data],3,0)</f>
        <v>TIENDA CONDADO</v>
      </c>
      <c r="BA435" s="18" t="str">
        <f>IFERROR(VLOOKUP(Pospago[[#This Row],[USUARIO]],[1]!Personal[#Data],6,0),"EJECUTIVO NO REGISTRADO")</f>
        <v>GUACHAMIN CAZA HUGO ADRIAN</v>
      </c>
      <c r="BB435" s="18" t="str">
        <f>Pospago[[#This Row],[TIPO_MOVIMIENTO]]&amp;" "&amp;Pospago[[#This Row],[FORMA_PAGO_FINAL]]</f>
        <v>ALTAS DOMICILIADO</v>
      </c>
      <c r="BC435" s="18">
        <f>DAY(Pospago[[#This Row],[FECHA_ALTA]])</f>
        <v>12</v>
      </c>
      <c r="BD435" s="18">
        <f>IF(Pospago[[#This Row],[TARIFA_BASICA]]=11.42,1,0)</f>
        <v>0</v>
      </c>
      <c r="BE435" s="18">
        <f>IF(Pospago[[#This Row],[PLANES TELEVENTAS]]="SI",1,0)</f>
        <v>1</v>
      </c>
      <c r="BF435" s="18">
        <f>1</f>
        <v>1</v>
      </c>
      <c r="BG435" s="18">
        <f>IF(OR(Pospago[[#This Row],[TARIFA_BASICA]]=11.42,Pospago[[#This Row],[PLANES TELEVENTAS]]="SI"),1,0)</f>
        <v>1</v>
      </c>
      <c r="BH435" s="18" t="str">
        <f>IF(MID(Pospago[[#This Row],[PlanDesc]],1,4) = "PLAN","POSPAGO",IF(MID(Pospago[[#This Row],[PlanDesc]],1,4)="FULL","FULL MEGAS","PREVIOPAGO"))</f>
        <v>POSPAGO</v>
      </c>
      <c r="BI4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35" s="21">
        <f>Pospago[[#This Row],[TARIFA_BASICA]]*1.5</f>
        <v>21.419999999999998</v>
      </c>
    </row>
    <row r="436" spans="1:63" x14ac:dyDescent="0.25">
      <c r="A436" s="18" t="s">
        <v>64</v>
      </c>
      <c r="B436" s="18" t="s">
        <v>2905</v>
      </c>
      <c r="C436" s="18" t="s">
        <v>2906</v>
      </c>
      <c r="D436" s="19">
        <v>44909</v>
      </c>
      <c r="E436" s="18" t="s">
        <v>67</v>
      </c>
      <c r="F436" s="18" t="s">
        <v>2907</v>
      </c>
      <c r="G436" s="18" t="s">
        <v>2908</v>
      </c>
      <c r="H436" s="18" t="s">
        <v>70</v>
      </c>
      <c r="I436" s="18" t="s">
        <v>194</v>
      </c>
      <c r="J436" s="18" t="s">
        <v>195</v>
      </c>
      <c r="K436" s="18" t="s">
        <v>2909</v>
      </c>
      <c r="L436" s="20" t="s">
        <v>2910</v>
      </c>
      <c r="M436" s="18" t="s">
        <v>75</v>
      </c>
      <c r="N436" s="20" t="s">
        <v>2911</v>
      </c>
      <c r="O436" s="18" t="s">
        <v>77</v>
      </c>
      <c r="P436" s="18" t="s">
        <v>78</v>
      </c>
      <c r="Q436" s="19">
        <v>44914</v>
      </c>
      <c r="R436" s="21">
        <v>14.28</v>
      </c>
      <c r="S436" s="18" t="s">
        <v>79</v>
      </c>
      <c r="T436" s="18" t="s">
        <v>174</v>
      </c>
      <c r="U436" s="18" t="s">
        <v>83</v>
      </c>
      <c r="V436" s="18" t="s">
        <v>95</v>
      </c>
      <c r="W436" s="18" t="s">
        <v>83</v>
      </c>
      <c r="X436" s="18" t="s">
        <v>118</v>
      </c>
      <c r="Y436" s="18" t="s">
        <v>85</v>
      </c>
      <c r="Z436" s="18" t="s">
        <v>86</v>
      </c>
      <c r="AA436" s="18" t="s">
        <v>119</v>
      </c>
      <c r="AB436" s="18" t="s">
        <v>396</v>
      </c>
      <c r="AC436" s="18" t="s">
        <v>397</v>
      </c>
      <c r="AD436" s="18" t="s">
        <v>85</v>
      </c>
      <c r="AE436" s="18" t="s">
        <v>90</v>
      </c>
      <c r="AF436" s="18" t="s">
        <v>177</v>
      </c>
      <c r="AG436" s="18" t="s">
        <v>139</v>
      </c>
      <c r="AH436" s="18" t="s">
        <v>93</v>
      </c>
      <c r="AI436" s="18" t="s">
        <v>94</v>
      </c>
      <c r="AJ436" s="19">
        <v>44909</v>
      </c>
      <c r="AK436" s="22" t="s">
        <v>95</v>
      </c>
      <c r="AL436" s="18" t="s">
        <v>95</v>
      </c>
      <c r="AM436" s="18" t="s">
        <v>95</v>
      </c>
      <c r="AN436" s="18" t="s">
        <v>95</v>
      </c>
      <c r="AO436" s="18" t="s">
        <v>95</v>
      </c>
      <c r="AP436" s="18" t="s">
        <v>95</v>
      </c>
      <c r="AQ436" s="18" t="s">
        <v>95</v>
      </c>
      <c r="AR436" s="18" t="s">
        <v>95</v>
      </c>
      <c r="AS436" s="18" t="s">
        <v>83</v>
      </c>
      <c r="AT436" s="18" t="s">
        <v>81</v>
      </c>
      <c r="AU436" s="18" t="s">
        <v>81</v>
      </c>
      <c r="AV436" s="18" t="s">
        <v>95</v>
      </c>
      <c r="AW436" s="18" t="s">
        <v>95</v>
      </c>
      <c r="AX436" s="18"/>
      <c r="AY436" s="18" t="str">
        <f>Pospago[[#This Row],[NUM_TELEFONICO]]&amp;"POSPAGOSI"</f>
        <v>984601372POSPAGOSI</v>
      </c>
      <c r="AZ436" s="18" t="str">
        <f>VLOOKUP(Pospago[[#This Row],[NOM_PLAZA_FINAL]],[1]!Locales[#Data],3,0)</f>
        <v>TIENDA RECREO</v>
      </c>
      <c r="BA436" s="18" t="str">
        <f>IFERROR(VLOOKUP(Pospago[[#This Row],[USUARIO]],[1]!Personal[#Data],6,0),"EJECUTIVO NO REGISTRADO")</f>
        <v>VINUEZA VELASCO ANGY DAYANA</v>
      </c>
      <c r="BB436" s="18" t="str">
        <f>Pospago[[#This Row],[TIPO_MOVIMIENTO]]&amp;" "&amp;Pospago[[#This Row],[FORMA_PAGO_FINAL]]</f>
        <v>ALTAS PAGO EN CAJA</v>
      </c>
      <c r="BC436" s="18">
        <f>DAY(Pospago[[#This Row],[FECHA_ALTA]])</f>
        <v>14</v>
      </c>
      <c r="BD436" s="18">
        <f>IF(Pospago[[#This Row],[TARIFA_BASICA]]=11.42,1,0)</f>
        <v>0</v>
      </c>
      <c r="BE436" s="18">
        <f>IF(Pospago[[#This Row],[PLANES TELEVENTAS]]="SI",1,0)</f>
        <v>1</v>
      </c>
      <c r="BF436" s="18">
        <f>1</f>
        <v>1</v>
      </c>
      <c r="BG436" s="18">
        <f>IF(OR(Pospago[[#This Row],[TARIFA_BASICA]]=11.42,Pospago[[#This Row],[PLANES TELEVENTAS]]="SI"),1,0)</f>
        <v>1</v>
      </c>
      <c r="BH436" s="18" t="str">
        <f>IF(MID(Pospago[[#This Row],[PlanDesc]],1,4) = "PLAN","POSPAGO",IF(MID(Pospago[[#This Row],[PlanDesc]],1,4)="FULL","FULL MEGAS","PREVIOPAGO"))</f>
        <v>PREVIOPAGO</v>
      </c>
      <c r="BI4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4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36" s="21">
        <f>Pospago[[#This Row],[TARIFA_BASICA]]*1.5</f>
        <v>21.419999999999998</v>
      </c>
    </row>
    <row r="437" spans="1:63" x14ac:dyDescent="0.25">
      <c r="A437" s="18" t="s">
        <v>64</v>
      </c>
      <c r="B437" s="18" t="s">
        <v>2912</v>
      </c>
      <c r="C437" s="18" t="s">
        <v>2913</v>
      </c>
      <c r="D437" s="19">
        <v>44912</v>
      </c>
      <c r="E437" s="18" t="s">
        <v>67</v>
      </c>
      <c r="F437" s="18" t="s">
        <v>2914</v>
      </c>
      <c r="G437" s="18" t="s">
        <v>2915</v>
      </c>
      <c r="H437" s="18" t="s">
        <v>70</v>
      </c>
      <c r="I437" s="18" t="s">
        <v>112</v>
      </c>
      <c r="J437" s="18" t="s">
        <v>113</v>
      </c>
      <c r="K437" s="18" t="s">
        <v>95</v>
      </c>
      <c r="L437" s="20" t="s">
        <v>2916</v>
      </c>
      <c r="M437" s="18" t="s">
        <v>75</v>
      </c>
      <c r="N437" s="20" t="s">
        <v>2917</v>
      </c>
      <c r="O437" s="18" t="s">
        <v>77</v>
      </c>
      <c r="P437" s="18" t="s">
        <v>78</v>
      </c>
      <c r="Q437" s="19">
        <v>44914</v>
      </c>
      <c r="R437" s="21">
        <v>17.850000000000001</v>
      </c>
      <c r="S437" s="18" t="s">
        <v>79</v>
      </c>
      <c r="T437" s="18" t="s">
        <v>135</v>
      </c>
      <c r="U437" s="18" t="s">
        <v>83</v>
      </c>
      <c r="V437" s="18" t="s">
        <v>95</v>
      </c>
      <c r="W437" s="18" t="s">
        <v>83</v>
      </c>
      <c r="X437" s="18" t="s">
        <v>118</v>
      </c>
      <c r="Y437" s="18" t="s">
        <v>85</v>
      </c>
      <c r="Z437" s="18" t="s">
        <v>86</v>
      </c>
      <c r="AA437" s="18" t="s">
        <v>119</v>
      </c>
      <c r="AB437" s="18" t="s">
        <v>136</v>
      </c>
      <c r="AC437" s="18" t="s">
        <v>137</v>
      </c>
      <c r="AD437" s="18" t="s">
        <v>85</v>
      </c>
      <c r="AE437" s="18" t="s">
        <v>90</v>
      </c>
      <c r="AF437" s="18" t="s">
        <v>138</v>
      </c>
      <c r="AG437" s="18" t="s">
        <v>139</v>
      </c>
      <c r="AH437" s="18" t="s">
        <v>93</v>
      </c>
      <c r="AI437" s="18" t="s">
        <v>94</v>
      </c>
      <c r="AJ437" s="19">
        <v>44912</v>
      </c>
      <c r="AK437" s="22" t="s">
        <v>95</v>
      </c>
      <c r="AL437" s="18" t="s">
        <v>95</v>
      </c>
      <c r="AM437" s="18" t="s">
        <v>95</v>
      </c>
      <c r="AN437" s="18" t="s">
        <v>95</v>
      </c>
      <c r="AO437" s="18" t="s">
        <v>95</v>
      </c>
      <c r="AP437" s="18" t="s">
        <v>95</v>
      </c>
      <c r="AQ437" s="18" t="s">
        <v>95</v>
      </c>
      <c r="AR437" s="18" t="s">
        <v>95</v>
      </c>
      <c r="AS437" s="18" t="s">
        <v>83</v>
      </c>
      <c r="AT437" s="18" t="s">
        <v>83</v>
      </c>
      <c r="AU437" s="18" t="s">
        <v>81</v>
      </c>
      <c r="AV437" s="18" t="s">
        <v>95</v>
      </c>
      <c r="AW437" s="18" t="s">
        <v>95</v>
      </c>
      <c r="AX437" s="18"/>
      <c r="AY437" s="18" t="str">
        <f>Pospago[[#This Row],[NUM_TELEFONICO]]&amp;"POSPAGOSI"</f>
        <v>984602758POSPAGOSI</v>
      </c>
      <c r="AZ437" s="18" t="str">
        <f>VLOOKUP(Pospago[[#This Row],[NOM_PLAZA_FINAL]],[1]!Locales[#Data],3,0)</f>
        <v>TIENDA AMERICA</v>
      </c>
      <c r="BA437" s="18" t="str">
        <f>IFERROR(VLOOKUP(Pospago[[#This Row],[USUARIO]],[1]!Personal[#Data],6,0),"EJECUTIVO NO REGISTRADO")</f>
        <v>SALVATIERRA GUERRA JULIAN ENRIQUE</v>
      </c>
      <c r="BB437" s="18" t="str">
        <f>Pospago[[#This Row],[TIPO_MOVIMIENTO]]&amp;" "&amp;Pospago[[#This Row],[FORMA_PAGO_FINAL]]</f>
        <v>ALTAS PAGO EN CAJA</v>
      </c>
      <c r="BC437" s="18">
        <f>DAY(Pospago[[#This Row],[FECHA_ALTA]])</f>
        <v>17</v>
      </c>
      <c r="BD437" s="18">
        <f>IF(Pospago[[#This Row],[TARIFA_BASICA]]=11.42,1,0)</f>
        <v>0</v>
      </c>
      <c r="BE437" s="18">
        <f>IF(Pospago[[#This Row],[PLANES TELEVENTAS]]="SI",1,0)</f>
        <v>0</v>
      </c>
      <c r="BF437" s="18">
        <f>1</f>
        <v>1</v>
      </c>
      <c r="BG437" s="18">
        <f>IF(OR(Pospago[[#This Row],[TARIFA_BASICA]]=11.42,Pospago[[#This Row],[PLANES TELEVENTAS]]="SI"),1,0)</f>
        <v>0</v>
      </c>
      <c r="BH437" s="18" t="str">
        <f>IF(MID(Pospago[[#This Row],[PlanDesc]],1,4) = "PLAN","POSPAGO",IF(MID(Pospago[[#This Row],[PlanDesc]],1,4)="FULL","FULL MEGAS","PREVIOPAGO"))</f>
        <v>PREVIOPAGO</v>
      </c>
      <c r="BI4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4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37" s="21">
        <f>Pospago[[#This Row],[TARIFA_BASICA]]*1.5</f>
        <v>26.775000000000002</v>
      </c>
    </row>
    <row r="438" spans="1:63" x14ac:dyDescent="0.25">
      <c r="A438" s="18" t="s">
        <v>154</v>
      </c>
      <c r="B438" s="18" t="s">
        <v>2918</v>
      </c>
      <c r="C438" s="18" t="s">
        <v>2919</v>
      </c>
      <c r="D438" s="19">
        <v>44913</v>
      </c>
      <c r="E438" s="18" t="s">
        <v>67</v>
      </c>
      <c r="F438" s="18" t="s">
        <v>2920</v>
      </c>
      <c r="G438" s="18" t="s">
        <v>2921</v>
      </c>
      <c r="H438" s="18" t="s">
        <v>159</v>
      </c>
      <c r="I438" s="18" t="s">
        <v>71</v>
      </c>
      <c r="J438" s="18" t="s">
        <v>258</v>
      </c>
      <c r="K438" s="18" t="s">
        <v>95</v>
      </c>
      <c r="L438" s="20" t="s">
        <v>2922</v>
      </c>
      <c r="M438" s="18" t="s">
        <v>75</v>
      </c>
      <c r="N438" s="20" t="s">
        <v>2923</v>
      </c>
      <c r="O438" s="18" t="s">
        <v>164</v>
      </c>
      <c r="P438" s="18" t="s">
        <v>78</v>
      </c>
      <c r="Q438" s="19">
        <v>44914</v>
      </c>
      <c r="R438" s="21">
        <v>11.42</v>
      </c>
      <c r="S438" s="18" t="s">
        <v>79</v>
      </c>
      <c r="T438" s="18" t="s">
        <v>174</v>
      </c>
      <c r="U438" s="18" t="s">
        <v>83</v>
      </c>
      <c r="V438" s="18" t="s">
        <v>95</v>
      </c>
      <c r="W438" s="18" t="s">
        <v>95</v>
      </c>
      <c r="X438" s="18" t="s">
        <v>84</v>
      </c>
      <c r="Y438" s="18" t="s">
        <v>85</v>
      </c>
      <c r="Z438" s="18" t="s">
        <v>86</v>
      </c>
      <c r="AA438" s="18" t="s">
        <v>87</v>
      </c>
      <c r="AB438" s="18" t="s">
        <v>262</v>
      </c>
      <c r="AC438" s="18" t="s">
        <v>263</v>
      </c>
      <c r="AD438" s="18" t="s">
        <v>85</v>
      </c>
      <c r="AE438" s="18" t="s">
        <v>90</v>
      </c>
      <c r="AF438" s="18" t="s">
        <v>177</v>
      </c>
      <c r="AG438" s="18" t="s">
        <v>139</v>
      </c>
      <c r="AH438" s="18" t="s">
        <v>165</v>
      </c>
      <c r="AI438" s="18" t="s">
        <v>94</v>
      </c>
      <c r="AJ438" s="19">
        <v>44913</v>
      </c>
      <c r="AK438" s="22" t="s">
        <v>95</v>
      </c>
      <c r="AL438" s="18" t="s">
        <v>95</v>
      </c>
      <c r="AM438" s="18" t="s">
        <v>95</v>
      </c>
      <c r="AN438" s="18" t="s">
        <v>95</v>
      </c>
      <c r="AO438" s="18" t="s">
        <v>95</v>
      </c>
      <c r="AP438" s="18" t="s">
        <v>95</v>
      </c>
      <c r="AQ438" s="18" t="s">
        <v>95</v>
      </c>
      <c r="AR438" s="18" t="s">
        <v>95</v>
      </c>
      <c r="AS438" s="18" t="s">
        <v>83</v>
      </c>
      <c r="AT438" s="18" t="s">
        <v>83</v>
      </c>
      <c r="AU438" s="18" t="s">
        <v>81</v>
      </c>
      <c r="AV438" s="18" t="s">
        <v>95</v>
      </c>
      <c r="AW438" s="18" t="s">
        <v>95</v>
      </c>
      <c r="AX438" s="18"/>
      <c r="AY438" s="18" t="str">
        <f>Pospago[[#This Row],[NUM_TELEFONICO]]&amp;"POSPAGOSI"</f>
        <v>984610142POSPAGOSI</v>
      </c>
      <c r="AZ438" s="18" t="str">
        <f>VLOOKUP(Pospago[[#This Row],[NOM_PLAZA_FINAL]],[1]!Locales[#Data],3,0)</f>
        <v>TIENDA RECREO</v>
      </c>
      <c r="BA438" s="18" t="str">
        <f>IFERROR(VLOOKUP(Pospago[[#This Row],[USUARIO]],[1]!Personal[#Data],6,0),"EJECUTIVO NO REGISTRADO")</f>
        <v>CHICAIZA TOAPANTA ALEX DANILO</v>
      </c>
      <c r="BB438" s="18" t="str">
        <f>Pospago[[#This Row],[TIPO_MOVIMIENTO]]&amp;" "&amp;Pospago[[#This Row],[FORMA_PAGO_FINAL]]</f>
        <v>TRANSFERENCIAS DOMICILIADO</v>
      </c>
      <c r="BC438" s="18">
        <f>DAY(Pospago[[#This Row],[FECHA_ALTA]])</f>
        <v>18</v>
      </c>
      <c r="BD438" s="18">
        <f>IF(Pospago[[#This Row],[TARIFA_BASICA]]=11.42,1,0)</f>
        <v>1</v>
      </c>
      <c r="BE438" s="18">
        <f>IF(Pospago[[#This Row],[PLANES TELEVENTAS]]="SI",1,0)</f>
        <v>0</v>
      </c>
      <c r="BF438" s="18">
        <f>1</f>
        <v>1</v>
      </c>
      <c r="BG438" s="18">
        <f>IF(OR(Pospago[[#This Row],[TARIFA_BASICA]]=11.42,Pospago[[#This Row],[PLANES TELEVENTAS]]="SI"),1,0)</f>
        <v>1</v>
      </c>
      <c r="BH438" s="18" t="str">
        <f>IF(MID(Pospago[[#This Row],[PlanDesc]],1,4) = "PLAN","POSPAGO",IF(MID(Pospago[[#This Row],[PlanDesc]],1,4)="FULL","FULL MEGAS","PREVIOPAGO"))</f>
        <v>PREVIOPAGO</v>
      </c>
      <c r="BI4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4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38" s="21">
        <f>Pospago[[#This Row],[TARIFA_BASICA]]*1.5</f>
        <v>17.13</v>
      </c>
    </row>
    <row r="439" spans="1:63" x14ac:dyDescent="0.25">
      <c r="A439" s="18" t="s">
        <v>154</v>
      </c>
      <c r="B439" s="18" t="s">
        <v>2924</v>
      </c>
      <c r="C439" s="18" t="s">
        <v>2925</v>
      </c>
      <c r="D439" s="19">
        <v>44899</v>
      </c>
      <c r="E439" s="18" t="s">
        <v>67</v>
      </c>
      <c r="F439" s="18" t="s">
        <v>2926</v>
      </c>
      <c r="G439" s="18" t="s">
        <v>2927</v>
      </c>
      <c r="H439" s="18" t="s">
        <v>159</v>
      </c>
      <c r="I439" s="18" t="s">
        <v>112</v>
      </c>
      <c r="J439" s="18" t="s">
        <v>781</v>
      </c>
      <c r="K439" s="18" t="s">
        <v>132</v>
      </c>
      <c r="L439" s="20" t="s">
        <v>2928</v>
      </c>
      <c r="M439" s="18" t="s">
        <v>75</v>
      </c>
      <c r="N439" s="20" t="s">
        <v>2929</v>
      </c>
      <c r="O439" s="18" t="s">
        <v>164</v>
      </c>
      <c r="P439" s="18" t="s">
        <v>78</v>
      </c>
      <c r="Q439" s="19">
        <v>44914</v>
      </c>
      <c r="R439" s="21">
        <v>17.850000000000001</v>
      </c>
      <c r="S439" s="18" t="s">
        <v>79</v>
      </c>
      <c r="T439" s="18" t="s">
        <v>174</v>
      </c>
      <c r="U439" s="18" t="s">
        <v>83</v>
      </c>
      <c r="V439" s="18" t="s">
        <v>95</v>
      </c>
      <c r="W439" s="18" t="s">
        <v>95</v>
      </c>
      <c r="X439" s="18" t="s">
        <v>215</v>
      </c>
      <c r="Y439" s="18" t="s">
        <v>85</v>
      </c>
      <c r="Z439" s="18" t="s">
        <v>86</v>
      </c>
      <c r="AA439" s="18" t="s">
        <v>87</v>
      </c>
      <c r="AB439" s="18" t="s">
        <v>175</v>
      </c>
      <c r="AC439" s="18" t="s">
        <v>176</v>
      </c>
      <c r="AD439" s="18" t="s">
        <v>85</v>
      </c>
      <c r="AE439" s="18" t="s">
        <v>90</v>
      </c>
      <c r="AF439" s="18" t="s">
        <v>177</v>
      </c>
      <c r="AG439" s="18" t="s">
        <v>139</v>
      </c>
      <c r="AH439" s="18" t="s">
        <v>165</v>
      </c>
      <c r="AI439" s="18" t="s">
        <v>94</v>
      </c>
      <c r="AJ439" s="19">
        <v>44899</v>
      </c>
      <c r="AK439" s="22" t="s">
        <v>95</v>
      </c>
      <c r="AL439" s="18" t="s">
        <v>95</v>
      </c>
      <c r="AM439" s="18" t="s">
        <v>95</v>
      </c>
      <c r="AN439" s="18" t="s">
        <v>95</v>
      </c>
      <c r="AO439" s="18" t="s">
        <v>95</v>
      </c>
      <c r="AP439" s="18" t="s">
        <v>95</v>
      </c>
      <c r="AQ439" s="18" t="s">
        <v>95</v>
      </c>
      <c r="AR439" s="18" t="s">
        <v>95</v>
      </c>
      <c r="AS439" s="18" t="s">
        <v>83</v>
      </c>
      <c r="AT439" s="18" t="s">
        <v>83</v>
      </c>
      <c r="AU439" s="18" t="s">
        <v>81</v>
      </c>
      <c r="AV439" s="18" t="s">
        <v>95</v>
      </c>
      <c r="AW439" s="18" t="s">
        <v>95</v>
      </c>
      <c r="AX439" s="18"/>
      <c r="AY439" s="18" t="str">
        <f>Pospago[[#This Row],[NUM_TELEFONICO]]&amp;"POSPAGOSI"</f>
        <v>984619980POSPAGOSI</v>
      </c>
      <c r="AZ439" s="18" t="str">
        <f>VLOOKUP(Pospago[[#This Row],[NOM_PLAZA_FINAL]],[1]!Locales[#Data],3,0)</f>
        <v>TIENDA RECREO</v>
      </c>
      <c r="BA439" s="18" t="str">
        <f>IFERROR(VLOOKUP(Pospago[[#This Row],[USUARIO]],[1]!Personal[#Data],6,0),"EJECUTIVO NO REGISTRADO")</f>
        <v>VARGAS REYES LUIS EDUARDO</v>
      </c>
      <c r="BB439" s="18" t="str">
        <f>Pospago[[#This Row],[TIPO_MOVIMIENTO]]&amp;" "&amp;Pospago[[#This Row],[FORMA_PAGO_FINAL]]</f>
        <v>TRANSFERENCIAS DOMICILIADO</v>
      </c>
      <c r="BC439" s="18">
        <f>DAY(Pospago[[#This Row],[FECHA_ALTA]])</f>
        <v>4</v>
      </c>
      <c r="BD439" s="18">
        <f>IF(Pospago[[#This Row],[TARIFA_BASICA]]=11.42,1,0)</f>
        <v>0</v>
      </c>
      <c r="BE439" s="18">
        <f>IF(Pospago[[#This Row],[PLANES TELEVENTAS]]="SI",1,0)</f>
        <v>0</v>
      </c>
      <c r="BF439" s="18">
        <f>1</f>
        <v>1</v>
      </c>
      <c r="BG439" s="18">
        <f>IF(OR(Pospago[[#This Row],[TARIFA_BASICA]]=11.42,Pospago[[#This Row],[PLANES TELEVENTAS]]="SI"),1,0)</f>
        <v>0</v>
      </c>
      <c r="BH439" s="18" t="str">
        <f>IF(MID(Pospago[[#This Row],[PlanDesc]],1,4) = "PLAN","POSPAGO",IF(MID(Pospago[[#This Row],[PlanDesc]],1,4)="FULL","FULL MEGAS","PREVIOPAGO"))</f>
        <v>PREVIOPAGO</v>
      </c>
      <c r="BI4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4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39" s="21">
        <f>Pospago[[#This Row],[TARIFA_BASICA]]*1.5</f>
        <v>26.775000000000002</v>
      </c>
    </row>
    <row r="440" spans="1:63" x14ac:dyDescent="0.25">
      <c r="A440" s="18" t="s">
        <v>64</v>
      </c>
      <c r="B440" s="18" t="s">
        <v>2930</v>
      </c>
      <c r="C440" s="18" t="s">
        <v>2931</v>
      </c>
      <c r="D440" s="19">
        <v>44903</v>
      </c>
      <c r="E440" s="18" t="s">
        <v>67</v>
      </c>
      <c r="F440" s="18" t="s">
        <v>2932</v>
      </c>
      <c r="G440" s="18" t="s">
        <v>2933</v>
      </c>
      <c r="H440" s="18" t="s">
        <v>70</v>
      </c>
      <c r="I440" s="18" t="s">
        <v>194</v>
      </c>
      <c r="J440" s="18" t="s">
        <v>195</v>
      </c>
      <c r="K440" s="18" t="s">
        <v>73</v>
      </c>
      <c r="L440" s="20" t="s">
        <v>2934</v>
      </c>
      <c r="M440" s="18" t="s">
        <v>75</v>
      </c>
      <c r="N440" s="20" t="s">
        <v>2935</v>
      </c>
      <c r="O440" s="18" t="s">
        <v>77</v>
      </c>
      <c r="P440" s="18" t="s">
        <v>78</v>
      </c>
      <c r="Q440" s="19">
        <v>44914</v>
      </c>
      <c r="R440" s="21">
        <v>14.28</v>
      </c>
      <c r="S440" s="18" t="s">
        <v>79</v>
      </c>
      <c r="T440" s="18" t="s">
        <v>174</v>
      </c>
      <c r="U440" s="18" t="s">
        <v>83</v>
      </c>
      <c r="V440" s="18" t="s">
        <v>95</v>
      </c>
      <c r="W440" s="18" t="s">
        <v>83</v>
      </c>
      <c r="X440" s="18" t="s">
        <v>118</v>
      </c>
      <c r="Y440" s="18" t="s">
        <v>85</v>
      </c>
      <c r="Z440" s="18" t="s">
        <v>86</v>
      </c>
      <c r="AA440" s="18" t="s">
        <v>119</v>
      </c>
      <c r="AB440" s="18" t="s">
        <v>492</v>
      </c>
      <c r="AC440" s="18" t="s">
        <v>493</v>
      </c>
      <c r="AD440" s="18" t="s">
        <v>85</v>
      </c>
      <c r="AE440" s="18" t="s">
        <v>90</v>
      </c>
      <c r="AF440" s="18" t="s">
        <v>177</v>
      </c>
      <c r="AG440" s="18" t="s">
        <v>139</v>
      </c>
      <c r="AH440" s="18" t="s">
        <v>93</v>
      </c>
      <c r="AI440" s="18" t="s">
        <v>94</v>
      </c>
      <c r="AJ440" s="19">
        <v>44903</v>
      </c>
      <c r="AK440" s="22" t="s">
        <v>95</v>
      </c>
      <c r="AL440" s="18" t="s">
        <v>95</v>
      </c>
      <c r="AM440" s="18" t="s">
        <v>95</v>
      </c>
      <c r="AN440" s="18" t="s">
        <v>95</v>
      </c>
      <c r="AO440" s="18" t="s">
        <v>95</v>
      </c>
      <c r="AP440" s="18" t="s">
        <v>95</v>
      </c>
      <c r="AQ440" s="18" t="s">
        <v>95</v>
      </c>
      <c r="AR440" s="18" t="s">
        <v>95</v>
      </c>
      <c r="AS440" s="18" t="s">
        <v>83</v>
      </c>
      <c r="AT440" s="18" t="s">
        <v>81</v>
      </c>
      <c r="AU440" s="18" t="s">
        <v>81</v>
      </c>
      <c r="AV440" s="18" t="s">
        <v>95</v>
      </c>
      <c r="AW440" s="18" t="s">
        <v>95</v>
      </c>
      <c r="AX440" s="18"/>
      <c r="AY440" s="18" t="str">
        <f>Pospago[[#This Row],[NUM_TELEFONICO]]&amp;"POSPAGOSI"</f>
        <v>984628291POSPAGOSI</v>
      </c>
      <c r="AZ440" s="18" t="str">
        <f>VLOOKUP(Pospago[[#This Row],[NOM_PLAZA_FINAL]],[1]!Locales[#Data],3,0)</f>
        <v>TIENDA RECREO</v>
      </c>
      <c r="BA440" s="18" t="str">
        <f>IFERROR(VLOOKUP(Pospago[[#This Row],[USUARIO]],[1]!Personal[#Data],6,0),"EJECUTIVO NO REGISTRADO")</f>
        <v>CONDO GARCIA NICOLAS MATIAS</v>
      </c>
      <c r="BB440" s="18" t="str">
        <f>Pospago[[#This Row],[TIPO_MOVIMIENTO]]&amp;" "&amp;Pospago[[#This Row],[FORMA_PAGO_FINAL]]</f>
        <v>ALTAS PAGO EN CAJA</v>
      </c>
      <c r="BC440" s="18">
        <f>DAY(Pospago[[#This Row],[FECHA_ALTA]])</f>
        <v>8</v>
      </c>
      <c r="BD440" s="18">
        <f>IF(Pospago[[#This Row],[TARIFA_BASICA]]=11.42,1,0)</f>
        <v>0</v>
      </c>
      <c r="BE440" s="18">
        <f>IF(Pospago[[#This Row],[PLANES TELEVENTAS]]="SI",1,0)</f>
        <v>1</v>
      </c>
      <c r="BF440" s="18">
        <f>1</f>
        <v>1</v>
      </c>
      <c r="BG440" s="18">
        <f>IF(OR(Pospago[[#This Row],[TARIFA_BASICA]]=11.42,Pospago[[#This Row],[PLANES TELEVENTAS]]="SI"),1,0)</f>
        <v>1</v>
      </c>
      <c r="BH440" s="18" t="str">
        <f>IF(MID(Pospago[[#This Row],[PlanDesc]],1,4) = "PLAN","POSPAGO",IF(MID(Pospago[[#This Row],[PlanDesc]],1,4)="FULL","FULL MEGAS","PREVIOPAGO"))</f>
        <v>PREVIOPAGO</v>
      </c>
      <c r="BI4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4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40" s="21">
        <f>Pospago[[#This Row],[TARIFA_BASICA]]*1.5</f>
        <v>21.419999999999998</v>
      </c>
    </row>
    <row r="441" spans="1:63" x14ac:dyDescent="0.25">
      <c r="A441" s="18" t="s">
        <v>154</v>
      </c>
      <c r="B441" s="18" t="s">
        <v>2936</v>
      </c>
      <c r="C441" s="18" t="s">
        <v>2937</v>
      </c>
      <c r="D441" s="19">
        <v>44903</v>
      </c>
      <c r="E441" s="18" t="s">
        <v>67</v>
      </c>
      <c r="F441" s="18" t="s">
        <v>2938</v>
      </c>
      <c r="G441" s="18" t="s">
        <v>2939</v>
      </c>
      <c r="H441" s="18" t="s">
        <v>159</v>
      </c>
      <c r="I441" s="18" t="s">
        <v>71</v>
      </c>
      <c r="J441" s="18" t="s">
        <v>258</v>
      </c>
      <c r="K441" s="18" t="s">
        <v>73</v>
      </c>
      <c r="L441" s="20" t="s">
        <v>2940</v>
      </c>
      <c r="M441" s="18" t="s">
        <v>75</v>
      </c>
      <c r="N441" s="20" t="s">
        <v>2941</v>
      </c>
      <c r="O441" s="18" t="s">
        <v>164</v>
      </c>
      <c r="P441" s="18" t="s">
        <v>78</v>
      </c>
      <c r="Q441" s="19">
        <v>44914</v>
      </c>
      <c r="R441" s="21">
        <v>11.42</v>
      </c>
      <c r="S441" s="18" t="s">
        <v>79</v>
      </c>
      <c r="T441" s="18" t="s">
        <v>80</v>
      </c>
      <c r="U441" s="18" t="s">
        <v>83</v>
      </c>
      <c r="V441" s="18" t="s">
        <v>95</v>
      </c>
      <c r="W441" s="18" t="s">
        <v>95</v>
      </c>
      <c r="X441" s="18" t="s">
        <v>118</v>
      </c>
      <c r="Y441" s="18" t="s">
        <v>85</v>
      </c>
      <c r="Z441" s="18" t="s">
        <v>86</v>
      </c>
      <c r="AA441" s="18" t="s">
        <v>119</v>
      </c>
      <c r="AB441" s="18" t="s">
        <v>1020</v>
      </c>
      <c r="AC441" s="18" t="s">
        <v>1021</v>
      </c>
      <c r="AD441" s="18" t="s">
        <v>85</v>
      </c>
      <c r="AE441" s="18" t="s">
        <v>90</v>
      </c>
      <c r="AF441" s="18" t="s">
        <v>91</v>
      </c>
      <c r="AG441" s="18" t="s">
        <v>92</v>
      </c>
      <c r="AH441" s="18" t="s">
        <v>165</v>
      </c>
      <c r="AI441" s="18" t="s">
        <v>94</v>
      </c>
      <c r="AJ441" s="19">
        <v>44903</v>
      </c>
      <c r="AK441" s="22" t="s">
        <v>95</v>
      </c>
      <c r="AL441" s="18" t="s">
        <v>95</v>
      </c>
      <c r="AM441" s="18" t="s">
        <v>95</v>
      </c>
      <c r="AN441" s="18" t="s">
        <v>95</v>
      </c>
      <c r="AO441" s="18" t="s">
        <v>95</v>
      </c>
      <c r="AP441" s="18" t="s">
        <v>95</v>
      </c>
      <c r="AQ441" s="18" t="s">
        <v>95</v>
      </c>
      <c r="AR441" s="18" t="s">
        <v>95</v>
      </c>
      <c r="AS441" s="18" t="s">
        <v>83</v>
      </c>
      <c r="AT441" s="18" t="s">
        <v>83</v>
      </c>
      <c r="AU441" s="18" t="s">
        <v>81</v>
      </c>
      <c r="AV441" s="18" t="s">
        <v>95</v>
      </c>
      <c r="AW441" s="18" t="s">
        <v>95</v>
      </c>
      <c r="AX441" s="18"/>
      <c r="AY441" s="18" t="str">
        <f>Pospago[[#This Row],[NUM_TELEFONICO]]&amp;"POSPAGOSI"</f>
        <v>984642416POSPAGOSI</v>
      </c>
      <c r="AZ441" s="18" t="str">
        <f>VLOOKUP(Pospago[[#This Row],[NOM_PLAZA_FINAL]],[1]!Locales[#Data],3,0)</f>
        <v>TIENDA CUENCA CENTRO</v>
      </c>
      <c r="BA441" s="18" t="str">
        <f>IFERROR(VLOOKUP(Pospago[[#This Row],[USUARIO]],[1]!Personal[#Data],6,0),"EJECUTIVO NO REGISTRADO")</f>
        <v>GONZALES ALVARRACIN PAOLA YESSENIA</v>
      </c>
      <c r="BB441" s="18" t="str">
        <f>Pospago[[#This Row],[TIPO_MOVIMIENTO]]&amp;" "&amp;Pospago[[#This Row],[FORMA_PAGO_FINAL]]</f>
        <v>TRANSFERENCIAS PAGO EN CAJA</v>
      </c>
      <c r="BC441" s="18">
        <f>DAY(Pospago[[#This Row],[FECHA_ALTA]])</f>
        <v>8</v>
      </c>
      <c r="BD441" s="18">
        <f>IF(Pospago[[#This Row],[TARIFA_BASICA]]=11.42,1,0)</f>
        <v>1</v>
      </c>
      <c r="BE441" s="18">
        <f>IF(Pospago[[#This Row],[PLANES TELEVENTAS]]="SI",1,0)</f>
        <v>0</v>
      </c>
      <c r="BF441" s="18">
        <f>1</f>
        <v>1</v>
      </c>
      <c r="BG441" s="18">
        <f>IF(OR(Pospago[[#This Row],[TARIFA_BASICA]]=11.42,Pospago[[#This Row],[PLANES TELEVENTAS]]="SI"),1,0)</f>
        <v>1</v>
      </c>
      <c r="BH441" s="18" t="str">
        <f>IF(MID(Pospago[[#This Row],[PlanDesc]],1,4) = "PLAN","POSPAGO",IF(MID(Pospago[[#This Row],[PlanDesc]],1,4)="FULL","FULL MEGAS","PREVIOPAGO"))</f>
        <v>PREVIOPAGO</v>
      </c>
      <c r="BI4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4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41" s="21">
        <f>Pospago[[#This Row],[TARIFA_BASICA]]*1.5</f>
        <v>17.13</v>
      </c>
    </row>
    <row r="442" spans="1:63" x14ac:dyDescent="0.25">
      <c r="A442" s="18" t="s">
        <v>154</v>
      </c>
      <c r="B442" s="18" t="s">
        <v>2942</v>
      </c>
      <c r="C442" s="18" t="s">
        <v>2943</v>
      </c>
      <c r="D442" s="19">
        <v>44909</v>
      </c>
      <c r="E442" s="18" t="s">
        <v>67</v>
      </c>
      <c r="F442" s="18" t="s">
        <v>2944</v>
      </c>
      <c r="G442" s="18" t="s">
        <v>2945</v>
      </c>
      <c r="H442" s="18" t="s">
        <v>159</v>
      </c>
      <c r="I442" s="18" t="s">
        <v>71</v>
      </c>
      <c r="J442" s="18" t="s">
        <v>258</v>
      </c>
      <c r="K442" s="18" t="s">
        <v>73</v>
      </c>
      <c r="L442" s="20" t="s">
        <v>2946</v>
      </c>
      <c r="M442" s="18" t="s">
        <v>75</v>
      </c>
      <c r="N442" s="20" t="s">
        <v>2947</v>
      </c>
      <c r="O442" s="18" t="s">
        <v>164</v>
      </c>
      <c r="P442" s="18" t="s">
        <v>78</v>
      </c>
      <c r="Q442" s="19">
        <v>44914</v>
      </c>
      <c r="R442" s="21">
        <v>11.42</v>
      </c>
      <c r="S442" s="18" t="s">
        <v>79</v>
      </c>
      <c r="T442" s="18" t="s">
        <v>174</v>
      </c>
      <c r="U442" s="18" t="s">
        <v>83</v>
      </c>
      <c r="V442" s="18" t="s">
        <v>95</v>
      </c>
      <c r="W442" s="18" t="s">
        <v>95</v>
      </c>
      <c r="X442" s="18" t="s">
        <v>84</v>
      </c>
      <c r="Y442" s="18" t="s">
        <v>85</v>
      </c>
      <c r="Z442" s="18" t="s">
        <v>86</v>
      </c>
      <c r="AA442" s="18" t="s">
        <v>87</v>
      </c>
      <c r="AB442" s="18" t="s">
        <v>926</v>
      </c>
      <c r="AC442" s="18" t="s">
        <v>927</v>
      </c>
      <c r="AD442" s="18" t="s">
        <v>85</v>
      </c>
      <c r="AE442" s="18" t="s">
        <v>90</v>
      </c>
      <c r="AF442" s="18" t="s">
        <v>177</v>
      </c>
      <c r="AG442" s="18" t="s">
        <v>139</v>
      </c>
      <c r="AH442" s="18" t="s">
        <v>165</v>
      </c>
      <c r="AI442" s="18" t="s">
        <v>94</v>
      </c>
      <c r="AJ442" s="19">
        <v>44909</v>
      </c>
      <c r="AK442" s="22" t="s">
        <v>95</v>
      </c>
      <c r="AL442" s="18" t="s">
        <v>95</v>
      </c>
      <c r="AM442" s="18" t="s">
        <v>95</v>
      </c>
      <c r="AN442" s="18" t="s">
        <v>95</v>
      </c>
      <c r="AO442" s="18" t="s">
        <v>95</v>
      </c>
      <c r="AP442" s="18" t="s">
        <v>95</v>
      </c>
      <c r="AQ442" s="18" t="s">
        <v>95</v>
      </c>
      <c r="AR442" s="18" t="s">
        <v>95</v>
      </c>
      <c r="AS442" s="18" t="s">
        <v>83</v>
      </c>
      <c r="AT442" s="18" t="s">
        <v>83</v>
      </c>
      <c r="AU442" s="18" t="s">
        <v>81</v>
      </c>
      <c r="AV442" s="18" t="s">
        <v>95</v>
      </c>
      <c r="AW442" s="18" t="s">
        <v>95</v>
      </c>
      <c r="AX442" s="18"/>
      <c r="AY442" s="18" t="str">
        <f>Pospago[[#This Row],[NUM_TELEFONICO]]&amp;"POSPAGOSI"</f>
        <v>984643636POSPAGOSI</v>
      </c>
      <c r="AZ442" s="18" t="str">
        <f>VLOOKUP(Pospago[[#This Row],[NOM_PLAZA_FINAL]],[1]!Locales[#Data],3,0)</f>
        <v>TIENDA RECREO</v>
      </c>
      <c r="BA442" s="18" t="str">
        <f>IFERROR(VLOOKUP(Pospago[[#This Row],[USUARIO]],[1]!Personal[#Data],6,0),"EJECUTIVO NO REGISTRADO")</f>
        <v>CABEZAS LOPEZ ROBERTO ALEJANDRO</v>
      </c>
      <c r="BB442" s="18" t="str">
        <f>Pospago[[#This Row],[TIPO_MOVIMIENTO]]&amp;" "&amp;Pospago[[#This Row],[FORMA_PAGO_FINAL]]</f>
        <v>TRANSFERENCIAS DOMICILIADO</v>
      </c>
      <c r="BC442" s="18">
        <f>DAY(Pospago[[#This Row],[FECHA_ALTA]])</f>
        <v>14</v>
      </c>
      <c r="BD442" s="18">
        <f>IF(Pospago[[#This Row],[TARIFA_BASICA]]=11.42,1,0)</f>
        <v>1</v>
      </c>
      <c r="BE442" s="18">
        <f>IF(Pospago[[#This Row],[PLANES TELEVENTAS]]="SI",1,0)</f>
        <v>0</v>
      </c>
      <c r="BF442" s="18">
        <f>1</f>
        <v>1</v>
      </c>
      <c r="BG442" s="18">
        <f>IF(OR(Pospago[[#This Row],[TARIFA_BASICA]]=11.42,Pospago[[#This Row],[PLANES TELEVENTAS]]="SI"),1,0)</f>
        <v>1</v>
      </c>
      <c r="BH442" s="18" t="str">
        <f>IF(MID(Pospago[[#This Row],[PlanDesc]],1,4) = "PLAN","POSPAGO",IF(MID(Pospago[[#This Row],[PlanDesc]],1,4)="FULL","FULL MEGAS","PREVIOPAGO"))</f>
        <v>PREVIOPAGO</v>
      </c>
      <c r="BI4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4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42" s="21">
        <f>Pospago[[#This Row],[TARIFA_BASICA]]*1.5</f>
        <v>17.13</v>
      </c>
    </row>
    <row r="443" spans="1:63" x14ac:dyDescent="0.25">
      <c r="A443" s="18" t="s">
        <v>154</v>
      </c>
      <c r="B443" s="18" t="s">
        <v>2948</v>
      </c>
      <c r="C443" s="18" t="s">
        <v>2949</v>
      </c>
      <c r="D443" s="19">
        <v>44909</v>
      </c>
      <c r="E443" s="18" t="s">
        <v>67</v>
      </c>
      <c r="F443" s="18" t="s">
        <v>2950</v>
      </c>
      <c r="G443" s="18" t="s">
        <v>2951</v>
      </c>
      <c r="H443" s="18" t="s">
        <v>159</v>
      </c>
      <c r="I443" s="18" t="s">
        <v>160</v>
      </c>
      <c r="J443" s="18" t="s">
        <v>161</v>
      </c>
      <c r="K443" s="18" t="s">
        <v>132</v>
      </c>
      <c r="L443" s="20" t="s">
        <v>2952</v>
      </c>
      <c r="M443" s="18" t="s">
        <v>75</v>
      </c>
      <c r="N443" s="20" t="s">
        <v>2953</v>
      </c>
      <c r="O443" s="18" t="s">
        <v>164</v>
      </c>
      <c r="P443" s="18" t="s">
        <v>78</v>
      </c>
      <c r="Q443" s="19">
        <v>44914</v>
      </c>
      <c r="R443" s="21">
        <v>14.28</v>
      </c>
      <c r="S443" s="18" t="s">
        <v>79</v>
      </c>
      <c r="T443" s="18" t="s">
        <v>80</v>
      </c>
      <c r="U443" s="18" t="s">
        <v>83</v>
      </c>
      <c r="V443" s="18" t="s">
        <v>95</v>
      </c>
      <c r="W443" s="18" t="s">
        <v>95</v>
      </c>
      <c r="X443" s="18" t="s">
        <v>118</v>
      </c>
      <c r="Y443" s="18" t="s">
        <v>85</v>
      </c>
      <c r="Z443" s="18" t="s">
        <v>86</v>
      </c>
      <c r="AA443" s="18" t="s">
        <v>119</v>
      </c>
      <c r="AB443" s="18" t="s">
        <v>289</v>
      </c>
      <c r="AC443" s="18" t="s">
        <v>290</v>
      </c>
      <c r="AD443" s="18" t="s">
        <v>85</v>
      </c>
      <c r="AE443" s="18" t="s">
        <v>90</v>
      </c>
      <c r="AF443" s="18" t="s">
        <v>91</v>
      </c>
      <c r="AG443" s="18" t="s">
        <v>92</v>
      </c>
      <c r="AH443" s="18" t="s">
        <v>165</v>
      </c>
      <c r="AI443" s="18" t="s">
        <v>94</v>
      </c>
      <c r="AJ443" s="19">
        <v>44909</v>
      </c>
      <c r="AK443" s="22" t="s">
        <v>95</v>
      </c>
      <c r="AL443" s="18" t="s">
        <v>95</v>
      </c>
      <c r="AM443" s="18" t="s">
        <v>95</v>
      </c>
      <c r="AN443" s="18" t="s">
        <v>95</v>
      </c>
      <c r="AO443" s="18" t="s">
        <v>95</v>
      </c>
      <c r="AP443" s="18" t="s">
        <v>95</v>
      </c>
      <c r="AQ443" s="18" t="s">
        <v>95</v>
      </c>
      <c r="AR443" s="18" t="s">
        <v>95</v>
      </c>
      <c r="AS443" s="18" t="s">
        <v>83</v>
      </c>
      <c r="AT443" s="18" t="s">
        <v>83</v>
      </c>
      <c r="AU443" s="18" t="s">
        <v>81</v>
      </c>
      <c r="AV443" s="18" t="s">
        <v>95</v>
      </c>
      <c r="AW443" s="18" t="s">
        <v>95</v>
      </c>
      <c r="AX443" s="18"/>
      <c r="AY443" s="18" t="str">
        <f>Pospago[[#This Row],[NUM_TELEFONICO]]&amp;"POSPAGOSI"</f>
        <v>984649382POSPAGOSI</v>
      </c>
      <c r="AZ443" s="18" t="str">
        <f>VLOOKUP(Pospago[[#This Row],[NOM_PLAZA_FINAL]],[1]!Locales[#Data],3,0)</f>
        <v>TIENDA CUENCA CENTRO</v>
      </c>
      <c r="BA443" s="18" t="str">
        <f>IFERROR(VLOOKUP(Pospago[[#This Row],[USUARIO]],[1]!Personal[#Data],6,0),"EJECUTIVO NO REGISTRADO")</f>
        <v>CALLE CHACA JORGE VINICIO</v>
      </c>
      <c r="BB443" s="18" t="str">
        <f>Pospago[[#This Row],[TIPO_MOVIMIENTO]]&amp;" "&amp;Pospago[[#This Row],[FORMA_PAGO_FINAL]]</f>
        <v>TRANSFERENCIAS PAGO EN CAJA</v>
      </c>
      <c r="BC443" s="18">
        <f>DAY(Pospago[[#This Row],[FECHA_ALTA]])</f>
        <v>14</v>
      </c>
      <c r="BD443" s="18">
        <f>IF(Pospago[[#This Row],[TARIFA_BASICA]]=11.42,1,0)</f>
        <v>0</v>
      </c>
      <c r="BE443" s="18">
        <f>IF(Pospago[[#This Row],[PLANES TELEVENTAS]]="SI",1,0)</f>
        <v>0</v>
      </c>
      <c r="BF443" s="18">
        <f>1</f>
        <v>1</v>
      </c>
      <c r="BG443" s="18">
        <f>IF(OR(Pospago[[#This Row],[TARIFA_BASICA]]=11.42,Pospago[[#This Row],[PLANES TELEVENTAS]]="SI"),1,0)</f>
        <v>0</v>
      </c>
      <c r="BH443" s="18" t="str">
        <f>IF(MID(Pospago[[#This Row],[PlanDesc]],1,4) = "PLAN","POSPAGO",IF(MID(Pospago[[#This Row],[PlanDesc]],1,4)="FULL","FULL MEGAS","PREVIOPAGO"))</f>
        <v>PREVIOPAGO</v>
      </c>
      <c r="BI4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43" s="21">
        <f>Pospago[[#This Row],[TARIFA_BASICA]]*1.5</f>
        <v>21.419999999999998</v>
      </c>
    </row>
    <row r="444" spans="1:63" x14ac:dyDescent="0.25">
      <c r="A444" s="18" t="s">
        <v>64</v>
      </c>
      <c r="B444" s="18" t="s">
        <v>2954</v>
      </c>
      <c r="C444" s="18" t="s">
        <v>2955</v>
      </c>
      <c r="D444" s="19">
        <v>44902</v>
      </c>
      <c r="E444" s="18" t="s">
        <v>67</v>
      </c>
      <c r="F444" s="18" t="s">
        <v>2956</v>
      </c>
      <c r="G444" s="18" t="s">
        <v>2957</v>
      </c>
      <c r="H444" s="18" t="s">
        <v>70</v>
      </c>
      <c r="I444" s="18" t="s">
        <v>130</v>
      </c>
      <c r="J444" s="18" t="s">
        <v>131</v>
      </c>
      <c r="K444" s="18" t="s">
        <v>73</v>
      </c>
      <c r="L444" s="20" t="s">
        <v>2958</v>
      </c>
      <c r="M444" s="18" t="s">
        <v>75</v>
      </c>
      <c r="N444" s="20" t="s">
        <v>2959</v>
      </c>
      <c r="O444" s="18" t="s">
        <v>77</v>
      </c>
      <c r="P444" s="18" t="s">
        <v>78</v>
      </c>
      <c r="Q444" s="19">
        <v>44914</v>
      </c>
      <c r="R444" s="21">
        <v>15</v>
      </c>
      <c r="S444" s="18" t="s">
        <v>79</v>
      </c>
      <c r="T444" s="18" t="s">
        <v>174</v>
      </c>
      <c r="U444" s="18" t="s">
        <v>81</v>
      </c>
      <c r="V444" s="18" t="s">
        <v>693</v>
      </c>
      <c r="W444" s="18" t="s">
        <v>83</v>
      </c>
      <c r="X444" s="18" t="s">
        <v>118</v>
      </c>
      <c r="Y444" s="18" t="s">
        <v>85</v>
      </c>
      <c r="Z444" s="18" t="s">
        <v>86</v>
      </c>
      <c r="AA444" s="18" t="s">
        <v>119</v>
      </c>
      <c r="AB444" s="18" t="s">
        <v>303</v>
      </c>
      <c r="AC444" s="18" t="s">
        <v>304</v>
      </c>
      <c r="AD444" s="18" t="s">
        <v>85</v>
      </c>
      <c r="AE444" s="18" t="s">
        <v>90</v>
      </c>
      <c r="AF444" s="18" t="s">
        <v>177</v>
      </c>
      <c r="AG444" s="18" t="s">
        <v>139</v>
      </c>
      <c r="AH444" s="18" t="s">
        <v>93</v>
      </c>
      <c r="AI444" s="18" t="s">
        <v>94</v>
      </c>
      <c r="AJ444" s="19">
        <v>44902</v>
      </c>
      <c r="AK444" s="22" t="s">
        <v>95</v>
      </c>
      <c r="AL444" s="18" t="s">
        <v>95</v>
      </c>
      <c r="AM444" s="18" t="s">
        <v>95</v>
      </c>
      <c r="AN444" s="18" t="s">
        <v>95</v>
      </c>
      <c r="AO444" s="18" t="s">
        <v>95</v>
      </c>
      <c r="AP444" s="18" t="s">
        <v>95</v>
      </c>
      <c r="AQ444" s="18" t="s">
        <v>95</v>
      </c>
      <c r="AR444" s="18" t="s">
        <v>95</v>
      </c>
      <c r="AS444" s="18" t="s">
        <v>83</v>
      </c>
      <c r="AT444" s="18" t="s">
        <v>83</v>
      </c>
      <c r="AU444" s="18" t="s">
        <v>81</v>
      </c>
      <c r="AV444" s="18" t="s">
        <v>95</v>
      </c>
      <c r="AW444" s="18" t="s">
        <v>95</v>
      </c>
      <c r="AX444" s="18"/>
      <c r="AY444" s="18" t="str">
        <f>Pospago[[#This Row],[NUM_TELEFONICO]]&amp;"POSPAGOSI"</f>
        <v>984651139POSPAGOSI</v>
      </c>
      <c r="AZ444" s="18" t="str">
        <f>VLOOKUP(Pospago[[#This Row],[NOM_PLAZA_FINAL]],[1]!Locales[#Data],3,0)</f>
        <v>TIENDA RECREO</v>
      </c>
      <c r="BA444" s="18" t="str">
        <f>IFERROR(VLOOKUP(Pospago[[#This Row],[USUARIO]],[1]!Personal[#Data],6,0),"EJECUTIVO NO REGISTRADO")</f>
        <v>CORDOVA GAIBOR JONATHAN HERNAN</v>
      </c>
      <c r="BB444" s="18" t="str">
        <f>Pospago[[#This Row],[TIPO_MOVIMIENTO]]&amp;" "&amp;Pospago[[#This Row],[FORMA_PAGO_FINAL]]</f>
        <v>ALTAS PAGO EN CAJA</v>
      </c>
      <c r="BC444" s="18">
        <f>DAY(Pospago[[#This Row],[FECHA_ALTA]])</f>
        <v>7</v>
      </c>
      <c r="BD444" s="18">
        <f>IF(Pospago[[#This Row],[TARIFA_BASICA]]=11.42,1,0)</f>
        <v>0</v>
      </c>
      <c r="BE444" s="18">
        <f>IF(Pospago[[#This Row],[PLANES TELEVENTAS]]="SI",1,0)</f>
        <v>0</v>
      </c>
      <c r="BF444" s="18">
        <f>1</f>
        <v>1</v>
      </c>
      <c r="BG444" s="18">
        <f>IF(OR(Pospago[[#This Row],[TARIFA_BASICA]]=11.42,Pospago[[#This Row],[PLANES TELEVENTAS]]="SI"),1,0)</f>
        <v>0</v>
      </c>
      <c r="BH444" s="18" t="str">
        <f>IF(MID(Pospago[[#This Row],[PlanDesc]],1,4) = "PLAN","POSPAGO",IF(MID(Pospago[[#This Row],[PlanDesc]],1,4)="FULL","FULL MEGAS","PREVIOPAGO"))</f>
        <v>PREVIOPAGO</v>
      </c>
      <c r="BI4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4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44" s="21">
        <f>Pospago[[#This Row],[TARIFA_BASICA]]*1.5</f>
        <v>22.5</v>
      </c>
    </row>
    <row r="445" spans="1:63" x14ac:dyDescent="0.25">
      <c r="A445" s="18" t="s">
        <v>64</v>
      </c>
      <c r="B445" s="18" t="s">
        <v>2960</v>
      </c>
      <c r="C445" s="18" t="s">
        <v>2961</v>
      </c>
      <c r="D445" s="19">
        <v>44897</v>
      </c>
      <c r="E445" s="18" t="s">
        <v>67</v>
      </c>
      <c r="F445" s="18" t="s">
        <v>2962</v>
      </c>
      <c r="G445" s="18" t="s">
        <v>2963</v>
      </c>
      <c r="H445" s="18" t="s">
        <v>70</v>
      </c>
      <c r="I445" s="18" t="s">
        <v>160</v>
      </c>
      <c r="J445" s="18" t="s">
        <v>195</v>
      </c>
      <c r="K445" s="18" t="s">
        <v>132</v>
      </c>
      <c r="L445" s="20" t="s">
        <v>2964</v>
      </c>
      <c r="M445" s="18" t="s">
        <v>75</v>
      </c>
      <c r="N445" s="20" t="s">
        <v>2965</v>
      </c>
      <c r="O445" s="18" t="s">
        <v>77</v>
      </c>
      <c r="P445" s="18" t="s">
        <v>78</v>
      </c>
      <c r="Q445" s="19">
        <v>44914</v>
      </c>
      <c r="R445" s="21">
        <v>14.28</v>
      </c>
      <c r="S445" s="18" t="s">
        <v>79</v>
      </c>
      <c r="T445" s="18" t="s">
        <v>80</v>
      </c>
      <c r="U445" s="18" t="s">
        <v>2966</v>
      </c>
      <c r="V445" s="18" t="s">
        <v>2967</v>
      </c>
      <c r="W445" s="18" t="s">
        <v>83</v>
      </c>
      <c r="X445" s="18" t="s">
        <v>215</v>
      </c>
      <c r="Y445" s="18" t="s">
        <v>85</v>
      </c>
      <c r="Z445" s="18" t="s">
        <v>86</v>
      </c>
      <c r="AA445" s="18" t="s">
        <v>87</v>
      </c>
      <c r="AB445" s="18" t="s">
        <v>289</v>
      </c>
      <c r="AC445" s="18" t="s">
        <v>290</v>
      </c>
      <c r="AD445" s="18" t="s">
        <v>85</v>
      </c>
      <c r="AE445" s="18" t="s">
        <v>90</v>
      </c>
      <c r="AF445" s="18" t="s">
        <v>91</v>
      </c>
      <c r="AG445" s="18" t="s">
        <v>92</v>
      </c>
      <c r="AH445" s="18" t="s">
        <v>93</v>
      </c>
      <c r="AI445" s="18" t="s">
        <v>94</v>
      </c>
      <c r="AJ445" s="19">
        <v>44897</v>
      </c>
      <c r="AK445" s="22" t="s">
        <v>95</v>
      </c>
      <c r="AL445" s="18" t="s">
        <v>95</v>
      </c>
      <c r="AM445" s="18" t="s">
        <v>95</v>
      </c>
      <c r="AN445" s="18" t="s">
        <v>95</v>
      </c>
      <c r="AO445" s="18" t="s">
        <v>95</v>
      </c>
      <c r="AP445" s="18" t="s">
        <v>95</v>
      </c>
      <c r="AQ445" s="18" t="s">
        <v>95</v>
      </c>
      <c r="AR445" s="18" t="s">
        <v>95</v>
      </c>
      <c r="AS445" s="18" t="s">
        <v>83</v>
      </c>
      <c r="AT445" s="18" t="s">
        <v>83</v>
      </c>
      <c r="AU445" s="18" t="s">
        <v>81</v>
      </c>
      <c r="AV445" s="18" t="s">
        <v>95</v>
      </c>
      <c r="AW445" s="18" t="s">
        <v>95</v>
      </c>
      <c r="AX445" s="18"/>
      <c r="AY445" s="18" t="str">
        <f>Pospago[[#This Row],[NUM_TELEFONICO]]&amp;"POSPAGOSI"</f>
        <v>984654276POSPAGOSI</v>
      </c>
      <c r="AZ445" s="18" t="str">
        <f>VLOOKUP(Pospago[[#This Row],[NOM_PLAZA_FINAL]],[1]!Locales[#Data],3,0)</f>
        <v>TIENDA CUENCA CENTRO</v>
      </c>
      <c r="BA445" s="18" t="str">
        <f>IFERROR(VLOOKUP(Pospago[[#This Row],[USUARIO]],[1]!Personal[#Data],6,0),"EJECUTIVO NO REGISTRADO")</f>
        <v>CALLE CHACA JORGE VINICIO</v>
      </c>
      <c r="BB445" s="18" t="str">
        <f>Pospago[[#This Row],[TIPO_MOVIMIENTO]]&amp;" "&amp;Pospago[[#This Row],[FORMA_PAGO_FINAL]]</f>
        <v>ALTAS DOMICILIADO</v>
      </c>
      <c r="BC445" s="18">
        <f>DAY(Pospago[[#This Row],[FECHA_ALTA]])</f>
        <v>2</v>
      </c>
      <c r="BD445" s="18">
        <f>IF(Pospago[[#This Row],[TARIFA_BASICA]]=11.42,1,0)</f>
        <v>0</v>
      </c>
      <c r="BE445" s="18">
        <f>IF(Pospago[[#This Row],[PLANES TELEVENTAS]]="SI",1,0)</f>
        <v>0</v>
      </c>
      <c r="BF445" s="18">
        <f>1</f>
        <v>1</v>
      </c>
      <c r="BG445" s="18">
        <f>IF(OR(Pospago[[#This Row],[TARIFA_BASICA]]=11.42,Pospago[[#This Row],[PLANES TELEVENTAS]]="SI"),1,0)</f>
        <v>0</v>
      </c>
      <c r="BH445" s="18" t="str">
        <f>IF(MID(Pospago[[#This Row],[PlanDesc]],1,4) = "PLAN","POSPAGO",IF(MID(Pospago[[#This Row],[PlanDesc]],1,4)="FULL","FULL MEGAS","PREVIOPAGO"))</f>
        <v>PREVIOPAGO</v>
      </c>
      <c r="BI4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45" s="21">
        <f>Pospago[[#This Row],[TARIFA_BASICA]]*1.5</f>
        <v>21.419999999999998</v>
      </c>
    </row>
    <row r="446" spans="1:63" x14ac:dyDescent="0.25">
      <c r="A446" s="18" t="s">
        <v>64</v>
      </c>
      <c r="B446" s="18" t="s">
        <v>2968</v>
      </c>
      <c r="C446" s="18" t="s">
        <v>2969</v>
      </c>
      <c r="D446" s="19">
        <v>44911</v>
      </c>
      <c r="E446" s="18" t="s">
        <v>67</v>
      </c>
      <c r="F446" s="18" t="s">
        <v>2970</v>
      </c>
      <c r="G446" s="18" t="s">
        <v>2971</v>
      </c>
      <c r="H446" s="18" t="s">
        <v>70</v>
      </c>
      <c r="I446" s="18" t="s">
        <v>160</v>
      </c>
      <c r="J446" s="18" t="s">
        <v>195</v>
      </c>
      <c r="K446" s="18" t="s">
        <v>132</v>
      </c>
      <c r="L446" s="20" t="s">
        <v>2972</v>
      </c>
      <c r="M446" s="18" t="s">
        <v>75</v>
      </c>
      <c r="N446" s="20" t="s">
        <v>2973</v>
      </c>
      <c r="O446" s="18" t="s">
        <v>77</v>
      </c>
      <c r="P446" s="18" t="s">
        <v>78</v>
      </c>
      <c r="Q446" s="19">
        <v>44914</v>
      </c>
      <c r="R446" s="21">
        <v>14.28</v>
      </c>
      <c r="S446" s="18" t="s">
        <v>79</v>
      </c>
      <c r="T446" s="18" t="s">
        <v>135</v>
      </c>
      <c r="U446" s="18" t="s">
        <v>83</v>
      </c>
      <c r="V446" s="18" t="s">
        <v>95</v>
      </c>
      <c r="W446" s="18" t="s">
        <v>83</v>
      </c>
      <c r="X446" s="18" t="s">
        <v>84</v>
      </c>
      <c r="Y446" s="18" t="s">
        <v>85</v>
      </c>
      <c r="Z446" s="18" t="s">
        <v>86</v>
      </c>
      <c r="AA446" s="18" t="s">
        <v>87</v>
      </c>
      <c r="AB446" s="18" t="s">
        <v>541</v>
      </c>
      <c r="AC446" s="18" t="s">
        <v>542</v>
      </c>
      <c r="AD446" s="18" t="s">
        <v>85</v>
      </c>
      <c r="AE446" s="18" t="s">
        <v>90</v>
      </c>
      <c r="AF446" s="18" t="s">
        <v>138</v>
      </c>
      <c r="AG446" s="18" t="s">
        <v>139</v>
      </c>
      <c r="AH446" s="18" t="s">
        <v>93</v>
      </c>
      <c r="AI446" s="18" t="s">
        <v>94</v>
      </c>
      <c r="AJ446" s="19">
        <v>44911</v>
      </c>
      <c r="AK446" s="22" t="s">
        <v>95</v>
      </c>
      <c r="AL446" s="18" t="s">
        <v>95</v>
      </c>
      <c r="AM446" s="18" t="s">
        <v>95</v>
      </c>
      <c r="AN446" s="18" t="s">
        <v>95</v>
      </c>
      <c r="AO446" s="18" t="s">
        <v>95</v>
      </c>
      <c r="AP446" s="18" t="s">
        <v>95</v>
      </c>
      <c r="AQ446" s="18" t="s">
        <v>95</v>
      </c>
      <c r="AR446" s="18" t="s">
        <v>95</v>
      </c>
      <c r="AS446" s="18" t="s">
        <v>83</v>
      </c>
      <c r="AT446" s="18" t="s">
        <v>83</v>
      </c>
      <c r="AU446" s="18" t="s">
        <v>81</v>
      </c>
      <c r="AV446" s="18" t="s">
        <v>95</v>
      </c>
      <c r="AW446" s="18" t="s">
        <v>95</v>
      </c>
      <c r="AX446" s="18"/>
      <c r="AY446" s="18" t="str">
        <f>Pospago[[#This Row],[NUM_TELEFONICO]]&amp;"POSPAGOSI"</f>
        <v>984656455POSPAGOSI</v>
      </c>
      <c r="AZ446" s="18" t="str">
        <f>VLOOKUP(Pospago[[#This Row],[NOM_PLAZA_FINAL]],[1]!Locales[#Data],3,0)</f>
        <v>TIENDA AMERICA</v>
      </c>
      <c r="BA446" s="18" t="str">
        <f>IFERROR(VLOOKUP(Pospago[[#This Row],[USUARIO]],[1]!Personal[#Data],6,0),"EJECUTIVO NO REGISTRADO")</f>
        <v>CEVALLOS PONCE DIANA CAROLINA</v>
      </c>
      <c r="BB446" s="18" t="str">
        <f>Pospago[[#This Row],[TIPO_MOVIMIENTO]]&amp;" "&amp;Pospago[[#This Row],[FORMA_PAGO_FINAL]]</f>
        <v>ALTAS DOMICILIADO</v>
      </c>
      <c r="BC446" s="18">
        <f>DAY(Pospago[[#This Row],[FECHA_ALTA]])</f>
        <v>16</v>
      </c>
      <c r="BD446" s="18">
        <f>IF(Pospago[[#This Row],[TARIFA_BASICA]]=11.42,1,0)</f>
        <v>0</v>
      </c>
      <c r="BE446" s="18">
        <f>IF(Pospago[[#This Row],[PLANES TELEVENTAS]]="SI",1,0)</f>
        <v>0</v>
      </c>
      <c r="BF446" s="18">
        <f>1</f>
        <v>1</v>
      </c>
      <c r="BG446" s="18">
        <f>IF(OR(Pospago[[#This Row],[TARIFA_BASICA]]=11.42,Pospago[[#This Row],[PLANES TELEVENTAS]]="SI"),1,0)</f>
        <v>0</v>
      </c>
      <c r="BH446" s="18" t="str">
        <f>IF(MID(Pospago[[#This Row],[PlanDesc]],1,4) = "PLAN","POSPAGO",IF(MID(Pospago[[#This Row],[PlanDesc]],1,4)="FULL","FULL MEGAS","PREVIOPAGO"))</f>
        <v>PREVIOPAGO</v>
      </c>
      <c r="BI4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46" s="21">
        <f>Pospago[[#This Row],[TARIFA_BASICA]]*1.5</f>
        <v>21.419999999999998</v>
      </c>
    </row>
    <row r="447" spans="1:63" x14ac:dyDescent="0.25">
      <c r="A447" s="18" t="s">
        <v>154</v>
      </c>
      <c r="B447" s="18" t="s">
        <v>2974</v>
      </c>
      <c r="C447" s="18" t="s">
        <v>2975</v>
      </c>
      <c r="D447" s="19">
        <v>44907</v>
      </c>
      <c r="E447" s="18" t="s">
        <v>67</v>
      </c>
      <c r="F447" s="18" t="s">
        <v>2976</v>
      </c>
      <c r="G447" s="18" t="s">
        <v>2977</v>
      </c>
      <c r="H447" s="18" t="s">
        <v>159</v>
      </c>
      <c r="I447" s="18" t="s">
        <v>194</v>
      </c>
      <c r="J447" s="18" t="s">
        <v>268</v>
      </c>
      <c r="K447" s="18" t="s">
        <v>132</v>
      </c>
      <c r="L447" s="20" t="s">
        <v>2978</v>
      </c>
      <c r="M447" s="18" t="s">
        <v>75</v>
      </c>
      <c r="N447" s="20" t="s">
        <v>2979</v>
      </c>
      <c r="O447" s="18" t="s">
        <v>164</v>
      </c>
      <c r="P447" s="18" t="s">
        <v>78</v>
      </c>
      <c r="Q447" s="19">
        <v>44914</v>
      </c>
      <c r="R447" s="21">
        <v>14.28</v>
      </c>
      <c r="S447" s="18" t="s">
        <v>79</v>
      </c>
      <c r="T447" s="18" t="s">
        <v>174</v>
      </c>
      <c r="U447" s="18" t="s">
        <v>83</v>
      </c>
      <c r="V447" s="18" t="s">
        <v>95</v>
      </c>
      <c r="W447" s="18" t="s">
        <v>95</v>
      </c>
      <c r="X447" s="18" t="s">
        <v>118</v>
      </c>
      <c r="Y447" s="18" t="s">
        <v>85</v>
      </c>
      <c r="Z447" s="18" t="s">
        <v>86</v>
      </c>
      <c r="AA447" s="18" t="s">
        <v>119</v>
      </c>
      <c r="AB447" s="18" t="s">
        <v>492</v>
      </c>
      <c r="AC447" s="18" t="s">
        <v>493</v>
      </c>
      <c r="AD447" s="18" t="s">
        <v>85</v>
      </c>
      <c r="AE447" s="18" t="s">
        <v>90</v>
      </c>
      <c r="AF447" s="18" t="s">
        <v>177</v>
      </c>
      <c r="AG447" s="18" t="s">
        <v>139</v>
      </c>
      <c r="AH447" s="18" t="s">
        <v>165</v>
      </c>
      <c r="AI447" s="18" t="s">
        <v>94</v>
      </c>
      <c r="AJ447" s="19">
        <v>44907</v>
      </c>
      <c r="AK447" s="22" t="s">
        <v>95</v>
      </c>
      <c r="AL447" s="18" t="s">
        <v>95</v>
      </c>
      <c r="AM447" s="18" t="s">
        <v>95</v>
      </c>
      <c r="AN447" s="18" t="s">
        <v>95</v>
      </c>
      <c r="AO447" s="18" t="s">
        <v>95</v>
      </c>
      <c r="AP447" s="18" t="s">
        <v>95</v>
      </c>
      <c r="AQ447" s="18" t="s">
        <v>95</v>
      </c>
      <c r="AR447" s="18" t="s">
        <v>95</v>
      </c>
      <c r="AS447" s="18" t="s">
        <v>83</v>
      </c>
      <c r="AT447" s="18" t="s">
        <v>81</v>
      </c>
      <c r="AU447" s="18" t="s">
        <v>81</v>
      </c>
      <c r="AV447" s="18" t="s">
        <v>95</v>
      </c>
      <c r="AW447" s="18" t="s">
        <v>95</v>
      </c>
      <c r="AX447" s="18"/>
      <c r="AY447" s="18" t="str">
        <f>Pospago[[#This Row],[NUM_TELEFONICO]]&amp;"POSPAGOSI"</f>
        <v>984658068POSPAGOSI</v>
      </c>
      <c r="AZ447" s="18" t="str">
        <f>VLOOKUP(Pospago[[#This Row],[NOM_PLAZA_FINAL]],[1]!Locales[#Data],3,0)</f>
        <v>TIENDA RECREO</v>
      </c>
      <c r="BA447" s="18" t="str">
        <f>IFERROR(VLOOKUP(Pospago[[#This Row],[USUARIO]],[1]!Personal[#Data],6,0),"EJECUTIVO NO REGISTRADO")</f>
        <v>CONDO GARCIA NICOLAS MATIAS</v>
      </c>
      <c r="BB447" s="18" t="str">
        <f>Pospago[[#This Row],[TIPO_MOVIMIENTO]]&amp;" "&amp;Pospago[[#This Row],[FORMA_PAGO_FINAL]]</f>
        <v>TRANSFERENCIAS PAGO EN CAJA</v>
      </c>
      <c r="BC447" s="18">
        <f>DAY(Pospago[[#This Row],[FECHA_ALTA]])</f>
        <v>12</v>
      </c>
      <c r="BD447" s="18">
        <f>IF(Pospago[[#This Row],[TARIFA_BASICA]]=11.42,1,0)</f>
        <v>0</v>
      </c>
      <c r="BE447" s="18">
        <f>IF(Pospago[[#This Row],[PLANES TELEVENTAS]]="SI",1,0)</f>
        <v>1</v>
      </c>
      <c r="BF447" s="18">
        <f>1</f>
        <v>1</v>
      </c>
      <c r="BG447" s="18">
        <f>IF(OR(Pospago[[#This Row],[TARIFA_BASICA]]=11.42,Pospago[[#This Row],[PLANES TELEVENTAS]]="SI"),1,0)</f>
        <v>1</v>
      </c>
      <c r="BH447" s="18" t="str">
        <f>IF(MID(Pospago[[#This Row],[PlanDesc]],1,4) = "PLAN","POSPAGO",IF(MID(Pospago[[#This Row],[PlanDesc]],1,4)="FULL","FULL MEGAS","PREVIOPAGO"))</f>
        <v>PREVIOPAGO</v>
      </c>
      <c r="BI4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47" s="21">
        <f>Pospago[[#This Row],[TARIFA_BASICA]]*1.5</f>
        <v>21.419999999999998</v>
      </c>
    </row>
    <row r="448" spans="1:63" x14ac:dyDescent="0.25">
      <c r="A448" s="18" t="s">
        <v>154</v>
      </c>
      <c r="B448" s="18" t="s">
        <v>2980</v>
      </c>
      <c r="C448" s="18" t="s">
        <v>2981</v>
      </c>
      <c r="D448" s="19">
        <v>44902</v>
      </c>
      <c r="E448" s="18" t="s">
        <v>67</v>
      </c>
      <c r="F448" s="18" t="s">
        <v>2982</v>
      </c>
      <c r="G448" s="18" t="s">
        <v>2983</v>
      </c>
      <c r="H448" s="18" t="s">
        <v>159</v>
      </c>
      <c r="I448" s="18" t="s">
        <v>160</v>
      </c>
      <c r="J448" s="18" t="s">
        <v>161</v>
      </c>
      <c r="K448" s="18" t="s">
        <v>95</v>
      </c>
      <c r="L448" s="20" t="s">
        <v>2984</v>
      </c>
      <c r="M448" s="18" t="s">
        <v>75</v>
      </c>
      <c r="N448" s="20" t="s">
        <v>2985</v>
      </c>
      <c r="O448" s="18" t="s">
        <v>164</v>
      </c>
      <c r="P448" s="18" t="s">
        <v>78</v>
      </c>
      <c r="Q448" s="19">
        <v>44914</v>
      </c>
      <c r="R448" s="21">
        <v>14.28</v>
      </c>
      <c r="S448" s="18" t="s">
        <v>79</v>
      </c>
      <c r="T448" s="18" t="s">
        <v>135</v>
      </c>
      <c r="U448" s="18" t="s">
        <v>83</v>
      </c>
      <c r="V448" s="18" t="s">
        <v>95</v>
      </c>
      <c r="W448" s="18" t="s">
        <v>95</v>
      </c>
      <c r="X448" s="18" t="s">
        <v>84</v>
      </c>
      <c r="Y448" s="18" t="s">
        <v>85</v>
      </c>
      <c r="Z448" s="18" t="s">
        <v>86</v>
      </c>
      <c r="AA448" s="18" t="s">
        <v>87</v>
      </c>
      <c r="AB448" s="18" t="s">
        <v>866</v>
      </c>
      <c r="AC448" s="18" t="s">
        <v>867</v>
      </c>
      <c r="AD448" s="18" t="s">
        <v>85</v>
      </c>
      <c r="AE448" s="18" t="s">
        <v>90</v>
      </c>
      <c r="AF448" s="18" t="s">
        <v>138</v>
      </c>
      <c r="AG448" s="18" t="s">
        <v>139</v>
      </c>
      <c r="AH448" s="18" t="s">
        <v>165</v>
      </c>
      <c r="AI448" s="18" t="s">
        <v>94</v>
      </c>
      <c r="AJ448" s="19">
        <v>44902</v>
      </c>
      <c r="AK448" s="22" t="s">
        <v>95</v>
      </c>
      <c r="AL448" s="18" t="s">
        <v>95</v>
      </c>
      <c r="AM448" s="18" t="s">
        <v>95</v>
      </c>
      <c r="AN448" s="18" t="s">
        <v>95</v>
      </c>
      <c r="AO448" s="18" t="s">
        <v>95</v>
      </c>
      <c r="AP448" s="18" t="s">
        <v>95</v>
      </c>
      <c r="AQ448" s="18" t="s">
        <v>95</v>
      </c>
      <c r="AR448" s="18" t="s">
        <v>95</v>
      </c>
      <c r="AS448" s="18" t="s">
        <v>83</v>
      </c>
      <c r="AT448" s="18" t="s">
        <v>83</v>
      </c>
      <c r="AU448" s="18" t="s">
        <v>81</v>
      </c>
      <c r="AV448" s="18" t="s">
        <v>95</v>
      </c>
      <c r="AW448" s="18" t="s">
        <v>95</v>
      </c>
      <c r="AX448" s="18"/>
      <c r="AY448" s="18" t="str">
        <f>Pospago[[#This Row],[NUM_TELEFONICO]]&amp;"POSPAGOSI"</f>
        <v>984662218POSPAGOSI</v>
      </c>
      <c r="AZ448" s="18" t="str">
        <f>VLOOKUP(Pospago[[#This Row],[NOM_PLAZA_FINAL]],[1]!Locales[#Data],3,0)</f>
        <v>TIENDA AMERICA</v>
      </c>
      <c r="BA448" s="18" t="str">
        <f>IFERROR(VLOOKUP(Pospago[[#This Row],[USUARIO]],[1]!Personal[#Data],6,0),"EJECUTIVO NO REGISTRADO")</f>
        <v>ORTEGA RUIZ GABRIEL ANTONIO</v>
      </c>
      <c r="BB448" s="18" t="str">
        <f>Pospago[[#This Row],[TIPO_MOVIMIENTO]]&amp;" "&amp;Pospago[[#This Row],[FORMA_PAGO_FINAL]]</f>
        <v>TRANSFERENCIAS DOMICILIADO</v>
      </c>
      <c r="BC448" s="18">
        <f>DAY(Pospago[[#This Row],[FECHA_ALTA]])</f>
        <v>7</v>
      </c>
      <c r="BD448" s="18">
        <f>IF(Pospago[[#This Row],[TARIFA_BASICA]]=11.42,1,0)</f>
        <v>0</v>
      </c>
      <c r="BE448" s="18">
        <f>IF(Pospago[[#This Row],[PLANES TELEVENTAS]]="SI",1,0)</f>
        <v>0</v>
      </c>
      <c r="BF448" s="18">
        <f>1</f>
        <v>1</v>
      </c>
      <c r="BG448" s="18">
        <f>IF(OR(Pospago[[#This Row],[TARIFA_BASICA]]=11.42,Pospago[[#This Row],[PLANES TELEVENTAS]]="SI"),1,0)</f>
        <v>0</v>
      </c>
      <c r="BH448" s="18" t="str">
        <f>IF(MID(Pospago[[#This Row],[PlanDesc]],1,4) = "PLAN","POSPAGO",IF(MID(Pospago[[#This Row],[PlanDesc]],1,4)="FULL","FULL MEGAS","PREVIOPAGO"))</f>
        <v>PREVIOPAGO</v>
      </c>
      <c r="BI4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48" s="21">
        <f>Pospago[[#This Row],[TARIFA_BASICA]]*1.5</f>
        <v>21.419999999999998</v>
      </c>
    </row>
    <row r="449" spans="1:63" x14ac:dyDescent="0.25">
      <c r="A449" s="18" t="s">
        <v>154</v>
      </c>
      <c r="B449" s="18" t="s">
        <v>2986</v>
      </c>
      <c r="C449" s="18" t="s">
        <v>2987</v>
      </c>
      <c r="D449" s="19">
        <v>44900</v>
      </c>
      <c r="E449" s="18" t="s">
        <v>67</v>
      </c>
      <c r="F449" s="18" t="s">
        <v>2988</v>
      </c>
      <c r="G449" s="18" t="s">
        <v>2989</v>
      </c>
      <c r="H449" s="18" t="s">
        <v>159</v>
      </c>
      <c r="I449" s="18" t="s">
        <v>160</v>
      </c>
      <c r="J449" s="18" t="s">
        <v>161</v>
      </c>
      <c r="K449" s="18" t="s">
        <v>95</v>
      </c>
      <c r="L449" s="20" t="s">
        <v>2990</v>
      </c>
      <c r="M449" s="18" t="s">
        <v>75</v>
      </c>
      <c r="N449" s="20" t="s">
        <v>2991</v>
      </c>
      <c r="O449" s="18" t="s">
        <v>164</v>
      </c>
      <c r="P449" s="18" t="s">
        <v>78</v>
      </c>
      <c r="Q449" s="19">
        <v>44914</v>
      </c>
      <c r="R449" s="21">
        <v>14.28</v>
      </c>
      <c r="S449" s="18" t="s">
        <v>79</v>
      </c>
      <c r="T449" s="18" t="s">
        <v>117</v>
      </c>
      <c r="U449" s="18" t="s">
        <v>83</v>
      </c>
      <c r="V449" s="18" t="s">
        <v>95</v>
      </c>
      <c r="W449" s="18" t="s">
        <v>95</v>
      </c>
      <c r="X449" s="18" t="s">
        <v>84</v>
      </c>
      <c r="Y449" s="18" t="s">
        <v>85</v>
      </c>
      <c r="Z449" s="18" t="s">
        <v>86</v>
      </c>
      <c r="AA449" s="18" t="s">
        <v>87</v>
      </c>
      <c r="AB449" s="18" t="s">
        <v>1043</v>
      </c>
      <c r="AC449" s="18" t="s">
        <v>1044</v>
      </c>
      <c r="AD449" s="18" t="s">
        <v>85</v>
      </c>
      <c r="AE449" s="18" t="s">
        <v>90</v>
      </c>
      <c r="AF449" s="18" t="s">
        <v>122</v>
      </c>
      <c r="AG449" s="18" t="s">
        <v>92</v>
      </c>
      <c r="AH449" s="18" t="s">
        <v>165</v>
      </c>
      <c r="AI449" s="18" t="s">
        <v>94</v>
      </c>
      <c r="AJ449" s="19">
        <v>44900</v>
      </c>
      <c r="AK449" s="22" t="s">
        <v>95</v>
      </c>
      <c r="AL449" s="18" t="s">
        <v>95</v>
      </c>
      <c r="AM449" s="18" t="s">
        <v>95</v>
      </c>
      <c r="AN449" s="18" t="s">
        <v>95</v>
      </c>
      <c r="AO449" s="18" t="s">
        <v>95</v>
      </c>
      <c r="AP449" s="18" t="s">
        <v>95</v>
      </c>
      <c r="AQ449" s="18" t="s">
        <v>95</v>
      </c>
      <c r="AR449" s="18" t="s">
        <v>95</v>
      </c>
      <c r="AS449" s="18" t="s">
        <v>83</v>
      </c>
      <c r="AT449" s="18" t="s">
        <v>83</v>
      </c>
      <c r="AU449" s="18" t="s">
        <v>81</v>
      </c>
      <c r="AV449" s="18" t="s">
        <v>95</v>
      </c>
      <c r="AW449" s="18" t="s">
        <v>95</v>
      </c>
      <c r="AX449" s="18"/>
      <c r="AY449" s="18" t="str">
        <f>Pospago[[#This Row],[NUM_TELEFONICO]]&amp;"POSPAGOSI"</f>
        <v>984676559POSPAGOSI</v>
      </c>
      <c r="AZ449" s="18" t="str">
        <f>VLOOKUP(Pospago[[#This Row],[NOM_PLAZA_FINAL]],[1]!Locales[#Data],3,0)</f>
        <v>TIENDA MACHALA</v>
      </c>
      <c r="BA449" s="18" t="str">
        <f>IFERROR(VLOOKUP(Pospago[[#This Row],[USUARIO]],[1]!Personal[#Data],6,0),"EJECUTIVO NO REGISTRADO")</f>
        <v>GONZAGA YUPANGUI LIZBETH KATHERINE</v>
      </c>
      <c r="BB449" s="18" t="str">
        <f>Pospago[[#This Row],[TIPO_MOVIMIENTO]]&amp;" "&amp;Pospago[[#This Row],[FORMA_PAGO_FINAL]]</f>
        <v>TRANSFERENCIAS DOMICILIADO</v>
      </c>
      <c r="BC449" s="18">
        <f>DAY(Pospago[[#This Row],[FECHA_ALTA]])</f>
        <v>5</v>
      </c>
      <c r="BD449" s="18">
        <f>IF(Pospago[[#This Row],[TARIFA_BASICA]]=11.42,1,0)</f>
        <v>0</v>
      </c>
      <c r="BE449" s="18">
        <f>IF(Pospago[[#This Row],[PLANES TELEVENTAS]]="SI",1,0)</f>
        <v>0</v>
      </c>
      <c r="BF449" s="18">
        <f>1</f>
        <v>1</v>
      </c>
      <c r="BG449" s="18">
        <f>IF(OR(Pospago[[#This Row],[TARIFA_BASICA]]=11.42,Pospago[[#This Row],[PLANES TELEVENTAS]]="SI"),1,0)</f>
        <v>0</v>
      </c>
      <c r="BH449" s="18" t="str">
        <f>IF(MID(Pospago[[#This Row],[PlanDesc]],1,4) = "PLAN","POSPAGO",IF(MID(Pospago[[#This Row],[PlanDesc]],1,4)="FULL","FULL MEGAS","PREVIOPAGO"))</f>
        <v>PREVIOPAGO</v>
      </c>
      <c r="BI4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7.26</v>
      </c>
      <c r="BJ4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49" s="21">
        <f>Pospago[[#This Row],[TARIFA_BASICA]]*1.5</f>
        <v>21.419999999999998</v>
      </c>
    </row>
    <row r="450" spans="1:63" x14ac:dyDescent="0.25">
      <c r="A450" s="18" t="s">
        <v>64</v>
      </c>
      <c r="B450" s="18" t="s">
        <v>2992</v>
      </c>
      <c r="C450" s="18" t="s">
        <v>2993</v>
      </c>
      <c r="D450" s="19">
        <v>44909</v>
      </c>
      <c r="E450" s="18" t="s">
        <v>67</v>
      </c>
      <c r="F450" s="18" t="s">
        <v>2994</v>
      </c>
      <c r="G450" s="18" t="s">
        <v>2995</v>
      </c>
      <c r="H450" s="18" t="s">
        <v>70</v>
      </c>
      <c r="I450" s="18" t="s">
        <v>160</v>
      </c>
      <c r="J450" s="18" t="s">
        <v>195</v>
      </c>
      <c r="K450" s="18" t="s">
        <v>73</v>
      </c>
      <c r="L450" s="20" t="s">
        <v>2996</v>
      </c>
      <c r="M450" s="18" t="s">
        <v>75</v>
      </c>
      <c r="N450" s="20" t="s">
        <v>2997</v>
      </c>
      <c r="O450" s="18" t="s">
        <v>77</v>
      </c>
      <c r="P450" s="18" t="s">
        <v>78</v>
      </c>
      <c r="Q450" s="19">
        <v>44914</v>
      </c>
      <c r="R450" s="21">
        <v>14.28</v>
      </c>
      <c r="S450" s="18" t="s">
        <v>79</v>
      </c>
      <c r="T450" s="18" t="s">
        <v>135</v>
      </c>
      <c r="U450" s="18" t="s">
        <v>83</v>
      </c>
      <c r="V450" s="18" t="s">
        <v>95</v>
      </c>
      <c r="W450" s="18" t="s">
        <v>83</v>
      </c>
      <c r="X450" s="18" t="s">
        <v>84</v>
      </c>
      <c r="Y450" s="18" t="s">
        <v>85</v>
      </c>
      <c r="Z450" s="18" t="s">
        <v>86</v>
      </c>
      <c r="AA450" s="18" t="s">
        <v>87</v>
      </c>
      <c r="AB450" s="18" t="s">
        <v>478</v>
      </c>
      <c r="AC450" s="18" t="s">
        <v>479</v>
      </c>
      <c r="AD450" s="18" t="s">
        <v>85</v>
      </c>
      <c r="AE450" s="18" t="s">
        <v>90</v>
      </c>
      <c r="AF450" s="18" t="s">
        <v>138</v>
      </c>
      <c r="AG450" s="18" t="s">
        <v>139</v>
      </c>
      <c r="AH450" s="18" t="s">
        <v>93</v>
      </c>
      <c r="AI450" s="18" t="s">
        <v>94</v>
      </c>
      <c r="AJ450" s="19">
        <v>44909</v>
      </c>
      <c r="AK450" s="22" t="s">
        <v>95</v>
      </c>
      <c r="AL450" s="18" t="s">
        <v>95</v>
      </c>
      <c r="AM450" s="18" t="s">
        <v>95</v>
      </c>
      <c r="AN450" s="18" t="s">
        <v>95</v>
      </c>
      <c r="AO450" s="18" t="s">
        <v>95</v>
      </c>
      <c r="AP450" s="18" t="s">
        <v>95</v>
      </c>
      <c r="AQ450" s="18" t="s">
        <v>95</v>
      </c>
      <c r="AR450" s="18" t="s">
        <v>95</v>
      </c>
      <c r="AS450" s="18" t="s">
        <v>83</v>
      </c>
      <c r="AT450" s="18" t="s">
        <v>83</v>
      </c>
      <c r="AU450" s="18" t="s">
        <v>81</v>
      </c>
      <c r="AV450" s="18" t="s">
        <v>95</v>
      </c>
      <c r="AW450" s="18" t="s">
        <v>95</v>
      </c>
      <c r="AX450" s="18"/>
      <c r="AY450" s="18" t="str">
        <f>Pospago[[#This Row],[NUM_TELEFONICO]]&amp;"POSPAGOSI"</f>
        <v>984683584POSPAGOSI</v>
      </c>
      <c r="AZ450" s="18" t="str">
        <f>VLOOKUP(Pospago[[#This Row],[NOM_PLAZA_FINAL]],[1]!Locales[#Data],3,0)</f>
        <v>TIENDA AMERICA</v>
      </c>
      <c r="BA450" s="18" t="str">
        <f>IFERROR(VLOOKUP(Pospago[[#This Row],[USUARIO]],[1]!Personal[#Data],6,0),"EJECUTIVO NO REGISTRADO")</f>
        <v>REINO TUFINO PAULTEH KATHERINE</v>
      </c>
      <c r="BB450" s="18" t="str">
        <f>Pospago[[#This Row],[TIPO_MOVIMIENTO]]&amp;" "&amp;Pospago[[#This Row],[FORMA_PAGO_FINAL]]</f>
        <v>ALTAS DOMICILIADO</v>
      </c>
      <c r="BC450" s="18">
        <f>DAY(Pospago[[#This Row],[FECHA_ALTA]])</f>
        <v>14</v>
      </c>
      <c r="BD450" s="18">
        <f>IF(Pospago[[#This Row],[TARIFA_BASICA]]=11.42,1,0)</f>
        <v>0</v>
      </c>
      <c r="BE450" s="18">
        <f>IF(Pospago[[#This Row],[PLANES TELEVENTAS]]="SI",1,0)</f>
        <v>0</v>
      </c>
      <c r="BF450" s="18">
        <f>1</f>
        <v>1</v>
      </c>
      <c r="BG450" s="18">
        <f>IF(OR(Pospago[[#This Row],[TARIFA_BASICA]]=11.42,Pospago[[#This Row],[PLANES TELEVENTAS]]="SI"),1,0)</f>
        <v>0</v>
      </c>
      <c r="BH450" s="18" t="str">
        <f>IF(MID(Pospago[[#This Row],[PlanDesc]],1,4) = "PLAN","POSPAGO",IF(MID(Pospago[[#This Row],[PlanDesc]],1,4)="FULL","FULL MEGAS","PREVIOPAGO"))</f>
        <v>PREVIOPAGO</v>
      </c>
      <c r="BI4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0" s="21">
        <f>Pospago[[#This Row],[TARIFA_BASICA]]*1.5</f>
        <v>21.419999999999998</v>
      </c>
    </row>
    <row r="451" spans="1:63" x14ac:dyDescent="0.25">
      <c r="A451" s="18" t="s">
        <v>64</v>
      </c>
      <c r="B451" s="18" t="s">
        <v>2998</v>
      </c>
      <c r="C451" s="18" t="s">
        <v>2999</v>
      </c>
      <c r="D451" s="19">
        <v>44908</v>
      </c>
      <c r="E451" s="18" t="s">
        <v>67</v>
      </c>
      <c r="F451" s="18" t="s">
        <v>3000</v>
      </c>
      <c r="G451" s="18" t="s">
        <v>3001</v>
      </c>
      <c r="H451" s="18" t="s">
        <v>70</v>
      </c>
      <c r="I451" s="18" t="s">
        <v>712</v>
      </c>
      <c r="J451" s="18" t="s">
        <v>113</v>
      </c>
      <c r="K451" s="18" t="s">
        <v>95</v>
      </c>
      <c r="L451" s="20" t="s">
        <v>3002</v>
      </c>
      <c r="M451" s="18" t="s">
        <v>75</v>
      </c>
      <c r="N451" s="20" t="s">
        <v>3003</v>
      </c>
      <c r="O451" s="18" t="s">
        <v>77</v>
      </c>
      <c r="P451" s="18" t="s">
        <v>78</v>
      </c>
      <c r="Q451" s="19">
        <v>44914</v>
      </c>
      <c r="R451" s="21">
        <v>17.850000000000001</v>
      </c>
      <c r="S451" s="18" t="s">
        <v>79</v>
      </c>
      <c r="T451" s="18" t="s">
        <v>232</v>
      </c>
      <c r="U451" s="18" t="s">
        <v>83</v>
      </c>
      <c r="V451" s="18" t="s">
        <v>95</v>
      </c>
      <c r="W451" s="18" t="s">
        <v>83</v>
      </c>
      <c r="X451" s="18" t="s">
        <v>84</v>
      </c>
      <c r="Y451" s="18" t="s">
        <v>85</v>
      </c>
      <c r="Z451" s="18" t="s">
        <v>86</v>
      </c>
      <c r="AA451" s="18" t="s">
        <v>87</v>
      </c>
      <c r="AB451" s="18" t="s">
        <v>280</v>
      </c>
      <c r="AC451" s="18" t="s">
        <v>281</v>
      </c>
      <c r="AD451" s="18" t="s">
        <v>85</v>
      </c>
      <c r="AE451" s="18" t="s">
        <v>90</v>
      </c>
      <c r="AF451" s="18" t="s">
        <v>235</v>
      </c>
      <c r="AG451" s="18" t="s">
        <v>139</v>
      </c>
      <c r="AH451" s="18" t="s">
        <v>93</v>
      </c>
      <c r="AI451" s="18" t="s">
        <v>94</v>
      </c>
      <c r="AJ451" s="19">
        <v>44908</v>
      </c>
      <c r="AK451" s="22" t="s">
        <v>95</v>
      </c>
      <c r="AL451" s="18" t="s">
        <v>95</v>
      </c>
      <c r="AM451" s="18" t="s">
        <v>95</v>
      </c>
      <c r="AN451" s="18" t="s">
        <v>95</v>
      </c>
      <c r="AO451" s="18" t="s">
        <v>95</v>
      </c>
      <c r="AP451" s="18" t="s">
        <v>95</v>
      </c>
      <c r="AQ451" s="18" t="s">
        <v>95</v>
      </c>
      <c r="AR451" s="18" t="s">
        <v>95</v>
      </c>
      <c r="AS451" s="18" t="s">
        <v>83</v>
      </c>
      <c r="AT451" s="18" t="s">
        <v>81</v>
      </c>
      <c r="AU451" s="18" t="s">
        <v>81</v>
      </c>
      <c r="AV451" s="18" t="s">
        <v>95</v>
      </c>
      <c r="AW451" s="18" t="s">
        <v>95</v>
      </c>
      <c r="AX451" s="18"/>
      <c r="AY451" s="18" t="str">
        <f>Pospago[[#This Row],[NUM_TELEFONICO]]&amp;"POSPAGOSI"</f>
        <v>984688942POSPAGOSI</v>
      </c>
      <c r="AZ451" s="18" t="str">
        <f>VLOOKUP(Pospago[[#This Row],[NOM_PLAZA_FINAL]],[1]!Locales[#Data],3,0)</f>
        <v>TIENDA CONDADO</v>
      </c>
      <c r="BA451" s="18" t="str">
        <f>IFERROR(VLOOKUP(Pospago[[#This Row],[USUARIO]],[1]!Personal[#Data],6,0),"EJECUTIVO NO REGISTRADO")</f>
        <v>GUACHAMIN CAZA HUGO ADRIAN</v>
      </c>
      <c r="BB451" s="18" t="str">
        <f>Pospago[[#This Row],[TIPO_MOVIMIENTO]]&amp;" "&amp;Pospago[[#This Row],[FORMA_PAGO_FINAL]]</f>
        <v>ALTAS DOMICILIADO</v>
      </c>
      <c r="BC451" s="18">
        <f>DAY(Pospago[[#This Row],[FECHA_ALTA]])</f>
        <v>13</v>
      </c>
      <c r="BD451" s="18">
        <f>IF(Pospago[[#This Row],[TARIFA_BASICA]]=11.42,1,0)</f>
        <v>0</v>
      </c>
      <c r="BE451" s="18">
        <f>IF(Pospago[[#This Row],[PLANES TELEVENTAS]]="SI",1,0)</f>
        <v>1</v>
      </c>
      <c r="BF451" s="18">
        <f>1</f>
        <v>1</v>
      </c>
      <c r="BG451" s="18">
        <f>IF(OR(Pospago[[#This Row],[TARIFA_BASICA]]=11.42,Pospago[[#This Row],[PLANES TELEVENTAS]]="SI"),1,0)</f>
        <v>1</v>
      </c>
      <c r="BH451" s="18" t="str">
        <f>IF(MID(Pospago[[#This Row],[PlanDesc]],1,4) = "PLAN","POSPAGO",IF(MID(Pospago[[#This Row],[PlanDesc]],1,4)="FULL","FULL MEGAS","PREVIOPAGO"))</f>
        <v>PREVIOPAGO</v>
      </c>
      <c r="BI4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4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1" s="21">
        <f>Pospago[[#This Row],[TARIFA_BASICA]]*1.5</f>
        <v>26.775000000000002</v>
      </c>
    </row>
    <row r="452" spans="1:63" x14ac:dyDescent="0.25">
      <c r="A452" s="18" t="s">
        <v>154</v>
      </c>
      <c r="B452" s="18" t="s">
        <v>3004</v>
      </c>
      <c r="C452" s="18" t="s">
        <v>3005</v>
      </c>
      <c r="D452" s="19">
        <v>44909</v>
      </c>
      <c r="E452" s="18" t="s">
        <v>67</v>
      </c>
      <c r="F452" s="18" t="s">
        <v>3006</v>
      </c>
      <c r="G452" s="18" t="s">
        <v>3007</v>
      </c>
      <c r="H452" s="18" t="s">
        <v>159</v>
      </c>
      <c r="I452" s="18" t="s">
        <v>160</v>
      </c>
      <c r="J452" s="18" t="s">
        <v>161</v>
      </c>
      <c r="K452" s="18" t="s">
        <v>73</v>
      </c>
      <c r="L452" s="20" t="s">
        <v>3008</v>
      </c>
      <c r="M452" s="18" t="s">
        <v>75</v>
      </c>
      <c r="N452" s="20" t="s">
        <v>3009</v>
      </c>
      <c r="O452" s="18" t="s">
        <v>164</v>
      </c>
      <c r="P452" s="18" t="s">
        <v>78</v>
      </c>
      <c r="Q452" s="19">
        <v>44914</v>
      </c>
      <c r="R452" s="21">
        <v>14.28</v>
      </c>
      <c r="S452" s="18" t="s">
        <v>79</v>
      </c>
      <c r="T452" s="18" t="s">
        <v>174</v>
      </c>
      <c r="U452" s="18" t="s">
        <v>83</v>
      </c>
      <c r="V452" s="18" t="s">
        <v>95</v>
      </c>
      <c r="W452" s="18" t="s">
        <v>95</v>
      </c>
      <c r="X452" s="18" t="s">
        <v>118</v>
      </c>
      <c r="Y452" s="18" t="s">
        <v>85</v>
      </c>
      <c r="Z452" s="18" t="s">
        <v>86</v>
      </c>
      <c r="AA452" s="18" t="s">
        <v>119</v>
      </c>
      <c r="AB452" s="18" t="s">
        <v>740</v>
      </c>
      <c r="AC452" s="18" t="s">
        <v>741</v>
      </c>
      <c r="AD452" s="18" t="s">
        <v>85</v>
      </c>
      <c r="AE452" s="18" t="s">
        <v>90</v>
      </c>
      <c r="AF452" s="18" t="s">
        <v>177</v>
      </c>
      <c r="AG452" s="18" t="s">
        <v>139</v>
      </c>
      <c r="AH452" s="18" t="s">
        <v>165</v>
      </c>
      <c r="AI452" s="18" t="s">
        <v>94</v>
      </c>
      <c r="AJ452" s="19">
        <v>44909</v>
      </c>
      <c r="AK452" s="22" t="s">
        <v>95</v>
      </c>
      <c r="AL452" s="18" t="s">
        <v>95</v>
      </c>
      <c r="AM452" s="18" t="s">
        <v>95</v>
      </c>
      <c r="AN452" s="18" t="s">
        <v>95</v>
      </c>
      <c r="AO452" s="18" t="s">
        <v>95</v>
      </c>
      <c r="AP452" s="18" t="s">
        <v>95</v>
      </c>
      <c r="AQ452" s="18" t="s">
        <v>95</v>
      </c>
      <c r="AR452" s="18" t="s">
        <v>95</v>
      </c>
      <c r="AS452" s="18" t="s">
        <v>83</v>
      </c>
      <c r="AT452" s="18" t="s">
        <v>83</v>
      </c>
      <c r="AU452" s="18" t="s">
        <v>81</v>
      </c>
      <c r="AV452" s="18" t="s">
        <v>95</v>
      </c>
      <c r="AW452" s="18" t="s">
        <v>95</v>
      </c>
      <c r="AX452" s="18"/>
      <c r="AY452" s="18" t="str">
        <f>Pospago[[#This Row],[NUM_TELEFONICO]]&amp;"POSPAGOSI"</f>
        <v>984694545POSPAGOSI</v>
      </c>
      <c r="AZ452" s="18" t="str">
        <f>VLOOKUP(Pospago[[#This Row],[NOM_PLAZA_FINAL]],[1]!Locales[#Data],3,0)</f>
        <v>TIENDA RECREO</v>
      </c>
      <c r="BA452" s="18" t="str">
        <f>IFERROR(VLOOKUP(Pospago[[#This Row],[USUARIO]],[1]!Personal[#Data],6,0),"EJECUTIVO NO REGISTRADO")</f>
        <v>CHAVEZ VASQUEZ YESSENIA KATHERINE</v>
      </c>
      <c r="BB452" s="18" t="str">
        <f>Pospago[[#This Row],[TIPO_MOVIMIENTO]]&amp;" "&amp;Pospago[[#This Row],[FORMA_PAGO_FINAL]]</f>
        <v>TRANSFERENCIAS PAGO EN CAJA</v>
      </c>
      <c r="BC452" s="18">
        <f>DAY(Pospago[[#This Row],[FECHA_ALTA]])</f>
        <v>14</v>
      </c>
      <c r="BD452" s="18">
        <f>IF(Pospago[[#This Row],[TARIFA_BASICA]]=11.42,1,0)</f>
        <v>0</v>
      </c>
      <c r="BE452" s="18">
        <f>IF(Pospago[[#This Row],[PLANES TELEVENTAS]]="SI",1,0)</f>
        <v>0</v>
      </c>
      <c r="BF452" s="18">
        <f>1</f>
        <v>1</v>
      </c>
      <c r="BG452" s="18">
        <f>IF(OR(Pospago[[#This Row],[TARIFA_BASICA]]=11.42,Pospago[[#This Row],[PLANES TELEVENTAS]]="SI"),1,0)</f>
        <v>0</v>
      </c>
      <c r="BH452" s="18" t="str">
        <f>IF(MID(Pospago[[#This Row],[PlanDesc]],1,4) = "PLAN","POSPAGO",IF(MID(Pospago[[#This Row],[PlanDesc]],1,4)="FULL","FULL MEGAS","PREVIOPAGO"))</f>
        <v>PREVIOPAGO</v>
      </c>
      <c r="BI4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2" s="21">
        <f>Pospago[[#This Row],[TARIFA_BASICA]]*1.5</f>
        <v>21.419999999999998</v>
      </c>
    </row>
    <row r="453" spans="1:63" x14ac:dyDescent="0.25">
      <c r="A453" s="18" t="s">
        <v>154</v>
      </c>
      <c r="B453" s="18" t="s">
        <v>3010</v>
      </c>
      <c r="C453" s="18" t="s">
        <v>3011</v>
      </c>
      <c r="D453" s="19">
        <v>44907</v>
      </c>
      <c r="E453" s="18" t="s">
        <v>67</v>
      </c>
      <c r="F453" s="18" t="s">
        <v>3012</v>
      </c>
      <c r="G453" s="18" t="s">
        <v>3013</v>
      </c>
      <c r="H453" s="18" t="s">
        <v>159</v>
      </c>
      <c r="I453" s="18" t="s">
        <v>194</v>
      </c>
      <c r="J453" s="18" t="s">
        <v>268</v>
      </c>
      <c r="K453" s="18" t="s">
        <v>132</v>
      </c>
      <c r="L453" s="20" t="s">
        <v>3014</v>
      </c>
      <c r="M453" s="18" t="s">
        <v>75</v>
      </c>
      <c r="N453" s="20" t="s">
        <v>3015</v>
      </c>
      <c r="O453" s="18" t="s">
        <v>164</v>
      </c>
      <c r="P453" s="18" t="s">
        <v>78</v>
      </c>
      <c r="Q453" s="19">
        <v>44914</v>
      </c>
      <c r="R453" s="21">
        <v>14.28</v>
      </c>
      <c r="S453" s="18" t="s">
        <v>79</v>
      </c>
      <c r="T453" s="18" t="s">
        <v>174</v>
      </c>
      <c r="U453" s="18" t="s">
        <v>83</v>
      </c>
      <c r="V453" s="18" t="s">
        <v>95</v>
      </c>
      <c r="W453" s="18" t="s">
        <v>95</v>
      </c>
      <c r="X453" s="18" t="s">
        <v>118</v>
      </c>
      <c r="Y453" s="18" t="s">
        <v>85</v>
      </c>
      <c r="Z453" s="18" t="s">
        <v>86</v>
      </c>
      <c r="AA453" s="18" t="s">
        <v>119</v>
      </c>
      <c r="AB453" s="18" t="s">
        <v>199</v>
      </c>
      <c r="AC453" s="18" t="s">
        <v>200</v>
      </c>
      <c r="AD453" s="18" t="s">
        <v>85</v>
      </c>
      <c r="AE453" s="18" t="s">
        <v>90</v>
      </c>
      <c r="AF453" s="18" t="s">
        <v>177</v>
      </c>
      <c r="AG453" s="18" t="s">
        <v>139</v>
      </c>
      <c r="AH453" s="18" t="s">
        <v>165</v>
      </c>
      <c r="AI453" s="18" t="s">
        <v>94</v>
      </c>
      <c r="AJ453" s="19">
        <v>44907</v>
      </c>
      <c r="AK453" s="22" t="s">
        <v>95</v>
      </c>
      <c r="AL453" s="18" t="s">
        <v>95</v>
      </c>
      <c r="AM453" s="18" t="s">
        <v>95</v>
      </c>
      <c r="AN453" s="18" t="s">
        <v>95</v>
      </c>
      <c r="AO453" s="18" t="s">
        <v>95</v>
      </c>
      <c r="AP453" s="18" t="s">
        <v>95</v>
      </c>
      <c r="AQ453" s="18" t="s">
        <v>95</v>
      </c>
      <c r="AR453" s="18" t="s">
        <v>95</v>
      </c>
      <c r="AS453" s="18" t="s">
        <v>83</v>
      </c>
      <c r="AT453" s="18" t="s">
        <v>81</v>
      </c>
      <c r="AU453" s="18" t="s">
        <v>81</v>
      </c>
      <c r="AV453" s="18" t="s">
        <v>95</v>
      </c>
      <c r="AW453" s="18" t="s">
        <v>95</v>
      </c>
      <c r="AX453" s="18"/>
      <c r="AY453" s="18" t="str">
        <f>Pospago[[#This Row],[NUM_TELEFONICO]]&amp;"POSPAGOSI"</f>
        <v>984695498POSPAGOSI</v>
      </c>
      <c r="AZ453" s="18" t="str">
        <f>VLOOKUP(Pospago[[#This Row],[NOM_PLAZA_FINAL]],[1]!Locales[#Data],3,0)</f>
        <v>TIENDA RECREO</v>
      </c>
      <c r="BA453" s="18" t="str">
        <f>IFERROR(VLOOKUP(Pospago[[#This Row],[USUARIO]],[1]!Personal[#Data],6,0),"EJECUTIVO NO REGISTRADO")</f>
        <v>MEDINA LAPO DAYANNA CAROLINA</v>
      </c>
      <c r="BB453" s="18" t="str">
        <f>Pospago[[#This Row],[TIPO_MOVIMIENTO]]&amp;" "&amp;Pospago[[#This Row],[FORMA_PAGO_FINAL]]</f>
        <v>TRANSFERENCIAS PAGO EN CAJA</v>
      </c>
      <c r="BC453" s="18">
        <f>DAY(Pospago[[#This Row],[FECHA_ALTA]])</f>
        <v>12</v>
      </c>
      <c r="BD453" s="18">
        <f>IF(Pospago[[#This Row],[TARIFA_BASICA]]=11.42,1,0)</f>
        <v>0</v>
      </c>
      <c r="BE453" s="18">
        <f>IF(Pospago[[#This Row],[PLANES TELEVENTAS]]="SI",1,0)</f>
        <v>1</v>
      </c>
      <c r="BF453" s="18">
        <f>1</f>
        <v>1</v>
      </c>
      <c r="BG453" s="18">
        <f>IF(OR(Pospago[[#This Row],[TARIFA_BASICA]]=11.42,Pospago[[#This Row],[PLANES TELEVENTAS]]="SI"),1,0)</f>
        <v>1</v>
      </c>
      <c r="BH453" s="18" t="str">
        <f>IF(MID(Pospago[[#This Row],[PlanDesc]],1,4) = "PLAN","POSPAGO",IF(MID(Pospago[[#This Row],[PlanDesc]],1,4)="FULL","FULL MEGAS","PREVIOPAGO"))</f>
        <v>PREVIOPAGO</v>
      </c>
      <c r="BI4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3" s="21">
        <f>Pospago[[#This Row],[TARIFA_BASICA]]*1.5</f>
        <v>21.419999999999998</v>
      </c>
    </row>
    <row r="454" spans="1:63" x14ac:dyDescent="0.25">
      <c r="A454" s="18" t="s">
        <v>154</v>
      </c>
      <c r="B454" s="18" t="s">
        <v>3016</v>
      </c>
      <c r="C454" s="18" t="s">
        <v>3017</v>
      </c>
      <c r="D454" s="19">
        <v>44910</v>
      </c>
      <c r="E454" s="18" t="s">
        <v>67</v>
      </c>
      <c r="F454" s="18" t="s">
        <v>3018</v>
      </c>
      <c r="G454" s="18" t="s">
        <v>3019</v>
      </c>
      <c r="H454" s="18" t="s">
        <v>159</v>
      </c>
      <c r="I454" s="18" t="s">
        <v>160</v>
      </c>
      <c r="J454" s="18" t="s">
        <v>161</v>
      </c>
      <c r="K454" s="18" t="s">
        <v>73</v>
      </c>
      <c r="L454" s="20" t="s">
        <v>3020</v>
      </c>
      <c r="M454" s="18" t="s">
        <v>75</v>
      </c>
      <c r="N454" s="20" t="s">
        <v>3021</v>
      </c>
      <c r="O454" s="18" t="s">
        <v>164</v>
      </c>
      <c r="P454" s="18" t="s">
        <v>78</v>
      </c>
      <c r="Q454" s="19">
        <v>44914</v>
      </c>
      <c r="R454" s="21">
        <v>14.28</v>
      </c>
      <c r="S454" s="18" t="s">
        <v>79</v>
      </c>
      <c r="T454" s="18" t="s">
        <v>174</v>
      </c>
      <c r="U454" s="18" t="s">
        <v>83</v>
      </c>
      <c r="V454" s="18" t="s">
        <v>95</v>
      </c>
      <c r="W454" s="18" t="s">
        <v>95</v>
      </c>
      <c r="X454" s="18" t="s">
        <v>118</v>
      </c>
      <c r="Y454" s="18" t="s">
        <v>85</v>
      </c>
      <c r="Z454" s="18" t="s">
        <v>86</v>
      </c>
      <c r="AA454" s="18" t="s">
        <v>119</v>
      </c>
      <c r="AB454" s="18" t="s">
        <v>251</v>
      </c>
      <c r="AC454" s="18" t="s">
        <v>252</v>
      </c>
      <c r="AD454" s="18" t="s">
        <v>85</v>
      </c>
      <c r="AE454" s="18" t="s">
        <v>90</v>
      </c>
      <c r="AF454" s="18" t="s">
        <v>177</v>
      </c>
      <c r="AG454" s="18" t="s">
        <v>139</v>
      </c>
      <c r="AH454" s="18" t="s">
        <v>165</v>
      </c>
      <c r="AI454" s="18" t="s">
        <v>94</v>
      </c>
      <c r="AJ454" s="19">
        <v>44910</v>
      </c>
      <c r="AK454" s="22" t="s">
        <v>95</v>
      </c>
      <c r="AL454" s="18" t="s">
        <v>95</v>
      </c>
      <c r="AM454" s="18" t="s">
        <v>95</v>
      </c>
      <c r="AN454" s="18" t="s">
        <v>95</v>
      </c>
      <c r="AO454" s="18" t="s">
        <v>95</v>
      </c>
      <c r="AP454" s="18" t="s">
        <v>95</v>
      </c>
      <c r="AQ454" s="18" t="s">
        <v>95</v>
      </c>
      <c r="AR454" s="18" t="s">
        <v>95</v>
      </c>
      <c r="AS454" s="18" t="s">
        <v>83</v>
      </c>
      <c r="AT454" s="18" t="s">
        <v>83</v>
      </c>
      <c r="AU454" s="18" t="s">
        <v>81</v>
      </c>
      <c r="AV454" s="18" t="s">
        <v>95</v>
      </c>
      <c r="AW454" s="18" t="s">
        <v>95</v>
      </c>
      <c r="AX454" s="18"/>
      <c r="AY454" s="18" t="str">
        <f>Pospago[[#This Row],[NUM_TELEFONICO]]&amp;"POSPAGOSI"</f>
        <v>984736861POSPAGOSI</v>
      </c>
      <c r="AZ454" s="18" t="str">
        <f>VLOOKUP(Pospago[[#This Row],[NOM_PLAZA_FINAL]],[1]!Locales[#Data],3,0)</f>
        <v>TIENDA RECREO</v>
      </c>
      <c r="BA454" s="18" t="str">
        <f>IFERROR(VLOOKUP(Pospago[[#This Row],[USUARIO]],[1]!Personal[#Data],6,0),"EJECUTIVO NO REGISTRADO")</f>
        <v>CRUZ MONTUFAR KATHERINE ALEJANDRA</v>
      </c>
      <c r="BB454" s="18" t="str">
        <f>Pospago[[#This Row],[TIPO_MOVIMIENTO]]&amp;" "&amp;Pospago[[#This Row],[FORMA_PAGO_FINAL]]</f>
        <v>TRANSFERENCIAS PAGO EN CAJA</v>
      </c>
      <c r="BC454" s="18">
        <f>DAY(Pospago[[#This Row],[FECHA_ALTA]])</f>
        <v>15</v>
      </c>
      <c r="BD454" s="18">
        <f>IF(Pospago[[#This Row],[TARIFA_BASICA]]=11.42,1,0)</f>
        <v>0</v>
      </c>
      <c r="BE454" s="18">
        <f>IF(Pospago[[#This Row],[PLANES TELEVENTAS]]="SI",1,0)</f>
        <v>0</v>
      </c>
      <c r="BF454" s="18">
        <f>1</f>
        <v>1</v>
      </c>
      <c r="BG454" s="18">
        <f>IF(OR(Pospago[[#This Row],[TARIFA_BASICA]]=11.42,Pospago[[#This Row],[PLANES TELEVENTAS]]="SI"),1,0)</f>
        <v>0</v>
      </c>
      <c r="BH454" s="18" t="str">
        <f>IF(MID(Pospago[[#This Row],[PlanDesc]],1,4) = "PLAN","POSPAGO",IF(MID(Pospago[[#This Row],[PlanDesc]],1,4)="FULL","FULL MEGAS","PREVIOPAGO"))</f>
        <v>PREVIOPAGO</v>
      </c>
      <c r="BI4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4" s="21">
        <f>Pospago[[#This Row],[TARIFA_BASICA]]*1.5</f>
        <v>21.419999999999998</v>
      </c>
    </row>
    <row r="455" spans="1:63" x14ac:dyDescent="0.25">
      <c r="A455" s="18" t="s">
        <v>154</v>
      </c>
      <c r="B455" s="18" t="s">
        <v>3022</v>
      </c>
      <c r="C455" s="18" t="s">
        <v>3023</v>
      </c>
      <c r="D455" s="19">
        <v>44900</v>
      </c>
      <c r="E455" s="18" t="s">
        <v>67</v>
      </c>
      <c r="F455" s="18" t="s">
        <v>3024</v>
      </c>
      <c r="G455" s="18" t="s">
        <v>3025</v>
      </c>
      <c r="H455" s="18" t="s">
        <v>159</v>
      </c>
      <c r="I455" s="18" t="s">
        <v>160</v>
      </c>
      <c r="J455" s="18" t="s">
        <v>161</v>
      </c>
      <c r="K455" s="18" t="s">
        <v>132</v>
      </c>
      <c r="L455" s="20" t="s">
        <v>3026</v>
      </c>
      <c r="M455" s="18" t="s">
        <v>75</v>
      </c>
      <c r="N455" s="20" t="s">
        <v>3027</v>
      </c>
      <c r="O455" s="18" t="s">
        <v>164</v>
      </c>
      <c r="P455" s="18" t="s">
        <v>78</v>
      </c>
      <c r="Q455" s="19">
        <v>44914</v>
      </c>
      <c r="R455" s="21">
        <v>14.28</v>
      </c>
      <c r="S455" s="18" t="s">
        <v>79</v>
      </c>
      <c r="T455" s="18" t="s">
        <v>80</v>
      </c>
      <c r="U455" s="18" t="s">
        <v>83</v>
      </c>
      <c r="V455" s="18" t="s">
        <v>95</v>
      </c>
      <c r="W455" s="18" t="s">
        <v>95</v>
      </c>
      <c r="X455" s="18" t="s">
        <v>118</v>
      </c>
      <c r="Y455" s="18" t="s">
        <v>85</v>
      </c>
      <c r="Z455" s="18" t="s">
        <v>86</v>
      </c>
      <c r="AA455" s="18" t="s">
        <v>119</v>
      </c>
      <c r="AB455" s="18" t="s">
        <v>880</v>
      </c>
      <c r="AC455" s="18" t="s">
        <v>881</v>
      </c>
      <c r="AD455" s="18" t="s">
        <v>85</v>
      </c>
      <c r="AE455" s="18" t="s">
        <v>90</v>
      </c>
      <c r="AF455" s="18" t="s">
        <v>91</v>
      </c>
      <c r="AG455" s="18" t="s">
        <v>92</v>
      </c>
      <c r="AH455" s="18" t="s">
        <v>165</v>
      </c>
      <c r="AI455" s="18" t="s">
        <v>94</v>
      </c>
      <c r="AJ455" s="19">
        <v>44900</v>
      </c>
      <c r="AK455" s="22" t="s">
        <v>95</v>
      </c>
      <c r="AL455" s="18" t="s">
        <v>95</v>
      </c>
      <c r="AM455" s="18" t="s">
        <v>95</v>
      </c>
      <c r="AN455" s="18" t="s">
        <v>95</v>
      </c>
      <c r="AO455" s="18" t="s">
        <v>95</v>
      </c>
      <c r="AP455" s="18" t="s">
        <v>95</v>
      </c>
      <c r="AQ455" s="18" t="s">
        <v>95</v>
      </c>
      <c r="AR455" s="18" t="s">
        <v>95</v>
      </c>
      <c r="AS455" s="18" t="s">
        <v>83</v>
      </c>
      <c r="AT455" s="18" t="s">
        <v>83</v>
      </c>
      <c r="AU455" s="18" t="s">
        <v>81</v>
      </c>
      <c r="AV455" s="18" t="s">
        <v>95</v>
      </c>
      <c r="AW455" s="18" t="s">
        <v>95</v>
      </c>
      <c r="AX455" s="18"/>
      <c r="AY455" s="18" t="str">
        <f>Pospago[[#This Row],[NUM_TELEFONICO]]&amp;"POSPAGOSI"</f>
        <v>984736982POSPAGOSI</v>
      </c>
      <c r="AZ455" s="18" t="str">
        <f>VLOOKUP(Pospago[[#This Row],[NOM_PLAZA_FINAL]],[1]!Locales[#Data],3,0)</f>
        <v>TIENDA CUENCA CENTRO</v>
      </c>
      <c r="BA455" s="18" t="str">
        <f>IFERROR(VLOOKUP(Pospago[[#This Row],[USUARIO]],[1]!Personal[#Data],6,0),"EJECUTIVO NO REGISTRADO")</f>
        <v>LUNA JACHO ANDREA GABRIELA</v>
      </c>
      <c r="BB455" s="18" t="str">
        <f>Pospago[[#This Row],[TIPO_MOVIMIENTO]]&amp;" "&amp;Pospago[[#This Row],[FORMA_PAGO_FINAL]]</f>
        <v>TRANSFERENCIAS PAGO EN CAJA</v>
      </c>
      <c r="BC455" s="18">
        <f>DAY(Pospago[[#This Row],[FECHA_ALTA]])</f>
        <v>5</v>
      </c>
      <c r="BD455" s="18">
        <f>IF(Pospago[[#This Row],[TARIFA_BASICA]]=11.42,1,0)</f>
        <v>0</v>
      </c>
      <c r="BE455" s="18">
        <f>IF(Pospago[[#This Row],[PLANES TELEVENTAS]]="SI",1,0)</f>
        <v>0</v>
      </c>
      <c r="BF455" s="18">
        <f>1</f>
        <v>1</v>
      </c>
      <c r="BG455" s="18">
        <f>IF(OR(Pospago[[#This Row],[TARIFA_BASICA]]=11.42,Pospago[[#This Row],[PLANES TELEVENTAS]]="SI"),1,0)</f>
        <v>0</v>
      </c>
      <c r="BH455" s="18" t="str">
        <f>IF(MID(Pospago[[#This Row],[PlanDesc]],1,4) = "PLAN","POSPAGO",IF(MID(Pospago[[#This Row],[PlanDesc]],1,4)="FULL","FULL MEGAS","PREVIOPAGO"))</f>
        <v>PREVIOPAGO</v>
      </c>
      <c r="BI4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5" s="21">
        <f>Pospago[[#This Row],[TARIFA_BASICA]]*1.5</f>
        <v>21.419999999999998</v>
      </c>
    </row>
    <row r="456" spans="1:63" x14ac:dyDescent="0.25">
      <c r="A456" s="18" t="s">
        <v>154</v>
      </c>
      <c r="B456" s="18" t="s">
        <v>3028</v>
      </c>
      <c r="C456" s="18" t="s">
        <v>3029</v>
      </c>
      <c r="D456" s="19">
        <v>44902</v>
      </c>
      <c r="E456" s="18" t="s">
        <v>67</v>
      </c>
      <c r="F456" s="18" t="s">
        <v>3030</v>
      </c>
      <c r="G456" s="18" t="s">
        <v>3031</v>
      </c>
      <c r="H456" s="18" t="s">
        <v>159</v>
      </c>
      <c r="I456" s="18" t="s">
        <v>160</v>
      </c>
      <c r="J456" s="18" t="s">
        <v>161</v>
      </c>
      <c r="K456" s="18" t="s">
        <v>3032</v>
      </c>
      <c r="L456" s="20" t="s">
        <v>3033</v>
      </c>
      <c r="M456" s="18" t="s">
        <v>75</v>
      </c>
      <c r="N456" s="20" t="s">
        <v>3034</v>
      </c>
      <c r="O456" s="18" t="s">
        <v>311</v>
      </c>
      <c r="P456" s="18" t="s">
        <v>78</v>
      </c>
      <c r="Q456" s="19">
        <v>44914</v>
      </c>
      <c r="R456" s="21">
        <v>14.28</v>
      </c>
      <c r="S456" s="18" t="s">
        <v>79</v>
      </c>
      <c r="T456" s="18" t="s">
        <v>232</v>
      </c>
      <c r="U456" s="18" t="s">
        <v>83</v>
      </c>
      <c r="V456" s="18" t="s">
        <v>95</v>
      </c>
      <c r="W456" s="18" t="s">
        <v>95</v>
      </c>
      <c r="X456" s="18" t="s">
        <v>84</v>
      </c>
      <c r="Y456" s="18" t="s">
        <v>85</v>
      </c>
      <c r="Z456" s="18" t="s">
        <v>86</v>
      </c>
      <c r="AA456" s="18" t="s">
        <v>87</v>
      </c>
      <c r="AB456" s="18" t="s">
        <v>377</v>
      </c>
      <c r="AC456" s="18" t="s">
        <v>378</v>
      </c>
      <c r="AD456" s="18" t="s">
        <v>85</v>
      </c>
      <c r="AE456" s="18" t="s">
        <v>90</v>
      </c>
      <c r="AF456" s="18" t="s">
        <v>235</v>
      </c>
      <c r="AG456" s="18" t="s">
        <v>139</v>
      </c>
      <c r="AH456" s="18" t="s">
        <v>165</v>
      </c>
      <c r="AI456" s="18" t="s">
        <v>94</v>
      </c>
      <c r="AJ456" s="19">
        <v>44902</v>
      </c>
      <c r="AK456" s="22" t="s">
        <v>95</v>
      </c>
      <c r="AL456" s="18" t="s">
        <v>95</v>
      </c>
      <c r="AM456" s="18" t="s">
        <v>95</v>
      </c>
      <c r="AN456" s="18" t="s">
        <v>95</v>
      </c>
      <c r="AO456" s="18" t="s">
        <v>95</v>
      </c>
      <c r="AP456" s="18" t="s">
        <v>95</v>
      </c>
      <c r="AQ456" s="18" t="s">
        <v>95</v>
      </c>
      <c r="AR456" s="18" t="s">
        <v>95</v>
      </c>
      <c r="AS456" s="18" t="s">
        <v>83</v>
      </c>
      <c r="AT456" s="18" t="s">
        <v>83</v>
      </c>
      <c r="AU456" s="18" t="s">
        <v>81</v>
      </c>
      <c r="AV456" s="18" t="s">
        <v>95</v>
      </c>
      <c r="AW456" s="18" t="s">
        <v>95</v>
      </c>
      <c r="AX456" s="18"/>
      <c r="AY456" s="18" t="str">
        <f>Pospago[[#This Row],[NUM_TELEFONICO]]&amp;"POSPAGOSI"</f>
        <v>984756026POSPAGOSI</v>
      </c>
      <c r="AZ456" s="18" t="str">
        <f>VLOOKUP(Pospago[[#This Row],[NOM_PLAZA_FINAL]],[1]!Locales[#Data],3,0)</f>
        <v>TIENDA CONDADO</v>
      </c>
      <c r="BA456" s="18" t="str">
        <f>IFERROR(VLOOKUP(Pospago[[#This Row],[USUARIO]],[1]!Personal[#Data],6,0),"EJECUTIVO NO REGISTRADO")</f>
        <v>MELCHIADE ISAAC VALMORE</v>
      </c>
      <c r="BB456" s="18" t="str">
        <f>Pospago[[#This Row],[TIPO_MOVIMIENTO]]&amp;" "&amp;Pospago[[#This Row],[FORMA_PAGO_FINAL]]</f>
        <v>TRANSFERENCIAS DOMICILIADO</v>
      </c>
      <c r="BC456" s="18">
        <f>DAY(Pospago[[#This Row],[FECHA_ALTA]])</f>
        <v>7</v>
      </c>
      <c r="BD456" s="18">
        <f>IF(Pospago[[#This Row],[TARIFA_BASICA]]=11.42,1,0)</f>
        <v>0</v>
      </c>
      <c r="BE456" s="18">
        <f>IF(Pospago[[#This Row],[PLANES TELEVENTAS]]="SI",1,0)</f>
        <v>0</v>
      </c>
      <c r="BF456" s="18">
        <f>1</f>
        <v>1</v>
      </c>
      <c r="BG456" s="18">
        <f>IF(OR(Pospago[[#This Row],[TARIFA_BASICA]]=11.42,Pospago[[#This Row],[PLANES TELEVENTAS]]="SI"),1,0)</f>
        <v>0</v>
      </c>
      <c r="BH456" s="18" t="str">
        <f>IF(MID(Pospago[[#This Row],[PlanDesc]],1,4) = "PLAN","POSPAGO",IF(MID(Pospago[[#This Row],[PlanDesc]],1,4)="FULL","FULL MEGAS","PREVIOPAGO"))</f>
        <v>PREVIOPAGO</v>
      </c>
      <c r="BI4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6" s="21">
        <f>Pospago[[#This Row],[TARIFA_BASICA]]*1.5</f>
        <v>21.419999999999998</v>
      </c>
    </row>
    <row r="457" spans="1:63" x14ac:dyDescent="0.25">
      <c r="A457" s="18" t="s">
        <v>154</v>
      </c>
      <c r="B457" s="18" t="s">
        <v>3035</v>
      </c>
      <c r="C457" s="18" t="s">
        <v>3036</v>
      </c>
      <c r="D457" s="19">
        <v>44908</v>
      </c>
      <c r="E457" s="18" t="s">
        <v>67</v>
      </c>
      <c r="F457" s="18" t="s">
        <v>3037</v>
      </c>
      <c r="G457" s="18" t="s">
        <v>3038</v>
      </c>
      <c r="H457" s="18" t="s">
        <v>159</v>
      </c>
      <c r="I457" s="18" t="s">
        <v>130</v>
      </c>
      <c r="J457" s="18" t="s">
        <v>433</v>
      </c>
      <c r="K457" s="18" t="s">
        <v>132</v>
      </c>
      <c r="L457" s="20" t="s">
        <v>3039</v>
      </c>
      <c r="M457" s="18" t="s">
        <v>75</v>
      </c>
      <c r="N457" s="20" t="s">
        <v>3040</v>
      </c>
      <c r="O457" s="18" t="s">
        <v>231</v>
      </c>
      <c r="P457" s="18" t="s">
        <v>78</v>
      </c>
      <c r="Q457" s="19">
        <v>44914</v>
      </c>
      <c r="R457" s="21">
        <v>15</v>
      </c>
      <c r="S457" s="18" t="s">
        <v>79</v>
      </c>
      <c r="T457" s="18" t="s">
        <v>174</v>
      </c>
      <c r="U457" s="18" t="s">
        <v>83</v>
      </c>
      <c r="V457" s="18" t="s">
        <v>95</v>
      </c>
      <c r="W457" s="18" t="s">
        <v>95</v>
      </c>
      <c r="X457" s="18" t="s">
        <v>84</v>
      </c>
      <c r="Y457" s="18" t="s">
        <v>85</v>
      </c>
      <c r="Z457" s="18" t="s">
        <v>86</v>
      </c>
      <c r="AA457" s="18" t="s">
        <v>87</v>
      </c>
      <c r="AB457" s="18" t="s">
        <v>303</v>
      </c>
      <c r="AC457" s="18" t="s">
        <v>304</v>
      </c>
      <c r="AD457" s="18" t="s">
        <v>85</v>
      </c>
      <c r="AE457" s="18" t="s">
        <v>90</v>
      </c>
      <c r="AF457" s="18" t="s">
        <v>177</v>
      </c>
      <c r="AG457" s="18" t="s">
        <v>139</v>
      </c>
      <c r="AH457" s="18" t="s">
        <v>165</v>
      </c>
      <c r="AI457" s="18" t="s">
        <v>94</v>
      </c>
      <c r="AJ457" s="19">
        <v>44908</v>
      </c>
      <c r="AK457" s="22" t="s">
        <v>95</v>
      </c>
      <c r="AL457" s="18" t="s">
        <v>95</v>
      </c>
      <c r="AM457" s="18" t="s">
        <v>95</v>
      </c>
      <c r="AN457" s="18" t="s">
        <v>95</v>
      </c>
      <c r="AO457" s="18" t="s">
        <v>95</v>
      </c>
      <c r="AP457" s="18" t="s">
        <v>95</v>
      </c>
      <c r="AQ457" s="18" t="s">
        <v>95</v>
      </c>
      <c r="AR457" s="18" t="s">
        <v>95</v>
      </c>
      <c r="AS457" s="18" t="s">
        <v>83</v>
      </c>
      <c r="AT457" s="18" t="s">
        <v>83</v>
      </c>
      <c r="AU457" s="18" t="s">
        <v>81</v>
      </c>
      <c r="AV457" s="18" t="s">
        <v>95</v>
      </c>
      <c r="AW457" s="18" t="s">
        <v>95</v>
      </c>
      <c r="AX457" s="18"/>
      <c r="AY457" s="18" t="str">
        <f>Pospago[[#This Row],[NUM_TELEFONICO]]&amp;"POSPAGOSI"</f>
        <v>984759856POSPAGOSI</v>
      </c>
      <c r="AZ457" s="18" t="str">
        <f>VLOOKUP(Pospago[[#This Row],[NOM_PLAZA_FINAL]],[1]!Locales[#Data],3,0)</f>
        <v>TIENDA RECREO</v>
      </c>
      <c r="BA457" s="18" t="str">
        <f>IFERROR(VLOOKUP(Pospago[[#This Row],[USUARIO]],[1]!Personal[#Data],6,0),"EJECUTIVO NO REGISTRADO")</f>
        <v>CORDOVA GAIBOR JONATHAN HERNAN</v>
      </c>
      <c r="BB457" s="18" t="str">
        <f>Pospago[[#This Row],[TIPO_MOVIMIENTO]]&amp;" "&amp;Pospago[[#This Row],[FORMA_PAGO_FINAL]]</f>
        <v>TRANSFERENCIAS DOMICILIADO</v>
      </c>
      <c r="BC457" s="18">
        <f>DAY(Pospago[[#This Row],[FECHA_ALTA]])</f>
        <v>13</v>
      </c>
      <c r="BD457" s="18">
        <f>IF(Pospago[[#This Row],[TARIFA_BASICA]]=11.42,1,0)</f>
        <v>0</v>
      </c>
      <c r="BE457" s="18">
        <f>IF(Pospago[[#This Row],[PLANES TELEVENTAS]]="SI",1,0)</f>
        <v>0</v>
      </c>
      <c r="BF457" s="18">
        <f>1</f>
        <v>1</v>
      </c>
      <c r="BG457" s="18">
        <f>IF(OR(Pospago[[#This Row],[TARIFA_BASICA]]=11.42,Pospago[[#This Row],[PLANES TELEVENTAS]]="SI"),1,0)</f>
        <v>0</v>
      </c>
      <c r="BH457" s="18" t="str">
        <f>IF(MID(Pospago[[#This Row],[PlanDesc]],1,4) = "PLAN","POSPAGO",IF(MID(Pospago[[#This Row],[PlanDesc]],1,4)="FULL","FULL MEGAS","PREVIOPAGO"))</f>
        <v>PREVIOPAGO</v>
      </c>
      <c r="BI4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4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7" s="21">
        <f>Pospago[[#This Row],[TARIFA_BASICA]]*1.5</f>
        <v>22.5</v>
      </c>
    </row>
    <row r="458" spans="1:63" x14ac:dyDescent="0.25">
      <c r="A458" s="18" t="s">
        <v>64</v>
      </c>
      <c r="B458" s="18" t="s">
        <v>3041</v>
      </c>
      <c r="C458" s="18" t="s">
        <v>3042</v>
      </c>
      <c r="D458" s="19">
        <v>44900</v>
      </c>
      <c r="E458" s="18" t="s">
        <v>67</v>
      </c>
      <c r="F458" s="18" t="s">
        <v>3043</v>
      </c>
      <c r="G458" s="18" t="s">
        <v>3044</v>
      </c>
      <c r="H458" s="18" t="s">
        <v>70</v>
      </c>
      <c r="I458" s="18" t="s">
        <v>606</v>
      </c>
      <c r="J458" s="18" t="s">
        <v>607</v>
      </c>
      <c r="K458" s="18" t="s">
        <v>114</v>
      </c>
      <c r="L458" s="20" t="s">
        <v>3045</v>
      </c>
      <c r="M458" s="18" t="s">
        <v>75</v>
      </c>
      <c r="N458" s="20" t="s">
        <v>3046</v>
      </c>
      <c r="O458" s="18" t="s">
        <v>311</v>
      </c>
      <c r="P458" s="18" t="s">
        <v>78</v>
      </c>
      <c r="Q458" s="19">
        <v>44914</v>
      </c>
      <c r="R458" s="21">
        <v>26.78</v>
      </c>
      <c r="S458" s="18" t="s">
        <v>79</v>
      </c>
      <c r="T458" s="18" t="s">
        <v>117</v>
      </c>
      <c r="U458" s="18" t="s">
        <v>83</v>
      </c>
      <c r="V458" s="18" t="s">
        <v>95</v>
      </c>
      <c r="W458" s="18" t="s">
        <v>83</v>
      </c>
      <c r="X458" s="18" t="s">
        <v>84</v>
      </c>
      <c r="Y458" s="18" t="s">
        <v>85</v>
      </c>
      <c r="Z458" s="18" t="s">
        <v>86</v>
      </c>
      <c r="AA458" s="18" t="s">
        <v>87</v>
      </c>
      <c r="AB458" s="18" t="s">
        <v>1043</v>
      </c>
      <c r="AC458" s="18" t="s">
        <v>1044</v>
      </c>
      <c r="AD458" s="18" t="s">
        <v>85</v>
      </c>
      <c r="AE458" s="18" t="s">
        <v>90</v>
      </c>
      <c r="AF458" s="18" t="s">
        <v>122</v>
      </c>
      <c r="AG458" s="18" t="s">
        <v>92</v>
      </c>
      <c r="AH458" s="18" t="s">
        <v>93</v>
      </c>
      <c r="AI458" s="18" t="s">
        <v>94</v>
      </c>
      <c r="AJ458" s="19">
        <v>44900</v>
      </c>
      <c r="AK458" s="22" t="s">
        <v>95</v>
      </c>
      <c r="AL458" s="18" t="s">
        <v>95</v>
      </c>
      <c r="AM458" s="18" t="s">
        <v>95</v>
      </c>
      <c r="AN458" s="18" t="s">
        <v>95</v>
      </c>
      <c r="AO458" s="18" t="s">
        <v>95</v>
      </c>
      <c r="AP458" s="18" t="s">
        <v>95</v>
      </c>
      <c r="AQ458" s="18" t="s">
        <v>95</v>
      </c>
      <c r="AR458" s="18" t="s">
        <v>95</v>
      </c>
      <c r="AS458" s="18" t="s">
        <v>83</v>
      </c>
      <c r="AT458" s="18" t="s">
        <v>83</v>
      </c>
      <c r="AU458" s="18" t="s">
        <v>81</v>
      </c>
      <c r="AV458" s="18" t="s">
        <v>95</v>
      </c>
      <c r="AW458" s="18" t="s">
        <v>95</v>
      </c>
      <c r="AX458" s="18"/>
      <c r="AY458" s="18" t="str">
        <f>Pospago[[#This Row],[NUM_TELEFONICO]]&amp;"POSPAGOSI"</f>
        <v>984782851POSPAGOSI</v>
      </c>
      <c r="AZ458" s="18" t="str">
        <f>VLOOKUP(Pospago[[#This Row],[NOM_PLAZA_FINAL]],[1]!Locales[#Data],3,0)</f>
        <v>TIENDA MACHALA</v>
      </c>
      <c r="BA458" s="18" t="str">
        <f>IFERROR(VLOOKUP(Pospago[[#This Row],[USUARIO]],[1]!Personal[#Data],6,0),"EJECUTIVO NO REGISTRADO")</f>
        <v>GONZAGA YUPANGUI LIZBETH KATHERINE</v>
      </c>
      <c r="BB458" s="18" t="str">
        <f>Pospago[[#This Row],[TIPO_MOVIMIENTO]]&amp;" "&amp;Pospago[[#This Row],[FORMA_PAGO_FINAL]]</f>
        <v>ALTAS DOMICILIADO</v>
      </c>
      <c r="BC458" s="18">
        <f>DAY(Pospago[[#This Row],[FECHA_ALTA]])</f>
        <v>5</v>
      </c>
      <c r="BD458" s="18">
        <f>IF(Pospago[[#This Row],[TARIFA_BASICA]]=11.42,1,0)</f>
        <v>0</v>
      </c>
      <c r="BE458" s="18">
        <f>IF(Pospago[[#This Row],[PLANES TELEVENTAS]]="SI",1,0)</f>
        <v>0</v>
      </c>
      <c r="BF458" s="18">
        <f>1</f>
        <v>1</v>
      </c>
      <c r="BG458" s="18">
        <f>IF(OR(Pospago[[#This Row],[TARIFA_BASICA]]=11.42,Pospago[[#This Row],[PLANES TELEVENTAS]]="SI"),1,0)</f>
        <v>0</v>
      </c>
      <c r="BH458" s="18" t="str">
        <f>IF(MID(Pospago[[#This Row],[PlanDesc]],1,4) = "PLAN","POSPAGO",IF(MID(Pospago[[#This Row],[PlanDesc]],1,4)="FULL","FULL MEGAS","PREVIOPAGO"))</f>
        <v>PREVIOPAGO</v>
      </c>
      <c r="BI4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54.624000000000002</v>
      </c>
      <c r="BJ4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8" s="21">
        <f>Pospago[[#This Row],[TARIFA_BASICA]]*1.5</f>
        <v>40.17</v>
      </c>
    </row>
    <row r="459" spans="1:63" x14ac:dyDescent="0.25">
      <c r="A459" s="18" t="s">
        <v>154</v>
      </c>
      <c r="B459" s="18" t="s">
        <v>3047</v>
      </c>
      <c r="C459" s="18" t="s">
        <v>3048</v>
      </c>
      <c r="D459" s="19">
        <v>44901</v>
      </c>
      <c r="E459" s="18" t="s">
        <v>67</v>
      </c>
      <c r="F459" s="18" t="s">
        <v>3049</v>
      </c>
      <c r="G459" s="18" t="s">
        <v>3050</v>
      </c>
      <c r="H459" s="18" t="s">
        <v>159</v>
      </c>
      <c r="I459" s="18" t="s">
        <v>130</v>
      </c>
      <c r="J459" s="18" t="s">
        <v>433</v>
      </c>
      <c r="K459" s="18" t="s">
        <v>132</v>
      </c>
      <c r="L459" s="20" t="s">
        <v>3051</v>
      </c>
      <c r="M459" s="18" t="s">
        <v>75</v>
      </c>
      <c r="N459" s="20" t="s">
        <v>3052</v>
      </c>
      <c r="O459" s="18" t="s">
        <v>164</v>
      </c>
      <c r="P459" s="18" t="s">
        <v>78</v>
      </c>
      <c r="Q459" s="19">
        <v>44914</v>
      </c>
      <c r="R459" s="21">
        <v>15</v>
      </c>
      <c r="S459" s="18" t="s">
        <v>79</v>
      </c>
      <c r="T459" s="18" t="s">
        <v>174</v>
      </c>
      <c r="U459" s="18" t="s">
        <v>83</v>
      </c>
      <c r="V459" s="18" t="s">
        <v>95</v>
      </c>
      <c r="W459" s="18" t="s">
        <v>95</v>
      </c>
      <c r="X459" s="18" t="s">
        <v>84</v>
      </c>
      <c r="Y459" s="18" t="s">
        <v>85</v>
      </c>
      <c r="Z459" s="18" t="s">
        <v>86</v>
      </c>
      <c r="AA459" s="18" t="s">
        <v>87</v>
      </c>
      <c r="AB459" s="18" t="s">
        <v>262</v>
      </c>
      <c r="AC459" s="18" t="s">
        <v>263</v>
      </c>
      <c r="AD459" s="18" t="s">
        <v>85</v>
      </c>
      <c r="AE459" s="18" t="s">
        <v>90</v>
      </c>
      <c r="AF459" s="18" t="s">
        <v>177</v>
      </c>
      <c r="AG459" s="18" t="s">
        <v>139</v>
      </c>
      <c r="AH459" s="18" t="s">
        <v>165</v>
      </c>
      <c r="AI459" s="18" t="s">
        <v>94</v>
      </c>
      <c r="AJ459" s="19">
        <v>44901</v>
      </c>
      <c r="AK459" s="22" t="s">
        <v>95</v>
      </c>
      <c r="AL459" s="18" t="s">
        <v>95</v>
      </c>
      <c r="AM459" s="18" t="s">
        <v>95</v>
      </c>
      <c r="AN459" s="18" t="s">
        <v>95</v>
      </c>
      <c r="AO459" s="18" t="s">
        <v>95</v>
      </c>
      <c r="AP459" s="18" t="s">
        <v>95</v>
      </c>
      <c r="AQ459" s="18" t="s">
        <v>95</v>
      </c>
      <c r="AR459" s="18" t="s">
        <v>95</v>
      </c>
      <c r="AS459" s="18" t="s">
        <v>83</v>
      </c>
      <c r="AT459" s="18" t="s">
        <v>83</v>
      </c>
      <c r="AU459" s="18" t="s">
        <v>81</v>
      </c>
      <c r="AV459" s="18" t="s">
        <v>95</v>
      </c>
      <c r="AW459" s="18" t="s">
        <v>95</v>
      </c>
      <c r="AX459" s="18"/>
      <c r="AY459" s="18" t="str">
        <f>Pospago[[#This Row],[NUM_TELEFONICO]]&amp;"POSPAGOSI"</f>
        <v>984793070POSPAGOSI</v>
      </c>
      <c r="AZ459" s="18" t="str">
        <f>VLOOKUP(Pospago[[#This Row],[NOM_PLAZA_FINAL]],[1]!Locales[#Data],3,0)</f>
        <v>TIENDA RECREO</v>
      </c>
      <c r="BA459" s="18" t="str">
        <f>IFERROR(VLOOKUP(Pospago[[#This Row],[USUARIO]],[1]!Personal[#Data],6,0),"EJECUTIVO NO REGISTRADO")</f>
        <v>CHICAIZA TOAPANTA ALEX DANILO</v>
      </c>
      <c r="BB459" s="18" t="str">
        <f>Pospago[[#This Row],[TIPO_MOVIMIENTO]]&amp;" "&amp;Pospago[[#This Row],[FORMA_PAGO_FINAL]]</f>
        <v>TRANSFERENCIAS DOMICILIADO</v>
      </c>
      <c r="BC459" s="18">
        <f>DAY(Pospago[[#This Row],[FECHA_ALTA]])</f>
        <v>6</v>
      </c>
      <c r="BD459" s="18">
        <f>IF(Pospago[[#This Row],[TARIFA_BASICA]]=11.42,1,0)</f>
        <v>0</v>
      </c>
      <c r="BE459" s="18">
        <f>IF(Pospago[[#This Row],[PLANES TELEVENTAS]]="SI",1,0)</f>
        <v>0</v>
      </c>
      <c r="BF459" s="18">
        <f>1</f>
        <v>1</v>
      </c>
      <c r="BG459" s="18">
        <f>IF(OR(Pospago[[#This Row],[TARIFA_BASICA]]=11.42,Pospago[[#This Row],[PLANES TELEVENTAS]]="SI"),1,0)</f>
        <v>0</v>
      </c>
      <c r="BH459" s="18" t="str">
        <f>IF(MID(Pospago[[#This Row],[PlanDesc]],1,4) = "PLAN","POSPAGO",IF(MID(Pospago[[#This Row],[PlanDesc]],1,4)="FULL","FULL MEGAS","PREVIOPAGO"))</f>
        <v>PREVIOPAGO</v>
      </c>
      <c r="BI4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4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59" s="21">
        <f>Pospago[[#This Row],[TARIFA_BASICA]]*1.5</f>
        <v>22.5</v>
      </c>
    </row>
    <row r="460" spans="1:63" x14ac:dyDescent="0.25">
      <c r="A460" s="18" t="s">
        <v>154</v>
      </c>
      <c r="B460" s="18" t="s">
        <v>3053</v>
      </c>
      <c r="C460" s="18" t="s">
        <v>3054</v>
      </c>
      <c r="D460" s="19">
        <v>44901</v>
      </c>
      <c r="E460" s="18" t="s">
        <v>67</v>
      </c>
      <c r="F460" s="18" t="s">
        <v>3055</v>
      </c>
      <c r="G460" s="18" t="s">
        <v>3056</v>
      </c>
      <c r="H460" s="18" t="s">
        <v>159</v>
      </c>
      <c r="I460" s="18" t="s">
        <v>71</v>
      </c>
      <c r="J460" s="18" t="s">
        <v>258</v>
      </c>
      <c r="K460" s="18" t="s">
        <v>73</v>
      </c>
      <c r="L460" s="20" t="s">
        <v>3057</v>
      </c>
      <c r="M460" s="18" t="s">
        <v>75</v>
      </c>
      <c r="N460" s="20" t="s">
        <v>3058</v>
      </c>
      <c r="O460" s="18" t="s">
        <v>164</v>
      </c>
      <c r="P460" s="18" t="s">
        <v>78</v>
      </c>
      <c r="Q460" s="19">
        <v>44914</v>
      </c>
      <c r="R460" s="21">
        <v>11.42</v>
      </c>
      <c r="S460" s="18" t="s">
        <v>79</v>
      </c>
      <c r="T460" s="18" t="s">
        <v>80</v>
      </c>
      <c r="U460" s="18" t="s">
        <v>83</v>
      </c>
      <c r="V460" s="18" t="s">
        <v>95</v>
      </c>
      <c r="W460" s="18" t="s">
        <v>95</v>
      </c>
      <c r="X460" s="18" t="s">
        <v>118</v>
      </c>
      <c r="Y460" s="18" t="s">
        <v>85</v>
      </c>
      <c r="Z460" s="18" t="s">
        <v>86</v>
      </c>
      <c r="AA460" s="18" t="s">
        <v>119</v>
      </c>
      <c r="AB460" s="18" t="s">
        <v>1020</v>
      </c>
      <c r="AC460" s="18" t="s">
        <v>1021</v>
      </c>
      <c r="AD460" s="18" t="s">
        <v>85</v>
      </c>
      <c r="AE460" s="18" t="s">
        <v>90</v>
      </c>
      <c r="AF460" s="18" t="s">
        <v>91</v>
      </c>
      <c r="AG460" s="18" t="s">
        <v>92</v>
      </c>
      <c r="AH460" s="18" t="s">
        <v>165</v>
      </c>
      <c r="AI460" s="18" t="s">
        <v>94</v>
      </c>
      <c r="AJ460" s="19">
        <v>44901</v>
      </c>
      <c r="AK460" s="22" t="s">
        <v>95</v>
      </c>
      <c r="AL460" s="18" t="s">
        <v>95</v>
      </c>
      <c r="AM460" s="18" t="s">
        <v>95</v>
      </c>
      <c r="AN460" s="18" t="s">
        <v>95</v>
      </c>
      <c r="AO460" s="18" t="s">
        <v>95</v>
      </c>
      <c r="AP460" s="18" t="s">
        <v>95</v>
      </c>
      <c r="AQ460" s="18" t="s">
        <v>95</v>
      </c>
      <c r="AR460" s="18" t="s">
        <v>95</v>
      </c>
      <c r="AS460" s="18" t="s">
        <v>83</v>
      </c>
      <c r="AT460" s="18" t="s">
        <v>83</v>
      </c>
      <c r="AU460" s="18" t="s">
        <v>81</v>
      </c>
      <c r="AV460" s="18" t="s">
        <v>95</v>
      </c>
      <c r="AW460" s="18" t="s">
        <v>95</v>
      </c>
      <c r="AX460" s="18"/>
      <c r="AY460" s="18" t="str">
        <f>Pospago[[#This Row],[NUM_TELEFONICO]]&amp;"POSPAGOSI"</f>
        <v>984797924POSPAGOSI</v>
      </c>
      <c r="AZ460" s="18" t="str">
        <f>VLOOKUP(Pospago[[#This Row],[NOM_PLAZA_FINAL]],[1]!Locales[#Data],3,0)</f>
        <v>TIENDA CUENCA CENTRO</v>
      </c>
      <c r="BA460" s="18" t="str">
        <f>IFERROR(VLOOKUP(Pospago[[#This Row],[USUARIO]],[1]!Personal[#Data],6,0),"EJECUTIVO NO REGISTRADO")</f>
        <v>GONZALES ALVARRACIN PAOLA YESSENIA</v>
      </c>
      <c r="BB460" s="18" t="str">
        <f>Pospago[[#This Row],[TIPO_MOVIMIENTO]]&amp;" "&amp;Pospago[[#This Row],[FORMA_PAGO_FINAL]]</f>
        <v>TRANSFERENCIAS PAGO EN CAJA</v>
      </c>
      <c r="BC460" s="18">
        <f>DAY(Pospago[[#This Row],[FECHA_ALTA]])</f>
        <v>6</v>
      </c>
      <c r="BD460" s="18">
        <f>IF(Pospago[[#This Row],[TARIFA_BASICA]]=11.42,1,0)</f>
        <v>1</v>
      </c>
      <c r="BE460" s="18">
        <f>IF(Pospago[[#This Row],[PLANES TELEVENTAS]]="SI",1,0)</f>
        <v>0</v>
      </c>
      <c r="BF460" s="18">
        <f>1</f>
        <v>1</v>
      </c>
      <c r="BG460" s="18">
        <f>IF(OR(Pospago[[#This Row],[TARIFA_BASICA]]=11.42,Pospago[[#This Row],[PLANES TELEVENTAS]]="SI"),1,0)</f>
        <v>1</v>
      </c>
      <c r="BH460" s="18" t="str">
        <f>IF(MID(Pospago[[#This Row],[PlanDesc]],1,4) = "PLAN","POSPAGO",IF(MID(Pospago[[#This Row],[PlanDesc]],1,4)="FULL","FULL MEGAS","PREVIOPAGO"))</f>
        <v>PREVIOPAGO</v>
      </c>
      <c r="BI4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4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60" s="21">
        <f>Pospago[[#This Row],[TARIFA_BASICA]]*1.5</f>
        <v>17.13</v>
      </c>
    </row>
    <row r="461" spans="1:63" x14ac:dyDescent="0.25">
      <c r="A461" s="18" t="s">
        <v>154</v>
      </c>
      <c r="B461" s="18" t="s">
        <v>3059</v>
      </c>
      <c r="C461" s="18" t="s">
        <v>3060</v>
      </c>
      <c r="D461" s="19">
        <v>44908</v>
      </c>
      <c r="E461" s="18" t="s">
        <v>67</v>
      </c>
      <c r="F461" s="18" t="s">
        <v>3061</v>
      </c>
      <c r="G461" s="18" t="s">
        <v>3062</v>
      </c>
      <c r="H461" s="18" t="s">
        <v>159</v>
      </c>
      <c r="I461" s="18" t="s">
        <v>130</v>
      </c>
      <c r="J461" s="18" t="s">
        <v>433</v>
      </c>
      <c r="K461" s="18" t="s">
        <v>73</v>
      </c>
      <c r="L461" s="20" t="s">
        <v>3063</v>
      </c>
      <c r="M461" s="18" t="s">
        <v>75</v>
      </c>
      <c r="N461" s="20" t="s">
        <v>3064</v>
      </c>
      <c r="O461" s="18" t="s">
        <v>2241</v>
      </c>
      <c r="P461" s="18" t="s">
        <v>78</v>
      </c>
      <c r="Q461" s="19">
        <v>44914</v>
      </c>
      <c r="R461" s="21">
        <v>15</v>
      </c>
      <c r="S461" s="18" t="s">
        <v>79</v>
      </c>
      <c r="T461" s="18" t="s">
        <v>148</v>
      </c>
      <c r="U461" s="18" t="s">
        <v>83</v>
      </c>
      <c r="V461" s="18" t="s">
        <v>95</v>
      </c>
      <c r="W461" s="18" t="s">
        <v>95</v>
      </c>
      <c r="X461" s="18" t="s">
        <v>84</v>
      </c>
      <c r="Y461" s="18" t="s">
        <v>85</v>
      </c>
      <c r="Z461" s="18" t="s">
        <v>86</v>
      </c>
      <c r="AA461" s="18" t="s">
        <v>87</v>
      </c>
      <c r="AB461" s="18" t="s">
        <v>149</v>
      </c>
      <c r="AC461" s="18" t="s">
        <v>150</v>
      </c>
      <c r="AD461" s="18" t="s">
        <v>85</v>
      </c>
      <c r="AE461" s="18" t="s">
        <v>90</v>
      </c>
      <c r="AF461" s="18" t="s">
        <v>151</v>
      </c>
      <c r="AG461" s="18" t="s">
        <v>92</v>
      </c>
      <c r="AH461" s="18" t="s">
        <v>165</v>
      </c>
      <c r="AI461" s="18" t="s">
        <v>94</v>
      </c>
      <c r="AJ461" s="19">
        <v>44908</v>
      </c>
      <c r="AK461" s="22" t="s">
        <v>95</v>
      </c>
      <c r="AL461" s="18" t="s">
        <v>95</v>
      </c>
      <c r="AM461" s="18" t="s">
        <v>95</v>
      </c>
      <c r="AN461" s="18" t="s">
        <v>95</v>
      </c>
      <c r="AO461" s="18" t="s">
        <v>95</v>
      </c>
      <c r="AP461" s="18" t="s">
        <v>95</v>
      </c>
      <c r="AQ461" s="18" t="s">
        <v>95</v>
      </c>
      <c r="AR461" s="18" t="s">
        <v>95</v>
      </c>
      <c r="AS461" s="18" t="s">
        <v>83</v>
      </c>
      <c r="AT461" s="18" t="s">
        <v>83</v>
      </c>
      <c r="AU461" s="18" t="s">
        <v>81</v>
      </c>
      <c r="AV461" s="18" t="s">
        <v>95</v>
      </c>
      <c r="AW461" s="18" t="s">
        <v>95</v>
      </c>
      <c r="AX461" s="18"/>
      <c r="AY461" s="18" t="str">
        <f>Pospago[[#This Row],[NUM_TELEFONICO]]&amp;"POSPAGOSI"</f>
        <v>984815415POSPAGOSI</v>
      </c>
      <c r="AZ461" s="18" t="str">
        <f>VLOOKUP(Pospago[[#This Row],[NOM_PLAZA_FINAL]],[1]!Locales[#Data],3,0)</f>
        <v>TIENDA CUENCA REMIGIO</v>
      </c>
      <c r="BA461" s="18" t="str">
        <f>IFERROR(VLOOKUP(Pospago[[#This Row],[USUARIO]],[1]!Personal[#Data],6,0),"EJECUTIVO NO REGISTRADO")</f>
        <v>OSORIO TEJADA ANA ESTEFANIA</v>
      </c>
      <c r="BB461" s="18" t="str">
        <f>Pospago[[#This Row],[TIPO_MOVIMIENTO]]&amp;" "&amp;Pospago[[#This Row],[FORMA_PAGO_FINAL]]</f>
        <v>TRANSFERENCIAS DOMICILIADO</v>
      </c>
      <c r="BC461" s="18">
        <f>DAY(Pospago[[#This Row],[FECHA_ALTA]])</f>
        <v>13</v>
      </c>
      <c r="BD461" s="18">
        <f>IF(Pospago[[#This Row],[TARIFA_BASICA]]=11.42,1,0)</f>
        <v>0</v>
      </c>
      <c r="BE461" s="18">
        <f>IF(Pospago[[#This Row],[PLANES TELEVENTAS]]="SI",1,0)</f>
        <v>0</v>
      </c>
      <c r="BF461" s="18">
        <f>1</f>
        <v>1</v>
      </c>
      <c r="BG461" s="18">
        <f>IF(OR(Pospago[[#This Row],[TARIFA_BASICA]]=11.42,Pospago[[#This Row],[PLANES TELEVENTAS]]="SI"),1,0)</f>
        <v>0</v>
      </c>
      <c r="BH461" s="18" t="str">
        <f>IF(MID(Pospago[[#This Row],[PlanDesc]],1,4) = "PLAN","POSPAGO",IF(MID(Pospago[[#This Row],[PlanDesc]],1,4)="FULL","FULL MEGAS","PREVIOPAGO"))</f>
        <v>PREVIOPAGO</v>
      </c>
      <c r="BI4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4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61" s="21">
        <f>Pospago[[#This Row],[TARIFA_BASICA]]*1.5</f>
        <v>22.5</v>
      </c>
    </row>
    <row r="462" spans="1:63" x14ac:dyDescent="0.25">
      <c r="A462" s="18" t="s">
        <v>64</v>
      </c>
      <c r="B462" s="18" t="s">
        <v>3065</v>
      </c>
      <c r="C462" s="18" t="s">
        <v>3066</v>
      </c>
      <c r="D462" s="19">
        <v>44896</v>
      </c>
      <c r="E462" s="18" t="s">
        <v>67</v>
      </c>
      <c r="F462" s="18" t="s">
        <v>3067</v>
      </c>
      <c r="G462" s="18" t="s">
        <v>3068</v>
      </c>
      <c r="H462" s="18" t="s">
        <v>70</v>
      </c>
      <c r="I462" s="18" t="s">
        <v>71</v>
      </c>
      <c r="J462" s="18" t="s">
        <v>72</v>
      </c>
      <c r="K462" s="18" t="s">
        <v>95</v>
      </c>
      <c r="L462" s="20" t="s">
        <v>3069</v>
      </c>
      <c r="M462" s="18" t="s">
        <v>75</v>
      </c>
      <c r="N462" s="20" t="s">
        <v>3070</v>
      </c>
      <c r="O462" s="18" t="s">
        <v>77</v>
      </c>
      <c r="P462" s="18" t="s">
        <v>78</v>
      </c>
      <c r="Q462" s="19">
        <v>44914</v>
      </c>
      <c r="R462" s="21">
        <v>11.42</v>
      </c>
      <c r="S462" s="18" t="s">
        <v>79</v>
      </c>
      <c r="T462" s="18" t="s">
        <v>117</v>
      </c>
      <c r="U462" s="18" t="s">
        <v>83</v>
      </c>
      <c r="V462" s="18" t="s">
        <v>95</v>
      </c>
      <c r="W462" s="18" t="s">
        <v>83</v>
      </c>
      <c r="X462" s="18" t="s">
        <v>84</v>
      </c>
      <c r="Y462" s="18" t="s">
        <v>85</v>
      </c>
      <c r="Z462" s="18" t="s">
        <v>86</v>
      </c>
      <c r="AA462" s="18" t="s">
        <v>87</v>
      </c>
      <c r="AB462" s="18" t="s">
        <v>1043</v>
      </c>
      <c r="AC462" s="18" t="s">
        <v>1044</v>
      </c>
      <c r="AD462" s="18" t="s">
        <v>85</v>
      </c>
      <c r="AE462" s="18" t="s">
        <v>90</v>
      </c>
      <c r="AF462" s="18" t="s">
        <v>122</v>
      </c>
      <c r="AG462" s="18" t="s">
        <v>92</v>
      </c>
      <c r="AH462" s="18" t="s">
        <v>93</v>
      </c>
      <c r="AI462" s="18" t="s">
        <v>94</v>
      </c>
      <c r="AJ462" s="19">
        <v>44896</v>
      </c>
      <c r="AK462" s="22" t="s">
        <v>95</v>
      </c>
      <c r="AL462" s="18" t="s">
        <v>95</v>
      </c>
      <c r="AM462" s="18" t="s">
        <v>95</v>
      </c>
      <c r="AN462" s="18" t="s">
        <v>95</v>
      </c>
      <c r="AO462" s="18" t="s">
        <v>95</v>
      </c>
      <c r="AP462" s="18" t="s">
        <v>95</v>
      </c>
      <c r="AQ462" s="18" t="s">
        <v>95</v>
      </c>
      <c r="AR462" s="18" t="s">
        <v>95</v>
      </c>
      <c r="AS462" s="18" t="s">
        <v>83</v>
      </c>
      <c r="AT462" s="18" t="s">
        <v>83</v>
      </c>
      <c r="AU462" s="18" t="s">
        <v>81</v>
      </c>
      <c r="AV462" s="18" t="s">
        <v>95</v>
      </c>
      <c r="AW462" s="18" t="s">
        <v>95</v>
      </c>
      <c r="AX462" s="18"/>
      <c r="AY462" s="18" t="str">
        <f>Pospago[[#This Row],[NUM_TELEFONICO]]&amp;"POSPAGOSI"</f>
        <v>984825569POSPAGOSI</v>
      </c>
      <c r="AZ462" s="18" t="str">
        <f>VLOOKUP(Pospago[[#This Row],[NOM_PLAZA_FINAL]],[1]!Locales[#Data],3,0)</f>
        <v>TIENDA MACHALA</v>
      </c>
      <c r="BA462" s="18" t="str">
        <f>IFERROR(VLOOKUP(Pospago[[#This Row],[USUARIO]],[1]!Personal[#Data],6,0),"EJECUTIVO NO REGISTRADO")</f>
        <v>GONZAGA YUPANGUI LIZBETH KATHERINE</v>
      </c>
      <c r="BB462" s="18" t="str">
        <f>Pospago[[#This Row],[TIPO_MOVIMIENTO]]&amp;" "&amp;Pospago[[#This Row],[FORMA_PAGO_FINAL]]</f>
        <v>ALTAS DOMICILIADO</v>
      </c>
      <c r="BC462" s="18">
        <f>DAY(Pospago[[#This Row],[FECHA_ALTA]])</f>
        <v>1</v>
      </c>
      <c r="BD462" s="18">
        <f>IF(Pospago[[#This Row],[TARIFA_BASICA]]=11.42,1,0)</f>
        <v>1</v>
      </c>
      <c r="BE462" s="18">
        <f>IF(Pospago[[#This Row],[PLANES TELEVENTAS]]="SI",1,0)</f>
        <v>0</v>
      </c>
      <c r="BF462" s="18">
        <f>1</f>
        <v>1</v>
      </c>
      <c r="BG462" s="18">
        <f>IF(OR(Pospago[[#This Row],[TARIFA_BASICA]]=11.42,Pospago[[#This Row],[PLANES TELEVENTAS]]="SI"),1,0)</f>
        <v>1</v>
      </c>
      <c r="BH462" s="18" t="str">
        <f>IF(MID(Pospago[[#This Row],[PlanDesc]],1,4) = "PLAN","POSPAGO",IF(MID(Pospago[[#This Row],[PlanDesc]],1,4)="FULL","FULL MEGAS","PREVIOPAGO"))</f>
        <v>PREVIOPAGO</v>
      </c>
      <c r="BI4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9.984</v>
      </c>
      <c r="BJ4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62" s="21">
        <f>Pospago[[#This Row],[TARIFA_BASICA]]*1.5</f>
        <v>17.13</v>
      </c>
    </row>
    <row r="463" spans="1:63" x14ac:dyDescent="0.25">
      <c r="A463" s="18" t="s">
        <v>64</v>
      </c>
      <c r="B463" s="18" t="s">
        <v>3071</v>
      </c>
      <c r="C463" s="18" t="s">
        <v>3072</v>
      </c>
      <c r="D463" s="19">
        <v>44910</v>
      </c>
      <c r="E463" s="18" t="s">
        <v>67</v>
      </c>
      <c r="F463" s="18" t="s">
        <v>3073</v>
      </c>
      <c r="G463" s="18" t="s">
        <v>3074</v>
      </c>
      <c r="H463" s="18" t="s">
        <v>70</v>
      </c>
      <c r="I463" s="18" t="s">
        <v>160</v>
      </c>
      <c r="J463" s="18" t="s">
        <v>195</v>
      </c>
      <c r="K463" s="18" t="s">
        <v>132</v>
      </c>
      <c r="L463" s="20" t="s">
        <v>3075</v>
      </c>
      <c r="M463" s="18" t="s">
        <v>75</v>
      </c>
      <c r="N463" s="20" t="s">
        <v>3076</v>
      </c>
      <c r="O463" s="18" t="s">
        <v>77</v>
      </c>
      <c r="P463" s="18" t="s">
        <v>78</v>
      </c>
      <c r="Q463" s="19">
        <v>44914</v>
      </c>
      <c r="R463" s="21">
        <v>14.28</v>
      </c>
      <c r="S463" s="18" t="s">
        <v>79</v>
      </c>
      <c r="T463" s="18" t="s">
        <v>174</v>
      </c>
      <c r="U463" s="18" t="s">
        <v>83</v>
      </c>
      <c r="V463" s="18" t="s">
        <v>95</v>
      </c>
      <c r="W463" s="18" t="s">
        <v>83</v>
      </c>
      <c r="X463" s="18" t="s">
        <v>84</v>
      </c>
      <c r="Y463" s="18" t="s">
        <v>85</v>
      </c>
      <c r="Z463" s="18" t="s">
        <v>86</v>
      </c>
      <c r="AA463" s="18" t="s">
        <v>87</v>
      </c>
      <c r="AB463" s="18" t="s">
        <v>926</v>
      </c>
      <c r="AC463" s="18" t="s">
        <v>927</v>
      </c>
      <c r="AD463" s="18" t="s">
        <v>85</v>
      </c>
      <c r="AE463" s="18" t="s">
        <v>90</v>
      </c>
      <c r="AF463" s="18" t="s">
        <v>177</v>
      </c>
      <c r="AG463" s="18" t="s">
        <v>139</v>
      </c>
      <c r="AH463" s="18" t="s">
        <v>93</v>
      </c>
      <c r="AI463" s="18" t="s">
        <v>94</v>
      </c>
      <c r="AJ463" s="19">
        <v>44910</v>
      </c>
      <c r="AK463" s="22" t="s">
        <v>95</v>
      </c>
      <c r="AL463" s="18" t="s">
        <v>95</v>
      </c>
      <c r="AM463" s="18" t="s">
        <v>95</v>
      </c>
      <c r="AN463" s="18" t="s">
        <v>95</v>
      </c>
      <c r="AO463" s="18" t="s">
        <v>95</v>
      </c>
      <c r="AP463" s="18" t="s">
        <v>95</v>
      </c>
      <c r="AQ463" s="18" t="s">
        <v>95</v>
      </c>
      <c r="AR463" s="18" t="s">
        <v>95</v>
      </c>
      <c r="AS463" s="18" t="s">
        <v>83</v>
      </c>
      <c r="AT463" s="18" t="s">
        <v>83</v>
      </c>
      <c r="AU463" s="18" t="s">
        <v>81</v>
      </c>
      <c r="AV463" s="18" t="s">
        <v>95</v>
      </c>
      <c r="AW463" s="18" t="s">
        <v>95</v>
      </c>
      <c r="AX463" s="18"/>
      <c r="AY463" s="18" t="str">
        <f>Pospago[[#This Row],[NUM_TELEFONICO]]&amp;"POSPAGOSI"</f>
        <v>984832677POSPAGOSI</v>
      </c>
      <c r="AZ463" s="18" t="str">
        <f>VLOOKUP(Pospago[[#This Row],[NOM_PLAZA_FINAL]],[1]!Locales[#Data],3,0)</f>
        <v>TIENDA RECREO</v>
      </c>
      <c r="BA463" s="18" t="str">
        <f>IFERROR(VLOOKUP(Pospago[[#This Row],[USUARIO]],[1]!Personal[#Data],6,0),"EJECUTIVO NO REGISTRADO")</f>
        <v>CABEZAS LOPEZ ROBERTO ALEJANDRO</v>
      </c>
      <c r="BB463" s="18" t="str">
        <f>Pospago[[#This Row],[TIPO_MOVIMIENTO]]&amp;" "&amp;Pospago[[#This Row],[FORMA_PAGO_FINAL]]</f>
        <v>ALTAS DOMICILIADO</v>
      </c>
      <c r="BC463" s="18">
        <f>DAY(Pospago[[#This Row],[FECHA_ALTA]])</f>
        <v>15</v>
      </c>
      <c r="BD463" s="18">
        <f>IF(Pospago[[#This Row],[TARIFA_BASICA]]=11.42,1,0)</f>
        <v>0</v>
      </c>
      <c r="BE463" s="18">
        <f>IF(Pospago[[#This Row],[PLANES TELEVENTAS]]="SI",1,0)</f>
        <v>0</v>
      </c>
      <c r="BF463" s="18">
        <f>1</f>
        <v>1</v>
      </c>
      <c r="BG463" s="18">
        <f>IF(OR(Pospago[[#This Row],[TARIFA_BASICA]]=11.42,Pospago[[#This Row],[PLANES TELEVENTAS]]="SI"),1,0)</f>
        <v>0</v>
      </c>
      <c r="BH463" s="18" t="str">
        <f>IF(MID(Pospago[[#This Row],[PlanDesc]],1,4) = "PLAN","POSPAGO",IF(MID(Pospago[[#This Row],[PlanDesc]],1,4)="FULL","FULL MEGAS","PREVIOPAGO"))</f>
        <v>PREVIOPAGO</v>
      </c>
      <c r="BI4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63" s="21">
        <f>Pospago[[#This Row],[TARIFA_BASICA]]*1.5</f>
        <v>21.419999999999998</v>
      </c>
    </row>
    <row r="464" spans="1:63" x14ac:dyDescent="0.25">
      <c r="A464" s="18" t="s">
        <v>64</v>
      </c>
      <c r="B464" s="18" t="s">
        <v>3077</v>
      </c>
      <c r="C464" s="18" t="s">
        <v>3078</v>
      </c>
      <c r="D464" s="19">
        <v>44902</v>
      </c>
      <c r="E464" s="18" t="s">
        <v>67</v>
      </c>
      <c r="F464" s="18" t="s">
        <v>3079</v>
      </c>
      <c r="G464" s="18" t="s">
        <v>3080</v>
      </c>
      <c r="H464" s="18" t="s">
        <v>70</v>
      </c>
      <c r="I464" s="18" t="s">
        <v>160</v>
      </c>
      <c r="J464" s="18" t="s">
        <v>195</v>
      </c>
      <c r="K464" s="18" t="s">
        <v>114</v>
      </c>
      <c r="L464" s="20" t="s">
        <v>3081</v>
      </c>
      <c r="M464" s="18" t="s">
        <v>75</v>
      </c>
      <c r="N464" s="20" t="s">
        <v>3082</v>
      </c>
      <c r="O464" s="18" t="s">
        <v>77</v>
      </c>
      <c r="P464" s="18" t="s">
        <v>78</v>
      </c>
      <c r="Q464" s="19">
        <v>44914</v>
      </c>
      <c r="R464" s="21">
        <v>14.28</v>
      </c>
      <c r="S464" s="18" t="s">
        <v>79</v>
      </c>
      <c r="T464" s="18" t="s">
        <v>117</v>
      </c>
      <c r="U464" s="18" t="s">
        <v>83</v>
      </c>
      <c r="V464" s="18" t="s">
        <v>95</v>
      </c>
      <c r="W464" s="18" t="s">
        <v>83</v>
      </c>
      <c r="X464" s="18" t="s">
        <v>84</v>
      </c>
      <c r="Y464" s="18" t="s">
        <v>85</v>
      </c>
      <c r="Z464" s="18" t="s">
        <v>86</v>
      </c>
      <c r="AA464" s="18" t="s">
        <v>87</v>
      </c>
      <c r="AB464" s="18" t="s">
        <v>1043</v>
      </c>
      <c r="AC464" s="18" t="s">
        <v>1044</v>
      </c>
      <c r="AD464" s="18" t="s">
        <v>85</v>
      </c>
      <c r="AE464" s="18" t="s">
        <v>90</v>
      </c>
      <c r="AF464" s="18" t="s">
        <v>122</v>
      </c>
      <c r="AG464" s="18" t="s">
        <v>92</v>
      </c>
      <c r="AH464" s="18" t="s">
        <v>93</v>
      </c>
      <c r="AI464" s="18" t="s">
        <v>94</v>
      </c>
      <c r="AJ464" s="19">
        <v>44902</v>
      </c>
      <c r="AK464" s="22" t="s">
        <v>95</v>
      </c>
      <c r="AL464" s="18" t="s">
        <v>95</v>
      </c>
      <c r="AM464" s="18" t="s">
        <v>95</v>
      </c>
      <c r="AN464" s="18" t="s">
        <v>95</v>
      </c>
      <c r="AO464" s="18" t="s">
        <v>95</v>
      </c>
      <c r="AP464" s="18" t="s">
        <v>95</v>
      </c>
      <c r="AQ464" s="18" t="s">
        <v>95</v>
      </c>
      <c r="AR464" s="18" t="s">
        <v>95</v>
      </c>
      <c r="AS464" s="18" t="s">
        <v>83</v>
      </c>
      <c r="AT464" s="18" t="s">
        <v>83</v>
      </c>
      <c r="AU464" s="18" t="s">
        <v>81</v>
      </c>
      <c r="AV464" s="18" t="s">
        <v>95</v>
      </c>
      <c r="AW464" s="18" t="s">
        <v>95</v>
      </c>
      <c r="AX464" s="18"/>
      <c r="AY464" s="18" t="str">
        <f>Pospago[[#This Row],[NUM_TELEFONICO]]&amp;"POSPAGOSI"</f>
        <v>984838679POSPAGOSI</v>
      </c>
      <c r="AZ464" s="18" t="str">
        <f>VLOOKUP(Pospago[[#This Row],[NOM_PLAZA_FINAL]],[1]!Locales[#Data],3,0)</f>
        <v>TIENDA MACHALA</v>
      </c>
      <c r="BA464" s="18" t="str">
        <f>IFERROR(VLOOKUP(Pospago[[#This Row],[USUARIO]],[1]!Personal[#Data],6,0),"EJECUTIVO NO REGISTRADO")</f>
        <v>GONZAGA YUPANGUI LIZBETH KATHERINE</v>
      </c>
      <c r="BB464" s="18" t="str">
        <f>Pospago[[#This Row],[TIPO_MOVIMIENTO]]&amp;" "&amp;Pospago[[#This Row],[FORMA_PAGO_FINAL]]</f>
        <v>ALTAS DOMICILIADO</v>
      </c>
      <c r="BC464" s="18">
        <f>DAY(Pospago[[#This Row],[FECHA_ALTA]])</f>
        <v>7</v>
      </c>
      <c r="BD464" s="18">
        <f>IF(Pospago[[#This Row],[TARIFA_BASICA]]=11.42,1,0)</f>
        <v>0</v>
      </c>
      <c r="BE464" s="18">
        <f>IF(Pospago[[#This Row],[PLANES TELEVENTAS]]="SI",1,0)</f>
        <v>0</v>
      </c>
      <c r="BF464" s="18">
        <f>1</f>
        <v>1</v>
      </c>
      <c r="BG464" s="18">
        <f>IF(OR(Pospago[[#This Row],[TARIFA_BASICA]]=11.42,Pospago[[#This Row],[PLANES TELEVENTAS]]="SI"),1,0)</f>
        <v>0</v>
      </c>
      <c r="BH464" s="18" t="str">
        <f>IF(MID(Pospago[[#This Row],[PlanDesc]],1,4) = "PLAN","POSPAGO",IF(MID(Pospago[[#This Row],[PlanDesc]],1,4)="FULL","FULL MEGAS","PREVIOPAGO"))</f>
        <v>PREVIOPAGO</v>
      </c>
      <c r="BI4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4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64" s="21">
        <f>Pospago[[#This Row],[TARIFA_BASICA]]*1.5</f>
        <v>21.419999999999998</v>
      </c>
    </row>
    <row r="465" spans="1:63" x14ac:dyDescent="0.25">
      <c r="A465" s="18" t="s">
        <v>154</v>
      </c>
      <c r="B465" s="18" t="s">
        <v>3083</v>
      </c>
      <c r="C465" s="18" t="s">
        <v>3084</v>
      </c>
      <c r="D465" s="19">
        <v>44913</v>
      </c>
      <c r="E465" s="18" t="s">
        <v>67</v>
      </c>
      <c r="F465" s="18" t="s">
        <v>3085</v>
      </c>
      <c r="G465" s="18" t="s">
        <v>3086</v>
      </c>
      <c r="H465" s="18" t="s">
        <v>159</v>
      </c>
      <c r="I465" s="18" t="s">
        <v>160</v>
      </c>
      <c r="J465" s="18" t="s">
        <v>161</v>
      </c>
      <c r="K465" s="18" t="s">
        <v>73</v>
      </c>
      <c r="L465" s="20" t="s">
        <v>3087</v>
      </c>
      <c r="M465" s="18" t="s">
        <v>75</v>
      </c>
      <c r="N465" s="20" t="s">
        <v>3088</v>
      </c>
      <c r="O465" s="18" t="s">
        <v>164</v>
      </c>
      <c r="P465" s="18" t="s">
        <v>78</v>
      </c>
      <c r="Q465" s="19">
        <v>44914</v>
      </c>
      <c r="R465" s="21">
        <v>14.28</v>
      </c>
      <c r="S465" s="18" t="s">
        <v>79</v>
      </c>
      <c r="T465" s="18" t="s">
        <v>232</v>
      </c>
      <c r="U465" s="18" t="s">
        <v>83</v>
      </c>
      <c r="V465" s="18" t="s">
        <v>95</v>
      </c>
      <c r="W465" s="18" t="s">
        <v>95</v>
      </c>
      <c r="X465" s="18" t="s">
        <v>84</v>
      </c>
      <c r="Y465" s="18" t="s">
        <v>85</v>
      </c>
      <c r="Z465" s="18" t="s">
        <v>86</v>
      </c>
      <c r="AA465" s="18" t="s">
        <v>87</v>
      </c>
      <c r="AB465" s="18" t="s">
        <v>233</v>
      </c>
      <c r="AC465" s="18" t="s">
        <v>234</v>
      </c>
      <c r="AD465" s="18" t="s">
        <v>85</v>
      </c>
      <c r="AE465" s="18" t="s">
        <v>90</v>
      </c>
      <c r="AF465" s="18" t="s">
        <v>235</v>
      </c>
      <c r="AG465" s="18" t="s">
        <v>139</v>
      </c>
      <c r="AH465" s="18" t="s">
        <v>165</v>
      </c>
      <c r="AI465" s="18" t="s">
        <v>94</v>
      </c>
      <c r="AJ465" s="19">
        <v>44913</v>
      </c>
      <c r="AK465" s="22" t="s">
        <v>95</v>
      </c>
      <c r="AL465" s="18" t="s">
        <v>95</v>
      </c>
      <c r="AM465" s="18" t="s">
        <v>95</v>
      </c>
      <c r="AN465" s="18" t="s">
        <v>95</v>
      </c>
      <c r="AO465" s="18" t="s">
        <v>95</v>
      </c>
      <c r="AP465" s="18" t="s">
        <v>95</v>
      </c>
      <c r="AQ465" s="18" t="s">
        <v>95</v>
      </c>
      <c r="AR465" s="18" t="s">
        <v>95</v>
      </c>
      <c r="AS465" s="18" t="s">
        <v>83</v>
      </c>
      <c r="AT465" s="18" t="s">
        <v>83</v>
      </c>
      <c r="AU465" s="18" t="s">
        <v>81</v>
      </c>
      <c r="AV465" s="18" t="s">
        <v>95</v>
      </c>
      <c r="AW465" s="18" t="s">
        <v>95</v>
      </c>
      <c r="AX465" s="18"/>
      <c r="AY465" s="18" t="str">
        <f>Pospago[[#This Row],[NUM_TELEFONICO]]&amp;"POSPAGOSI"</f>
        <v>984853489POSPAGOSI</v>
      </c>
      <c r="AZ465" s="18" t="str">
        <f>VLOOKUP(Pospago[[#This Row],[NOM_PLAZA_FINAL]],[1]!Locales[#Data],3,0)</f>
        <v>TIENDA CONDADO</v>
      </c>
      <c r="BA465" s="18" t="str">
        <f>IFERROR(VLOOKUP(Pospago[[#This Row],[USUARIO]],[1]!Personal[#Data],6,0),"EJECUTIVO NO REGISTRADO")</f>
        <v>ROSALES MALDONADO JESSICA GABRIELA</v>
      </c>
      <c r="BB465" s="18" t="str">
        <f>Pospago[[#This Row],[TIPO_MOVIMIENTO]]&amp;" "&amp;Pospago[[#This Row],[FORMA_PAGO_FINAL]]</f>
        <v>TRANSFERENCIAS DOMICILIADO</v>
      </c>
      <c r="BC465" s="18">
        <f>DAY(Pospago[[#This Row],[FECHA_ALTA]])</f>
        <v>18</v>
      </c>
      <c r="BD465" s="18">
        <f>IF(Pospago[[#This Row],[TARIFA_BASICA]]=11.42,1,0)</f>
        <v>0</v>
      </c>
      <c r="BE465" s="18">
        <f>IF(Pospago[[#This Row],[PLANES TELEVENTAS]]="SI",1,0)</f>
        <v>0</v>
      </c>
      <c r="BF465" s="18">
        <f>1</f>
        <v>1</v>
      </c>
      <c r="BG465" s="18">
        <f>IF(OR(Pospago[[#This Row],[TARIFA_BASICA]]=11.42,Pospago[[#This Row],[PLANES TELEVENTAS]]="SI"),1,0)</f>
        <v>0</v>
      </c>
      <c r="BH465" s="18" t="str">
        <f>IF(MID(Pospago[[#This Row],[PlanDesc]],1,4) = "PLAN","POSPAGO",IF(MID(Pospago[[#This Row],[PlanDesc]],1,4)="FULL","FULL MEGAS","PREVIOPAGO"))</f>
        <v>PREVIOPAGO</v>
      </c>
      <c r="BI4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65" s="21">
        <f>Pospago[[#This Row],[TARIFA_BASICA]]*1.5</f>
        <v>21.419999999999998</v>
      </c>
    </row>
    <row r="466" spans="1:63" x14ac:dyDescent="0.25">
      <c r="A466" s="18" t="s">
        <v>64</v>
      </c>
      <c r="B466" s="18" t="s">
        <v>3089</v>
      </c>
      <c r="C466" s="18" t="s">
        <v>3090</v>
      </c>
      <c r="D466" s="19">
        <v>44904</v>
      </c>
      <c r="E466" s="18" t="s">
        <v>67</v>
      </c>
      <c r="F466" s="18" t="s">
        <v>3091</v>
      </c>
      <c r="G466" s="18" t="s">
        <v>3092</v>
      </c>
      <c r="H466" s="18" t="s">
        <v>193</v>
      </c>
      <c r="I466" s="18" t="s">
        <v>1357</v>
      </c>
      <c r="J466" s="18" t="s">
        <v>72</v>
      </c>
      <c r="K466" s="18" t="s">
        <v>1727</v>
      </c>
      <c r="L466" s="20" t="s">
        <v>3093</v>
      </c>
      <c r="M466" s="18" t="s">
        <v>75</v>
      </c>
      <c r="N466" s="20" t="s">
        <v>3094</v>
      </c>
      <c r="O466" s="18" t="s">
        <v>77</v>
      </c>
      <c r="P466" s="18" t="s">
        <v>78</v>
      </c>
      <c r="Q466" s="19">
        <v>44914</v>
      </c>
      <c r="R466" s="21">
        <v>11.42</v>
      </c>
      <c r="S466" s="18" t="s">
        <v>79</v>
      </c>
      <c r="T466" s="18" t="s">
        <v>80</v>
      </c>
      <c r="U466" s="18" t="s">
        <v>83</v>
      </c>
      <c r="V466" s="18" t="s">
        <v>95</v>
      </c>
      <c r="W466" s="18" t="s">
        <v>83</v>
      </c>
      <c r="X466" s="18" t="s">
        <v>118</v>
      </c>
      <c r="Y466" s="18" t="s">
        <v>85</v>
      </c>
      <c r="Z466" s="18" t="s">
        <v>86</v>
      </c>
      <c r="AA466" s="18" t="s">
        <v>119</v>
      </c>
      <c r="AB466" s="18" t="s">
        <v>880</v>
      </c>
      <c r="AC466" s="18" t="s">
        <v>881</v>
      </c>
      <c r="AD466" s="18" t="s">
        <v>85</v>
      </c>
      <c r="AE466" s="18" t="s">
        <v>90</v>
      </c>
      <c r="AF466" s="18" t="s">
        <v>91</v>
      </c>
      <c r="AG466" s="18" t="s">
        <v>92</v>
      </c>
      <c r="AH466" s="18" t="s">
        <v>93</v>
      </c>
      <c r="AI466" s="18" t="s">
        <v>94</v>
      </c>
      <c r="AJ466" s="19">
        <v>44904</v>
      </c>
      <c r="AK466" s="22" t="s">
        <v>95</v>
      </c>
      <c r="AL466" s="18" t="s">
        <v>95</v>
      </c>
      <c r="AM466" s="18" t="s">
        <v>95</v>
      </c>
      <c r="AN466" s="18" t="s">
        <v>95</v>
      </c>
      <c r="AO466" s="18" t="s">
        <v>95</v>
      </c>
      <c r="AP466" s="18" t="s">
        <v>95</v>
      </c>
      <c r="AQ466" s="18" t="s">
        <v>95</v>
      </c>
      <c r="AR466" s="18" t="s">
        <v>95</v>
      </c>
      <c r="AS466" s="18" t="s">
        <v>83</v>
      </c>
      <c r="AT466" s="18" t="s">
        <v>81</v>
      </c>
      <c r="AU466" s="18" t="s">
        <v>81</v>
      </c>
      <c r="AV466" s="18" t="s">
        <v>95</v>
      </c>
      <c r="AW466" s="18" t="s">
        <v>291</v>
      </c>
      <c r="AX466" s="18"/>
      <c r="AY466" s="18" t="str">
        <f>Pospago[[#This Row],[NUM_TELEFONICO]]&amp;"POSPAGOSI"</f>
        <v>984863331POSPAGOSI</v>
      </c>
      <c r="AZ466" s="18" t="str">
        <f>VLOOKUP(Pospago[[#This Row],[NOM_PLAZA_FINAL]],[1]!Locales[#Data],3,0)</f>
        <v>TIENDA CUENCA CENTRO</v>
      </c>
      <c r="BA466" s="18" t="str">
        <f>IFERROR(VLOOKUP(Pospago[[#This Row],[USUARIO]],[1]!Personal[#Data],6,0),"EJECUTIVO NO REGISTRADO")</f>
        <v>LUNA JACHO ANDREA GABRIELA</v>
      </c>
      <c r="BB466" s="18" t="str">
        <f>Pospago[[#This Row],[TIPO_MOVIMIENTO]]&amp;" "&amp;Pospago[[#This Row],[FORMA_PAGO_FINAL]]</f>
        <v>ALTAS PAGO EN CAJA</v>
      </c>
      <c r="BC466" s="18">
        <f>DAY(Pospago[[#This Row],[FECHA_ALTA]])</f>
        <v>9</v>
      </c>
      <c r="BD466" s="18">
        <f>IF(Pospago[[#This Row],[TARIFA_BASICA]]=11.42,1,0)</f>
        <v>1</v>
      </c>
      <c r="BE466" s="18">
        <f>IF(Pospago[[#This Row],[PLANES TELEVENTAS]]="SI",1,0)</f>
        <v>1</v>
      </c>
      <c r="BF466" s="18">
        <f>1</f>
        <v>1</v>
      </c>
      <c r="BG466" s="18">
        <f>IF(OR(Pospago[[#This Row],[TARIFA_BASICA]]=11.42,Pospago[[#This Row],[PLANES TELEVENTAS]]="SI"),1,0)</f>
        <v>1</v>
      </c>
      <c r="BH466" s="18" t="str">
        <f>IF(MID(Pospago[[#This Row],[PlanDesc]],1,4) = "PLAN","POSPAGO",IF(MID(Pospago[[#This Row],[PlanDesc]],1,4)="FULL","FULL MEGAS","PREVIOPAGO"))</f>
        <v>PREVIOPAGO</v>
      </c>
      <c r="BI4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4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66" s="21">
        <f>Pospago[[#This Row],[TARIFA_BASICA]]*1.5</f>
        <v>17.13</v>
      </c>
    </row>
    <row r="467" spans="1:63" x14ac:dyDescent="0.25">
      <c r="A467" s="18" t="s">
        <v>64</v>
      </c>
      <c r="B467" s="18" t="s">
        <v>3095</v>
      </c>
      <c r="C467" s="18" t="s">
        <v>3096</v>
      </c>
      <c r="D467" s="19">
        <v>44905</v>
      </c>
      <c r="E467" s="18" t="s">
        <v>67</v>
      </c>
      <c r="F467" s="18" t="s">
        <v>3097</v>
      </c>
      <c r="G467" s="18" t="s">
        <v>3098</v>
      </c>
      <c r="H467" s="18" t="s">
        <v>70</v>
      </c>
      <c r="I467" s="18" t="s">
        <v>194</v>
      </c>
      <c r="J467" s="18" t="s">
        <v>195</v>
      </c>
      <c r="K467" s="18" t="s">
        <v>132</v>
      </c>
      <c r="L467" s="20" t="s">
        <v>3099</v>
      </c>
      <c r="M467" s="18" t="s">
        <v>75</v>
      </c>
      <c r="N467" s="20" t="s">
        <v>3100</v>
      </c>
      <c r="O467" s="18" t="s">
        <v>77</v>
      </c>
      <c r="P467" s="18" t="s">
        <v>78</v>
      </c>
      <c r="Q467" s="19">
        <v>44914</v>
      </c>
      <c r="R467" s="21">
        <v>14.28</v>
      </c>
      <c r="S467" s="18" t="s">
        <v>79</v>
      </c>
      <c r="T467" s="18" t="s">
        <v>232</v>
      </c>
      <c r="U467" s="18" t="s">
        <v>83</v>
      </c>
      <c r="V467" s="18" t="s">
        <v>95</v>
      </c>
      <c r="W467" s="18" t="s">
        <v>83</v>
      </c>
      <c r="X467" s="18" t="s">
        <v>84</v>
      </c>
      <c r="Y467" s="18" t="s">
        <v>85</v>
      </c>
      <c r="Z467" s="18" t="s">
        <v>86</v>
      </c>
      <c r="AA467" s="18" t="s">
        <v>87</v>
      </c>
      <c r="AB467" s="18" t="s">
        <v>271</v>
      </c>
      <c r="AC467" s="18" t="s">
        <v>272</v>
      </c>
      <c r="AD467" s="18" t="s">
        <v>85</v>
      </c>
      <c r="AE467" s="18" t="s">
        <v>90</v>
      </c>
      <c r="AF467" s="18" t="s">
        <v>235</v>
      </c>
      <c r="AG467" s="18" t="s">
        <v>139</v>
      </c>
      <c r="AH467" s="18" t="s">
        <v>93</v>
      </c>
      <c r="AI467" s="18" t="s">
        <v>94</v>
      </c>
      <c r="AJ467" s="19">
        <v>44905</v>
      </c>
      <c r="AK467" s="22" t="s">
        <v>95</v>
      </c>
      <c r="AL467" s="18" t="s">
        <v>95</v>
      </c>
      <c r="AM467" s="18" t="s">
        <v>95</v>
      </c>
      <c r="AN467" s="18" t="s">
        <v>95</v>
      </c>
      <c r="AO467" s="18" t="s">
        <v>95</v>
      </c>
      <c r="AP467" s="18" t="s">
        <v>95</v>
      </c>
      <c r="AQ467" s="18" t="s">
        <v>95</v>
      </c>
      <c r="AR467" s="18" t="s">
        <v>95</v>
      </c>
      <c r="AS467" s="18" t="s">
        <v>83</v>
      </c>
      <c r="AT467" s="18" t="s">
        <v>81</v>
      </c>
      <c r="AU467" s="18" t="s">
        <v>81</v>
      </c>
      <c r="AV467" s="18" t="s">
        <v>95</v>
      </c>
      <c r="AW467" s="18" t="s">
        <v>291</v>
      </c>
      <c r="AX467" s="18"/>
      <c r="AY467" s="18" t="str">
        <f>Pospago[[#This Row],[NUM_TELEFONICO]]&amp;"POSPAGOSI"</f>
        <v>984878555POSPAGOSI</v>
      </c>
      <c r="AZ467" s="18" t="str">
        <f>VLOOKUP(Pospago[[#This Row],[NOM_PLAZA_FINAL]],[1]!Locales[#Data],3,0)</f>
        <v>TIENDA CONDADO</v>
      </c>
      <c r="BA467" s="18" t="str">
        <f>IFERROR(VLOOKUP(Pospago[[#This Row],[USUARIO]],[1]!Personal[#Data],6,0),"EJECUTIVO NO REGISTRADO")</f>
        <v>CASTILLO AGUIRRE EDWIN MODESTO</v>
      </c>
      <c r="BB467" s="18" t="str">
        <f>Pospago[[#This Row],[TIPO_MOVIMIENTO]]&amp;" "&amp;Pospago[[#This Row],[FORMA_PAGO_FINAL]]</f>
        <v>ALTAS DOMICILIADO</v>
      </c>
      <c r="BC467" s="18">
        <f>DAY(Pospago[[#This Row],[FECHA_ALTA]])</f>
        <v>10</v>
      </c>
      <c r="BD467" s="18">
        <f>IF(Pospago[[#This Row],[TARIFA_BASICA]]=11.42,1,0)</f>
        <v>0</v>
      </c>
      <c r="BE467" s="18">
        <f>IF(Pospago[[#This Row],[PLANES TELEVENTAS]]="SI",1,0)</f>
        <v>1</v>
      </c>
      <c r="BF467" s="18">
        <f>1</f>
        <v>1</v>
      </c>
      <c r="BG467" s="18">
        <f>IF(OR(Pospago[[#This Row],[TARIFA_BASICA]]=11.42,Pospago[[#This Row],[PLANES TELEVENTAS]]="SI"),1,0)</f>
        <v>1</v>
      </c>
      <c r="BH467" s="18" t="str">
        <f>IF(MID(Pospago[[#This Row],[PlanDesc]],1,4) = "PLAN","POSPAGO",IF(MID(Pospago[[#This Row],[PlanDesc]],1,4)="FULL","FULL MEGAS","PREVIOPAGO"))</f>
        <v>PREVIOPAGO</v>
      </c>
      <c r="BI4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67" s="21">
        <f>Pospago[[#This Row],[TARIFA_BASICA]]*1.5</f>
        <v>21.419999999999998</v>
      </c>
    </row>
    <row r="468" spans="1:63" x14ac:dyDescent="0.25">
      <c r="A468" s="18" t="s">
        <v>154</v>
      </c>
      <c r="B468" s="18" t="s">
        <v>3101</v>
      </c>
      <c r="C468" s="18" t="s">
        <v>3102</v>
      </c>
      <c r="D468" s="19">
        <v>44909</v>
      </c>
      <c r="E468" s="18" t="s">
        <v>67</v>
      </c>
      <c r="F468" s="18" t="s">
        <v>3103</v>
      </c>
      <c r="G468" s="18" t="s">
        <v>3104</v>
      </c>
      <c r="H468" s="18" t="s">
        <v>159</v>
      </c>
      <c r="I468" s="18" t="s">
        <v>71</v>
      </c>
      <c r="J468" s="18" t="s">
        <v>258</v>
      </c>
      <c r="K468" s="18" t="s">
        <v>73</v>
      </c>
      <c r="L468" s="20" t="s">
        <v>3105</v>
      </c>
      <c r="M468" s="18" t="s">
        <v>75</v>
      </c>
      <c r="N468" s="20" t="s">
        <v>3106</v>
      </c>
      <c r="O468" s="18" t="s">
        <v>164</v>
      </c>
      <c r="P468" s="18" t="s">
        <v>78</v>
      </c>
      <c r="Q468" s="19">
        <v>44914</v>
      </c>
      <c r="R468" s="21">
        <v>11.42</v>
      </c>
      <c r="S468" s="18" t="s">
        <v>79</v>
      </c>
      <c r="T468" s="18" t="s">
        <v>80</v>
      </c>
      <c r="U468" s="18" t="s">
        <v>83</v>
      </c>
      <c r="V468" s="18" t="s">
        <v>95</v>
      </c>
      <c r="W468" s="18" t="s">
        <v>95</v>
      </c>
      <c r="X468" s="18" t="s">
        <v>84</v>
      </c>
      <c r="Y468" s="18" t="s">
        <v>85</v>
      </c>
      <c r="Z468" s="18" t="s">
        <v>86</v>
      </c>
      <c r="AA468" s="18" t="s">
        <v>87</v>
      </c>
      <c r="AB468" s="18" t="s">
        <v>880</v>
      </c>
      <c r="AC468" s="18" t="s">
        <v>881</v>
      </c>
      <c r="AD468" s="18" t="s">
        <v>85</v>
      </c>
      <c r="AE468" s="18" t="s">
        <v>90</v>
      </c>
      <c r="AF468" s="18" t="s">
        <v>91</v>
      </c>
      <c r="AG468" s="18" t="s">
        <v>92</v>
      </c>
      <c r="AH468" s="18" t="s">
        <v>165</v>
      </c>
      <c r="AI468" s="18" t="s">
        <v>94</v>
      </c>
      <c r="AJ468" s="19">
        <v>44909</v>
      </c>
      <c r="AK468" s="22" t="s">
        <v>95</v>
      </c>
      <c r="AL468" s="18" t="s">
        <v>95</v>
      </c>
      <c r="AM468" s="18" t="s">
        <v>95</v>
      </c>
      <c r="AN468" s="18" t="s">
        <v>95</v>
      </c>
      <c r="AO468" s="18" t="s">
        <v>95</v>
      </c>
      <c r="AP468" s="18" t="s">
        <v>95</v>
      </c>
      <c r="AQ468" s="18" t="s">
        <v>95</v>
      </c>
      <c r="AR468" s="18" t="s">
        <v>95</v>
      </c>
      <c r="AS468" s="18" t="s">
        <v>83</v>
      </c>
      <c r="AT468" s="18" t="s">
        <v>83</v>
      </c>
      <c r="AU468" s="18" t="s">
        <v>81</v>
      </c>
      <c r="AV468" s="18" t="s">
        <v>95</v>
      </c>
      <c r="AW468" s="18" t="s">
        <v>95</v>
      </c>
      <c r="AX468" s="18"/>
      <c r="AY468" s="18" t="str">
        <f>Pospago[[#This Row],[NUM_TELEFONICO]]&amp;"POSPAGOSI"</f>
        <v>984878943POSPAGOSI</v>
      </c>
      <c r="AZ468" s="18" t="str">
        <f>VLOOKUP(Pospago[[#This Row],[NOM_PLAZA_FINAL]],[1]!Locales[#Data],3,0)</f>
        <v>TIENDA CUENCA CENTRO</v>
      </c>
      <c r="BA468" s="18" t="str">
        <f>IFERROR(VLOOKUP(Pospago[[#This Row],[USUARIO]],[1]!Personal[#Data],6,0),"EJECUTIVO NO REGISTRADO")</f>
        <v>LUNA JACHO ANDREA GABRIELA</v>
      </c>
      <c r="BB468" s="18" t="str">
        <f>Pospago[[#This Row],[TIPO_MOVIMIENTO]]&amp;" "&amp;Pospago[[#This Row],[FORMA_PAGO_FINAL]]</f>
        <v>TRANSFERENCIAS DOMICILIADO</v>
      </c>
      <c r="BC468" s="18">
        <f>DAY(Pospago[[#This Row],[FECHA_ALTA]])</f>
        <v>14</v>
      </c>
      <c r="BD468" s="18">
        <f>IF(Pospago[[#This Row],[TARIFA_BASICA]]=11.42,1,0)</f>
        <v>1</v>
      </c>
      <c r="BE468" s="18">
        <f>IF(Pospago[[#This Row],[PLANES TELEVENTAS]]="SI",1,0)</f>
        <v>0</v>
      </c>
      <c r="BF468" s="18">
        <f>1</f>
        <v>1</v>
      </c>
      <c r="BG468" s="18">
        <f>IF(OR(Pospago[[#This Row],[TARIFA_BASICA]]=11.42,Pospago[[#This Row],[PLANES TELEVENTAS]]="SI"),1,0)</f>
        <v>1</v>
      </c>
      <c r="BH468" s="18" t="str">
        <f>IF(MID(Pospago[[#This Row],[PlanDesc]],1,4) = "PLAN","POSPAGO",IF(MID(Pospago[[#This Row],[PlanDesc]],1,4)="FULL","FULL MEGAS","PREVIOPAGO"))</f>
        <v>PREVIOPAGO</v>
      </c>
      <c r="BI4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4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68" s="21">
        <f>Pospago[[#This Row],[TARIFA_BASICA]]*1.5</f>
        <v>17.13</v>
      </c>
    </row>
    <row r="469" spans="1:63" x14ac:dyDescent="0.25">
      <c r="A469" s="18" t="s">
        <v>154</v>
      </c>
      <c r="B469" s="18" t="s">
        <v>3107</v>
      </c>
      <c r="C469" s="18" t="s">
        <v>3108</v>
      </c>
      <c r="D469" s="19">
        <v>44903</v>
      </c>
      <c r="E469" s="18" t="s">
        <v>67</v>
      </c>
      <c r="F469" s="18" t="s">
        <v>3109</v>
      </c>
      <c r="G469" s="18" t="s">
        <v>3110</v>
      </c>
      <c r="H469" s="18" t="s">
        <v>159</v>
      </c>
      <c r="I469" s="18" t="s">
        <v>71</v>
      </c>
      <c r="J469" s="18" t="s">
        <v>258</v>
      </c>
      <c r="K469" s="18" t="s">
        <v>73</v>
      </c>
      <c r="L469" s="20" t="s">
        <v>3111</v>
      </c>
      <c r="M469" s="18" t="s">
        <v>75</v>
      </c>
      <c r="N469" s="20" t="s">
        <v>3112</v>
      </c>
      <c r="O469" s="18" t="s">
        <v>164</v>
      </c>
      <c r="P469" s="18" t="s">
        <v>78</v>
      </c>
      <c r="Q469" s="19">
        <v>44914</v>
      </c>
      <c r="R469" s="21">
        <v>11.42</v>
      </c>
      <c r="S469" s="18" t="s">
        <v>79</v>
      </c>
      <c r="T469" s="18" t="s">
        <v>80</v>
      </c>
      <c r="U469" s="18" t="s">
        <v>83</v>
      </c>
      <c r="V469" s="18" t="s">
        <v>95</v>
      </c>
      <c r="W469" s="18" t="s">
        <v>95</v>
      </c>
      <c r="X469" s="18" t="s">
        <v>118</v>
      </c>
      <c r="Y469" s="18" t="s">
        <v>85</v>
      </c>
      <c r="Z469" s="18" t="s">
        <v>86</v>
      </c>
      <c r="AA469" s="18" t="s">
        <v>119</v>
      </c>
      <c r="AB469" s="18" t="s">
        <v>242</v>
      </c>
      <c r="AC469" s="18" t="s">
        <v>243</v>
      </c>
      <c r="AD469" s="18" t="s">
        <v>85</v>
      </c>
      <c r="AE469" s="18" t="s">
        <v>90</v>
      </c>
      <c r="AF469" s="18" t="s">
        <v>91</v>
      </c>
      <c r="AG469" s="18" t="s">
        <v>92</v>
      </c>
      <c r="AH469" s="18" t="s">
        <v>165</v>
      </c>
      <c r="AI469" s="18" t="s">
        <v>94</v>
      </c>
      <c r="AJ469" s="19">
        <v>44903</v>
      </c>
      <c r="AK469" s="22" t="s">
        <v>95</v>
      </c>
      <c r="AL469" s="18" t="s">
        <v>95</v>
      </c>
      <c r="AM469" s="18" t="s">
        <v>95</v>
      </c>
      <c r="AN469" s="18" t="s">
        <v>95</v>
      </c>
      <c r="AO469" s="18" t="s">
        <v>95</v>
      </c>
      <c r="AP469" s="18" t="s">
        <v>95</v>
      </c>
      <c r="AQ469" s="18" t="s">
        <v>95</v>
      </c>
      <c r="AR469" s="18" t="s">
        <v>95</v>
      </c>
      <c r="AS469" s="18" t="s">
        <v>83</v>
      </c>
      <c r="AT469" s="18" t="s">
        <v>83</v>
      </c>
      <c r="AU469" s="18" t="s">
        <v>81</v>
      </c>
      <c r="AV469" s="18" t="s">
        <v>95</v>
      </c>
      <c r="AW469" s="18" t="s">
        <v>95</v>
      </c>
      <c r="AX469" s="18"/>
      <c r="AY469" s="18" t="str">
        <f>Pospago[[#This Row],[NUM_TELEFONICO]]&amp;"POSPAGOSI"</f>
        <v>984887019POSPAGOSI</v>
      </c>
      <c r="AZ469" s="18" t="str">
        <f>VLOOKUP(Pospago[[#This Row],[NOM_PLAZA_FINAL]],[1]!Locales[#Data],3,0)</f>
        <v>TIENDA CUENCA CENTRO</v>
      </c>
      <c r="BA469" s="18" t="str">
        <f>IFERROR(VLOOKUP(Pospago[[#This Row],[USUARIO]],[1]!Personal[#Data],6,0),"EJECUTIVO NO REGISTRADO")</f>
        <v>VALLEJO DELEG ROMAN NICOLAS</v>
      </c>
      <c r="BB469" s="18" t="str">
        <f>Pospago[[#This Row],[TIPO_MOVIMIENTO]]&amp;" "&amp;Pospago[[#This Row],[FORMA_PAGO_FINAL]]</f>
        <v>TRANSFERENCIAS PAGO EN CAJA</v>
      </c>
      <c r="BC469" s="18">
        <f>DAY(Pospago[[#This Row],[FECHA_ALTA]])</f>
        <v>8</v>
      </c>
      <c r="BD469" s="18">
        <f>IF(Pospago[[#This Row],[TARIFA_BASICA]]=11.42,1,0)</f>
        <v>1</v>
      </c>
      <c r="BE469" s="18">
        <f>IF(Pospago[[#This Row],[PLANES TELEVENTAS]]="SI",1,0)</f>
        <v>0</v>
      </c>
      <c r="BF469" s="18">
        <f>1</f>
        <v>1</v>
      </c>
      <c r="BG469" s="18">
        <f>IF(OR(Pospago[[#This Row],[TARIFA_BASICA]]=11.42,Pospago[[#This Row],[PLANES TELEVENTAS]]="SI"),1,0)</f>
        <v>1</v>
      </c>
      <c r="BH469" s="18" t="str">
        <f>IF(MID(Pospago[[#This Row],[PlanDesc]],1,4) = "PLAN","POSPAGO",IF(MID(Pospago[[#This Row],[PlanDesc]],1,4)="FULL","FULL MEGAS","PREVIOPAGO"))</f>
        <v>PREVIOPAGO</v>
      </c>
      <c r="BI4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4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69" s="21">
        <f>Pospago[[#This Row],[TARIFA_BASICA]]*1.5</f>
        <v>17.13</v>
      </c>
    </row>
    <row r="470" spans="1:63" x14ac:dyDescent="0.25">
      <c r="A470" s="18" t="s">
        <v>154</v>
      </c>
      <c r="B470" s="18" t="s">
        <v>3113</v>
      </c>
      <c r="C470" s="18" t="s">
        <v>3114</v>
      </c>
      <c r="D470" s="19">
        <v>44896</v>
      </c>
      <c r="E470" s="18" t="s">
        <v>67</v>
      </c>
      <c r="F470" s="18" t="s">
        <v>3115</v>
      </c>
      <c r="G470" s="18" t="s">
        <v>3116</v>
      </c>
      <c r="H470" s="18" t="s">
        <v>159</v>
      </c>
      <c r="I470" s="18" t="s">
        <v>160</v>
      </c>
      <c r="J470" s="18" t="s">
        <v>161</v>
      </c>
      <c r="K470" s="18" t="s">
        <v>95</v>
      </c>
      <c r="L470" s="20" t="s">
        <v>3117</v>
      </c>
      <c r="M470" s="18" t="s">
        <v>75</v>
      </c>
      <c r="N470" s="20" t="s">
        <v>3118</v>
      </c>
      <c r="O470" s="18" t="s">
        <v>2241</v>
      </c>
      <c r="P470" s="18" t="s">
        <v>78</v>
      </c>
      <c r="Q470" s="19">
        <v>44914</v>
      </c>
      <c r="R470" s="21">
        <v>14.28</v>
      </c>
      <c r="S470" s="18" t="s">
        <v>79</v>
      </c>
      <c r="T470" s="18" t="s">
        <v>174</v>
      </c>
      <c r="U470" s="18" t="s">
        <v>83</v>
      </c>
      <c r="V470" s="18" t="s">
        <v>95</v>
      </c>
      <c r="W470" s="18" t="s">
        <v>95</v>
      </c>
      <c r="X470" s="18" t="s">
        <v>84</v>
      </c>
      <c r="Y470" s="18" t="s">
        <v>85</v>
      </c>
      <c r="Z470" s="18" t="s">
        <v>86</v>
      </c>
      <c r="AA470" s="18" t="s">
        <v>87</v>
      </c>
      <c r="AB470" s="18" t="s">
        <v>262</v>
      </c>
      <c r="AC470" s="18" t="s">
        <v>263</v>
      </c>
      <c r="AD470" s="18" t="s">
        <v>85</v>
      </c>
      <c r="AE470" s="18" t="s">
        <v>90</v>
      </c>
      <c r="AF470" s="18" t="s">
        <v>177</v>
      </c>
      <c r="AG470" s="18" t="s">
        <v>139</v>
      </c>
      <c r="AH470" s="18" t="s">
        <v>165</v>
      </c>
      <c r="AI470" s="18" t="s">
        <v>94</v>
      </c>
      <c r="AJ470" s="19">
        <v>44896</v>
      </c>
      <c r="AK470" s="22" t="s">
        <v>95</v>
      </c>
      <c r="AL470" s="18" t="s">
        <v>95</v>
      </c>
      <c r="AM470" s="18" t="s">
        <v>95</v>
      </c>
      <c r="AN470" s="18" t="s">
        <v>95</v>
      </c>
      <c r="AO470" s="18" t="s">
        <v>95</v>
      </c>
      <c r="AP470" s="18" t="s">
        <v>95</v>
      </c>
      <c r="AQ470" s="18" t="s">
        <v>95</v>
      </c>
      <c r="AR470" s="18" t="s">
        <v>95</v>
      </c>
      <c r="AS470" s="18" t="s">
        <v>83</v>
      </c>
      <c r="AT470" s="18" t="s">
        <v>83</v>
      </c>
      <c r="AU470" s="18" t="s">
        <v>81</v>
      </c>
      <c r="AV470" s="18" t="s">
        <v>95</v>
      </c>
      <c r="AW470" s="18" t="s">
        <v>95</v>
      </c>
      <c r="AX470" s="18"/>
      <c r="AY470" s="18" t="str">
        <f>Pospago[[#This Row],[NUM_TELEFONICO]]&amp;"POSPAGOSI"</f>
        <v>984890371POSPAGOSI</v>
      </c>
      <c r="AZ470" s="18" t="str">
        <f>VLOOKUP(Pospago[[#This Row],[NOM_PLAZA_FINAL]],[1]!Locales[#Data],3,0)</f>
        <v>TIENDA RECREO</v>
      </c>
      <c r="BA470" s="18" t="str">
        <f>IFERROR(VLOOKUP(Pospago[[#This Row],[USUARIO]],[1]!Personal[#Data],6,0),"EJECUTIVO NO REGISTRADO")</f>
        <v>CHICAIZA TOAPANTA ALEX DANILO</v>
      </c>
      <c r="BB470" s="18" t="str">
        <f>Pospago[[#This Row],[TIPO_MOVIMIENTO]]&amp;" "&amp;Pospago[[#This Row],[FORMA_PAGO_FINAL]]</f>
        <v>TRANSFERENCIAS DOMICILIADO</v>
      </c>
      <c r="BC470" s="18">
        <f>DAY(Pospago[[#This Row],[FECHA_ALTA]])</f>
        <v>1</v>
      </c>
      <c r="BD470" s="18">
        <f>IF(Pospago[[#This Row],[TARIFA_BASICA]]=11.42,1,0)</f>
        <v>0</v>
      </c>
      <c r="BE470" s="18">
        <f>IF(Pospago[[#This Row],[PLANES TELEVENTAS]]="SI",1,0)</f>
        <v>0</v>
      </c>
      <c r="BF470" s="18">
        <f>1</f>
        <v>1</v>
      </c>
      <c r="BG470" s="18">
        <f>IF(OR(Pospago[[#This Row],[TARIFA_BASICA]]=11.42,Pospago[[#This Row],[PLANES TELEVENTAS]]="SI"),1,0)</f>
        <v>0</v>
      </c>
      <c r="BH470" s="18" t="str">
        <f>IF(MID(Pospago[[#This Row],[PlanDesc]],1,4) = "PLAN","POSPAGO",IF(MID(Pospago[[#This Row],[PlanDesc]],1,4)="FULL","FULL MEGAS","PREVIOPAGO"))</f>
        <v>PREVIOPAGO</v>
      </c>
      <c r="BI4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70" s="21">
        <f>Pospago[[#This Row],[TARIFA_BASICA]]*1.5</f>
        <v>21.419999999999998</v>
      </c>
    </row>
    <row r="471" spans="1:63" x14ac:dyDescent="0.25">
      <c r="A471" s="18" t="s">
        <v>154</v>
      </c>
      <c r="B471" s="18" t="s">
        <v>3119</v>
      </c>
      <c r="C471" s="18" t="s">
        <v>3120</v>
      </c>
      <c r="D471" s="19">
        <v>44903</v>
      </c>
      <c r="E471" s="18" t="s">
        <v>67</v>
      </c>
      <c r="F471" s="18" t="s">
        <v>3121</v>
      </c>
      <c r="G471" s="18" t="s">
        <v>3122</v>
      </c>
      <c r="H471" s="18" t="s">
        <v>159</v>
      </c>
      <c r="I471" s="18" t="s">
        <v>130</v>
      </c>
      <c r="J471" s="18" t="s">
        <v>433</v>
      </c>
      <c r="K471" s="18" t="s">
        <v>73</v>
      </c>
      <c r="L471" s="20" t="s">
        <v>3123</v>
      </c>
      <c r="M471" s="18" t="s">
        <v>75</v>
      </c>
      <c r="N471" s="20" t="s">
        <v>3124</v>
      </c>
      <c r="O471" s="18" t="s">
        <v>164</v>
      </c>
      <c r="P471" s="18" t="s">
        <v>78</v>
      </c>
      <c r="Q471" s="19">
        <v>44914</v>
      </c>
      <c r="R471" s="21">
        <v>15</v>
      </c>
      <c r="S471" s="18" t="s">
        <v>79</v>
      </c>
      <c r="T471" s="18" t="s">
        <v>232</v>
      </c>
      <c r="U471" s="18" t="s">
        <v>83</v>
      </c>
      <c r="V471" s="18" t="s">
        <v>95</v>
      </c>
      <c r="W471" s="18" t="s">
        <v>95</v>
      </c>
      <c r="X471" s="18" t="s">
        <v>215</v>
      </c>
      <c r="Y471" s="18" t="s">
        <v>85</v>
      </c>
      <c r="Z471" s="18" t="s">
        <v>86</v>
      </c>
      <c r="AA471" s="18" t="s">
        <v>87</v>
      </c>
      <c r="AB471" s="18" t="s">
        <v>377</v>
      </c>
      <c r="AC471" s="18" t="s">
        <v>378</v>
      </c>
      <c r="AD471" s="18" t="s">
        <v>85</v>
      </c>
      <c r="AE471" s="18" t="s">
        <v>90</v>
      </c>
      <c r="AF471" s="18" t="s">
        <v>235</v>
      </c>
      <c r="AG471" s="18" t="s">
        <v>139</v>
      </c>
      <c r="AH471" s="18" t="s">
        <v>165</v>
      </c>
      <c r="AI471" s="18" t="s">
        <v>94</v>
      </c>
      <c r="AJ471" s="19">
        <v>44903</v>
      </c>
      <c r="AK471" s="22" t="s">
        <v>95</v>
      </c>
      <c r="AL471" s="18" t="s">
        <v>95</v>
      </c>
      <c r="AM471" s="18" t="s">
        <v>95</v>
      </c>
      <c r="AN471" s="18" t="s">
        <v>95</v>
      </c>
      <c r="AO471" s="18" t="s">
        <v>95</v>
      </c>
      <c r="AP471" s="18" t="s">
        <v>95</v>
      </c>
      <c r="AQ471" s="18" t="s">
        <v>95</v>
      </c>
      <c r="AR471" s="18" t="s">
        <v>95</v>
      </c>
      <c r="AS471" s="18" t="s">
        <v>83</v>
      </c>
      <c r="AT471" s="18" t="s">
        <v>83</v>
      </c>
      <c r="AU471" s="18" t="s">
        <v>81</v>
      </c>
      <c r="AV471" s="18" t="s">
        <v>95</v>
      </c>
      <c r="AW471" s="18" t="s">
        <v>95</v>
      </c>
      <c r="AX471" s="18"/>
      <c r="AY471" s="18" t="str">
        <f>Pospago[[#This Row],[NUM_TELEFONICO]]&amp;"POSPAGOSI"</f>
        <v>984899255POSPAGOSI</v>
      </c>
      <c r="AZ471" s="18" t="str">
        <f>VLOOKUP(Pospago[[#This Row],[NOM_PLAZA_FINAL]],[1]!Locales[#Data],3,0)</f>
        <v>TIENDA CONDADO</v>
      </c>
      <c r="BA471" s="18" t="str">
        <f>IFERROR(VLOOKUP(Pospago[[#This Row],[USUARIO]],[1]!Personal[#Data],6,0),"EJECUTIVO NO REGISTRADO")</f>
        <v>MELCHIADE ISAAC VALMORE</v>
      </c>
      <c r="BB471" s="18" t="str">
        <f>Pospago[[#This Row],[TIPO_MOVIMIENTO]]&amp;" "&amp;Pospago[[#This Row],[FORMA_PAGO_FINAL]]</f>
        <v>TRANSFERENCIAS DOMICILIADO</v>
      </c>
      <c r="BC471" s="18">
        <f>DAY(Pospago[[#This Row],[FECHA_ALTA]])</f>
        <v>8</v>
      </c>
      <c r="BD471" s="18">
        <f>IF(Pospago[[#This Row],[TARIFA_BASICA]]=11.42,1,0)</f>
        <v>0</v>
      </c>
      <c r="BE471" s="18">
        <f>IF(Pospago[[#This Row],[PLANES TELEVENTAS]]="SI",1,0)</f>
        <v>0</v>
      </c>
      <c r="BF471" s="18">
        <f>1</f>
        <v>1</v>
      </c>
      <c r="BG471" s="18">
        <f>IF(OR(Pospago[[#This Row],[TARIFA_BASICA]]=11.42,Pospago[[#This Row],[PLANES TELEVENTAS]]="SI"),1,0)</f>
        <v>0</v>
      </c>
      <c r="BH471" s="18" t="str">
        <f>IF(MID(Pospago[[#This Row],[PlanDesc]],1,4) = "PLAN","POSPAGO",IF(MID(Pospago[[#This Row],[PlanDesc]],1,4)="FULL","FULL MEGAS","PREVIOPAGO"))</f>
        <v>PREVIOPAGO</v>
      </c>
      <c r="BI4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4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71" s="21">
        <f>Pospago[[#This Row],[TARIFA_BASICA]]*1.5</f>
        <v>22.5</v>
      </c>
    </row>
    <row r="472" spans="1:63" x14ac:dyDescent="0.25">
      <c r="A472" s="18" t="s">
        <v>154</v>
      </c>
      <c r="B472" s="18" t="s">
        <v>3125</v>
      </c>
      <c r="C472" s="18" t="s">
        <v>3126</v>
      </c>
      <c r="D472" s="19">
        <v>44911</v>
      </c>
      <c r="E472" s="18" t="s">
        <v>67</v>
      </c>
      <c r="F472" s="18" t="s">
        <v>3127</v>
      </c>
      <c r="G472" s="18" t="s">
        <v>3128</v>
      </c>
      <c r="H472" s="18" t="s">
        <v>159</v>
      </c>
      <c r="I472" s="18" t="s">
        <v>160</v>
      </c>
      <c r="J472" s="18" t="s">
        <v>161</v>
      </c>
      <c r="K472" s="18" t="s">
        <v>132</v>
      </c>
      <c r="L472" s="20" t="s">
        <v>3129</v>
      </c>
      <c r="M472" s="18" t="s">
        <v>75</v>
      </c>
      <c r="N472" s="20" t="s">
        <v>3130</v>
      </c>
      <c r="O472" s="18" t="s">
        <v>311</v>
      </c>
      <c r="P472" s="18" t="s">
        <v>78</v>
      </c>
      <c r="Q472" s="19">
        <v>44914</v>
      </c>
      <c r="R472" s="21">
        <v>14.28</v>
      </c>
      <c r="S472" s="18" t="s">
        <v>79</v>
      </c>
      <c r="T472" s="18" t="s">
        <v>232</v>
      </c>
      <c r="U472" s="18" t="s">
        <v>83</v>
      </c>
      <c r="V472" s="18" t="s">
        <v>95</v>
      </c>
      <c r="W472" s="18" t="s">
        <v>95</v>
      </c>
      <c r="X472" s="18" t="s">
        <v>84</v>
      </c>
      <c r="Y472" s="18" t="s">
        <v>85</v>
      </c>
      <c r="Z472" s="18" t="s">
        <v>86</v>
      </c>
      <c r="AA472" s="18" t="s">
        <v>87</v>
      </c>
      <c r="AB472" s="18" t="s">
        <v>271</v>
      </c>
      <c r="AC472" s="18" t="s">
        <v>272</v>
      </c>
      <c r="AD472" s="18" t="s">
        <v>85</v>
      </c>
      <c r="AE472" s="18" t="s">
        <v>90</v>
      </c>
      <c r="AF472" s="18" t="s">
        <v>235</v>
      </c>
      <c r="AG472" s="18" t="s">
        <v>139</v>
      </c>
      <c r="AH472" s="18" t="s">
        <v>165</v>
      </c>
      <c r="AI472" s="18" t="s">
        <v>94</v>
      </c>
      <c r="AJ472" s="19">
        <v>44911</v>
      </c>
      <c r="AK472" s="22" t="s">
        <v>95</v>
      </c>
      <c r="AL472" s="18" t="s">
        <v>95</v>
      </c>
      <c r="AM472" s="18" t="s">
        <v>95</v>
      </c>
      <c r="AN472" s="18" t="s">
        <v>95</v>
      </c>
      <c r="AO472" s="18" t="s">
        <v>95</v>
      </c>
      <c r="AP472" s="18" t="s">
        <v>95</v>
      </c>
      <c r="AQ472" s="18" t="s">
        <v>95</v>
      </c>
      <c r="AR472" s="18" t="s">
        <v>95</v>
      </c>
      <c r="AS472" s="18" t="s">
        <v>83</v>
      </c>
      <c r="AT472" s="18" t="s">
        <v>83</v>
      </c>
      <c r="AU472" s="18" t="s">
        <v>81</v>
      </c>
      <c r="AV472" s="18" t="s">
        <v>95</v>
      </c>
      <c r="AW472" s="18" t="s">
        <v>95</v>
      </c>
      <c r="AX472" s="18"/>
      <c r="AY472" s="18" t="str">
        <f>Pospago[[#This Row],[NUM_TELEFONICO]]&amp;"POSPAGOSI"</f>
        <v>984903287POSPAGOSI</v>
      </c>
      <c r="AZ472" s="18" t="str">
        <f>VLOOKUP(Pospago[[#This Row],[NOM_PLAZA_FINAL]],[1]!Locales[#Data],3,0)</f>
        <v>TIENDA CONDADO</v>
      </c>
      <c r="BA472" s="18" t="str">
        <f>IFERROR(VLOOKUP(Pospago[[#This Row],[USUARIO]],[1]!Personal[#Data],6,0),"EJECUTIVO NO REGISTRADO")</f>
        <v>CASTILLO AGUIRRE EDWIN MODESTO</v>
      </c>
      <c r="BB472" s="18" t="str">
        <f>Pospago[[#This Row],[TIPO_MOVIMIENTO]]&amp;" "&amp;Pospago[[#This Row],[FORMA_PAGO_FINAL]]</f>
        <v>TRANSFERENCIAS DOMICILIADO</v>
      </c>
      <c r="BC472" s="18">
        <f>DAY(Pospago[[#This Row],[FECHA_ALTA]])</f>
        <v>16</v>
      </c>
      <c r="BD472" s="18">
        <f>IF(Pospago[[#This Row],[TARIFA_BASICA]]=11.42,1,0)</f>
        <v>0</v>
      </c>
      <c r="BE472" s="18">
        <f>IF(Pospago[[#This Row],[PLANES TELEVENTAS]]="SI",1,0)</f>
        <v>0</v>
      </c>
      <c r="BF472" s="18">
        <f>1</f>
        <v>1</v>
      </c>
      <c r="BG472" s="18">
        <f>IF(OR(Pospago[[#This Row],[TARIFA_BASICA]]=11.42,Pospago[[#This Row],[PLANES TELEVENTAS]]="SI"),1,0)</f>
        <v>0</v>
      </c>
      <c r="BH472" s="18" t="str">
        <f>IF(MID(Pospago[[#This Row],[PlanDesc]],1,4) = "PLAN","POSPAGO",IF(MID(Pospago[[#This Row],[PlanDesc]],1,4)="FULL","FULL MEGAS","PREVIOPAGO"))</f>
        <v>PREVIOPAGO</v>
      </c>
      <c r="BI4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72" s="21">
        <f>Pospago[[#This Row],[TARIFA_BASICA]]*1.5</f>
        <v>21.419999999999998</v>
      </c>
    </row>
    <row r="473" spans="1:63" x14ac:dyDescent="0.25">
      <c r="A473" s="18" t="s">
        <v>154</v>
      </c>
      <c r="B473" s="18" t="s">
        <v>3131</v>
      </c>
      <c r="C473" s="18" t="s">
        <v>3132</v>
      </c>
      <c r="D473" s="19">
        <v>44896</v>
      </c>
      <c r="E473" s="18" t="s">
        <v>67</v>
      </c>
      <c r="F473" s="18" t="s">
        <v>3133</v>
      </c>
      <c r="G473" s="18" t="s">
        <v>3134</v>
      </c>
      <c r="H473" s="18" t="s">
        <v>159</v>
      </c>
      <c r="I473" s="18" t="s">
        <v>112</v>
      </c>
      <c r="J473" s="18" t="s">
        <v>781</v>
      </c>
      <c r="K473" s="18" t="s">
        <v>560</v>
      </c>
      <c r="L473" s="20" t="s">
        <v>3135</v>
      </c>
      <c r="M473" s="18" t="s">
        <v>75</v>
      </c>
      <c r="N473" s="20" t="s">
        <v>3136</v>
      </c>
      <c r="O473" s="18" t="s">
        <v>2241</v>
      </c>
      <c r="P473" s="18" t="s">
        <v>78</v>
      </c>
      <c r="Q473" s="19">
        <v>44914</v>
      </c>
      <c r="R473" s="21">
        <v>17.850000000000001</v>
      </c>
      <c r="S473" s="18" t="s">
        <v>79</v>
      </c>
      <c r="T473" s="18" t="s">
        <v>174</v>
      </c>
      <c r="U473" s="18" t="s">
        <v>83</v>
      </c>
      <c r="V473" s="18" t="s">
        <v>95</v>
      </c>
      <c r="W473" s="18" t="s">
        <v>95</v>
      </c>
      <c r="X473" s="18" t="s">
        <v>84</v>
      </c>
      <c r="Y473" s="18" t="s">
        <v>85</v>
      </c>
      <c r="Z473" s="18" t="s">
        <v>86</v>
      </c>
      <c r="AA473" s="18" t="s">
        <v>87</v>
      </c>
      <c r="AB473" s="18" t="s">
        <v>187</v>
      </c>
      <c r="AC473" s="18" t="s">
        <v>188</v>
      </c>
      <c r="AD473" s="18" t="s">
        <v>85</v>
      </c>
      <c r="AE473" s="18" t="s">
        <v>90</v>
      </c>
      <c r="AF473" s="18" t="s">
        <v>177</v>
      </c>
      <c r="AG473" s="18" t="s">
        <v>139</v>
      </c>
      <c r="AH473" s="18" t="s">
        <v>165</v>
      </c>
      <c r="AI473" s="18" t="s">
        <v>94</v>
      </c>
      <c r="AJ473" s="19">
        <v>44896</v>
      </c>
      <c r="AK473" s="22" t="s">
        <v>95</v>
      </c>
      <c r="AL473" s="18" t="s">
        <v>95</v>
      </c>
      <c r="AM473" s="18" t="s">
        <v>95</v>
      </c>
      <c r="AN473" s="18" t="s">
        <v>95</v>
      </c>
      <c r="AO473" s="18" t="s">
        <v>95</v>
      </c>
      <c r="AP473" s="18" t="s">
        <v>95</v>
      </c>
      <c r="AQ473" s="18" t="s">
        <v>95</v>
      </c>
      <c r="AR473" s="18" t="s">
        <v>95</v>
      </c>
      <c r="AS473" s="18" t="s">
        <v>83</v>
      </c>
      <c r="AT473" s="18" t="s">
        <v>83</v>
      </c>
      <c r="AU473" s="18" t="s">
        <v>81</v>
      </c>
      <c r="AV473" s="18" t="s">
        <v>95</v>
      </c>
      <c r="AW473" s="18" t="s">
        <v>95</v>
      </c>
      <c r="AX473" s="18"/>
      <c r="AY473" s="18" t="str">
        <f>Pospago[[#This Row],[NUM_TELEFONICO]]&amp;"POSPAGOSI"</f>
        <v>984912582POSPAGOSI</v>
      </c>
      <c r="AZ473" s="18" t="str">
        <f>VLOOKUP(Pospago[[#This Row],[NOM_PLAZA_FINAL]],[1]!Locales[#Data],3,0)</f>
        <v>TIENDA RECREO</v>
      </c>
      <c r="BA473" s="18" t="str">
        <f>IFERROR(VLOOKUP(Pospago[[#This Row],[USUARIO]],[1]!Personal[#Data],6,0),"EJECUTIVO NO REGISTRADO")</f>
        <v>ESPINOZA MARTINES LAURA XIOMARA</v>
      </c>
      <c r="BB473" s="18" t="str">
        <f>Pospago[[#This Row],[TIPO_MOVIMIENTO]]&amp;" "&amp;Pospago[[#This Row],[FORMA_PAGO_FINAL]]</f>
        <v>TRANSFERENCIAS DOMICILIADO</v>
      </c>
      <c r="BC473" s="18">
        <f>DAY(Pospago[[#This Row],[FECHA_ALTA]])</f>
        <v>1</v>
      </c>
      <c r="BD473" s="18">
        <f>IF(Pospago[[#This Row],[TARIFA_BASICA]]=11.42,1,0)</f>
        <v>0</v>
      </c>
      <c r="BE473" s="18">
        <f>IF(Pospago[[#This Row],[PLANES TELEVENTAS]]="SI",1,0)</f>
        <v>0</v>
      </c>
      <c r="BF473" s="18">
        <f>1</f>
        <v>1</v>
      </c>
      <c r="BG473" s="18">
        <f>IF(OR(Pospago[[#This Row],[TARIFA_BASICA]]=11.42,Pospago[[#This Row],[PLANES TELEVENTAS]]="SI"),1,0)</f>
        <v>0</v>
      </c>
      <c r="BH473" s="18" t="str">
        <f>IF(MID(Pospago[[#This Row],[PlanDesc]],1,4) = "PLAN","POSPAGO",IF(MID(Pospago[[#This Row],[PlanDesc]],1,4)="FULL","FULL MEGAS","PREVIOPAGO"))</f>
        <v>PREVIOPAGO</v>
      </c>
      <c r="BI4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4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73" s="21">
        <f>Pospago[[#This Row],[TARIFA_BASICA]]*1.5</f>
        <v>26.775000000000002</v>
      </c>
    </row>
    <row r="474" spans="1:63" x14ac:dyDescent="0.25">
      <c r="A474" s="18" t="s">
        <v>64</v>
      </c>
      <c r="B474" s="18" t="s">
        <v>3137</v>
      </c>
      <c r="C474" s="18" t="s">
        <v>3138</v>
      </c>
      <c r="D474" s="19">
        <v>44902</v>
      </c>
      <c r="E474" s="18" t="s">
        <v>67</v>
      </c>
      <c r="F474" s="18" t="s">
        <v>3139</v>
      </c>
      <c r="G474" s="18" t="s">
        <v>3140</v>
      </c>
      <c r="H474" s="18" t="s">
        <v>70</v>
      </c>
      <c r="I474" s="18" t="s">
        <v>160</v>
      </c>
      <c r="J474" s="18" t="s">
        <v>195</v>
      </c>
      <c r="K474" s="18" t="s">
        <v>132</v>
      </c>
      <c r="L474" s="20" t="s">
        <v>3141</v>
      </c>
      <c r="M474" s="18" t="s">
        <v>287</v>
      </c>
      <c r="N474" s="20" t="s">
        <v>3142</v>
      </c>
      <c r="O474" s="18" t="s">
        <v>311</v>
      </c>
      <c r="P474" s="18" t="s">
        <v>78</v>
      </c>
      <c r="Q474" s="19">
        <v>44914</v>
      </c>
      <c r="R474" s="21">
        <v>14.28</v>
      </c>
      <c r="S474" s="18" t="s">
        <v>79</v>
      </c>
      <c r="T474" s="18" t="s">
        <v>174</v>
      </c>
      <c r="U474" s="18" t="s">
        <v>83</v>
      </c>
      <c r="V474" s="18" t="s">
        <v>95</v>
      </c>
      <c r="W474" s="18" t="s">
        <v>83</v>
      </c>
      <c r="X474" s="18" t="s">
        <v>84</v>
      </c>
      <c r="Y474" s="18" t="s">
        <v>85</v>
      </c>
      <c r="Z474" s="18" t="s">
        <v>86</v>
      </c>
      <c r="AA474" s="18" t="s">
        <v>87</v>
      </c>
      <c r="AB474" s="18" t="s">
        <v>492</v>
      </c>
      <c r="AC474" s="18" t="s">
        <v>493</v>
      </c>
      <c r="AD474" s="18" t="s">
        <v>85</v>
      </c>
      <c r="AE474" s="18" t="s">
        <v>90</v>
      </c>
      <c r="AF474" s="18" t="s">
        <v>177</v>
      </c>
      <c r="AG474" s="18" t="s">
        <v>139</v>
      </c>
      <c r="AH474" s="18" t="s">
        <v>93</v>
      </c>
      <c r="AI474" s="18" t="s">
        <v>94</v>
      </c>
      <c r="AJ474" s="19">
        <v>44902</v>
      </c>
      <c r="AK474" s="22">
        <v>44902</v>
      </c>
      <c r="AL474" s="18" t="s">
        <v>291</v>
      </c>
      <c r="AM474" s="18" t="s">
        <v>292</v>
      </c>
      <c r="AN474" s="18" t="s">
        <v>293</v>
      </c>
      <c r="AO474" s="18" t="s">
        <v>354</v>
      </c>
      <c r="AP474" s="18">
        <v>1</v>
      </c>
      <c r="AQ474" s="18">
        <v>285.71429000000001</v>
      </c>
      <c r="AR474" s="18" t="s">
        <v>295</v>
      </c>
      <c r="AS474" s="18" t="s">
        <v>81</v>
      </c>
      <c r="AT474" s="18" t="s">
        <v>83</v>
      </c>
      <c r="AU474" s="18" t="s">
        <v>81</v>
      </c>
      <c r="AV474" s="18" t="s">
        <v>95</v>
      </c>
      <c r="AW474" s="18" t="s">
        <v>95</v>
      </c>
      <c r="AX474" s="18"/>
      <c r="AY474" s="18" t="str">
        <f>Pospago[[#This Row],[NUM_TELEFONICO]]&amp;"POSPAGOSI"</f>
        <v>984918978POSPAGOSI</v>
      </c>
      <c r="AZ474" s="18" t="str">
        <f>VLOOKUP(Pospago[[#This Row],[NOM_PLAZA_FINAL]],[1]!Locales[#Data],3,0)</f>
        <v>TIENDA RECREO</v>
      </c>
      <c r="BA474" s="18" t="str">
        <f>IFERROR(VLOOKUP(Pospago[[#This Row],[USUARIO]],[1]!Personal[#Data],6,0),"EJECUTIVO NO REGISTRADO")</f>
        <v>CONDO GARCIA NICOLAS MATIAS</v>
      </c>
      <c r="BB474" s="18" t="str">
        <f>Pospago[[#This Row],[TIPO_MOVIMIENTO]]&amp;" "&amp;Pospago[[#This Row],[FORMA_PAGO_FINAL]]</f>
        <v>ALTAS DOMICILIADO</v>
      </c>
      <c r="BC474" s="18">
        <f>DAY(Pospago[[#This Row],[FECHA_ALTA]])</f>
        <v>7</v>
      </c>
      <c r="BD474" s="18">
        <f>IF(Pospago[[#This Row],[TARIFA_BASICA]]=11.42,1,0)</f>
        <v>0</v>
      </c>
      <c r="BE474" s="18">
        <f>IF(Pospago[[#This Row],[PLANES TELEVENTAS]]="SI",1,0)</f>
        <v>0</v>
      </c>
      <c r="BF474" s="18">
        <f>1</f>
        <v>1</v>
      </c>
      <c r="BG474" s="18">
        <f>IF(OR(Pospago[[#This Row],[TARIFA_BASICA]]=11.42,Pospago[[#This Row],[PLANES TELEVENTAS]]="SI"),1,0)</f>
        <v>0</v>
      </c>
      <c r="BH474" s="18" t="str">
        <f>IF(MID(Pospago[[#This Row],[PlanDesc]],1,4) = "PLAN","POSPAGO",IF(MID(Pospago[[#This Row],[PlanDesc]],1,4)="FULL","FULL MEGAS","PREVIOPAGO"))</f>
        <v>PREVIOPAGO</v>
      </c>
      <c r="BI4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74" s="21">
        <f>Pospago[[#This Row],[TARIFA_BASICA]]*1.5</f>
        <v>21.419999999999998</v>
      </c>
    </row>
    <row r="475" spans="1:63" x14ac:dyDescent="0.25">
      <c r="A475" s="18" t="s">
        <v>64</v>
      </c>
      <c r="B475" s="18" t="s">
        <v>3143</v>
      </c>
      <c r="C475" s="18" t="s">
        <v>3144</v>
      </c>
      <c r="D475" s="19">
        <v>44900</v>
      </c>
      <c r="E475" s="18" t="s">
        <v>67</v>
      </c>
      <c r="F475" s="18" t="s">
        <v>3145</v>
      </c>
      <c r="G475" s="18" t="s">
        <v>3146</v>
      </c>
      <c r="H475" s="18" t="s">
        <v>70</v>
      </c>
      <c r="I475" s="18" t="s">
        <v>71</v>
      </c>
      <c r="J475" s="18" t="s">
        <v>72</v>
      </c>
      <c r="K475" s="18" t="s">
        <v>73</v>
      </c>
      <c r="L475" s="20" t="s">
        <v>3147</v>
      </c>
      <c r="M475" s="18" t="s">
        <v>75</v>
      </c>
      <c r="N475" s="20" t="s">
        <v>3148</v>
      </c>
      <c r="O475" s="18" t="s">
        <v>768</v>
      </c>
      <c r="P475" s="18" t="s">
        <v>78</v>
      </c>
      <c r="Q475" s="19">
        <v>44914</v>
      </c>
      <c r="R475" s="21">
        <v>11.42</v>
      </c>
      <c r="S475" s="18" t="s">
        <v>79</v>
      </c>
      <c r="T475" s="18" t="s">
        <v>80</v>
      </c>
      <c r="U475" s="18" t="s">
        <v>83</v>
      </c>
      <c r="V475" s="18" t="s">
        <v>95</v>
      </c>
      <c r="W475" s="18" t="s">
        <v>83</v>
      </c>
      <c r="X475" s="18" t="s">
        <v>215</v>
      </c>
      <c r="Y475" s="18" t="s">
        <v>85</v>
      </c>
      <c r="Z475" s="18" t="s">
        <v>86</v>
      </c>
      <c r="AA475" s="18" t="s">
        <v>87</v>
      </c>
      <c r="AB475" s="18" t="s">
        <v>88</v>
      </c>
      <c r="AC475" s="18" t="s">
        <v>89</v>
      </c>
      <c r="AD475" s="18" t="s">
        <v>85</v>
      </c>
      <c r="AE475" s="18" t="s">
        <v>90</v>
      </c>
      <c r="AF475" s="18" t="s">
        <v>91</v>
      </c>
      <c r="AG475" s="18" t="s">
        <v>92</v>
      </c>
      <c r="AH475" s="18" t="s">
        <v>93</v>
      </c>
      <c r="AI475" s="18" t="s">
        <v>94</v>
      </c>
      <c r="AJ475" s="19">
        <v>44900</v>
      </c>
      <c r="AK475" s="22" t="s">
        <v>95</v>
      </c>
      <c r="AL475" s="18" t="s">
        <v>95</v>
      </c>
      <c r="AM475" s="18" t="s">
        <v>95</v>
      </c>
      <c r="AN475" s="18" t="s">
        <v>95</v>
      </c>
      <c r="AO475" s="18" t="s">
        <v>95</v>
      </c>
      <c r="AP475" s="18" t="s">
        <v>95</v>
      </c>
      <c r="AQ475" s="18" t="s">
        <v>95</v>
      </c>
      <c r="AR475" s="18" t="s">
        <v>95</v>
      </c>
      <c r="AS475" s="18" t="s">
        <v>83</v>
      </c>
      <c r="AT475" s="18" t="s">
        <v>83</v>
      </c>
      <c r="AU475" s="18" t="s">
        <v>81</v>
      </c>
      <c r="AV475" s="18" t="s">
        <v>95</v>
      </c>
      <c r="AW475" s="18" t="s">
        <v>95</v>
      </c>
      <c r="AX475" s="18"/>
      <c r="AY475" s="18" t="str">
        <f>Pospago[[#This Row],[NUM_TELEFONICO]]&amp;"POSPAGOSI"</f>
        <v>984923102POSPAGOSI</v>
      </c>
      <c r="AZ475" s="18" t="str">
        <f>VLOOKUP(Pospago[[#This Row],[NOM_PLAZA_FINAL]],[1]!Locales[#Data],3,0)</f>
        <v>TIENDA CUENCA CENTRO</v>
      </c>
      <c r="BA475" s="18" t="str">
        <f>IFERROR(VLOOKUP(Pospago[[#This Row],[USUARIO]],[1]!Personal[#Data],6,0),"EJECUTIVO NO REGISTRADO")</f>
        <v>ANDRADE CONDO CHRISTIAN EDUARDO</v>
      </c>
      <c r="BB475" s="18" t="str">
        <f>Pospago[[#This Row],[TIPO_MOVIMIENTO]]&amp;" "&amp;Pospago[[#This Row],[FORMA_PAGO_FINAL]]</f>
        <v>ALTAS DOMICILIADO</v>
      </c>
      <c r="BC475" s="18">
        <f>DAY(Pospago[[#This Row],[FECHA_ALTA]])</f>
        <v>5</v>
      </c>
      <c r="BD475" s="18">
        <f>IF(Pospago[[#This Row],[TARIFA_BASICA]]=11.42,1,0)</f>
        <v>1</v>
      </c>
      <c r="BE475" s="18">
        <f>IF(Pospago[[#This Row],[PLANES TELEVENTAS]]="SI",1,0)</f>
        <v>0</v>
      </c>
      <c r="BF475" s="18">
        <f>1</f>
        <v>1</v>
      </c>
      <c r="BG475" s="18">
        <f>IF(OR(Pospago[[#This Row],[TARIFA_BASICA]]=11.42,Pospago[[#This Row],[PLANES TELEVENTAS]]="SI"),1,0)</f>
        <v>1</v>
      </c>
      <c r="BH475" s="18" t="str">
        <f>IF(MID(Pospago[[#This Row],[PlanDesc]],1,4) = "PLAN","POSPAGO",IF(MID(Pospago[[#This Row],[PlanDesc]],1,4)="FULL","FULL MEGAS","PREVIOPAGO"))</f>
        <v>PREVIOPAGO</v>
      </c>
      <c r="BI4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4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75" s="21">
        <f>Pospago[[#This Row],[TARIFA_BASICA]]*1.5</f>
        <v>17.13</v>
      </c>
    </row>
    <row r="476" spans="1:63" x14ac:dyDescent="0.25">
      <c r="A476" s="18" t="s">
        <v>154</v>
      </c>
      <c r="B476" s="18" t="s">
        <v>3149</v>
      </c>
      <c r="C476" s="18" t="s">
        <v>3150</v>
      </c>
      <c r="D476" s="19">
        <v>44902</v>
      </c>
      <c r="E476" s="18" t="s">
        <v>67</v>
      </c>
      <c r="F476" s="18" t="s">
        <v>3151</v>
      </c>
      <c r="G476" s="18" t="s">
        <v>3152</v>
      </c>
      <c r="H476" s="18" t="s">
        <v>159</v>
      </c>
      <c r="I476" s="18" t="s">
        <v>160</v>
      </c>
      <c r="J476" s="18" t="s">
        <v>161</v>
      </c>
      <c r="K476" s="18" t="s">
        <v>259</v>
      </c>
      <c r="L476" s="20" t="s">
        <v>3153</v>
      </c>
      <c r="M476" s="18" t="s">
        <v>75</v>
      </c>
      <c r="N476" s="20" t="s">
        <v>3154</v>
      </c>
      <c r="O476" s="18" t="s">
        <v>164</v>
      </c>
      <c r="P476" s="18" t="s">
        <v>78</v>
      </c>
      <c r="Q476" s="19">
        <v>44914</v>
      </c>
      <c r="R476" s="21">
        <v>14.28</v>
      </c>
      <c r="S476" s="18" t="s">
        <v>79</v>
      </c>
      <c r="T476" s="18" t="s">
        <v>174</v>
      </c>
      <c r="U476" s="18" t="s">
        <v>83</v>
      </c>
      <c r="V476" s="18" t="s">
        <v>95</v>
      </c>
      <c r="W476" s="18" t="s">
        <v>95</v>
      </c>
      <c r="X476" s="18" t="s">
        <v>84</v>
      </c>
      <c r="Y476" s="18" t="s">
        <v>85</v>
      </c>
      <c r="Z476" s="18" t="s">
        <v>86</v>
      </c>
      <c r="AA476" s="18" t="s">
        <v>87</v>
      </c>
      <c r="AB476" s="18" t="s">
        <v>262</v>
      </c>
      <c r="AC476" s="18" t="s">
        <v>263</v>
      </c>
      <c r="AD476" s="18" t="s">
        <v>85</v>
      </c>
      <c r="AE476" s="18" t="s">
        <v>90</v>
      </c>
      <c r="AF476" s="18" t="s">
        <v>177</v>
      </c>
      <c r="AG476" s="18" t="s">
        <v>139</v>
      </c>
      <c r="AH476" s="18" t="s">
        <v>165</v>
      </c>
      <c r="AI476" s="18" t="s">
        <v>94</v>
      </c>
      <c r="AJ476" s="19">
        <v>44902</v>
      </c>
      <c r="AK476" s="22" t="s">
        <v>95</v>
      </c>
      <c r="AL476" s="18" t="s">
        <v>95</v>
      </c>
      <c r="AM476" s="18" t="s">
        <v>95</v>
      </c>
      <c r="AN476" s="18" t="s">
        <v>95</v>
      </c>
      <c r="AO476" s="18" t="s">
        <v>95</v>
      </c>
      <c r="AP476" s="18" t="s">
        <v>95</v>
      </c>
      <c r="AQ476" s="18" t="s">
        <v>95</v>
      </c>
      <c r="AR476" s="18" t="s">
        <v>95</v>
      </c>
      <c r="AS476" s="18" t="s">
        <v>83</v>
      </c>
      <c r="AT476" s="18" t="s">
        <v>83</v>
      </c>
      <c r="AU476" s="18" t="s">
        <v>81</v>
      </c>
      <c r="AV476" s="18" t="s">
        <v>95</v>
      </c>
      <c r="AW476" s="18" t="s">
        <v>95</v>
      </c>
      <c r="AX476" s="18"/>
      <c r="AY476" s="18" t="str">
        <f>Pospago[[#This Row],[NUM_TELEFONICO]]&amp;"POSPAGOSI"</f>
        <v>984923784POSPAGOSI</v>
      </c>
      <c r="AZ476" s="18" t="str">
        <f>VLOOKUP(Pospago[[#This Row],[NOM_PLAZA_FINAL]],[1]!Locales[#Data],3,0)</f>
        <v>TIENDA RECREO</v>
      </c>
      <c r="BA476" s="18" t="str">
        <f>IFERROR(VLOOKUP(Pospago[[#This Row],[USUARIO]],[1]!Personal[#Data],6,0),"EJECUTIVO NO REGISTRADO")</f>
        <v>CHICAIZA TOAPANTA ALEX DANILO</v>
      </c>
      <c r="BB476" s="18" t="str">
        <f>Pospago[[#This Row],[TIPO_MOVIMIENTO]]&amp;" "&amp;Pospago[[#This Row],[FORMA_PAGO_FINAL]]</f>
        <v>TRANSFERENCIAS DOMICILIADO</v>
      </c>
      <c r="BC476" s="18">
        <f>DAY(Pospago[[#This Row],[FECHA_ALTA]])</f>
        <v>7</v>
      </c>
      <c r="BD476" s="18">
        <f>IF(Pospago[[#This Row],[TARIFA_BASICA]]=11.42,1,0)</f>
        <v>0</v>
      </c>
      <c r="BE476" s="18">
        <f>IF(Pospago[[#This Row],[PLANES TELEVENTAS]]="SI",1,0)</f>
        <v>0</v>
      </c>
      <c r="BF476" s="18">
        <f>1</f>
        <v>1</v>
      </c>
      <c r="BG476" s="18">
        <f>IF(OR(Pospago[[#This Row],[TARIFA_BASICA]]=11.42,Pospago[[#This Row],[PLANES TELEVENTAS]]="SI"),1,0)</f>
        <v>0</v>
      </c>
      <c r="BH476" s="18" t="str">
        <f>IF(MID(Pospago[[#This Row],[PlanDesc]],1,4) = "PLAN","POSPAGO",IF(MID(Pospago[[#This Row],[PlanDesc]],1,4)="FULL","FULL MEGAS","PREVIOPAGO"))</f>
        <v>PREVIOPAGO</v>
      </c>
      <c r="BI4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76" s="21">
        <f>Pospago[[#This Row],[TARIFA_BASICA]]*1.5</f>
        <v>21.419999999999998</v>
      </c>
    </row>
    <row r="477" spans="1:63" x14ac:dyDescent="0.25">
      <c r="A477" s="18" t="s">
        <v>64</v>
      </c>
      <c r="B477" s="18" t="s">
        <v>3155</v>
      </c>
      <c r="C477" s="18" t="s">
        <v>3156</v>
      </c>
      <c r="D477" s="19">
        <v>44906</v>
      </c>
      <c r="E477" s="18" t="s">
        <v>67</v>
      </c>
      <c r="F477" s="18" t="s">
        <v>3157</v>
      </c>
      <c r="G477" s="18" t="s">
        <v>3158</v>
      </c>
      <c r="H477" s="18" t="s">
        <v>70</v>
      </c>
      <c r="I477" s="18" t="s">
        <v>71</v>
      </c>
      <c r="J477" s="18" t="s">
        <v>72</v>
      </c>
      <c r="K477" s="18" t="s">
        <v>132</v>
      </c>
      <c r="L477" s="20" t="s">
        <v>3159</v>
      </c>
      <c r="M477" s="18" t="s">
        <v>75</v>
      </c>
      <c r="N477" s="20" t="s">
        <v>3160</v>
      </c>
      <c r="O477" s="18" t="s">
        <v>77</v>
      </c>
      <c r="P477" s="18" t="s">
        <v>78</v>
      </c>
      <c r="Q477" s="19">
        <v>44914</v>
      </c>
      <c r="R477" s="21">
        <v>11.42</v>
      </c>
      <c r="S477" s="18" t="s">
        <v>79</v>
      </c>
      <c r="T477" s="18" t="s">
        <v>174</v>
      </c>
      <c r="U477" s="18" t="s">
        <v>83</v>
      </c>
      <c r="V477" s="18" t="s">
        <v>95</v>
      </c>
      <c r="W477" s="18" t="s">
        <v>83</v>
      </c>
      <c r="X477" s="18" t="s">
        <v>84</v>
      </c>
      <c r="Y477" s="18" t="s">
        <v>85</v>
      </c>
      <c r="Z477" s="18" t="s">
        <v>86</v>
      </c>
      <c r="AA477" s="18" t="s">
        <v>87</v>
      </c>
      <c r="AB477" s="18" t="s">
        <v>492</v>
      </c>
      <c r="AC477" s="18" t="s">
        <v>493</v>
      </c>
      <c r="AD477" s="18" t="s">
        <v>85</v>
      </c>
      <c r="AE477" s="18" t="s">
        <v>90</v>
      </c>
      <c r="AF477" s="18" t="s">
        <v>177</v>
      </c>
      <c r="AG477" s="18" t="s">
        <v>139</v>
      </c>
      <c r="AH477" s="18" t="s">
        <v>93</v>
      </c>
      <c r="AI477" s="18" t="s">
        <v>94</v>
      </c>
      <c r="AJ477" s="19">
        <v>44906</v>
      </c>
      <c r="AK477" s="22" t="s">
        <v>95</v>
      </c>
      <c r="AL477" s="18" t="s">
        <v>95</v>
      </c>
      <c r="AM477" s="18" t="s">
        <v>95</v>
      </c>
      <c r="AN477" s="18" t="s">
        <v>95</v>
      </c>
      <c r="AO477" s="18" t="s">
        <v>95</v>
      </c>
      <c r="AP477" s="18" t="s">
        <v>95</v>
      </c>
      <c r="AQ477" s="18" t="s">
        <v>95</v>
      </c>
      <c r="AR477" s="18" t="s">
        <v>95</v>
      </c>
      <c r="AS477" s="18" t="s">
        <v>83</v>
      </c>
      <c r="AT477" s="18" t="s">
        <v>83</v>
      </c>
      <c r="AU477" s="18" t="s">
        <v>81</v>
      </c>
      <c r="AV477" s="18" t="s">
        <v>95</v>
      </c>
      <c r="AW477" s="18" t="s">
        <v>95</v>
      </c>
      <c r="AX477" s="18"/>
      <c r="AY477" s="18" t="str">
        <f>Pospago[[#This Row],[NUM_TELEFONICO]]&amp;"POSPAGOSI"</f>
        <v>984938084POSPAGOSI</v>
      </c>
      <c r="AZ477" s="18" t="str">
        <f>VLOOKUP(Pospago[[#This Row],[NOM_PLAZA_FINAL]],[1]!Locales[#Data],3,0)</f>
        <v>TIENDA RECREO</v>
      </c>
      <c r="BA477" s="18" t="str">
        <f>IFERROR(VLOOKUP(Pospago[[#This Row],[USUARIO]],[1]!Personal[#Data],6,0),"EJECUTIVO NO REGISTRADO")</f>
        <v>CONDO GARCIA NICOLAS MATIAS</v>
      </c>
      <c r="BB477" s="18" t="str">
        <f>Pospago[[#This Row],[TIPO_MOVIMIENTO]]&amp;" "&amp;Pospago[[#This Row],[FORMA_PAGO_FINAL]]</f>
        <v>ALTAS DOMICILIADO</v>
      </c>
      <c r="BC477" s="18">
        <f>DAY(Pospago[[#This Row],[FECHA_ALTA]])</f>
        <v>11</v>
      </c>
      <c r="BD477" s="18">
        <f>IF(Pospago[[#This Row],[TARIFA_BASICA]]=11.42,1,0)</f>
        <v>1</v>
      </c>
      <c r="BE477" s="18">
        <f>IF(Pospago[[#This Row],[PLANES TELEVENTAS]]="SI",1,0)</f>
        <v>0</v>
      </c>
      <c r="BF477" s="18">
        <f>1</f>
        <v>1</v>
      </c>
      <c r="BG477" s="18">
        <f>IF(OR(Pospago[[#This Row],[TARIFA_BASICA]]=11.42,Pospago[[#This Row],[PLANES TELEVENTAS]]="SI"),1,0)</f>
        <v>1</v>
      </c>
      <c r="BH477" s="18" t="str">
        <f>IF(MID(Pospago[[#This Row],[PlanDesc]],1,4) = "PLAN","POSPAGO",IF(MID(Pospago[[#This Row],[PlanDesc]],1,4)="FULL","FULL MEGAS","PREVIOPAGO"))</f>
        <v>PREVIOPAGO</v>
      </c>
      <c r="BI4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4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77" s="21">
        <f>Pospago[[#This Row],[TARIFA_BASICA]]*1.5</f>
        <v>17.13</v>
      </c>
    </row>
    <row r="478" spans="1:63" x14ac:dyDescent="0.25">
      <c r="A478" s="18" t="s">
        <v>64</v>
      </c>
      <c r="B478" s="18" t="s">
        <v>3161</v>
      </c>
      <c r="C478" s="18" t="s">
        <v>3162</v>
      </c>
      <c r="D478" s="19">
        <v>44910</v>
      </c>
      <c r="E478" s="18" t="s">
        <v>67</v>
      </c>
      <c r="F478" s="18" t="s">
        <v>3163</v>
      </c>
      <c r="G478" s="18" t="s">
        <v>3164</v>
      </c>
      <c r="H478" s="18" t="s">
        <v>70</v>
      </c>
      <c r="I478" s="18" t="s">
        <v>359</v>
      </c>
      <c r="J478" s="18" t="s">
        <v>360</v>
      </c>
      <c r="K478" s="18" t="s">
        <v>73</v>
      </c>
      <c r="L478" s="20" t="s">
        <v>3165</v>
      </c>
      <c r="M478" s="18" t="s">
        <v>75</v>
      </c>
      <c r="N478" s="20" t="s">
        <v>3166</v>
      </c>
      <c r="O478" s="18" t="s">
        <v>77</v>
      </c>
      <c r="P478" s="18" t="s">
        <v>78</v>
      </c>
      <c r="Q478" s="19">
        <v>44914</v>
      </c>
      <c r="R478" s="21">
        <v>14.28</v>
      </c>
      <c r="S478" s="18" t="s">
        <v>79</v>
      </c>
      <c r="T478" s="18" t="s">
        <v>148</v>
      </c>
      <c r="U478" s="18" t="s">
        <v>81</v>
      </c>
      <c r="V478" s="18" t="s">
        <v>1029</v>
      </c>
      <c r="W478" s="18" t="s">
        <v>83</v>
      </c>
      <c r="X478" s="18" t="s">
        <v>215</v>
      </c>
      <c r="Y478" s="18" t="s">
        <v>85</v>
      </c>
      <c r="Z478" s="18" t="s">
        <v>86</v>
      </c>
      <c r="AA478" s="18" t="s">
        <v>87</v>
      </c>
      <c r="AB478" s="18" t="s">
        <v>420</v>
      </c>
      <c r="AC478" s="18" t="s">
        <v>421</v>
      </c>
      <c r="AD478" s="18" t="s">
        <v>85</v>
      </c>
      <c r="AE478" s="18" t="s">
        <v>90</v>
      </c>
      <c r="AF478" s="18" t="s">
        <v>151</v>
      </c>
      <c r="AG478" s="18" t="s">
        <v>92</v>
      </c>
      <c r="AH478" s="18" t="s">
        <v>93</v>
      </c>
      <c r="AI478" s="18" t="s">
        <v>94</v>
      </c>
      <c r="AJ478" s="19">
        <v>44910</v>
      </c>
      <c r="AK478" s="22" t="s">
        <v>95</v>
      </c>
      <c r="AL478" s="18" t="s">
        <v>95</v>
      </c>
      <c r="AM478" s="18" t="s">
        <v>95</v>
      </c>
      <c r="AN478" s="18" t="s">
        <v>95</v>
      </c>
      <c r="AO478" s="18" t="s">
        <v>95</v>
      </c>
      <c r="AP478" s="18" t="s">
        <v>95</v>
      </c>
      <c r="AQ478" s="18" t="s">
        <v>95</v>
      </c>
      <c r="AR478" s="18" t="s">
        <v>95</v>
      </c>
      <c r="AS478" s="18" t="s">
        <v>83</v>
      </c>
      <c r="AT478" s="18" t="s">
        <v>83</v>
      </c>
      <c r="AU478" s="18" t="s">
        <v>83</v>
      </c>
      <c r="AV478" s="18" t="s">
        <v>95</v>
      </c>
      <c r="AW478" s="18" t="s">
        <v>95</v>
      </c>
      <c r="AX478" s="18"/>
      <c r="AY478" s="18" t="str">
        <f>Pospago[[#This Row],[NUM_TELEFONICO]]&amp;"POSPAGOSI"</f>
        <v>984949524POSPAGOSI</v>
      </c>
      <c r="AZ478" s="18" t="str">
        <f>VLOOKUP(Pospago[[#This Row],[NOM_PLAZA_FINAL]],[1]!Locales[#Data],3,0)</f>
        <v>TIENDA CUENCA REMIGIO</v>
      </c>
      <c r="BA478" s="18" t="str">
        <f>IFERROR(VLOOKUP(Pospago[[#This Row],[USUARIO]],[1]!Personal[#Data],6,0),"EJECUTIVO NO REGISTRADO")</f>
        <v>YEPEZ PALOMEQUE DIANA PATRICIA</v>
      </c>
      <c r="BB478" s="18" t="str">
        <f>Pospago[[#This Row],[TIPO_MOVIMIENTO]]&amp;" "&amp;Pospago[[#This Row],[FORMA_PAGO_FINAL]]</f>
        <v>ALTAS DOMICILIADO</v>
      </c>
      <c r="BC478" s="18">
        <f>DAY(Pospago[[#This Row],[FECHA_ALTA]])</f>
        <v>15</v>
      </c>
      <c r="BD478" s="18">
        <f>IF(Pospago[[#This Row],[TARIFA_BASICA]]=11.42,1,0)</f>
        <v>0</v>
      </c>
      <c r="BE478" s="18">
        <f>IF(Pospago[[#This Row],[PLANES TELEVENTAS]]="SI",1,0)</f>
        <v>0</v>
      </c>
      <c r="BF478" s="18">
        <f>1</f>
        <v>1</v>
      </c>
      <c r="BG478" s="18">
        <f>IF(OR(Pospago[[#This Row],[TARIFA_BASICA]]=11.42,Pospago[[#This Row],[PLANES TELEVENTAS]]="SI"),1,0)</f>
        <v>0</v>
      </c>
      <c r="BH478" s="18" t="str">
        <f>IF(MID(Pospago[[#This Row],[PlanDesc]],1,4) = "PLAN","POSPAGO",IF(MID(Pospago[[#This Row],[PlanDesc]],1,4)="FULL","FULL MEGAS","PREVIOPAGO"))</f>
        <v>POSPAGO</v>
      </c>
      <c r="BI4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78" s="21">
        <f>Pospago[[#This Row],[TARIFA_BASICA]]*1.5</f>
        <v>21.419999999999998</v>
      </c>
    </row>
    <row r="479" spans="1:63" x14ac:dyDescent="0.25">
      <c r="A479" s="18" t="s">
        <v>64</v>
      </c>
      <c r="B479" s="18" t="s">
        <v>3167</v>
      </c>
      <c r="C479" s="18" t="s">
        <v>3168</v>
      </c>
      <c r="D479" s="19">
        <v>44901</v>
      </c>
      <c r="E479" s="18" t="s">
        <v>67</v>
      </c>
      <c r="F479" s="18" t="s">
        <v>3169</v>
      </c>
      <c r="G479" s="18" t="s">
        <v>3170</v>
      </c>
      <c r="H479" s="18" t="s">
        <v>70</v>
      </c>
      <c r="I479" s="18" t="s">
        <v>130</v>
      </c>
      <c r="J479" s="18" t="s">
        <v>131</v>
      </c>
      <c r="K479" s="18" t="s">
        <v>95</v>
      </c>
      <c r="L479" s="20" t="s">
        <v>3171</v>
      </c>
      <c r="M479" s="18" t="s">
        <v>75</v>
      </c>
      <c r="N479" s="20" t="s">
        <v>3172</v>
      </c>
      <c r="O479" s="18" t="s">
        <v>77</v>
      </c>
      <c r="P479" s="18" t="s">
        <v>78</v>
      </c>
      <c r="Q479" s="19">
        <v>44914</v>
      </c>
      <c r="R479" s="21">
        <v>15</v>
      </c>
      <c r="S479" s="18" t="s">
        <v>79</v>
      </c>
      <c r="T479" s="18" t="s">
        <v>174</v>
      </c>
      <c r="U479" s="18" t="s">
        <v>83</v>
      </c>
      <c r="V479" s="18" t="s">
        <v>95</v>
      </c>
      <c r="W479" s="18" t="s">
        <v>83</v>
      </c>
      <c r="X479" s="18" t="s">
        <v>84</v>
      </c>
      <c r="Y479" s="18" t="s">
        <v>85</v>
      </c>
      <c r="Z479" s="18" t="s">
        <v>86</v>
      </c>
      <c r="AA479" s="18" t="s">
        <v>87</v>
      </c>
      <c r="AB479" s="18" t="s">
        <v>262</v>
      </c>
      <c r="AC479" s="18" t="s">
        <v>263</v>
      </c>
      <c r="AD479" s="18" t="s">
        <v>85</v>
      </c>
      <c r="AE479" s="18" t="s">
        <v>90</v>
      </c>
      <c r="AF479" s="18" t="s">
        <v>177</v>
      </c>
      <c r="AG479" s="18" t="s">
        <v>139</v>
      </c>
      <c r="AH479" s="18" t="s">
        <v>93</v>
      </c>
      <c r="AI479" s="18" t="s">
        <v>94</v>
      </c>
      <c r="AJ479" s="19">
        <v>44901</v>
      </c>
      <c r="AK479" s="22" t="s">
        <v>95</v>
      </c>
      <c r="AL479" s="18" t="s">
        <v>95</v>
      </c>
      <c r="AM479" s="18" t="s">
        <v>95</v>
      </c>
      <c r="AN479" s="18" t="s">
        <v>95</v>
      </c>
      <c r="AO479" s="18" t="s">
        <v>95</v>
      </c>
      <c r="AP479" s="18" t="s">
        <v>95</v>
      </c>
      <c r="AQ479" s="18" t="s">
        <v>95</v>
      </c>
      <c r="AR479" s="18" t="s">
        <v>95</v>
      </c>
      <c r="AS479" s="18" t="s">
        <v>83</v>
      </c>
      <c r="AT479" s="18" t="s">
        <v>83</v>
      </c>
      <c r="AU479" s="18" t="s">
        <v>81</v>
      </c>
      <c r="AV479" s="18" t="s">
        <v>95</v>
      </c>
      <c r="AW479" s="18" t="s">
        <v>95</v>
      </c>
      <c r="AX479" s="18"/>
      <c r="AY479" s="18" t="str">
        <f>Pospago[[#This Row],[NUM_TELEFONICO]]&amp;"POSPAGOSI"</f>
        <v>984950666POSPAGOSI</v>
      </c>
      <c r="AZ479" s="18" t="str">
        <f>VLOOKUP(Pospago[[#This Row],[NOM_PLAZA_FINAL]],[1]!Locales[#Data],3,0)</f>
        <v>TIENDA RECREO</v>
      </c>
      <c r="BA479" s="18" t="str">
        <f>IFERROR(VLOOKUP(Pospago[[#This Row],[USUARIO]],[1]!Personal[#Data],6,0),"EJECUTIVO NO REGISTRADO")</f>
        <v>CHICAIZA TOAPANTA ALEX DANILO</v>
      </c>
      <c r="BB479" s="18" t="str">
        <f>Pospago[[#This Row],[TIPO_MOVIMIENTO]]&amp;" "&amp;Pospago[[#This Row],[FORMA_PAGO_FINAL]]</f>
        <v>ALTAS DOMICILIADO</v>
      </c>
      <c r="BC479" s="18">
        <f>DAY(Pospago[[#This Row],[FECHA_ALTA]])</f>
        <v>6</v>
      </c>
      <c r="BD479" s="18">
        <f>IF(Pospago[[#This Row],[TARIFA_BASICA]]=11.42,1,0)</f>
        <v>0</v>
      </c>
      <c r="BE479" s="18">
        <f>IF(Pospago[[#This Row],[PLANES TELEVENTAS]]="SI",1,0)</f>
        <v>0</v>
      </c>
      <c r="BF479" s="18">
        <f>1</f>
        <v>1</v>
      </c>
      <c r="BG479" s="18">
        <f>IF(OR(Pospago[[#This Row],[TARIFA_BASICA]]=11.42,Pospago[[#This Row],[PLANES TELEVENTAS]]="SI"),1,0)</f>
        <v>0</v>
      </c>
      <c r="BH479" s="18" t="str">
        <f>IF(MID(Pospago[[#This Row],[PlanDesc]],1,4) = "PLAN","POSPAGO",IF(MID(Pospago[[#This Row],[PlanDesc]],1,4)="FULL","FULL MEGAS","PREVIOPAGO"))</f>
        <v>PREVIOPAGO</v>
      </c>
      <c r="BI4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4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79" s="21">
        <f>Pospago[[#This Row],[TARIFA_BASICA]]*1.5</f>
        <v>22.5</v>
      </c>
    </row>
    <row r="480" spans="1:63" x14ac:dyDescent="0.25">
      <c r="A480" s="18" t="s">
        <v>154</v>
      </c>
      <c r="B480" s="18" t="s">
        <v>3173</v>
      </c>
      <c r="C480" s="18" t="s">
        <v>3174</v>
      </c>
      <c r="D480" s="19">
        <v>44909</v>
      </c>
      <c r="E480" s="18" t="s">
        <v>67</v>
      </c>
      <c r="F480" s="18" t="s">
        <v>3175</v>
      </c>
      <c r="G480" s="18" t="s">
        <v>3176</v>
      </c>
      <c r="H480" s="18" t="s">
        <v>159</v>
      </c>
      <c r="I480" s="18" t="s">
        <v>160</v>
      </c>
      <c r="J480" s="18" t="s">
        <v>161</v>
      </c>
      <c r="K480" s="18" t="s">
        <v>73</v>
      </c>
      <c r="L480" s="20" t="s">
        <v>3177</v>
      </c>
      <c r="M480" s="18" t="s">
        <v>75</v>
      </c>
      <c r="N480" s="20" t="s">
        <v>3178</v>
      </c>
      <c r="O480" s="18" t="s">
        <v>164</v>
      </c>
      <c r="P480" s="18" t="s">
        <v>78</v>
      </c>
      <c r="Q480" s="19">
        <v>44914</v>
      </c>
      <c r="R480" s="21">
        <v>14.28</v>
      </c>
      <c r="S480" s="18" t="s">
        <v>79</v>
      </c>
      <c r="T480" s="18" t="s">
        <v>148</v>
      </c>
      <c r="U480" s="18" t="s">
        <v>83</v>
      </c>
      <c r="V480" s="18" t="s">
        <v>95</v>
      </c>
      <c r="W480" s="18" t="s">
        <v>95</v>
      </c>
      <c r="X480" s="18" t="s">
        <v>84</v>
      </c>
      <c r="Y480" s="18" t="s">
        <v>85</v>
      </c>
      <c r="Z480" s="18" t="s">
        <v>86</v>
      </c>
      <c r="AA480" s="18" t="s">
        <v>87</v>
      </c>
      <c r="AB480" s="18" t="s">
        <v>318</v>
      </c>
      <c r="AC480" s="18" t="s">
        <v>319</v>
      </c>
      <c r="AD480" s="18" t="s">
        <v>85</v>
      </c>
      <c r="AE480" s="18" t="s">
        <v>90</v>
      </c>
      <c r="AF480" s="18" t="s">
        <v>151</v>
      </c>
      <c r="AG480" s="18" t="s">
        <v>92</v>
      </c>
      <c r="AH480" s="18" t="s">
        <v>165</v>
      </c>
      <c r="AI480" s="18" t="s">
        <v>94</v>
      </c>
      <c r="AJ480" s="19">
        <v>44909</v>
      </c>
      <c r="AK480" s="22" t="s">
        <v>95</v>
      </c>
      <c r="AL480" s="18" t="s">
        <v>95</v>
      </c>
      <c r="AM480" s="18" t="s">
        <v>95</v>
      </c>
      <c r="AN480" s="18" t="s">
        <v>95</v>
      </c>
      <c r="AO480" s="18" t="s">
        <v>95</v>
      </c>
      <c r="AP480" s="18" t="s">
        <v>95</v>
      </c>
      <c r="AQ480" s="18" t="s">
        <v>95</v>
      </c>
      <c r="AR480" s="18" t="s">
        <v>95</v>
      </c>
      <c r="AS480" s="18" t="s">
        <v>83</v>
      </c>
      <c r="AT480" s="18" t="s">
        <v>83</v>
      </c>
      <c r="AU480" s="18" t="s">
        <v>81</v>
      </c>
      <c r="AV480" s="18" t="s">
        <v>95</v>
      </c>
      <c r="AW480" s="18" t="s">
        <v>95</v>
      </c>
      <c r="AX480" s="18"/>
      <c r="AY480" s="18" t="str">
        <f>Pospago[[#This Row],[NUM_TELEFONICO]]&amp;"POSPAGOSI"</f>
        <v>984958285POSPAGOSI</v>
      </c>
      <c r="AZ480" s="18" t="str">
        <f>VLOOKUP(Pospago[[#This Row],[NOM_PLAZA_FINAL]],[1]!Locales[#Data],3,0)</f>
        <v>TIENDA CUENCA REMIGIO</v>
      </c>
      <c r="BA480" s="18" t="str">
        <f>IFERROR(VLOOKUP(Pospago[[#This Row],[USUARIO]],[1]!Personal[#Data],6,0),"EJECUTIVO NO REGISTRADO")</f>
        <v>RODRIGUEZ QUITO JESSICA GABRIELA</v>
      </c>
      <c r="BB480" s="18" t="str">
        <f>Pospago[[#This Row],[TIPO_MOVIMIENTO]]&amp;" "&amp;Pospago[[#This Row],[FORMA_PAGO_FINAL]]</f>
        <v>TRANSFERENCIAS DOMICILIADO</v>
      </c>
      <c r="BC480" s="18">
        <f>DAY(Pospago[[#This Row],[FECHA_ALTA]])</f>
        <v>14</v>
      </c>
      <c r="BD480" s="18">
        <f>IF(Pospago[[#This Row],[TARIFA_BASICA]]=11.42,1,0)</f>
        <v>0</v>
      </c>
      <c r="BE480" s="18">
        <f>IF(Pospago[[#This Row],[PLANES TELEVENTAS]]="SI",1,0)</f>
        <v>0</v>
      </c>
      <c r="BF480" s="18">
        <f>1</f>
        <v>1</v>
      </c>
      <c r="BG480" s="18">
        <f>IF(OR(Pospago[[#This Row],[TARIFA_BASICA]]=11.42,Pospago[[#This Row],[PLANES TELEVENTAS]]="SI"),1,0)</f>
        <v>0</v>
      </c>
      <c r="BH480" s="18" t="str">
        <f>IF(MID(Pospago[[#This Row],[PlanDesc]],1,4) = "PLAN","POSPAGO",IF(MID(Pospago[[#This Row],[PlanDesc]],1,4)="FULL","FULL MEGAS","PREVIOPAGO"))</f>
        <v>PREVIOPAGO</v>
      </c>
      <c r="BI4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80" s="21">
        <f>Pospago[[#This Row],[TARIFA_BASICA]]*1.5</f>
        <v>21.419999999999998</v>
      </c>
    </row>
    <row r="481" spans="1:63" x14ac:dyDescent="0.25">
      <c r="A481" s="18" t="s">
        <v>154</v>
      </c>
      <c r="B481" s="18" t="s">
        <v>3179</v>
      </c>
      <c r="C481" s="18" t="s">
        <v>3180</v>
      </c>
      <c r="D481" s="19">
        <v>44910</v>
      </c>
      <c r="E481" s="18" t="s">
        <v>67</v>
      </c>
      <c r="F481" s="18" t="s">
        <v>3181</v>
      </c>
      <c r="G481" s="18" t="s">
        <v>3182</v>
      </c>
      <c r="H481" s="18" t="s">
        <v>159</v>
      </c>
      <c r="I481" s="18" t="s">
        <v>71</v>
      </c>
      <c r="J481" s="18" t="s">
        <v>258</v>
      </c>
      <c r="K481" s="18" t="s">
        <v>132</v>
      </c>
      <c r="L481" s="20" t="s">
        <v>3183</v>
      </c>
      <c r="M481" s="18" t="s">
        <v>75</v>
      </c>
      <c r="N481" s="20" t="s">
        <v>3184</v>
      </c>
      <c r="O481" s="18" t="s">
        <v>164</v>
      </c>
      <c r="P481" s="18" t="s">
        <v>78</v>
      </c>
      <c r="Q481" s="19">
        <v>44914</v>
      </c>
      <c r="R481" s="21">
        <v>11.42</v>
      </c>
      <c r="S481" s="18" t="s">
        <v>79</v>
      </c>
      <c r="T481" s="18" t="s">
        <v>174</v>
      </c>
      <c r="U481" s="18" t="s">
        <v>83</v>
      </c>
      <c r="V481" s="18" t="s">
        <v>95</v>
      </c>
      <c r="W481" s="18" t="s">
        <v>95</v>
      </c>
      <c r="X481" s="18" t="s">
        <v>118</v>
      </c>
      <c r="Y481" s="18" t="s">
        <v>85</v>
      </c>
      <c r="Z481" s="18" t="s">
        <v>86</v>
      </c>
      <c r="AA481" s="18" t="s">
        <v>119</v>
      </c>
      <c r="AB481" s="18" t="s">
        <v>251</v>
      </c>
      <c r="AC481" s="18" t="s">
        <v>252</v>
      </c>
      <c r="AD481" s="18" t="s">
        <v>85</v>
      </c>
      <c r="AE481" s="18" t="s">
        <v>90</v>
      </c>
      <c r="AF481" s="18" t="s">
        <v>177</v>
      </c>
      <c r="AG481" s="18" t="s">
        <v>139</v>
      </c>
      <c r="AH481" s="18" t="s">
        <v>165</v>
      </c>
      <c r="AI481" s="18" t="s">
        <v>94</v>
      </c>
      <c r="AJ481" s="19">
        <v>44910</v>
      </c>
      <c r="AK481" s="22" t="s">
        <v>95</v>
      </c>
      <c r="AL481" s="18" t="s">
        <v>95</v>
      </c>
      <c r="AM481" s="18" t="s">
        <v>95</v>
      </c>
      <c r="AN481" s="18" t="s">
        <v>95</v>
      </c>
      <c r="AO481" s="18" t="s">
        <v>95</v>
      </c>
      <c r="AP481" s="18" t="s">
        <v>95</v>
      </c>
      <c r="AQ481" s="18" t="s">
        <v>95</v>
      </c>
      <c r="AR481" s="18" t="s">
        <v>95</v>
      </c>
      <c r="AS481" s="18" t="s">
        <v>83</v>
      </c>
      <c r="AT481" s="18" t="s">
        <v>83</v>
      </c>
      <c r="AU481" s="18" t="s">
        <v>81</v>
      </c>
      <c r="AV481" s="18" t="s">
        <v>95</v>
      </c>
      <c r="AW481" s="18" t="s">
        <v>95</v>
      </c>
      <c r="AX481" s="18"/>
      <c r="AY481" s="18" t="str">
        <f>Pospago[[#This Row],[NUM_TELEFONICO]]&amp;"POSPAGOSI"</f>
        <v>984962972POSPAGOSI</v>
      </c>
      <c r="AZ481" s="18" t="str">
        <f>VLOOKUP(Pospago[[#This Row],[NOM_PLAZA_FINAL]],[1]!Locales[#Data],3,0)</f>
        <v>TIENDA RECREO</v>
      </c>
      <c r="BA481" s="18" t="str">
        <f>IFERROR(VLOOKUP(Pospago[[#This Row],[USUARIO]],[1]!Personal[#Data],6,0),"EJECUTIVO NO REGISTRADO")</f>
        <v>CRUZ MONTUFAR KATHERINE ALEJANDRA</v>
      </c>
      <c r="BB481" s="18" t="str">
        <f>Pospago[[#This Row],[TIPO_MOVIMIENTO]]&amp;" "&amp;Pospago[[#This Row],[FORMA_PAGO_FINAL]]</f>
        <v>TRANSFERENCIAS PAGO EN CAJA</v>
      </c>
      <c r="BC481" s="18">
        <f>DAY(Pospago[[#This Row],[FECHA_ALTA]])</f>
        <v>15</v>
      </c>
      <c r="BD481" s="18">
        <f>IF(Pospago[[#This Row],[TARIFA_BASICA]]=11.42,1,0)</f>
        <v>1</v>
      </c>
      <c r="BE481" s="18">
        <f>IF(Pospago[[#This Row],[PLANES TELEVENTAS]]="SI",1,0)</f>
        <v>0</v>
      </c>
      <c r="BF481" s="18">
        <f>1</f>
        <v>1</v>
      </c>
      <c r="BG481" s="18">
        <f>IF(OR(Pospago[[#This Row],[TARIFA_BASICA]]=11.42,Pospago[[#This Row],[PLANES TELEVENTAS]]="SI"),1,0)</f>
        <v>1</v>
      </c>
      <c r="BH481" s="18" t="str">
        <f>IF(MID(Pospago[[#This Row],[PlanDesc]],1,4) = "PLAN","POSPAGO",IF(MID(Pospago[[#This Row],[PlanDesc]],1,4)="FULL","FULL MEGAS","PREVIOPAGO"))</f>
        <v>PREVIOPAGO</v>
      </c>
      <c r="BI4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4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81" s="21">
        <f>Pospago[[#This Row],[TARIFA_BASICA]]*1.5</f>
        <v>17.13</v>
      </c>
    </row>
    <row r="482" spans="1:63" x14ac:dyDescent="0.25">
      <c r="A482" s="18" t="s">
        <v>154</v>
      </c>
      <c r="B482" s="18" t="s">
        <v>3185</v>
      </c>
      <c r="C482" s="18" t="s">
        <v>3186</v>
      </c>
      <c r="D482" s="19">
        <v>44896</v>
      </c>
      <c r="E482" s="18" t="s">
        <v>67</v>
      </c>
      <c r="F482" s="18" t="s">
        <v>3187</v>
      </c>
      <c r="G482" s="18" t="s">
        <v>3188</v>
      </c>
      <c r="H482" s="18" t="s">
        <v>159</v>
      </c>
      <c r="I482" s="18" t="s">
        <v>160</v>
      </c>
      <c r="J482" s="18" t="s">
        <v>161</v>
      </c>
      <c r="K482" s="18" t="s">
        <v>132</v>
      </c>
      <c r="L482" s="20" t="s">
        <v>3189</v>
      </c>
      <c r="M482" s="18" t="s">
        <v>75</v>
      </c>
      <c r="N482" s="20" t="s">
        <v>3190</v>
      </c>
      <c r="O482" s="18" t="s">
        <v>164</v>
      </c>
      <c r="P482" s="18" t="s">
        <v>78</v>
      </c>
      <c r="Q482" s="19">
        <v>44914</v>
      </c>
      <c r="R482" s="21">
        <v>14.28</v>
      </c>
      <c r="S482" s="18" t="s">
        <v>79</v>
      </c>
      <c r="T482" s="18" t="s">
        <v>232</v>
      </c>
      <c r="U482" s="18" t="s">
        <v>83</v>
      </c>
      <c r="V482" s="18" t="s">
        <v>95</v>
      </c>
      <c r="W482" s="18" t="s">
        <v>95</v>
      </c>
      <c r="X482" s="18" t="s">
        <v>84</v>
      </c>
      <c r="Y482" s="18" t="s">
        <v>85</v>
      </c>
      <c r="Z482" s="18" t="s">
        <v>86</v>
      </c>
      <c r="AA482" s="18" t="s">
        <v>87</v>
      </c>
      <c r="AB482" s="18" t="s">
        <v>443</v>
      </c>
      <c r="AC482" s="18" t="s">
        <v>444</v>
      </c>
      <c r="AD482" s="18" t="s">
        <v>85</v>
      </c>
      <c r="AE482" s="18" t="s">
        <v>90</v>
      </c>
      <c r="AF482" s="18" t="s">
        <v>235</v>
      </c>
      <c r="AG482" s="18" t="s">
        <v>139</v>
      </c>
      <c r="AH482" s="18" t="s">
        <v>165</v>
      </c>
      <c r="AI482" s="18" t="s">
        <v>94</v>
      </c>
      <c r="AJ482" s="19">
        <v>44896</v>
      </c>
      <c r="AK482" s="22" t="s">
        <v>95</v>
      </c>
      <c r="AL482" s="18" t="s">
        <v>95</v>
      </c>
      <c r="AM482" s="18" t="s">
        <v>95</v>
      </c>
      <c r="AN482" s="18" t="s">
        <v>95</v>
      </c>
      <c r="AO482" s="18" t="s">
        <v>95</v>
      </c>
      <c r="AP482" s="18" t="s">
        <v>95</v>
      </c>
      <c r="AQ482" s="18" t="s">
        <v>95</v>
      </c>
      <c r="AR482" s="18" t="s">
        <v>95</v>
      </c>
      <c r="AS482" s="18" t="s">
        <v>83</v>
      </c>
      <c r="AT482" s="18" t="s">
        <v>83</v>
      </c>
      <c r="AU482" s="18" t="s">
        <v>81</v>
      </c>
      <c r="AV482" s="18" t="s">
        <v>95</v>
      </c>
      <c r="AW482" s="18" t="s">
        <v>95</v>
      </c>
      <c r="AX482" s="18"/>
      <c r="AY482" s="18" t="str">
        <f>Pospago[[#This Row],[NUM_TELEFONICO]]&amp;"POSPAGOSI"</f>
        <v>984963800POSPAGOSI</v>
      </c>
      <c r="AZ482" s="18" t="str">
        <f>VLOOKUP(Pospago[[#This Row],[NOM_PLAZA_FINAL]],[1]!Locales[#Data],3,0)</f>
        <v>TIENDA CONDADO</v>
      </c>
      <c r="BA482" s="18" t="str">
        <f>IFERROR(VLOOKUP(Pospago[[#This Row],[USUARIO]],[1]!Personal[#Data],6,0),"EJECUTIVO NO REGISTRADO")</f>
        <v>JARAMILLO ESPINOZA KENIA KATRINA</v>
      </c>
      <c r="BB482" s="18" t="str">
        <f>Pospago[[#This Row],[TIPO_MOVIMIENTO]]&amp;" "&amp;Pospago[[#This Row],[FORMA_PAGO_FINAL]]</f>
        <v>TRANSFERENCIAS DOMICILIADO</v>
      </c>
      <c r="BC482" s="18">
        <f>DAY(Pospago[[#This Row],[FECHA_ALTA]])</f>
        <v>1</v>
      </c>
      <c r="BD482" s="18">
        <f>IF(Pospago[[#This Row],[TARIFA_BASICA]]=11.42,1,0)</f>
        <v>0</v>
      </c>
      <c r="BE482" s="18">
        <f>IF(Pospago[[#This Row],[PLANES TELEVENTAS]]="SI",1,0)</f>
        <v>0</v>
      </c>
      <c r="BF482" s="18">
        <f>1</f>
        <v>1</v>
      </c>
      <c r="BG482" s="18">
        <f>IF(OR(Pospago[[#This Row],[TARIFA_BASICA]]=11.42,Pospago[[#This Row],[PLANES TELEVENTAS]]="SI"),1,0)</f>
        <v>0</v>
      </c>
      <c r="BH482" s="18" t="str">
        <f>IF(MID(Pospago[[#This Row],[PlanDesc]],1,4) = "PLAN","POSPAGO",IF(MID(Pospago[[#This Row],[PlanDesc]],1,4)="FULL","FULL MEGAS","PREVIOPAGO"))</f>
        <v>PREVIOPAGO</v>
      </c>
      <c r="BI4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82" s="21">
        <f>Pospago[[#This Row],[TARIFA_BASICA]]*1.5</f>
        <v>21.419999999999998</v>
      </c>
    </row>
    <row r="483" spans="1:63" x14ac:dyDescent="0.25">
      <c r="A483" s="18" t="s">
        <v>64</v>
      </c>
      <c r="B483" s="18" t="s">
        <v>3191</v>
      </c>
      <c r="C483" s="18" t="s">
        <v>3192</v>
      </c>
      <c r="D483" s="19">
        <v>44907</v>
      </c>
      <c r="E483" s="18" t="s">
        <v>67</v>
      </c>
      <c r="F483" s="18" t="s">
        <v>3193</v>
      </c>
      <c r="G483" s="18" t="s">
        <v>3194</v>
      </c>
      <c r="H483" s="18" t="s">
        <v>70</v>
      </c>
      <c r="I483" s="18" t="s">
        <v>160</v>
      </c>
      <c r="J483" s="18" t="s">
        <v>195</v>
      </c>
      <c r="K483" s="18" t="s">
        <v>132</v>
      </c>
      <c r="L483" s="20" t="s">
        <v>3195</v>
      </c>
      <c r="M483" s="18" t="s">
        <v>75</v>
      </c>
      <c r="N483" s="20" t="s">
        <v>3196</v>
      </c>
      <c r="O483" s="18" t="s">
        <v>77</v>
      </c>
      <c r="P483" s="18" t="s">
        <v>78</v>
      </c>
      <c r="Q483" s="19">
        <v>44914</v>
      </c>
      <c r="R483" s="21">
        <v>14.28</v>
      </c>
      <c r="S483" s="18" t="s">
        <v>79</v>
      </c>
      <c r="T483" s="18" t="s">
        <v>135</v>
      </c>
      <c r="U483" s="18" t="s">
        <v>81</v>
      </c>
      <c r="V483" s="18" t="s">
        <v>693</v>
      </c>
      <c r="W483" s="18" t="s">
        <v>83</v>
      </c>
      <c r="X483" s="18" t="s">
        <v>84</v>
      </c>
      <c r="Y483" s="18" t="s">
        <v>85</v>
      </c>
      <c r="Z483" s="18" t="s">
        <v>86</v>
      </c>
      <c r="AA483" s="18" t="s">
        <v>87</v>
      </c>
      <c r="AB483" s="18" t="s">
        <v>665</v>
      </c>
      <c r="AC483" s="18" t="s">
        <v>666</v>
      </c>
      <c r="AD483" s="18" t="s">
        <v>85</v>
      </c>
      <c r="AE483" s="18" t="s">
        <v>90</v>
      </c>
      <c r="AF483" s="18" t="s">
        <v>138</v>
      </c>
      <c r="AG483" s="18" t="s">
        <v>139</v>
      </c>
      <c r="AH483" s="18" t="s">
        <v>93</v>
      </c>
      <c r="AI483" s="18" t="s">
        <v>94</v>
      </c>
      <c r="AJ483" s="19">
        <v>44907</v>
      </c>
      <c r="AK483" s="22" t="s">
        <v>95</v>
      </c>
      <c r="AL483" s="18" t="s">
        <v>95</v>
      </c>
      <c r="AM483" s="18" t="s">
        <v>95</v>
      </c>
      <c r="AN483" s="18" t="s">
        <v>95</v>
      </c>
      <c r="AO483" s="18" t="s">
        <v>95</v>
      </c>
      <c r="AP483" s="18" t="s">
        <v>95</v>
      </c>
      <c r="AQ483" s="18" t="s">
        <v>95</v>
      </c>
      <c r="AR483" s="18" t="s">
        <v>95</v>
      </c>
      <c r="AS483" s="18" t="s">
        <v>83</v>
      </c>
      <c r="AT483" s="18" t="s">
        <v>83</v>
      </c>
      <c r="AU483" s="18" t="s">
        <v>81</v>
      </c>
      <c r="AV483" s="18" t="s">
        <v>95</v>
      </c>
      <c r="AW483" s="18" t="s">
        <v>291</v>
      </c>
      <c r="AX483" s="18"/>
      <c r="AY483" s="18" t="str">
        <f>Pospago[[#This Row],[NUM_TELEFONICO]]&amp;"POSPAGOSI"</f>
        <v>984965089POSPAGOSI</v>
      </c>
      <c r="AZ483" s="18" t="str">
        <f>VLOOKUP(Pospago[[#This Row],[NOM_PLAZA_FINAL]],[1]!Locales[#Data],3,0)</f>
        <v>TIENDA AMERICA</v>
      </c>
      <c r="BA483" s="18" t="str">
        <f>IFERROR(VLOOKUP(Pospago[[#This Row],[USUARIO]],[1]!Personal[#Data],6,0),"EJECUTIVO NO REGISTRADO")</f>
        <v>ROSERO CAICEDO JAIRO STEFANO</v>
      </c>
      <c r="BB483" s="18" t="str">
        <f>Pospago[[#This Row],[TIPO_MOVIMIENTO]]&amp;" "&amp;Pospago[[#This Row],[FORMA_PAGO_FINAL]]</f>
        <v>ALTAS DOMICILIADO</v>
      </c>
      <c r="BC483" s="18">
        <f>DAY(Pospago[[#This Row],[FECHA_ALTA]])</f>
        <v>12</v>
      </c>
      <c r="BD483" s="18">
        <f>IF(Pospago[[#This Row],[TARIFA_BASICA]]=11.42,1,0)</f>
        <v>0</v>
      </c>
      <c r="BE483" s="18">
        <f>IF(Pospago[[#This Row],[PLANES TELEVENTAS]]="SI",1,0)</f>
        <v>0</v>
      </c>
      <c r="BF483" s="18">
        <f>1</f>
        <v>1</v>
      </c>
      <c r="BG483" s="18">
        <f>IF(OR(Pospago[[#This Row],[TARIFA_BASICA]]=11.42,Pospago[[#This Row],[PLANES TELEVENTAS]]="SI"),1,0)</f>
        <v>0</v>
      </c>
      <c r="BH483" s="18" t="str">
        <f>IF(MID(Pospago[[#This Row],[PlanDesc]],1,4) = "PLAN","POSPAGO",IF(MID(Pospago[[#This Row],[PlanDesc]],1,4)="FULL","FULL MEGAS","PREVIOPAGO"))</f>
        <v>PREVIOPAGO</v>
      </c>
      <c r="BI4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83" s="21">
        <f>Pospago[[#This Row],[TARIFA_BASICA]]*1.5</f>
        <v>21.419999999999998</v>
      </c>
    </row>
    <row r="484" spans="1:63" x14ac:dyDescent="0.25">
      <c r="A484" s="18" t="s">
        <v>154</v>
      </c>
      <c r="B484" s="18" t="s">
        <v>3197</v>
      </c>
      <c r="C484" s="18" t="s">
        <v>1699</v>
      </c>
      <c r="D484" s="19">
        <v>44902</v>
      </c>
      <c r="E484" s="18" t="s">
        <v>67</v>
      </c>
      <c r="F484" s="18" t="s">
        <v>1700</v>
      </c>
      <c r="G484" s="18" t="s">
        <v>1701</v>
      </c>
      <c r="H484" s="18" t="s">
        <v>159</v>
      </c>
      <c r="I484" s="18" t="s">
        <v>194</v>
      </c>
      <c r="J484" s="18" t="s">
        <v>268</v>
      </c>
      <c r="K484" s="18" t="s">
        <v>132</v>
      </c>
      <c r="L484" s="20" t="s">
        <v>3198</v>
      </c>
      <c r="M484" s="18" t="s">
        <v>287</v>
      </c>
      <c r="N484" s="20" t="s">
        <v>3199</v>
      </c>
      <c r="O484" s="18" t="s">
        <v>164</v>
      </c>
      <c r="P484" s="18" t="s">
        <v>78</v>
      </c>
      <c r="Q484" s="19">
        <v>44914</v>
      </c>
      <c r="R484" s="21">
        <v>14.28</v>
      </c>
      <c r="S484" s="18" t="s">
        <v>79</v>
      </c>
      <c r="T484" s="18" t="s">
        <v>135</v>
      </c>
      <c r="U484" s="18" t="s">
        <v>83</v>
      </c>
      <c r="V484" s="18" t="s">
        <v>95</v>
      </c>
      <c r="W484" s="18" t="s">
        <v>95</v>
      </c>
      <c r="X484" s="18" t="s">
        <v>215</v>
      </c>
      <c r="Y484" s="18" t="s">
        <v>85</v>
      </c>
      <c r="Z484" s="18" t="s">
        <v>86</v>
      </c>
      <c r="AA484" s="18" t="s">
        <v>87</v>
      </c>
      <c r="AB484" s="18" t="s">
        <v>866</v>
      </c>
      <c r="AC484" s="18" t="s">
        <v>867</v>
      </c>
      <c r="AD484" s="18" t="s">
        <v>85</v>
      </c>
      <c r="AE484" s="18" t="s">
        <v>90</v>
      </c>
      <c r="AF484" s="18" t="s">
        <v>138</v>
      </c>
      <c r="AG484" s="18" t="s">
        <v>139</v>
      </c>
      <c r="AH484" s="18" t="s">
        <v>165</v>
      </c>
      <c r="AI484" s="18" t="s">
        <v>94</v>
      </c>
      <c r="AJ484" s="19">
        <v>44902</v>
      </c>
      <c r="AK484" s="22">
        <v>44902</v>
      </c>
      <c r="AL484" s="18" t="s">
        <v>291</v>
      </c>
      <c r="AM484" s="18" t="s">
        <v>292</v>
      </c>
      <c r="AN484" s="18" t="s">
        <v>494</v>
      </c>
      <c r="AO484" s="18" t="s">
        <v>3200</v>
      </c>
      <c r="AP484" s="18">
        <v>1</v>
      </c>
      <c r="AQ484" s="18">
        <v>169.64286000000001</v>
      </c>
      <c r="AR484" s="18" t="s">
        <v>496</v>
      </c>
      <c r="AS484" s="18" t="s">
        <v>81</v>
      </c>
      <c r="AT484" s="18" t="s">
        <v>81</v>
      </c>
      <c r="AU484" s="18" t="s">
        <v>81</v>
      </c>
      <c r="AV484" s="18" t="s">
        <v>95</v>
      </c>
      <c r="AW484" s="18" t="s">
        <v>95</v>
      </c>
      <c r="AX484" s="18"/>
      <c r="AY484" s="18" t="str">
        <f>Pospago[[#This Row],[NUM_TELEFONICO]]&amp;"POSPAGOSI"</f>
        <v>984970742POSPAGOSI</v>
      </c>
      <c r="AZ484" s="18" t="str">
        <f>VLOOKUP(Pospago[[#This Row],[NOM_PLAZA_FINAL]],[1]!Locales[#Data],3,0)</f>
        <v>TIENDA AMERICA</v>
      </c>
      <c r="BA484" s="18" t="str">
        <f>IFERROR(VLOOKUP(Pospago[[#This Row],[USUARIO]],[1]!Personal[#Data],6,0),"EJECUTIVO NO REGISTRADO")</f>
        <v>ORTEGA RUIZ GABRIEL ANTONIO</v>
      </c>
      <c r="BB484" s="18" t="str">
        <f>Pospago[[#This Row],[TIPO_MOVIMIENTO]]&amp;" "&amp;Pospago[[#This Row],[FORMA_PAGO_FINAL]]</f>
        <v>TRANSFERENCIAS DOMICILIADO</v>
      </c>
      <c r="BC484" s="18">
        <f>DAY(Pospago[[#This Row],[FECHA_ALTA]])</f>
        <v>7</v>
      </c>
      <c r="BD484" s="18">
        <f>IF(Pospago[[#This Row],[TARIFA_BASICA]]=11.42,1,0)</f>
        <v>0</v>
      </c>
      <c r="BE484" s="18">
        <f>IF(Pospago[[#This Row],[PLANES TELEVENTAS]]="SI",1,0)</f>
        <v>1</v>
      </c>
      <c r="BF484" s="18">
        <f>1</f>
        <v>1</v>
      </c>
      <c r="BG484" s="18">
        <f>IF(OR(Pospago[[#This Row],[TARIFA_BASICA]]=11.42,Pospago[[#This Row],[PLANES TELEVENTAS]]="SI"),1,0)</f>
        <v>1</v>
      </c>
      <c r="BH484" s="18" t="str">
        <f>IF(MID(Pospago[[#This Row],[PlanDesc]],1,4) = "PLAN","POSPAGO",IF(MID(Pospago[[#This Row],[PlanDesc]],1,4)="FULL","FULL MEGAS","PREVIOPAGO"))</f>
        <v>PREVIOPAGO</v>
      </c>
      <c r="BI4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84" s="21">
        <f>Pospago[[#This Row],[TARIFA_BASICA]]*1.5</f>
        <v>21.419999999999998</v>
      </c>
    </row>
    <row r="485" spans="1:63" x14ac:dyDescent="0.25">
      <c r="A485" s="18" t="s">
        <v>64</v>
      </c>
      <c r="B485" s="18" t="s">
        <v>3201</v>
      </c>
      <c r="C485" s="18" t="s">
        <v>3202</v>
      </c>
      <c r="D485" s="19">
        <v>44911</v>
      </c>
      <c r="E485" s="18" t="s">
        <v>67</v>
      </c>
      <c r="F485" s="18" t="s">
        <v>3203</v>
      </c>
      <c r="G485" s="18" t="s">
        <v>3204</v>
      </c>
      <c r="H485" s="18" t="s">
        <v>70</v>
      </c>
      <c r="I485" s="18" t="s">
        <v>1357</v>
      </c>
      <c r="J485" s="18" t="s">
        <v>72</v>
      </c>
      <c r="K485" s="18" t="s">
        <v>132</v>
      </c>
      <c r="L485" s="20" t="s">
        <v>3205</v>
      </c>
      <c r="M485" s="18" t="s">
        <v>75</v>
      </c>
      <c r="N485" s="20" t="s">
        <v>3206</v>
      </c>
      <c r="O485" s="18" t="s">
        <v>77</v>
      </c>
      <c r="P485" s="18" t="s">
        <v>78</v>
      </c>
      <c r="Q485" s="19">
        <v>44914</v>
      </c>
      <c r="R485" s="21">
        <v>11.42</v>
      </c>
      <c r="S485" s="18" t="s">
        <v>79</v>
      </c>
      <c r="T485" s="18" t="s">
        <v>117</v>
      </c>
      <c r="U485" s="18" t="s">
        <v>83</v>
      </c>
      <c r="V485" s="18" t="s">
        <v>95</v>
      </c>
      <c r="W485" s="18" t="s">
        <v>83</v>
      </c>
      <c r="X485" s="18" t="s">
        <v>84</v>
      </c>
      <c r="Y485" s="18" t="s">
        <v>85</v>
      </c>
      <c r="Z485" s="18" t="s">
        <v>86</v>
      </c>
      <c r="AA485" s="18" t="s">
        <v>87</v>
      </c>
      <c r="AB485" s="18" t="s">
        <v>352</v>
      </c>
      <c r="AC485" s="18" t="s">
        <v>353</v>
      </c>
      <c r="AD485" s="18" t="s">
        <v>85</v>
      </c>
      <c r="AE485" s="18" t="s">
        <v>90</v>
      </c>
      <c r="AF485" s="18" t="s">
        <v>122</v>
      </c>
      <c r="AG485" s="18" t="s">
        <v>92</v>
      </c>
      <c r="AH485" s="18" t="s">
        <v>93</v>
      </c>
      <c r="AI485" s="18" t="s">
        <v>94</v>
      </c>
      <c r="AJ485" s="19">
        <v>44911</v>
      </c>
      <c r="AK485" s="22" t="s">
        <v>95</v>
      </c>
      <c r="AL485" s="18" t="s">
        <v>95</v>
      </c>
      <c r="AM485" s="18" t="s">
        <v>95</v>
      </c>
      <c r="AN485" s="18" t="s">
        <v>95</v>
      </c>
      <c r="AO485" s="18" t="s">
        <v>95</v>
      </c>
      <c r="AP485" s="18" t="s">
        <v>95</v>
      </c>
      <c r="AQ485" s="18" t="s">
        <v>95</v>
      </c>
      <c r="AR485" s="18" t="s">
        <v>95</v>
      </c>
      <c r="AS485" s="18" t="s">
        <v>83</v>
      </c>
      <c r="AT485" s="18" t="s">
        <v>81</v>
      </c>
      <c r="AU485" s="18" t="s">
        <v>81</v>
      </c>
      <c r="AV485" s="18" t="s">
        <v>95</v>
      </c>
      <c r="AW485" s="18" t="s">
        <v>95</v>
      </c>
      <c r="AX485" s="18"/>
      <c r="AY485" s="18" t="str">
        <f>Pospago[[#This Row],[NUM_TELEFONICO]]&amp;"POSPAGOSI"</f>
        <v>984987538POSPAGOSI</v>
      </c>
      <c r="AZ485" s="18" t="str">
        <f>VLOOKUP(Pospago[[#This Row],[NOM_PLAZA_FINAL]],[1]!Locales[#Data],3,0)</f>
        <v>TIENDA MACHALA</v>
      </c>
      <c r="BA485" s="18" t="str">
        <f>IFERROR(VLOOKUP(Pospago[[#This Row],[USUARIO]],[1]!Personal[#Data],6,0),"EJECUTIVO NO REGISTRADO")</f>
        <v>TENORIO MARIA DEL PILAR</v>
      </c>
      <c r="BB485" s="18" t="str">
        <f>Pospago[[#This Row],[TIPO_MOVIMIENTO]]&amp;" "&amp;Pospago[[#This Row],[FORMA_PAGO_FINAL]]</f>
        <v>ALTAS DOMICILIADO</v>
      </c>
      <c r="BC485" s="18">
        <f>DAY(Pospago[[#This Row],[FECHA_ALTA]])</f>
        <v>16</v>
      </c>
      <c r="BD485" s="18">
        <f>IF(Pospago[[#This Row],[TARIFA_BASICA]]=11.42,1,0)</f>
        <v>1</v>
      </c>
      <c r="BE485" s="18">
        <f>IF(Pospago[[#This Row],[PLANES TELEVENTAS]]="SI",1,0)</f>
        <v>1</v>
      </c>
      <c r="BF485" s="18">
        <f>1</f>
        <v>1</v>
      </c>
      <c r="BG485" s="18">
        <f>IF(OR(Pospago[[#This Row],[TARIFA_BASICA]]=11.42,Pospago[[#This Row],[PLANES TELEVENTAS]]="SI"),1,0)</f>
        <v>1</v>
      </c>
      <c r="BH485" s="18" t="str">
        <f>IF(MID(Pospago[[#This Row],[PlanDesc]],1,4) = "PLAN","POSPAGO",IF(MID(Pospago[[#This Row],[PlanDesc]],1,4)="FULL","FULL MEGAS","PREVIOPAGO"))</f>
        <v>PREVIOPAGO</v>
      </c>
      <c r="BI4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9.984</v>
      </c>
      <c r="BJ4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85" s="21">
        <f>Pospago[[#This Row],[TARIFA_BASICA]]*1.5</f>
        <v>17.13</v>
      </c>
    </row>
    <row r="486" spans="1:63" x14ac:dyDescent="0.25">
      <c r="A486" s="18" t="s">
        <v>154</v>
      </c>
      <c r="B486" s="18" t="s">
        <v>3207</v>
      </c>
      <c r="C486" s="18" t="s">
        <v>3208</v>
      </c>
      <c r="D486" s="19">
        <v>44897</v>
      </c>
      <c r="E486" s="18" t="s">
        <v>67</v>
      </c>
      <c r="F486" s="18" t="s">
        <v>3209</v>
      </c>
      <c r="G486" s="18" t="s">
        <v>3210</v>
      </c>
      <c r="H486" s="18" t="s">
        <v>159</v>
      </c>
      <c r="I486" s="18" t="s">
        <v>160</v>
      </c>
      <c r="J486" s="18" t="s">
        <v>161</v>
      </c>
      <c r="K486" s="18" t="s">
        <v>132</v>
      </c>
      <c r="L486" s="20" t="s">
        <v>3211</v>
      </c>
      <c r="M486" s="18" t="s">
        <v>75</v>
      </c>
      <c r="N486" s="20" t="s">
        <v>3212</v>
      </c>
      <c r="O486" s="18" t="s">
        <v>164</v>
      </c>
      <c r="P486" s="18" t="s">
        <v>78</v>
      </c>
      <c r="Q486" s="19">
        <v>44914</v>
      </c>
      <c r="R486" s="21">
        <v>14.28</v>
      </c>
      <c r="S486" s="18" t="s">
        <v>79</v>
      </c>
      <c r="T486" s="18" t="s">
        <v>174</v>
      </c>
      <c r="U486" s="18" t="s">
        <v>83</v>
      </c>
      <c r="V486" s="18" t="s">
        <v>95</v>
      </c>
      <c r="W486" s="18" t="s">
        <v>95</v>
      </c>
      <c r="X486" s="18" t="s">
        <v>118</v>
      </c>
      <c r="Y486" s="18" t="s">
        <v>85</v>
      </c>
      <c r="Z486" s="18" t="s">
        <v>86</v>
      </c>
      <c r="AA486" s="18" t="s">
        <v>119</v>
      </c>
      <c r="AB486" s="18" t="s">
        <v>492</v>
      </c>
      <c r="AC486" s="18" t="s">
        <v>493</v>
      </c>
      <c r="AD486" s="18" t="s">
        <v>85</v>
      </c>
      <c r="AE486" s="18" t="s">
        <v>90</v>
      </c>
      <c r="AF486" s="18" t="s">
        <v>177</v>
      </c>
      <c r="AG486" s="18" t="s">
        <v>139</v>
      </c>
      <c r="AH486" s="18" t="s">
        <v>165</v>
      </c>
      <c r="AI486" s="18" t="s">
        <v>94</v>
      </c>
      <c r="AJ486" s="19">
        <v>44897</v>
      </c>
      <c r="AK486" s="22" t="s">
        <v>95</v>
      </c>
      <c r="AL486" s="18" t="s">
        <v>95</v>
      </c>
      <c r="AM486" s="18" t="s">
        <v>95</v>
      </c>
      <c r="AN486" s="18" t="s">
        <v>95</v>
      </c>
      <c r="AO486" s="18" t="s">
        <v>95</v>
      </c>
      <c r="AP486" s="18" t="s">
        <v>95</v>
      </c>
      <c r="AQ486" s="18" t="s">
        <v>95</v>
      </c>
      <c r="AR486" s="18" t="s">
        <v>95</v>
      </c>
      <c r="AS486" s="18" t="s">
        <v>83</v>
      </c>
      <c r="AT486" s="18" t="s">
        <v>83</v>
      </c>
      <c r="AU486" s="18" t="s">
        <v>81</v>
      </c>
      <c r="AV486" s="18" t="s">
        <v>95</v>
      </c>
      <c r="AW486" s="18" t="s">
        <v>95</v>
      </c>
      <c r="AX486" s="18"/>
      <c r="AY486" s="18" t="str">
        <f>Pospago[[#This Row],[NUM_TELEFONICO]]&amp;"POSPAGOSI"</f>
        <v>984987984POSPAGOSI</v>
      </c>
      <c r="AZ486" s="18" t="str">
        <f>VLOOKUP(Pospago[[#This Row],[NOM_PLAZA_FINAL]],[1]!Locales[#Data],3,0)</f>
        <v>TIENDA RECREO</v>
      </c>
      <c r="BA486" s="18" t="str">
        <f>IFERROR(VLOOKUP(Pospago[[#This Row],[USUARIO]],[1]!Personal[#Data],6,0),"EJECUTIVO NO REGISTRADO")</f>
        <v>CONDO GARCIA NICOLAS MATIAS</v>
      </c>
      <c r="BB486" s="18" t="str">
        <f>Pospago[[#This Row],[TIPO_MOVIMIENTO]]&amp;" "&amp;Pospago[[#This Row],[FORMA_PAGO_FINAL]]</f>
        <v>TRANSFERENCIAS PAGO EN CAJA</v>
      </c>
      <c r="BC486" s="18">
        <f>DAY(Pospago[[#This Row],[FECHA_ALTA]])</f>
        <v>2</v>
      </c>
      <c r="BD486" s="18">
        <f>IF(Pospago[[#This Row],[TARIFA_BASICA]]=11.42,1,0)</f>
        <v>0</v>
      </c>
      <c r="BE486" s="18">
        <f>IF(Pospago[[#This Row],[PLANES TELEVENTAS]]="SI",1,0)</f>
        <v>0</v>
      </c>
      <c r="BF486" s="18">
        <f>1</f>
        <v>1</v>
      </c>
      <c r="BG486" s="18">
        <f>IF(OR(Pospago[[#This Row],[TARIFA_BASICA]]=11.42,Pospago[[#This Row],[PLANES TELEVENTAS]]="SI"),1,0)</f>
        <v>0</v>
      </c>
      <c r="BH486" s="18" t="str">
        <f>IF(MID(Pospago[[#This Row],[PlanDesc]],1,4) = "PLAN","POSPAGO",IF(MID(Pospago[[#This Row],[PlanDesc]],1,4)="FULL","FULL MEGAS","PREVIOPAGO"))</f>
        <v>PREVIOPAGO</v>
      </c>
      <c r="BI4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86" s="21">
        <f>Pospago[[#This Row],[TARIFA_BASICA]]*1.5</f>
        <v>21.419999999999998</v>
      </c>
    </row>
    <row r="487" spans="1:63" x14ac:dyDescent="0.25">
      <c r="A487" s="18" t="s">
        <v>154</v>
      </c>
      <c r="B487" s="18" t="s">
        <v>3213</v>
      </c>
      <c r="C487" s="18" t="s">
        <v>3214</v>
      </c>
      <c r="D487" s="19">
        <v>44902</v>
      </c>
      <c r="E487" s="18" t="s">
        <v>67</v>
      </c>
      <c r="F487" s="18" t="s">
        <v>3215</v>
      </c>
      <c r="G487" s="18" t="s">
        <v>3216</v>
      </c>
      <c r="H487" s="18" t="s">
        <v>159</v>
      </c>
      <c r="I487" s="18" t="s">
        <v>130</v>
      </c>
      <c r="J487" s="18" t="s">
        <v>433</v>
      </c>
      <c r="K487" s="18" t="s">
        <v>73</v>
      </c>
      <c r="L487" s="20" t="s">
        <v>3217</v>
      </c>
      <c r="M487" s="18" t="s">
        <v>75</v>
      </c>
      <c r="N487" s="20" t="s">
        <v>3218</v>
      </c>
      <c r="O487" s="18" t="s">
        <v>164</v>
      </c>
      <c r="P487" s="18" t="s">
        <v>78</v>
      </c>
      <c r="Q487" s="19">
        <v>44914</v>
      </c>
      <c r="R487" s="21">
        <v>15</v>
      </c>
      <c r="S487" s="18" t="s">
        <v>79</v>
      </c>
      <c r="T487" s="18" t="s">
        <v>148</v>
      </c>
      <c r="U487" s="18" t="s">
        <v>83</v>
      </c>
      <c r="V487" s="18" t="s">
        <v>95</v>
      </c>
      <c r="W487" s="18" t="s">
        <v>95</v>
      </c>
      <c r="X487" s="18" t="s">
        <v>84</v>
      </c>
      <c r="Y487" s="18" t="s">
        <v>85</v>
      </c>
      <c r="Z487" s="18" t="s">
        <v>86</v>
      </c>
      <c r="AA487" s="18" t="s">
        <v>87</v>
      </c>
      <c r="AB487" s="18" t="s">
        <v>149</v>
      </c>
      <c r="AC487" s="18" t="s">
        <v>150</v>
      </c>
      <c r="AD487" s="18" t="s">
        <v>85</v>
      </c>
      <c r="AE487" s="18" t="s">
        <v>90</v>
      </c>
      <c r="AF487" s="18" t="s">
        <v>151</v>
      </c>
      <c r="AG487" s="18" t="s">
        <v>92</v>
      </c>
      <c r="AH487" s="18" t="s">
        <v>165</v>
      </c>
      <c r="AI487" s="18" t="s">
        <v>94</v>
      </c>
      <c r="AJ487" s="19">
        <v>44902</v>
      </c>
      <c r="AK487" s="22" t="s">
        <v>95</v>
      </c>
      <c r="AL487" s="18" t="s">
        <v>95</v>
      </c>
      <c r="AM487" s="18" t="s">
        <v>95</v>
      </c>
      <c r="AN487" s="18" t="s">
        <v>95</v>
      </c>
      <c r="AO487" s="18" t="s">
        <v>95</v>
      </c>
      <c r="AP487" s="18" t="s">
        <v>95</v>
      </c>
      <c r="AQ487" s="18" t="s">
        <v>95</v>
      </c>
      <c r="AR487" s="18" t="s">
        <v>95</v>
      </c>
      <c r="AS487" s="18" t="s">
        <v>83</v>
      </c>
      <c r="AT487" s="18" t="s">
        <v>83</v>
      </c>
      <c r="AU487" s="18" t="s">
        <v>81</v>
      </c>
      <c r="AV487" s="18" t="s">
        <v>95</v>
      </c>
      <c r="AW487" s="18" t="s">
        <v>95</v>
      </c>
      <c r="AX487" s="18"/>
      <c r="AY487" s="18" t="str">
        <f>Pospago[[#This Row],[NUM_TELEFONICO]]&amp;"POSPAGOSI"</f>
        <v>984988536POSPAGOSI</v>
      </c>
      <c r="AZ487" s="18" t="str">
        <f>VLOOKUP(Pospago[[#This Row],[NOM_PLAZA_FINAL]],[1]!Locales[#Data],3,0)</f>
        <v>TIENDA CUENCA REMIGIO</v>
      </c>
      <c r="BA487" s="18" t="str">
        <f>IFERROR(VLOOKUP(Pospago[[#This Row],[USUARIO]],[1]!Personal[#Data],6,0),"EJECUTIVO NO REGISTRADO")</f>
        <v>OSORIO TEJADA ANA ESTEFANIA</v>
      </c>
      <c r="BB487" s="18" t="str">
        <f>Pospago[[#This Row],[TIPO_MOVIMIENTO]]&amp;" "&amp;Pospago[[#This Row],[FORMA_PAGO_FINAL]]</f>
        <v>TRANSFERENCIAS DOMICILIADO</v>
      </c>
      <c r="BC487" s="18">
        <f>DAY(Pospago[[#This Row],[FECHA_ALTA]])</f>
        <v>7</v>
      </c>
      <c r="BD487" s="18">
        <f>IF(Pospago[[#This Row],[TARIFA_BASICA]]=11.42,1,0)</f>
        <v>0</v>
      </c>
      <c r="BE487" s="18">
        <f>IF(Pospago[[#This Row],[PLANES TELEVENTAS]]="SI",1,0)</f>
        <v>0</v>
      </c>
      <c r="BF487" s="18">
        <f>1</f>
        <v>1</v>
      </c>
      <c r="BG487" s="18">
        <f>IF(OR(Pospago[[#This Row],[TARIFA_BASICA]]=11.42,Pospago[[#This Row],[PLANES TELEVENTAS]]="SI"),1,0)</f>
        <v>0</v>
      </c>
      <c r="BH487" s="18" t="str">
        <f>IF(MID(Pospago[[#This Row],[PlanDesc]],1,4) = "PLAN","POSPAGO",IF(MID(Pospago[[#This Row],[PlanDesc]],1,4)="FULL","FULL MEGAS","PREVIOPAGO"))</f>
        <v>PREVIOPAGO</v>
      </c>
      <c r="BI4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4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87" s="21">
        <f>Pospago[[#This Row],[TARIFA_BASICA]]*1.5</f>
        <v>22.5</v>
      </c>
    </row>
    <row r="488" spans="1:63" x14ac:dyDescent="0.25">
      <c r="A488" s="18" t="s">
        <v>64</v>
      </c>
      <c r="B488" s="18" t="s">
        <v>3219</v>
      </c>
      <c r="C488" s="18" t="s">
        <v>3220</v>
      </c>
      <c r="D488" s="19">
        <v>44907</v>
      </c>
      <c r="E488" s="18" t="s">
        <v>67</v>
      </c>
      <c r="F488" s="18" t="s">
        <v>3221</v>
      </c>
      <c r="G488" s="18" t="s">
        <v>3222</v>
      </c>
      <c r="H488" s="18" t="s">
        <v>70</v>
      </c>
      <c r="I488" s="18" t="s">
        <v>671</v>
      </c>
      <c r="J488" s="18" t="s">
        <v>672</v>
      </c>
      <c r="K488" s="18" t="s">
        <v>73</v>
      </c>
      <c r="L488" s="20" t="s">
        <v>3223</v>
      </c>
      <c r="M488" s="18" t="s">
        <v>75</v>
      </c>
      <c r="N488" s="20" t="s">
        <v>3224</v>
      </c>
      <c r="O488" s="18" t="s">
        <v>77</v>
      </c>
      <c r="P488" s="18" t="s">
        <v>78</v>
      </c>
      <c r="Q488" s="19">
        <v>44914</v>
      </c>
      <c r="R488" s="21">
        <v>15</v>
      </c>
      <c r="S488" s="18" t="s">
        <v>79</v>
      </c>
      <c r="T488" s="18" t="s">
        <v>80</v>
      </c>
      <c r="U488" s="18" t="s">
        <v>83</v>
      </c>
      <c r="V488" s="18" t="s">
        <v>95</v>
      </c>
      <c r="W488" s="18" t="s">
        <v>83</v>
      </c>
      <c r="X488" s="18" t="s">
        <v>118</v>
      </c>
      <c r="Y488" s="18" t="s">
        <v>85</v>
      </c>
      <c r="Z488" s="18" t="s">
        <v>86</v>
      </c>
      <c r="AA488" s="18" t="s">
        <v>119</v>
      </c>
      <c r="AB488" s="18" t="s">
        <v>289</v>
      </c>
      <c r="AC488" s="18" t="s">
        <v>290</v>
      </c>
      <c r="AD488" s="18" t="s">
        <v>85</v>
      </c>
      <c r="AE488" s="18" t="s">
        <v>90</v>
      </c>
      <c r="AF488" s="18" t="s">
        <v>91</v>
      </c>
      <c r="AG488" s="18" t="s">
        <v>92</v>
      </c>
      <c r="AH488" s="18" t="s">
        <v>93</v>
      </c>
      <c r="AI488" s="18" t="s">
        <v>94</v>
      </c>
      <c r="AJ488" s="19">
        <v>44907</v>
      </c>
      <c r="AK488" s="22" t="s">
        <v>95</v>
      </c>
      <c r="AL488" s="18" t="s">
        <v>95</v>
      </c>
      <c r="AM488" s="18" t="s">
        <v>95</v>
      </c>
      <c r="AN488" s="18" t="s">
        <v>95</v>
      </c>
      <c r="AO488" s="18" t="s">
        <v>95</v>
      </c>
      <c r="AP488" s="18" t="s">
        <v>95</v>
      </c>
      <c r="AQ488" s="18" t="s">
        <v>95</v>
      </c>
      <c r="AR488" s="18" t="s">
        <v>95</v>
      </c>
      <c r="AS488" s="18" t="s">
        <v>83</v>
      </c>
      <c r="AT488" s="18" t="s">
        <v>83</v>
      </c>
      <c r="AU488" s="18" t="s">
        <v>83</v>
      </c>
      <c r="AV488" s="18" t="s">
        <v>95</v>
      </c>
      <c r="AW488" s="18" t="s">
        <v>95</v>
      </c>
      <c r="AX488" s="18"/>
      <c r="AY488" s="18" t="str">
        <f>Pospago[[#This Row],[NUM_TELEFONICO]]&amp;"POSPAGOSI"</f>
        <v>984989457POSPAGOSI</v>
      </c>
      <c r="AZ488" s="18" t="str">
        <f>VLOOKUP(Pospago[[#This Row],[NOM_PLAZA_FINAL]],[1]!Locales[#Data],3,0)</f>
        <v>TIENDA CUENCA CENTRO</v>
      </c>
      <c r="BA488" s="18" t="str">
        <f>IFERROR(VLOOKUP(Pospago[[#This Row],[USUARIO]],[1]!Personal[#Data],6,0),"EJECUTIVO NO REGISTRADO")</f>
        <v>CALLE CHACA JORGE VINICIO</v>
      </c>
      <c r="BB488" s="18" t="str">
        <f>Pospago[[#This Row],[TIPO_MOVIMIENTO]]&amp;" "&amp;Pospago[[#This Row],[FORMA_PAGO_FINAL]]</f>
        <v>ALTAS PAGO EN CAJA</v>
      </c>
      <c r="BC488" s="18">
        <f>DAY(Pospago[[#This Row],[FECHA_ALTA]])</f>
        <v>12</v>
      </c>
      <c r="BD488" s="18">
        <f>IF(Pospago[[#This Row],[TARIFA_BASICA]]=11.42,1,0)</f>
        <v>0</v>
      </c>
      <c r="BE488" s="18">
        <f>IF(Pospago[[#This Row],[PLANES TELEVENTAS]]="SI",1,0)</f>
        <v>0</v>
      </c>
      <c r="BF488" s="18">
        <f>1</f>
        <v>1</v>
      </c>
      <c r="BG488" s="18">
        <f>IF(OR(Pospago[[#This Row],[TARIFA_BASICA]]=11.42,Pospago[[#This Row],[PLANES TELEVENTAS]]="SI"),1,0)</f>
        <v>0</v>
      </c>
      <c r="BH488" s="18" t="str">
        <f>IF(MID(Pospago[[#This Row],[PlanDesc]],1,4) = "PLAN","POSPAGO",IF(MID(Pospago[[#This Row],[PlanDesc]],1,4)="FULL","FULL MEGAS","PREVIOPAGO"))</f>
        <v>POSPAGO</v>
      </c>
      <c r="BI4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4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88" s="21">
        <f>Pospago[[#This Row],[TARIFA_BASICA]]*1.5</f>
        <v>22.5</v>
      </c>
    </row>
    <row r="489" spans="1:63" x14ac:dyDescent="0.25">
      <c r="A489" s="18" t="s">
        <v>154</v>
      </c>
      <c r="B489" s="18" t="s">
        <v>3225</v>
      </c>
      <c r="C489" s="18" t="s">
        <v>3226</v>
      </c>
      <c r="D489" s="19">
        <v>44904</v>
      </c>
      <c r="E489" s="18" t="s">
        <v>67</v>
      </c>
      <c r="F489" s="18" t="s">
        <v>3227</v>
      </c>
      <c r="G489" s="18" t="s">
        <v>3228</v>
      </c>
      <c r="H489" s="18" t="s">
        <v>159</v>
      </c>
      <c r="I489" s="18" t="s">
        <v>130</v>
      </c>
      <c r="J489" s="18" t="s">
        <v>433</v>
      </c>
      <c r="K489" s="18" t="s">
        <v>73</v>
      </c>
      <c r="L489" s="20" t="s">
        <v>3229</v>
      </c>
      <c r="M489" s="18" t="s">
        <v>75</v>
      </c>
      <c r="N489" s="20" t="s">
        <v>3230</v>
      </c>
      <c r="O489" s="18" t="s">
        <v>164</v>
      </c>
      <c r="P489" s="18" t="s">
        <v>78</v>
      </c>
      <c r="Q489" s="19">
        <v>44914</v>
      </c>
      <c r="R489" s="21">
        <v>15</v>
      </c>
      <c r="S489" s="18" t="s">
        <v>79</v>
      </c>
      <c r="T489" s="18" t="s">
        <v>174</v>
      </c>
      <c r="U489" s="18" t="s">
        <v>83</v>
      </c>
      <c r="V489" s="18" t="s">
        <v>95</v>
      </c>
      <c r="W489" s="18" t="s">
        <v>95</v>
      </c>
      <c r="X489" s="18" t="s">
        <v>118</v>
      </c>
      <c r="Y489" s="18" t="s">
        <v>85</v>
      </c>
      <c r="Z489" s="18" t="s">
        <v>86</v>
      </c>
      <c r="AA489" s="18" t="s">
        <v>119</v>
      </c>
      <c r="AB489" s="18" t="s">
        <v>262</v>
      </c>
      <c r="AC489" s="18" t="s">
        <v>263</v>
      </c>
      <c r="AD489" s="18" t="s">
        <v>85</v>
      </c>
      <c r="AE489" s="18" t="s">
        <v>90</v>
      </c>
      <c r="AF489" s="18" t="s">
        <v>177</v>
      </c>
      <c r="AG489" s="18" t="s">
        <v>139</v>
      </c>
      <c r="AH489" s="18" t="s">
        <v>165</v>
      </c>
      <c r="AI489" s="18" t="s">
        <v>94</v>
      </c>
      <c r="AJ489" s="19">
        <v>44904</v>
      </c>
      <c r="AK489" s="22" t="s">
        <v>95</v>
      </c>
      <c r="AL489" s="18" t="s">
        <v>95</v>
      </c>
      <c r="AM489" s="18" t="s">
        <v>95</v>
      </c>
      <c r="AN489" s="18" t="s">
        <v>95</v>
      </c>
      <c r="AO489" s="18" t="s">
        <v>95</v>
      </c>
      <c r="AP489" s="18" t="s">
        <v>95</v>
      </c>
      <c r="AQ489" s="18" t="s">
        <v>95</v>
      </c>
      <c r="AR489" s="18" t="s">
        <v>95</v>
      </c>
      <c r="AS489" s="18" t="s">
        <v>83</v>
      </c>
      <c r="AT489" s="18" t="s">
        <v>83</v>
      </c>
      <c r="AU489" s="18" t="s">
        <v>81</v>
      </c>
      <c r="AV489" s="18" t="s">
        <v>95</v>
      </c>
      <c r="AW489" s="18" t="s">
        <v>95</v>
      </c>
      <c r="AX489" s="18"/>
      <c r="AY489" s="18" t="str">
        <f>Pospago[[#This Row],[NUM_TELEFONICO]]&amp;"POSPAGOSI"</f>
        <v>984990007POSPAGOSI</v>
      </c>
      <c r="AZ489" s="18" t="str">
        <f>VLOOKUP(Pospago[[#This Row],[NOM_PLAZA_FINAL]],[1]!Locales[#Data],3,0)</f>
        <v>TIENDA RECREO</v>
      </c>
      <c r="BA489" s="18" t="str">
        <f>IFERROR(VLOOKUP(Pospago[[#This Row],[USUARIO]],[1]!Personal[#Data],6,0),"EJECUTIVO NO REGISTRADO")</f>
        <v>CHICAIZA TOAPANTA ALEX DANILO</v>
      </c>
      <c r="BB489" s="18" t="str">
        <f>Pospago[[#This Row],[TIPO_MOVIMIENTO]]&amp;" "&amp;Pospago[[#This Row],[FORMA_PAGO_FINAL]]</f>
        <v>TRANSFERENCIAS PAGO EN CAJA</v>
      </c>
      <c r="BC489" s="18">
        <f>DAY(Pospago[[#This Row],[FECHA_ALTA]])</f>
        <v>9</v>
      </c>
      <c r="BD489" s="18">
        <f>IF(Pospago[[#This Row],[TARIFA_BASICA]]=11.42,1,0)</f>
        <v>0</v>
      </c>
      <c r="BE489" s="18">
        <f>IF(Pospago[[#This Row],[PLANES TELEVENTAS]]="SI",1,0)</f>
        <v>0</v>
      </c>
      <c r="BF489" s="18">
        <f>1</f>
        <v>1</v>
      </c>
      <c r="BG489" s="18">
        <f>IF(OR(Pospago[[#This Row],[TARIFA_BASICA]]=11.42,Pospago[[#This Row],[PLANES TELEVENTAS]]="SI"),1,0)</f>
        <v>0</v>
      </c>
      <c r="BH489" s="18" t="str">
        <f>IF(MID(Pospago[[#This Row],[PlanDesc]],1,4) = "PLAN","POSPAGO",IF(MID(Pospago[[#This Row],[PlanDesc]],1,4)="FULL","FULL MEGAS","PREVIOPAGO"))</f>
        <v>PREVIOPAGO</v>
      </c>
      <c r="BI4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4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89" s="21">
        <f>Pospago[[#This Row],[TARIFA_BASICA]]*1.5</f>
        <v>22.5</v>
      </c>
    </row>
    <row r="490" spans="1:63" x14ac:dyDescent="0.25">
      <c r="A490" s="18" t="s">
        <v>64</v>
      </c>
      <c r="B490" s="18" t="s">
        <v>3231</v>
      </c>
      <c r="C490" s="18" t="s">
        <v>2162</v>
      </c>
      <c r="D490" s="19">
        <v>44902</v>
      </c>
      <c r="E490" s="18" t="s">
        <v>246</v>
      </c>
      <c r="F490" s="18" t="s">
        <v>2163</v>
      </c>
      <c r="G490" s="18" t="s">
        <v>2164</v>
      </c>
      <c r="H490" s="18" t="s">
        <v>70</v>
      </c>
      <c r="I490" s="18" t="s">
        <v>3232</v>
      </c>
      <c r="J490" s="18" t="s">
        <v>3233</v>
      </c>
      <c r="K490" s="18" t="s">
        <v>132</v>
      </c>
      <c r="L490" s="20" t="s">
        <v>3234</v>
      </c>
      <c r="M490" s="18" t="s">
        <v>75</v>
      </c>
      <c r="N490" s="20" t="s">
        <v>3235</v>
      </c>
      <c r="O490" s="18" t="s">
        <v>77</v>
      </c>
      <c r="P490" s="18" t="s">
        <v>78</v>
      </c>
      <c r="Q490" s="19">
        <v>44914</v>
      </c>
      <c r="R490" s="21">
        <v>51.78</v>
      </c>
      <c r="S490" s="18" t="s">
        <v>79</v>
      </c>
      <c r="T490" s="18" t="s">
        <v>174</v>
      </c>
      <c r="U490" s="18" t="s">
        <v>81</v>
      </c>
      <c r="V490" s="18" t="s">
        <v>82</v>
      </c>
      <c r="W490" s="18" t="s">
        <v>83</v>
      </c>
      <c r="X490" s="18" t="s">
        <v>84</v>
      </c>
      <c r="Y490" s="18" t="s">
        <v>85</v>
      </c>
      <c r="Z490" s="18" t="s">
        <v>86</v>
      </c>
      <c r="AA490" s="18" t="s">
        <v>87</v>
      </c>
      <c r="AB490" s="18" t="s">
        <v>303</v>
      </c>
      <c r="AC490" s="18" t="s">
        <v>304</v>
      </c>
      <c r="AD490" s="18" t="s">
        <v>85</v>
      </c>
      <c r="AE490" s="18" t="s">
        <v>90</v>
      </c>
      <c r="AF490" s="18" t="s">
        <v>177</v>
      </c>
      <c r="AG490" s="18" t="s">
        <v>139</v>
      </c>
      <c r="AH490" s="18" t="s">
        <v>93</v>
      </c>
      <c r="AI490" s="18" t="s">
        <v>94</v>
      </c>
      <c r="AJ490" s="19">
        <v>44902</v>
      </c>
      <c r="AK490" s="22" t="s">
        <v>95</v>
      </c>
      <c r="AL490" s="18" t="s">
        <v>95</v>
      </c>
      <c r="AM490" s="18" t="s">
        <v>95</v>
      </c>
      <c r="AN490" s="18" t="s">
        <v>95</v>
      </c>
      <c r="AO490" s="18" t="s">
        <v>95</v>
      </c>
      <c r="AP490" s="18" t="s">
        <v>95</v>
      </c>
      <c r="AQ490" s="18" t="s">
        <v>95</v>
      </c>
      <c r="AR490" s="18" t="s">
        <v>95</v>
      </c>
      <c r="AS490" s="18" t="s">
        <v>83</v>
      </c>
      <c r="AT490" s="18" t="s">
        <v>83</v>
      </c>
      <c r="AU490" s="18" t="s">
        <v>81</v>
      </c>
      <c r="AV490" s="18" t="s">
        <v>95</v>
      </c>
      <c r="AW490" s="18" t="s">
        <v>95</v>
      </c>
      <c r="AX490" s="18"/>
      <c r="AY490" s="18" t="str">
        <f>Pospago[[#This Row],[NUM_TELEFONICO]]&amp;"POSPAGOSI"</f>
        <v>985055391POSPAGOSI</v>
      </c>
      <c r="AZ490" s="18" t="str">
        <f>VLOOKUP(Pospago[[#This Row],[NOM_PLAZA_FINAL]],[1]!Locales[#Data],3,0)</f>
        <v>TIENDA RECREO</v>
      </c>
      <c r="BA490" s="18" t="str">
        <f>IFERROR(VLOOKUP(Pospago[[#This Row],[USUARIO]],[1]!Personal[#Data],6,0),"EJECUTIVO NO REGISTRADO")</f>
        <v>CORDOVA GAIBOR JONATHAN HERNAN</v>
      </c>
      <c r="BB490" s="18" t="str">
        <f>Pospago[[#This Row],[TIPO_MOVIMIENTO]]&amp;" "&amp;Pospago[[#This Row],[FORMA_PAGO_FINAL]]</f>
        <v>ALTAS DOMICILIADO</v>
      </c>
      <c r="BC490" s="18">
        <f>DAY(Pospago[[#This Row],[FECHA_ALTA]])</f>
        <v>7</v>
      </c>
      <c r="BD490" s="18">
        <f>IF(Pospago[[#This Row],[TARIFA_BASICA]]=11.42,1,0)</f>
        <v>0</v>
      </c>
      <c r="BE490" s="18">
        <f>IF(Pospago[[#This Row],[PLANES TELEVENTAS]]="SI",1,0)</f>
        <v>0</v>
      </c>
      <c r="BF490" s="18">
        <f>1</f>
        <v>1</v>
      </c>
      <c r="BG490" s="18">
        <f>IF(OR(Pospago[[#This Row],[TARIFA_BASICA]]=11.42,Pospago[[#This Row],[PLANES TELEVENTAS]]="SI"),1,0)</f>
        <v>0</v>
      </c>
      <c r="BH490" s="18" t="str">
        <f>IF(MID(Pospago[[#This Row],[PlanDesc]],1,4) = "PLAN","POSPAGO",IF(MID(Pospago[[#This Row],[PlanDesc]],1,4)="FULL","FULL MEGAS","PREVIOPAGO"))</f>
        <v>PREVIOPAGO</v>
      </c>
      <c r="BI4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113.92</v>
      </c>
      <c r="BJ4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0" s="21">
        <f>Pospago[[#This Row],[TARIFA_BASICA]]*1.5</f>
        <v>77.67</v>
      </c>
    </row>
    <row r="491" spans="1:63" x14ac:dyDescent="0.25">
      <c r="A491" s="18" t="s">
        <v>64</v>
      </c>
      <c r="B491" s="18" t="s">
        <v>3236</v>
      </c>
      <c r="C491" s="18" t="s">
        <v>3237</v>
      </c>
      <c r="D491" s="19">
        <v>44907</v>
      </c>
      <c r="E491" s="18" t="s">
        <v>67</v>
      </c>
      <c r="F491" s="18" t="s">
        <v>3238</v>
      </c>
      <c r="G491" s="18" t="s">
        <v>3239</v>
      </c>
      <c r="H491" s="18" t="s">
        <v>70</v>
      </c>
      <c r="I491" s="18" t="s">
        <v>1756</v>
      </c>
      <c r="J491" s="18" t="s">
        <v>1757</v>
      </c>
      <c r="K491" s="18" t="s">
        <v>2909</v>
      </c>
      <c r="L491" s="20" t="s">
        <v>3240</v>
      </c>
      <c r="M491" s="18" t="s">
        <v>75</v>
      </c>
      <c r="N491" s="20" t="s">
        <v>3241</v>
      </c>
      <c r="O491" s="18" t="s">
        <v>77</v>
      </c>
      <c r="P491" s="18" t="s">
        <v>78</v>
      </c>
      <c r="Q491" s="19">
        <v>44914</v>
      </c>
      <c r="R491" s="21">
        <v>17.850000000000001</v>
      </c>
      <c r="S491" s="18" t="s">
        <v>79</v>
      </c>
      <c r="T491" s="18" t="s">
        <v>135</v>
      </c>
      <c r="U491" s="18" t="s">
        <v>81</v>
      </c>
      <c r="V491" s="18" t="s">
        <v>82</v>
      </c>
      <c r="W491" s="18" t="s">
        <v>83</v>
      </c>
      <c r="X491" s="18" t="s">
        <v>84</v>
      </c>
      <c r="Y491" s="18" t="s">
        <v>85</v>
      </c>
      <c r="Z491" s="18" t="s">
        <v>86</v>
      </c>
      <c r="AA491" s="18" t="s">
        <v>87</v>
      </c>
      <c r="AB491" s="18" t="s">
        <v>1545</v>
      </c>
      <c r="AC491" s="18" t="s">
        <v>1546</v>
      </c>
      <c r="AD491" s="18" t="s">
        <v>85</v>
      </c>
      <c r="AE491" s="18" t="s">
        <v>90</v>
      </c>
      <c r="AF491" s="18" t="s">
        <v>138</v>
      </c>
      <c r="AG491" s="18" t="s">
        <v>139</v>
      </c>
      <c r="AH491" s="18" t="s">
        <v>93</v>
      </c>
      <c r="AI491" s="18" t="s">
        <v>94</v>
      </c>
      <c r="AJ491" s="19">
        <v>44907</v>
      </c>
      <c r="AK491" s="22" t="s">
        <v>95</v>
      </c>
      <c r="AL491" s="18" t="s">
        <v>95</v>
      </c>
      <c r="AM491" s="18" t="s">
        <v>95</v>
      </c>
      <c r="AN491" s="18" t="s">
        <v>95</v>
      </c>
      <c r="AO491" s="18" t="s">
        <v>95</v>
      </c>
      <c r="AP491" s="18" t="s">
        <v>95</v>
      </c>
      <c r="AQ491" s="18" t="s">
        <v>95</v>
      </c>
      <c r="AR491" s="18" t="s">
        <v>95</v>
      </c>
      <c r="AS491" s="18" t="s">
        <v>83</v>
      </c>
      <c r="AT491" s="18" t="s">
        <v>81</v>
      </c>
      <c r="AU491" s="18" t="s">
        <v>83</v>
      </c>
      <c r="AV491" s="18" t="s">
        <v>95</v>
      </c>
      <c r="AW491" s="18" t="s">
        <v>95</v>
      </c>
      <c r="AX491" s="18"/>
      <c r="AY491" s="18" t="str">
        <f>Pospago[[#This Row],[NUM_TELEFONICO]]&amp;"POSPAGOSI"</f>
        <v>985421378POSPAGOSI</v>
      </c>
      <c r="AZ491" s="18" t="str">
        <f>VLOOKUP(Pospago[[#This Row],[NOM_PLAZA_FINAL]],[1]!Locales[#Data],3,0)</f>
        <v>TIENDA AMERICA</v>
      </c>
      <c r="BA491" s="18" t="str">
        <f>IFERROR(VLOOKUP(Pospago[[#This Row],[USUARIO]],[1]!Personal[#Data],6,0),"EJECUTIVO NO REGISTRADO")</f>
        <v>GRANDA ESPINOZA ANDRES SEBASTIAN</v>
      </c>
      <c r="BB491" s="18" t="str">
        <f>Pospago[[#This Row],[TIPO_MOVIMIENTO]]&amp;" "&amp;Pospago[[#This Row],[FORMA_PAGO_FINAL]]</f>
        <v>ALTAS DOMICILIADO</v>
      </c>
      <c r="BC491" s="18">
        <f>DAY(Pospago[[#This Row],[FECHA_ALTA]])</f>
        <v>12</v>
      </c>
      <c r="BD491" s="18">
        <f>IF(Pospago[[#This Row],[TARIFA_BASICA]]=11.42,1,0)</f>
        <v>0</v>
      </c>
      <c r="BE491" s="18">
        <f>IF(Pospago[[#This Row],[PLANES TELEVENTAS]]="SI",1,0)</f>
        <v>1</v>
      </c>
      <c r="BF491" s="18">
        <f>1</f>
        <v>1</v>
      </c>
      <c r="BG491" s="18">
        <f>IF(OR(Pospago[[#This Row],[TARIFA_BASICA]]=11.42,Pospago[[#This Row],[PLANES TELEVENTAS]]="SI"),1,0)</f>
        <v>1</v>
      </c>
      <c r="BH491" s="18" t="str">
        <f>IF(MID(Pospago[[#This Row],[PlanDesc]],1,4) = "PLAN","POSPAGO",IF(MID(Pospago[[#This Row],[PlanDesc]],1,4)="FULL","FULL MEGAS","PREVIOPAGO"))</f>
        <v>POSPAGO</v>
      </c>
      <c r="BI4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4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1" s="21">
        <f>Pospago[[#This Row],[TARIFA_BASICA]]*1.5</f>
        <v>26.775000000000002</v>
      </c>
    </row>
    <row r="492" spans="1:63" x14ac:dyDescent="0.25">
      <c r="A492" s="18" t="s">
        <v>154</v>
      </c>
      <c r="B492" s="18" t="s">
        <v>3242</v>
      </c>
      <c r="C492" s="18" t="s">
        <v>3243</v>
      </c>
      <c r="D492" s="19">
        <v>44912</v>
      </c>
      <c r="E492" s="18" t="s">
        <v>67</v>
      </c>
      <c r="F492" s="18" t="s">
        <v>3244</v>
      </c>
      <c r="G492" s="18" t="s">
        <v>3245</v>
      </c>
      <c r="H492" s="18" t="s">
        <v>159</v>
      </c>
      <c r="I492" s="18" t="s">
        <v>130</v>
      </c>
      <c r="J492" s="18" t="s">
        <v>433</v>
      </c>
      <c r="K492" s="18" t="s">
        <v>73</v>
      </c>
      <c r="L492" s="20" t="s">
        <v>3246</v>
      </c>
      <c r="M492" s="18" t="s">
        <v>75</v>
      </c>
      <c r="N492" s="20" t="s">
        <v>3247</v>
      </c>
      <c r="O492" s="18" t="s">
        <v>164</v>
      </c>
      <c r="P492" s="18" t="s">
        <v>78</v>
      </c>
      <c r="Q492" s="19">
        <v>44914</v>
      </c>
      <c r="R492" s="21">
        <v>15</v>
      </c>
      <c r="S492" s="18" t="s">
        <v>79</v>
      </c>
      <c r="T492" s="18" t="s">
        <v>80</v>
      </c>
      <c r="U492" s="18" t="s">
        <v>83</v>
      </c>
      <c r="V492" s="18" t="s">
        <v>95</v>
      </c>
      <c r="W492" s="18" t="s">
        <v>95</v>
      </c>
      <c r="X492" s="18" t="s">
        <v>84</v>
      </c>
      <c r="Y492" s="18" t="s">
        <v>85</v>
      </c>
      <c r="Z492" s="18" t="s">
        <v>86</v>
      </c>
      <c r="AA492" s="18" t="s">
        <v>87</v>
      </c>
      <c r="AB492" s="18" t="s">
        <v>1020</v>
      </c>
      <c r="AC492" s="18" t="s">
        <v>1021</v>
      </c>
      <c r="AD492" s="18" t="s">
        <v>85</v>
      </c>
      <c r="AE492" s="18" t="s">
        <v>90</v>
      </c>
      <c r="AF492" s="18" t="s">
        <v>91</v>
      </c>
      <c r="AG492" s="18" t="s">
        <v>92</v>
      </c>
      <c r="AH492" s="18" t="s">
        <v>165</v>
      </c>
      <c r="AI492" s="18" t="s">
        <v>94</v>
      </c>
      <c r="AJ492" s="19">
        <v>44912</v>
      </c>
      <c r="AK492" s="22" t="s">
        <v>95</v>
      </c>
      <c r="AL492" s="18" t="s">
        <v>95</v>
      </c>
      <c r="AM492" s="18" t="s">
        <v>95</v>
      </c>
      <c r="AN492" s="18" t="s">
        <v>95</v>
      </c>
      <c r="AO492" s="18" t="s">
        <v>95</v>
      </c>
      <c r="AP492" s="18" t="s">
        <v>95</v>
      </c>
      <c r="AQ492" s="18" t="s">
        <v>95</v>
      </c>
      <c r="AR492" s="18" t="s">
        <v>95</v>
      </c>
      <c r="AS492" s="18" t="s">
        <v>83</v>
      </c>
      <c r="AT492" s="18" t="s">
        <v>83</v>
      </c>
      <c r="AU492" s="18" t="s">
        <v>81</v>
      </c>
      <c r="AV492" s="18" t="s">
        <v>95</v>
      </c>
      <c r="AW492" s="18" t="s">
        <v>95</v>
      </c>
      <c r="AX492" s="18"/>
      <c r="AY492" s="18" t="str">
        <f>Pospago[[#This Row],[NUM_TELEFONICO]]&amp;"POSPAGOSI"</f>
        <v>985500910POSPAGOSI</v>
      </c>
      <c r="AZ492" s="18" t="str">
        <f>VLOOKUP(Pospago[[#This Row],[NOM_PLAZA_FINAL]],[1]!Locales[#Data],3,0)</f>
        <v>TIENDA CUENCA CENTRO</v>
      </c>
      <c r="BA492" s="18" t="str">
        <f>IFERROR(VLOOKUP(Pospago[[#This Row],[USUARIO]],[1]!Personal[#Data],6,0),"EJECUTIVO NO REGISTRADO")</f>
        <v>GONZALES ALVARRACIN PAOLA YESSENIA</v>
      </c>
      <c r="BB492" s="18" t="str">
        <f>Pospago[[#This Row],[TIPO_MOVIMIENTO]]&amp;" "&amp;Pospago[[#This Row],[FORMA_PAGO_FINAL]]</f>
        <v>TRANSFERENCIAS DOMICILIADO</v>
      </c>
      <c r="BC492" s="18">
        <f>DAY(Pospago[[#This Row],[FECHA_ALTA]])</f>
        <v>17</v>
      </c>
      <c r="BD492" s="18">
        <f>IF(Pospago[[#This Row],[TARIFA_BASICA]]=11.42,1,0)</f>
        <v>0</v>
      </c>
      <c r="BE492" s="18">
        <f>IF(Pospago[[#This Row],[PLANES TELEVENTAS]]="SI",1,0)</f>
        <v>0</v>
      </c>
      <c r="BF492" s="18">
        <f>1</f>
        <v>1</v>
      </c>
      <c r="BG492" s="18">
        <f>IF(OR(Pospago[[#This Row],[TARIFA_BASICA]]=11.42,Pospago[[#This Row],[PLANES TELEVENTAS]]="SI"),1,0)</f>
        <v>0</v>
      </c>
      <c r="BH492" s="18" t="str">
        <f>IF(MID(Pospago[[#This Row],[PlanDesc]],1,4) = "PLAN","POSPAGO",IF(MID(Pospago[[#This Row],[PlanDesc]],1,4)="FULL","FULL MEGAS","PREVIOPAGO"))</f>
        <v>PREVIOPAGO</v>
      </c>
      <c r="BI4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4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2" s="21">
        <f>Pospago[[#This Row],[TARIFA_BASICA]]*1.5</f>
        <v>22.5</v>
      </c>
    </row>
    <row r="493" spans="1:63" x14ac:dyDescent="0.25">
      <c r="A493" s="18" t="s">
        <v>64</v>
      </c>
      <c r="B493" s="18" t="s">
        <v>3248</v>
      </c>
      <c r="C493" s="18" t="s">
        <v>3249</v>
      </c>
      <c r="D493" s="19">
        <v>44907</v>
      </c>
      <c r="E493" s="18" t="s">
        <v>67</v>
      </c>
      <c r="F493" s="18" t="s">
        <v>3250</v>
      </c>
      <c r="G493" s="18" t="s">
        <v>3251</v>
      </c>
      <c r="H493" s="18" t="s">
        <v>70</v>
      </c>
      <c r="I493" s="18" t="s">
        <v>227</v>
      </c>
      <c r="J493" s="18" t="s">
        <v>228</v>
      </c>
      <c r="K493" s="18" t="s">
        <v>73</v>
      </c>
      <c r="L493" s="20" t="s">
        <v>3252</v>
      </c>
      <c r="M493" s="18" t="s">
        <v>75</v>
      </c>
      <c r="N493" s="20" t="s">
        <v>3253</v>
      </c>
      <c r="O493" s="18" t="s">
        <v>77</v>
      </c>
      <c r="P493" s="18" t="s">
        <v>78</v>
      </c>
      <c r="Q493" s="19">
        <v>44914</v>
      </c>
      <c r="R493" s="21">
        <v>21.42</v>
      </c>
      <c r="S493" s="18" t="s">
        <v>79</v>
      </c>
      <c r="T493" s="18" t="s">
        <v>148</v>
      </c>
      <c r="U493" s="18" t="s">
        <v>81</v>
      </c>
      <c r="V493" s="18" t="s">
        <v>82</v>
      </c>
      <c r="W493" s="18" t="s">
        <v>83</v>
      </c>
      <c r="X493" s="18" t="s">
        <v>84</v>
      </c>
      <c r="Y493" s="18" t="s">
        <v>85</v>
      </c>
      <c r="Z493" s="18" t="s">
        <v>86</v>
      </c>
      <c r="AA493" s="18" t="s">
        <v>87</v>
      </c>
      <c r="AB493" s="18" t="s">
        <v>420</v>
      </c>
      <c r="AC493" s="18" t="s">
        <v>421</v>
      </c>
      <c r="AD493" s="18" t="s">
        <v>85</v>
      </c>
      <c r="AE493" s="18" t="s">
        <v>90</v>
      </c>
      <c r="AF493" s="18" t="s">
        <v>151</v>
      </c>
      <c r="AG493" s="18" t="s">
        <v>92</v>
      </c>
      <c r="AH493" s="18" t="s">
        <v>93</v>
      </c>
      <c r="AI493" s="18" t="s">
        <v>94</v>
      </c>
      <c r="AJ493" s="19">
        <v>44907</v>
      </c>
      <c r="AK493" s="22" t="s">
        <v>95</v>
      </c>
      <c r="AL493" s="18" t="s">
        <v>95</v>
      </c>
      <c r="AM493" s="18" t="s">
        <v>95</v>
      </c>
      <c r="AN493" s="18" t="s">
        <v>95</v>
      </c>
      <c r="AO493" s="18" t="s">
        <v>95</v>
      </c>
      <c r="AP493" s="18" t="s">
        <v>95</v>
      </c>
      <c r="AQ493" s="18" t="s">
        <v>95</v>
      </c>
      <c r="AR493" s="18" t="s">
        <v>95</v>
      </c>
      <c r="AS493" s="18" t="s">
        <v>83</v>
      </c>
      <c r="AT493" s="18" t="s">
        <v>83</v>
      </c>
      <c r="AU493" s="18" t="s">
        <v>81</v>
      </c>
      <c r="AV493" s="18" t="s">
        <v>95</v>
      </c>
      <c r="AW493" s="18" t="s">
        <v>95</v>
      </c>
      <c r="AX493" s="18"/>
      <c r="AY493" s="18" t="str">
        <f>Pospago[[#This Row],[NUM_TELEFONICO]]&amp;"POSPAGOSI"</f>
        <v>985970434POSPAGOSI</v>
      </c>
      <c r="AZ493" s="18" t="str">
        <f>VLOOKUP(Pospago[[#This Row],[NOM_PLAZA_FINAL]],[1]!Locales[#Data],3,0)</f>
        <v>TIENDA CUENCA REMIGIO</v>
      </c>
      <c r="BA493" s="18" t="str">
        <f>IFERROR(VLOOKUP(Pospago[[#This Row],[USUARIO]],[1]!Personal[#Data],6,0),"EJECUTIVO NO REGISTRADO")</f>
        <v>YEPEZ PALOMEQUE DIANA PATRICIA</v>
      </c>
      <c r="BB493" s="18" t="str">
        <f>Pospago[[#This Row],[TIPO_MOVIMIENTO]]&amp;" "&amp;Pospago[[#This Row],[FORMA_PAGO_FINAL]]</f>
        <v>ALTAS DOMICILIADO</v>
      </c>
      <c r="BC493" s="18">
        <f>DAY(Pospago[[#This Row],[FECHA_ALTA]])</f>
        <v>12</v>
      </c>
      <c r="BD493" s="18">
        <f>IF(Pospago[[#This Row],[TARIFA_BASICA]]=11.42,1,0)</f>
        <v>0</v>
      </c>
      <c r="BE493" s="18">
        <f>IF(Pospago[[#This Row],[PLANES TELEVENTAS]]="SI",1,0)</f>
        <v>0</v>
      </c>
      <c r="BF493" s="18">
        <f>1</f>
        <v>1</v>
      </c>
      <c r="BG493" s="18">
        <f>IF(OR(Pospago[[#This Row],[TARIFA_BASICA]]=11.42,Pospago[[#This Row],[PLANES TELEVENTAS]]="SI"),1,0)</f>
        <v>0</v>
      </c>
      <c r="BH493" s="18" t="str">
        <f>IF(MID(Pospago[[#This Row],[PlanDesc]],1,4) = "PLAN","POSPAGO",IF(MID(Pospago[[#This Row],[PlanDesc]],1,4)="FULL","FULL MEGAS","PREVIOPAGO"))</f>
        <v>PREVIOPAGO</v>
      </c>
      <c r="BI4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4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3" s="21">
        <f>Pospago[[#This Row],[TARIFA_BASICA]]*1.5</f>
        <v>32.130000000000003</v>
      </c>
    </row>
    <row r="494" spans="1:63" x14ac:dyDescent="0.25">
      <c r="A494" s="18" t="s">
        <v>154</v>
      </c>
      <c r="B494" s="18" t="s">
        <v>3254</v>
      </c>
      <c r="C494" s="18" t="s">
        <v>3255</v>
      </c>
      <c r="D494" s="19">
        <v>44905</v>
      </c>
      <c r="E494" s="18" t="s">
        <v>67</v>
      </c>
      <c r="F494" s="18" t="s">
        <v>3256</v>
      </c>
      <c r="G494" s="18" t="s">
        <v>3257</v>
      </c>
      <c r="H494" s="18" t="s">
        <v>159</v>
      </c>
      <c r="I494" s="18" t="s">
        <v>160</v>
      </c>
      <c r="J494" s="18" t="s">
        <v>161</v>
      </c>
      <c r="K494" s="18" t="s">
        <v>95</v>
      </c>
      <c r="L494" s="20" t="s">
        <v>3258</v>
      </c>
      <c r="M494" s="18" t="s">
        <v>75</v>
      </c>
      <c r="N494" s="20" t="s">
        <v>3259</v>
      </c>
      <c r="O494" s="18" t="s">
        <v>164</v>
      </c>
      <c r="P494" s="18" t="s">
        <v>78</v>
      </c>
      <c r="Q494" s="19">
        <v>44914</v>
      </c>
      <c r="R494" s="21">
        <v>14.28</v>
      </c>
      <c r="S494" s="18" t="s">
        <v>79</v>
      </c>
      <c r="T494" s="18" t="s">
        <v>174</v>
      </c>
      <c r="U494" s="18" t="s">
        <v>83</v>
      </c>
      <c r="V494" s="18" t="s">
        <v>95</v>
      </c>
      <c r="W494" s="18" t="s">
        <v>95</v>
      </c>
      <c r="X494" s="18" t="s">
        <v>118</v>
      </c>
      <c r="Y494" s="18" t="s">
        <v>85</v>
      </c>
      <c r="Z494" s="18" t="s">
        <v>86</v>
      </c>
      <c r="AA494" s="18" t="s">
        <v>119</v>
      </c>
      <c r="AB494" s="18" t="s">
        <v>760</v>
      </c>
      <c r="AC494" s="18" t="s">
        <v>761</v>
      </c>
      <c r="AD494" s="18" t="s">
        <v>85</v>
      </c>
      <c r="AE494" s="18" t="s">
        <v>90</v>
      </c>
      <c r="AF494" s="18" t="s">
        <v>177</v>
      </c>
      <c r="AG494" s="18" t="s">
        <v>139</v>
      </c>
      <c r="AH494" s="18" t="s">
        <v>165</v>
      </c>
      <c r="AI494" s="18" t="s">
        <v>94</v>
      </c>
      <c r="AJ494" s="19">
        <v>44905</v>
      </c>
      <c r="AK494" s="22" t="s">
        <v>95</v>
      </c>
      <c r="AL494" s="18" t="s">
        <v>95</v>
      </c>
      <c r="AM494" s="18" t="s">
        <v>95</v>
      </c>
      <c r="AN494" s="18" t="s">
        <v>95</v>
      </c>
      <c r="AO494" s="18" t="s">
        <v>95</v>
      </c>
      <c r="AP494" s="18" t="s">
        <v>95</v>
      </c>
      <c r="AQ494" s="18" t="s">
        <v>95</v>
      </c>
      <c r="AR494" s="18" t="s">
        <v>95</v>
      </c>
      <c r="AS494" s="18" t="s">
        <v>83</v>
      </c>
      <c r="AT494" s="18" t="s">
        <v>83</v>
      </c>
      <c r="AU494" s="18" t="s">
        <v>81</v>
      </c>
      <c r="AV494" s="18" t="s">
        <v>95</v>
      </c>
      <c r="AW494" s="18" t="s">
        <v>95</v>
      </c>
      <c r="AX494" s="18"/>
      <c r="AY494" s="18" t="str">
        <f>Pospago[[#This Row],[NUM_TELEFONICO]]&amp;"POSPAGOSI"</f>
        <v>986166870POSPAGOSI</v>
      </c>
      <c r="AZ494" s="18" t="str">
        <f>VLOOKUP(Pospago[[#This Row],[NOM_PLAZA_FINAL]],[1]!Locales[#Data],3,0)</f>
        <v>TIENDA RECREO</v>
      </c>
      <c r="BA494" s="18" t="str">
        <f>IFERROR(VLOOKUP(Pospago[[#This Row],[USUARIO]],[1]!Personal[#Data],6,0),"EJECUTIVO NO REGISTRADO")</f>
        <v>VALBUENA SANCHEZ ALBERT ANTHONY</v>
      </c>
      <c r="BB494" s="18" t="str">
        <f>Pospago[[#This Row],[TIPO_MOVIMIENTO]]&amp;" "&amp;Pospago[[#This Row],[FORMA_PAGO_FINAL]]</f>
        <v>TRANSFERENCIAS PAGO EN CAJA</v>
      </c>
      <c r="BC494" s="18">
        <f>DAY(Pospago[[#This Row],[FECHA_ALTA]])</f>
        <v>10</v>
      </c>
      <c r="BD494" s="18">
        <f>IF(Pospago[[#This Row],[TARIFA_BASICA]]=11.42,1,0)</f>
        <v>0</v>
      </c>
      <c r="BE494" s="18">
        <f>IF(Pospago[[#This Row],[PLANES TELEVENTAS]]="SI",1,0)</f>
        <v>0</v>
      </c>
      <c r="BF494" s="18">
        <f>1</f>
        <v>1</v>
      </c>
      <c r="BG494" s="18">
        <f>IF(OR(Pospago[[#This Row],[TARIFA_BASICA]]=11.42,Pospago[[#This Row],[PLANES TELEVENTAS]]="SI"),1,0)</f>
        <v>0</v>
      </c>
      <c r="BH494" s="18" t="str">
        <f>IF(MID(Pospago[[#This Row],[PlanDesc]],1,4) = "PLAN","POSPAGO",IF(MID(Pospago[[#This Row],[PlanDesc]],1,4)="FULL","FULL MEGAS","PREVIOPAGO"))</f>
        <v>PREVIOPAGO</v>
      </c>
      <c r="BI4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4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4" s="21">
        <f>Pospago[[#This Row],[TARIFA_BASICA]]*1.5</f>
        <v>21.419999999999998</v>
      </c>
    </row>
    <row r="495" spans="1:63" x14ac:dyDescent="0.25">
      <c r="A495" s="18" t="s">
        <v>154</v>
      </c>
      <c r="B495" s="18" t="s">
        <v>3260</v>
      </c>
      <c r="C495" s="18" t="s">
        <v>3261</v>
      </c>
      <c r="D495" s="19">
        <v>44911</v>
      </c>
      <c r="E495" s="18" t="s">
        <v>67</v>
      </c>
      <c r="F495" s="18" t="s">
        <v>3262</v>
      </c>
      <c r="G495" s="18" t="s">
        <v>3263</v>
      </c>
      <c r="H495" s="18" t="s">
        <v>159</v>
      </c>
      <c r="I495" s="18" t="s">
        <v>392</v>
      </c>
      <c r="J495" s="18" t="s">
        <v>393</v>
      </c>
      <c r="K495" s="18" t="s">
        <v>132</v>
      </c>
      <c r="L495" s="20" t="s">
        <v>3264</v>
      </c>
      <c r="M495" s="18" t="s">
        <v>75</v>
      </c>
      <c r="N495" s="20" t="s">
        <v>3265</v>
      </c>
      <c r="O495" s="18" t="s">
        <v>164</v>
      </c>
      <c r="P495" s="18" t="s">
        <v>78</v>
      </c>
      <c r="Q495" s="19">
        <v>44914</v>
      </c>
      <c r="R495" s="21">
        <v>15</v>
      </c>
      <c r="S495" s="18" t="s">
        <v>79</v>
      </c>
      <c r="T495" s="18" t="s">
        <v>174</v>
      </c>
      <c r="U495" s="18" t="s">
        <v>83</v>
      </c>
      <c r="V495" s="18" t="s">
        <v>95</v>
      </c>
      <c r="W495" s="18" t="s">
        <v>95</v>
      </c>
      <c r="X495" s="18" t="s">
        <v>118</v>
      </c>
      <c r="Y495" s="18" t="s">
        <v>85</v>
      </c>
      <c r="Z495" s="18" t="s">
        <v>86</v>
      </c>
      <c r="AA495" s="18" t="s">
        <v>119</v>
      </c>
      <c r="AB495" s="18" t="s">
        <v>492</v>
      </c>
      <c r="AC495" s="18" t="s">
        <v>493</v>
      </c>
      <c r="AD495" s="18" t="s">
        <v>85</v>
      </c>
      <c r="AE495" s="18" t="s">
        <v>90</v>
      </c>
      <c r="AF495" s="18" t="s">
        <v>177</v>
      </c>
      <c r="AG495" s="18" t="s">
        <v>139</v>
      </c>
      <c r="AH495" s="18" t="s">
        <v>165</v>
      </c>
      <c r="AI495" s="18" t="s">
        <v>94</v>
      </c>
      <c r="AJ495" s="19">
        <v>44911</v>
      </c>
      <c r="AK495" s="22" t="s">
        <v>95</v>
      </c>
      <c r="AL495" s="18" t="s">
        <v>95</v>
      </c>
      <c r="AM495" s="18" t="s">
        <v>95</v>
      </c>
      <c r="AN495" s="18" t="s">
        <v>95</v>
      </c>
      <c r="AO495" s="18" t="s">
        <v>95</v>
      </c>
      <c r="AP495" s="18" t="s">
        <v>95</v>
      </c>
      <c r="AQ495" s="18" t="s">
        <v>95</v>
      </c>
      <c r="AR495" s="18" t="s">
        <v>95</v>
      </c>
      <c r="AS495" s="18" t="s">
        <v>83</v>
      </c>
      <c r="AT495" s="18" t="s">
        <v>81</v>
      </c>
      <c r="AU495" s="18" t="s">
        <v>81</v>
      </c>
      <c r="AV495" s="18" t="s">
        <v>95</v>
      </c>
      <c r="AW495" s="18" t="s">
        <v>95</v>
      </c>
      <c r="AX495" s="18"/>
      <c r="AY495" s="18" t="str">
        <f>Pospago[[#This Row],[NUM_TELEFONICO]]&amp;"POSPAGOSI"</f>
        <v>987008662POSPAGOSI</v>
      </c>
      <c r="AZ495" s="18" t="str">
        <f>VLOOKUP(Pospago[[#This Row],[NOM_PLAZA_FINAL]],[1]!Locales[#Data],3,0)</f>
        <v>TIENDA RECREO</v>
      </c>
      <c r="BA495" s="18" t="str">
        <f>IFERROR(VLOOKUP(Pospago[[#This Row],[USUARIO]],[1]!Personal[#Data],6,0),"EJECUTIVO NO REGISTRADO")</f>
        <v>CONDO GARCIA NICOLAS MATIAS</v>
      </c>
      <c r="BB495" s="18" t="str">
        <f>Pospago[[#This Row],[TIPO_MOVIMIENTO]]&amp;" "&amp;Pospago[[#This Row],[FORMA_PAGO_FINAL]]</f>
        <v>TRANSFERENCIAS PAGO EN CAJA</v>
      </c>
      <c r="BC495" s="18">
        <f>DAY(Pospago[[#This Row],[FECHA_ALTA]])</f>
        <v>16</v>
      </c>
      <c r="BD495" s="18">
        <f>IF(Pospago[[#This Row],[TARIFA_BASICA]]=11.42,1,0)</f>
        <v>0</v>
      </c>
      <c r="BE495" s="18">
        <f>IF(Pospago[[#This Row],[PLANES TELEVENTAS]]="SI",1,0)</f>
        <v>1</v>
      </c>
      <c r="BF495" s="18">
        <f>1</f>
        <v>1</v>
      </c>
      <c r="BG495" s="18">
        <f>IF(OR(Pospago[[#This Row],[TARIFA_BASICA]]=11.42,Pospago[[#This Row],[PLANES TELEVENTAS]]="SI"),1,0)</f>
        <v>1</v>
      </c>
      <c r="BH495" s="18" t="str">
        <f>IF(MID(Pospago[[#This Row],[PlanDesc]],1,4) = "PLAN","POSPAGO",IF(MID(Pospago[[#This Row],[PlanDesc]],1,4)="FULL","FULL MEGAS","PREVIOPAGO"))</f>
        <v>PREVIOPAGO</v>
      </c>
      <c r="BI4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4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5" s="21">
        <f>Pospago[[#This Row],[TARIFA_BASICA]]*1.5</f>
        <v>22.5</v>
      </c>
    </row>
    <row r="496" spans="1:63" x14ac:dyDescent="0.25">
      <c r="A496" s="18" t="s">
        <v>154</v>
      </c>
      <c r="B496" s="18" t="s">
        <v>3266</v>
      </c>
      <c r="C496" s="18" t="s">
        <v>3267</v>
      </c>
      <c r="D496" s="19">
        <v>44912</v>
      </c>
      <c r="E496" s="18" t="s">
        <v>67</v>
      </c>
      <c r="F496" s="18" t="s">
        <v>3268</v>
      </c>
      <c r="G496" s="18" t="s">
        <v>3269</v>
      </c>
      <c r="H496" s="18" t="s">
        <v>159</v>
      </c>
      <c r="I496" s="18" t="s">
        <v>160</v>
      </c>
      <c r="J496" s="18" t="s">
        <v>161</v>
      </c>
      <c r="K496" s="18" t="s">
        <v>132</v>
      </c>
      <c r="L496" s="20" t="s">
        <v>3270</v>
      </c>
      <c r="M496" s="18" t="s">
        <v>75</v>
      </c>
      <c r="N496" s="20" t="s">
        <v>3271</v>
      </c>
      <c r="O496" s="18" t="s">
        <v>164</v>
      </c>
      <c r="P496" s="18" t="s">
        <v>78</v>
      </c>
      <c r="Q496" s="19">
        <v>44914</v>
      </c>
      <c r="R496" s="21">
        <v>14.28</v>
      </c>
      <c r="S496" s="18" t="s">
        <v>79</v>
      </c>
      <c r="T496" s="18" t="s">
        <v>174</v>
      </c>
      <c r="U496" s="18" t="s">
        <v>83</v>
      </c>
      <c r="V496" s="18" t="s">
        <v>95</v>
      </c>
      <c r="W496" s="18" t="s">
        <v>95</v>
      </c>
      <c r="X496" s="18" t="s">
        <v>84</v>
      </c>
      <c r="Y496" s="18" t="s">
        <v>85</v>
      </c>
      <c r="Z496" s="18" t="s">
        <v>86</v>
      </c>
      <c r="AA496" s="18" t="s">
        <v>87</v>
      </c>
      <c r="AB496" s="18" t="s">
        <v>822</v>
      </c>
      <c r="AC496" s="18" t="s">
        <v>823</v>
      </c>
      <c r="AD496" s="18" t="s">
        <v>85</v>
      </c>
      <c r="AE496" s="18" t="s">
        <v>90</v>
      </c>
      <c r="AF496" s="18" t="s">
        <v>177</v>
      </c>
      <c r="AG496" s="18" t="s">
        <v>139</v>
      </c>
      <c r="AH496" s="18" t="s">
        <v>165</v>
      </c>
      <c r="AI496" s="18" t="s">
        <v>94</v>
      </c>
      <c r="AJ496" s="19">
        <v>44912</v>
      </c>
      <c r="AK496" s="22" t="s">
        <v>95</v>
      </c>
      <c r="AL496" s="18" t="s">
        <v>95</v>
      </c>
      <c r="AM496" s="18" t="s">
        <v>95</v>
      </c>
      <c r="AN496" s="18" t="s">
        <v>95</v>
      </c>
      <c r="AO496" s="18" t="s">
        <v>95</v>
      </c>
      <c r="AP496" s="18" t="s">
        <v>95</v>
      </c>
      <c r="AQ496" s="18" t="s">
        <v>95</v>
      </c>
      <c r="AR496" s="18" t="s">
        <v>95</v>
      </c>
      <c r="AS496" s="18" t="s">
        <v>83</v>
      </c>
      <c r="AT496" s="18" t="s">
        <v>83</v>
      </c>
      <c r="AU496" s="18" t="s">
        <v>81</v>
      </c>
      <c r="AV496" s="18" t="s">
        <v>95</v>
      </c>
      <c r="AW496" s="18" t="s">
        <v>95</v>
      </c>
      <c r="AX496" s="18"/>
      <c r="AY496" s="18" t="str">
        <f>Pospago[[#This Row],[NUM_TELEFONICO]]&amp;"POSPAGOSI"</f>
        <v>987013569POSPAGOSI</v>
      </c>
      <c r="AZ496" s="18" t="str">
        <f>VLOOKUP(Pospago[[#This Row],[NOM_PLAZA_FINAL]],[1]!Locales[#Data],3,0)</f>
        <v>TIENDA RECREO</v>
      </c>
      <c r="BA496" s="18" t="str">
        <f>IFERROR(VLOOKUP(Pospago[[#This Row],[USUARIO]],[1]!Personal[#Data],6,0),"EJECUTIVO NO REGISTRADO")</f>
        <v>SALAS PARRA MARIA JOSE</v>
      </c>
      <c r="BB496" s="18" t="str">
        <f>Pospago[[#This Row],[TIPO_MOVIMIENTO]]&amp;" "&amp;Pospago[[#This Row],[FORMA_PAGO_FINAL]]</f>
        <v>TRANSFERENCIAS DOMICILIADO</v>
      </c>
      <c r="BC496" s="18">
        <f>DAY(Pospago[[#This Row],[FECHA_ALTA]])</f>
        <v>17</v>
      </c>
      <c r="BD496" s="18">
        <f>IF(Pospago[[#This Row],[TARIFA_BASICA]]=11.42,1,0)</f>
        <v>0</v>
      </c>
      <c r="BE496" s="18">
        <f>IF(Pospago[[#This Row],[PLANES TELEVENTAS]]="SI",1,0)</f>
        <v>0</v>
      </c>
      <c r="BF496" s="18">
        <f>1</f>
        <v>1</v>
      </c>
      <c r="BG496" s="18">
        <f>IF(OR(Pospago[[#This Row],[TARIFA_BASICA]]=11.42,Pospago[[#This Row],[PLANES TELEVENTAS]]="SI"),1,0)</f>
        <v>0</v>
      </c>
      <c r="BH496" s="18" t="str">
        <f>IF(MID(Pospago[[#This Row],[PlanDesc]],1,4) = "PLAN","POSPAGO",IF(MID(Pospago[[#This Row],[PlanDesc]],1,4)="FULL","FULL MEGAS","PREVIOPAGO"))</f>
        <v>PREVIOPAGO</v>
      </c>
      <c r="BI4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4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6" s="21">
        <f>Pospago[[#This Row],[TARIFA_BASICA]]*1.5</f>
        <v>21.419999999999998</v>
      </c>
    </row>
    <row r="497" spans="1:63" x14ac:dyDescent="0.25">
      <c r="A497" s="18" t="s">
        <v>154</v>
      </c>
      <c r="B497" s="18" t="s">
        <v>3272</v>
      </c>
      <c r="C497" s="18" t="s">
        <v>3273</v>
      </c>
      <c r="D497" s="19">
        <v>44911</v>
      </c>
      <c r="E497" s="18" t="s">
        <v>67</v>
      </c>
      <c r="F497" s="18" t="s">
        <v>3274</v>
      </c>
      <c r="G497" s="18" t="s">
        <v>3275</v>
      </c>
      <c r="H497" s="18" t="s">
        <v>159</v>
      </c>
      <c r="I497" s="18" t="s">
        <v>71</v>
      </c>
      <c r="J497" s="18" t="s">
        <v>258</v>
      </c>
      <c r="K497" s="18" t="s">
        <v>132</v>
      </c>
      <c r="L497" s="20" t="s">
        <v>3276</v>
      </c>
      <c r="M497" s="18" t="s">
        <v>75</v>
      </c>
      <c r="N497" s="20" t="s">
        <v>3277</v>
      </c>
      <c r="O497" s="18" t="s">
        <v>164</v>
      </c>
      <c r="P497" s="18" t="s">
        <v>78</v>
      </c>
      <c r="Q497" s="19">
        <v>44914</v>
      </c>
      <c r="R497" s="21">
        <v>11.42</v>
      </c>
      <c r="S497" s="18" t="s">
        <v>79</v>
      </c>
      <c r="T497" s="18" t="s">
        <v>174</v>
      </c>
      <c r="U497" s="18" t="s">
        <v>83</v>
      </c>
      <c r="V497" s="18" t="s">
        <v>95</v>
      </c>
      <c r="W497" s="18" t="s">
        <v>95</v>
      </c>
      <c r="X497" s="18" t="s">
        <v>84</v>
      </c>
      <c r="Y497" s="18" t="s">
        <v>85</v>
      </c>
      <c r="Z497" s="18" t="s">
        <v>86</v>
      </c>
      <c r="AA497" s="18" t="s">
        <v>87</v>
      </c>
      <c r="AB497" s="18" t="s">
        <v>926</v>
      </c>
      <c r="AC497" s="18" t="s">
        <v>927</v>
      </c>
      <c r="AD497" s="18" t="s">
        <v>85</v>
      </c>
      <c r="AE497" s="18" t="s">
        <v>90</v>
      </c>
      <c r="AF497" s="18" t="s">
        <v>177</v>
      </c>
      <c r="AG497" s="18" t="s">
        <v>139</v>
      </c>
      <c r="AH497" s="18" t="s">
        <v>165</v>
      </c>
      <c r="AI497" s="18" t="s">
        <v>94</v>
      </c>
      <c r="AJ497" s="19">
        <v>44911</v>
      </c>
      <c r="AK497" s="22" t="s">
        <v>95</v>
      </c>
      <c r="AL497" s="18" t="s">
        <v>95</v>
      </c>
      <c r="AM497" s="18" t="s">
        <v>95</v>
      </c>
      <c r="AN497" s="18" t="s">
        <v>95</v>
      </c>
      <c r="AO497" s="18" t="s">
        <v>95</v>
      </c>
      <c r="AP497" s="18" t="s">
        <v>95</v>
      </c>
      <c r="AQ497" s="18" t="s">
        <v>95</v>
      </c>
      <c r="AR497" s="18" t="s">
        <v>95</v>
      </c>
      <c r="AS497" s="18" t="s">
        <v>83</v>
      </c>
      <c r="AT497" s="18" t="s">
        <v>83</v>
      </c>
      <c r="AU497" s="18" t="s">
        <v>81</v>
      </c>
      <c r="AV497" s="18" t="s">
        <v>95</v>
      </c>
      <c r="AW497" s="18" t="s">
        <v>95</v>
      </c>
      <c r="AX497" s="18"/>
      <c r="AY497" s="18" t="str">
        <f>Pospago[[#This Row],[NUM_TELEFONICO]]&amp;"POSPAGOSI"</f>
        <v>987016382POSPAGOSI</v>
      </c>
      <c r="AZ497" s="18" t="str">
        <f>VLOOKUP(Pospago[[#This Row],[NOM_PLAZA_FINAL]],[1]!Locales[#Data],3,0)</f>
        <v>TIENDA RECREO</v>
      </c>
      <c r="BA497" s="18" t="str">
        <f>IFERROR(VLOOKUP(Pospago[[#This Row],[USUARIO]],[1]!Personal[#Data],6,0),"EJECUTIVO NO REGISTRADO")</f>
        <v>CABEZAS LOPEZ ROBERTO ALEJANDRO</v>
      </c>
      <c r="BB497" s="18" t="str">
        <f>Pospago[[#This Row],[TIPO_MOVIMIENTO]]&amp;" "&amp;Pospago[[#This Row],[FORMA_PAGO_FINAL]]</f>
        <v>TRANSFERENCIAS DOMICILIADO</v>
      </c>
      <c r="BC497" s="18">
        <f>DAY(Pospago[[#This Row],[FECHA_ALTA]])</f>
        <v>16</v>
      </c>
      <c r="BD497" s="18">
        <f>IF(Pospago[[#This Row],[TARIFA_BASICA]]=11.42,1,0)</f>
        <v>1</v>
      </c>
      <c r="BE497" s="18">
        <f>IF(Pospago[[#This Row],[PLANES TELEVENTAS]]="SI",1,0)</f>
        <v>0</v>
      </c>
      <c r="BF497" s="18">
        <f>1</f>
        <v>1</v>
      </c>
      <c r="BG497" s="18">
        <f>IF(OR(Pospago[[#This Row],[TARIFA_BASICA]]=11.42,Pospago[[#This Row],[PLANES TELEVENTAS]]="SI"),1,0)</f>
        <v>1</v>
      </c>
      <c r="BH497" s="18" t="str">
        <f>IF(MID(Pospago[[#This Row],[PlanDesc]],1,4) = "PLAN","POSPAGO",IF(MID(Pospago[[#This Row],[PlanDesc]],1,4)="FULL","FULL MEGAS","PREVIOPAGO"))</f>
        <v>PREVIOPAGO</v>
      </c>
      <c r="BI4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4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497" s="21">
        <f>Pospago[[#This Row],[TARIFA_BASICA]]*1.5</f>
        <v>17.13</v>
      </c>
    </row>
    <row r="498" spans="1:63" x14ac:dyDescent="0.25">
      <c r="A498" s="18" t="s">
        <v>64</v>
      </c>
      <c r="B498" s="18" t="s">
        <v>3278</v>
      </c>
      <c r="C498" s="18" t="s">
        <v>3279</v>
      </c>
      <c r="D498" s="19">
        <v>44901</v>
      </c>
      <c r="E498" s="18" t="s">
        <v>67</v>
      </c>
      <c r="F498" s="18" t="s">
        <v>3280</v>
      </c>
      <c r="G498" s="18" t="s">
        <v>3281</v>
      </c>
      <c r="H498" s="18" t="s">
        <v>193</v>
      </c>
      <c r="I498" s="18" t="s">
        <v>712</v>
      </c>
      <c r="J498" s="18" t="s">
        <v>113</v>
      </c>
      <c r="K498" s="18" t="s">
        <v>73</v>
      </c>
      <c r="L498" s="20" t="s">
        <v>3282</v>
      </c>
      <c r="M498" s="18" t="s">
        <v>75</v>
      </c>
      <c r="N498" s="20" t="s">
        <v>3283</v>
      </c>
      <c r="O498" s="18" t="s">
        <v>77</v>
      </c>
      <c r="P498" s="18" t="s">
        <v>78</v>
      </c>
      <c r="Q498" s="19">
        <v>44914</v>
      </c>
      <c r="R498" s="21">
        <v>17.850000000000001</v>
      </c>
      <c r="S498" s="18" t="s">
        <v>79</v>
      </c>
      <c r="T498" s="18" t="s">
        <v>80</v>
      </c>
      <c r="U498" s="18" t="s">
        <v>83</v>
      </c>
      <c r="V498" s="18" t="s">
        <v>95</v>
      </c>
      <c r="W498" s="18" t="s">
        <v>83</v>
      </c>
      <c r="X498" s="18" t="s">
        <v>118</v>
      </c>
      <c r="Y498" s="18" t="s">
        <v>85</v>
      </c>
      <c r="Z498" s="18" t="s">
        <v>86</v>
      </c>
      <c r="AA498" s="18" t="s">
        <v>119</v>
      </c>
      <c r="AB498" s="18" t="s">
        <v>1020</v>
      </c>
      <c r="AC498" s="18" t="s">
        <v>1021</v>
      </c>
      <c r="AD498" s="18" t="s">
        <v>85</v>
      </c>
      <c r="AE498" s="18" t="s">
        <v>90</v>
      </c>
      <c r="AF498" s="18" t="s">
        <v>91</v>
      </c>
      <c r="AG498" s="18" t="s">
        <v>92</v>
      </c>
      <c r="AH498" s="18" t="s">
        <v>93</v>
      </c>
      <c r="AI498" s="18" t="s">
        <v>94</v>
      </c>
      <c r="AJ498" s="19">
        <v>44901</v>
      </c>
      <c r="AK498" s="22" t="s">
        <v>95</v>
      </c>
      <c r="AL498" s="18" t="s">
        <v>95</v>
      </c>
      <c r="AM498" s="18" t="s">
        <v>95</v>
      </c>
      <c r="AN498" s="18" t="s">
        <v>95</v>
      </c>
      <c r="AO498" s="18" t="s">
        <v>95</v>
      </c>
      <c r="AP498" s="18" t="s">
        <v>95</v>
      </c>
      <c r="AQ498" s="18" t="s">
        <v>95</v>
      </c>
      <c r="AR498" s="18" t="s">
        <v>95</v>
      </c>
      <c r="AS498" s="18" t="s">
        <v>83</v>
      </c>
      <c r="AT498" s="18" t="s">
        <v>81</v>
      </c>
      <c r="AU498" s="18" t="s">
        <v>81</v>
      </c>
      <c r="AV498" s="18" t="s">
        <v>95</v>
      </c>
      <c r="AW498" s="18" t="s">
        <v>95</v>
      </c>
      <c r="AX498" s="18"/>
      <c r="AY498" s="18" t="str">
        <f>Pospago[[#This Row],[NUM_TELEFONICO]]&amp;"POSPAGOSI"</f>
        <v>987022167POSPAGOSI</v>
      </c>
      <c r="AZ498" s="18" t="str">
        <f>VLOOKUP(Pospago[[#This Row],[NOM_PLAZA_FINAL]],[1]!Locales[#Data],3,0)</f>
        <v>TIENDA CUENCA CENTRO</v>
      </c>
      <c r="BA498" s="18" t="str">
        <f>IFERROR(VLOOKUP(Pospago[[#This Row],[USUARIO]],[1]!Personal[#Data],6,0),"EJECUTIVO NO REGISTRADO")</f>
        <v>GONZALES ALVARRACIN PAOLA YESSENIA</v>
      </c>
      <c r="BB498" s="18" t="str">
        <f>Pospago[[#This Row],[TIPO_MOVIMIENTO]]&amp;" "&amp;Pospago[[#This Row],[FORMA_PAGO_FINAL]]</f>
        <v>ALTAS PAGO EN CAJA</v>
      </c>
      <c r="BC498" s="18">
        <f>DAY(Pospago[[#This Row],[FECHA_ALTA]])</f>
        <v>6</v>
      </c>
      <c r="BD498" s="18">
        <f>IF(Pospago[[#This Row],[TARIFA_BASICA]]=11.42,1,0)</f>
        <v>0</v>
      </c>
      <c r="BE498" s="18">
        <f>IF(Pospago[[#This Row],[PLANES TELEVENTAS]]="SI",1,0)</f>
        <v>1</v>
      </c>
      <c r="BF498" s="18">
        <f>1</f>
        <v>1</v>
      </c>
      <c r="BG498" s="18">
        <f>IF(OR(Pospago[[#This Row],[TARIFA_BASICA]]=11.42,Pospago[[#This Row],[PLANES TELEVENTAS]]="SI"),1,0)</f>
        <v>1</v>
      </c>
      <c r="BH498" s="18" t="str">
        <f>IF(MID(Pospago[[#This Row],[PlanDesc]],1,4) = "PLAN","POSPAGO",IF(MID(Pospago[[#This Row],[PlanDesc]],1,4)="FULL","FULL MEGAS","PREVIOPAGO"))</f>
        <v>PREVIOPAGO</v>
      </c>
      <c r="BI4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4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8" s="21">
        <f>Pospago[[#This Row],[TARIFA_BASICA]]*1.5</f>
        <v>26.775000000000002</v>
      </c>
    </row>
    <row r="499" spans="1:63" x14ac:dyDescent="0.25">
      <c r="A499" s="18" t="s">
        <v>64</v>
      </c>
      <c r="B499" s="18" t="s">
        <v>3284</v>
      </c>
      <c r="C499" s="18" t="s">
        <v>1618</v>
      </c>
      <c r="D499" s="19">
        <v>44902</v>
      </c>
      <c r="E499" s="18" t="s">
        <v>67</v>
      </c>
      <c r="F499" s="18" t="s">
        <v>1619</v>
      </c>
      <c r="G499" s="18" t="s">
        <v>1620</v>
      </c>
      <c r="H499" s="18" t="s">
        <v>193</v>
      </c>
      <c r="I499" s="18" t="s">
        <v>194</v>
      </c>
      <c r="J499" s="18" t="s">
        <v>195</v>
      </c>
      <c r="K499" s="18" t="s">
        <v>259</v>
      </c>
      <c r="L499" s="20" t="s">
        <v>3285</v>
      </c>
      <c r="M499" s="18" t="s">
        <v>75</v>
      </c>
      <c r="N499" s="20" t="s">
        <v>3286</v>
      </c>
      <c r="O499" s="18" t="s">
        <v>77</v>
      </c>
      <c r="P499" s="18" t="s">
        <v>78</v>
      </c>
      <c r="Q499" s="19">
        <v>44914</v>
      </c>
      <c r="R499" s="21">
        <v>14.28</v>
      </c>
      <c r="S499" s="18" t="s">
        <v>79</v>
      </c>
      <c r="T499" s="18" t="s">
        <v>174</v>
      </c>
      <c r="U499" s="18" t="s">
        <v>83</v>
      </c>
      <c r="V499" s="18" t="s">
        <v>95</v>
      </c>
      <c r="W499" s="18" t="s">
        <v>83</v>
      </c>
      <c r="X499" s="18" t="s">
        <v>84</v>
      </c>
      <c r="Y499" s="18" t="s">
        <v>85</v>
      </c>
      <c r="Z499" s="18" t="s">
        <v>86</v>
      </c>
      <c r="AA499" s="18" t="s">
        <v>87</v>
      </c>
      <c r="AB499" s="18" t="s">
        <v>822</v>
      </c>
      <c r="AC499" s="18" t="s">
        <v>823</v>
      </c>
      <c r="AD499" s="18" t="s">
        <v>85</v>
      </c>
      <c r="AE499" s="18" t="s">
        <v>90</v>
      </c>
      <c r="AF499" s="18" t="s">
        <v>177</v>
      </c>
      <c r="AG499" s="18" t="s">
        <v>139</v>
      </c>
      <c r="AH499" s="18" t="s">
        <v>93</v>
      </c>
      <c r="AI499" s="18" t="s">
        <v>94</v>
      </c>
      <c r="AJ499" s="19">
        <v>44902</v>
      </c>
      <c r="AK499" s="22" t="s">
        <v>95</v>
      </c>
      <c r="AL499" s="18" t="s">
        <v>95</v>
      </c>
      <c r="AM499" s="18" t="s">
        <v>95</v>
      </c>
      <c r="AN499" s="18" t="s">
        <v>95</v>
      </c>
      <c r="AO499" s="18" t="s">
        <v>95</v>
      </c>
      <c r="AP499" s="18" t="s">
        <v>95</v>
      </c>
      <c r="AQ499" s="18" t="s">
        <v>95</v>
      </c>
      <c r="AR499" s="18" t="s">
        <v>95</v>
      </c>
      <c r="AS499" s="18" t="s">
        <v>83</v>
      </c>
      <c r="AT499" s="18" t="s">
        <v>81</v>
      </c>
      <c r="AU499" s="18" t="s">
        <v>81</v>
      </c>
      <c r="AV499" s="18" t="s">
        <v>95</v>
      </c>
      <c r="AW499" s="18" t="s">
        <v>95</v>
      </c>
      <c r="AX499" s="18"/>
      <c r="AY499" s="18" t="str">
        <f>Pospago[[#This Row],[NUM_TELEFONICO]]&amp;"POSPAGOSI"</f>
        <v>987023439POSPAGOSI</v>
      </c>
      <c r="AZ499" s="18" t="str">
        <f>VLOOKUP(Pospago[[#This Row],[NOM_PLAZA_FINAL]],[1]!Locales[#Data],3,0)</f>
        <v>TIENDA RECREO</v>
      </c>
      <c r="BA499" s="18" t="str">
        <f>IFERROR(VLOOKUP(Pospago[[#This Row],[USUARIO]],[1]!Personal[#Data],6,0),"EJECUTIVO NO REGISTRADO")</f>
        <v>SALAS PARRA MARIA JOSE</v>
      </c>
      <c r="BB499" s="18" t="str">
        <f>Pospago[[#This Row],[TIPO_MOVIMIENTO]]&amp;" "&amp;Pospago[[#This Row],[FORMA_PAGO_FINAL]]</f>
        <v>ALTAS DOMICILIADO</v>
      </c>
      <c r="BC499" s="18">
        <f>DAY(Pospago[[#This Row],[FECHA_ALTA]])</f>
        <v>7</v>
      </c>
      <c r="BD499" s="18">
        <f>IF(Pospago[[#This Row],[TARIFA_BASICA]]=11.42,1,0)</f>
        <v>0</v>
      </c>
      <c r="BE499" s="18">
        <f>IF(Pospago[[#This Row],[PLANES TELEVENTAS]]="SI",1,0)</f>
        <v>1</v>
      </c>
      <c r="BF499" s="18">
        <f>1</f>
        <v>1</v>
      </c>
      <c r="BG499" s="18">
        <f>IF(OR(Pospago[[#This Row],[TARIFA_BASICA]]=11.42,Pospago[[#This Row],[PLANES TELEVENTAS]]="SI"),1,0)</f>
        <v>1</v>
      </c>
      <c r="BH499" s="18" t="str">
        <f>IF(MID(Pospago[[#This Row],[PlanDesc]],1,4) = "PLAN","POSPAGO",IF(MID(Pospago[[#This Row],[PlanDesc]],1,4)="FULL","FULL MEGAS","PREVIOPAGO"))</f>
        <v>PREVIOPAGO</v>
      </c>
      <c r="BI4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4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499" s="21">
        <f>Pospago[[#This Row],[TARIFA_BASICA]]*1.5</f>
        <v>21.419999999999998</v>
      </c>
    </row>
    <row r="500" spans="1:63" x14ac:dyDescent="0.25">
      <c r="A500" s="18" t="s">
        <v>64</v>
      </c>
      <c r="B500" s="18" t="s">
        <v>3287</v>
      </c>
      <c r="C500" s="18" t="s">
        <v>3288</v>
      </c>
      <c r="D500" s="19">
        <v>44909</v>
      </c>
      <c r="E500" s="18" t="s">
        <v>67</v>
      </c>
      <c r="F500" s="18" t="s">
        <v>3289</v>
      </c>
      <c r="G500" s="18" t="s">
        <v>3290</v>
      </c>
      <c r="H500" s="18" t="s">
        <v>70</v>
      </c>
      <c r="I500" s="18" t="s">
        <v>606</v>
      </c>
      <c r="J500" s="18" t="s">
        <v>607</v>
      </c>
      <c r="K500" s="18" t="s">
        <v>132</v>
      </c>
      <c r="L500" s="20" t="s">
        <v>3291</v>
      </c>
      <c r="M500" s="18" t="s">
        <v>75</v>
      </c>
      <c r="N500" s="20" t="s">
        <v>3292</v>
      </c>
      <c r="O500" s="18" t="s">
        <v>77</v>
      </c>
      <c r="P500" s="18" t="s">
        <v>78</v>
      </c>
      <c r="Q500" s="19">
        <v>44914</v>
      </c>
      <c r="R500" s="21">
        <v>26.78</v>
      </c>
      <c r="S500" s="18" t="s">
        <v>79</v>
      </c>
      <c r="T500" s="18" t="s">
        <v>174</v>
      </c>
      <c r="U500" s="18" t="s">
        <v>81</v>
      </c>
      <c r="V500" s="18" t="s">
        <v>82</v>
      </c>
      <c r="W500" s="18" t="s">
        <v>83</v>
      </c>
      <c r="X500" s="18" t="s">
        <v>84</v>
      </c>
      <c r="Y500" s="18" t="s">
        <v>85</v>
      </c>
      <c r="Z500" s="18" t="s">
        <v>86</v>
      </c>
      <c r="AA500" s="18" t="s">
        <v>87</v>
      </c>
      <c r="AB500" s="18" t="s">
        <v>262</v>
      </c>
      <c r="AC500" s="18" t="s">
        <v>263</v>
      </c>
      <c r="AD500" s="18" t="s">
        <v>85</v>
      </c>
      <c r="AE500" s="18" t="s">
        <v>90</v>
      </c>
      <c r="AF500" s="18" t="s">
        <v>177</v>
      </c>
      <c r="AG500" s="18" t="s">
        <v>139</v>
      </c>
      <c r="AH500" s="18" t="s">
        <v>93</v>
      </c>
      <c r="AI500" s="18" t="s">
        <v>94</v>
      </c>
      <c r="AJ500" s="19">
        <v>44909</v>
      </c>
      <c r="AK500" s="22" t="s">
        <v>95</v>
      </c>
      <c r="AL500" s="18" t="s">
        <v>95</v>
      </c>
      <c r="AM500" s="18" t="s">
        <v>95</v>
      </c>
      <c r="AN500" s="18" t="s">
        <v>95</v>
      </c>
      <c r="AO500" s="18" t="s">
        <v>95</v>
      </c>
      <c r="AP500" s="18" t="s">
        <v>95</v>
      </c>
      <c r="AQ500" s="18" t="s">
        <v>95</v>
      </c>
      <c r="AR500" s="18" t="s">
        <v>95</v>
      </c>
      <c r="AS500" s="18" t="s">
        <v>83</v>
      </c>
      <c r="AT500" s="18" t="s">
        <v>83</v>
      </c>
      <c r="AU500" s="18" t="s">
        <v>81</v>
      </c>
      <c r="AV500" s="18" t="s">
        <v>95</v>
      </c>
      <c r="AW500" s="18" t="s">
        <v>95</v>
      </c>
      <c r="AX500" s="18"/>
      <c r="AY500" s="18" t="str">
        <f>Pospago[[#This Row],[NUM_TELEFONICO]]&amp;"POSPAGOSI"</f>
        <v>987037929POSPAGOSI</v>
      </c>
      <c r="AZ500" s="18" t="str">
        <f>VLOOKUP(Pospago[[#This Row],[NOM_PLAZA_FINAL]],[1]!Locales[#Data],3,0)</f>
        <v>TIENDA RECREO</v>
      </c>
      <c r="BA500" s="18" t="str">
        <f>IFERROR(VLOOKUP(Pospago[[#This Row],[USUARIO]],[1]!Personal[#Data],6,0),"EJECUTIVO NO REGISTRADO")</f>
        <v>CHICAIZA TOAPANTA ALEX DANILO</v>
      </c>
      <c r="BB500" s="18" t="str">
        <f>Pospago[[#This Row],[TIPO_MOVIMIENTO]]&amp;" "&amp;Pospago[[#This Row],[FORMA_PAGO_FINAL]]</f>
        <v>ALTAS DOMICILIADO</v>
      </c>
      <c r="BC500" s="18">
        <f>DAY(Pospago[[#This Row],[FECHA_ALTA]])</f>
        <v>14</v>
      </c>
      <c r="BD500" s="18">
        <f>IF(Pospago[[#This Row],[TARIFA_BASICA]]=11.42,1,0)</f>
        <v>0</v>
      </c>
      <c r="BE500" s="18">
        <f>IF(Pospago[[#This Row],[PLANES TELEVENTAS]]="SI",1,0)</f>
        <v>0</v>
      </c>
      <c r="BF500" s="18">
        <f>1</f>
        <v>1</v>
      </c>
      <c r="BG500" s="18">
        <f>IF(OR(Pospago[[#This Row],[TARIFA_BASICA]]=11.42,Pospago[[#This Row],[PLANES TELEVENTAS]]="SI"),1,0)</f>
        <v>0</v>
      </c>
      <c r="BH500" s="18" t="str">
        <f>IF(MID(Pospago[[#This Row],[PlanDesc]],1,4) = "PLAN","POSPAGO",IF(MID(Pospago[[#This Row],[PlanDesc]],1,4)="FULL","FULL MEGAS","PREVIOPAGO"))</f>
        <v>PREVIOPAGO</v>
      </c>
      <c r="BI5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5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00" s="21">
        <f>Pospago[[#This Row],[TARIFA_BASICA]]*1.5</f>
        <v>40.17</v>
      </c>
    </row>
    <row r="501" spans="1:63" x14ac:dyDescent="0.25">
      <c r="A501" s="18" t="s">
        <v>64</v>
      </c>
      <c r="B501" s="18" t="s">
        <v>3293</v>
      </c>
      <c r="C501" s="18" t="s">
        <v>3294</v>
      </c>
      <c r="D501" s="19">
        <v>44899</v>
      </c>
      <c r="E501" s="18" t="s">
        <v>67</v>
      </c>
      <c r="F501" s="18" t="s">
        <v>3295</v>
      </c>
      <c r="G501" s="18" t="s">
        <v>3296</v>
      </c>
      <c r="H501" s="18" t="s">
        <v>70</v>
      </c>
      <c r="I501" s="18" t="s">
        <v>112</v>
      </c>
      <c r="J501" s="18" t="s">
        <v>113</v>
      </c>
      <c r="K501" s="18" t="s">
        <v>259</v>
      </c>
      <c r="L501" s="20" t="s">
        <v>3297</v>
      </c>
      <c r="M501" s="18" t="s">
        <v>287</v>
      </c>
      <c r="N501" s="20" t="s">
        <v>3298</v>
      </c>
      <c r="O501" s="18" t="s">
        <v>77</v>
      </c>
      <c r="P501" s="18" t="s">
        <v>78</v>
      </c>
      <c r="Q501" s="19">
        <v>44914</v>
      </c>
      <c r="R501" s="21">
        <v>17.850000000000001</v>
      </c>
      <c r="S501" s="18" t="s">
        <v>79</v>
      </c>
      <c r="T501" s="18" t="s">
        <v>232</v>
      </c>
      <c r="U501" s="18" t="s">
        <v>83</v>
      </c>
      <c r="V501" s="18" t="s">
        <v>95</v>
      </c>
      <c r="W501" s="18" t="s">
        <v>83</v>
      </c>
      <c r="X501" s="18" t="s">
        <v>84</v>
      </c>
      <c r="Y501" s="18" t="s">
        <v>85</v>
      </c>
      <c r="Z501" s="18" t="s">
        <v>86</v>
      </c>
      <c r="AA501" s="18" t="s">
        <v>87</v>
      </c>
      <c r="AB501" s="18" t="s">
        <v>280</v>
      </c>
      <c r="AC501" s="18" t="s">
        <v>281</v>
      </c>
      <c r="AD501" s="18" t="s">
        <v>85</v>
      </c>
      <c r="AE501" s="18" t="s">
        <v>90</v>
      </c>
      <c r="AF501" s="18" t="s">
        <v>235</v>
      </c>
      <c r="AG501" s="18" t="s">
        <v>139</v>
      </c>
      <c r="AH501" s="18" t="s">
        <v>93</v>
      </c>
      <c r="AI501" s="18" t="s">
        <v>94</v>
      </c>
      <c r="AJ501" s="19">
        <v>44899</v>
      </c>
      <c r="AK501" s="22">
        <v>44899</v>
      </c>
      <c r="AL501" s="18" t="s">
        <v>291</v>
      </c>
      <c r="AM501" s="18" t="s">
        <v>292</v>
      </c>
      <c r="AN501" s="18" t="s">
        <v>293</v>
      </c>
      <c r="AO501" s="18" t="s">
        <v>3299</v>
      </c>
      <c r="AP501" s="18">
        <v>1</v>
      </c>
      <c r="AQ501" s="18">
        <v>549.10713999999996</v>
      </c>
      <c r="AR501" s="18" t="s">
        <v>295</v>
      </c>
      <c r="AS501" s="18" t="s">
        <v>81</v>
      </c>
      <c r="AT501" s="18" t="s">
        <v>83</v>
      </c>
      <c r="AU501" s="18" t="s">
        <v>81</v>
      </c>
      <c r="AV501" s="18" t="s">
        <v>95</v>
      </c>
      <c r="AW501" s="18" t="s">
        <v>95</v>
      </c>
      <c r="AX501" s="18"/>
      <c r="AY501" s="18" t="str">
        <f>Pospago[[#This Row],[NUM_TELEFONICO]]&amp;"POSPAGOSI"</f>
        <v>987044501POSPAGOSI</v>
      </c>
      <c r="AZ501" s="18" t="str">
        <f>VLOOKUP(Pospago[[#This Row],[NOM_PLAZA_FINAL]],[1]!Locales[#Data],3,0)</f>
        <v>TIENDA CONDADO</v>
      </c>
      <c r="BA501" s="18" t="str">
        <f>IFERROR(VLOOKUP(Pospago[[#This Row],[USUARIO]],[1]!Personal[#Data],6,0),"EJECUTIVO NO REGISTRADO")</f>
        <v>GUACHAMIN CAZA HUGO ADRIAN</v>
      </c>
      <c r="BB501" s="18" t="str">
        <f>Pospago[[#This Row],[TIPO_MOVIMIENTO]]&amp;" "&amp;Pospago[[#This Row],[FORMA_PAGO_FINAL]]</f>
        <v>ALTAS DOMICILIADO</v>
      </c>
      <c r="BC501" s="18">
        <f>DAY(Pospago[[#This Row],[FECHA_ALTA]])</f>
        <v>4</v>
      </c>
      <c r="BD501" s="18">
        <f>IF(Pospago[[#This Row],[TARIFA_BASICA]]=11.42,1,0)</f>
        <v>0</v>
      </c>
      <c r="BE501" s="18">
        <f>IF(Pospago[[#This Row],[PLANES TELEVENTAS]]="SI",1,0)</f>
        <v>0</v>
      </c>
      <c r="BF501" s="18">
        <f>1</f>
        <v>1</v>
      </c>
      <c r="BG501" s="18">
        <f>IF(OR(Pospago[[#This Row],[TARIFA_BASICA]]=11.42,Pospago[[#This Row],[PLANES TELEVENTAS]]="SI"),1,0)</f>
        <v>0</v>
      </c>
      <c r="BH501" s="18" t="str">
        <f>IF(MID(Pospago[[#This Row],[PlanDesc]],1,4) = "PLAN","POSPAGO",IF(MID(Pospago[[#This Row],[PlanDesc]],1,4)="FULL","FULL MEGAS","PREVIOPAGO"))</f>
        <v>PREVIOPAGO</v>
      </c>
      <c r="BI5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5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01" s="21">
        <f>Pospago[[#This Row],[TARIFA_BASICA]]*1.5</f>
        <v>26.775000000000002</v>
      </c>
    </row>
    <row r="502" spans="1:63" x14ac:dyDescent="0.25">
      <c r="A502" s="18" t="s">
        <v>154</v>
      </c>
      <c r="B502" s="18" t="s">
        <v>3300</v>
      </c>
      <c r="C502" s="18" t="s">
        <v>3301</v>
      </c>
      <c r="D502" s="19">
        <v>44910</v>
      </c>
      <c r="E502" s="18" t="s">
        <v>67</v>
      </c>
      <c r="F502" s="18" t="s">
        <v>3302</v>
      </c>
      <c r="G502" s="18" t="s">
        <v>3303</v>
      </c>
      <c r="H502" s="18" t="s">
        <v>159</v>
      </c>
      <c r="I502" s="18" t="s">
        <v>1357</v>
      </c>
      <c r="J502" s="18" t="s">
        <v>2022</v>
      </c>
      <c r="K502" s="18" t="s">
        <v>132</v>
      </c>
      <c r="L502" s="20" t="s">
        <v>3304</v>
      </c>
      <c r="M502" s="18" t="s">
        <v>75</v>
      </c>
      <c r="N502" s="20" t="s">
        <v>3305</v>
      </c>
      <c r="O502" s="18" t="s">
        <v>164</v>
      </c>
      <c r="P502" s="18" t="s">
        <v>78</v>
      </c>
      <c r="Q502" s="19">
        <v>44914</v>
      </c>
      <c r="R502" s="21">
        <v>11.42</v>
      </c>
      <c r="S502" s="18" t="s">
        <v>79</v>
      </c>
      <c r="T502" s="18" t="s">
        <v>148</v>
      </c>
      <c r="U502" s="18" t="s">
        <v>83</v>
      </c>
      <c r="V502" s="18" t="s">
        <v>95</v>
      </c>
      <c r="W502" s="18" t="s">
        <v>95</v>
      </c>
      <c r="X502" s="18" t="s">
        <v>215</v>
      </c>
      <c r="Y502" s="18" t="s">
        <v>85</v>
      </c>
      <c r="Z502" s="18" t="s">
        <v>86</v>
      </c>
      <c r="AA502" s="18" t="s">
        <v>87</v>
      </c>
      <c r="AB502" s="18" t="s">
        <v>385</v>
      </c>
      <c r="AC502" s="18" t="s">
        <v>386</v>
      </c>
      <c r="AD502" s="18" t="s">
        <v>85</v>
      </c>
      <c r="AE502" s="18" t="s">
        <v>90</v>
      </c>
      <c r="AF502" s="18" t="s">
        <v>151</v>
      </c>
      <c r="AG502" s="18" t="s">
        <v>92</v>
      </c>
      <c r="AH502" s="18" t="s">
        <v>165</v>
      </c>
      <c r="AI502" s="18" t="s">
        <v>94</v>
      </c>
      <c r="AJ502" s="19">
        <v>44910</v>
      </c>
      <c r="AK502" s="22" t="s">
        <v>95</v>
      </c>
      <c r="AL502" s="18" t="s">
        <v>95</v>
      </c>
      <c r="AM502" s="18" t="s">
        <v>95</v>
      </c>
      <c r="AN502" s="18" t="s">
        <v>95</v>
      </c>
      <c r="AO502" s="18" t="s">
        <v>95</v>
      </c>
      <c r="AP502" s="18" t="s">
        <v>95</v>
      </c>
      <c r="AQ502" s="18" t="s">
        <v>95</v>
      </c>
      <c r="AR502" s="18" t="s">
        <v>95</v>
      </c>
      <c r="AS502" s="18" t="s">
        <v>83</v>
      </c>
      <c r="AT502" s="18" t="s">
        <v>81</v>
      </c>
      <c r="AU502" s="18" t="s">
        <v>81</v>
      </c>
      <c r="AV502" s="18" t="s">
        <v>95</v>
      </c>
      <c r="AW502" s="18" t="s">
        <v>95</v>
      </c>
      <c r="AX502" s="18"/>
      <c r="AY502" s="18" t="str">
        <f>Pospago[[#This Row],[NUM_TELEFONICO]]&amp;"POSPAGOSI"</f>
        <v>987047003POSPAGOSI</v>
      </c>
      <c r="AZ502" s="18" t="str">
        <f>VLOOKUP(Pospago[[#This Row],[NOM_PLAZA_FINAL]],[1]!Locales[#Data],3,0)</f>
        <v>TIENDA CUENCA REMIGIO</v>
      </c>
      <c r="BA502" s="18" t="str">
        <f>IFERROR(VLOOKUP(Pospago[[#This Row],[USUARIO]],[1]!Personal[#Data],6,0),"EJECUTIVO NO REGISTRADO")</f>
        <v>RAMIREZ RUBIO NELLY LILIANA</v>
      </c>
      <c r="BB502" s="18" t="str">
        <f>Pospago[[#This Row],[TIPO_MOVIMIENTO]]&amp;" "&amp;Pospago[[#This Row],[FORMA_PAGO_FINAL]]</f>
        <v>TRANSFERENCIAS DOMICILIADO</v>
      </c>
      <c r="BC502" s="18">
        <f>DAY(Pospago[[#This Row],[FECHA_ALTA]])</f>
        <v>15</v>
      </c>
      <c r="BD502" s="18">
        <f>IF(Pospago[[#This Row],[TARIFA_BASICA]]=11.42,1,0)</f>
        <v>1</v>
      </c>
      <c r="BE502" s="18">
        <f>IF(Pospago[[#This Row],[PLANES TELEVENTAS]]="SI",1,0)</f>
        <v>1</v>
      </c>
      <c r="BF502" s="18">
        <f>1</f>
        <v>1</v>
      </c>
      <c r="BG502" s="18">
        <f>IF(OR(Pospago[[#This Row],[TARIFA_BASICA]]=11.42,Pospago[[#This Row],[PLANES TELEVENTAS]]="SI"),1,0)</f>
        <v>1</v>
      </c>
      <c r="BH502" s="18" t="str">
        <f>IF(MID(Pospago[[#This Row],[PlanDesc]],1,4) = "PLAN","POSPAGO",IF(MID(Pospago[[#This Row],[PlanDesc]],1,4)="FULL","FULL MEGAS","PREVIOPAGO"))</f>
        <v>PREVIOPAGO</v>
      </c>
      <c r="BI5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5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02" s="21">
        <f>Pospago[[#This Row],[TARIFA_BASICA]]*1.5</f>
        <v>17.13</v>
      </c>
    </row>
    <row r="503" spans="1:63" x14ac:dyDescent="0.25">
      <c r="A503" s="18" t="s">
        <v>154</v>
      </c>
      <c r="B503" s="18" t="s">
        <v>3306</v>
      </c>
      <c r="C503" s="18" t="s">
        <v>3307</v>
      </c>
      <c r="D503" s="19">
        <v>44898</v>
      </c>
      <c r="E503" s="18" t="s">
        <v>67</v>
      </c>
      <c r="F503" s="18" t="s">
        <v>3308</v>
      </c>
      <c r="G503" s="18" t="s">
        <v>3309</v>
      </c>
      <c r="H503" s="18" t="s">
        <v>159</v>
      </c>
      <c r="I503" s="18" t="s">
        <v>227</v>
      </c>
      <c r="J503" s="18" t="s">
        <v>426</v>
      </c>
      <c r="K503" s="18" t="s">
        <v>95</v>
      </c>
      <c r="L503" s="20" t="s">
        <v>3310</v>
      </c>
      <c r="M503" s="18" t="s">
        <v>75</v>
      </c>
      <c r="N503" s="20" t="s">
        <v>3311</v>
      </c>
      <c r="O503" s="18" t="s">
        <v>164</v>
      </c>
      <c r="P503" s="18" t="s">
        <v>78</v>
      </c>
      <c r="Q503" s="19">
        <v>44914</v>
      </c>
      <c r="R503" s="21">
        <v>21.42</v>
      </c>
      <c r="S503" s="18" t="s">
        <v>79</v>
      </c>
      <c r="T503" s="18" t="s">
        <v>135</v>
      </c>
      <c r="U503" s="18" t="s">
        <v>83</v>
      </c>
      <c r="V503" s="18" t="s">
        <v>95</v>
      </c>
      <c r="W503" s="18" t="s">
        <v>95</v>
      </c>
      <c r="X503" s="18" t="s">
        <v>84</v>
      </c>
      <c r="Y503" s="18" t="s">
        <v>85</v>
      </c>
      <c r="Z503" s="18" t="s">
        <v>86</v>
      </c>
      <c r="AA503" s="18" t="s">
        <v>87</v>
      </c>
      <c r="AB503" s="18" t="s">
        <v>1545</v>
      </c>
      <c r="AC503" s="18" t="s">
        <v>1546</v>
      </c>
      <c r="AD503" s="18" t="s">
        <v>85</v>
      </c>
      <c r="AE503" s="18" t="s">
        <v>90</v>
      </c>
      <c r="AF503" s="18" t="s">
        <v>138</v>
      </c>
      <c r="AG503" s="18" t="s">
        <v>139</v>
      </c>
      <c r="AH503" s="18" t="s">
        <v>165</v>
      </c>
      <c r="AI503" s="18" t="s">
        <v>94</v>
      </c>
      <c r="AJ503" s="19">
        <v>44898</v>
      </c>
      <c r="AK503" s="22" t="s">
        <v>95</v>
      </c>
      <c r="AL503" s="18" t="s">
        <v>95</v>
      </c>
      <c r="AM503" s="18" t="s">
        <v>95</v>
      </c>
      <c r="AN503" s="18" t="s">
        <v>95</v>
      </c>
      <c r="AO503" s="18" t="s">
        <v>95</v>
      </c>
      <c r="AP503" s="18" t="s">
        <v>95</v>
      </c>
      <c r="AQ503" s="18" t="s">
        <v>95</v>
      </c>
      <c r="AR503" s="18" t="s">
        <v>95</v>
      </c>
      <c r="AS503" s="18" t="s">
        <v>83</v>
      </c>
      <c r="AT503" s="18" t="s">
        <v>83</v>
      </c>
      <c r="AU503" s="18" t="s">
        <v>81</v>
      </c>
      <c r="AV503" s="18" t="s">
        <v>95</v>
      </c>
      <c r="AW503" s="18" t="s">
        <v>95</v>
      </c>
      <c r="AX503" s="18"/>
      <c r="AY503" s="18" t="str">
        <f>Pospago[[#This Row],[NUM_TELEFONICO]]&amp;"POSPAGOSI"</f>
        <v>987057016POSPAGOSI</v>
      </c>
      <c r="AZ503" s="18" t="str">
        <f>VLOOKUP(Pospago[[#This Row],[NOM_PLAZA_FINAL]],[1]!Locales[#Data],3,0)</f>
        <v>TIENDA AMERICA</v>
      </c>
      <c r="BA503" s="18" t="str">
        <f>IFERROR(VLOOKUP(Pospago[[#This Row],[USUARIO]],[1]!Personal[#Data],6,0),"EJECUTIVO NO REGISTRADO")</f>
        <v>GRANDA ESPINOZA ANDRES SEBASTIAN</v>
      </c>
      <c r="BB503" s="18" t="str">
        <f>Pospago[[#This Row],[TIPO_MOVIMIENTO]]&amp;" "&amp;Pospago[[#This Row],[FORMA_PAGO_FINAL]]</f>
        <v>TRANSFERENCIAS DOMICILIADO</v>
      </c>
      <c r="BC503" s="18">
        <f>DAY(Pospago[[#This Row],[FECHA_ALTA]])</f>
        <v>3</v>
      </c>
      <c r="BD503" s="18">
        <f>IF(Pospago[[#This Row],[TARIFA_BASICA]]=11.42,1,0)</f>
        <v>0</v>
      </c>
      <c r="BE503" s="18">
        <f>IF(Pospago[[#This Row],[PLANES TELEVENTAS]]="SI",1,0)</f>
        <v>0</v>
      </c>
      <c r="BF503" s="18">
        <f>1</f>
        <v>1</v>
      </c>
      <c r="BG503" s="18">
        <f>IF(OR(Pospago[[#This Row],[TARIFA_BASICA]]=11.42,Pospago[[#This Row],[PLANES TELEVENTAS]]="SI"),1,0)</f>
        <v>0</v>
      </c>
      <c r="BH503" s="18" t="str">
        <f>IF(MID(Pospago[[#This Row],[PlanDesc]],1,4) = "PLAN","POSPAGO",IF(MID(Pospago[[#This Row],[PlanDesc]],1,4)="FULL","FULL MEGAS","PREVIOPAGO"))</f>
        <v>PREVIOPAGO</v>
      </c>
      <c r="BI5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</v>
      </c>
      <c r="BJ5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03" s="21">
        <f>Pospago[[#This Row],[TARIFA_BASICA]]*1.5</f>
        <v>32.130000000000003</v>
      </c>
    </row>
    <row r="504" spans="1:63" x14ac:dyDescent="0.25">
      <c r="A504" s="18" t="s">
        <v>154</v>
      </c>
      <c r="B504" s="18" t="s">
        <v>3312</v>
      </c>
      <c r="C504" s="18" t="s">
        <v>3313</v>
      </c>
      <c r="D504" s="19">
        <v>44913</v>
      </c>
      <c r="E504" s="18" t="s">
        <v>67</v>
      </c>
      <c r="F504" s="18" t="s">
        <v>3314</v>
      </c>
      <c r="G504" s="18" t="s">
        <v>3315</v>
      </c>
      <c r="H504" s="18" t="s">
        <v>159</v>
      </c>
      <c r="I504" s="18" t="s">
        <v>160</v>
      </c>
      <c r="J504" s="18" t="s">
        <v>161</v>
      </c>
      <c r="K504" s="18" t="s">
        <v>132</v>
      </c>
      <c r="L504" s="20" t="s">
        <v>3316</v>
      </c>
      <c r="M504" s="18" t="s">
        <v>75</v>
      </c>
      <c r="N504" s="20" t="s">
        <v>3317</v>
      </c>
      <c r="O504" s="18" t="s">
        <v>164</v>
      </c>
      <c r="P504" s="18" t="s">
        <v>78</v>
      </c>
      <c r="Q504" s="19">
        <v>44914</v>
      </c>
      <c r="R504" s="21">
        <v>14.28</v>
      </c>
      <c r="S504" s="18" t="s">
        <v>79</v>
      </c>
      <c r="T504" s="18" t="s">
        <v>174</v>
      </c>
      <c r="U504" s="18" t="s">
        <v>83</v>
      </c>
      <c r="V504" s="18" t="s">
        <v>95</v>
      </c>
      <c r="W504" s="18" t="s">
        <v>95</v>
      </c>
      <c r="X504" s="18" t="s">
        <v>118</v>
      </c>
      <c r="Y504" s="18" t="s">
        <v>85</v>
      </c>
      <c r="Z504" s="18" t="s">
        <v>86</v>
      </c>
      <c r="AA504" s="18" t="s">
        <v>119</v>
      </c>
      <c r="AB504" s="18" t="s">
        <v>918</v>
      </c>
      <c r="AC504" s="18" t="s">
        <v>919</v>
      </c>
      <c r="AD504" s="18" t="s">
        <v>85</v>
      </c>
      <c r="AE504" s="18" t="s">
        <v>90</v>
      </c>
      <c r="AF504" s="18" t="s">
        <v>177</v>
      </c>
      <c r="AG504" s="18" t="s">
        <v>139</v>
      </c>
      <c r="AH504" s="18" t="s">
        <v>165</v>
      </c>
      <c r="AI504" s="18" t="s">
        <v>94</v>
      </c>
      <c r="AJ504" s="19">
        <v>44913</v>
      </c>
      <c r="AK504" s="22" t="s">
        <v>95</v>
      </c>
      <c r="AL504" s="18" t="s">
        <v>95</v>
      </c>
      <c r="AM504" s="18" t="s">
        <v>95</v>
      </c>
      <c r="AN504" s="18" t="s">
        <v>95</v>
      </c>
      <c r="AO504" s="18" t="s">
        <v>95</v>
      </c>
      <c r="AP504" s="18" t="s">
        <v>95</v>
      </c>
      <c r="AQ504" s="18" t="s">
        <v>95</v>
      </c>
      <c r="AR504" s="18" t="s">
        <v>95</v>
      </c>
      <c r="AS504" s="18" t="s">
        <v>83</v>
      </c>
      <c r="AT504" s="18" t="s">
        <v>83</v>
      </c>
      <c r="AU504" s="18" t="s">
        <v>81</v>
      </c>
      <c r="AV504" s="18" t="s">
        <v>95</v>
      </c>
      <c r="AW504" s="18" t="s">
        <v>95</v>
      </c>
      <c r="AX504" s="18"/>
      <c r="AY504" s="18" t="str">
        <f>Pospago[[#This Row],[NUM_TELEFONICO]]&amp;"POSPAGOSI"</f>
        <v>987059719POSPAGOSI</v>
      </c>
      <c r="AZ504" s="18" t="str">
        <f>VLOOKUP(Pospago[[#This Row],[NOM_PLAZA_FINAL]],[1]!Locales[#Data],3,0)</f>
        <v>TIENDA RECREO</v>
      </c>
      <c r="BA504" s="18" t="str">
        <f>IFERROR(VLOOKUP(Pospago[[#This Row],[USUARIO]],[1]!Personal[#Data],6,0),"EJECUTIVO NO REGISTRADO")</f>
        <v>ORELLANA CARRERA MICHAEL ALEXANDER</v>
      </c>
      <c r="BB504" s="18" t="str">
        <f>Pospago[[#This Row],[TIPO_MOVIMIENTO]]&amp;" "&amp;Pospago[[#This Row],[FORMA_PAGO_FINAL]]</f>
        <v>TRANSFERENCIAS PAGO EN CAJA</v>
      </c>
      <c r="BC504" s="18">
        <f>DAY(Pospago[[#This Row],[FECHA_ALTA]])</f>
        <v>18</v>
      </c>
      <c r="BD504" s="18">
        <f>IF(Pospago[[#This Row],[TARIFA_BASICA]]=11.42,1,0)</f>
        <v>0</v>
      </c>
      <c r="BE504" s="18">
        <f>IF(Pospago[[#This Row],[PLANES TELEVENTAS]]="SI",1,0)</f>
        <v>0</v>
      </c>
      <c r="BF504" s="18">
        <f>1</f>
        <v>1</v>
      </c>
      <c r="BG504" s="18">
        <f>IF(OR(Pospago[[#This Row],[TARIFA_BASICA]]=11.42,Pospago[[#This Row],[PLANES TELEVENTAS]]="SI"),1,0)</f>
        <v>0</v>
      </c>
      <c r="BH504" s="18" t="str">
        <f>IF(MID(Pospago[[#This Row],[PlanDesc]],1,4) = "PLAN","POSPAGO",IF(MID(Pospago[[#This Row],[PlanDesc]],1,4)="FULL","FULL MEGAS","PREVIOPAGO"))</f>
        <v>PREVIOPAGO</v>
      </c>
      <c r="BI5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04" s="21">
        <f>Pospago[[#This Row],[TARIFA_BASICA]]*1.5</f>
        <v>21.419999999999998</v>
      </c>
    </row>
    <row r="505" spans="1:63" x14ac:dyDescent="0.25">
      <c r="A505" s="18" t="s">
        <v>154</v>
      </c>
      <c r="B505" s="18" t="s">
        <v>3318</v>
      </c>
      <c r="C505" s="18" t="s">
        <v>3319</v>
      </c>
      <c r="D505" s="19">
        <v>44907</v>
      </c>
      <c r="E505" s="18" t="s">
        <v>67</v>
      </c>
      <c r="F505" s="18" t="s">
        <v>3320</v>
      </c>
      <c r="G505" s="18" t="s">
        <v>3321</v>
      </c>
      <c r="H505" s="18" t="s">
        <v>159</v>
      </c>
      <c r="I505" s="18" t="s">
        <v>130</v>
      </c>
      <c r="J505" s="18" t="s">
        <v>433</v>
      </c>
      <c r="K505" s="18" t="s">
        <v>132</v>
      </c>
      <c r="L505" s="20" t="s">
        <v>3322</v>
      </c>
      <c r="M505" s="18" t="s">
        <v>75</v>
      </c>
      <c r="N505" s="20" t="s">
        <v>3323</v>
      </c>
      <c r="O505" s="18" t="s">
        <v>164</v>
      </c>
      <c r="P505" s="18" t="s">
        <v>78</v>
      </c>
      <c r="Q505" s="19">
        <v>44914</v>
      </c>
      <c r="R505" s="21">
        <v>15</v>
      </c>
      <c r="S505" s="18" t="s">
        <v>79</v>
      </c>
      <c r="T505" s="18" t="s">
        <v>174</v>
      </c>
      <c r="U505" s="18" t="s">
        <v>83</v>
      </c>
      <c r="V505" s="18" t="s">
        <v>95</v>
      </c>
      <c r="W505" s="18" t="s">
        <v>95</v>
      </c>
      <c r="X505" s="18" t="s">
        <v>118</v>
      </c>
      <c r="Y505" s="18" t="s">
        <v>85</v>
      </c>
      <c r="Z505" s="18" t="s">
        <v>86</v>
      </c>
      <c r="AA505" s="18" t="s">
        <v>119</v>
      </c>
      <c r="AB505" s="18" t="s">
        <v>492</v>
      </c>
      <c r="AC505" s="18" t="s">
        <v>493</v>
      </c>
      <c r="AD505" s="18" t="s">
        <v>85</v>
      </c>
      <c r="AE505" s="18" t="s">
        <v>90</v>
      </c>
      <c r="AF505" s="18" t="s">
        <v>177</v>
      </c>
      <c r="AG505" s="18" t="s">
        <v>139</v>
      </c>
      <c r="AH505" s="18" t="s">
        <v>165</v>
      </c>
      <c r="AI505" s="18" t="s">
        <v>94</v>
      </c>
      <c r="AJ505" s="19">
        <v>44907</v>
      </c>
      <c r="AK505" s="22" t="s">
        <v>95</v>
      </c>
      <c r="AL505" s="18" t="s">
        <v>95</v>
      </c>
      <c r="AM505" s="18" t="s">
        <v>95</v>
      </c>
      <c r="AN505" s="18" t="s">
        <v>95</v>
      </c>
      <c r="AO505" s="18" t="s">
        <v>95</v>
      </c>
      <c r="AP505" s="18" t="s">
        <v>95</v>
      </c>
      <c r="AQ505" s="18" t="s">
        <v>95</v>
      </c>
      <c r="AR505" s="18" t="s">
        <v>95</v>
      </c>
      <c r="AS505" s="18" t="s">
        <v>83</v>
      </c>
      <c r="AT505" s="18" t="s">
        <v>83</v>
      </c>
      <c r="AU505" s="18" t="s">
        <v>81</v>
      </c>
      <c r="AV505" s="18" t="s">
        <v>95</v>
      </c>
      <c r="AW505" s="18" t="s">
        <v>95</v>
      </c>
      <c r="AX505" s="18"/>
      <c r="AY505" s="18" t="str">
        <f>Pospago[[#This Row],[NUM_TELEFONICO]]&amp;"POSPAGOSI"</f>
        <v>987063776POSPAGOSI</v>
      </c>
      <c r="AZ505" s="18" t="str">
        <f>VLOOKUP(Pospago[[#This Row],[NOM_PLAZA_FINAL]],[1]!Locales[#Data],3,0)</f>
        <v>TIENDA RECREO</v>
      </c>
      <c r="BA505" s="18" t="str">
        <f>IFERROR(VLOOKUP(Pospago[[#This Row],[USUARIO]],[1]!Personal[#Data],6,0),"EJECUTIVO NO REGISTRADO")</f>
        <v>CONDO GARCIA NICOLAS MATIAS</v>
      </c>
      <c r="BB505" s="18" t="str">
        <f>Pospago[[#This Row],[TIPO_MOVIMIENTO]]&amp;" "&amp;Pospago[[#This Row],[FORMA_PAGO_FINAL]]</f>
        <v>TRANSFERENCIAS PAGO EN CAJA</v>
      </c>
      <c r="BC505" s="18">
        <f>DAY(Pospago[[#This Row],[FECHA_ALTA]])</f>
        <v>12</v>
      </c>
      <c r="BD505" s="18">
        <f>IF(Pospago[[#This Row],[TARIFA_BASICA]]=11.42,1,0)</f>
        <v>0</v>
      </c>
      <c r="BE505" s="18">
        <f>IF(Pospago[[#This Row],[PLANES TELEVENTAS]]="SI",1,0)</f>
        <v>0</v>
      </c>
      <c r="BF505" s="18">
        <f>1</f>
        <v>1</v>
      </c>
      <c r="BG505" s="18">
        <f>IF(OR(Pospago[[#This Row],[TARIFA_BASICA]]=11.42,Pospago[[#This Row],[PLANES TELEVENTAS]]="SI"),1,0)</f>
        <v>0</v>
      </c>
      <c r="BH505" s="18" t="str">
        <f>IF(MID(Pospago[[#This Row],[PlanDesc]],1,4) = "PLAN","POSPAGO",IF(MID(Pospago[[#This Row],[PlanDesc]],1,4)="FULL","FULL MEGAS","PREVIOPAGO"))</f>
        <v>PREVIOPAGO</v>
      </c>
      <c r="BI5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5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05" s="21">
        <f>Pospago[[#This Row],[TARIFA_BASICA]]*1.5</f>
        <v>22.5</v>
      </c>
    </row>
    <row r="506" spans="1:63" x14ac:dyDescent="0.25">
      <c r="A506" s="18" t="s">
        <v>64</v>
      </c>
      <c r="B506" s="18" t="s">
        <v>3324</v>
      </c>
      <c r="C506" s="18" t="s">
        <v>3325</v>
      </c>
      <c r="D506" s="19">
        <v>44906</v>
      </c>
      <c r="E506" s="18" t="s">
        <v>67</v>
      </c>
      <c r="F506" s="18" t="s">
        <v>3326</v>
      </c>
      <c r="G506" s="18" t="s">
        <v>3327</v>
      </c>
      <c r="H506" s="18" t="s">
        <v>70</v>
      </c>
      <c r="I506" s="18" t="s">
        <v>112</v>
      </c>
      <c r="J506" s="18" t="s">
        <v>113</v>
      </c>
      <c r="K506" s="18" t="s">
        <v>259</v>
      </c>
      <c r="L506" s="20" t="s">
        <v>3328</v>
      </c>
      <c r="M506" s="18" t="s">
        <v>75</v>
      </c>
      <c r="N506" s="20" t="s">
        <v>3329</v>
      </c>
      <c r="O506" s="18" t="s">
        <v>77</v>
      </c>
      <c r="P506" s="18" t="s">
        <v>78</v>
      </c>
      <c r="Q506" s="19">
        <v>44914</v>
      </c>
      <c r="R506" s="21">
        <v>17.850000000000001</v>
      </c>
      <c r="S506" s="18" t="s">
        <v>79</v>
      </c>
      <c r="T506" s="18" t="s">
        <v>174</v>
      </c>
      <c r="U506" s="18" t="s">
        <v>83</v>
      </c>
      <c r="V506" s="18" t="s">
        <v>95</v>
      </c>
      <c r="W506" s="18" t="s">
        <v>83</v>
      </c>
      <c r="X506" s="18" t="s">
        <v>84</v>
      </c>
      <c r="Y506" s="18" t="s">
        <v>85</v>
      </c>
      <c r="Z506" s="18" t="s">
        <v>86</v>
      </c>
      <c r="AA506" s="18" t="s">
        <v>87</v>
      </c>
      <c r="AB506" s="18" t="s">
        <v>740</v>
      </c>
      <c r="AC506" s="18" t="s">
        <v>741</v>
      </c>
      <c r="AD506" s="18" t="s">
        <v>85</v>
      </c>
      <c r="AE506" s="18" t="s">
        <v>90</v>
      </c>
      <c r="AF506" s="18" t="s">
        <v>177</v>
      </c>
      <c r="AG506" s="18" t="s">
        <v>139</v>
      </c>
      <c r="AH506" s="18" t="s">
        <v>93</v>
      </c>
      <c r="AI506" s="18" t="s">
        <v>94</v>
      </c>
      <c r="AJ506" s="19">
        <v>44906</v>
      </c>
      <c r="AK506" s="22" t="s">
        <v>95</v>
      </c>
      <c r="AL506" s="18" t="s">
        <v>95</v>
      </c>
      <c r="AM506" s="18" t="s">
        <v>95</v>
      </c>
      <c r="AN506" s="18" t="s">
        <v>95</v>
      </c>
      <c r="AO506" s="18" t="s">
        <v>95</v>
      </c>
      <c r="AP506" s="18" t="s">
        <v>95</v>
      </c>
      <c r="AQ506" s="18" t="s">
        <v>95</v>
      </c>
      <c r="AR506" s="18" t="s">
        <v>95</v>
      </c>
      <c r="AS506" s="18" t="s">
        <v>83</v>
      </c>
      <c r="AT506" s="18" t="s">
        <v>83</v>
      </c>
      <c r="AU506" s="18" t="s">
        <v>81</v>
      </c>
      <c r="AV506" s="18" t="s">
        <v>95</v>
      </c>
      <c r="AW506" s="18" t="s">
        <v>95</v>
      </c>
      <c r="AX506" s="18"/>
      <c r="AY506" s="18" t="str">
        <f>Pospago[[#This Row],[NUM_TELEFONICO]]&amp;"POSPAGOSI"</f>
        <v>987066680POSPAGOSI</v>
      </c>
      <c r="AZ506" s="18" t="str">
        <f>VLOOKUP(Pospago[[#This Row],[NOM_PLAZA_FINAL]],[1]!Locales[#Data],3,0)</f>
        <v>TIENDA RECREO</v>
      </c>
      <c r="BA506" s="18" t="str">
        <f>IFERROR(VLOOKUP(Pospago[[#This Row],[USUARIO]],[1]!Personal[#Data],6,0),"EJECUTIVO NO REGISTRADO")</f>
        <v>CHAVEZ VASQUEZ YESSENIA KATHERINE</v>
      </c>
      <c r="BB506" s="18" t="str">
        <f>Pospago[[#This Row],[TIPO_MOVIMIENTO]]&amp;" "&amp;Pospago[[#This Row],[FORMA_PAGO_FINAL]]</f>
        <v>ALTAS DOMICILIADO</v>
      </c>
      <c r="BC506" s="18">
        <f>DAY(Pospago[[#This Row],[FECHA_ALTA]])</f>
        <v>11</v>
      </c>
      <c r="BD506" s="18">
        <f>IF(Pospago[[#This Row],[TARIFA_BASICA]]=11.42,1,0)</f>
        <v>0</v>
      </c>
      <c r="BE506" s="18">
        <f>IF(Pospago[[#This Row],[PLANES TELEVENTAS]]="SI",1,0)</f>
        <v>0</v>
      </c>
      <c r="BF506" s="18">
        <f>1</f>
        <v>1</v>
      </c>
      <c r="BG506" s="18">
        <f>IF(OR(Pospago[[#This Row],[TARIFA_BASICA]]=11.42,Pospago[[#This Row],[PLANES TELEVENTAS]]="SI"),1,0)</f>
        <v>0</v>
      </c>
      <c r="BH506" s="18" t="str">
        <f>IF(MID(Pospago[[#This Row],[PlanDesc]],1,4) = "PLAN","POSPAGO",IF(MID(Pospago[[#This Row],[PlanDesc]],1,4)="FULL","FULL MEGAS","PREVIOPAGO"))</f>
        <v>PREVIOPAGO</v>
      </c>
      <c r="BI5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5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06" s="21">
        <f>Pospago[[#This Row],[TARIFA_BASICA]]*1.5</f>
        <v>26.775000000000002</v>
      </c>
    </row>
    <row r="507" spans="1:63" x14ac:dyDescent="0.25">
      <c r="A507" s="18" t="s">
        <v>154</v>
      </c>
      <c r="B507" s="18" t="s">
        <v>3330</v>
      </c>
      <c r="C507" s="18" t="s">
        <v>3331</v>
      </c>
      <c r="D507" s="19">
        <v>44908</v>
      </c>
      <c r="E507" s="18" t="s">
        <v>67</v>
      </c>
      <c r="F507" s="18" t="s">
        <v>3332</v>
      </c>
      <c r="G507" s="18" t="s">
        <v>3333</v>
      </c>
      <c r="H507" s="18" t="s">
        <v>159</v>
      </c>
      <c r="I507" s="18" t="s">
        <v>160</v>
      </c>
      <c r="J507" s="18" t="s">
        <v>161</v>
      </c>
      <c r="K507" s="18" t="s">
        <v>3334</v>
      </c>
      <c r="L507" s="20" t="s">
        <v>3335</v>
      </c>
      <c r="M507" s="18" t="s">
        <v>75</v>
      </c>
      <c r="N507" s="20" t="s">
        <v>3336</v>
      </c>
      <c r="O507" s="18" t="s">
        <v>164</v>
      </c>
      <c r="P507" s="18" t="s">
        <v>78</v>
      </c>
      <c r="Q507" s="19">
        <v>44914</v>
      </c>
      <c r="R507" s="21">
        <v>14.28</v>
      </c>
      <c r="S507" s="18" t="s">
        <v>79</v>
      </c>
      <c r="T507" s="18" t="s">
        <v>174</v>
      </c>
      <c r="U507" s="18" t="s">
        <v>83</v>
      </c>
      <c r="V507" s="18" t="s">
        <v>95</v>
      </c>
      <c r="W507" s="18" t="s">
        <v>95</v>
      </c>
      <c r="X507" s="18" t="s">
        <v>118</v>
      </c>
      <c r="Y507" s="18" t="s">
        <v>85</v>
      </c>
      <c r="Z507" s="18" t="s">
        <v>86</v>
      </c>
      <c r="AA507" s="18" t="s">
        <v>119</v>
      </c>
      <c r="AB507" s="18" t="s">
        <v>175</v>
      </c>
      <c r="AC507" s="18" t="s">
        <v>176</v>
      </c>
      <c r="AD507" s="18" t="s">
        <v>85</v>
      </c>
      <c r="AE507" s="18" t="s">
        <v>90</v>
      </c>
      <c r="AF507" s="18" t="s">
        <v>177</v>
      </c>
      <c r="AG507" s="18" t="s">
        <v>139</v>
      </c>
      <c r="AH507" s="18" t="s">
        <v>165</v>
      </c>
      <c r="AI507" s="18" t="s">
        <v>94</v>
      </c>
      <c r="AJ507" s="19">
        <v>44908</v>
      </c>
      <c r="AK507" s="22" t="s">
        <v>95</v>
      </c>
      <c r="AL507" s="18" t="s">
        <v>95</v>
      </c>
      <c r="AM507" s="18" t="s">
        <v>95</v>
      </c>
      <c r="AN507" s="18" t="s">
        <v>95</v>
      </c>
      <c r="AO507" s="18" t="s">
        <v>95</v>
      </c>
      <c r="AP507" s="18" t="s">
        <v>95</v>
      </c>
      <c r="AQ507" s="18" t="s">
        <v>95</v>
      </c>
      <c r="AR507" s="18" t="s">
        <v>95</v>
      </c>
      <c r="AS507" s="18" t="s">
        <v>83</v>
      </c>
      <c r="AT507" s="18" t="s">
        <v>83</v>
      </c>
      <c r="AU507" s="18" t="s">
        <v>81</v>
      </c>
      <c r="AV507" s="18" t="s">
        <v>95</v>
      </c>
      <c r="AW507" s="18" t="s">
        <v>95</v>
      </c>
      <c r="AX507" s="18"/>
      <c r="AY507" s="18" t="str">
        <f>Pospago[[#This Row],[NUM_TELEFONICO]]&amp;"POSPAGOSI"</f>
        <v>987068974POSPAGOSI</v>
      </c>
      <c r="AZ507" s="18" t="str">
        <f>VLOOKUP(Pospago[[#This Row],[NOM_PLAZA_FINAL]],[1]!Locales[#Data],3,0)</f>
        <v>TIENDA RECREO</v>
      </c>
      <c r="BA507" s="18" t="str">
        <f>IFERROR(VLOOKUP(Pospago[[#This Row],[USUARIO]],[1]!Personal[#Data],6,0),"EJECUTIVO NO REGISTRADO")</f>
        <v>VARGAS REYES LUIS EDUARDO</v>
      </c>
      <c r="BB507" s="18" t="str">
        <f>Pospago[[#This Row],[TIPO_MOVIMIENTO]]&amp;" "&amp;Pospago[[#This Row],[FORMA_PAGO_FINAL]]</f>
        <v>TRANSFERENCIAS PAGO EN CAJA</v>
      </c>
      <c r="BC507" s="18">
        <f>DAY(Pospago[[#This Row],[FECHA_ALTA]])</f>
        <v>13</v>
      </c>
      <c r="BD507" s="18">
        <f>IF(Pospago[[#This Row],[TARIFA_BASICA]]=11.42,1,0)</f>
        <v>0</v>
      </c>
      <c r="BE507" s="18">
        <f>IF(Pospago[[#This Row],[PLANES TELEVENTAS]]="SI",1,0)</f>
        <v>0</v>
      </c>
      <c r="BF507" s="18">
        <f>1</f>
        <v>1</v>
      </c>
      <c r="BG507" s="18">
        <f>IF(OR(Pospago[[#This Row],[TARIFA_BASICA]]=11.42,Pospago[[#This Row],[PLANES TELEVENTAS]]="SI"),1,0)</f>
        <v>0</v>
      </c>
      <c r="BH507" s="18" t="str">
        <f>IF(MID(Pospago[[#This Row],[PlanDesc]],1,4) = "PLAN","POSPAGO",IF(MID(Pospago[[#This Row],[PlanDesc]],1,4)="FULL","FULL MEGAS","PREVIOPAGO"))</f>
        <v>PREVIOPAGO</v>
      </c>
      <c r="BI5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07" s="21">
        <f>Pospago[[#This Row],[TARIFA_BASICA]]*1.5</f>
        <v>21.419999999999998</v>
      </c>
    </row>
    <row r="508" spans="1:63" x14ac:dyDescent="0.25">
      <c r="A508" s="18" t="s">
        <v>64</v>
      </c>
      <c r="B508" s="18" t="s">
        <v>3337</v>
      </c>
      <c r="C508" s="18" t="s">
        <v>3338</v>
      </c>
      <c r="D508" s="19">
        <v>44911</v>
      </c>
      <c r="E508" s="18" t="s">
        <v>67</v>
      </c>
      <c r="F508" s="18" t="s">
        <v>3339</v>
      </c>
      <c r="G508" s="18" t="s">
        <v>3340</v>
      </c>
      <c r="H508" s="18" t="s">
        <v>70</v>
      </c>
      <c r="I508" s="18" t="s">
        <v>183</v>
      </c>
      <c r="J508" s="18" t="s">
        <v>184</v>
      </c>
      <c r="K508" s="18" t="s">
        <v>73</v>
      </c>
      <c r="L508" s="20" t="s">
        <v>3341</v>
      </c>
      <c r="M508" s="18" t="s">
        <v>75</v>
      </c>
      <c r="N508" s="20" t="s">
        <v>3342</v>
      </c>
      <c r="O508" s="18" t="s">
        <v>77</v>
      </c>
      <c r="P508" s="18" t="s">
        <v>78</v>
      </c>
      <c r="Q508" s="19">
        <v>44914</v>
      </c>
      <c r="R508" s="21">
        <v>11.42</v>
      </c>
      <c r="S508" s="18" t="s">
        <v>79</v>
      </c>
      <c r="T508" s="18" t="s">
        <v>80</v>
      </c>
      <c r="U508" s="18" t="s">
        <v>83</v>
      </c>
      <c r="V508" s="18" t="s">
        <v>95</v>
      </c>
      <c r="W508" s="18" t="s">
        <v>83</v>
      </c>
      <c r="X508" s="18" t="s">
        <v>84</v>
      </c>
      <c r="Y508" s="18" t="s">
        <v>85</v>
      </c>
      <c r="Z508" s="18" t="s">
        <v>86</v>
      </c>
      <c r="AA508" s="18" t="s">
        <v>87</v>
      </c>
      <c r="AB508" s="18" t="s">
        <v>1020</v>
      </c>
      <c r="AC508" s="18" t="s">
        <v>1021</v>
      </c>
      <c r="AD508" s="18" t="s">
        <v>85</v>
      </c>
      <c r="AE508" s="18" t="s">
        <v>90</v>
      </c>
      <c r="AF508" s="18" t="s">
        <v>91</v>
      </c>
      <c r="AG508" s="18" t="s">
        <v>92</v>
      </c>
      <c r="AH508" s="18" t="s">
        <v>93</v>
      </c>
      <c r="AI508" s="18" t="s">
        <v>94</v>
      </c>
      <c r="AJ508" s="19">
        <v>44911</v>
      </c>
      <c r="AK508" s="22" t="s">
        <v>95</v>
      </c>
      <c r="AL508" s="18" t="s">
        <v>95</v>
      </c>
      <c r="AM508" s="18" t="s">
        <v>95</v>
      </c>
      <c r="AN508" s="18" t="s">
        <v>95</v>
      </c>
      <c r="AO508" s="18" t="s">
        <v>95</v>
      </c>
      <c r="AP508" s="18" t="s">
        <v>95</v>
      </c>
      <c r="AQ508" s="18" t="s">
        <v>95</v>
      </c>
      <c r="AR508" s="18" t="s">
        <v>95</v>
      </c>
      <c r="AS508" s="18" t="s">
        <v>83</v>
      </c>
      <c r="AT508" s="18" t="s">
        <v>83</v>
      </c>
      <c r="AU508" s="18" t="s">
        <v>83</v>
      </c>
      <c r="AV508" s="18" t="s">
        <v>95</v>
      </c>
      <c r="AW508" s="18" t="s">
        <v>95</v>
      </c>
      <c r="AX508" s="18"/>
      <c r="AY508" s="18" t="str">
        <f>Pospago[[#This Row],[NUM_TELEFONICO]]&amp;"POSPAGOSI"</f>
        <v>987073193POSPAGOSI</v>
      </c>
      <c r="AZ508" s="18" t="str">
        <f>VLOOKUP(Pospago[[#This Row],[NOM_PLAZA_FINAL]],[1]!Locales[#Data],3,0)</f>
        <v>TIENDA CUENCA CENTRO</v>
      </c>
      <c r="BA508" s="18" t="str">
        <f>IFERROR(VLOOKUP(Pospago[[#This Row],[USUARIO]],[1]!Personal[#Data],6,0),"EJECUTIVO NO REGISTRADO")</f>
        <v>GONZALES ALVARRACIN PAOLA YESSENIA</v>
      </c>
      <c r="BB508" s="18" t="str">
        <f>Pospago[[#This Row],[TIPO_MOVIMIENTO]]&amp;" "&amp;Pospago[[#This Row],[FORMA_PAGO_FINAL]]</f>
        <v>ALTAS DOMICILIADO</v>
      </c>
      <c r="BC508" s="18">
        <f>DAY(Pospago[[#This Row],[FECHA_ALTA]])</f>
        <v>16</v>
      </c>
      <c r="BD508" s="18">
        <f>IF(Pospago[[#This Row],[TARIFA_BASICA]]=11.42,1,0)</f>
        <v>1</v>
      </c>
      <c r="BE508" s="18">
        <f>IF(Pospago[[#This Row],[PLANES TELEVENTAS]]="SI",1,0)</f>
        <v>0</v>
      </c>
      <c r="BF508" s="18">
        <f>1</f>
        <v>1</v>
      </c>
      <c r="BG508" s="18">
        <f>IF(OR(Pospago[[#This Row],[TARIFA_BASICA]]=11.42,Pospago[[#This Row],[PLANES TELEVENTAS]]="SI"),1,0)</f>
        <v>1</v>
      </c>
      <c r="BH508" s="18" t="str">
        <f>IF(MID(Pospago[[#This Row],[PlanDesc]],1,4) = "PLAN","POSPAGO",IF(MID(Pospago[[#This Row],[PlanDesc]],1,4)="FULL","FULL MEGAS","PREVIOPAGO"))</f>
        <v>POSPAGO</v>
      </c>
      <c r="BI5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5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08" s="21">
        <f>Pospago[[#This Row],[TARIFA_BASICA]]*1.5</f>
        <v>17.13</v>
      </c>
    </row>
    <row r="509" spans="1:63" x14ac:dyDescent="0.25">
      <c r="A509" s="18" t="s">
        <v>64</v>
      </c>
      <c r="B509" s="18" t="s">
        <v>3343</v>
      </c>
      <c r="C509" s="18" t="s">
        <v>3344</v>
      </c>
      <c r="D509" s="19">
        <v>44905</v>
      </c>
      <c r="E509" s="18" t="s">
        <v>67</v>
      </c>
      <c r="F509" s="18" t="s">
        <v>3345</v>
      </c>
      <c r="G509" s="18" t="s">
        <v>3346</v>
      </c>
      <c r="H509" s="18" t="s">
        <v>70</v>
      </c>
      <c r="I509" s="18" t="s">
        <v>392</v>
      </c>
      <c r="J509" s="18" t="s">
        <v>131</v>
      </c>
      <c r="K509" s="18" t="s">
        <v>132</v>
      </c>
      <c r="L509" s="20" t="s">
        <v>3347</v>
      </c>
      <c r="M509" s="18" t="s">
        <v>75</v>
      </c>
      <c r="N509" s="20" t="s">
        <v>3348</v>
      </c>
      <c r="O509" s="18" t="s">
        <v>77</v>
      </c>
      <c r="P509" s="18" t="s">
        <v>78</v>
      </c>
      <c r="Q509" s="19">
        <v>44914</v>
      </c>
      <c r="R509" s="21">
        <v>15</v>
      </c>
      <c r="S509" s="18" t="s">
        <v>79</v>
      </c>
      <c r="T509" s="18" t="s">
        <v>174</v>
      </c>
      <c r="U509" s="18" t="s">
        <v>83</v>
      </c>
      <c r="V509" s="18" t="s">
        <v>95</v>
      </c>
      <c r="W509" s="18" t="s">
        <v>83</v>
      </c>
      <c r="X509" s="18" t="s">
        <v>118</v>
      </c>
      <c r="Y509" s="18" t="s">
        <v>85</v>
      </c>
      <c r="Z509" s="18" t="s">
        <v>86</v>
      </c>
      <c r="AA509" s="18" t="s">
        <v>119</v>
      </c>
      <c r="AB509" s="18" t="s">
        <v>492</v>
      </c>
      <c r="AC509" s="18" t="s">
        <v>493</v>
      </c>
      <c r="AD509" s="18" t="s">
        <v>85</v>
      </c>
      <c r="AE509" s="18" t="s">
        <v>90</v>
      </c>
      <c r="AF509" s="18" t="s">
        <v>177</v>
      </c>
      <c r="AG509" s="18" t="s">
        <v>139</v>
      </c>
      <c r="AH509" s="18" t="s">
        <v>93</v>
      </c>
      <c r="AI509" s="18" t="s">
        <v>94</v>
      </c>
      <c r="AJ509" s="19">
        <v>44905</v>
      </c>
      <c r="AK509" s="22" t="s">
        <v>95</v>
      </c>
      <c r="AL509" s="18" t="s">
        <v>95</v>
      </c>
      <c r="AM509" s="18" t="s">
        <v>95</v>
      </c>
      <c r="AN509" s="18" t="s">
        <v>95</v>
      </c>
      <c r="AO509" s="18" t="s">
        <v>95</v>
      </c>
      <c r="AP509" s="18" t="s">
        <v>95</v>
      </c>
      <c r="AQ509" s="18" t="s">
        <v>95</v>
      </c>
      <c r="AR509" s="18" t="s">
        <v>95</v>
      </c>
      <c r="AS509" s="18" t="s">
        <v>83</v>
      </c>
      <c r="AT509" s="18" t="s">
        <v>81</v>
      </c>
      <c r="AU509" s="18" t="s">
        <v>81</v>
      </c>
      <c r="AV509" s="18" t="s">
        <v>95</v>
      </c>
      <c r="AW509" s="18" t="s">
        <v>95</v>
      </c>
      <c r="AX509" s="18"/>
      <c r="AY509" s="18" t="str">
        <f>Pospago[[#This Row],[NUM_TELEFONICO]]&amp;"POSPAGOSI"</f>
        <v>987086567POSPAGOSI</v>
      </c>
      <c r="AZ509" s="18" t="str">
        <f>VLOOKUP(Pospago[[#This Row],[NOM_PLAZA_FINAL]],[1]!Locales[#Data],3,0)</f>
        <v>TIENDA RECREO</v>
      </c>
      <c r="BA509" s="18" t="str">
        <f>IFERROR(VLOOKUP(Pospago[[#This Row],[USUARIO]],[1]!Personal[#Data],6,0),"EJECUTIVO NO REGISTRADO")</f>
        <v>CONDO GARCIA NICOLAS MATIAS</v>
      </c>
      <c r="BB509" s="18" t="str">
        <f>Pospago[[#This Row],[TIPO_MOVIMIENTO]]&amp;" "&amp;Pospago[[#This Row],[FORMA_PAGO_FINAL]]</f>
        <v>ALTAS PAGO EN CAJA</v>
      </c>
      <c r="BC509" s="18">
        <f>DAY(Pospago[[#This Row],[FECHA_ALTA]])</f>
        <v>10</v>
      </c>
      <c r="BD509" s="18">
        <f>IF(Pospago[[#This Row],[TARIFA_BASICA]]=11.42,1,0)</f>
        <v>0</v>
      </c>
      <c r="BE509" s="18">
        <f>IF(Pospago[[#This Row],[PLANES TELEVENTAS]]="SI",1,0)</f>
        <v>1</v>
      </c>
      <c r="BF509" s="18">
        <f>1</f>
        <v>1</v>
      </c>
      <c r="BG509" s="18">
        <f>IF(OR(Pospago[[#This Row],[TARIFA_BASICA]]=11.42,Pospago[[#This Row],[PLANES TELEVENTAS]]="SI"),1,0)</f>
        <v>1</v>
      </c>
      <c r="BH509" s="18" t="str">
        <f>IF(MID(Pospago[[#This Row],[PlanDesc]],1,4) = "PLAN","POSPAGO",IF(MID(Pospago[[#This Row],[PlanDesc]],1,4)="FULL","FULL MEGAS","PREVIOPAGO"))</f>
        <v>PREVIOPAGO</v>
      </c>
      <c r="BI5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5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09" s="21">
        <f>Pospago[[#This Row],[TARIFA_BASICA]]*1.5</f>
        <v>22.5</v>
      </c>
    </row>
    <row r="510" spans="1:63" x14ac:dyDescent="0.25">
      <c r="A510" s="18" t="s">
        <v>64</v>
      </c>
      <c r="B510" s="18" t="s">
        <v>3349</v>
      </c>
      <c r="C510" s="18" t="s">
        <v>3350</v>
      </c>
      <c r="D510" s="19">
        <v>44908</v>
      </c>
      <c r="E510" s="18" t="s">
        <v>67</v>
      </c>
      <c r="F510" s="18" t="s">
        <v>3351</v>
      </c>
      <c r="G510" s="18" t="s">
        <v>3352</v>
      </c>
      <c r="H510" s="18" t="s">
        <v>70</v>
      </c>
      <c r="I510" s="18" t="s">
        <v>160</v>
      </c>
      <c r="J510" s="18" t="s">
        <v>195</v>
      </c>
      <c r="K510" s="18" t="s">
        <v>132</v>
      </c>
      <c r="L510" s="20" t="s">
        <v>3353</v>
      </c>
      <c r="M510" s="18" t="s">
        <v>75</v>
      </c>
      <c r="N510" s="20" t="s">
        <v>3354</v>
      </c>
      <c r="O510" s="18" t="s">
        <v>77</v>
      </c>
      <c r="P510" s="18" t="s">
        <v>78</v>
      </c>
      <c r="Q510" s="19">
        <v>44914</v>
      </c>
      <c r="R510" s="21">
        <v>14.28</v>
      </c>
      <c r="S510" s="18" t="s">
        <v>79</v>
      </c>
      <c r="T510" s="18" t="s">
        <v>232</v>
      </c>
      <c r="U510" s="18" t="s">
        <v>83</v>
      </c>
      <c r="V510" s="18" t="s">
        <v>95</v>
      </c>
      <c r="W510" s="18" t="s">
        <v>83</v>
      </c>
      <c r="X510" s="18" t="s">
        <v>84</v>
      </c>
      <c r="Y510" s="18" t="s">
        <v>85</v>
      </c>
      <c r="Z510" s="18" t="s">
        <v>86</v>
      </c>
      <c r="AA510" s="18" t="s">
        <v>87</v>
      </c>
      <c r="AB510" s="18" t="s">
        <v>443</v>
      </c>
      <c r="AC510" s="18" t="s">
        <v>444</v>
      </c>
      <c r="AD510" s="18" t="s">
        <v>85</v>
      </c>
      <c r="AE510" s="18" t="s">
        <v>90</v>
      </c>
      <c r="AF510" s="18" t="s">
        <v>235</v>
      </c>
      <c r="AG510" s="18" t="s">
        <v>139</v>
      </c>
      <c r="AH510" s="18" t="s">
        <v>93</v>
      </c>
      <c r="AI510" s="18" t="s">
        <v>94</v>
      </c>
      <c r="AJ510" s="19">
        <v>44908</v>
      </c>
      <c r="AK510" s="22" t="s">
        <v>95</v>
      </c>
      <c r="AL510" s="18" t="s">
        <v>95</v>
      </c>
      <c r="AM510" s="18" t="s">
        <v>95</v>
      </c>
      <c r="AN510" s="18" t="s">
        <v>95</v>
      </c>
      <c r="AO510" s="18" t="s">
        <v>95</v>
      </c>
      <c r="AP510" s="18" t="s">
        <v>95</v>
      </c>
      <c r="AQ510" s="18" t="s">
        <v>95</v>
      </c>
      <c r="AR510" s="18" t="s">
        <v>95</v>
      </c>
      <c r="AS510" s="18" t="s">
        <v>83</v>
      </c>
      <c r="AT510" s="18" t="s">
        <v>83</v>
      </c>
      <c r="AU510" s="18" t="s">
        <v>81</v>
      </c>
      <c r="AV510" s="18" t="s">
        <v>95</v>
      </c>
      <c r="AW510" s="18" t="s">
        <v>95</v>
      </c>
      <c r="AX510" s="18"/>
      <c r="AY510" s="18" t="str">
        <f>Pospago[[#This Row],[NUM_TELEFONICO]]&amp;"POSPAGOSI"</f>
        <v>987098598POSPAGOSI</v>
      </c>
      <c r="AZ510" s="18" t="str">
        <f>VLOOKUP(Pospago[[#This Row],[NOM_PLAZA_FINAL]],[1]!Locales[#Data],3,0)</f>
        <v>TIENDA CONDADO</v>
      </c>
      <c r="BA510" s="18" t="str">
        <f>IFERROR(VLOOKUP(Pospago[[#This Row],[USUARIO]],[1]!Personal[#Data],6,0),"EJECUTIVO NO REGISTRADO")</f>
        <v>JARAMILLO ESPINOZA KENIA KATRINA</v>
      </c>
      <c r="BB510" s="18" t="str">
        <f>Pospago[[#This Row],[TIPO_MOVIMIENTO]]&amp;" "&amp;Pospago[[#This Row],[FORMA_PAGO_FINAL]]</f>
        <v>ALTAS DOMICILIADO</v>
      </c>
      <c r="BC510" s="18">
        <f>DAY(Pospago[[#This Row],[FECHA_ALTA]])</f>
        <v>13</v>
      </c>
      <c r="BD510" s="18">
        <f>IF(Pospago[[#This Row],[TARIFA_BASICA]]=11.42,1,0)</f>
        <v>0</v>
      </c>
      <c r="BE510" s="18">
        <f>IF(Pospago[[#This Row],[PLANES TELEVENTAS]]="SI",1,0)</f>
        <v>0</v>
      </c>
      <c r="BF510" s="18">
        <f>1</f>
        <v>1</v>
      </c>
      <c r="BG510" s="18">
        <f>IF(OR(Pospago[[#This Row],[TARIFA_BASICA]]=11.42,Pospago[[#This Row],[PLANES TELEVENTAS]]="SI"),1,0)</f>
        <v>0</v>
      </c>
      <c r="BH510" s="18" t="str">
        <f>IF(MID(Pospago[[#This Row],[PlanDesc]],1,4) = "PLAN","POSPAGO",IF(MID(Pospago[[#This Row],[PlanDesc]],1,4)="FULL","FULL MEGAS","PREVIOPAGO"))</f>
        <v>PREVIOPAGO</v>
      </c>
      <c r="BI5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10" s="21">
        <f>Pospago[[#This Row],[TARIFA_BASICA]]*1.5</f>
        <v>21.419999999999998</v>
      </c>
    </row>
    <row r="511" spans="1:63" x14ac:dyDescent="0.25">
      <c r="A511" s="18" t="s">
        <v>64</v>
      </c>
      <c r="B511" s="18" t="s">
        <v>3355</v>
      </c>
      <c r="C511" s="18" t="s">
        <v>3356</v>
      </c>
      <c r="D511" s="19">
        <v>44901</v>
      </c>
      <c r="E511" s="18" t="s">
        <v>67</v>
      </c>
      <c r="F511" s="18" t="s">
        <v>3357</v>
      </c>
      <c r="G511" s="18" t="s">
        <v>3358</v>
      </c>
      <c r="H511" s="18" t="s">
        <v>70</v>
      </c>
      <c r="I511" s="18" t="s">
        <v>698</v>
      </c>
      <c r="J511" s="18" t="s">
        <v>607</v>
      </c>
      <c r="K511" s="18" t="s">
        <v>73</v>
      </c>
      <c r="L511" s="20" t="s">
        <v>3359</v>
      </c>
      <c r="M511" s="18" t="s">
        <v>75</v>
      </c>
      <c r="N511" s="20" t="s">
        <v>3360</v>
      </c>
      <c r="O511" s="18" t="s">
        <v>77</v>
      </c>
      <c r="P511" s="18" t="s">
        <v>78</v>
      </c>
      <c r="Q511" s="19">
        <v>44914</v>
      </c>
      <c r="R511" s="21">
        <v>26.78</v>
      </c>
      <c r="S511" s="18" t="s">
        <v>79</v>
      </c>
      <c r="T511" s="18" t="s">
        <v>80</v>
      </c>
      <c r="U511" s="18" t="s">
        <v>83</v>
      </c>
      <c r="V511" s="18" t="s">
        <v>95</v>
      </c>
      <c r="W511" s="18" t="s">
        <v>83</v>
      </c>
      <c r="X511" s="18" t="s">
        <v>118</v>
      </c>
      <c r="Y511" s="18" t="s">
        <v>85</v>
      </c>
      <c r="Z511" s="18" t="s">
        <v>86</v>
      </c>
      <c r="AA511" s="18" t="s">
        <v>119</v>
      </c>
      <c r="AB511" s="18" t="s">
        <v>88</v>
      </c>
      <c r="AC511" s="18" t="s">
        <v>89</v>
      </c>
      <c r="AD511" s="18" t="s">
        <v>85</v>
      </c>
      <c r="AE511" s="18" t="s">
        <v>90</v>
      </c>
      <c r="AF511" s="18" t="s">
        <v>91</v>
      </c>
      <c r="AG511" s="18" t="s">
        <v>92</v>
      </c>
      <c r="AH511" s="18" t="s">
        <v>93</v>
      </c>
      <c r="AI511" s="18" t="s">
        <v>94</v>
      </c>
      <c r="AJ511" s="19">
        <v>44901</v>
      </c>
      <c r="AK511" s="22" t="s">
        <v>95</v>
      </c>
      <c r="AL511" s="18" t="s">
        <v>95</v>
      </c>
      <c r="AM511" s="18" t="s">
        <v>95</v>
      </c>
      <c r="AN511" s="18" t="s">
        <v>95</v>
      </c>
      <c r="AO511" s="18" t="s">
        <v>95</v>
      </c>
      <c r="AP511" s="18" t="s">
        <v>95</v>
      </c>
      <c r="AQ511" s="18" t="s">
        <v>95</v>
      </c>
      <c r="AR511" s="18" t="s">
        <v>95</v>
      </c>
      <c r="AS511" s="18" t="s">
        <v>83</v>
      </c>
      <c r="AT511" s="18" t="s">
        <v>81</v>
      </c>
      <c r="AU511" s="18" t="s">
        <v>81</v>
      </c>
      <c r="AV511" s="18" t="s">
        <v>95</v>
      </c>
      <c r="AW511" s="18" t="s">
        <v>95</v>
      </c>
      <c r="AX511" s="18"/>
      <c r="AY511" s="18" t="str">
        <f>Pospago[[#This Row],[NUM_TELEFONICO]]&amp;"POSPAGOSI"</f>
        <v>987112877POSPAGOSI</v>
      </c>
      <c r="AZ511" s="18" t="str">
        <f>VLOOKUP(Pospago[[#This Row],[NOM_PLAZA_FINAL]],[1]!Locales[#Data],3,0)</f>
        <v>TIENDA CUENCA CENTRO</v>
      </c>
      <c r="BA511" s="18" t="str">
        <f>IFERROR(VLOOKUP(Pospago[[#This Row],[USUARIO]],[1]!Personal[#Data],6,0),"EJECUTIVO NO REGISTRADO")</f>
        <v>ANDRADE CONDO CHRISTIAN EDUARDO</v>
      </c>
      <c r="BB511" s="18" t="str">
        <f>Pospago[[#This Row],[TIPO_MOVIMIENTO]]&amp;" "&amp;Pospago[[#This Row],[FORMA_PAGO_FINAL]]</f>
        <v>ALTAS PAGO EN CAJA</v>
      </c>
      <c r="BC511" s="18">
        <f>DAY(Pospago[[#This Row],[FECHA_ALTA]])</f>
        <v>6</v>
      </c>
      <c r="BD511" s="18">
        <f>IF(Pospago[[#This Row],[TARIFA_BASICA]]=11.42,1,0)</f>
        <v>0</v>
      </c>
      <c r="BE511" s="18">
        <f>IF(Pospago[[#This Row],[PLANES TELEVENTAS]]="SI",1,0)</f>
        <v>1</v>
      </c>
      <c r="BF511" s="18">
        <f>1</f>
        <v>1</v>
      </c>
      <c r="BG511" s="18">
        <f>IF(OR(Pospago[[#This Row],[TARIFA_BASICA]]=11.42,Pospago[[#This Row],[PLANES TELEVENTAS]]="SI"),1,0)</f>
        <v>1</v>
      </c>
      <c r="BH511" s="18" t="str">
        <f>IF(MID(Pospago[[#This Row],[PlanDesc]],1,4) = "PLAN","POSPAGO",IF(MID(Pospago[[#This Row],[PlanDesc]],1,4)="FULL","FULL MEGAS","PREVIOPAGO"))</f>
        <v>PREVIOPAGO</v>
      </c>
      <c r="BI5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34.28</v>
      </c>
      <c r="BJ5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11" s="21">
        <f>Pospago[[#This Row],[TARIFA_BASICA]]*1.5</f>
        <v>40.17</v>
      </c>
    </row>
    <row r="512" spans="1:63" x14ac:dyDescent="0.25">
      <c r="A512" s="18" t="s">
        <v>64</v>
      </c>
      <c r="B512" s="18" t="s">
        <v>3361</v>
      </c>
      <c r="C512" s="18" t="s">
        <v>3362</v>
      </c>
      <c r="D512" s="19">
        <v>44903</v>
      </c>
      <c r="E512" s="18" t="s">
        <v>67</v>
      </c>
      <c r="F512" s="18" t="s">
        <v>3363</v>
      </c>
      <c r="G512" s="18" t="s">
        <v>3364</v>
      </c>
      <c r="H512" s="18" t="s">
        <v>70</v>
      </c>
      <c r="I512" s="18" t="s">
        <v>112</v>
      </c>
      <c r="J512" s="18" t="s">
        <v>113</v>
      </c>
      <c r="K512" s="18" t="s">
        <v>132</v>
      </c>
      <c r="L512" s="20" t="s">
        <v>3365</v>
      </c>
      <c r="M512" s="18" t="s">
        <v>75</v>
      </c>
      <c r="N512" s="20" t="s">
        <v>3366</v>
      </c>
      <c r="O512" s="18" t="s">
        <v>77</v>
      </c>
      <c r="P512" s="18" t="s">
        <v>78</v>
      </c>
      <c r="Q512" s="19">
        <v>44914</v>
      </c>
      <c r="R512" s="21">
        <v>17.850000000000001</v>
      </c>
      <c r="S512" s="18" t="s">
        <v>79</v>
      </c>
      <c r="T512" s="18" t="s">
        <v>135</v>
      </c>
      <c r="U512" s="18" t="s">
        <v>83</v>
      </c>
      <c r="V512" s="18" t="s">
        <v>95</v>
      </c>
      <c r="W512" s="18" t="s">
        <v>83</v>
      </c>
      <c r="X512" s="18" t="s">
        <v>84</v>
      </c>
      <c r="Y512" s="18" t="s">
        <v>85</v>
      </c>
      <c r="Z512" s="18" t="s">
        <v>86</v>
      </c>
      <c r="AA512" s="18" t="s">
        <v>87</v>
      </c>
      <c r="AB512" s="18" t="s">
        <v>478</v>
      </c>
      <c r="AC512" s="18" t="s">
        <v>479</v>
      </c>
      <c r="AD512" s="18" t="s">
        <v>85</v>
      </c>
      <c r="AE512" s="18" t="s">
        <v>90</v>
      </c>
      <c r="AF512" s="18" t="s">
        <v>138</v>
      </c>
      <c r="AG512" s="18" t="s">
        <v>139</v>
      </c>
      <c r="AH512" s="18" t="s">
        <v>93</v>
      </c>
      <c r="AI512" s="18" t="s">
        <v>94</v>
      </c>
      <c r="AJ512" s="19">
        <v>44903</v>
      </c>
      <c r="AK512" s="22" t="s">
        <v>95</v>
      </c>
      <c r="AL512" s="18" t="s">
        <v>95</v>
      </c>
      <c r="AM512" s="18" t="s">
        <v>95</v>
      </c>
      <c r="AN512" s="18" t="s">
        <v>95</v>
      </c>
      <c r="AO512" s="18" t="s">
        <v>95</v>
      </c>
      <c r="AP512" s="18" t="s">
        <v>95</v>
      </c>
      <c r="AQ512" s="18" t="s">
        <v>95</v>
      </c>
      <c r="AR512" s="18" t="s">
        <v>95</v>
      </c>
      <c r="AS512" s="18" t="s">
        <v>83</v>
      </c>
      <c r="AT512" s="18" t="s">
        <v>83</v>
      </c>
      <c r="AU512" s="18" t="s">
        <v>81</v>
      </c>
      <c r="AV512" s="18" t="s">
        <v>95</v>
      </c>
      <c r="AW512" s="18" t="s">
        <v>95</v>
      </c>
      <c r="AX512" s="18"/>
      <c r="AY512" s="18" t="str">
        <f>Pospago[[#This Row],[NUM_TELEFONICO]]&amp;"POSPAGOSI"</f>
        <v>987122217POSPAGOSI</v>
      </c>
      <c r="AZ512" s="18" t="str">
        <f>VLOOKUP(Pospago[[#This Row],[NOM_PLAZA_FINAL]],[1]!Locales[#Data],3,0)</f>
        <v>TIENDA AMERICA</v>
      </c>
      <c r="BA512" s="18" t="str">
        <f>IFERROR(VLOOKUP(Pospago[[#This Row],[USUARIO]],[1]!Personal[#Data],6,0),"EJECUTIVO NO REGISTRADO")</f>
        <v>REINO TUFINO PAULTEH KATHERINE</v>
      </c>
      <c r="BB512" s="18" t="str">
        <f>Pospago[[#This Row],[TIPO_MOVIMIENTO]]&amp;" "&amp;Pospago[[#This Row],[FORMA_PAGO_FINAL]]</f>
        <v>ALTAS DOMICILIADO</v>
      </c>
      <c r="BC512" s="18">
        <f>DAY(Pospago[[#This Row],[FECHA_ALTA]])</f>
        <v>8</v>
      </c>
      <c r="BD512" s="18">
        <f>IF(Pospago[[#This Row],[TARIFA_BASICA]]=11.42,1,0)</f>
        <v>0</v>
      </c>
      <c r="BE512" s="18">
        <f>IF(Pospago[[#This Row],[PLANES TELEVENTAS]]="SI",1,0)</f>
        <v>0</v>
      </c>
      <c r="BF512" s="18">
        <f>1</f>
        <v>1</v>
      </c>
      <c r="BG512" s="18">
        <f>IF(OR(Pospago[[#This Row],[TARIFA_BASICA]]=11.42,Pospago[[#This Row],[PLANES TELEVENTAS]]="SI"),1,0)</f>
        <v>0</v>
      </c>
      <c r="BH512" s="18" t="str">
        <f>IF(MID(Pospago[[#This Row],[PlanDesc]],1,4) = "PLAN","POSPAGO",IF(MID(Pospago[[#This Row],[PlanDesc]],1,4)="FULL","FULL MEGAS","PREVIOPAGO"))</f>
        <v>PREVIOPAGO</v>
      </c>
      <c r="BI5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5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12" s="21">
        <f>Pospago[[#This Row],[TARIFA_BASICA]]*1.5</f>
        <v>26.775000000000002</v>
      </c>
    </row>
    <row r="513" spans="1:63" x14ac:dyDescent="0.25">
      <c r="A513" s="18" t="s">
        <v>64</v>
      </c>
      <c r="B513" s="18" t="s">
        <v>3367</v>
      </c>
      <c r="C513" s="18" t="s">
        <v>3368</v>
      </c>
      <c r="D513" s="19">
        <v>44912</v>
      </c>
      <c r="E513" s="18" t="s">
        <v>67</v>
      </c>
      <c r="F513" s="18" t="s">
        <v>3369</v>
      </c>
      <c r="G513" s="18" t="s">
        <v>3370</v>
      </c>
      <c r="H513" s="18" t="s">
        <v>70</v>
      </c>
      <c r="I513" s="18" t="s">
        <v>160</v>
      </c>
      <c r="J513" s="18" t="s">
        <v>195</v>
      </c>
      <c r="K513" s="18" t="s">
        <v>95</v>
      </c>
      <c r="L513" s="20" t="s">
        <v>3371</v>
      </c>
      <c r="M513" s="18" t="s">
        <v>75</v>
      </c>
      <c r="N513" s="20" t="s">
        <v>3372</v>
      </c>
      <c r="O513" s="18" t="s">
        <v>77</v>
      </c>
      <c r="P513" s="18" t="s">
        <v>78</v>
      </c>
      <c r="Q513" s="19">
        <v>44914</v>
      </c>
      <c r="R513" s="21">
        <v>14.28</v>
      </c>
      <c r="S513" s="18" t="s">
        <v>79</v>
      </c>
      <c r="T513" s="18" t="s">
        <v>135</v>
      </c>
      <c r="U513" s="18" t="s">
        <v>83</v>
      </c>
      <c r="V513" s="18" t="s">
        <v>95</v>
      </c>
      <c r="W513" s="18" t="s">
        <v>83</v>
      </c>
      <c r="X513" s="18" t="s">
        <v>118</v>
      </c>
      <c r="Y513" s="18" t="s">
        <v>85</v>
      </c>
      <c r="Z513" s="18" t="s">
        <v>86</v>
      </c>
      <c r="AA513" s="18" t="s">
        <v>119</v>
      </c>
      <c r="AB513" s="18" t="s">
        <v>326</v>
      </c>
      <c r="AC513" s="18" t="s">
        <v>327</v>
      </c>
      <c r="AD513" s="18" t="s">
        <v>85</v>
      </c>
      <c r="AE513" s="18" t="s">
        <v>90</v>
      </c>
      <c r="AF513" s="18" t="s">
        <v>138</v>
      </c>
      <c r="AG513" s="18" t="s">
        <v>139</v>
      </c>
      <c r="AH513" s="18" t="s">
        <v>93</v>
      </c>
      <c r="AI513" s="18" t="s">
        <v>94</v>
      </c>
      <c r="AJ513" s="19">
        <v>44912</v>
      </c>
      <c r="AK513" s="22" t="s">
        <v>95</v>
      </c>
      <c r="AL513" s="18" t="s">
        <v>95</v>
      </c>
      <c r="AM513" s="18" t="s">
        <v>95</v>
      </c>
      <c r="AN513" s="18" t="s">
        <v>95</v>
      </c>
      <c r="AO513" s="18" t="s">
        <v>95</v>
      </c>
      <c r="AP513" s="18" t="s">
        <v>95</v>
      </c>
      <c r="AQ513" s="18" t="s">
        <v>95</v>
      </c>
      <c r="AR513" s="18" t="s">
        <v>95</v>
      </c>
      <c r="AS513" s="18" t="s">
        <v>83</v>
      </c>
      <c r="AT513" s="18" t="s">
        <v>83</v>
      </c>
      <c r="AU513" s="18" t="s">
        <v>81</v>
      </c>
      <c r="AV513" s="18" t="s">
        <v>95</v>
      </c>
      <c r="AW513" s="18" t="s">
        <v>95</v>
      </c>
      <c r="AX513" s="18"/>
      <c r="AY513" s="18" t="str">
        <f>Pospago[[#This Row],[NUM_TELEFONICO]]&amp;"POSPAGOSI"</f>
        <v>987124255POSPAGOSI</v>
      </c>
      <c r="AZ513" s="18" t="str">
        <f>VLOOKUP(Pospago[[#This Row],[NOM_PLAZA_FINAL]],[1]!Locales[#Data],3,0)</f>
        <v>TIENDA AMERICA</v>
      </c>
      <c r="BA513" s="18" t="str">
        <f>IFERROR(VLOOKUP(Pospago[[#This Row],[USUARIO]],[1]!Personal[#Data],6,0),"EJECUTIVO NO REGISTRADO")</f>
        <v>AMBULUDI ROLDAN GIANELLA GRIMANEZA</v>
      </c>
      <c r="BB513" s="18" t="str">
        <f>Pospago[[#This Row],[TIPO_MOVIMIENTO]]&amp;" "&amp;Pospago[[#This Row],[FORMA_PAGO_FINAL]]</f>
        <v>ALTAS PAGO EN CAJA</v>
      </c>
      <c r="BC513" s="18">
        <f>DAY(Pospago[[#This Row],[FECHA_ALTA]])</f>
        <v>17</v>
      </c>
      <c r="BD513" s="18">
        <f>IF(Pospago[[#This Row],[TARIFA_BASICA]]=11.42,1,0)</f>
        <v>0</v>
      </c>
      <c r="BE513" s="18">
        <f>IF(Pospago[[#This Row],[PLANES TELEVENTAS]]="SI",1,0)</f>
        <v>0</v>
      </c>
      <c r="BF513" s="18">
        <f>1</f>
        <v>1</v>
      </c>
      <c r="BG513" s="18">
        <f>IF(OR(Pospago[[#This Row],[TARIFA_BASICA]]=11.42,Pospago[[#This Row],[PLANES TELEVENTAS]]="SI"),1,0)</f>
        <v>0</v>
      </c>
      <c r="BH513" s="18" t="str">
        <f>IF(MID(Pospago[[#This Row],[PlanDesc]],1,4) = "PLAN","POSPAGO",IF(MID(Pospago[[#This Row],[PlanDesc]],1,4)="FULL","FULL MEGAS","PREVIOPAGO"))</f>
        <v>PREVIOPAGO</v>
      </c>
      <c r="BI5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13" s="21">
        <f>Pospago[[#This Row],[TARIFA_BASICA]]*1.5</f>
        <v>21.419999999999998</v>
      </c>
    </row>
    <row r="514" spans="1:63" x14ac:dyDescent="0.25">
      <c r="A514" s="18" t="s">
        <v>154</v>
      </c>
      <c r="B514" s="18" t="s">
        <v>3373</v>
      </c>
      <c r="C514" s="18" t="s">
        <v>3374</v>
      </c>
      <c r="D514" s="19">
        <v>44911</v>
      </c>
      <c r="E514" s="18" t="s">
        <v>67</v>
      </c>
      <c r="F514" s="18" t="s">
        <v>3375</v>
      </c>
      <c r="G514" s="18" t="s">
        <v>3376</v>
      </c>
      <c r="H514" s="18" t="s">
        <v>159</v>
      </c>
      <c r="I514" s="18" t="s">
        <v>183</v>
      </c>
      <c r="J514" s="18" t="s">
        <v>184</v>
      </c>
      <c r="K514" s="18" t="s">
        <v>114</v>
      </c>
      <c r="L514" s="20" t="s">
        <v>3377</v>
      </c>
      <c r="M514" s="18" t="s">
        <v>75</v>
      </c>
      <c r="N514" s="20" t="s">
        <v>3378</v>
      </c>
      <c r="O514" s="18" t="s">
        <v>311</v>
      </c>
      <c r="P514" s="18" t="s">
        <v>78</v>
      </c>
      <c r="Q514" s="19">
        <v>44914</v>
      </c>
      <c r="R514" s="21">
        <v>11.42</v>
      </c>
      <c r="S514" s="18" t="s">
        <v>79</v>
      </c>
      <c r="T514" s="18" t="s">
        <v>117</v>
      </c>
      <c r="U514" s="18" t="s">
        <v>83</v>
      </c>
      <c r="V514" s="18" t="s">
        <v>95</v>
      </c>
      <c r="W514" s="18" t="s">
        <v>95</v>
      </c>
      <c r="X514" s="18" t="s">
        <v>84</v>
      </c>
      <c r="Y514" s="18" t="s">
        <v>85</v>
      </c>
      <c r="Z514" s="18" t="s">
        <v>86</v>
      </c>
      <c r="AA514" s="18" t="s">
        <v>87</v>
      </c>
      <c r="AB514" s="18" t="s">
        <v>808</v>
      </c>
      <c r="AC514" s="18" t="s">
        <v>809</v>
      </c>
      <c r="AD514" s="18" t="s">
        <v>85</v>
      </c>
      <c r="AE514" s="18" t="s">
        <v>90</v>
      </c>
      <c r="AF514" s="18" t="s">
        <v>122</v>
      </c>
      <c r="AG514" s="18" t="s">
        <v>92</v>
      </c>
      <c r="AH514" s="18" t="s">
        <v>165</v>
      </c>
      <c r="AI514" s="18" t="s">
        <v>94</v>
      </c>
      <c r="AJ514" s="19">
        <v>44911</v>
      </c>
      <c r="AK514" s="22" t="s">
        <v>95</v>
      </c>
      <c r="AL514" s="18" t="s">
        <v>95</v>
      </c>
      <c r="AM514" s="18" t="s">
        <v>95</v>
      </c>
      <c r="AN514" s="18" t="s">
        <v>95</v>
      </c>
      <c r="AO514" s="18" t="s">
        <v>95</v>
      </c>
      <c r="AP514" s="18" t="s">
        <v>95</v>
      </c>
      <c r="AQ514" s="18" t="s">
        <v>95</v>
      </c>
      <c r="AR514" s="18" t="s">
        <v>95</v>
      </c>
      <c r="AS514" s="18" t="s">
        <v>83</v>
      </c>
      <c r="AT514" s="18" t="s">
        <v>83</v>
      </c>
      <c r="AU514" s="18" t="s">
        <v>83</v>
      </c>
      <c r="AV514" s="18" t="s">
        <v>95</v>
      </c>
      <c r="AW514" s="18" t="s">
        <v>95</v>
      </c>
      <c r="AX514" s="18"/>
      <c r="AY514" s="18" t="str">
        <f>Pospago[[#This Row],[NUM_TELEFONICO]]&amp;"POSPAGOSI"</f>
        <v>987138866POSPAGOSI</v>
      </c>
      <c r="AZ514" s="18" t="str">
        <f>VLOOKUP(Pospago[[#This Row],[NOM_PLAZA_FINAL]],[1]!Locales[#Data],3,0)</f>
        <v>TIENDA MACHALA</v>
      </c>
      <c r="BA514" s="18" t="str">
        <f>IFERROR(VLOOKUP(Pospago[[#This Row],[USUARIO]],[1]!Personal[#Data],6,0),"EJECUTIVO NO REGISTRADO")</f>
        <v>ALICIA ROMINA GONZALEZ SANDOYA</v>
      </c>
      <c r="BB514" s="18" t="str">
        <f>Pospago[[#This Row],[TIPO_MOVIMIENTO]]&amp;" "&amp;Pospago[[#This Row],[FORMA_PAGO_FINAL]]</f>
        <v>TRANSFERENCIAS DOMICILIADO</v>
      </c>
      <c r="BC514" s="18">
        <f>DAY(Pospago[[#This Row],[FECHA_ALTA]])</f>
        <v>16</v>
      </c>
      <c r="BD514" s="18">
        <f>IF(Pospago[[#This Row],[TARIFA_BASICA]]=11.42,1,0)</f>
        <v>1</v>
      </c>
      <c r="BE514" s="18">
        <f>IF(Pospago[[#This Row],[PLANES TELEVENTAS]]="SI",1,0)</f>
        <v>0</v>
      </c>
      <c r="BF514" s="18">
        <f>1</f>
        <v>1</v>
      </c>
      <c r="BG514" s="18">
        <f>IF(OR(Pospago[[#This Row],[TARIFA_BASICA]]=11.42,Pospago[[#This Row],[PLANES TELEVENTAS]]="SI"),1,0)</f>
        <v>1</v>
      </c>
      <c r="BH514" s="18" t="str">
        <f>IF(MID(Pospago[[#This Row],[PlanDesc]],1,4) = "PLAN","POSPAGO",IF(MID(Pospago[[#This Row],[PlanDesc]],1,4)="FULL","FULL MEGAS","PREVIOPAGO"))</f>
        <v>POSPAGO</v>
      </c>
      <c r="BI5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4.992</v>
      </c>
      <c r="BJ5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14" s="21">
        <f>Pospago[[#This Row],[TARIFA_BASICA]]*1.5</f>
        <v>17.13</v>
      </c>
    </row>
    <row r="515" spans="1:63" x14ac:dyDescent="0.25">
      <c r="A515" s="18" t="s">
        <v>64</v>
      </c>
      <c r="B515" s="18" t="s">
        <v>3379</v>
      </c>
      <c r="C515" s="18" t="s">
        <v>3380</v>
      </c>
      <c r="D515" s="19">
        <v>44902</v>
      </c>
      <c r="E515" s="18" t="s">
        <v>67</v>
      </c>
      <c r="F515" s="18" t="s">
        <v>3381</v>
      </c>
      <c r="G515" s="18" t="s">
        <v>3382</v>
      </c>
      <c r="H515" s="18" t="s">
        <v>70</v>
      </c>
      <c r="I515" s="18" t="s">
        <v>160</v>
      </c>
      <c r="J515" s="18" t="s">
        <v>195</v>
      </c>
      <c r="K515" s="18" t="s">
        <v>73</v>
      </c>
      <c r="L515" s="20" t="s">
        <v>3383</v>
      </c>
      <c r="M515" s="18" t="s">
        <v>75</v>
      </c>
      <c r="N515" s="20" t="s">
        <v>3384</v>
      </c>
      <c r="O515" s="18" t="s">
        <v>77</v>
      </c>
      <c r="P515" s="18" t="s">
        <v>1574</v>
      </c>
      <c r="Q515" s="19">
        <v>44914</v>
      </c>
      <c r="R515" s="21">
        <v>14.28</v>
      </c>
      <c r="S515" s="18" t="s">
        <v>79</v>
      </c>
      <c r="T515" s="18" t="s">
        <v>80</v>
      </c>
      <c r="U515" s="18" t="s">
        <v>83</v>
      </c>
      <c r="V515" s="18" t="s">
        <v>95</v>
      </c>
      <c r="W515" s="18" t="s">
        <v>83</v>
      </c>
      <c r="X515" s="18" t="s">
        <v>118</v>
      </c>
      <c r="Y515" s="18" t="s">
        <v>85</v>
      </c>
      <c r="Z515" s="18" t="s">
        <v>86</v>
      </c>
      <c r="AA515" s="18" t="s">
        <v>119</v>
      </c>
      <c r="AB515" s="18" t="s">
        <v>242</v>
      </c>
      <c r="AC515" s="18" t="s">
        <v>243</v>
      </c>
      <c r="AD515" s="18" t="s">
        <v>85</v>
      </c>
      <c r="AE515" s="18" t="s">
        <v>90</v>
      </c>
      <c r="AF515" s="18" t="s">
        <v>91</v>
      </c>
      <c r="AG515" s="18" t="s">
        <v>92</v>
      </c>
      <c r="AH515" s="18" t="s">
        <v>93</v>
      </c>
      <c r="AI515" s="18" t="s">
        <v>94</v>
      </c>
      <c r="AJ515" s="19">
        <v>44902</v>
      </c>
      <c r="AK515" s="22" t="s">
        <v>95</v>
      </c>
      <c r="AL515" s="18" t="s">
        <v>95</v>
      </c>
      <c r="AM515" s="18" t="s">
        <v>95</v>
      </c>
      <c r="AN515" s="18" t="s">
        <v>95</v>
      </c>
      <c r="AO515" s="18" t="s">
        <v>95</v>
      </c>
      <c r="AP515" s="18" t="s">
        <v>95</v>
      </c>
      <c r="AQ515" s="18" t="s">
        <v>95</v>
      </c>
      <c r="AR515" s="18" t="s">
        <v>95</v>
      </c>
      <c r="AS515" s="18" t="s">
        <v>83</v>
      </c>
      <c r="AT515" s="18" t="s">
        <v>83</v>
      </c>
      <c r="AU515" s="18" t="s">
        <v>81</v>
      </c>
      <c r="AV515" s="18" t="s">
        <v>95</v>
      </c>
      <c r="AW515" s="18" t="s">
        <v>95</v>
      </c>
      <c r="AX515" s="18"/>
      <c r="AY515" s="18" t="str">
        <f>Pospago[[#This Row],[NUM_TELEFONICO]]&amp;"POSPAGOSI"</f>
        <v>987171828POSPAGOSI</v>
      </c>
      <c r="AZ515" s="18" t="str">
        <f>VLOOKUP(Pospago[[#This Row],[NOM_PLAZA_FINAL]],[1]!Locales[#Data],3,0)</f>
        <v>TIENDA CUENCA CENTRO</v>
      </c>
      <c r="BA515" s="18" t="str">
        <f>IFERROR(VLOOKUP(Pospago[[#This Row],[USUARIO]],[1]!Personal[#Data],6,0),"EJECUTIVO NO REGISTRADO")</f>
        <v>VALLEJO DELEG ROMAN NICOLAS</v>
      </c>
      <c r="BB515" s="18" t="str">
        <f>Pospago[[#This Row],[TIPO_MOVIMIENTO]]&amp;" "&amp;Pospago[[#This Row],[FORMA_PAGO_FINAL]]</f>
        <v>ALTAS PAGO EN CAJA</v>
      </c>
      <c r="BC515" s="18">
        <f>DAY(Pospago[[#This Row],[FECHA_ALTA]])</f>
        <v>7</v>
      </c>
      <c r="BD515" s="18">
        <f>IF(Pospago[[#This Row],[TARIFA_BASICA]]=11.42,1,0)</f>
        <v>0</v>
      </c>
      <c r="BE515" s="18">
        <f>IF(Pospago[[#This Row],[PLANES TELEVENTAS]]="SI",1,0)</f>
        <v>0</v>
      </c>
      <c r="BF515" s="18">
        <f>1</f>
        <v>1</v>
      </c>
      <c r="BG515" s="18">
        <f>IF(OR(Pospago[[#This Row],[TARIFA_BASICA]]=11.42,Pospago[[#This Row],[PLANES TELEVENTAS]]="SI"),1,0)</f>
        <v>0</v>
      </c>
      <c r="BH515" s="18" t="str">
        <f>IF(MID(Pospago[[#This Row],[PlanDesc]],1,4) = "PLAN","POSPAGO",IF(MID(Pospago[[#This Row],[PlanDesc]],1,4)="FULL","FULL MEGAS","PREVIOPAGO"))</f>
        <v>PREVIOPAGO</v>
      </c>
      <c r="BI5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15" s="21">
        <f>Pospago[[#This Row],[TARIFA_BASICA]]*1.5</f>
        <v>21.419999999999998</v>
      </c>
    </row>
    <row r="516" spans="1:63" x14ac:dyDescent="0.25">
      <c r="A516" s="18" t="s">
        <v>154</v>
      </c>
      <c r="B516" s="18" t="s">
        <v>3385</v>
      </c>
      <c r="C516" s="18" t="s">
        <v>3386</v>
      </c>
      <c r="D516" s="19">
        <v>44904</v>
      </c>
      <c r="E516" s="18" t="s">
        <v>67</v>
      </c>
      <c r="F516" s="18" t="s">
        <v>3387</v>
      </c>
      <c r="G516" s="18" t="s">
        <v>3388</v>
      </c>
      <c r="H516" s="18" t="s">
        <v>159</v>
      </c>
      <c r="I516" s="18" t="s">
        <v>160</v>
      </c>
      <c r="J516" s="18" t="s">
        <v>161</v>
      </c>
      <c r="K516" s="18" t="s">
        <v>73</v>
      </c>
      <c r="L516" s="20" t="s">
        <v>3389</v>
      </c>
      <c r="M516" s="18" t="s">
        <v>75</v>
      </c>
      <c r="N516" s="20" t="s">
        <v>3390</v>
      </c>
      <c r="O516" s="18" t="s">
        <v>164</v>
      </c>
      <c r="P516" s="18" t="s">
        <v>78</v>
      </c>
      <c r="Q516" s="19">
        <v>44914</v>
      </c>
      <c r="R516" s="21">
        <v>14.28</v>
      </c>
      <c r="S516" s="18" t="s">
        <v>79</v>
      </c>
      <c r="T516" s="18" t="s">
        <v>174</v>
      </c>
      <c r="U516" s="18" t="s">
        <v>83</v>
      </c>
      <c r="V516" s="18" t="s">
        <v>95</v>
      </c>
      <c r="W516" s="18" t="s">
        <v>95</v>
      </c>
      <c r="X516" s="18" t="s">
        <v>84</v>
      </c>
      <c r="Y516" s="18" t="s">
        <v>85</v>
      </c>
      <c r="Z516" s="18" t="s">
        <v>86</v>
      </c>
      <c r="AA516" s="18" t="s">
        <v>87</v>
      </c>
      <c r="AB516" s="18" t="s">
        <v>926</v>
      </c>
      <c r="AC516" s="18" t="s">
        <v>927</v>
      </c>
      <c r="AD516" s="18" t="s">
        <v>85</v>
      </c>
      <c r="AE516" s="18" t="s">
        <v>90</v>
      </c>
      <c r="AF516" s="18" t="s">
        <v>177</v>
      </c>
      <c r="AG516" s="18" t="s">
        <v>139</v>
      </c>
      <c r="AH516" s="18" t="s">
        <v>165</v>
      </c>
      <c r="AI516" s="18" t="s">
        <v>94</v>
      </c>
      <c r="AJ516" s="19">
        <v>44904</v>
      </c>
      <c r="AK516" s="22" t="s">
        <v>95</v>
      </c>
      <c r="AL516" s="18" t="s">
        <v>95</v>
      </c>
      <c r="AM516" s="18" t="s">
        <v>95</v>
      </c>
      <c r="AN516" s="18" t="s">
        <v>95</v>
      </c>
      <c r="AO516" s="18" t="s">
        <v>95</v>
      </c>
      <c r="AP516" s="18" t="s">
        <v>95</v>
      </c>
      <c r="AQ516" s="18" t="s">
        <v>95</v>
      </c>
      <c r="AR516" s="18" t="s">
        <v>95</v>
      </c>
      <c r="AS516" s="18" t="s">
        <v>83</v>
      </c>
      <c r="AT516" s="18" t="s">
        <v>83</v>
      </c>
      <c r="AU516" s="18" t="s">
        <v>81</v>
      </c>
      <c r="AV516" s="18" t="s">
        <v>95</v>
      </c>
      <c r="AW516" s="18" t="s">
        <v>95</v>
      </c>
      <c r="AX516" s="18"/>
      <c r="AY516" s="18" t="str">
        <f>Pospago[[#This Row],[NUM_TELEFONICO]]&amp;"POSPAGOSI"</f>
        <v>987173313POSPAGOSI</v>
      </c>
      <c r="AZ516" s="18" t="str">
        <f>VLOOKUP(Pospago[[#This Row],[NOM_PLAZA_FINAL]],[1]!Locales[#Data],3,0)</f>
        <v>TIENDA RECREO</v>
      </c>
      <c r="BA516" s="18" t="str">
        <f>IFERROR(VLOOKUP(Pospago[[#This Row],[USUARIO]],[1]!Personal[#Data],6,0),"EJECUTIVO NO REGISTRADO")</f>
        <v>CABEZAS LOPEZ ROBERTO ALEJANDRO</v>
      </c>
      <c r="BB516" s="18" t="str">
        <f>Pospago[[#This Row],[TIPO_MOVIMIENTO]]&amp;" "&amp;Pospago[[#This Row],[FORMA_PAGO_FINAL]]</f>
        <v>TRANSFERENCIAS DOMICILIADO</v>
      </c>
      <c r="BC516" s="18">
        <f>DAY(Pospago[[#This Row],[FECHA_ALTA]])</f>
        <v>9</v>
      </c>
      <c r="BD516" s="18">
        <f>IF(Pospago[[#This Row],[TARIFA_BASICA]]=11.42,1,0)</f>
        <v>0</v>
      </c>
      <c r="BE516" s="18">
        <f>IF(Pospago[[#This Row],[PLANES TELEVENTAS]]="SI",1,0)</f>
        <v>0</v>
      </c>
      <c r="BF516" s="18">
        <f>1</f>
        <v>1</v>
      </c>
      <c r="BG516" s="18">
        <f>IF(OR(Pospago[[#This Row],[TARIFA_BASICA]]=11.42,Pospago[[#This Row],[PLANES TELEVENTAS]]="SI"),1,0)</f>
        <v>0</v>
      </c>
      <c r="BH516" s="18" t="str">
        <f>IF(MID(Pospago[[#This Row],[PlanDesc]],1,4) = "PLAN","POSPAGO",IF(MID(Pospago[[#This Row],[PlanDesc]],1,4)="FULL","FULL MEGAS","PREVIOPAGO"))</f>
        <v>PREVIOPAGO</v>
      </c>
      <c r="BI5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16" s="21">
        <f>Pospago[[#This Row],[TARIFA_BASICA]]*1.5</f>
        <v>21.419999999999998</v>
      </c>
    </row>
    <row r="517" spans="1:63" x14ac:dyDescent="0.25">
      <c r="A517" s="18" t="s">
        <v>154</v>
      </c>
      <c r="B517" s="18" t="s">
        <v>3391</v>
      </c>
      <c r="C517" s="18" t="s">
        <v>3392</v>
      </c>
      <c r="D517" s="19">
        <v>44907</v>
      </c>
      <c r="E517" s="18" t="s">
        <v>67</v>
      </c>
      <c r="F517" s="18" t="s">
        <v>3393</v>
      </c>
      <c r="G517" s="18" t="s">
        <v>3394</v>
      </c>
      <c r="H517" s="18" t="s">
        <v>159</v>
      </c>
      <c r="I517" s="18" t="s">
        <v>392</v>
      </c>
      <c r="J517" s="18" t="s">
        <v>393</v>
      </c>
      <c r="K517" s="18" t="s">
        <v>132</v>
      </c>
      <c r="L517" s="20" t="s">
        <v>3395</v>
      </c>
      <c r="M517" s="18" t="s">
        <v>75</v>
      </c>
      <c r="N517" s="20" t="s">
        <v>3396</v>
      </c>
      <c r="O517" s="18" t="s">
        <v>164</v>
      </c>
      <c r="P517" s="18" t="s">
        <v>78</v>
      </c>
      <c r="Q517" s="19">
        <v>44914</v>
      </c>
      <c r="R517" s="21">
        <v>15</v>
      </c>
      <c r="S517" s="18" t="s">
        <v>79</v>
      </c>
      <c r="T517" s="18" t="s">
        <v>232</v>
      </c>
      <c r="U517" s="18" t="s">
        <v>83</v>
      </c>
      <c r="V517" s="18" t="s">
        <v>95</v>
      </c>
      <c r="W517" s="18" t="s">
        <v>95</v>
      </c>
      <c r="X517" s="18" t="s">
        <v>84</v>
      </c>
      <c r="Y517" s="18" t="s">
        <v>85</v>
      </c>
      <c r="Z517" s="18" t="s">
        <v>86</v>
      </c>
      <c r="AA517" s="18" t="s">
        <v>87</v>
      </c>
      <c r="AB517" s="18" t="s">
        <v>280</v>
      </c>
      <c r="AC517" s="18" t="s">
        <v>281</v>
      </c>
      <c r="AD517" s="18" t="s">
        <v>85</v>
      </c>
      <c r="AE517" s="18" t="s">
        <v>90</v>
      </c>
      <c r="AF517" s="18" t="s">
        <v>235</v>
      </c>
      <c r="AG517" s="18" t="s">
        <v>139</v>
      </c>
      <c r="AH517" s="18" t="s">
        <v>165</v>
      </c>
      <c r="AI517" s="18" t="s">
        <v>94</v>
      </c>
      <c r="AJ517" s="19">
        <v>44907</v>
      </c>
      <c r="AK517" s="22" t="s">
        <v>95</v>
      </c>
      <c r="AL517" s="18" t="s">
        <v>95</v>
      </c>
      <c r="AM517" s="18" t="s">
        <v>95</v>
      </c>
      <c r="AN517" s="18" t="s">
        <v>95</v>
      </c>
      <c r="AO517" s="18" t="s">
        <v>95</v>
      </c>
      <c r="AP517" s="18" t="s">
        <v>95</v>
      </c>
      <c r="AQ517" s="18" t="s">
        <v>95</v>
      </c>
      <c r="AR517" s="18" t="s">
        <v>95</v>
      </c>
      <c r="AS517" s="18" t="s">
        <v>83</v>
      </c>
      <c r="AT517" s="18" t="s">
        <v>81</v>
      </c>
      <c r="AU517" s="18" t="s">
        <v>81</v>
      </c>
      <c r="AV517" s="18" t="s">
        <v>95</v>
      </c>
      <c r="AW517" s="18" t="s">
        <v>95</v>
      </c>
      <c r="AX517" s="18"/>
      <c r="AY517" s="18" t="str">
        <f>Pospago[[#This Row],[NUM_TELEFONICO]]&amp;"POSPAGOSI"</f>
        <v>987179623POSPAGOSI</v>
      </c>
      <c r="AZ517" s="18" t="str">
        <f>VLOOKUP(Pospago[[#This Row],[NOM_PLAZA_FINAL]],[1]!Locales[#Data],3,0)</f>
        <v>TIENDA CONDADO</v>
      </c>
      <c r="BA517" s="18" t="str">
        <f>IFERROR(VLOOKUP(Pospago[[#This Row],[USUARIO]],[1]!Personal[#Data],6,0),"EJECUTIVO NO REGISTRADO")</f>
        <v>GUACHAMIN CAZA HUGO ADRIAN</v>
      </c>
      <c r="BB517" s="18" t="str">
        <f>Pospago[[#This Row],[TIPO_MOVIMIENTO]]&amp;" "&amp;Pospago[[#This Row],[FORMA_PAGO_FINAL]]</f>
        <v>TRANSFERENCIAS DOMICILIADO</v>
      </c>
      <c r="BC517" s="18">
        <f>DAY(Pospago[[#This Row],[FECHA_ALTA]])</f>
        <v>12</v>
      </c>
      <c r="BD517" s="18">
        <f>IF(Pospago[[#This Row],[TARIFA_BASICA]]=11.42,1,0)</f>
        <v>0</v>
      </c>
      <c r="BE517" s="18">
        <f>IF(Pospago[[#This Row],[PLANES TELEVENTAS]]="SI",1,0)</f>
        <v>1</v>
      </c>
      <c r="BF517" s="18">
        <f>1</f>
        <v>1</v>
      </c>
      <c r="BG517" s="18">
        <f>IF(OR(Pospago[[#This Row],[TARIFA_BASICA]]=11.42,Pospago[[#This Row],[PLANES TELEVENTAS]]="SI"),1,0)</f>
        <v>1</v>
      </c>
      <c r="BH517" s="18" t="str">
        <f>IF(MID(Pospago[[#This Row],[PlanDesc]],1,4) = "PLAN","POSPAGO",IF(MID(Pospago[[#This Row],[PlanDesc]],1,4)="FULL","FULL MEGAS","PREVIOPAGO"))</f>
        <v>PREVIOPAGO</v>
      </c>
      <c r="BI5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5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17" s="21">
        <f>Pospago[[#This Row],[TARIFA_BASICA]]*1.5</f>
        <v>22.5</v>
      </c>
    </row>
    <row r="518" spans="1:63" x14ac:dyDescent="0.25">
      <c r="A518" s="18" t="s">
        <v>154</v>
      </c>
      <c r="B518" s="18" t="s">
        <v>3397</v>
      </c>
      <c r="C518" s="18" t="s">
        <v>3398</v>
      </c>
      <c r="D518" s="19">
        <v>44903</v>
      </c>
      <c r="E518" s="18" t="s">
        <v>67</v>
      </c>
      <c r="F518" s="18" t="s">
        <v>3399</v>
      </c>
      <c r="G518" s="18" t="s">
        <v>3400</v>
      </c>
      <c r="H518" s="18" t="s">
        <v>159</v>
      </c>
      <c r="I518" s="18" t="s">
        <v>1357</v>
      </c>
      <c r="J518" s="18" t="s">
        <v>2022</v>
      </c>
      <c r="K518" s="18" t="s">
        <v>132</v>
      </c>
      <c r="L518" s="20" t="s">
        <v>3401</v>
      </c>
      <c r="M518" s="18" t="s">
        <v>75</v>
      </c>
      <c r="N518" s="20" t="s">
        <v>3402</v>
      </c>
      <c r="O518" s="18" t="s">
        <v>164</v>
      </c>
      <c r="P518" s="18" t="s">
        <v>78</v>
      </c>
      <c r="Q518" s="19">
        <v>44914</v>
      </c>
      <c r="R518" s="21">
        <v>11.42</v>
      </c>
      <c r="S518" s="18" t="s">
        <v>79</v>
      </c>
      <c r="T518" s="18" t="s">
        <v>174</v>
      </c>
      <c r="U518" s="18" t="s">
        <v>83</v>
      </c>
      <c r="V518" s="18" t="s">
        <v>95</v>
      </c>
      <c r="W518" s="18" t="s">
        <v>95</v>
      </c>
      <c r="X518" s="18" t="s">
        <v>84</v>
      </c>
      <c r="Y518" s="18" t="s">
        <v>85</v>
      </c>
      <c r="Z518" s="18" t="s">
        <v>86</v>
      </c>
      <c r="AA518" s="18" t="s">
        <v>87</v>
      </c>
      <c r="AB518" s="18" t="s">
        <v>926</v>
      </c>
      <c r="AC518" s="18" t="s">
        <v>927</v>
      </c>
      <c r="AD518" s="18" t="s">
        <v>85</v>
      </c>
      <c r="AE518" s="18" t="s">
        <v>90</v>
      </c>
      <c r="AF518" s="18" t="s">
        <v>177</v>
      </c>
      <c r="AG518" s="18" t="s">
        <v>139</v>
      </c>
      <c r="AH518" s="18" t="s">
        <v>165</v>
      </c>
      <c r="AI518" s="18" t="s">
        <v>94</v>
      </c>
      <c r="AJ518" s="19">
        <v>44903</v>
      </c>
      <c r="AK518" s="22" t="s">
        <v>95</v>
      </c>
      <c r="AL518" s="18" t="s">
        <v>95</v>
      </c>
      <c r="AM518" s="18" t="s">
        <v>95</v>
      </c>
      <c r="AN518" s="18" t="s">
        <v>95</v>
      </c>
      <c r="AO518" s="18" t="s">
        <v>95</v>
      </c>
      <c r="AP518" s="18" t="s">
        <v>95</v>
      </c>
      <c r="AQ518" s="18" t="s">
        <v>95</v>
      </c>
      <c r="AR518" s="18" t="s">
        <v>95</v>
      </c>
      <c r="AS518" s="18" t="s">
        <v>83</v>
      </c>
      <c r="AT518" s="18" t="s">
        <v>81</v>
      </c>
      <c r="AU518" s="18" t="s">
        <v>81</v>
      </c>
      <c r="AV518" s="18" t="s">
        <v>95</v>
      </c>
      <c r="AW518" s="18" t="s">
        <v>95</v>
      </c>
      <c r="AX518" s="18"/>
      <c r="AY518" s="18" t="str">
        <f>Pospago[[#This Row],[NUM_TELEFONICO]]&amp;"POSPAGOSI"</f>
        <v>987202161POSPAGOSI</v>
      </c>
      <c r="AZ518" s="18" t="str">
        <f>VLOOKUP(Pospago[[#This Row],[NOM_PLAZA_FINAL]],[1]!Locales[#Data],3,0)</f>
        <v>TIENDA RECREO</v>
      </c>
      <c r="BA518" s="18" t="str">
        <f>IFERROR(VLOOKUP(Pospago[[#This Row],[USUARIO]],[1]!Personal[#Data],6,0),"EJECUTIVO NO REGISTRADO")</f>
        <v>CABEZAS LOPEZ ROBERTO ALEJANDRO</v>
      </c>
      <c r="BB518" s="18" t="str">
        <f>Pospago[[#This Row],[TIPO_MOVIMIENTO]]&amp;" "&amp;Pospago[[#This Row],[FORMA_PAGO_FINAL]]</f>
        <v>TRANSFERENCIAS DOMICILIADO</v>
      </c>
      <c r="BC518" s="18">
        <f>DAY(Pospago[[#This Row],[FECHA_ALTA]])</f>
        <v>8</v>
      </c>
      <c r="BD518" s="18">
        <f>IF(Pospago[[#This Row],[TARIFA_BASICA]]=11.42,1,0)</f>
        <v>1</v>
      </c>
      <c r="BE518" s="18">
        <f>IF(Pospago[[#This Row],[PLANES TELEVENTAS]]="SI",1,0)</f>
        <v>1</v>
      </c>
      <c r="BF518" s="18">
        <f>1</f>
        <v>1</v>
      </c>
      <c r="BG518" s="18">
        <f>IF(OR(Pospago[[#This Row],[TARIFA_BASICA]]=11.42,Pospago[[#This Row],[PLANES TELEVENTAS]]="SI"),1,0)</f>
        <v>1</v>
      </c>
      <c r="BH518" s="18" t="str">
        <f>IF(MID(Pospago[[#This Row],[PlanDesc]],1,4) = "PLAN","POSPAGO",IF(MID(Pospago[[#This Row],[PlanDesc]],1,4)="FULL","FULL MEGAS","PREVIOPAGO"))</f>
        <v>PREVIOPAGO</v>
      </c>
      <c r="BI5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5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18" s="21">
        <f>Pospago[[#This Row],[TARIFA_BASICA]]*1.5</f>
        <v>17.13</v>
      </c>
    </row>
    <row r="519" spans="1:63" x14ac:dyDescent="0.25">
      <c r="A519" s="18" t="s">
        <v>154</v>
      </c>
      <c r="B519" s="18" t="s">
        <v>3403</v>
      </c>
      <c r="C519" s="18" t="s">
        <v>3404</v>
      </c>
      <c r="D519" s="19">
        <v>44908</v>
      </c>
      <c r="E519" s="18" t="s">
        <v>67</v>
      </c>
      <c r="F519" s="18" t="s">
        <v>3405</v>
      </c>
      <c r="G519" s="18" t="s">
        <v>3406</v>
      </c>
      <c r="H519" s="18" t="s">
        <v>159</v>
      </c>
      <c r="I519" s="18" t="s">
        <v>160</v>
      </c>
      <c r="J519" s="18" t="s">
        <v>161</v>
      </c>
      <c r="K519" s="18" t="s">
        <v>95</v>
      </c>
      <c r="L519" s="20" t="s">
        <v>3407</v>
      </c>
      <c r="M519" s="18" t="s">
        <v>75</v>
      </c>
      <c r="N519" s="20" t="s">
        <v>3408</v>
      </c>
      <c r="O519" s="18" t="s">
        <v>164</v>
      </c>
      <c r="P519" s="18" t="s">
        <v>78</v>
      </c>
      <c r="Q519" s="19">
        <v>44914</v>
      </c>
      <c r="R519" s="21">
        <v>14.28</v>
      </c>
      <c r="S519" s="18" t="s">
        <v>79</v>
      </c>
      <c r="T519" s="18" t="s">
        <v>174</v>
      </c>
      <c r="U519" s="18" t="s">
        <v>83</v>
      </c>
      <c r="V519" s="18" t="s">
        <v>95</v>
      </c>
      <c r="W519" s="18" t="s">
        <v>95</v>
      </c>
      <c r="X519" s="18" t="s">
        <v>118</v>
      </c>
      <c r="Y519" s="18" t="s">
        <v>85</v>
      </c>
      <c r="Z519" s="18" t="s">
        <v>86</v>
      </c>
      <c r="AA519" s="18" t="s">
        <v>119</v>
      </c>
      <c r="AB519" s="18" t="s">
        <v>918</v>
      </c>
      <c r="AC519" s="18" t="s">
        <v>919</v>
      </c>
      <c r="AD519" s="18" t="s">
        <v>85</v>
      </c>
      <c r="AE519" s="18" t="s">
        <v>90</v>
      </c>
      <c r="AF519" s="18" t="s">
        <v>177</v>
      </c>
      <c r="AG519" s="18" t="s">
        <v>139</v>
      </c>
      <c r="AH519" s="18" t="s">
        <v>165</v>
      </c>
      <c r="AI519" s="18" t="s">
        <v>94</v>
      </c>
      <c r="AJ519" s="19">
        <v>44908</v>
      </c>
      <c r="AK519" s="22" t="s">
        <v>95</v>
      </c>
      <c r="AL519" s="18" t="s">
        <v>95</v>
      </c>
      <c r="AM519" s="18" t="s">
        <v>95</v>
      </c>
      <c r="AN519" s="18" t="s">
        <v>95</v>
      </c>
      <c r="AO519" s="18" t="s">
        <v>95</v>
      </c>
      <c r="AP519" s="18" t="s">
        <v>95</v>
      </c>
      <c r="AQ519" s="18" t="s">
        <v>95</v>
      </c>
      <c r="AR519" s="18" t="s">
        <v>95</v>
      </c>
      <c r="AS519" s="18" t="s">
        <v>83</v>
      </c>
      <c r="AT519" s="18" t="s">
        <v>83</v>
      </c>
      <c r="AU519" s="18" t="s">
        <v>81</v>
      </c>
      <c r="AV519" s="18" t="s">
        <v>95</v>
      </c>
      <c r="AW519" s="18" t="s">
        <v>95</v>
      </c>
      <c r="AX519" s="18"/>
      <c r="AY519" s="18" t="str">
        <f>Pospago[[#This Row],[NUM_TELEFONICO]]&amp;"POSPAGOSI"</f>
        <v>987205376POSPAGOSI</v>
      </c>
      <c r="AZ519" s="18" t="str">
        <f>VLOOKUP(Pospago[[#This Row],[NOM_PLAZA_FINAL]],[1]!Locales[#Data],3,0)</f>
        <v>TIENDA RECREO</v>
      </c>
      <c r="BA519" s="18" t="str">
        <f>IFERROR(VLOOKUP(Pospago[[#This Row],[USUARIO]],[1]!Personal[#Data],6,0),"EJECUTIVO NO REGISTRADO")</f>
        <v>ORELLANA CARRERA MICHAEL ALEXANDER</v>
      </c>
      <c r="BB519" s="18" t="str">
        <f>Pospago[[#This Row],[TIPO_MOVIMIENTO]]&amp;" "&amp;Pospago[[#This Row],[FORMA_PAGO_FINAL]]</f>
        <v>TRANSFERENCIAS PAGO EN CAJA</v>
      </c>
      <c r="BC519" s="18">
        <f>DAY(Pospago[[#This Row],[FECHA_ALTA]])</f>
        <v>13</v>
      </c>
      <c r="BD519" s="18">
        <f>IF(Pospago[[#This Row],[TARIFA_BASICA]]=11.42,1,0)</f>
        <v>0</v>
      </c>
      <c r="BE519" s="18">
        <f>IF(Pospago[[#This Row],[PLANES TELEVENTAS]]="SI",1,0)</f>
        <v>0</v>
      </c>
      <c r="BF519" s="18">
        <f>1</f>
        <v>1</v>
      </c>
      <c r="BG519" s="18">
        <f>IF(OR(Pospago[[#This Row],[TARIFA_BASICA]]=11.42,Pospago[[#This Row],[PLANES TELEVENTAS]]="SI"),1,0)</f>
        <v>0</v>
      </c>
      <c r="BH519" s="18" t="str">
        <f>IF(MID(Pospago[[#This Row],[PlanDesc]],1,4) = "PLAN","POSPAGO",IF(MID(Pospago[[#This Row],[PlanDesc]],1,4)="FULL","FULL MEGAS","PREVIOPAGO"))</f>
        <v>PREVIOPAGO</v>
      </c>
      <c r="BI5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19" s="21">
        <f>Pospago[[#This Row],[TARIFA_BASICA]]*1.5</f>
        <v>21.419999999999998</v>
      </c>
    </row>
    <row r="520" spans="1:63" x14ac:dyDescent="0.25">
      <c r="A520" s="18" t="s">
        <v>154</v>
      </c>
      <c r="B520" s="18" t="s">
        <v>3409</v>
      </c>
      <c r="C520" s="18" t="s">
        <v>3410</v>
      </c>
      <c r="D520" s="19">
        <v>44907</v>
      </c>
      <c r="E520" s="18" t="s">
        <v>67</v>
      </c>
      <c r="F520" s="18" t="s">
        <v>3411</v>
      </c>
      <c r="G520" s="18" t="s">
        <v>3412</v>
      </c>
      <c r="H520" s="18" t="s">
        <v>159</v>
      </c>
      <c r="I520" s="18" t="s">
        <v>160</v>
      </c>
      <c r="J520" s="18" t="s">
        <v>161</v>
      </c>
      <c r="K520" s="18" t="s">
        <v>132</v>
      </c>
      <c r="L520" s="20" t="s">
        <v>3413</v>
      </c>
      <c r="M520" s="18" t="s">
        <v>75</v>
      </c>
      <c r="N520" s="20" t="s">
        <v>3414</v>
      </c>
      <c r="O520" s="18" t="s">
        <v>164</v>
      </c>
      <c r="P520" s="18" t="s">
        <v>78</v>
      </c>
      <c r="Q520" s="19">
        <v>44914</v>
      </c>
      <c r="R520" s="21">
        <v>14.28</v>
      </c>
      <c r="S520" s="18" t="s">
        <v>79</v>
      </c>
      <c r="T520" s="18" t="s">
        <v>174</v>
      </c>
      <c r="U520" s="18" t="s">
        <v>83</v>
      </c>
      <c r="V520" s="18" t="s">
        <v>95</v>
      </c>
      <c r="W520" s="18" t="s">
        <v>95</v>
      </c>
      <c r="X520" s="18" t="s">
        <v>118</v>
      </c>
      <c r="Y520" s="18" t="s">
        <v>85</v>
      </c>
      <c r="Z520" s="18" t="s">
        <v>86</v>
      </c>
      <c r="AA520" s="18" t="s">
        <v>119</v>
      </c>
      <c r="AB520" s="18" t="s">
        <v>262</v>
      </c>
      <c r="AC520" s="18" t="s">
        <v>263</v>
      </c>
      <c r="AD520" s="18" t="s">
        <v>85</v>
      </c>
      <c r="AE520" s="18" t="s">
        <v>90</v>
      </c>
      <c r="AF520" s="18" t="s">
        <v>177</v>
      </c>
      <c r="AG520" s="18" t="s">
        <v>139</v>
      </c>
      <c r="AH520" s="18" t="s">
        <v>165</v>
      </c>
      <c r="AI520" s="18" t="s">
        <v>94</v>
      </c>
      <c r="AJ520" s="19">
        <v>44907</v>
      </c>
      <c r="AK520" s="22" t="s">
        <v>95</v>
      </c>
      <c r="AL520" s="18" t="s">
        <v>95</v>
      </c>
      <c r="AM520" s="18" t="s">
        <v>95</v>
      </c>
      <c r="AN520" s="18" t="s">
        <v>95</v>
      </c>
      <c r="AO520" s="18" t="s">
        <v>95</v>
      </c>
      <c r="AP520" s="18" t="s">
        <v>95</v>
      </c>
      <c r="AQ520" s="18" t="s">
        <v>95</v>
      </c>
      <c r="AR520" s="18" t="s">
        <v>95</v>
      </c>
      <c r="AS520" s="18" t="s">
        <v>83</v>
      </c>
      <c r="AT520" s="18" t="s">
        <v>83</v>
      </c>
      <c r="AU520" s="18" t="s">
        <v>81</v>
      </c>
      <c r="AV520" s="18" t="s">
        <v>95</v>
      </c>
      <c r="AW520" s="18" t="s">
        <v>95</v>
      </c>
      <c r="AX520" s="18"/>
      <c r="AY520" s="18" t="str">
        <f>Pospago[[#This Row],[NUM_TELEFONICO]]&amp;"POSPAGOSI"</f>
        <v>987206078POSPAGOSI</v>
      </c>
      <c r="AZ520" s="18" t="str">
        <f>VLOOKUP(Pospago[[#This Row],[NOM_PLAZA_FINAL]],[1]!Locales[#Data],3,0)</f>
        <v>TIENDA RECREO</v>
      </c>
      <c r="BA520" s="18" t="str">
        <f>IFERROR(VLOOKUP(Pospago[[#This Row],[USUARIO]],[1]!Personal[#Data],6,0),"EJECUTIVO NO REGISTRADO")</f>
        <v>CHICAIZA TOAPANTA ALEX DANILO</v>
      </c>
      <c r="BB520" s="18" t="str">
        <f>Pospago[[#This Row],[TIPO_MOVIMIENTO]]&amp;" "&amp;Pospago[[#This Row],[FORMA_PAGO_FINAL]]</f>
        <v>TRANSFERENCIAS PAGO EN CAJA</v>
      </c>
      <c r="BC520" s="18">
        <f>DAY(Pospago[[#This Row],[FECHA_ALTA]])</f>
        <v>12</v>
      </c>
      <c r="BD520" s="18">
        <f>IF(Pospago[[#This Row],[TARIFA_BASICA]]=11.42,1,0)</f>
        <v>0</v>
      </c>
      <c r="BE520" s="18">
        <f>IF(Pospago[[#This Row],[PLANES TELEVENTAS]]="SI",1,0)</f>
        <v>0</v>
      </c>
      <c r="BF520" s="18">
        <f>1</f>
        <v>1</v>
      </c>
      <c r="BG520" s="18">
        <f>IF(OR(Pospago[[#This Row],[TARIFA_BASICA]]=11.42,Pospago[[#This Row],[PLANES TELEVENTAS]]="SI"),1,0)</f>
        <v>0</v>
      </c>
      <c r="BH520" s="18" t="str">
        <f>IF(MID(Pospago[[#This Row],[PlanDesc]],1,4) = "PLAN","POSPAGO",IF(MID(Pospago[[#This Row],[PlanDesc]],1,4)="FULL","FULL MEGAS","PREVIOPAGO"))</f>
        <v>PREVIOPAGO</v>
      </c>
      <c r="BI5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0" s="21">
        <f>Pospago[[#This Row],[TARIFA_BASICA]]*1.5</f>
        <v>21.419999999999998</v>
      </c>
    </row>
    <row r="521" spans="1:63" x14ac:dyDescent="0.25">
      <c r="A521" s="18" t="s">
        <v>64</v>
      </c>
      <c r="B521" s="18" t="s">
        <v>3415</v>
      </c>
      <c r="C521" s="18" t="s">
        <v>3416</v>
      </c>
      <c r="D521" s="19">
        <v>44896</v>
      </c>
      <c r="E521" s="18" t="s">
        <v>67</v>
      </c>
      <c r="F521" s="18" t="s">
        <v>3417</v>
      </c>
      <c r="G521" s="18" t="s">
        <v>3418</v>
      </c>
      <c r="H521" s="18" t="s">
        <v>70</v>
      </c>
      <c r="I521" s="18" t="s">
        <v>160</v>
      </c>
      <c r="J521" s="18" t="s">
        <v>195</v>
      </c>
      <c r="K521" s="18" t="s">
        <v>132</v>
      </c>
      <c r="L521" s="20" t="s">
        <v>3419</v>
      </c>
      <c r="M521" s="18" t="s">
        <v>75</v>
      </c>
      <c r="N521" s="20" t="s">
        <v>3420</v>
      </c>
      <c r="O521" s="18" t="s">
        <v>77</v>
      </c>
      <c r="P521" s="18" t="s">
        <v>78</v>
      </c>
      <c r="Q521" s="19">
        <v>44914</v>
      </c>
      <c r="R521" s="21">
        <v>14.28</v>
      </c>
      <c r="S521" s="18" t="s">
        <v>79</v>
      </c>
      <c r="T521" s="18" t="s">
        <v>135</v>
      </c>
      <c r="U521" s="18" t="s">
        <v>83</v>
      </c>
      <c r="V521" s="18" t="s">
        <v>95</v>
      </c>
      <c r="W521" s="18" t="s">
        <v>83</v>
      </c>
      <c r="X521" s="18" t="s">
        <v>84</v>
      </c>
      <c r="Y521" s="18" t="s">
        <v>85</v>
      </c>
      <c r="Z521" s="18" t="s">
        <v>86</v>
      </c>
      <c r="AA521" s="18" t="s">
        <v>87</v>
      </c>
      <c r="AB521" s="18" t="s">
        <v>478</v>
      </c>
      <c r="AC521" s="18" t="s">
        <v>479</v>
      </c>
      <c r="AD521" s="18" t="s">
        <v>85</v>
      </c>
      <c r="AE521" s="18" t="s">
        <v>90</v>
      </c>
      <c r="AF521" s="18" t="s">
        <v>138</v>
      </c>
      <c r="AG521" s="18" t="s">
        <v>139</v>
      </c>
      <c r="AH521" s="18" t="s">
        <v>93</v>
      </c>
      <c r="AI521" s="18" t="s">
        <v>94</v>
      </c>
      <c r="AJ521" s="19">
        <v>44896</v>
      </c>
      <c r="AK521" s="22" t="s">
        <v>95</v>
      </c>
      <c r="AL521" s="18" t="s">
        <v>95</v>
      </c>
      <c r="AM521" s="18" t="s">
        <v>95</v>
      </c>
      <c r="AN521" s="18" t="s">
        <v>95</v>
      </c>
      <c r="AO521" s="18" t="s">
        <v>95</v>
      </c>
      <c r="AP521" s="18" t="s">
        <v>95</v>
      </c>
      <c r="AQ521" s="18" t="s">
        <v>95</v>
      </c>
      <c r="AR521" s="18" t="s">
        <v>95</v>
      </c>
      <c r="AS521" s="18" t="s">
        <v>83</v>
      </c>
      <c r="AT521" s="18" t="s">
        <v>83</v>
      </c>
      <c r="AU521" s="18" t="s">
        <v>81</v>
      </c>
      <c r="AV521" s="18" t="s">
        <v>95</v>
      </c>
      <c r="AW521" s="18" t="s">
        <v>95</v>
      </c>
      <c r="AX521" s="18"/>
      <c r="AY521" s="18" t="str">
        <f>Pospago[[#This Row],[NUM_TELEFONICO]]&amp;"POSPAGOSI"</f>
        <v>987207668POSPAGOSI</v>
      </c>
      <c r="AZ521" s="18" t="str">
        <f>VLOOKUP(Pospago[[#This Row],[NOM_PLAZA_FINAL]],[1]!Locales[#Data],3,0)</f>
        <v>TIENDA AMERICA</v>
      </c>
      <c r="BA521" s="18" t="str">
        <f>IFERROR(VLOOKUP(Pospago[[#This Row],[USUARIO]],[1]!Personal[#Data],6,0),"EJECUTIVO NO REGISTRADO")</f>
        <v>REINO TUFINO PAULTEH KATHERINE</v>
      </c>
      <c r="BB521" s="18" t="str">
        <f>Pospago[[#This Row],[TIPO_MOVIMIENTO]]&amp;" "&amp;Pospago[[#This Row],[FORMA_PAGO_FINAL]]</f>
        <v>ALTAS DOMICILIADO</v>
      </c>
      <c r="BC521" s="18">
        <f>DAY(Pospago[[#This Row],[FECHA_ALTA]])</f>
        <v>1</v>
      </c>
      <c r="BD521" s="18">
        <f>IF(Pospago[[#This Row],[TARIFA_BASICA]]=11.42,1,0)</f>
        <v>0</v>
      </c>
      <c r="BE521" s="18">
        <f>IF(Pospago[[#This Row],[PLANES TELEVENTAS]]="SI",1,0)</f>
        <v>0</v>
      </c>
      <c r="BF521" s="18">
        <f>1</f>
        <v>1</v>
      </c>
      <c r="BG521" s="18">
        <f>IF(OR(Pospago[[#This Row],[TARIFA_BASICA]]=11.42,Pospago[[#This Row],[PLANES TELEVENTAS]]="SI"),1,0)</f>
        <v>0</v>
      </c>
      <c r="BH521" s="18" t="str">
        <f>IF(MID(Pospago[[#This Row],[PlanDesc]],1,4) = "PLAN","POSPAGO",IF(MID(Pospago[[#This Row],[PlanDesc]],1,4)="FULL","FULL MEGAS","PREVIOPAGO"))</f>
        <v>PREVIOPAGO</v>
      </c>
      <c r="BI5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1" s="21">
        <f>Pospago[[#This Row],[TARIFA_BASICA]]*1.5</f>
        <v>21.419999999999998</v>
      </c>
    </row>
    <row r="522" spans="1:63" x14ac:dyDescent="0.25">
      <c r="A522" s="18" t="s">
        <v>64</v>
      </c>
      <c r="B522" s="18" t="s">
        <v>3421</v>
      </c>
      <c r="C522" s="18" t="s">
        <v>3422</v>
      </c>
      <c r="D522" s="19">
        <v>44907</v>
      </c>
      <c r="E522" s="18" t="s">
        <v>67</v>
      </c>
      <c r="F522" s="18" t="s">
        <v>3423</v>
      </c>
      <c r="G522" s="18" t="s">
        <v>3424</v>
      </c>
      <c r="H522" s="18" t="s">
        <v>70</v>
      </c>
      <c r="I522" s="18" t="s">
        <v>211</v>
      </c>
      <c r="J522" s="18" t="s">
        <v>212</v>
      </c>
      <c r="K522" s="18" t="s">
        <v>132</v>
      </c>
      <c r="L522" s="20" t="s">
        <v>3425</v>
      </c>
      <c r="M522" s="18" t="s">
        <v>75</v>
      </c>
      <c r="N522" s="20" t="s">
        <v>3426</v>
      </c>
      <c r="O522" s="18" t="s">
        <v>77</v>
      </c>
      <c r="P522" s="18" t="s">
        <v>78</v>
      </c>
      <c r="Q522" s="19">
        <v>44914</v>
      </c>
      <c r="R522" s="21">
        <v>25</v>
      </c>
      <c r="S522" s="18" t="s">
        <v>79</v>
      </c>
      <c r="T522" s="18" t="s">
        <v>174</v>
      </c>
      <c r="U522" s="18" t="s">
        <v>83</v>
      </c>
      <c r="V522" s="18" t="s">
        <v>95</v>
      </c>
      <c r="W522" s="18" t="s">
        <v>83</v>
      </c>
      <c r="X522" s="18" t="s">
        <v>84</v>
      </c>
      <c r="Y522" s="18" t="s">
        <v>85</v>
      </c>
      <c r="Z522" s="18" t="s">
        <v>86</v>
      </c>
      <c r="AA522" s="18" t="s">
        <v>87</v>
      </c>
      <c r="AB522" s="18" t="s">
        <v>1315</v>
      </c>
      <c r="AC522" s="18" t="s">
        <v>1316</v>
      </c>
      <c r="AD522" s="18" t="s">
        <v>85</v>
      </c>
      <c r="AE522" s="18" t="s">
        <v>90</v>
      </c>
      <c r="AF522" s="18" t="s">
        <v>177</v>
      </c>
      <c r="AG522" s="18" t="s">
        <v>139</v>
      </c>
      <c r="AH522" s="18" t="s">
        <v>93</v>
      </c>
      <c r="AI522" s="18" t="s">
        <v>94</v>
      </c>
      <c r="AJ522" s="19">
        <v>44907</v>
      </c>
      <c r="AK522" s="22" t="s">
        <v>95</v>
      </c>
      <c r="AL522" s="18" t="s">
        <v>95</v>
      </c>
      <c r="AM522" s="18" t="s">
        <v>95</v>
      </c>
      <c r="AN522" s="18" t="s">
        <v>95</v>
      </c>
      <c r="AO522" s="18" t="s">
        <v>95</v>
      </c>
      <c r="AP522" s="18" t="s">
        <v>95</v>
      </c>
      <c r="AQ522" s="18" t="s">
        <v>95</v>
      </c>
      <c r="AR522" s="18" t="s">
        <v>95</v>
      </c>
      <c r="AS522" s="18" t="s">
        <v>83</v>
      </c>
      <c r="AT522" s="18" t="s">
        <v>95</v>
      </c>
      <c r="AU522" s="18" t="s">
        <v>95</v>
      </c>
      <c r="AV522" s="18" t="s">
        <v>95</v>
      </c>
      <c r="AW522" s="18" t="s">
        <v>95</v>
      </c>
      <c r="AX522" s="18"/>
      <c r="AY522" s="18" t="str">
        <f>Pospago[[#This Row],[NUM_TELEFONICO]]&amp;"POSPAGOSI"</f>
        <v>987215308POSPAGOSI</v>
      </c>
      <c r="AZ522" s="18" t="str">
        <f>VLOOKUP(Pospago[[#This Row],[NOM_PLAZA_FINAL]],[1]!Locales[#Data],3,0)</f>
        <v>TIENDA RECREO</v>
      </c>
      <c r="BA522" s="18" t="str">
        <f>IFERROR(VLOOKUP(Pospago[[#This Row],[USUARIO]],[1]!Personal[#Data],6,0),"EJECUTIVO NO REGISTRADO")</f>
        <v>ORTEGA  NATALIE MÉNDEZ</v>
      </c>
      <c r="BB522" s="18" t="str">
        <f>Pospago[[#This Row],[TIPO_MOVIMIENTO]]&amp;" "&amp;Pospago[[#This Row],[FORMA_PAGO_FINAL]]</f>
        <v>ALTAS DOMICILIADO</v>
      </c>
      <c r="BC522" s="18">
        <f>DAY(Pospago[[#This Row],[FECHA_ALTA]])</f>
        <v>12</v>
      </c>
      <c r="BD522" s="18">
        <f>IF(Pospago[[#This Row],[TARIFA_BASICA]]=11.42,1,0)</f>
        <v>0</v>
      </c>
      <c r="BE522" s="18">
        <f>IF(Pospago[[#This Row],[PLANES TELEVENTAS]]="SI",1,0)</f>
        <v>0</v>
      </c>
      <c r="BF522" s="18">
        <f>1</f>
        <v>1</v>
      </c>
      <c r="BG522" s="18">
        <f>IF(OR(Pospago[[#This Row],[TARIFA_BASICA]]=11.42,Pospago[[#This Row],[PLANES TELEVENTAS]]="SI"),1,0)</f>
        <v>0</v>
      </c>
      <c r="BH522" s="18" t="str">
        <f>IF(MID(Pospago[[#This Row],[PlanDesc]],1,4) = "PLAN","POSPAGO",IF(MID(Pospago[[#This Row],[PlanDesc]],1,4)="FULL","FULL MEGAS","PREVIOPAGO"))</f>
        <v>FULL MEGAS</v>
      </c>
      <c r="BI5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5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2" s="21">
        <f>Pospago[[#This Row],[TARIFA_BASICA]]*1.5</f>
        <v>37.5</v>
      </c>
    </row>
    <row r="523" spans="1:63" x14ac:dyDescent="0.25">
      <c r="A523" s="18" t="s">
        <v>154</v>
      </c>
      <c r="B523" s="18" t="s">
        <v>3427</v>
      </c>
      <c r="C523" s="18" t="s">
        <v>3428</v>
      </c>
      <c r="D523" s="19">
        <v>44906</v>
      </c>
      <c r="E523" s="18" t="s">
        <v>67</v>
      </c>
      <c r="F523" s="18" t="s">
        <v>3429</v>
      </c>
      <c r="G523" s="18" t="s">
        <v>3430</v>
      </c>
      <c r="H523" s="18" t="s">
        <v>159</v>
      </c>
      <c r="I523" s="18" t="s">
        <v>194</v>
      </c>
      <c r="J523" s="18" t="s">
        <v>268</v>
      </c>
      <c r="K523" s="18" t="s">
        <v>95</v>
      </c>
      <c r="L523" s="20" t="s">
        <v>3431</v>
      </c>
      <c r="M523" s="18" t="s">
        <v>75</v>
      </c>
      <c r="N523" s="20" t="s">
        <v>3432</v>
      </c>
      <c r="O523" s="18" t="s">
        <v>164</v>
      </c>
      <c r="P523" s="18" t="s">
        <v>78</v>
      </c>
      <c r="Q523" s="19">
        <v>44914</v>
      </c>
      <c r="R523" s="21">
        <v>14.28</v>
      </c>
      <c r="S523" s="18" t="s">
        <v>79</v>
      </c>
      <c r="T523" s="18" t="s">
        <v>232</v>
      </c>
      <c r="U523" s="18" t="s">
        <v>83</v>
      </c>
      <c r="V523" s="18" t="s">
        <v>95</v>
      </c>
      <c r="W523" s="18" t="s">
        <v>95</v>
      </c>
      <c r="X523" s="18" t="s">
        <v>118</v>
      </c>
      <c r="Y523" s="18" t="s">
        <v>85</v>
      </c>
      <c r="Z523" s="18" t="s">
        <v>86</v>
      </c>
      <c r="AA523" s="18" t="s">
        <v>119</v>
      </c>
      <c r="AB523" s="18" t="s">
        <v>280</v>
      </c>
      <c r="AC523" s="18" t="s">
        <v>281</v>
      </c>
      <c r="AD523" s="18" t="s">
        <v>85</v>
      </c>
      <c r="AE523" s="18" t="s">
        <v>90</v>
      </c>
      <c r="AF523" s="18" t="s">
        <v>235</v>
      </c>
      <c r="AG523" s="18" t="s">
        <v>139</v>
      </c>
      <c r="AH523" s="18" t="s">
        <v>165</v>
      </c>
      <c r="AI523" s="18" t="s">
        <v>94</v>
      </c>
      <c r="AJ523" s="19">
        <v>44906</v>
      </c>
      <c r="AK523" s="22" t="s">
        <v>95</v>
      </c>
      <c r="AL523" s="18" t="s">
        <v>95</v>
      </c>
      <c r="AM523" s="18" t="s">
        <v>95</v>
      </c>
      <c r="AN523" s="18" t="s">
        <v>95</v>
      </c>
      <c r="AO523" s="18" t="s">
        <v>95</v>
      </c>
      <c r="AP523" s="18" t="s">
        <v>95</v>
      </c>
      <c r="AQ523" s="18" t="s">
        <v>95</v>
      </c>
      <c r="AR523" s="18" t="s">
        <v>95</v>
      </c>
      <c r="AS523" s="18" t="s">
        <v>83</v>
      </c>
      <c r="AT523" s="18" t="s">
        <v>81</v>
      </c>
      <c r="AU523" s="18" t="s">
        <v>81</v>
      </c>
      <c r="AV523" s="18" t="s">
        <v>95</v>
      </c>
      <c r="AW523" s="18" t="s">
        <v>95</v>
      </c>
      <c r="AX523" s="18"/>
      <c r="AY523" s="18" t="str">
        <f>Pospago[[#This Row],[NUM_TELEFONICO]]&amp;"POSPAGOSI"</f>
        <v>987218786POSPAGOSI</v>
      </c>
      <c r="AZ523" s="18" t="str">
        <f>VLOOKUP(Pospago[[#This Row],[NOM_PLAZA_FINAL]],[1]!Locales[#Data],3,0)</f>
        <v>TIENDA CONDADO</v>
      </c>
      <c r="BA523" s="18" t="str">
        <f>IFERROR(VLOOKUP(Pospago[[#This Row],[USUARIO]],[1]!Personal[#Data],6,0),"EJECUTIVO NO REGISTRADO")</f>
        <v>GUACHAMIN CAZA HUGO ADRIAN</v>
      </c>
      <c r="BB523" s="18" t="str">
        <f>Pospago[[#This Row],[TIPO_MOVIMIENTO]]&amp;" "&amp;Pospago[[#This Row],[FORMA_PAGO_FINAL]]</f>
        <v>TRANSFERENCIAS PAGO EN CAJA</v>
      </c>
      <c r="BC523" s="18">
        <f>DAY(Pospago[[#This Row],[FECHA_ALTA]])</f>
        <v>11</v>
      </c>
      <c r="BD523" s="18">
        <f>IF(Pospago[[#This Row],[TARIFA_BASICA]]=11.42,1,0)</f>
        <v>0</v>
      </c>
      <c r="BE523" s="18">
        <f>IF(Pospago[[#This Row],[PLANES TELEVENTAS]]="SI",1,0)</f>
        <v>1</v>
      </c>
      <c r="BF523" s="18">
        <f>1</f>
        <v>1</v>
      </c>
      <c r="BG523" s="18">
        <f>IF(OR(Pospago[[#This Row],[TARIFA_BASICA]]=11.42,Pospago[[#This Row],[PLANES TELEVENTAS]]="SI"),1,0)</f>
        <v>1</v>
      </c>
      <c r="BH523" s="18" t="str">
        <f>IF(MID(Pospago[[#This Row],[PlanDesc]],1,4) = "PLAN","POSPAGO",IF(MID(Pospago[[#This Row],[PlanDesc]],1,4)="FULL","FULL MEGAS","PREVIOPAGO"))</f>
        <v>PREVIOPAGO</v>
      </c>
      <c r="BI5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3" s="21">
        <f>Pospago[[#This Row],[TARIFA_BASICA]]*1.5</f>
        <v>21.419999999999998</v>
      </c>
    </row>
    <row r="524" spans="1:63" x14ac:dyDescent="0.25">
      <c r="A524" s="18" t="s">
        <v>64</v>
      </c>
      <c r="B524" s="18" t="s">
        <v>3433</v>
      </c>
      <c r="C524" s="18" t="s">
        <v>3434</v>
      </c>
      <c r="D524" s="19">
        <v>44911</v>
      </c>
      <c r="E524" s="18" t="s">
        <v>67</v>
      </c>
      <c r="F524" s="18" t="s">
        <v>3435</v>
      </c>
      <c r="G524" s="18" t="s">
        <v>3436</v>
      </c>
      <c r="H524" s="18" t="s">
        <v>70</v>
      </c>
      <c r="I524" s="18" t="s">
        <v>160</v>
      </c>
      <c r="J524" s="18" t="s">
        <v>195</v>
      </c>
      <c r="K524" s="18" t="s">
        <v>73</v>
      </c>
      <c r="L524" s="20" t="s">
        <v>3437</v>
      </c>
      <c r="M524" s="18" t="s">
        <v>75</v>
      </c>
      <c r="N524" s="20" t="s">
        <v>3438</v>
      </c>
      <c r="O524" s="18" t="s">
        <v>77</v>
      </c>
      <c r="P524" s="18" t="s">
        <v>78</v>
      </c>
      <c r="Q524" s="19">
        <v>44914</v>
      </c>
      <c r="R524" s="21">
        <v>14.28</v>
      </c>
      <c r="S524" s="18" t="s">
        <v>79</v>
      </c>
      <c r="T524" s="18" t="s">
        <v>232</v>
      </c>
      <c r="U524" s="18" t="s">
        <v>83</v>
      </c>
      <c r="V524" s="18" t="s">
        <v>95</v>
      </c>
      <c r="W524" s="18" t="s">
        <v>83</v>
      </c>
      <c r="X524" s="18" t="s">
        <v>84</v>
      </c>
      <c r="Y524" s="18" t="s">
        <v>85</v>
      </c>
      <c r="Z524" s="18" t="s">
        <v>86</v>
      </c>
      <c r="AA524" s="18" t="s">
        <v>87</v>
      </c>
      <c r="AB524" s="18" t="s">
        <v>443</v>
      </c>
      <c r="AC524" s="18" t="s">
        <v>444</v>
      </c>
      <c r="AD524" s="18" t="s">
        <v>85</v>
      </c>
      <c r="AE524" s="18" t="s">
        <v>90</v>
      </c>
      <c r="AF524" s="18" t="s">
        <v>235</v>
      </c>
      <c r="AG524" s="18" t="s">
        <v>139</v>
      </c>
      <c r="AH524" s="18" t="s">
        <v>93</v>
      </c>
      <c r="AI524" s="18" t="s">
        <v>94</v>
      </c>
      <c r="AJ524" s="19">
        <v>44911</v>
      </c>
      <c r="AK524" s="22" t="s">
        <v>95</v>
      </c>
      <c r="AL524" s="18" t="s">
        <v>95</v>
      </c>
      <c r="AM524" s="18" t="s">
        <v>95</v>
      </c>
      <c r="AN524" s="18" t="s">
        <v>95</v>
      </c>
      <c r="AO524" s="18" t="s">
        <v>95</v>
      </c>
      <c r="AP524" s="18" t="s">
        <v>95</v>
      </c>
      <c r="AQ524" s="18" t="s">
        <v>95</v>
      </c>
      <c r="AR524" s="18" t="s">
        <v>95</v>
      </c>
      <c r="AS524" s="18" t="s">
        <v>83</v>
      </c>
      <c r="AT524" s="18" t="s">
        <v>83</v>
      </c>
      <c r="AU524" s="18" t="s">
        <v>81</v>
      </c>
      <c r="AV524" s="18" t="s">
        <v>95</v>
      </c>
      <c r="AW524" s="18" t="s">
        <v>291</v>
      </c>
      <c r="AX524" s="18"/>
      <c r="AY524" s="18" t="str">
        <f>Pospago[[#This Row],[NUM_TELEFONICO]]&amp;"POSPAGOSI"</f>
        <v>987218837POSPAGOSI</v>
      </c>
      <c r="AZ524" s="18" t="str">
        <f>VLOOKUP(Pospago[[#This Row],[NOM_PLAZA_FINAL]],[1]!Locales[#Data],3,0)</f>
        <v>TIENDA CONDADO</v>
      </c>
      <c r="BA524" s="18" t="str">
        <f>IFERROR(VLOOKUP(Pospago[[#This Row],[USUARIO]],[1]!Personal[#Data],6,0),"EJECUTIVO NO REGISTRADO")</f>
        <v>JARAMILLO ESPINOZA KENIA KATRINA</v>
      </c>
      <c r="BB524" s="18" t="str">
        <f>Pospago[[#This Row],[TIPO_MOVIMIENTO]]&amp;" "&amp;Pospago[[#This Row],[FORMA_PAGO_FINAL]]</f>
        <v>ALTAS DOMICILIADO</v>
      </c>
      <c r="BC524" s="18">
        <f>DAY(Pospago[[#This Row],[FECHA_ALTA]])</f>
        <v>16</v>
      </c>
      <c r="BD524" s="18">
        <f>IF(Pospago[[#This Row],[TARIFA_BASICA]]=11.42,1,0)</f>
        <v>0</v>
      </c>
      <c r="BE524" s="18">
        <f>IF(Pospago[[#This Row],[PLANES TELEVENTAS]]="SI",1,0)</f>
        <v>0</v>
      </c>
      <c r="BF524" s="18">
        <f>1</f>
        <v>1</v>
      </c>
      <c r="BG524" s="18">
        <f>IF(OR(Pospago[[#This Row],[TARIFA_BASICA]]=11.42,Pospago[[#This Row],[PLANES TELEVENTAS]]="SI"),1,0)</f>
        <v>0</v>
      </c>
      <c r="BH524" s="18" t="str">
        <f>IF(MID(Pospago[[#This Row],[PlanDesc]],1,4) = "PLAN","POSPAGO",IF(MID(Pospago[[#This Row],[PlanDesc]],1,4)="FULL","FULL MEGAS","PREVIOPAGO"))</f>
        <v>PREVIOPAGO</v>
      </c>
      <c r="BI5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4" s="21">
        <f>Pospago[[#This Row],[TARIFA_BASICA]]*1.5</f>
        <v>21.419999999999998</v>
      </c>
    </row>
    <row r="525" spans="1:63" x14ac:dyDescent="0.25">
      <c r="A525" s="18" t="s">
        <v>64</v>
      </c>
      <c r="B525" s="18" t="s">
        <v>3439</v>
      </c>
      <c r="C525" s="18" t="s">
        <v>3440</v>
      </c>
      <c r="D525" s="19">
        <v>44896</v>
      </c>
      <c r="E525" s="18" t="s">
        <v>67</v>
      </c>
      <c r="F525" s="18" t="s">
        <v>3441</v>
      </c>
      <c r="G525" s="18" t="s">
        <v>3442</v>
      </c>
      <c r="H525" s="18" t="s">
        <v>70</v>
      </c>
      <c r="I525" s="18" t="s">
        <v>574</v>
      </c>
      <c r="J525" s="18" t="s">
        <v>575</v>
      </c>
      <c r="K525" s="18" t="s">
        <v>73</v>
      </c>
      <c r="L525" s="20" t="s">
        <v>3443</v>
      </c>
      <c r="M525" s="18" t="s">
        <v>75</v>
      </c>
      <c r="N525" s="20" t="s">
        <v>3444</v>
      </c>
      <c r="O525" s="18" t="s">
        <v>311</v>
      </c>
      <c r="P525" s="18" t="s">
        <v>78</v>
      </c>
      <c r="Q525" s="19">
        <v>44914</v>
      </c>
      <c r="R525" s="21">
        <v>17.850000000000001</v>
      </c>
      <c r="S525" s="18" t="s">
        <v>79</v>
      </c>
      <c r="T525" s="18" t="s">
        <v>148</v>
      </c>
      <c r="U525" s="18" t="s">
        <v>83</v>
      </c>
      <c r="V525" s="18" t="s">
        <v>95</v>
      </c>
      <c r="W525" s="18" t="s">
        <v>83</v>
      </c>
      <c r="X525" s="18" t="s">
        <v>215</v>
      </c>
      <c r="Y525" s="18" t="s">
        <v>85</v>
      </c>
      <c r="Z525" s="18" t="s">
        <v>86</v>
      </c>
      <c r="AA525" s="18" t="s">
        <v>87</v>
      </c>
      <c r="AB525" s="18" t="s">
        <v>318</v>
      </c>
      <c r="AC525" s="18" t="s">
        <v>319</v>
      </c>
      <c r="AD525" s="18" t="s">
        <v>85</v>
      </c>
      <c r="AE525" s="18" t="s">
        <v>90</v>
      </c>
      <c r="AF525" s="18" t="s">
        <v>151</v>
      </c>
      <c r="AG525" s="18" t="s">
        <v>92</v>
      </c>
      <c r="AH525" s="18" t="s">
        <v>93</v>
      </c>
      <c r="AI525" s="18" t="s">
        <v>94</v>
      </c>
      <c r="AJ525" s="19">
        <v>44896</v>
      </c>
      <c r="AK525" s="22" t="s">
        <v>95</v>
      </c>
      <c r="AL525" s="18" t="s">
        <v>95</v>
      </c>
      <c r="AM525" s="18" t="s">
        <v>95</v>
      </c>
      <c r="AN525" s="18" t="s">
        <v>95</v>
      </c>
      <c r="AO525" s="18" t="s">
        <v>95</v>
      </c>
      <c r="AP525" s="18" t="s">
        <v>95</v>
      </c>
      <c r="AQ525" s="18" t="s">
        <v>95</v>
      </c>
      <c r="AR525" s="18" t="s">
        <v>95</v>
      </c>
      <c r="AS525" s="18" t="s">
        <v>83</v>
      </c>
      <c r="AT525" s="18" t="s">
        <v>83</v>
      </c>
      <c r="AU525" s="18" t="s">
        <v>83</v>
      </c>
      <c r="AV525" s="18" t="s">
        <v>95</v>
      </c>
      <c r="AW525" s="18" t="s">
        <v>95</v>
      </c>
      <c r="AX525" s="18"/>
      <c r="AY525" s="18" t="str">
        <f>Pospago[[#This Row],[NUM_TELEFONICO]]&amp;"POSPAGOSI"</f>
        <v>987220431POSPAGOSI</v>
      </c>
      <c r="AZ525" s="18" t="str">
        <f>VLOOKUP(Pospago[[#This Row],[NOM_PLAZA_FINAL]],[1]!Locales[#Data],3,0)</f>
        <v>TIENDA CUENCA REMIGIO</v>
      </c>
      <c r="BA525" s="18" t="str">
        <f>IFERROR(VLOOKUP(Pospago[[#This Row],[USUARIO]],[1]!Personal[#Data],6,0),"EJECUTIVO NO REGISTRADO")</f>
        <v>RODRIGUEZ QUITO JESSICA GABRIELA</v>
      </c>
      <c r="BB525" s="18" t="str">
        <f>Pospago[[#This Row],[TIPO_MOVIMIENTO]]&amp;" "&amp;Pospago[[#This Row],[FORMA_PAGO_FINAL]]</f>
        <v>ALTAS DOMICILIADO</v>
      </c>
      <c r="BC525" s="18">
        <f>DAY(Pospago[[#This Row],[FECHA_ALTA]])</f>
        <v>1</v>
      </c>
      <c r="BD525" s="18">
        <f>IF(Pospago[[#This Row],[TARIFA_BASICA]]=11.42,1,0)</f>
        <v>0</v>
      </c>
      <c r="BE525" s="18">
        <f>IF(Pospago[[#This Row],[PLANES TELEVENTAS]]="SI",1,0)</f>
        <v>0</v>
      </c>
      <c r="BF525" s="18">
        <f>1</f>
        <v>1</v>
      </c>
      <c r="BG525" s="18">
        <f>IF(OR(Pospago[[#This Row],[TARIFA_BASICA]]=11.42,Pospago[[#This Row],[PLANES TELEVENTAS]]="SI"),1,0)</f>
        <v>0</v>
      </c>
      <c r="BH525" s="18" t="str">
        <f>IF(MID(Pospago[[#This Row],[PlanDesc]],1,4) = "PLAN","POSPAGO",IF(MID(Pospago[[#This Row],[PlanDesc]],1,4)="FULL","FULL MEGAS","PREVIOPAGO"))</f>
        <v>POSPAGO</v>
      </c>
      <c r="BI5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5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5" s="21">
        <f>Pospago[[#This Row],[TARIFA_BASICA]]*1.5</f>
        <v>26.775000000000002</v>
      </c>
    </row>
    <row r="526" spans="1:63" x14ac:dyDescent="0.25">
      <c r="A526" s="18" t="s">
        <v>64</v>
      </c>
      <c r="B526" s="18" t="s">
        <v>3445</v>
      </c>
      <c r="C526" s="18" t="s">
        <v>3446</v>
      </c>
      <c r="D526" s="19">
        <v>44904</v>
      </c>
      <c r="E526" s="18" t="s">
        <v>67</v>
      </c>
      <c r="F526" s="18" t="s">
        <v>3447</v>
      </c>
      <c r="G526" s="18" t="s">
        <v>3448</v>
      </c>
      <c r="H526" s="18" t="s">
        <v>70</v>
      </c>
      <c r="I526" s="18" t="s">
        <v>112</v>
      </c>
      <c r="J526" s="18" t="s">
        <v>113</v>
      </c>
      <c r="K526" s="18" t="s">
        <v>648</v>
      </c>
      <c r="L526" s="20" t="s">
        <v>3449</v>
      </c>
      <c r="M526" s="18" t="s">
        <v>75</v>
      </c>
      <c r="N526" s="20" t="s">
        <v>3450</v>
      </c>
      <c r="O526" s="18" t="s">
        <v>77</v>
      </c>
      <c r="P526" s="18" t="s">
        <v>78</v>
      </c>
      <c r="Q526" s="19">
        <v>44914</v>
      </c>
      <c r="R526" s="21">
        <v>17.850000000000001</v>
      </c>
      <c r="S526" s="18" t="s">
        <v>79</v>
      </c>
      <c r="T526" s="18" t="s">
        <v>174</v>
      </c>
      <c r="U526" s="18" t="s">
        <v>83</v>
      </c>
      <c r="V526" s="18" t="s">
        <v>95</v>
      </c>
      <c r="W526" s="18" t="s">
        <v>83</v>
      </c>
      <c r="X526" s="18" t="s">
        <v>84</v>
      </c>
      <c r="Y526" s="18" t="s">
        <v>85</v>
      </c>
      <c r="Z526" s="18" t="s">
        <v>86</v>
      </c>
      <c r="AA526" s="18" t="s">
        <v>87</v>
      </c>
      <c r="AB526" s="18" t="s">
        <v>175</v>
      </c>
      <c r="AC526" s="18" t="s">
        <v>176</v>
      </c>
      <c r="AD526" s="18" t="s">
        <v>85</v>
      </c>
      <c r="AE526" s="18" t="s">
        <v>90</v>
      </c>
      <c r="AF526" s="18" t="s">
        <v>177</v>
      </c>
      <c r="AG526" s="18" t="s">
        <v>139</v>
      </c>
      <c r="AH526" s="18" t="s">
        <v>93</v>
      </c>
      <c r="AI526" s="18" t="s">
        <v>94</v>
      </c>
      <c r="AJ526" s="19">
        <v>44904</v>
      </c>
      <c r="AK526" s="22" t="s">
        <v>95</v>
      </c>
      <c r="AL526" s="18" t="s">
        <v>95</v>
      </c>
      <c r="AM526" s="18" t="s">
        <v>95</v>
      </c>
      <c r="AN526" s="18" t="s">
        <v>95</v>
      </c>
      <c r="AO526" s="18" t="s">
        <v>95</v>
      </c>
      <c r="AP526" s="18" t="s">
        <v>95</v>
      </c>
      <c r="AQ526" s="18" t="s">
        <v>95</v>
      </c>
      <c r="AR526" s="18" t="s">
        <v>95</v>
      </c>
      <c r="AS526" s="18" t="s">
        <v>83</v>
      </c>
      <c r="AT526" s="18" t="s">
        <v>83</v>
      </c>
      <c r="AU526" s="18" t="s">
        <v>81</v>
      </c>
      <c r="AV526" s="18" t="s">
        <v>95</v>
      </c>
      <c r="AW526" s="18" t="s">
        <v>96</v>
      </c>
      <c r="AX526" s="18"/>
      <c r="AY526" s="18" t="str">
        <f>Pospago[[#This Row],[NUM_TELEFONICO]]&amp;"POSPAGOSI"</f>
        <v>987227075POSPAGOSI</v>
      </c>
      <c r="AZ526" s="18" t="str">
        <f>VLOOKUP(Pospago[[#This Row],[NOM_PLAZA_FINAL]],[1]!Locales[#Data],3,0)</f>
        <v>TIENDA RECREO</v>
      </c>
      <c r="BA526" s="18" t="str">
        <f>IFERROR(VLOOKUP(Pospago[[#This Row],[USUARIO]],[1]!Personal[#Data],6,0),"EJECUTIVO NO REGISTRADO")</f>
        <v>VARGAS REYES LUIS EDUARDO</v>
      </c>
      <c r="BB526" s="18" t="str">
        <f>Pospago[[#This Row],[TIPO_MOVIMIENTO]]&amp;" "&amp;Pospago[[#This Row],[FORMA_PAGO_FINAL]]</f>
        <v>ALTAS DOMICILIADO</v>
      </c>
      <c r="BC526" s="18">
        <f>DAY(Pospago[[#This Row],[FECHA_ALTA]])</f>
        <v>9</v>
      </c>
      <c r="BD526" s="18">
        <f>IF(Pospago[[#This Row],[TARIFA_BASICA]]=11.42,1,0)</f>
        <v>0</v>
      </c>
      <c r="BE526" s="18">
        <f>IF(Pospago[[#This Row],[PLANES TELEVENTAS]]="SI",1,0)</f>
        <v>0</v>
      </c>
      <c r="BF526" s="18">
        <f>1</f>
        <v>1</v>
      </c>
      <c r="BG526" s="18">
        <f>IF(OR(Pospago[[#This Row],[TARIFA_BASICA]]=11.42,Pospago[[#This Row],[PLANES TELEVENTAS]]="SI"),1,0)</f>
        <v>0</v>
      </c>
      <c r="BH526" s="18" t="str">
        <f>IF(MID(Pospago[[#This Row],[PlanDesc]],1,4) = "PLAN","POSPAGO",IF(MID(Pospago[[#This Row],[PlanDesc]],1,4)="FULL","FULL MEGAS","PREVIOPAGO"))</f>
        <v>PREVIOPAGO</v>
      </c>
      <c r="BI5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5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6" s="21">
        <f>Pospago[[#This Row],[TARIFA_BASICA]]*1.5</f>
        <v>26.775000000000002</v>
      </c>
    </row>
    <row r="527" spans="1:63" x14ac:dyDescent="0.25">
      <c r="A527" s="18" t="s">
        <v>64</v>
      </c>
      <c r="B527" s="18" t="s">
        <v>3451</v>
      </c>
      <c r="C527" s="18" t="s">
        <v>3452</v>
      </c>
      <c r="D527" s="19">
        <v>44907</v>
      </c>
      <c r="E527" s="18" t="s">
        <v>67</v>
      </c>
      <c r="F527" s="18" t="s">
        <v>3453</v>
      </c>
      <c r="G527" s="18" t="s">
        <v>3454</v>
      </c>
      <c r="H527" s="18" t="s">
        <v>193</v>
      </c>
      <c r="I527" s="18" t="s">
        <v>712</v>
      </c>
      <c r="J527" s="18" t="s">
        <v>113</v>
      </c>
      <c r="K527" s="18" t="s">
        <v>132</v>
      </c>
      <c r="L527" s="20" t="s">
        <v>3455</v>
      </c>
      <c r="M527" s="18" t="s">
        <v>75</v>
      </c>
      <c r="N527" s="20" t="s">
        <v>3456</v>
      </c>
      <c r="O527" s="18" t="s">
        <v>77</v>
      </c>
      <c r="P527" s="18" t="s">
        <v>78</v>
      </c>
      <c r="Q527" s="19">
        <v>44914</v>
      </c>
      <c r="R527" s="21">
        <v>17.850000000000001</v>
      </c>
      <c r="S527" s="18" t="s">
        <v>79</v>
      </c>
      <c r="T527" s="18" t="s">
        <v>174</v>
      </c>
      <c r="U527" s="18" t="s">
        <v>83</v>
      </c>
      <c r="V527" s="18" t="s">
        <v>95</v>
      </c>
      <c r="W527" s="18" t="s">
        <v>83</v>
      </c>
      <c r="X527" s="18" t="s">
        <v>118</v>
      </c>
      <c r="Y527" s="18" t="s">
        <v>85</v>
      </c>
      <c r="Z527" s="18" t="s">
        <v>86</v>
      </c>
      <c r="AA527" s="18" t="s">
        <v>119</v>
      </c>
      <c r="AB527" s="18" t="s">
        <v>396</v>
      </c>
      <c r="AC527" s="18" t="s">
        <v>397</v>
      </c>
      <c r="AD527" s="18" t="s">
        <v>85</v>
      </c>
      <c r="AE527" s="18" t="s">
        <v>90</v>
      </c>
      <c r="AF527" s="18" t="s">
        <v>177</v>
      </c>
      <c r="AG527" s="18" t="s">
        <v>139</v>
      </c>
      <c r="AH527" s="18" t="s">
        <v>93</v>
      </c>
      <c r="AI527" s="18" t="s">
        <v>94</v>
      </c>
      <c r="AJ527" s="19">
        <v>44907</v>
      </c>
      <c r="AK527" s="22" t="s">
        <v>95</v>
      </c>
      <c r="AL527" s="18" t="s">
        <v>95</v>
      </c>
      <c r="AM527" s="18" t="s">
        <v>95</v>
      </c>
      <c r="AN527" s="18" t="s">
        <v>95</v>
      </c>
      <c r="AO527" s="18" t="s">
        <v>95</v>
      </c>
      <c r="AP527" s="18" t="s">
        <v>95</v>
      </c>
      <c r="AQ527" s="18" t="s">
        <v>95</v>
      </c>
      <c r="AR527" s="18" t="s">
        <v>95</v>
      </c>
      <c r="AS527" s="18" t="s">
        <v>83</v>
      </c>
      <c r="AT527" s="18" t="s">
        <v>81</v>
      </c>
      <c r="AU527" s="18" t="s">
        <v>81</v>
      </c>
      <c r="AV527" s="18" t="s">
        <v>95</v>
      </c>
      <c r="AW527" s="18" t="s">
        <v>96</v>
      </c>
      <c r="AX527" s="18"/>
      <c r="AY527" s="18" t="str">
        <f>Pospago[[#This Row],[NUM_TELEFONICO]]&amp;"POSPAGOSI"</f>
        <v>987233448POSPAGOSI</v>
      </c>
      <c r="AZ527" s="18" t="str">
        <f>VLOOKUP(Pospago[[#This Row],[NOM_PLAZA_FINAL]],[1]!Locales[#Data],3,0)</f>
        <v>TIENDA RECREO</v>
      </c>
      <c r="BA527" s="18" t="str">
        <f>IFERROR(VLOOKUP(Pospago[[#This Row],[USUARIO]],[1]!Personal[#Data],6,0),"EJECUTIVO NO REGISTRADO")</f>
        <v>VINUEZA VELASCO ANGY DAYANA</v>
      </c>
      <c r="BB527" s="18" t="str">
        <f>Pospago[[#This Row],[TIPO_MOVIMIENTO]]&amp;" "&amp;Pospago[[#This Row],[FORMA_PAGO_FINAL]]</f>
        <v>ALTAS PAGO EN CAJA</v>
      </c>
      <c r="BC527" s="18">
        <f>DAY(Pospago[[#This Row],[FECHA_ALTA]])</f>
        <v>12</v>
      </c>
      <c r="BD527" s="18">
        <f>IF(Pospago[[#This Row],[TARIFA_BASICA]]=11.42,1,0)</f>
        <v>0</v>
      </c>
      <c r="BE527" s="18">
        <f>IF(Pospago[[#This Row],[PLANES TELEVENTAS]]="SI",1,0)</f>
        <v>1</v>
      </c>
      <c r="BF527" s="18">
        <f>1</f>
        <v>1</v>
      </c>
      <c r="BG527" s="18">
        <f>IF(OR(Pospago[[#This Row],[TARIFA_BASICA]]=11.42,Pospago[[#This Row],[PLANES TELEVENTAS]]="SI"),1,0)</f>
        <v>1</v>
      </c>
      <c r="BH527" s="18" t="str">
        <f>IF(MID(Pospago[[#This Row],[PlanDesc]],1,4) = "PLAN","POSPAGO",IF(MID(Pospago[[#This Row],[PlanDesc]],1,4)="FULL","FULL MEGAS","PREVIOPAGO"))</f>
        <v>PREVIOPAGO</v>
      </c>
      <c r="BI5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5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7" s="21">
        <f>Pospago[[#This Row],[TARIFA_BASICA]]*1.5</f>
        <v>26.775000000000002</v>
      </c>
    </row>
    <row r="528" spans="1:63" x14ac:dyDescent="0.25">
      <c r="A528" s="18" t="s">
        <v>154</v>
      </c>
      <c r="B528" s="18" t="s">
        <v>3457</v>
      </c>
      <c r="C528" s="18" t="s">
        <v>3458</v>
      </c>
      <c r="D528" s="19">
        <v>44900</v>
      </c>
      <c r="E528" s="18" t="s">
        <v>67</v>
      </c>
      <c r="F528" s="18" t="s">
        <v>3459</v>
      </c>
      <c r="G528" s="18" t="s">
        <v>3460</v>
      </c>
      <c r="H528" s="18" t="s">
        <v>159</v>
      </c>
      <c r="I528" s="18" t="s">
        <v>160</v>
      </c>
      <c r="J528" s="18" t="s">
        <v>161</v>
      </c>
      <c r="K528" s="18" t="s">
        <v>132</v>
      </c>
      <c r="L528" s="20" t="s">
        <v>3461</v>
      </c>
      <c r="M528" s="18" t="s">
        <v>75</v>
      </c>
      <c r="N528" s="20" t="s">
        <v>3462</v>
      </c>
      <c r="O528" s="18" t="s">
        <v>164</v>
      </c>
      <c r="P528" s="18" t="s">
        <v>78</v>
      </c>
      <c r="Q528" s="19">
        <v>44914</v>
      </c>
      <c r="R528" s="21">
        <v>14.28</v>
      </c>
      <c r="S528" s="18" t="s">
        <v>79</v>
      </c>
      <c r="T528" s="18" t="s">
        <v>174</v>
      </c>
      <c r="U528" s="18" t="s">
        <v>83</v>
      </c>
      <c r="V528" s="18" t="s">
        <v>95</v>
      </c>
      <c r="W528" s="18" t="s">
        <v>95</v>
      </c>
      <c r="X528" s="18" t="s">
        <v>84</v>
      </c>
      <c r="Y528" s="18" t="s">
        <v>85</v>
      </c>
      <c r="Z528" s="18" t="s">
        <v>86</v>
      </c>
      <c r="AA528" s="18" t="s">
        <v>87</v>
      </c>
      <c r="AB528" s="18" t="s">
        <v>760</v>
      </c>
      <c r="AC528" s="18" t="s">
        <v>761</v>
      </c>
      <c r="AD528" s="18" t="s">
        <v>85</v>
      </c>
      <c r="AE528" s="18" t="s">
        <v>90</v>
      </c>
      <c r="AF528" s="18" t="s">
        <v>177</v>
      </c>
      <c r="AG528" s="18" t="s">
        <v>139</v>
      </c>
      <c r="AH528" s="18" t="s">
        <v>165</v>
      </c>
      <c r="AI528" s="18" t="s">
        <v>94</v>
      </c>
      <c r="AJ528" s="19">
        <v>44900</v>
      </c>
      <c r="AK528" s="22" t="s">
        <v>95</v>
      </c>
      <c r="AL528" s="18" t="s">
        <v>95</v>
      </c>
      <c r="AM528" s="18" t="s">
        <v>95</v>
      </c>
      <c r="AN528" s="18" t="s">
        <v>95</v>
      </c>
      <c r="AO528" s="18" t="s">
        <v>95</v>
      </c>
      <c r="AP528" s="18" t="s">
        <v>95</v>
      </c>
      <c r="AQ528" s="18" t="s">
        <v>95</v>
      </c>
      <c r="AR528" s="18" t="s">
        <v>95</v>
      </c>
      <c r="AS528" s="18" t="s">
        <v>83</v>
      </c>
      <c r="AT528" s="18" t="s">
        <v>83</v>
      </c>
      <c r="AU528" s="18" t="s">
        <v>81</v>
      </c>
      <c r="AV528" s="18" t="s">
        <v>95</v>
      </c>
      <c r="AW528" s="18" t="s">
        <v>96</v>
      </c>
      <c r="AX528" s="18"/>
      <c r="AY528" s="18" t="str">
        <f>Pospago[[#This Row],[NUM_TELEFONICO]]&amp;"POSPAGOSI"</f>
        <v>987262687POSPAGOSI</v>
      </c>
      <c r="AZ528" s="18" t="str">
        <f>VLOOKUP(Pospago[[#This Row],[NOM_PLAZA_FINAL]],[1]!Locales[#Data],3,0)</f>
        <v>TIENDA RECREO</v>
      </c>
      <c r="BA528" s="18" t="str">
        <f>IFERROR(VLOOKUP(Pospago[[#This Row],[USUARIO]],[1]!Personal[#Data],6,0),"EJECUTIVO NO REGISTRADO")</f>
        <v>VALBUENA SANCHEZ ALBERT ANTHONY</v>
      </c>
      <c r="BB528" s="18" t="str">
        <f>Pospago[[#This Row],[TIPO_MOVIMIENTO]]&amp;" "&amp;Pospago[[#This Row],[FORMA_PAGO_FINAL]]</f>
        <v>TRANSFERENCIAS DOMICILIADO</v>
      </c>
      <c r="BC528" s="18">
        <f>DAY(Pospago[[#This Row],[FECHA_ALTA]])</f>
        <v>5</v>
      </c>
      <c r="BD528" s="18">
        <f>IF(Pospago[[#This Row],[TARIFA_BASICA]]=11.42,1,0)</f>
        <v>0</v>
      </c>
      <c r="BE528" s="18">
        <f>IF(Pospago[[#This Row],[PLANES TELEVENTAS]]="SI",1,0)</f>
        <v>0</v>
      </c>
      <c r="BF528" s="18">
        <f>1</f>
        <v>1</v>
      </c>
      <c r="BG528" s="18">
        <f>IF(OR(Pospago[[#This Row],[TARIFA_BASICA]]=11.42,Pospago[[#This Row],[PLANES TELEVENTAS]]="SI"),1,0)</f>
        <v>0</v>
      </c>
      <c r="BH528" s="18" t="str">
        <f>IF(MID(Pospago[[#This Row],[PlanDesc]],1,4) = "PLAN","POSPAGO",IF(MID(Pospago[[#This Row],[PlanDesc]],1,4)="FULL","FULL MEGAS","PREVIOPAGO"))</f>
        <v>PREVIOPAGO</v>
      </c>
      <c r="BI5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28" s="21">
        <f>Pospago[[#This Row],[TARIFA_BASICA]]*1.5</f>
        <v>21.419999999999998</v>
      </c>
    </row>
    <row r="529" spans="1:63" x14ac:dyDescent="0.25">
      <c r="A529" s="18" t="s">
        <v>154</v>
      </c>
      <c r="B529" s="18" t="s">
        <v>3463</v>
      </c>
      <c r="C529" s="18" t="s">
        <v>3464</v>
      </c>
      <c r="D529" s="19">
        <v>44907</v>
      </c>
      <c r="E529" s="18" t="s">
        <v>67</v>
      </c>
      <c r="F529" s="18" t="s">
        <v>3465</v>
      </c>
      <c r="G529" s="18" t="s">
        <v>3466</v>
      </c>
      <c r="H529" s="18" t="s">
        <v>159</v>
      </c>
      <c r="I529" s="18" t="s">
        <v>71</v>
      </c>
      <c r="J529" s="18" t="s">
        <v>258</v>
      </c>
      <c r="K529" s="18" t="s">
        <v>132</v>
      </c>
      <c r="L529" s="20" t="s">
        <v>3467</v>
      </c>
      <c r="M529" s="18" t="s">
        <v>75</v>
      </c>
      <c r="N529" s="20" t="s">
        <v>3468</v>
      </c>
      <c r="O529" s="18" t="s">
        <v>164</v>
      </c>
      <c r="P529" s="18" t="s">
        <v>78</v>
      </c>
      <c r="Q529" s="19">
        <v>44914</v>
      </c>
      <c r="R529" s="21">
        <v>11.42</v>
      </c>
      <c r="S529" s="18" t="s">
        <v>79</v>
      </c>
      <c r="T529" s="18" t="s">
        <v>174</v>
      </c>
      <c r="U529" s="18" t="s">
        <v>83</v>
      </c>
      <c r="V529" s="18" t="s">
        <v>95</v>
      </c>
      <c r="W529" s="18" t="s">
        <v>95</v>
      </c>
      <c r="X529" s="18" t="s">
        <v>118</v>
      </c>
      <c r="Y529" s="18" t="s">
        <v>85</v>
      </c>
      <c r="Z529" s="18" t="s">
        <v>86</v>
      </c>
      <c r="AA529" s="18" t="s">
        <v>119</v>
      </c>
      <c r="AB529" s="18" t="s">
        <v>262</v>
      </c>
      <c r="AC529" s="18" t="s">
        <v>263</v>
      </c>
      <c r="AD529" s="18" t="s">
        <v>85</v>
      </c>
      <c r="AE529" s="18" t="s">
        <v>90</v>
      </c>
      <c r="AF529" s="18" t="s">
        <v>177</v>
      </c>
      <c r="AG529" s="18" t="s">
        <v>139</v>
      </c>
      <c r="AH529" s="18" t="s">
        <v>165</v>
      </c>
      <c r="AI529" s="18" t="s">
        <v>94</v>
      </c>
      <c r="AJ529" s="19">
        <v>44907</v>
      </c>
      <c r="AK529" s="22" t="s">
        <v>95</v>
      </c>
      <c r="AL529" s="18" t="s">
        <v>95</v>
      </c>
      <c r="AM529" s="18" t="s">
        <v>95</v>
      </c>
      <c r="AN529" s="18" t="s">
        <v>95</v>
      </c>
      <c r="AO529" s="18" t="s">
        <v>95</v>
      </c>
      <c r="AP529" s="18" t="s">
        <v>95</v>
      </c>
      <c r="AQ529" s="18" t="s">
        <v>95</v>
      </c>
      <c r="AR529" s="18" t="s">
        <v>95</v>
      </c>
      <c r="AS529" s="18" t="s">
        <v>83</v>
      </c>
      <c r="AT529" s="18" t="s">
        <v>83</v>
      </c>
      <c r="AU529" s="18" t="s">
        <v>81</v>
      </c>
      <c r="AV529" s="18" t="s">
        <v>95</v>
      </c>
      <c r="AW529" s="18" t="s">
        <v>291</v>
      </c>
      <c r="AX529" s="18"/>
      <c r="AY529" s="18" t="str">
        <f>Pospago[[#This Row],[NUM_TELEFONICO]]&amp;"POSPAGOSI"</f>
        <v>987272670POSPAGOSI</v>
      </c>
      <c r="AZ529" s="18" t="str">
        <f>VLOOKUP(Pospago[[#This Row],[NOM_PLAZA_FINAL]],[1]!Locales[#Data],3,0)</f>
        <v>TIENDA RECREO</v>
      </c>
      <c r="BA529" s="18" t="str">
        <f>IFERROR(VLOOKUP(Pospago[[#This Row],[USUARIO]],[1]!Personal[#Data],6,0),"EJECUTIVO NO REGISTRADO")</f>
        <v>CHICAIZA TOAPANTA ALEX DANILO</v>
      </c>
      <c r="BB529" s="18" t="str">
        <f>Pospago[[#This Row],[TIPO_MOVIMIENTO]]&amp;" "&amp;Pospago[[#This Row],[FORMA_PAGO_FINAL]]</f>
        <v>TRANSFERENCIAS PAGO EN CAJA</v>
      </c>
      <c r="BC529" s="18">
        <f>DAY(Pospago[[#This Row],[FECHA_ALTA]])</f>
        <v>12</v>
      </c>
      <c r="BD529" s="18">
        <f>IF(Pospago[[#This Row],[TARIFA_BASICA]]=11.42,1,0)</f>
        <v>1</v>
      </c>
      <c r="BE529" s="18">
        <f>IF(Pospago[[#This Row],[PLANES TELEVENTAS]]="SI",1,0)</f>
        <v>0</v>
      </c>
      <c r="BF529" s="18">
        <f>1</f>
        <v>1</v>
      </c>
      <c r="BG529" s="18">
        <f>IF(OR(Pospago[[#This Row],[TARIFA_BASICA]]=11.42,Pospago[[#This Row],[PLANES TELEVENTAS]]="SI"),1,0)</f>
        <v>1</v>
      </c>
      <c r="BH529" s="18" t="str">
        <f>IF(MID(Pospago[[#This Row],[PlanDesc]],1,4) = "PLAN","POSPAGO",IF(MID(Pospago[[#This Row],[PlanDesc]],1,4)="FULL","FULL MEGAS","PREVIOPAGO"))</f>
        <v>PREVIOPAGO</v>
      </c>
      <c r="BI5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5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29" s="21">
        <f>Pospago[[#This Row],[TARIFA_BASICA]]*1.5</f>
        <v>17.13</v>
      </c>
    </row>
    <row r="530" spans="1:63" x14ac:dyDescent="0.25">
      <c r="A530" s="18" t="s">
        <v>64</v>
      </c>
      <c r="B530" s="18" t="s">
        <v>3469</v>
      </c>
      <c r="C530" s="18" t="s">
        <v>3470</v>
      </c>
      <c r="D530" s="19">
        <v>44898</v>
      </c>
      <c r="E530" s="18" t="s">
        <v>67</v>
      </c>
      <c r="F530" s="18" t="s">
        <v>3471</v>
      </c>
      <c r="G530" s="18" t="s">
        <v>3472</v>
      </c>
      <c r="H530" s="18" t="s">
        <v>193</v>
      </c>
      <c r="I530" s="18" t="s">
        <v>194</v>
      </c>
      <c r="J530" s="18" t="s">
        <v>195</v>
      </c>
      <c r="K530" s="18" t="s">
        <v>132</v>
      </c>
      <c r="L530" s="20" t="s">
        <v>3473</v>
      </c>
      <c r="M530" s="18" t="s">
        <v>75</v>
      </c>
      <c r="N530" s="20" t="s">
        <v>3474</v>
      </c>
      <c r="O530" s="18" t="s">
        <v>77</v>
      </c>
      <c r="P530" s="18" t="s">
        <v>78</v>
      </c>
      <c r="Q530" s="19">
        <v>44914</v>
      </c>
      <c r="R530" s="21">
        <v>14.28</v>
      </c>
      <c r="S530" s="18" t="s">
        <v>79</v>
      </c>
      <c r="T530" s="18" t="s">
        <v>232</v>
      </c>
      <c r="U530" s="18" t="s">
        <v>83</v>
      </c>
      <c r="V530" s="18" t="s">
        <v>95</v>
      </c>
      <c r="W530" s="18" t="s">
        <v>83</v>
      </c>
      <c r="X530" s="18" t="s">
        <v>118</v>
      </c>
      <c r="Y530" s="18" t="s">
        <v>85</v>
      </c>
      <c r="Z530" s="18" t="s">
        <v>86</v>
      </c>
      <c r="AA530" s="18" t="s">
        <v>119</v>
      </c>
      <c r="AB530" s="18" t="s">
        <v>769</v>
      </c>
      <c r="AC530" s="18" t="s">
        <v>770</v>
      </c>
      <c r="AD530" s="18" t="s">
        <v>85</v>
      </c>
      <c r="AE530" s="18" t="s">
        <v>90</v>
      </c>
      <c r="AF530" s="18" t="s">
        <v>235</v>
      </c>
      <c r="AG530" s="18" t="s">
        <v>139</v>
      </c>
      <c r="AH530" s="18" t="s">
        <v>93</v>
      </c>
      <c r="AI530" s="18" t="s">
        <v>94</v>
      </c>
      <c r="AJ530" s="19">
        <v>44898</v>
      </c>
      <c r="AK530" s="22" t="s">
        <v>95</v>
      </c>
      <c r="AL530" s="18" t="s">
        <v>95</v>
      </c>
      <c r="AM530" s="18" t="s">
        <v>95</v>
      </c>
      <c r="AN530" s="18" t="s">
        <v>95</v>
      </c>
      <c r="AO530" s="18" t="s">
        <v>95</v>
      </c>
      <c r="AP530" s="18" t="s">
        <v>95</v>
      </c>
      <c r="AQ530" s="18" t="s">
        <v>95</v>
      </c>
      <c r="AR530" s="18" t="s">
        <v>95</v>
      </c>
      <c r="AS530" s="18" t="s">
        <v>83</v>
      </c>
      <c r="AT530" s="18" t="s">
        <v>81</v>
      </c>
      <c r="AU530" s="18" t="s">
        <v>81</v>
      </c>
      <c r="AV530" s="18" t="s">
        <v>95</v>
      </c>
      <c r="AW530" s="18" t="s">
        <v>95</v>
      </c>
      <c r="AX530" s="18"/>
      <c r="AY530" s="18" t="str">
        <f>Pospago[[#This Row],[NUM_TELEFONICO]]&amp;"POSPAGOSI"</f>
        <v>987277465POSPAGOSI</v>
      </c>
      <c r="AZ530" s="18" t="str">
        <f>VLOOKUP(Pospago[[#This Row],[NOM_PLAZA_FINAL]],[1]!Locales[#Data],3,0)</f>
        <v>TIENDA CONDADO</v>
      </c>
      <c r="BA530" s="18" t="str">
        <f>IFERROR(VLOOKUP(Pospago[[#This Row],[USUARIO]],[1]!Personal[#Data],6,0),"EJECUTIVO NO REGISTRADO")</f>
        <v>ROJAS VEGA JHOSMERY MICHELE</v>
      </c>
      <c r="BB530" s="18" t="str">
        <f>Pospago[[#This Row],[TIPO_MOVIMIENTO]]&amp;" "&amp;Pospago[[#This Row],[FORMA_PAGO_FINAL]]</f>
        <v>ALTAS PAGO EN CAJA</v>
      </c>
      <c r="BC530" s="18">
        <f>DAY(Pospago[[#This Row],[FECHA_ALTA]])</f>
        <v>3</v>
      </c>
      <c r="BD530" s="18">
        <f>IF(Pospago[[#This Row],[TARIFA_BASICA]]=11.42,1,0)</f>
        <v>0</v>
      </c>
      <c r="BE530" s="18">
        <f>IF(Pospago[[#This Row],[PLANES TELEVENTAS]]="SI",1,0)</f>
        <v>1</v>
      </c>
      <c r="BF530" s="18">
        <f>1</f>
        <v>1</v>
      </c>
      <c r="BG530" s="18">
        <f>IF(OR(Pospago[[#This Row],[TARIFA_BASICA]]=11.42,Pospago[[#This Row],[PLANES TELEVENTAS]]="SI"),1,0)</f>
        <v>1</v>
      </c>
      <c r="BH530" s="18" t="str">
        <f>IF(MID(Pospago[[#This Row],[PlanDesc]],1,4) = "PLAN","POSPAGO",IF(MID(Pospago[[#This Row],[PlanDesc]],1,4)="FULL","FULL MEGAS","PREVIOPAGO"))</f>
        <v>PREVIOPAGO</v>
      </c>
      <c r="BI5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0" s="21">
        <f>Pospago[[#This Row],[TARIFA_BASICA]]*1.5</f>
        <v>21.419999999999998</v>
      </c>
    </row>
    <row r="531" spans="1:63" x14ac:dyDescent="0.25">
      <c r="A531" s="18" t="s">
        <v>154</v>
      </c>
      <c r="B531" s="18" t="s">
        <v>3475</v>
      </c>
      <c r="C531" s="18" t="s">
        <v>3476</v>
      </c>
      <c r="D531" s="19">
        <v>44901</v>
      </c>
      <c r="E531" s="18" t="s">
        <v>67</v>
      </c>
      <c r="F531" s="18" t="s">
        <v>3477</v>
      </c>
      <c r="G531" s="18" t="s">
        <v>3478</v>
      </c>
      <c r="H531" s="18" t="s">
        <v>159</v>
      </c>
      <c r="I531" s="18" t="s">
        <v>574</v>
      </c>
      <c r="J531" s="18" t="s">
        <v>575</v>
      </c>
      <c r="K531" s="18" t="s">
        <v>132</v>
      </c>
      <c r="L531" s="20" t="s">
        <v>3479</v>
      </c>
      <c r="M531" s="18" t="s">
        <v>75</v>
      </c>
      <c r="N531" s="20" t="s">
        <v>3480</v>
      </c>
      <c r="O531" s="18" t="s">
        <v>1532</v>
      </c>
      <c r="P531" s="18" t="s">
        <v>78</v>
      </c>
      <c r="Q531" s="19">
        <v>44914</v>
      </c>
      <c r="R531" s="21">
        <v>17.850000000000001</v>
      </c>
      <c r="S531" s="18" t="s">
        <v>79</v>
      </c>
      <c r="T531" s="18" t="s">
        <v>135</v>
      </c>
      <c r="U531" s="18" t="s">
        <v>83</v>
      </c>
      <c r="V531" s="18" t="s">
        <v>95</v>
      </c>
      <c r="W531" s="18" t="s">
        <v>95</v>
      </c>
      <c r="X531" s="18" t="s">
        <v>84</v>
      </c>
      <c r="Y531" s="18" t="s">
        <v>85</v>
      </c>
      <c r="Z531" s="18" t="s">
        <v>86</v>
      </c>
      <c r="AA531" s="18" t="s">
        <v>87</v>
      </c>
      <c r="AB531" s="18" t="s">
        <v>866</v>
      </c>
      <c r="AC531" s="18" t="s">
        <v>867</v>
      </c>
      <c r="AD531" s="18" t="s">
        <v>85</v>
      </c>
      <c r="AE531" s="18" t="s">
        <v>90</v>
      </c>
      <c r="AF531" s="18" t="s">
        <v>138</v>
      </c>
      <c r="AG531" s="18" t="s">
        <v>139</v>
      </c>
      <c r="AH531" s="18" t="s">
        <v>165</v>
      </c>
      <c r="AI531" s="18" t="s">
        <v>94</v>
      </c>
      <c r="AJ531" s="19">
        <v>44901</v>
      </c>
      <c r="AK531" s="22" t="s">
        <v>95</v>
      </c>
      <c r="AL531" s="18" t="s">
        <v>95</v>
      </c>
      <c r="AM531" s="18" t="s">
        <v>95</v>
      </c>
      <c r="AN531" s="18" t="s">
        <v>95</v>
      </c>
      <c r="AO531" s="18" t="s">
        <v>95</v>
      </c>
      <c r="AP531" s="18" t="s">
        <v>95</v>
      </c>
      <c r="AQ531" s="18" t="s">
        <v>95</v>
      </c>
      <c r="AR531" s="18" t="s">
        <v>95</v>
      </c>
      <c r="AS531" s="18" t="s">
        <v>83</v>
      </c>
      <c r="AT531" s="18" t="s">
        <v>83</v>
      </c>
      <c r="AU531" s="18" t="s">
        <v>83</v>
      </c>
      <c r="AV531" s="18" t="s">
        <v>95</v>
      </c>
      <c r="AW531" s="18" t="s">
        <v>96</v>
      </c>
      <c r="AX531" s="18"/>
      <c r="AY531" s="18" t="str">
        <f>Pospago[[#This Row],[NUM_TELEFONICO]]&amp;"POSPAGOSI"</f>
        <v>987281887POSPAGOSI</v>
      </c>
      <c r="AZ531" s="18" t="str">
        <f>VLOOKUP(Pospago[[#This Row],[NOM_PLAZA_FINAL]],[1]!Locales[#Data],3,0)</f>
        <v>TIENDA AMERICA</v>
      </c>
      <c r="BA531" s="18" t="str">
        <f>IFERROR(VLOOKUP(Pospago[[#This Row],[USUARIO]],[1]!Personal[#Data],6,0),"EJECUTIVO NO REGISTRADO")</f>
        <v>ORTEGA RUIZ GABRIEL ANTONIO</v>
      </c>
      <c r="BB531" s="18" t="str">
        <f>Pospago[[#This Row],[TIPO_MOVIMIENTO]]&amp;" "&amp;Pospago[[#This Row],[FORMA_PAGO_FINAL]]</f>
        <v>TRANSFERENCIAS DOMICILIADO</v>
      </c>
      <c r="BC531" s="18">
        <f>DAY(Pospago[[#This Row],[FECHA_ALTA]])</f>
        <v>6</v>
      </c>
      <c r="BD531" s="18">
        <f>IF(Pospago[[#This Row],[TARIFA_BASICA]]=11.42,1,0)</f>
        <v>0</v>
      </c>
      <c r="BE531" s="18">
        <f>IF(Pospago[[#This Row],[PLANES TELEVENTAS]]="SI",1,0)</f>
        <v>0</v>
      </c>
      <c r="BF531" s="18">
        <f>1</f>
        <v>1</v>
      </c>
      <c r="BG531" s="18">
        <f>IF(OR(Pospago[[#This Row],[TARIFA_BASICA]]=11.42,Pospago[[#This Row],[PLANES TELEVENTAS]]="SI"),1,0)</f>
        <v>0</v>
      </c>
      <c r="BH531" s="18" t="str">
        <f>IF(MID(Pospago[[#This Row],[PlanDesc]],1,4) = "PLAN","POSPAGO",IF(MID(Pospago[[#This Row],[PlanDesc]],1,4)="FULL","FULL MEGAS","PREVIOPAGO"))</f>
        <v>POSPAGO</v>
      </c>
      <c r="BI5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5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1" s="21">
        <f>Pospago[[#This Row],[TARIFA_BASICA]]*1.5</f>
        <v>26.775000000000002</v>
      </c>
    </row>
    <row r="532" spans="1:63" x14ac:dyDescent="0.25">
      <c r="A532" s="18" t="s">
        <v>64</v>
      </c>
      <c r="B532" s="18" t="s">
        <v>3481</v>
      </c>
      <c r="C532" s="18" t="s">
        <v>3482</v>
      </c>
      <c r="D532" s="19">
        <v>44912</v>
      </c>
      <c r="E532" s="18" t="s">
        <v>67</v>
      </c>
      <c r="F532" s="18" t="s">
        <v>3483</v>
      </c>
      <c r="G532" s="18" t="s">
        <v>3484</v>
      </c>
      <c r="H532" s="18" t="s">
        <v>70</v>
      </c>
      <c r="I532" s="18" t="s">
        <v>160</v>
      </c>
      <c r="J532" s="18" t="s">
        <v>195</v>
      </c>
      <c r="K532" s="18" t="s">
        <v>73</v>
      </c>
      <c r="L532" s="20" t="s">
        <v>3485</v>
      </c>
      <c r="M532" s="18" t="s">
        <v>75</v>
      </c>
      <c r="N532" s="20" t="s">
        <v>3486</v>
      </c>
      <c r="O532" s="18" t="s">
        <v>77</v>
      </c>
      <c r="P532" s="18" t="s">
        <v>78</v>
      </c>
      <c r="Q532" s="19">
        <v>44914</v>
      </c>
      <c r="R532" s="21">
        <v>14.28</v>
      </c>
      <c r="S532" s="18" t="s">
        <v>79</v>
      </c>
      <c r="T532" s="18" t="s">
        <v>174</v>
      </c>
      <c r="U532" s="18" t="s">
        <v>83</v>
      </c>
      <c r="V532" s="18" t="s">
        <v>95</v>
      </c>
      <c r="W532" s="18" t="s">
        <v>83</v>
      </c>
      <c r="X532" s="18" t="s">
        <v>84</v>
      </c>
      <c r="Y532" s="18" t="s">
        <v>85</v>
      </c>
      <c r="Z532" s="18" t="s">
        <v>86</v>
      </c>
      <c r="AA532" s="18" t="s">
        <v>87</v>
      </c>
      <c r="AB532" s="18" t="s">
        <v>251</v>
      </c>
      <c r="AC532" s="18" t="s">
        <v>252</v>
      </c>
      <c r="AD532" s="18" t="s">
        <v>85</v>
      </c>
      <c r="AE532" s="18" t="s">
        <v>90</v>
      </c>
      <c r="AF532" s="18" t="s">
        <v>177</v>
      </c>
      <c r="AG532" s="18" t="s">
        <v>139</v>
      </c>
      <c r="AH532" s="18" t="s">
        <v>93</v>
      </c>
      <c r="AI532" s="18" t="s">
        <v>94</v>
      </c>
      <c r="AJ532" s="19">
        <v>44912</v>
      </c>
      <c r="AK532" s="22" t="s">
        <v>95</v>
      </c>
      <c r="AL532" s="18" t="s">
        <v>95</v>
      </c>
      <c r="AM532" s="18" t="s">
        <v>95</v>
      </c>
      <c r="AN532" s="18" t="s">
        <v>95</v>
      </c>
      <c r="AO532" s="18" t="s">
        <v>95</v>
      </c>
      <c r="AP532" s="18" t="s">
        <v>95</v>
      </c>
      <c r="AQ532" s="18" t="s">
        <v>95</v>
      </c>
      <c r="AR532" s="18" t="s">
        <v>95</v>
      </c>
      <c r="AS532" s="18" t="s">
        <v>83</v>
      </c>
      <c r="AT532" s="18" t="s">
        <v>83</v>
      </c>
      <c r="AU532" s="18" t="s">
        <v>81</v>
      </c>
      <c r="AV532" s="18" t="s">
        <v>95</v>
      </c>
      <c r="AW532" s="18" t="s">
        <v>95</v>
      </c>
      <c r="AX532" s="18"/>
      <c r="AY532" s="18" t="str">
        <f>Pospago[[#This Row],[NUM_TELEFONICO]]&amp;"POSPAGOSI"</f>
        <v>987286104POSPAGOSI</v>
      </c>
      <c r="AZ532" s="18" t="str">
        <f>VLOOKUP(Pospago[[#This Row],[NOM_PLAZA_FINAL]],[1]!Locales[#Data],3,0)</f>
        <v>TIENDA RECREO</v>
      </c>
      <c r="BA532" s="18" t="str">
        <f>IFERROR(VLOOKUP(Pospago[[#This Row],[USUARIO]],[1]!Personal[#Data],6,0),"EJECUTIVO NO REGISTRADO")</f>
        <v>CRUZ MONTUFAR KATHERINE ALEJANDRA</v>
      </c>
      <c r="BB532" s="18" t="str">
        <f>Pospago[[#This Row],[TIPO_MOVIMIENTO]]&amp;" "&amp;Pospago[[#This Row],[FORMA_PAGO_FINAL]]</f>
        <v>ALTAS DOMICILIADO</v>
      </c>
      <c r="BC532" s="18">
        <f>DAY(Pospago[[#This Row],[FECHA_ALTA]])</f>
        <v>17</v>
      </c>
      <c r="BD532" s="18">
        <f>IF(Pospago[[#This Row],[TARIFA_BASICA]]=11.42,1,0)</f>
        <v>0</v>
      </c>
      <c r="BE532" s="18">
        <f>IF(Pospago[[#This Row],[PLANES TELEVENTAS]]="SI",1,0)</f>
        <v>0</v>
      </c>
      <c r="BF532" s="18">
        <f>1</f>
        <v>1</v>
      </c>
      <c r="BG532" s="18">
        <f>IF(OR(Pospago[[#This Row],[TARIFA_BASICA]]=11.42,Pospago[[#This Row],[PLANES TELEVENTAS]]="SI"),1,0)</f>
        <v>0</v>
      </c>
      <c r="BH532" s="18" t="str">
        <f>IF(MID(Pospago[[#This Row],[PlanDesc]],1,4) = "PLAN","POSPAGO",IF(MID(Pospago[[#This Row],[PlanDesc]],1,4)="FULL","FULL MEGAS","PREVIOPAGO"))</f>
        <v>PREVIOPAGO</v>
      </c>
      <c r="BI5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2" s="21">
        <f>Pospago[[#This Row],[TARIFA_BASICA]]*1.5</f>
        <v>21.419999999999998</v>
      </c>
    </row>
    <row r="533" spans="1:63" x14ac:dyDescent="0.25">
      <c r="A533" s="18" t="s">
        <v>64</v>
      </c>
      <c r="B533" s="18" t="s">
        <v>3487</v>
      </c>
      <c r="C533" s="18" t="s">
        <v>3488</v>
      </c>
      <c r="D533" s="19">
        <v>44897</v>
      </c>
      <c r="E533" s="18" t="s">
        <v>246</v>
      </c>
      <c r="F533" s="18" t="s">
        <v>3489</v>
      </c>
      <c r="G533" s="18" t="s">
        <v>3490</v>
      </c>
      <c r="H533" s="18" t="s">
        <v>70</v>
      </c>
      <c r="I533" s="18" t="s">
        <v>1487</v>
      </c>
      <c r="J533" s="18" t="s">
        <v>228</v>
      </c>
      <c r="K533" s="18" t="s">
        <v>132</v>
      </c>
      <c r="L533" s="20" t="s">
        <v>3491</v>
      </c>
      <c r="M533" s="18" t="s">
        <v>75</v>
      </c>
      <c r="N533" s="20" t="s">
        <v>3492</v>
      </c>
      <c r="O533" s="18" t="s">
        <v>77</v>
      </c>
      <c r="P533" s="18" t="s">
        <v>78</v>
      </c>
      <c r="Q533" s="19">
        <v>44914</v>
      </c>
      <c r="R533" s="21">
        <v>21.42</v>
      </c>
      <c r="S533" s="18" t="s">
        <v>79</v>
      </c>
      <c r="T533" s="18" t="s">
        <v>174</v>
      </c>
      <c r="U533" s="18" t="s">
        <v>83</v>
      </c>
      <c r="V533" s="18" t="s">
        <v>95</v>
      </c>
      <c r="W533" s="18" t="s">
        <v>83</v>
      </c>
      <c r="X533" s="18" t="s">
        <v>118</v>
      </c>
      <c r="Y533" s="18" t="s">
        <v>85</v>
      </c>
      <c r="Z533" s="18" t="s">
        <v>86</v>
      </c>
      <c r="AA533" s="18" t="s">
        <v>119</v>
      </c>
      <c r="AB533" s="18" t="s">
        <v>175</v>
      </c>
      <c r="AC533" s="18" t="s">
        <v>176</v>
      </c>
      <c r="AD533" s="18" t="s">
        <v>85</v>
      </c>
      <c r="AE533" s="18" t="s">
        <v>90</v>
      </c>
      <c r="AF533" s="18" t="s">
        <v>177</v>
      </c>
      <c r="AG533" s="18" t="s">
        <v>139</v>
      </c>
      <c r="AH533" s="18" t="s">
        <v>93</v>
      </c>
      <c r="AI533" s="18" t="s">
        <v>94</v>
      </c>
      <c r="AJ533" s="19">
        <v>44897</v>
      </c>
      <c r="AK533" s="22" t="s">
        <v>95</v>
      </c>
      <c r="AL533" s="18" t="s">
        <v>95</v>
      </c>
      <c r="AM533" s="18" t="s">
        <v>95</v>
      </c>
      <c r="AN533" s="18" t="s">
        <v>95</v>
      </c>
      <c r="AO533" s="18" t="s">
        <v>95</v>
      </c>
      <c r="AP533" s="18" t="s">
        <v>95</v>
      </c>
      <c r="AQ533" s="18" t="s">
        <v>95</v>
      </c>
      <c r="AR533" s="18" t="s">
        <v>95</v>
      </c>
      <c r="AS533" s="18" t="s">
        <v>83</v>
      </c>
      <c r="AT533" s="18" t="s">
        <v>81</v>
      </c>
      <c r="AU533" s="18" t="s">
        <v>81</v>
      </c>
      <c r="AV533" s="18" t="s">
        <v>95</v>
      </c>
      <c r="AW533" s="18" t="s">
        <v>95</v>
      </c>
      <c r="AX533" s="18"/>
      <c r="AY533" s="18" t="str">
        <f>Pospago[[#This Row],[NUM_TELEFONICO]]&amp;"POSPAGOSI"</f>
        <v>987287398POSPAGOSI</v>
      </c>
      <c r="AZ533" s="18" t="str">
        <f>VLOOKUP(Pospago[[#This Row],[NOM_PLAZA_FINAL]],[1]!Locales[#Data],3,0)</f>
        <v>TIENDA RECREO</v>
      </c>
      <c r="BA533" s="18" t="str">
        <f>IFERROR(VLOOKUP(Pospago[[#This Row],[USUARIO]],[1]!Personal[#Data],6,0),"EJECUTIVO NO REGISTRADO")</f>
        <v>VARGAS REYES LUIS EDUARDO</v>
      </c>
      <c r="BB533" s="18" t="str">
        <f>Pospago[[#This Row],[TIPO_MOVIMIENTO]]&amp;" "&amp;Pospago[[#This Row],[FORMA_PAGO_FINAL]]</f>
        <v>ALTAS PAGO EN CAJA</v>
      </c>
      <c r="BC533" s="18">
        <f>DAY(Pospago[[#This Row],[FECHA_ALTA]])</f>
        <v>2</v>
      </c>
      <c r="BD533" s="18">
        <f>IF(Pospago[[#This Row],[TARIFA_BASICA]]=11.42,1,0)</f>
        <v>0</v>
      </c>
      <c r="BE533" s="18">
        <f>IF(Pospago[[#This Row],[PLANES TELEVENTAS]]="SI",1,0)</f>
        <v>1</v>
      </c>
      <c r="BF533" s="18">
        <f>1</f>
        <v>1</v>
      </c>
      <c r="BG533" s="18">
        <f>IF(OR(Pospago[[#This Row],[TARIFA_BASICA]]=11.42,Pospago[[#This Row],[PLANES TELEVENTAS]]="SI"),1,0)</f>
        <v>1</v>
      </c>
      <c r="BH533" s="18" t="str">
        <f>IF(MID(Pospago[[#This Row],[PlanDesc]],1,4) = "PLAN","POSPAGO",IF(MID(Pospago[[#This Row],[PlanDesc]],1,4)="FULL","FULL MEGAS","PREVIOPAGO"))</f>
        <v>PREVIOPAGO</v>
      </c>
      <c r="BI5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22.5</v>
      </c>
      <c r="BJ5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3" s="21">
        <f>Pospago[[#This Row],[TARIFA_BASICA]]*1.5</f>
        <v>32.130000000000003</v>
      </c>
    </row>
    <row r="534" spans="1:63" x14ac:dyDescent="0.25">
      <c r="A534" s="18" t="s">
        <v>154</v>
      </c>
      <c r="B534" s="18" t="s">
        <v>3493</v>
      </c>
      <c r="C534" s="18" t="s">
        <v>3494</v>
      </c>
      <c r="D534" s="19">
        <v>44905</v>
      </c>
      <c r="E534" s="18" t="s">
        <v>67</v>
      </c>
      <c r="F534" s="18" t="s">
        <v>3495</v>
      </c>
      <c r="G534" s="18" t="s">
        <v>3496</v>
      </c>
      <c r="H534" s="18" t="s">
        <v>159</v>
      </c>
      <c r="I534" s="18" t="s">
        <v>160</v>
      </c>
      <c r="J534" s="18" t="s">
        <v>161</v>
      </c>
      <c r="K534" s="18" t="s">
        <v>132</v>
      </c>
      <c r="L534" s="20" t="s">
        <v>3497</v>
      </c>
      <c r="M534" s="18" t="s">
        <v>75</v>
      </c>
      <c r="N534" s="20" t="s">
        <v>3498</v>
      </c>
      <c r="O534" s="18" t="s">
        <v>164</v>
      </c>
      <c r="P534" s="18" t="s">
        <v>78</v>
      </c>
      <c r="Q534" s="19">
        <v>44914</v>
      </c>
      <c r="R534" s="21">
        <v>14.28</v>
      </c>
      <c r="S534" s="18" t="s">
        <v>79</v>
      </c>
      <c r="T534" s="18" t="s">
        <v>174</v>
      </c>
      <c r="U534" s="18" t="s">
        <v>83</v>
      </c>
      <c r="V534" s="18" t="s">
        <v>95</v>
      </c>
      <c r="W534" s="18" t="s">
        <v>95</v>
      </c>
      <c r="X534" s="18" t="s">
        <v>84</v>
      </c>
      <c r="Y534" s="18" t="s">
        <v>85</v>
      </c>
      <c r="Z534" s="18" t="s">
        <v>86</v>
      </c>
      <c r="AA534" s="18" t="s">
        <v>87</v>
      </c>
      <c r="AB534" s="18" t="s">
        <v>369</v>
      </c>
      <c r="AC534" s="18" t="s">
        <v>370</v>
      </c>
      <c r="AD534" s="18" t="s">
        <v>85</v>
      </c>
      <c r="AE534" s="18" t="s">
        <v>90</v>
      </c>
      <c r="AF534" s="18" t="s">
        <v>177</v>
      </c>
      <c r="AG534" s="18" t="s">
        <v>139</v>
      </c>
      <c r="AH534" s="18" t="s">
        <v>165</v>
      </c>
      <c r="AI534" s="18" t="s">
        <v>94</v>
      </c>
      <c r="AJ534" s="19">
        <v>44905</v>
      </c>
      <c r="AK534" s="22" t="s">
        <v>95</v>
      </c>
      <c r="AL534" s="18" t="s">
        <v>95</v>
      </c>
      <c r="AM534" s="18" t="s">
        <v>95</v>
      </c>
      <c r="AN534" s="18" t="s">
        <v>95</v>
      </c>
      <c r="AO534" s="18" t="s">
        <v>95</v>
      </c>
      <c r="AP534" s="18" t="s">
        <v>95</v>
      </c>
      <c r="AQ534" s="18" t="s">
        <v>95</v>
      </c>
      <c r="AR534" s="18" t="s">
        <v>95</v>
      </c>
      <c r="AS534" s="18" t="s">
        <v>83</v>
      </c>
      <c r="AT534" s="18" t="s">
        <v>83</v>
      </c>
      <c r="AU534" s="18" t="s">
        <v>81</v>
      </c>
      <c r="AV534" s="18" t="s">
        <v>95</v>
      </c>
      <c r="AW534" s="18" t="s">
        <v>95</v>
      </c>
      <c r="AX534" s="18"/>
      <c r="AY534" s="18" t="str">
        <f>Pospago[[#This Row],[NUM_TELEFONICO]]&amp;"POSPAGOSI"</f>
        <v>987292057POSPAGOSI</v>
      </c>
      <c r="AZ534" s="18" t="str">
        <f>VLOOKUP(Pospago[[#This Row],[NOM_PLAZA_FINAL]],[1]!Locales[#Data],3,0)</f>
        <v>TIENDA RECREO</v>
      </c>
      <c r="BA534" s="18" t="str">
        <f>IFERROR(VLOOKUP(Pospago[[#This Row],[USUARIO]],[1]!Personal[#Data],6,0),"EJECUTIVO NO REGISTRADO")</f>
        <v>GUAIGUA REINOSO GENESIS CAROLINA</v>
      </c>
      <c r="BB534" s="18" t="str">
        <f>Pospago[[#This Row],[TIPO_MOVIMIENTO]]&amp;" "&amp;Pospago[[#This Row],[FORMA_PAGO_FINAL]]</f>
        <v>TRANSFERENCIAS DOMICILIADO</v>
      </c>
      <c r="BC534" s="18">
        <f>DAY(Pospago[[#This Row],[FECHA_ALTA]])</f>
        <v>10</v>
      </c>
      <c r="BD534" s="18">
        <f>IF(Pospago[[#This Row],[TARIFA_BASICA]]=11.42,1,0)</f>
        <v>0</v>
      </c>
      <c r="BE534" s="18">
        <f>IF(Pospago[[#This Row],[PLANES TELEVENTAS]]="SI",1,0)</f>
        <v>0</v>
      </c>
      <c r="BF534" s="18">
        <f>1</f>
        <v>1</v>
      </c>
      <c r="BG534" s="18">
        <f>IF(OR(Pospago[[#This Row],[TARIFA_BASICA]]=11.42,Pospago[[#This Row],[PLANES TELEVENTAS]]="SI"),1,0)</f>
        <v>0</v>
      </c>
      <c r="BH534" s="18" t="str">
        <f>IF(MID(Pospago[[#This Row],[PlanDesc]],1,4) = "PLAN","POSPAGO",IF(MID(Pospago[[#This Row],[PlanDesc]],1,4)="FULL","FULL MEGAS","PREVIOPAGO"))</f>
        <v>PREVIOPAGO</v>
      </c>
      <c r="BI5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4" s="21">
        <f>Pospago[[#This Row],[TARIFA_BASICA]]*1.5</f>
        <v>21.419999999999998</v>
      </c>
    </row>
    <row r="535" spans="1:63" x14ac:dyDescent="0.25">
      <c r="A535" s="18" t="s">
        <v>64</v>
      </c>
      <c r="B535" s="18" t="s">
        <v>3499</v>
      </c>
      <c r="C535" s="18" t="s">
        <v>3500</v>
      </c>
      <c r="D535" s="19">
        <v>44908</v>
      </c>
      <c r="E535" s="18" t="s">
        <v>67</v>
      </c>
      <c r="F535" s="18" t="s">
        <v>3501</v>
      </c>
      <c r="G535" s="18" t="s">
        <v>3502</v>
      </c>
      <c r="H535" s="18" t="s">
        <v>70</v>
      </c>
      <c r="I535" s="18" t="s">
        <v>160</v>
      </c>
      <c r="J535" s="18" t="s">
        <v>195</v>
      </c>
      <c r="K535" s="18" t="s">
        <v>517</v>
      </c>
      <c r="L535" s="20" t="s">
        <v>3503</v>
      </c>
      <c r="M535" s="18" t="s">
        <v>75</v>
      </c>
      <c r="N535" s="20" t="s">
        <v>3504</v>
      </c>
      <c r="O535" s="18" t="s">
        <v>77</v>
      </c>
      <c r="P535" s="18" t="s">
        <v>78</v>
      </c>
      <c r="Q535" s="19">
        <v>44914</v>
      </c>
      <c r="R535" s="21">
        <v>14.28</v>
      </c>
      <c r="S535" s="18" t="s">
        <v>79</v>
      </c>
      <c r="T535" s="18" t="s">
        <v>174</v>
      </c>
      <c r="U535" s="18" t="s">
        <v>83</v>
      </c>
      <c r="V535" s="18" t="s">
        <v>95</v>
      </c>
      <c r="W535" s="18" t="s">
        <v>83</v>
      </c>
      <c r="X535" s="18" t="s">
        <v>84</v>
      </c>
      <c r="Y535" s="18" t="s">
        <v>85</v>
      </c>
      <c r="Z535" s="18" t="s">
        <v>86</v>
      </c>
      <c r="AA535" s="18" t="s">
        <v>87</v>
      </c>
      <c r="AB535" s="18" t="s">
        <v>303</v>
      </c>
      <c r="AC535" s="18" t="s">
        <v>304</v>
      </c>
      <c r="AD535" s="18" t="s">
        <v>85</v>
      </c>
      <c r="AE535" s="18" t="s">
        <v>90</v>
      </c>
      <c r="AF535" s="18" t="s">
        <v>177</v>
      </c>
      <c r="AG535" s="18" t="s">
        <v>139</v>
      </c>
      <c r="AH535" s="18" t="s">
        <v>93</v>
      </c>
      <c r="AI535" s="18" t="s">
        <v>94</v>
      </c>
      <c r="AJ535" s="19">
        <v>44908</v>
      </c>
      <c r="AK535" s="22" t="s">
        <v>95</v>
      </c>
      <c r="AL535" s="18" t="s">
        <v>95</v>
      </c>
      <c r="AM535" s="18" t="s">
        <v>95</v>
      </c>
      <c r="AN535" s="18" t="s">
        <v>95</v>
      </c>
      <c r="AO535" s="18" t="s">
        <v>95</v>
      </c>
      <c r="AP535" s="18" t="s">
        <v>95</v>
      </c>
      <c r="AQ535" s="18" t="s">
        <v>95</v>
      </c>
      <c r="AR535" s="18" t="s">
        <v>95</v>
      </c>
      <c r="AS535" s="18" t="s">
        <v>83</v>
      </c>
      <c r="AT535" s="18" t="s">
        <v>83</v>
      </c>
      <c r="AU535" s="18" t="s">
        <v>81</v>
      </c>
      <c r="AV535" s="18" t="s">
        <v>95</v>
      </c>
      <c r="AW535" s="18" t="s">
        <v>95</v>
      </c>
      <c r="AX535" s="18"/>
      <c r="AY535" s="18" t="str">
        <f>Pospago[[#This Row],[NUM_TELEFONICO]]&amp;"POSPAGOSI"</f>
        <v>987293571POSPAGOSI</v>
      </c>
      <c r="AZ535" s="18" t="str">
        <f>VLOOKUP(Pospago[[#This Row],[NOM_PLAZA_FINAL]],[1]!Locales[#Data],3,0)</f>
        <v>TIENDA RECREO</v>
      </c>
      <c r="BA535" s="18" t="str">
        <f>IFERROR(VLOOKUP(Pospago[[#This Row],[USUARIO]],[1]!Personal[#Data],6,0),"EJECUTIVO NO REGISTRADO")</f>
        <v>CORDOVA GAIBOR JONATHAN HERNAN</v>
      </c>
      <c r="BB535" s="18" t="str">
        <f>Pospago[[#This Row],[TIPO_MOVIMIENTO]]&amp;" "&amp;Pospago[[#This Row],[FORMA_PAGO_FINAL]]</f>
        <v>ALTAS DOMICILIADO</v>
      </c>
      <c r="BC535" s="18">
        <f>DAY(Pospago[[#This Row],[FECHA_ALTA]])</f>
        <v>13</v>
      </c>
      <c r="BD535" s="18">
        <f>IF(Pospago[[#This Row],[TARIFA_BASICA]]=11.42,1,0)</f>
        <v>0</v>
      </c>
      <c r="BE535" s="18">
        <f>IF(Pospago[[#This Row],[PLANES TELEVENTAS]]="SI",1,0)</f>
        <v>0</v>
      </c>
      <c r="BF535" s="18">
        <f>1</f>
        <v>1</v>
      </c>
      <c r="BG535" s="18">
        <f>IF(OR(Pospago[[#This Row],[TARIFA_BASICA]]=11.42,Pospago[[#This Row],[PLANES TELEVENTAS]]="SI"),1,0)</f>
        <v>0</v>
      </c>
      <c r="BH535" s="18" t="str">
        <f>IF(MID(Pospago[[#This Row],[PlanDesc]],1,4) = "PLAN","POSPAGO",IF(MID(Pospago[[#This Row],[PlanDesc]],1,4)="FULL","FULL MEGAS","PREVIOPAGO"))</f>
        <v>PREVIOPAGO</v>
      </c>
      <c r="BI5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5" s="21">
        <f>Pospago[[#This Row],[TARIFA_BASICA]]*1.5</f>
        <v>21.419999999999998</v>
      </c>
    </row>
    <row r="536" spans="1:63" x14ac:dyDescent="0.25">
      <c r="A536" s="18" t="s">
        <v>64</v>
      </c>
      <c r="B536" s="18" t="s">
        <v>3505</v>
      </c>
      <c r="C536" s="18" t="s">
        <v>3506</v>
      </c>
      <c r="D536" s="19">
        <v>44902</v>
      </c>
      <c r="E536" s="18" t="s">
        <v>67</v>
      </c>
      <c r="F536" s="18" t="s">
        <v>3507</v>
      </c>
      <c r="G536" s="18" t="s">
        <v>3508</v>
      </c>
      <c r="H536" s="18" t="s">
        <v>70</v>
      </c>
      <c r="I536" s="18" t="s">
        <v>2207</v>
      </c>
      <c r="J536" s="18" t="s">
        <v>2208</v>
      </c>
      <c r="K536" s="18" t="s">
        <v>3509</v>
      </c>
      <c r="L536" s="20" t="s">
        <v>3510</v>
      </c>
      <c r="M536" s="18" t="s">
        <v>75</v>
      </c>
      <c r="N536" s="20" t="s">
        <v>3511</v>
      </c>
      <c r="O536" s="18" t="s">
        <v>77</v>
      </c>
      <c r="P536" s="18" t="s">
        <v>78</v>
      </c>
      <c r="Q536" s="19">
        <v>44914</v>
      </c>
      <c r="R536" s="21">
        <v>15</v>
      </c>
      <c r="S536" s="18" t="s">
        <v>79</v>
      </c>
      <c r="T536" s="18" t="s">
        <v>117</v>
      </c>
      <c r="U536" s="18" t="s">
        <v>83</v>
      </c>
      <c r="V536" s="18" t="s">
        <v>95</v>
      </c>
      <c r="W536" s="18" t="s">
        <v>83</v>
      </c>
      <c r="X536" s="18" t="s">
        <v>84</v>
      </c>
      <c r="Y536" s="18" t="s">
        <v>85</v>
      </c>
      <c r="Z536" s="18" t="s">
        <v>86</v>
      </c>
      <c r="AA536" s="18" t="s">
        <v>87</v>
      </c>
      <c r="AB536" s="18" t="s">
        <v>120</v>
      </c>
      <c r="AC536" s="18" t="s">
        <v>121</v>
      </c>
      <c r="AD536" s="18" t="s">
        <v>85</v>
      </c>
      <c r="AE536" s="18" t="s">
        <v>90</v>
      </c>
      <c r="AF536" s="18" t="s">
        <v>122</v>
      </c>
      <c r="AG536" s="18" t="s">
        <v>92</v>
      </c>
      <c r="AH536" s="18" t="s">
        <v>93</v>
      </c>
      <c r="AI536" s="18" t="s">
        <v>94</v>
      </c>
      <c r="AJ536" s="19">
        <v>44902</v>
      </c>
      <c r="AK536" s="22" t="s">
        <v>95</v>
      </c>
      <c r="AL536" s="18" t="s">
        <v>95</v>
      </c>
      <c r="AM536" s="18" t="s">
        <v>95</v>
      </c>
      <c r="AN536" s="18" t="s">
        <v>95</v>
      </c>
      <c r="AO536" s="18" t="s">
        <v>95</v>
      </c>
      <c r="AP536" s="18" t="s">
        <v>95</v>
      </c>
      <c r="AQ536" s="18" t="s">
        <v>95</v>
      </c>
      <c r="AR536" s="18" t="s">
        <v>95</v>
      </c>
      <c r="AS536" s="18" t="s">
        <v>83</v>
      </c>
      <c r="AT536" s="18" t="s">
        <v>95</v>
      </c>
      <c r="AU536" s="18" t="s">
        <v>95</v>
      </c>
      <c r="AV536" s="18" t="s">
        <v>95</v>
      </c>
      <c r="AW536" s="18" t="s">
        <v>95</v>
      </c>
      <c r="AX536" s="18"/>
      <c r="AY536" s="18" t="str">
        <f>Pospago[[#This Row],[NUM_TELEFONICO]]&amp;"POSPAGOSI"</f>
        <v>987293654POSPAGOSI</v>
      </c>
      <c r="AZ536" s="18" t="str">
        <f>VLOOKUP(Pospago[[#This Row],[NOM_PLAZA_FINAL]],[1]!Locales[#Data],3,0)</f>
        <v>TIENDA MACHALA</v>
      </c>
      <c r="BA536" s="18" t="str">
        <f>IFERROR(VLOOKUP(Pospago[[#This Row],[USUARIO]],[1]!Personal[#Data],6,0),"EJECUTIVO NO REGISTRADO")</f>
        <v>ARROBO VICENTE YADIRA ESPERANZA</v>
      </c>
      <c r="BB536" s="18" t="str">
        <f>Pospago[[#This Row],[TIPO_MOVIMIENTO]]&amp;" "&amp;Pospago[[#This Row],[FORMA_PAGO_FINAL]]</f>
        <v>ALTAS DOMICILIADO</v>
      </c>
      <c r="BC536" s="18">
        <f>DAY(Pospago[[#This Row],[FECHA_ALTA]])</f>
        <v>7</v>
      </c>
      <c r="BD536" s="18">
        <f>IF(Pospago[[#This Row],[TARIFA_BASICA]]=11.42,1,0)</f>
        <v>0</v>
      </c>
      <c r="BE536" s="18">
        <f>IF(Pospago[[#This Row],[PLANES TELEVENTAS]]="SI",1,0)</f>
        <v>0</v>
      </c>
      <c r="BF536" s="18">
        <f>1</f>
        <v>1</v>
      </c>
      <c r="BG536" s="18">
        <f>IF(OR(Pospago[[#This Row],[TARIFA_BASICA]]=11.42,Pospago[[#This Row],[PLANES TELEVENTAS]]="SI"),1,0)</f>
        <v>0</v>
      </c>
      <c r="BH536" s="18" t="str">
        <f>IF(MID(Pospago[[#This Row],[PlanDesc]],1,4) = "PLAN","POSPAGO",IF(MID(Pospago[[#This Row],[PlanDesc]],1,4)="FULL","FULL MEGAS","PREVIOPAGO"))</f>
        <v>FULL MEGAS</v>
      </c>
      <c r="BI5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19.8</v>
      </c>
      <c r="BJ5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6" s="21">
        <f>Pospago[[#This Row],[TARIFA_BASICA]]*1.5</f>
        <v>22.5</v>
      </c>
    </row>
    <row r="537" spans="1:63" x14ac:dyDescent="0.25">
      <c r="A537" s="18" t="s">
        <v>154</v>
      </c>
      <c r="B537" s="18" t="s">
        <v>3512</v>
      </c>
      <c r="C537" s="18" t="s">
        <v>3513</v>
      </c>
      <c r="D537" s="19">
        <v>44899</v>
      </c>
      <c r="E537" s="18" t="s">
        <v>246</v>
      </c>
      <c r="F537" s="18" t="s">
        <v>3514</v>
      </c>
      <c r="G537" s="18" t="s">
        <v>3515</v>
      </c>
      <c r="H537" s="18" t="s">
        <v>159</v>
      </c>
      <c r="I537" s="18" t="s">
        <v>130</v>
      </c>
      <c r="J537" s="18" t="s">
        <v>433</v>
      </c>
      <c r="K537" s="18" t="s">
        <v>132</v>
      </c>
      <c r="L537" s="20" t="s">
        <v>3516</v>
      </c>
      <c r="M537" s="18" t="s">
        <v>75</v>
      </c>
      <c r="N537" s="20" t="s">
        <v>3517</v>
      </c>
      <c r="O537" s="18" t="s">
        <v>164</v>
      </c>
      <c r="P537" s="18" t="s">
        <v>78</v>
      </c>
      <c r="Q537" s="19">
        <v>44914</v>
      </c>
      <c r="R537" s="21">
        <v>15</v>
      </c>
      <c r="S537" s="18" t="s">
        <v>79</v>
      </c>
      <c r="T537" s="18" t="s">
        <v>174</v>
      </c>
      <c r="U537" s="18" t="s">
        <v>83</v>
      </c>
      <c r="V537" s="18" t="s">
        <v>95</v>
      </c>
      <c r="W537" s="18" t="s">
        <v>95</v>
      </c>
      <c r="X537" s="18" t="s">
        <v>118</v>
      </c>
      <c r="Y537" s="18" t="s">
        <v>85</v>
      </c>
      <c r="Z537" s="18" t="s">
        <v>86</v>
      </c>
      <c r="AA537" s="18" t="s">
        <v>119</v>
      </c>
      <c r="AB537" s="18" t="s">
        <v>369</v>
      </c>
      <c r="AC537" s="18" t="s">
        <v>370</v>
      </c>
      <c r="AD537" s="18" t="s">
        <v>85</v>
      </c>
      <c r="AE537" s="18" t="s">
        <v>90</v>
      </c>
      <c r="AF537" s="18" t="s">
        <v>177</v>
      </c>
      <c r="AG537" s="18" t="s">
        <v>139</v>
      </c>
      <c r="AH537" s="18" t="s">
        <v>165</v>
      </c>
      <c r="AI537" s="18" t="s">
        <v>94</v>
      </c>
      <c r="AJ537" s="19">
        <v>44899</v>
      </c>
      <c r="AK537" s="22" t="s">
        <v>95</v>
      </c>
      <c r="AL537" s="18" t="s">
        <v>95</v>
      </c>
      <c r="AM537" s="18" t="s">
        <v>95</v>
      </c>
      <c r="AN537" s="18" t="s">
        <v>95</v>
      </c>
      <c r="AO537" s="18" t="s">
        <v>95</v>
      </c>
      <c r="AP537" s="18" t="s">
        <v>95</v>
      </c>
      <c r="AQ537" s="18" t="s">
        <v>95</v>
      </c>
      <c r="AR537" s="18" t="s">
        <v>95</v>
      </c>
      <c r="AS537" s="18" t="s">
        <v>83</v>
      </c>
      <c r="AT537" s="18" t="s">
        <v>83</v>
      </c>
      <c r="AU537" s="18" t="s">
        <v>81</v>
      </c>
      <c r="AV537" s="18" t="s">
        <v>95</v>
      </c>
      <c r="AW537" s="18" t="s">
        <v>291</v>
      </c>
      <c r="AX537" s="18"/>
      <c r="AY537" s="18" t="str">
        <f>Pospago[[#This Row],[NUM_TELEFONICO]]&amp;"POSPAGOSI"</f>
        <v>987294139POSPAGOSI</v>
      </c>
      <c r="AZ537" s="18" t="str">
        <f>VLOOKUP(Pospago[[#This Row],[NOM_PLAZA_FINAL]],[1]!Locales[#Data],3,0)</f>
        <v>TIENDA RECREO</v>
      </c>
      <c r="BA537" s="18" t="str">
        <f>IFERROR(VLOOKUP(Pospago[[#This Row],[USUARIO]],[1]!Personal[#Data],6,0),"EJECUTIVO NO REGISTRADO")</f>
        <v>GUAIGUA REINOSO GENESIS CAROLINA</v>
      </c>
      <c r="BB537" s="18" t="str">
        <f>Pospago[[#This Row],[TIPO_MOVIMIENTO]]&amp;" "&amp;Pospago[[#This Row],[FORMA_PAGO_FINAL]]</f>
        <v>TRANSFERENCIAS PAGO EN CAJA</v>
      </c>
      <c r="BC537" s="18">
        <f>DAY(Pospago[[#This Row],[FECHA_ALTA]])</f>
        <v>4</v>
      </c>
      <c r="BD537" s="18">
        <f>IF(Pospago[[#This Row],[TARIFA_BASICA]]=11.42,1,0)</f>
        <v>0</v>
      </c>
      <c r="BE537" s="18">
        <f>IF(Pospago[[#This Row],[PLANES TELEVENTAS]]="SI",1,0)</f>
        <v>0</v>
      </c>
      <c r="BF537" s="18">
        <f>1</f>
        <v>1</v>
      </c>
      <c r="BG537" s="18">
        <f>IF(OR(Pospago[[#This Row],[TARIFA_BASICA]]=11.42,Pospago[[#This Row],[PLANES TELEVENTAS]]="SI"),1,0)</f>
        <v>0</v>
      </c>
      <c r="BH537" s="18" t="str">
        <f>IF(MID(Pospago[[#This Row],[PlanDesc]],1,4) = "PLAN","POSPAGO",IF(MID(Pospago[[#This Row],[PlanDesc]],1,4)="FULL","FULL MEGAS","PREVIOPAGO"))</f>
        <v>PREVIOPAGO</v>
      </c>
      <c r="BI5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5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7" s="21">
        <f>Pospago[[#This Row],[TARIFA_BASICA]]*1.5</f>
        <v>22.5</v>
      </c>
    </row>
    <row r="538" spans="1:63" x14ac:dyDescent="0.25">
      <c r="A538" s="18" t="s">
        <v>64</v>
      </c>
      <c r="B538" s="18" t="s">
        <v>3518</v>
      </c>
      <c r="C538" s="18" t="s">
        <v>3519</v>
      </c>
      <c r="D538" s="19">
        <v>44900</v>
      </c>
      <c r="E538" s="18" t="s">
        <v>67</v>
      </c>
      <c r="F538" s="18" t="s">
        <v>3520</v>
      </c>
      <c r="G538" s="18" t="s">
        <v>3521</v>
      </c>
      <c r="H538" s="18" t="s">
        <v>70</v>
      </c>
      <c r="I538" s="18" t="s">
        <v>2207</v>
      </c>
      <c r="J538" s="18" t="s">
        <v>2208</v>
      </c>
      <c r="K538" s="18" t="s">
        <v>1727</v>
      </c>
      <c r="L538" s="20" t="s">
        <v>3522</v>
      </c>
      <c r="M538" s="18" t="s">
        <v>75</v>
      </c>
      <c r="N538" s="20" t="s">
        <v>3523</v>
      </c>
      <c r="O538" s="18" t="s">
        <v>77</v>
      </c>
      <c r="P538" s="18" t="s">
        <v>78</v>
      </c>
      <c r="Q538" s="19">
        <v>44914</v>
      </c>
      <c r="R538" s="21">
        <v>15</v>
      </c>
      <c r="S538" s="18" t="s">
        <v>79</v>
      </c>
      <c r="T538" s="18" t="s">
        <v>80</v>
      </c>
      <c r="U538" s="18" t="s">
        <v>83</v>
      </c>
      <c r="V538" s="18" t="s">
        <v>95</v>
      </c>
      <c r="W538" s="18" t="s">
        <v>83</v>
      </c>
      <c r="X538" s="18" t="s">
        <v>118</v>
      </c>
      <c r="Y538" s="18" t="s">
        <v>85</v>
      </c>
      <c r="Z538" s="18" t="s">
        <v>86</v>
      </c>
      <c r="AA538" s="18" t="s">
        <v>119</v>
      </c>
      <c r="AB538" s="18" t="s">
        <v>880</v>
      </c>
      <c r="AC538" s="18" t="s">
        <v>881</v>
      </c>
      <c r="AD538" s="18" t="s">
        <v>85</v>
      </c>
      <c r="AE538" s="18" t="s">
        <v>90</v>
      </c>
      <c r="AF538" s="18" t="s">
        <v>91</v>
      </c>
      <c r="AG538" s="18" t="s">
        <v>92</v>
      </c>
      <c r="AH538" s="18" t="s">
        <v>93</v>
      </c>
      <c r="AI538" s="18" t="s">
        <v>94</v>
      </c>
      <c r="AJ538" s="19">
        <v>44900</v>
      </c>
      <c r="AK538" s="22" t="s">
        <v>95</v>
      </c>
      <c r="AL538" s="18" t="s">
        <v>95</v>
      </c>
      <c r="AM538" s="18" t="s">
        <v>95</v>
      </c>
      <c r="AN538" s="18" t="s">
        <v>95</v>
      </c>
      <c r="AO538" s="18" t="s">
        <v>95</v>
      </c>
      <c r="AP538" s="18" t="s">
        <v>95</v>
      </c>
      <c r="AQ538" s="18" t="s">
        <v>95</v>
      </c>
      <c r="AR538" s="18" t="s">
        <v>95</v>
      </c>
      <c r="AS538" s="18" t="s">
        <v>83</v>
      </c>
      <c r="AT538" s="18" t="s">
        <v>95</v>
      </c>
      <c r="AU538" s="18" t="s">
        <v>95</v>
      </c>
      <c r="AV538" s="18" t="s">
        <v>95</v>
      </c>
      <c r="AW538" s="18" t="s">
        <v>95</v>
      </c>
      <c r="AX538" s="18"/>
      <c r="AY538" s="18" t="str">
        <f>Pospago[[#This Row],[NUM_TELEFONICO]]&amp;"POSPAGOSI"</f>
        <v>987296266POSPAGOSI</v>
      </c>
      <c r="AZ538" s="18" t="str">
        <f>VLOOKUP(Pospago[[#This Row],[NOM_PLAZA_FINAL]],[1]!Locales[#Data],3,0)</f>
        <v>TIENDA CUENCA CENTRO</v>
      </c>
      <c r="BA538" s="18" t="str">
        <f>IFERROR(VLOOKUP(Pospago[[#This Row],[USUARIO]],[1]!Personal[#Data],6,0),"EJECUTIVO NO REGISTRADO")</f>
        <v>LUNA JACHO ANDREA GABRIELA</v>
      </c>
      <c r="BB538" s="18" t="str">
        <f>Pospago[[#This Row],[TIPO_MOVIMIENTO]]&amp;" "&amp;Pospago[[#This Row],[FORMA_PAGO_FINAL]]</f>
        <v>ALTAS PAGO EN CAJA</v>
      </c>
      <c r="BC538" s="18">
        <f>DAY(Pospago[[#This Row],[FECHA_ALTA]])</f>
        <v>5</v>
      </c>
      <c r="BD538" s="18">
        <f>IF(Pospago[[#This Row],[TARIFA_BASICA]]=11.42,1,0)</f>
        <v>0</v>
      </c>
      <c r="BE538" s="18">
        <f>IF(Pospago[[#This Row],[PLANES TELEVENTAS]]="SI",1,0)</f>
        <v>0</v>
      </c>
      <c r="BF538" s="18">
        <f>1</f>
        <v>1</v>
      </c>
      <c r="BG538" s="18">
        <f>IF(OR(Pospago[[#This Row],[TARIFA_BASICA]]=11.42,Pospago[[#This Row],[PLANES TELEVENTAS]]="SI"),1,0)</f>
        <v>0</v>
      </c>
      <c r="BH538" s="18" t="str">
        <f>IF(MID(Pospago[[#This Row],[PlanDesc]],1,4) = "PLAN","POSPAGO",IF(MID(Pospago[[#This Row],[PlanDesc]],1,4)="FULL","FULL MEGAS","PREVIOPAGO"))</f>
        <v>FULL MEGAS</v>
      </c>
      <c r="BI5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5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8" s="21">
        <f>Pospago[[#This Row],[TARIFA_BASICA]]*1.5</f>
        <v>22.5</v>
      </c>
    </row>
    <row r="539" spans="1:63" x14ac:dyDescent="0.25">
      <c r="A539" s="18" t="s">
        <v>154</v>
      </c>
      <c r="B539" s="18" t="s">
        <v>3524</v>
      </c>
      <c r="C539" s="18" t="s">
        <v>3525</v>
      </c>
      <c r="D539" s="19">
        <v>44907</v>
      </c>
      <c r="E539" s="18" t="s">
        <v>67</v>
      </c>
      <c r="F539" s="18" t="s">
        <v>3526</v>
      </c>
      <c r="G539" s="18" t="s">
        <v>3527</v>
      </c>
      <c r="H539" s="18" t="s">
        <v>159</v>
      </c>
      <c r="I539" s="18" t="s">
        <v>130</v>
      </c>
      <c r="J539" s="18" t="s">
        <v>433</v>
      </c>
      <c r="K539" s="18" t="s">
        <v>73</v>
      </c>
      <c r="L539" s="20" t="s">
        <v>3528</v>
      </c>
      <c r="M539" s="18" t="s">
        <v>75</v>
      </c>
      <c r="N539" s="20" t="s">
        <v>3529</v>
      </c>
      <c r="O539" s="18" t="s">
        <v>164</v>
      </c>
      <c r="P539" s="18" t="s">
        <v>78</v>
      </c>
      <c r="Q539" s="19">
        <v>44914</v>
      </c>
      <c r="R539" s="21">
        <v>15</v>
      </c>
      <c r="S539" s="18" t="s">
        <v>79</v>
      </c>
      <c r="T539" s="18" t="s">
        <v>148</v>
      </c>
      <c r="U539" s="18" t="s">
        <v>83</v>
      </c>
      <c r="V539" s="18" t="s">
        <v>95</v>
      </c>
      <c r="W539" s="18" t="s">
        <v>95</v>
      </c>
      <c r="X539" s="18" t="s">
        <v>118</v>
      </c>
      <c r="Y539" s="18" t="s">
        <v>85</v>
      </c>
      <c r="Z539" s="18" t="s">
        <v>86</v>
      </c>
      <c r="AA539" s="18" t="s">
        <v>119</v>
      </c>
      <c r="AB539" s="18" t="s">
        <v>610</v>
      </c>
      <c r="AC539" s="18" t="s">
        <v>611</v>
      </c>
      <c r="AD539" s="18" t="s">
        <v>85</v>
      </c>
      <c r="AE539" s="18" t="s">
        <v>90</v>
      </c>
      <c r="AF539" s="18" t="s">
        <v>151</v>
      </c>
      <c r="AG539" s="18" t="s">
        <v>92</v>
      </c>
      <c r="AH539" s="18" t="s">
        <v>165</v>
      </c>
      <c r="AI539" s="18" t="s">
        <v>94</v>
      </c>
      <c r="AJ539" s="19">
        <v>44907</v>
      </c>
      <c r="AK539" s="22" t="s">
        <v>95</v>
      </c>
      <c r="AL539" s="18" t="s">
        <v>95</v>
      </c>
      <c r="AM539" s="18" t="s">
        <v>95</v>
      </c>
      <c r="AN539" s="18" t="s">
        <v>95</v>
      </c>
      <c r="AO539" s="18" t="s">
        <v>95</v>
      </c>
      <c r="AP539" s="18" t="s">
        <v>95</v>
      </c>
      <c r="AQ539" s="18" t="s">
        <v>95</v>
      </c>
      <c r="AR539" s="18" t="s">
        <v>95</v>
      </c>
      <c r="AS539" s="18" t="s">
        <v>83</v>
      </c>
      <c r="AT539" s="18" t="s">
        <v>83</v>
      </c>
      <c r="AU539" s="18" t="s">
        <v>81</v>
      </c>
      <c r="AV539" s="18" t="s">
        <v>95</v>
      </c>
      <c r="AW539" s="18" t="s">
        <v>95</v>
      </c>
      <c r="AX539" s="18"/>
      <c r="AY539" s="18" t="str">
        <f>Pospago[[#This Row],[NUM_TELEFONICO]]&amp;"POSPAGOSI"</f>
        <v>987298901POSPAGOSI</v>
      </c>
      <c r="AZ539" s="18" t="str">
        <f>VLOOKUP(Pospago[[#This Row],[NOM_PLAZA_FINAL]],[1]!Locales[#Data],3,0)</f>
        <v>TIENDA CUENCA REMIGIO</v>
      </c>
      <c r="BA539" s="18" t="str">
        <f>IFERROR(VLOOKUP(Pospago[[#This Row],[USUARIO]],[1]!Personal[#Data],6,0),"EJECUTIVO NO REGISTRADO")</f>
        <v>PATIÑO TAPIA ANDRES SANTIAGO</v>
      </c>
      <c r="BB539" s="18" t="str">
        <f>Pospago[[#This Row],[TIPO_MOVIMIENTO]]&amp;" "&amp;Pospago[[#This Row],[FORMA_PAGO_FINAL]]</f>
        <v>TRANSFERENCIAS PAGO EN CAJA</v>
      </c>
      <c r="BC539" s="18">
        <f>DAY(Pospago[[#This Row],[FECHA_ALTA]])</f>
        <v>12</v>
      </c>
      <c r="BD539" s="18">
        <f>IF(Pospago[[#This Row],[TARIFA_BASICA]]=11.42,1,0)</f>
        <v>0</v>
      </c>
      <c r="BE539" s="18">
        <f>IF(Pospago[[#This Row],[PLANES TELEVENTAS]]="SI",1,0)</f>
        <v>0</v>
      </c>
      <c r="BF539" s="18">
        <f>1</f>
        <v>1</v>
      </c>
      <c r="BG539" s="18">
        <f>IF(OR(Pospago[[#This Row],[TARIFA_BASICA]]=11.42,Pospago[[#This Row],[PLANES TELEVENTAS]]="SI"),1,0)</f>
        <v>0</v>
      </c>
      <c r="BH539" s="18" t="str">
        <f>IF(MID(Pospago[[#This Row],[PlanDesc]],1,4) = "PLAN","POSPAGO",IF(MID(Pospago[[#This Row],[PlanDesc]],1,4)="FULL","FULL MEGAS","PREVIOPAGO"))</f>
        <v>PREVIOPAGO</v>
      </c>
      <c r="BI5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5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39" s="21">
        <f>Pospago[[#This Row],[TARIFA_BASICA]]*1.5</f>
        <v>22.5</v>
      </c>
    </row>
    <row r="540" spans="1:63" x14ac:dyDescent="0.25">
      <c r="A540" s="18" t="s">
        <v>154</v>
      </c>
      <c r="B540" s="18" t="s">
        <v>3530</v>
      </c>
      <c r="C540" s="18" t="s">
        <v>3531</v>
      </c>
      <c r="D540" s="19">
        <v>44903</v>
      </c>
      <c r="E540" s="18" t="s">
        <v>67</v>
      </c>
      <c r="F540" s="18" t="s">
        <v>3532</v>
      </c>
      <c r="G540" s="18" t="s">
        <v>3533</v>
      </c>
      <c r="H540" s="18" t="s">
        <v>159</v>
      </c>
      <c r="I540" s="18" t="s">
        <v>71</v>
      </c>
      <c r="J540" s="18" t="s">
        <v>258</v>
      </c>
      <c r="K540" s="18" t="s">
        <v>132</v>
      </c>
      <c r="L540" s="20" t="s">
        <v>3534</v>
      </c>
      <c r="M540" s="18" t="s">
        <v>75</v>
      </c>
      <c r="N540" s="20" t="s">
        <v>3535</v>
      </c>
      <c r="O540" s="18" t="s">
        <v>164</v>
      </c>
      <c r="P540" s="18" t="s">
        <v>78</v>
      </c>
      <c r="Q540" s="19">
        <v>44914</v>
      </c>
      <c r="R540" s="21">
        <v>11.42</v>
      </c>
      <c r="S540" s="18" t="s">
        <v>79</v>
      </c>
      <c r="T540" s="18" t="s">
        <v>148</v>
      </c>
      <c r="U540" s="18" t="s">
        <v>83</v>
      </c>
      <c r="V540" s="18" t="s">
        <v>95</v>
      </c>
      <c r="W540" s="18" t="s">
        <v>95</v>
      </c>
      <c r="X540" s="18" t="s">
        <v>84</v>
      </c>
      <c r="Y540" s="18" t="s">
        <v>85</v>
      </c>
      <c r="Z540" s="18" t="s">
        <v>86</v>
      </c>
      <c r="AA540" s="18" t="s">
        <v>87</v>
      </c>
      <c r="AB540" s="18" t="s">
        <v>318</v>
      </c>
      <c r="AC540" s="18" t="s">
        <v>319</v>
      </c>
      <c r="AD540" s="18" t="s">
        <v>85</v>
      </c>
      <c r="AE540" s="18" t="s">
        <v>90</v>
      </c>
      <c r="AF540" s="18" t="s">
        <v>151</v>
      </c>
      <c r="AG540" s="18" t="s">
        <v>92</v>
      </c>
      <c r="AH540" s="18" t="s">
        <v>165</v>
      </c>
      <c r="AI540" s="18" t="s">
        <v>94</v>
      </c>
      <c r="AJ540" s="19">
        <v>44903</v>
      </c>
      <c r="AK540" s="22" t="s">
        <v>95</v>
      </c>
      <c r="AL540" s="18" t="s">
        <v>95</v>
      </c>
      <c r="AM540" s="18" t="s">
        <v>95</v>
      </c>
      <c r="AN540" s="18" t="s">
        <v>95</v>
      </c>
      <c r="AO540" s="18" t="s">
        <v>95</v>
      </c>
      <c r="AP540" s="18" t="s">
        <v>95</v>
      </c>
      <c r="AQ540" s="18" t="s">
        <v>95</v>
      </c>
      <c r="AR540" s="18" t="s">
        <v>95</v>
      </c>
      <c r="AS540" s="18" t="s">
        <v>83</v>
      </c>
      <c r="AT540" s="18" t="s">
        <v>83</v>
      </c>
      <c r="AU540" s="18" t="s">
        <v>81</v>
      </c>
      <c r="AV540" s="18" t="s">
        <v>95</v>
      </c>
      <c r="AW540" s="18" t="s">
        <v>95</v>
      </c>
      <c r="AX540" s="18"/>
      <c r="AY540" s="18" t="str">
        <f>Pospago[[#This Row],[NUM_TELEFONICO]]&amp;"POSPAGOSI"</f>
        <v>987299930POSPAGOSI</v>
      </c>
      <c r="AZ540" s="18" t="str">
        <f>VLOOKUP(Pospago[[#This Row],[NOM_PLAZA_FINAL]],[1]!Locales[#Data],3,0)</f>
        <v>TIENDA CUENCA REMIGIO</v>
      </c>
      <c r="BA540" s="18" t="str">
        <f>IFERROR(VLOOKUP(Pospago[[#This Row],[USUARIO]],[1]!Personal[#Data],6,0),"EJECUTIVO NO REGISTRADO")</f>
        <v>RODRIGUEZ QUITO JESSICA GABRIELA</v>
      </c>
      <c r="BB540" s="18" t="str">
        <f>Pospago[[#This Row],[TIPO_MOVIMIENTO]]&amp;" "&amp;Pospago[[#This Row],[FORMA_PAGO_FINAL]]</f>
        <v>TRANSFERENCIAS DOMICILIADO</v>
      </c>
      <c r="BC540" s="18">
        <f>DAY(Pospago[[#This Row],[FECHA_ALTA]])</f>
        <v>8</v>
      </c>
      <c r="BD540" s="18">
        <f>IF(Pospago[[#This Row],[TARIFA_BASICA]]=11.42,1,0)</f>
        <v>1</v>
      </c>
      <c r="BE540" s="18">
        <f>IF(Pospago[[#This Row],[PLANES TELEVENTAS]]="SI",1,0)</f>
        <v>0</v>
      </c>
      <c r="BF540" s="18">
        <f>1</f>
        <v>1</v>
      </c>
      <c r="BG540" s="18">
        <f>IF(OR(Pospago[[#This Row],[TARIFA_BASICA]]=11.42,Pospago[[#This Row],[PLANES TELEVENTAS]]="SI"),1,0)</f>
        <v>1</v>
      </c>
      <c r="BH540" s="18" t="str">
        <f>IF(MID(Pospago[[#This Row],[PlanDesc]],1,4) = "PLAN","POSPAGO",IF(MID(Pospago[[#This Row],[PlanDesc]],1,4)="FULL","FULL MEGAS","PREVIOPAGO"))</f>
        <v>PREVIOPAGO</v>
      </c>
      <c r="BI5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5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40" s="21">
        <f>Pospago[[#This Row],[TARIFA_BASICA]]*1.5</f>
        <v>17.13</v>
      </c>
    </row>
    <row r="541" spans="1:63" x14ac:dyDescent="0.25">
      <c r="A541" s="18" t="s">
        <v>154</v>
      </c>
      <c r="B541" s="18" t="s">
        <v>3536</v>
      </c>
      <c r="C541" s="18" t="s">
        <v>3537</v>
      </c>
      <c r="D541" s="19">
        <v>44903</v>
      </c>
      <c r="E541" s="18" t="s">
        <v>67</v>
      </c>
      <c r="F541" s="18" t="s">
        <v>3538</v>
      </c>
      <c r="G541" s="18" t="s">
        <v>3539</v>
      </c>
      <c r="H541" s="18" t="s">
        <v>159</v>
      </c>
      <c r="I541" s="18" t="s">
        <v>71</v>
      </c>
      <c r="J541" s="18" t="s">
        <v>258</v>
      </c>
      <c r="K541" s="18" t="s">
        <v>132</v>
      </c>
      <c r="L541" s="20" t="s">
        <v>3540</v>
      </c>
      <c r="M541" s="18" t="s">
        <v>75</v>
      </c>
      <c r="N541" s="20" t="s">
        <v>3541</v>
      </c>
      <c r="O541" s="18" t="s">
        <v>164</v>
      </c>
      <c r="P541" s="18" t="s">
        <v>78</v>
      </c>
      <c r="Q541" s="19">
        <v>44914</v>
      </c>
      <c r="R541" s="21">
        <v>11.42</v>
      </c>
      <c r="S541" s="18" t="s">
        <v>79</v>
      </c>
      <c r="T541" s="18" t="s">
        <v>174</v>
      </c>
      <c r="U541" s="18" t="s">
        <v>83</v>
      </c>
      <c r="V541" s="18" t="s">
        <v>95</v>
      </c>
      <c r="W541" s="18" t="s">
        <v>95</v>
      </c>
      <c r="X541" s="18" t="s">
        <v>84</v>
      </c>
      <c r="Y541" s="18" t="s">
        <v>85</v>
      </c>
      <c r="Z541" s="18" t="s">
        <v>86</v>
      </c>
      <c r="AA541" s="18" t="s">
        <v>87</v>
      </c>
      <c r="AB541" s="18" t="s">
        <v>262</v>
      </c>
      <c r="AC541" s="18" t="s">
        <v>263</v>
      </c>
      <c r="AD541" s="18" t="s">
        <v>85</v>
      </c>
      <c r="AE541" s="18" t="s">
        <v>90</v>
      </c>
      <c r="AF541" s="18" t="s">
        <v>177</v>
      </c>
      <c r="AG541" s="18" t="s">
        <v>139</v>
      </c>
      <c r="AH541" s="18" t="s">
        <v>165</v>
      </c>
      <c r="AI541" s="18" t="s">
        <v>94</v>
      </c>
      <c r="AJ541" s="19">
        <v>44903</v>
      </c>
      <c r="AK541" s="22" t="s">
        <v>95</v>
      </c>
      <c r="AL541" s="18" t="s">
        <v>95</v>
      </c>
      <c r="AM541" s="18" t="s">
        <v>95</v>
      </c>
      <c r="AN541" s="18" t="s">
        <v>95</v>
      </c>
      <c r="AO541" s="18" t="s">
        <v>95</v>
      </c>
      <c r="AP541" s="18" t="s">
        <v>95</v>
      </c>
      <c r="AQ541" s="18" t="s">
        <v>95</v>
      </c>
      <c r="AR541" s="18" t="s">
        <v>95</v>
      </c>
      <c r="AS541" s="18" t="s">
        <v>83</v>
      </c>
      <c r="AT541" s="18" t="s">
        <v>83</v>
      </c>
      <c r="AU541" s="18" t="s">
        <v>81</v>
      </c>
      <c r="AV541" s="18" t="s">
        <v>95</v>
      </c>
      <c r="AW541" s="18" t="s">
        <v>95</v>
      </c>
      <c r="AX541" s="18"/>
      <c r="AY541" s="18" t="str">
        <f>Pospago[[#This Row],[NUM_TELEFONICO]]&amp;"POSPAGOSI"</f>
        <v>987316396POSPAGOSI</v>
      </c>
      <c r="AZ541" s="18" t="str">
        <f>VLOOKUP(Pospago[[#This Row],[NOM_PLAZA_FINAL]],[1]!Locales[#Data],3,0)</f>
        <v>TIENDA RECREO</v>
      </c>
      <c r="BA541" s="18" t="str">
        <f>IFERROR(VLOOKUP(Pospago[[#This Row],[USUARIO]],[1]!Personal[#Data],6,0),"EJECUTIVO NO REGISTRADO")</f>
        <v>CHICAIZA TOAPANTA ALEX DANILO</v>
      </c>
      <c r="BB541" s="18" t="str">
        <f>Pospago[[#This Row],[TIPO_MOVIMIENTO]]&amp;" "&amp;Pospago[[#This Row],[FORMA_PAGO_FINAL]]</f>
        <v>TRANSFERENCIAS DOMICILIADO</v>
      </c>
      <c r="BC541" s="18">
        <f>DAY(Pospago[[#This Row],[FECHA_ALTA]])</f>
        <v>8</v>
      </c>
      <c r="BD541" s="18">
        <f>IF(Pospago[[#This Row],[TARIFA_BASICA]]=11.42,1,0)</f>
        <v>1</v>
      </c>
      <c r="BE541" s="18">
        <f>IF(Pospago[[#This Row],[PLANES TELEVENTAS]]="SI",1,0)</f>
        <v>0</v>
      </c>
      <c r="BF541" s="18">
        <f>1</f>
        <v>1</v>
      </c>
      <c r="BG541" s="18">
        <f>IF(OR(Pospago[[#This Row],[TARIFA_BASICA]]=11.42,Pospago[[#This Row],[PLANES TELEVENTAS]]="SI"),1,0)</f>
        <v>1</v>
      </c>
      <c r="BH541" s="18" t="str">
        <f>IF(MID(Pospago[[#This Row],[PlanDesc]],1,4) = "PLAN","POSPAGO",IF(MID(Pospago[[#This Row],[PlanDesc]],1,4)="FULL","FULL MEGAS","PREVIOPAGO"))</f>
        <v>PREVIOPAGO</v>
      </c>
      <c r="BI5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5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41" s="21">
        <f>Pospago[[#This Row],[TARIFA_BASICA]]*1.5</f>
        <v>17.13</v>
      </c>
    </row>
    <row r="542" spans="1:63" x14ac:dyDescent="0.25">
      <c r="A542" s="18" t="s">
        <v>154</v>
      </c>
      <c r="B542" s="18" t="s">
        <v>3542</v>
      </c>
      <c r="C542" s="18" t="s">
        <v>3543</v>
      </c>
      <c r="D542" s="19">
        <v>44900</v>
      </c>
      <c r="E542" s="18" t="s">
        <v>67</v>
      </c>
      <c r="F542" s="18" t="s">
        <v>3544</v>
      </c>
      <c r="G542" s="18" t="s">
        <v>3545</v>
      </c>
      <c r="H542" s="18" t="s">
        <v>159</v>
      </c>
      <c r="I542" s="18" t="s">
        <v>160</v>
      </c>
      <c r="J542" s="18" t="s">
        <v>161</v>
      </c>
      <c r="K542" s="18" t="s">
        <v>73</v>
      </c>
      <c r="L542" s="20" t="s">
        <v>3546</v>
      </c>
      <c r="M542" s="18" t="s">
        <v>75</v>
      </c>
      <c r="N542" s="20" t="s">
        <v>3547</v>
      </c>
      <c r="O542" s="18" t="s">
        <v>164</v>
      </c>
      <c r="P542" s="18" t="s">
        <v>78</v>
      </c>
      <c r="Q542" s="19">
        <v>44914</v>
      </c>
      <c r="R542" s="21">
        <v>14.28</v>
      </c>
      <c r="S542" s="18" t="s">
        <v>79</v>
      </c>
      <c r="T542" s="18" t="s">
        <v>232</v>
      </c>
      <c r="U542" s="18" t="s">
        <v>83</v>
      </c>
      <c r="V542" s="18" t="s">
        <v>95</v>
      </c>
      <c r="W542" s="18" t="s">
        <v>95</v>
      </c>
      <c r="X542" s="18" t="s">
        <v>84</v>
      </c>
      <c r="Y542" s="18" t="s">
        <v>85</v>
      </c>
      <c r="Z542" s="18" t="s">
        <v>86</v>
      </c>
      <c r="AA542" s="18" t="s">
        <v>87</v>
      </c>
      <c r="AB542" s="18" t="s">
        <v>280</v>
      </c>
      <c r="AC542" s="18" t="s">
        <v>281</v>
      </c>
      <c r="AD542" s="18" t="s">
        <v>85</v>
      </c>
      <c r="AE542" s="18" t="s">
        <v>90</v>
      </c>
      <c r="AF542" s="18" t="s">
        <v>235</v>
      </c>
      <c r="AG542" s="18" t="s">
        <v>139</v>
      </c>
      <c r="AH542" s="18" t="s">
        <v>165</v>
      </c>
      <c r="AI542" s="18" t="s">
        <v>94</v>
      </c>
      <c r="AJ542" s="19">
        <v>44900</v>
      </c>
      <c r="AK542" s="22" t="s">
        <v>95</v>
      </c>
      <c r="AL542" s="18" t="s">
        <v>95</v>
      </c>
      <c r="AM542" s="18" t="s">
        <v>95</v>
      </c>
      <c r="AN542" s="18" t="s">
        <v>95</v>
      </c>
      <c r="AO542" s="18" t="s">
        <v>95</v>
      </c>
      <c r="AP542" s="18" t="s">
        <v>95</v>
      </c>
      <c r="AQ542" s="18" t="s">
        <v>95</v>
      </c>
      <c r="AR542" s="18" t="s">
        <v>95</v>
      </c>
      <c r="AS542" s="18" t="s">
        <v>83</v>
      </c>
      <c r="AT542" s="18" t="s">
        <v>83</v>
      </c>
      <c r="AU542" s="18" t="s">
        <v>81</v>
      </c>
      <c r="AV542" s="18" t="s">
        <v>95</v>
      </c>
      <c r="AW542" s="18" t="s">
        <v>95</v>
      </c>
      <c r="AX542" s="18"/>
      <c r="AY542" s="18" t="str">
        <f>Pospago[[#This Row],[NUM_TELEFONICO]]&amp;"POSPAGOSI"</f>
        <v>987316608POSPAGOSI</v>
      </c>
      <c r="AZ542" s="18" t="str">
        <f>VLOOKUP(Pospago[[#This Row],[NOM_PLAZA_FINAL]],[1]!Locales[#Data],3,0)</f>
        <v>TIENDA CONDADO</v>
      </c>
      <c r="BA542" s="18" t="str">
        <f>IFERROR(VLOOKUP(Pospago[[#This Row],[USUARIO]],[1]!Personal[#Data],6,0),"EJECUTIVO NO REGISTRADO")</f>
        <v>GUACHAMIN CAZA HUGO ADRIAN</v>
      </c>
      <c r="BB542" s="18" t="str">
        <f>Pospago[[#This Row],[TIPO_MOVIMIENTO]]&amp;" "&amp;Pospago[[#This Row],[FORMA_PAGO_FINAL]]</f>
        <v>TRANSFERENCIAS DOMICILIADO</v>
      </c>
      <c r="BC542" s="18">
        <f>DAY(Pospago[[#This Row],[FECHA_ALTA]])</f>
        <v>5</v>
      </c>
      <c r="BD542" s="18">
        <f>IF(Pospago[[#This Row],[TARIFA_BASICA]]=11.42,1,0)</f>
        <v>0</v>
      </c>
      <c r="BE542" s="18">
        <f>IF(Pospago[[#This Row],[PLANES TELEVENTAS]]="SI",1,0)</f>
        <v>0</v>
      </c>
      <c r="BF542" s="18">
        <f>1</f>
        <v>1</v>
      </c>
      <c r="BG542" s="18">
        <f>IF(OR(Pospago[[#This Row],[TARIFA_BASICA]]=11.42,Pospago[[#This Row],[PLANES TELEVENTAS]]="SI"),1,0)</f>
        <v>0</v>
      </c>
      <c r="BH542" s="18" t="str">
        <f>IF(MID(Pospago[[#This Row],[PlanDesc]],1,4) = "PLAN","POSPAGO",IF(MID(Pospago[[#This Row],[PlanDesc]],1,4)="FULL","FULL MEGAS","PREVIOPAGO"))</f>
        <v>PREVIOPAGO</v>
      </c>
      <c r="BI5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42" s="21">
        <f>Pospago[[#This Row],[TARIFA_BASICA]]*1.5</f>
        <v>21.419999999999998</v>
      </c>
    </row>
    <row r="543" spans="1:63" x14ac:dyDescent="0.25">
      <c r="A543" s="18" t="s">
        <v>64</v>
      </c>
      <c r="B543" s="18" t="s">
        <v>3548</v>
      </c>
      <c r="C543" s="18" t="s">
        <v>3549</v>
      </c>
      <c r="D543" s="19">
        <v>44897</v>
      </c>
      <c r="E543" s="18" t="s">
        <v>67</v>
      </c>
      <c r="F543" s="18" t="s">
        <v>3550</v>
      </c>
      <c r="G543" s="18" t="s">
        <v>3551</v>
      </c>
      <c r="H543" s="18" t="s">
        <v>70</v>
      </c>
      <c r="I543" s="18" t="s">
        <v>160</v>
      </c>
      <c r="J543" s="18" t="s">
        <v>195</v>
      </c>
      <c r="K543" s="18" t="s">
        <v>132</v>
      </c>
      <c r="L543" s="20" t="s">
        <v>3552</v>
      </c>
      <c r="M543" s="18" t="s">
        <v>287</v>
      </c>
      <c r="N543" s="20" t="s">
        <v>3553</v>
      </c>
      <c r="O543" s="18" t="s">
        <v>77</v>
      </c>
      <c r="P543" s="18" t="s">
        <v>78</v>
      </c>
      <c r="Q543" s="19">
        <v>44914</v>
      </c>
      <c r="R543" s="21">
        <v>14.28</v>
      </c>
      <c r="S543" s="18" t="s">
        <v>79</v>
      </c>
      <c r="T543" s="18" t="s">
        <v>232</v>
      </c>
      <c r="U543" s="18" t="s">
        <v>83</v>
      </c>
      <c r="V543" s="18" t="s">
        <v>95</v>
      </c>
      <c r="W543" s="18" t="s">
        <v>83</v>
      </c>
      <c r="X543" s="18" t="s">
        <v>84</v>
      </c>
      <c r="Y543" s="18" t="s">
        <v>85</v>
      </c>
      <c r="Z543" s="18" t="s">
        <v>86</v>
      </c>
      <c r="AA543" s="18" t="s">
        <v>87</v>
      </c>
      <c r="AB543" s="18" t="s">
        <v>443</v>
      </c>
      <c r="AC543" s="18" t="s">
        <v>444</v>
      </c>
      <c r="AD543" s="18" t="s">
        <v>85</v>
      </c>
      <c r="AE543" s="18" t="s">
        <v>90</v>
      </c>
      <c r="AF543" s="18" t="s">
        <v>235</v>
      </c>
      <c r="AG543" s="18" t="s">
        <v>139</v>
      </c>
      <c r="AH543" s="18" t="s">
        <v>93</v>
      </c>
      <c r="AI543" s="18" t="s">
        <v>94</v>
      </c>
      <c r="AJ543" s="19">
        <v>44897</v>
      </c>
      <c r="AK543" s="22">
        <v>44897</v>
      </c>
      <c r="AL543" s="18" t="s">
        <v>291</v>
      </c>
      <c r="AM543" s="18" t="s">
        <v>292</v>
      </c>
      <c r="AN543" s="18" t="s">
        <v>494</v>
      </c>
      <c r="AO543" s="18" t="s">
        <v>338</v>
      </c>
      <c r="AP543" s="18">
        <v>1</v>
      </c>
      <c r="AQ543" s="18">
        <v>285.71429000000001</v>
      </c>
      <c r="AR543" s="18" t="s">
        <v>496</v>
      </c>
      <c r="AS543" s="18" t="s">
        <v>81</v>
      </c>
      <c r="AT543" s="18" t="s">
        <v>83</v>
      </c>
      <c r="AU543" s="18" t="s">
        <v>81</v>
      </c>
      <c r="AV543" s="18" t="s">
        <v>95</v>
      </c>
      <c r="AW543" s="18" t="s">
        <v>291</v>
      </c>
      <c r="AX543" s="18"/>
      <c r="AY543" s="18" t="str">
        <f>Pospago[[#This Row],[NUM_TELEFONICO]]&amp;"POSPAGOSI"</f>
        <v>987325971POSPAGOSI</v>
      </c>
      <c r="AZ543" s="18" t="str">
        <f>VLOOKUP(Pospago[[#This Row],[NOM_PLAZA_FINAL]],[1]!Locales[#Data],3,0)</f>
        <v>TIENDA CONDADO</v>
      </c>
      <c r="BA543" s="18" t="str">
        <f>IFERROR(VLOOKUP(Pospago[[#This Row],[USUARIO]],[1]!Personal[#Data],6,0),"EJECUTIVO NO REGISTRADO")</f>
        <v>JARAMILLO ESPINOZA KENIA KATRINA</v>
      </c>
      <c r="BB543" s="18" t="str">
        <f>Pospago[[#This Row],[TIPO_MOVIMIENTO]]&amp;" "&amp;Pospago[[#This Row],[FORMA_PAGO_FINAL]]</f>
        <v>ALTAS DOMICILIADO</v>
      </c>
      <c r="BC543" s="18">
        <f>DAY(Pospago[[#This Row],[FECHA_ALTA]])</f>
        <v>2</v>
      </c>
      <c r="BD543" s="18">
        <f>IF(Pospago[[#This Row],[TARIFA_BASICA]]=11.42,1,0)</f>
        <v>0</v>
      </c>
      <c r="BE543" s="18">
        <f>IF(Pospago[[#This Row],[PLANES TELEVENTAS]]="SI",1,0)</f>
        <v>0</v>
      </c>
      <c r="BF543" s="18">
        <f>1</f>
        <v>1</v>
      </c>
      <c r="BG543" s="18">
        <f>IF(OR(Pospago[[#This Row],[TARIFA_BASICA]]=11.42,Pospago[[#This Row],[PLANES TELEVENTAS]]="SI"),1,0)</f>
        <v>0</v>
      </c>
      <c r="BH543" s="18" t="str">
        <f>IF(MID(Pospago[[#This Row],[PlanDesc]],1,4) = "PLAN","POSPAGO",IF(MID(Pospago[[#This Row],[PlanDesc]],1,4)="FULL","FULL MEGAS","PREVIOPAGO"))</f>
        <v>PREVIOPAGO</v>
      </c>
      <c r="BI5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43" s="21">
        <f>Pospago[[#This Row],[TARIFA_BASICA]]*1.5</f>
        <v>21.419999999999998</v>
      </c>
    </row>
    <row r="544" spans="1:63" x14ac:dyDescent="0.25">
      <c r="A544" s="18" t="s">
        <v>154</v>
      </c>
      <c r="B544" s="18" t="s">
        <v>3554</v>
      </c>
      <c r="C544" s="18" t="s">
        <v>3555</v>
      </c>
      <c r="D544" s="19">
        <v>44908</v>
      </c>
      <c r="E544" s="18" t="s">
        <v>67</v>
      </c>
      <c r="F544" s="18" t="s">
        <v>3556</v>
      </c>
      <c r="G544" s="18" t="s">
        <v>3557</v>
      </c>
      <c r="H544" s="18" t="s">
        <v>159</v>
      </c>
      <c r="I544" s="18" t="s">
        <v>160</v>
      </c>
      <c r="J544" s="18" t="s">
        <v>161</v>
      </c>
      <c r="K544" s="18" t="s">
        <v>95</v>
      </c>
      <c r="L544" s="20" t="s">
        <v>3558</v>
      </c>
      <c r="M544" s="18" t="s">
        <v>75</v>
      </c>
      <c r="N544" s="20" t="s">
        <v>3559</v>
      </c>
      <c r="O544" s="18" t="s">
        <v>1378</v>
      </c>
      <c r="P544" s="18" t="s">
        <v>78</v>
      </c>
      <c r="Q544" s="19">
        <v>44914</v>
      </c>
      <c r="R544" s="21">
        <v>14.28</v>
      </c>
      <c r="S544" s="18" t="s">
        <v>79</v>
      </c>
      <c r="T544" s="18" t="s">
        <v>232</v>
      </c>
      <c r="U544" s="18" t="s">
        <v>83</v>
      </c>
      <c r="V544" s="18" t="s">
        <v>95</v>
      </c>
      <c r="W544" s="18" t="s">
        <v>95</v>
      </c>
      <c r="X544" s="18" t="s">
        <v>84</v>
      </c>
      <c r="Y544" s="18" t="s">
        <v>85</v>
      </c>
      <c r="Z544" s="18" t="s">
        <v>86</v>
      </c>
      <c r="AA544" s="18" t="s">
        <v>87</v>
      </c>
      <c r="AB544" s="18" t="s">
        <v>377</v>
      </c>
      <c r="AC544" s="18" t="s">
        <v>378</v>
      </c>
      <c r="AD544" s="18" t="s">
        <v>85</v>
      </c>
      <c r="AE544" s="18" t="s">
        <v>90</v>
      </c>
      <c r="AF544" s="18" t="s">
        <v>235</v>
      </c>
      <c r="AG544" s="18" t="s">
        <v>139</v>
      </c>
      <c r="AH544" s="18" t="s">
        <v>165</v>
      </c>
      <c r="AI544" s="18" t="s">
        <v>94</v>
      </c>
      <c r="AJ544" s="19">
        <v>44908</v>
      </c>
      <c r="AK544" s="22" t="s">
        <v>95</v>
      </c>
      <c r="AL544" s="18" t="s">
        <v>95</v>
      </c>
      <c r="AM544" s="18" t="s">
        <v>95</v>
      </c>
      <c r="AN544" s="18" t="s">
        <v>95</v>
      </c>
      <c r="AO544" s="18" t="s">
        <v>95</v>
      </c>
      <c r="AP544" s="18" t="s">
        <v>95</v>
      </c>
      <c r="AQ544" s="18" t="s">
        <v>95</v>
      </c>
      <c r="AR544" s="18" t="s">
        <v>95</v>
      </c>
      <c r="AS544" s="18" t="s">
        <v>83</v>
      </c>
      <c r="AT544" s="18" t="s">
        <v>83</v>
      </c>
      <c r="AU544" s="18" t="s">
        <v>81</v>
      </c>
      <c r="AV544" s="18" t="s">
        <v>95</v>
      </c>
      <c r="AW544" s="18" t="s">
        <v>95</v>
      </c>
      <c r="AX544" s="18"/>
      <c r="AY544" s="18" t="str">
        <f>Pospago[[#This Row],[NUM_TELEFONICO]]&amp;"POSPAGOSI"</f>
        <v>987328851POSPAGOSI</v>
      </c>
      <c r="AZ544" s="18" t="str">
        <f>VLOOKUP(Pospago[[#This Row],[NOM_PLAZA_FINAL]],[1]!Locales[#Data],3,0)</f>
        <v>TIENDA CONDADO</v>
      </c>
      <c r="BA544" s="18" t="str">
        <f>IFERROR(VLOOKUP(Pospago[[#This Row],[USUARIO]],[1]!Personal[#Data],6,0),"EJECUTIVO NO REGISTRADO")</f>
        <v>MELCHIADE ISAAC VALMORE</v>
      </c>
      <c r="BB544" s="18" t="str">
        <f>Pospago[[#This Row],[TIPO_MOVIMIENTO]]&amp;" "&amp;Pospago[[#This Row],[FORMA_PAGO_FINAL]]</f>
        <v>TRANSFERENCIAS DOMICILIADO</v>
      </c>
      <c r="BC544" s="18">
        <f>DAY(Pospago[[#This Row],[FECHA_ALTA]])</f>
        <v>13</v>
      </c>
      <c r="BD544" s="18">
        <f>IF(Pospago[[#This Row],[TARIFA_BASICA]]=11.42,1,0)</f>
        <v>0</v>
      </c>
      <c r="BE544" s="18">
        <f>IF(Pospago[[#This Row],[PLANES TELEVENTAS]]="SI",1,0)</f>
        <v>0</v>
      </c>
      <c r="BF544" s="18">
        <f>1</f>
        <v>1</v>
      </c>
      <c r="BG544" s="18">
        <f>IF(OR(Pospago[[#This Row],[TARIFA_BASICA]]=11.42,Pospago[[#This Row],[PLANES TELEVENTAS]]="SI"),1,0)</f>
        <v>0</v>
      </c>
      <c r="BH544" s="18" t="str">
        <f>IF(MID(Pospago[[#This Row],[PlanDesc]],1,4) = "PLAN","POSPAGO",IF(MID(Pospago[[#This Row],[PlanDesc]],1,4)="FULL","FULL MEGAS","PREVIOPAGO"))</f>
        <v>PREVIOPAGO</v>
      </c>
      <c r="BI5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44" s="21">
        <f>Pospago[[#This Row],[TARIFA_BASICA]]*1.5</f>
        <v>21.419999999999998</v>
      </c>
    </row>
    <row r="545" spans="1:63" x14ac:dyDescent="0.25">
      <c r="A545" s="18" t="s">
        <v>154</v>
      </c>
      <c r="B545" s="18" t="s">
        <v>3560</v>
      </c>
      <c r="C545" s="18" t="s">
        <v>3561</v>
      </c>
      <c r="D545" s="19">
        <v>44897</v>
      </c>
      <c r="E545" s="18" t="s">
        <v>67</v>
      </c>
      <c r="F545" s="18" t="s">
        <v>3562</v>
      </c>
      <c r="G545" s="18" t="s">
        <v>3563</v>
      </c>
      <c r="H545" s="18" t="s">
        <v>159</v>
      </c>
      <c r="I545" s="18" t="s">
        <v>160</v>
      </c>
      <c r="J545" s="18" t="s">
        <v>161</v>
      </c>
      <c r="K545" s="18" t="s">
        <v>73</v>
      </c>
      <c r="L545" s="20" t="s">
        <v>3564</v>
      </c>
      <c r="M545" s="18" t="s">
        <v>75</v>
      </c>
      <c r="N545" s="20" t="s">
        <v>3565</v>
      </c>
      <c r="O545" s="18" t="s">
        <v>164</v>
      </c>
      <c r="P545" s="18" t="s">
        <v>78</v>
      </c>
      <c r="Q545" s="19">
        <v>44914</v>
      </c>
      <c r="R545" s="21">
        <v>14.28</v>
      </c>
      <c r="S545" s="18" t="s">
        <v>79</v>
      </c>
      <c r="T545" s="18" t="s">
        <v>80</v>
      </c>
      <c r="U545" s="18" t="s">
        <v>83</v>
      </c>
      <c r="V545" s="18" t="s">
        <v>95</v>
      </c>
      <c r="W545" s="18" t="s">
        <v>95</v>
      </c>
      <c r="X545" s="18" t="s">
        <v>84</v>
      </c>
      <c r="Y545" s="18" t="s">
        <v>85</v>
      </c>
      <c r="Z545" s="18" t="s">
        <v>86</v>
      </c>
      <c r="AA545" s="18" t="s">
        <v>87</v>
      </c>
      <c r="AB545" s="18" t="s">
        <v>880</v>
      </c>
      <c r="AC545" s="18" t="s">
        <v>881</v>
      </c>
      <c r="AD545" s="18" t="s">
        <v>85</v>
      </c>
      <c r="AE545" s="18" t="s">
        <v>90</v>
      </c>
      <c r="AF545" s="18" t="s">
        <v>91</v>
      </c>
      <c r="AG545" s="18" t="s">
        <v>92</v>
      </c>
      <c r="AH545" s="18" t="s">
        <v>165</v>
      </c>
      <c r="AI545" s="18" t="s">
        <v>94</v>
      </c>
      <c r="AJ545" s="19">
        <v>44897</v>
      </c>
      <c r="AK545" s="22" t="s">
        <v>95</v>
      </c>
      <c r="AL545" s="18" t="s">
        <v>95</v>
      </c>
      <c r="AM545" s="18" t="s">
        <v>95</v>
      </c>
      <c r="AN545" s="18" t="s">
        <v>95</v>
      </c>
      <c r="AO545" s="18" t="s">
        <v>95</v>
      </c>
      <c r="AP545" s="18" t="s">
        <v>95</v>
      </c>
      <c r="AQ545" s="18" t="s">
        <v>95</v>
      </c>
      <c r="AR545" s="18" t="s">
        <v>95</v>
      </c>
      <c r="AS545" s="18" t="s">
        <v>83</v>
      </c>
      <c r="AT545" s="18" t="s">
        <v>83</v>
      </c>
      <c r="AU545" s="18" t="s">
        <v>81</v>
      </c>
      <c r="AV545" s="18" t="s">
        <v>95</v>
      </c>
      <c r="AW545" s="18" t="s">
        <v>95</v>
      </c>
      <c r="AX545" s="18"/>
      <c r="AY545" s="18" t="str">
        <f>Pospago[[#This Row],[NUM_TELEFONICO]]&amp;"POSPAGOSI"</f>
        <v>987340121POSPAGOSI</v>
      </c>
      <c r="AZ545" s="18" t="str">
        <f>VLOOKUP(Pospago[[#This Row],[NOM_PLAZA_FINAL]],[1]!Locales[#Data],3,0)</f>
        <v>TIENDA CUENCA CENTRO</v>
      </c>
      <c r="BA545" s="18" t="str">
        <f>IFERROR(VLOOKUP(Pospago[[#This Row],[USUARIO]],[1]!Personal[#Data],6,0),"EJECUTIVO NO REGISTRADO")</f>
        <v>LUNA JACHO ANDREA GABRIELA</v>
      </c>
      <c r="BB545" s="18" t="str">
        <f>Pospago[[#This Row],[TIPO_MOVIMIENTO]]&amp;" "&amp;Pospago[[#This Row],[FORMA_PAGO_FINAL]]</f>
        <v>TRANSFERENCIAS DOMICILIADO</v>
      </c>
      <c r="BC545" s="18">
        <f>DAY(Pospago[[#This Row],[FECHA_ALTA]])</f>
        <v>2</v>
      </c>
      <c r="BD545" s="18">
        <f>IF(Pospago[[#This Row],[TARIFA_BASICA]]=11.42,1,0)</f>
        <v>0</v>
      </c>
      <c r="BE545" s="18">
        <f>IF(Pospago[[#This Row],[PLANES TELEVENTAS]]="SI",1,0)</f>
        <v>0</v>
      </c>
      <c r="BF545" s="18">
        <f>1</f>
        <v>1</v>
      </c>
      <c r="BG545" s="18">
        <f>IF(OR(Pospago[[#This Row],[TARIFA_BASICA]]=11.42,Pospago[[#This Row],[PLANES TELEVENTAS]]="SI"),1,0)</f>
        <v>0</v>
      </c>
      <c r="BH545" s="18" t="str">
        <f>IF(MID(Pospago[[#This Row],[PlanDesc]],1,4) = "PLAN","POSPAGO",IF(MID(Pospago[[#This Row],[PlanDesc]],1,4)="FULL","FULL MEGAS","PREVIOPAGO"))</f>
        <v>PREVIOPAGO</v>
      </c>
      <c r="BI5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45" s="21">
        <f>Pospago[[#This Row],[TARIFA_BASICA]]*1.5</f>
        <v>21.419999999999998</v>
      </c>
    </row>
    <row r="546" spans="1:63" x14ac:dyDescent="0.25">
      <c r="A546" s="18" t="s">
        <v>154</v>
      </c>
      <c r="B546" s="18" t="s">
        <v>3566</v>
      </c>
      <c r="C546" s="18" t="s">
        <v>3567</v>
      </c>
      <c r="D546" s="19">
        <v>44905</v>
      </c>
      <c r="E546" s="18" t="s">
        <v>67</v>
      </c>
      <c r="F546" s="18" t="s">
        <v>3568</v>
      </c>
      <c r="G546" s="18" t="s">
        <v>3569</v>
      </c>
      <c r="H546" s="18" t="s">
        <v>159</v>
      </c>
      <c r="I546" s="18" t="s">
        <v>160</v>
      </c>
      <c r="J546" s="18" t="s">
        <v>161</v>
      </c>
      <c r="K546" s="18" t="s">
        <v>132</v>
      </c>
      <c r="L546" s="20" t="s">
        <v>3570</v>
      </c>
      <c r="M546" s="18" t="s">
        <v>287</v>
      </c>
      <c r="N546" s="20" t="s">
        <v>3571</v>
      </c>
      <c r="O546" s="18" t="s">
        <v>164</v>
      </c>
      <c r="P546" s="18" t="s">
        <v>78</v>
      </c>
      <c r="Q546" s="19">
        <v>44914</v>
      </c>
      <c r="R546" s="21">
        <v>14.28</v>
      </c>
      <c r="S546" s="18" t="s">
        <v>79</v>
      </c>
      <c r="T546" s="18" t="s">
        <v>174</v>
      </c>
      <c r="U546" s="18" t="s">
        <v>83</v>
      </c>
      <c r="V546" s="18" t="s">
        <v>95</v>
      </c>
      <c r="W546" s="18" t="s">
        <v>95</v>
      </c>
      <c r="X546" s="18" t="s">
        <v>118</v>
      </c>
      <c r="Y546" s="18" t="s">
        <v>85</v>
      </c>
      <c r="Z546" s="18" t="s">
        <v>86</v>
      </c>
      <c r="AA546" s="18" t="s">
        <v>119</v>
      </c>
      <c r="AB546" s="18" t="s">
        <v>303</v>
      </c>
      <c r="AC546" s="18" t="s">
        <v>304</v>
      </c>
      <c r="AD546" s="18" t="s">
        <v>85</v>
      </c>
      <c r="AE546" s="18" t="s">
        <v>90</v>
      </c>
      <c r="AF546" s="18" t="s">
        <v>177</v>
      </c>
      <c r="AG546" s="18" t="s">
        <v>139</v>
      </c>
      <c r="AH546" s="18" t="s">
        <v>165</v>
      </c>
      <c r="AI546" s="18" t="s">
        <v>94</v>
      </c>
      <c r="AJ546" s="19">
        <v>44905</v>
      </c>
      <c r="AK546" s="22" t="s">
        <v>95</v>
      </c>
      <c r="AL546" s="18" t="s">
        <v>95</v>
      </c>
      <c r="AM546" s="18" t="s">
        <v>95</v>
      </c>
      <c r="AN546" s="18" t="s">
        <v>95</v>
      </c>
      <c r="AO546" s="18" t="s">
        <v>95</v>
      </c>
      <c r="AP546" s="18" t="s">
        <v>95</v>
      </c>
      <c r="AQ546" s="18" t="s">
        <v>95</v>
      </c>
      <c r="AR546" s="18" t="s">
        <v>95</v>
      </c>
      <c r="AS546" s="18" t="s">
        <v>83</v>
      </c>
      <c r="AT546" s="18" t="s">
        <v>83</v>
      </c>
      <c r="AU546" s="18" t="s">
        <v>81</v>
      </c>
      <c r="AV546" s="18" t="s">
        <v>95</v>
      </c>
      <c r="AW546" s="18" t="s">
        <v>95</v>
      </c>
      <c r="AX546" s="18"/>
      <c r="AY546" s="18" t="str">
        <f>Pospago[[#This Row],[NUM_TELEFONICO]]&amp;"POSPAGOSI"</f>
        <v>987351545POSPAGOSI</v>
      </c>
      <c r="AZ546" s="18" t="str">
        <f>VLOOKUP(Pospago[[#This Row],[NOM_PLAZA_FINAL]],[1]!Locales[#Data],3,0)</f>
        <v>TIENDA RECREO</v>
      </c>
      <c r="BA546" s="18" t="str">
        <f>IFERROR(VLOOKUP(Pospago[[#This Row],[USUARIO]],[1]!Personal[#Data],6,0),"EJECUTIVO NO REGISTRADO")</f>
        <v>CORDOVA GAIBOR JONATHAN HERNAN</v>
      </c>
      <c r="BB546" s="18" t="str">
        <f>Pospago[[#This Row],[TIPO_MOVIMIENTO]]&amp;" "&amp;Pospago[[#This Row],[FORMA_PAGO_FINAL]]</f>
        <v>TRANSFERENCIAS PAGO EN CAJA</v>
      </c>
      <c r="BC546" s="18">
        <f>DAY(Pospago[[#This Row],[FECHA_ALTA]])</f>
        <v>10</v>
      </c>
      <c r="BD546" s="18">
        <f>IF(Pospago[[#This Row],[TARIFA_BASICA]]=11.42,1,0)</f>
        <v>0</v>
      </c>
      <c r="BE546" s="18">
        <f>IF(Pospago[[#This Row],[PLANES TELEVENTAS]]="SI",1,0)</f>
        <v>0</v>
      </c>
      <c r="BF546" s="18">
        <f>1</f>
        <v>1</v>
      </c>
      <c r="BG546" s="18">
        <f>IF(OR(Pospago[[#This Row],[TARIFA_BASICA]]=11.42,Pospago[[#This Row],[PLANES TELEVENTAS]]="SI"),1,0)</f>
        <v>0</v>
      </c>
      <c r="BH546" s="18" t="str">
        <f>IF(MID(Pospago[[#This Row],[PlanDesc]],1,4) = "PLAN","POSPAGO",IF(MID(Pospago[[#This Row],[PlanDesc]],1,4)="FULL","FULL MEGAS","PREVIOPAGO"))</f>
        <v>PREVIOPAGO</v>
      </c>
      <c r="BI5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46" s="21">
        <f>Pospago[[#This Row],[TARIFA_BASICA]]*1.5</f>
        <v>21.419999999999998</v>
      </c>
    </row>
    <row r="547" spans="1:63" x14ac:dyDescent="0.25">
      <c r="A547" s="18" t="s">
        <v>64</v>
      </c>
      <c r="B547" s="18" t="s">
        <v>3572</v>
      </c>
      <c r="C547" s="18" t="s">
        <v>3573</v>
      </c>
      <c r="D547" s="19">
        <v>44904</v>
      </c>
      <c r="E547" s="18" t="s">
        <v>67</v>
      </c>
      <c r="F547" s="18" t="s">
        <v>3574</v>
      </c>
      <c r="G547" s="18" t="s">
        <v>3575</v>
      </c>
      <c r="H547" s="18" t="s">
        <v>70</v>
      </c>
      <c r="I547" s="18" t="s">
        <v>606</v>
      </c>
      <c r="J547" s="18" t="s">
        <v>607</v>
      </c>
      <c r="K547" s="18" t="s">
        <v>73</v>
      </c>
      <c r="L547" s="20" t="s">
        <v>3576</v>
      </c>
      <c r="M547" s="18" t="s">
        <v>75</v>
      </c>
      <c r="N547" s="20" t="s">
        <v>3577</v>
      </c>
      <c r="O547" s="18" t="s">
        <v>77</v>
      </c>
      <c r="P547" s="18" t="s">
        <v>78</v>
      </c>
      <c r="Q547" s="19">
        <v>44914</v>
      </c>
      <c r="R547" s="21">
        <v>26.78</v>
      </c>
      <c r="S547" s="18" t="s">
        <v>79</v>
      </c>
      <c r="T547" s="18" t="s">
        <v>174</v>
      </c>
      <c r="U547" s="18" t="s">
        <v>83</v>
      </c>
      <c r="V547" s="18" t="s">
        <v>95</v>
      </c>
      <c r="W547" s="18" t="s">
        <v>83</v>
      </c>
      <c r="X547" s="18" t="s">
        <v>118</v>
      </c>
      <c r="Y547" s="18" t="s">
        <v>85</v>
      </c>
      <c r="Z547" s="18" t="s">
        <v>86</v>
      </c>
      <c r="AA547" s="18" t="s">
        <v>119</v>
      </c>
      <c r="AB547" s="18" t="s">
        <v>262</v>
      </c>
      <c r="AC547" s="18" t="s">
        <v>263</v>
      </c>
      <c r="AD547" s="18" t="s">
        <v>85</v>
      </c>
      <c r="AE547" s="18" t="s">
        <v>90</v>
      </c>
      <c r="AF547" s="18" t="s">
        <v>177</v>
      </c>
      <c r="AG547" s="18" t="s">
        <v>139</v>
      </c>
      <c r="AH547" s="18" t="s">
        <v>93</v>
      </c>
      <c r="AI547" s="18" t="s">
        <v>94</v>
      </c>
      <c r="AJ547" s="19">
        <v>44904</v>
      </c>
      <c r="AK547" s="22" t="s">
        <v>95</v>
      </c>
      <c r="AL547" s="18" t="s">
        <v>95</v>
      </c>
      <c r="AM547" s="18" t="s">
        <v>95</v>
      </c>
      <c r="AN547" s="18" t="s">
        <v>95</v>
      </c>
      <c r="AO547" s="18" t="s">
        <v>95</v>
      </c>
      <c r="AP547" s="18" t="s">
        <v>95</v>
      </c>
      <c r="AQ547" s="18" t="s">
        <v>95</v>
      </c>
      <c r="AR547" s="18" t="s">
        <v>95</v>
      </c>
      <c r="AS547" s="18" t="s">
        <v>83</v>
      </c>
      <c r="AT547" s="18" t="s">
        <v>83</v>
      </c>
      <c r="AU547" s="18" t="s">
        <v>81</v>
      </c>
      <c r="AV547" s="18" t="s">
        <v>95</v>
      </c>
      <c r="AW547" s="18" t="s">
        <v>95</v>
      </c>
      <c r="AX547" s="18"/>
      <c r="AY547" s="18" t="str">
        <f>Pospago[[#This Row],[NUM_TELEFONICO]]&amp;"POSPAGOSI"</f>
        <v>987355469POSPAGOSI</v>
      </c>
      <c r="AZ547" s="18" t="str">
        <f>VLOOKUP(Pospago[[#This Row],[NOM_PLAZA_FINAL]],[1]!Locales[#Data],3,0)</f>
        <v>TIENDA RECREO</v>
      </c>
      <c r="BA547" s="18" t="str">
        <f>IFERROR(VLOOKUP(Pospago[[#This Row],[USUARIO]],[1]!Personal[#Data],6,0),"EJECUTIVO NO REGISTRADO")</f>
        <v>CHICAIZA TOAPANTA ALEX DANILO</v>
      </c>
      <c r="BB547" s="18" t="str">
        <f>Pospago[[#This Row],[TIPO_MOVIMIENTO]]&amp;" "&amp;Pospago[[#This Row],[FORMA_PAGO_FINAL]]</f>
        <v>ALTAS PAGO EN CAJA</v>
      </c>
      <c r="BC547" s="18">
        <f>DAY(Pospago[[#This Row],[FECHA_ALTA]])</f>
        <v>9</v>
      </c>
      <c r="BD547" s="18">
        <f>IF(Pospago[[#This Row],[TARIFA_BASICA]]=11.42,1,0)</f>
        <v>0</v>
      </c>
      <c r="BE547" s="18">
        <f>IF(Pospago[[#This Row],[PLANES TELEVENTAS]]="SI",1,0)</f>
        <v>0</v>
      </c>
      <c r="BF547" s="18">
        <f>1</f>
        <v>1</v>
      </c>
      <c r="BG547" s="18">
        <f>IF(OR(Pospago[[#This Row],[TARIFA_BASICA]]=11.42,Pospago[[#This Row],[PLANES TELEVENTAS]]="SI"),1,0)</f>
        <v>0</v>
      </c>
      <c r="BH547" s="18" t="str">
        <f>IF(MID(Pospago[[#This Row],[PlanDesc]],1,4) = "PLAN","POSPAGO",IF(MID(Pospago[[#This Row],[PlanDesc]],1,4)="FULL","FULL MEGAS","PREVIOPAGO"))</f>
        <v>PREVIOPAGO</v>
      </c>
      <c r="BI5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34.28</v>
      </c>
      <c r="BJ5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47" s="21">
        <f>Pospago[[#This Row],[TARIFA_BASICA]]*1.5</f>
        <v>40.17</v>
      </c>
    </row>
    <row r="548" spans="1:63" x14ac:dyDescent="0.25">
      <c r="A548" s="18" t="s">
        <v>154</v>
      </c>
      <c r="B548" s="18" t="s">
        <v>3578</v>
      </c>
      <c r="C548" s="18" t="s">
        <v>3579</v>
      </c>
      <c r="D548" s="19">
        <v>44907</v>
      </c>
      <c r="E548" s="18" t="s">
        <v>67</v>
      </c>
      <c r="F548" s="18" t="s">
        <v>3580</v>
      </c>
      <c r="G548" s="18" t="s">
        <v>3581</v>
      </c>
      <c r="H548" s="18" t="s">
        <v>159</v>
      </c>
      <c r="I548" s="18" t="s">
        <v>160</v>
      </c>
      <c r="J548" s="18" t="s">
        <v>161</v>
      </c>
      <c r="K548" s="18" t="s">
        <v>95</v>
      </c>
      <c r="L548" s="20" t="s">
        <v>3582</v>
      </c>
      <c r="M548" s="18" t="s">
        <v>75</v>
      </c>
      <c r="N548" s="20" t="s">
        <v>3583</v>
      </c>
      <c r="O548" s="18" t="s">
        <v>2241</v>
      </c>
      <c r="P548" s="18" t="s">
        <v>78</v>
      </c>
      <c r="Q548" s="19">
        <v>44914</v>
      </c>
      <c r="R548" s="21">
        <v>14.28</v>
      </c>
      <c r="S548" s="18" t="s">
        <v>79</v>
      </c>
      <c r="T548" s="18" t="s">
        <v>174</v>
      </c>
      <c r="U548" s="18" t="s">
        <v>83</v>
      </c>
      <c r="V548" s="18" t="s">
        <v>95</v>
      </c>
      <c r="W548" s="18" t="s">
        <v>95</v>
      </c>
      <c r="X548" s="18" t="s">
        <v>118</v>
      </c>
      <c r="Y548" s="18" t="s">
        <v>85</v>
      </c>
      <c r="Z548" s="18" t="s">
        <v>86</v>
      </c>
      <c r="AA548" s="18" t="s">
        <v>119</v>
      </c>
      <c r="AB548" s="18" t="s">
        <v>199</v>
      </c>
      <c r="AC548" s="18" t="s">
        <v>200</v>
      </c>
      <c r="AD548" s="18" t="s">
        <v>85</v>
      </c>
      <c r="AE548" s="18" t="s">
        <v>90</v>
      </c>
      <c r="AF548" s="18" t="s">
        <v>177</v>
      </c>
      <c r="AG548" s="18" t="s">
        <v>139</v>
      </c>
      <c r="AH548" s="18" t="s">
        <v>165</v>
      </c>
      <c r="AI548" s="18" t="s">
        <v>94</v>
      </c>
      <c r="AJ548" s="19">
        <v>44907</v>
      </c>
      <c r="AK548" s="22" t="s">
        <v>95</v>
      </c>
      <c r="AL548" s="18" t="s">
        <v>95</v>
      </c>
      <c r="AM548" s="18" t="s">
        <v>95</v>
      </c>
      <c r="AN548" s="18" t="s">
        <v>95</v>
      </c>
      <c r="AO548" s="18" t="s">
        <v>95</v>
      </c>
      <c r="AP548" s="18" t="s">
        <v>95</v>
      </c>
      <c r="AQ548" s="18" t="s">
        <v>95</v>
      </c>
      <c r="AR548" s="18" t="s">
        <v>95</v>
      </c>
      <c r="AS548" s="18" t="s">
        <v>83</v>
      </c>
      <c r="AT548" s="18" t="s">
        <v>83</v>
      </c>
      <c r="AU548" s="18" t="s">
        <v>81</v>
      </c>
      <c r="AV548" s="18" t="s">
        <v>95</v>
      </c>
      <c r="AW548" s="18" t="s">
        <v>95</v>
      </c>
      <c r="AX548" s="18"/>
      <c r="AY548" s="18" t="str">
        <f>Pospago[[#This Row],[NUM_TELEFONICO]]&amp;"POSPAGOSI"</f>
        <v>987369008POSPAGOSI</v>
      </c>
      <c r="AZ548" s="18" t="str">
        <f>VLOOKUP(Pospago[[#This Row],[NOM_PLAZA_FINAL]],[1]!Locales[#Data],3,0)</f>
        <v>TIENDA RECREO</v>
      </c>
      <c r="BA548" s="18" t="str">
        <f>IFERROR(VLOOKUP(Pospago[[#This Row],[USUARIO]],[1]!Personal[#Data],6,0),"EJECUTIVO NO REGISTRADO")</f>
        <v>MEDINA LAPO DAYANNA CAROLINA</v>
      </c>
      <c r="BB548" s="18" t="str">
        <f>Pospago[[#This Row],[TIPO_MOVIMIENTO]]&amp;" "&amp;Pospago[[#This Row],[FORMA_PAGO_FINAL]]</f>
        <v>TRANSFERENCIAS PAGO EN CAJA</v>
      </c>
      <c r="BC548" s="18">
        <f>DAY(Pospago[[#This Row],[FECHA_ALTA]])</f>
        <v>12</v>
      </c>
      <c r="BD548" s="18">
        <f>IF(Pospago[[#This Row],[TARIFA_BASICA]]=11.42,1,0)</f>
        <v>0</v>
      </c>
      <c r="BE548" s="18">
        <f>IF(Pospago[[#This Row],[PLANES TELEVENTAS]]="SI",1,0)</f>
        <v>0</v>
      </c>
      <c r="BF548" s="18">
        <f>1</f>
        <v>1</v>
      </c>
      <c r="BG548" s="18">
        <f>IF(OR(Pospago[[#This Row],[TARIFA_BASICA]]=11.42,Pospago[[#This Row],[PLANES TELEVENTAS]]="SI"),1,0)</f>
        <v>0</v>
      </c>
      <c r="BH548" s="18" t="str">
        <f>IF(MID(Pospago[[#This Row],[PlanDesc]],1,4) = "PLAN","POSPAGO",IF(MID(Pospago[[#This Row],[PlanDesc]],1,4)="FULL","FULL MEGAS","PREVIOPAGO"))</f>
        <v>PREVIOPAGO</v>
      </c>
      <c r="BI5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48" s="21">
        <f>Pospago[[#This Row],[TARIFA_BASICA]]*1.5</f>
        <v>21.419999999999998</v>
      </c>
    </row>
    <row r="549" spans="1:63" x14ac:dyDescent="0.25">
      <c r="A549" s="18" t="s">
        <v>154</v>
      </c>
      <c r="B549" s="18" t="s">
        <v>3584</v>
      </c>
      <c r="C549" s="18" t="s">
        <v>3585</v>
      </c>
      <c r="D549" s="19">
        <v>44896</v>
      </c>
      <c r="E549" s="18" t="s">
        <v>67</v>
      </c>
      <c r="F549" s="18" t="s">
        <v>3586</v>
      </c>
      <c r="G549" s="18" t="s">
        <v>3587</v>
      </c>
      <c r="H549" s="18" t="s">
        <v>159</v>
      </c>
      <c r="I549" s="18" t="s">
        <v>112</v>
      </c>
      <c r="J549" s="18" t="s">
        <v>781</v>
      </c>
      <c r="K549" s="18" t="s">
        <v>114</v>
      </c>
      <c r="L549" s="20" t="s">
        <v>3588</v>
      </c>
      <c r="M549" s="18" t="s">
        <v>75</v>
      </c>
      <c r="N549" s="20" t="s">
        <v>3589</v>
      </c>
      <c r="O549" s="18" t="s">
        <v>164</v>
      </c>
      <c r="P549" s="18" t="s">
        <v>78</v>
      </c>
      <c r="Q549" s="19">
        <v>44914</v>
      </c>
      <c r="R549" s="21">
        <v>17.850000000000001</v>
      </c>
      <c r="S549" s="18" t="s">
        <v>79</v>
      </c>
      <c r="T549" s="18" t="s">
        <v>117</v>
      </c>
      <c r="U549" s="18" t="s">
        <v>83</v>
      </c>
      <c r="V549" s="18" t="s">
        <v>95</v>
      </c>
      <c r="W549" s="18" t="s">
        <v>95</v>
      </c>
      <c r="X549" s="18" t="s">
        <v>215</v>
      </c>
      <c r="Y549" s="18" t="s">
        <v>85</v>
      </c>
      <c r="Z549" s="18" t="s">
        <v>86</v>
      </c>
      <c r="AA549" s="18" t="s">
        <v>87</v>
      </c>
      <c r="AB549" s="18" t="s">
        <v>1043</v>
      </c>
      <c r="AC549" s="18" t="s">
        <v>1044</v>
      </c>
      <c r="AD549" s="18" t="s">
        <v>85</v>
      </c>
      <c r="AE549" s="18" t="s">
        <v>90</v>
      </c>
      <c r="AF549" s="18" t="s">
        <v>122</v>
      </c>
      <c r="AG549" s="18" t="s">
        <v>92</v>
      </c>
      <c r="AH549" s="18" t="s">
        <v>165</v>
      </c>
      <c r="AI549" s="18" t="s">
        <v>94</v>
      </c>
      <c r="AJ549" s="19">
        <v>44896</v>
      </c>
      <c r="AK549" s="22" t="s">
        <v>95</v>
      </c>
      <c r="AL549" s="18" t="s">
        <v>95</v>
      </c>
      <c r="AM549" s="18" t="s">
        <v>95</v>
      </c>
      <c r="AN549" s="18" t="s">
        <v>95</v>
      </c>
      <c r="AO549" s="18" t="s">
        <v>95</v>
      </c>
      <c r="AP549" s="18" t="s">
        <v>95</v>
      </c>
      <c r="AQ549" s="18" t="s">
        <v>95</v>
      </c>
      <c r="AR549" s="18" t="s">
        <v>95</v>
      </c>
      <c r="AS549" s="18" t="s">
        <v>83</v>
      </c>
      <c r="AT549" s="18" t="s">
        <v>83</v>
      </c>
      <c r="AU549" s="18" t="s">
        <v>81</v>
      </c>
      <c r="AV549" s="18" t="s">
        <v>95</v>
      </c>
      <c r="AW549" s="18" t="s">
        <v>95</v>
      </c>
      <c r="AX549" s="18"/>
      <c r="AY549" s="18" t="str">
        <f>Pospago[[#This Row],[NUM_TELEFONICO]]&amp;"POSPAGOSI"</f>
        <v>987378353POSPAGOSI</v>
      </c>
      <c r="AZ549" s="18" t="str">
        <f>VLOOKUP(Pospago[[#This Row],[NOM_PLAZA_FINAL]],[1]!Locales[#Data],3,0)</f>
        <v>TIENDA MACHALA</v>
      </c>
      <c r="BA549" s="18" t="str">
        <f>IFERROR(VLOOKUP(Pospago[[#This Row],[USUARIO]],[1]!Personal[#Data],6,0),"EJECUTIVO NO REGISTRADO")</f>
        <v>GONZAGA YUPANGUI LIZBETH KATHERINE</v>
      </c>
      <c r="BB549" s="18" t="str">
        <f>Pospago[[#This Row],[TIPO_MOVIMIENTO]]&amp;" "&amp;Pospago[[#This Row],[FORMA_PAGO_FINAL]]</f>
        <v>TRANSFERENCIAS DOMICILIADO</v>
      </c>
      <c r="BC549" s="18">
        <f>DAY(Pospago[[#This Row],[FECHA_ALTA]])</f>
        <v>1</v>
      </c>
      <c r="BD549" s="18">
        <f>IF(Pospago[[#This Row],[TARIFA_BASICA]]=11.42,1,0)</f>
        <v>0</v>
      </c>
      <c r="BE549" s="18">
        <f>IF(Pospago[[#This Row],[PLANES TELEVENTAS]]="SI",1,0)</f>
        <v>0</v>
      </c>
      <c r="BF549" s="18">
        <f>1</f>
        <v>1</v>
      </c>
      <c r="BG549" s="18">
        <f>IF(OR(Pospago[[#This Row],[TARIFA_BASICA]]=11.42,Pospago[[#This Row],[PLANES TELEVENTAS]]="SI"),1,0)</f>
        <v>0</v>
      </c>
      <c r="BH549" s="18" t="str">
        <f>IF(MID(Pospago[[#This Row],[PlanDesc]],1,4) = "PLAN","POSPAGO",IF(MID(Pospago[[#This Row],[PlanDesc]],1,4)="FULL","FULL MEGAS","PREVIOPAGO"))</f>
        <v>PREVIOPAGO</v>
      </c>
      <c r="BI5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12.612</v>
      </c>
      <c r="BJ5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49" s="21">
        <f>Pospago[[#This Row],[TARIFA_BASICA]]*1.5</f>
        <v>26.775000000000002</v>
      </c>
    </row>
    <row r="550" spans="1:63" x14ac:dyDescent="0.25">
      <c r="A550" s="18" t="s">
        <v>154</v>
      </c>
      <c r="B550" s="18" t="s">
        <v>3590</v>
      </c>
      <c r="C550" s="18" t="s">
        <v>3591</v>
      </c>
      <c r="D550" s="19">
        <v>44907</v>
      </c>
      <c r="E550" s="18" t="s">
        <v>67</v>
      </c>
      <c r="F550" s="18" t="s">
        <v>3592</v>
      </c>
      <c r="G550" s="18" t="s">
        <v>3593</v>
      </c>
      <c r="H550" s="18" t="s">
        <v>159</v>
      </c>
      <c r="I550" s="18" t="s">
        <v>71</v>
      </c>
      <c r="J550" s="18" t="s">
        <v>258</v>
      </c>
      <c r="K550" s="18" t="s">
        <v>73</v>
      </c>
      <c r="L550" s="20" t="s">
        <v>3594</v>
      </c>
      <c r="M550" s="18" t="s">
        <v>75</v>
      </c>
      <c r="N550" s="20" t="s">
        <v>3595</v>
      </c>
      <c r="O550" s="18" t="s">
        <v>164</v>
      </c>
      <c r="P550" s="18" t="s">
        <v>78</v>
      </c>
      <c r="Q550" s="19">
        <v>44914</v>
      </c>
      <c r="R550" s="21">
        <v>11.42</v>
      </c>
      <c r="S550" s="18" t="s">
        <v>79</v>
      </c>
      <c r="T550" s="18" t="s">
        <v>148</v>
      </c>
      <c r="U550" s="18" t="s">
        <v>83</v>
      </c>
      <c r="V550" s="18" t="s">
        <v>95</v>
      </c>
      <c r="W550" s="18" t="s">
        <v>95</v>
      </c>
      <c r="X550" s="18" t="s">
        <v>84</v>
      </c>
      <c r="Y550" s="18" t="s">
        <v>85</v>
      </c>
      <c r="Z550" s="18" t="s">
        <v>86</v>
      </c>
      <c r="AA550" s="18" t="s">
        <v>87</v>
      </c>
      <c r="AB550" s="18" t="s">
        <v>420</v>
      </c>
      <c r="AC550" s="18" t="s">
        <v>421</v>
      </c>
      <c r="AD550" s="18" t="s">
        <v>85</v>
      </c>
      <c r="AE550" s="18" t="s">
        <v>90</v>
      </c>
      <c r="AF550" s="18" t="s">
        <v>151</v>
      </c>
      <c r="AG550" s="18" t="s">
        <v>92</v>
      </c>
      <c r="AH550" s="18" t="s">
        <v>165</v>
      </c>
      <c r="AI550" s="18" t="s">
        <v>94</v>
      </c>
      <c r="AJ550" s="19">
        <v>44907</v>
      </c>
      <c r="AK550" s="22" t="s">
        <v>95</v>
      </c>
      <c r="AL550" s="18" t="s">
        <v>95</v>
      </c>
      <c r="AM550" s="18" t="s">
        <v>95</v>
      </c>
      <c r="AN550" s="18" t="s">
        <v>95</v>
      </c>
      <c r="AO550" s="18" t="s">
        <v>95</v>
      </c>
      <c r="AP550" s="18" t="s">
        <v>95</v>
      </c>
      <c r="AQ550" s="18" t="s">
        <v>95</v>
      </c>
      <c r="AR550" s="18" t="s">
        <v>95</v>
      </c>
      <c r="AS550" s="18" t="s">
        <v>83</v>
      </c>
      <c r="AT550" s="18" t="s">
        <v>83</v>
      </c>
      <c r="AU550" s="18" t="s">
        <v>81</v>
      </c>
      <c r="AV550" s="18" t="s">
        <v>95</v>
      </c>
      <c r="AW550" s="18" t="s">
        <v>95</v>
      </c>
      <c r="AX550" s="18"/>
      <c r="AY550" s="18" t="str">
        <f>Pospago[[#This Row],[NUM_TELEFONICO]]&amp;"POSPAGOSI"</f>
        <v>987387839POSPAGOSI</v>
      </c>
      <c r="AZ550" s="18" t="str">
        <f>VLOOKUP(Pospago[[#This Row],[NOM_PLAZA_FINAL]],[1]!Locales[#Data],3,0)</f>
        <v>TIENDA CUENCA REMIGIO</v>
      </c>
      <c r="BA550" s="18" t="str">
        <f>IFERROR(VLOOKUP(Pospago[[#This Row],[USUARIO]],[1]!Personal[#Data],6,0),"EJECUTIVO NO REGISTRADO")</f>
        <v>YEPEZ PALOMEQUE DIANA PATRICIA</v>
      </c>
      <c r="BB550" s="18" t="str">
        <f>Pospago[[#This Row],[TIPO_MOVIMIENTO]]&amp;" "&amp;Pospago[[#This Row],[FORMA_PAGO_FINAL]]</f>
        <v>TRANSFERENCIAS DOMICILIADO</v>
      </c>
      <c r="BC550" s="18">
        <f>DAY(Pospago[[#This Row],[FECHA_ALTA]])</f>
        <v>12</v>
      </c>
      <c r="BD550" s="18">
        <f>IF(Pospago[[#This Row],[TARIFA_BASICA]]=11.42,1,0)</f>
        <v>1</v>
      </c>
      <c r="BE550" s="18">
        <f>IF(Pospago[[#This Row],[PLANES TELEVENTAS]]="SI",1,0)</f>
        <v>0</v>
      </c>
      <c r="BF550" s="18">
        <f>1</f>
        <v>1</v>
      </c>
      <c r="BG550" s="18">
        <f>IF(OR(Pospago[[#This Row],[TARIFA_BASICA]]=11.42,Pospago[[#This Row],[PLANES TELEVENTAS]]="SI"),1,0)</f>
        <v>1</v>
      </c>
      <c r="BH550" s="18" t="str">
        <f>IF(MID(Pospago[[#This Row],[PlanDesc]],1,4) = "PLAN","POSPAGO",IF(MID(Pospago[[#This Row],[PlanDesc]],1,4)="FULL","FULL MEGAS","PREVIOPAGO"))</f>
        <v>PREVIOPAGO</v>
      </c>
      <c r="BI5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5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50" s="21">
        <f>Pospago[[#This Row],[TARIFA_BASICA]]*1.5</f>
        <v>17.13</v>
      </c>
    </row>
    <row r="551" spans="1:63" x14ac:dyDescent="0.25">
      <c r="A551" s="18" t="s">
        <v>64</v>
      </c>
      <c r="B551" s="18" t="s">
        <v>3596</v>
      </c>
      <c r="C551" s="18" t="s">
        <v>3597</v>
      </c>
      <c r="D551" s="19">
        <v>44897</v>
      </c>
      <c r="E551" s="18" t="s">
        <v>67</v>
      </c>
      <c r="F551" s="18" t="s">
        <v>3598</v>
      </c>
      <c r="G551" s="18" t="s">
        <v>3599</v>
      </c>
      <c r="H551" s="18" t="s">
        <v>70</v>
      </c>
      <c r="I551" s="18" t="s">
        <v>160</v>
      </c>
      <c r="J551" s="18" t="s">
        <v>195</v>
      </c>
      <c r="K551" s="18" t="s">
        <v>259</v>
      </c>
      <c r="L551" s="20" t="s">
        <v>3600</v>
      </c>
      <c r="M551" s="18" t="s">
        <v>75</v>
      </c>
      <c r="N551" s="20" t="s">
        <v>3601</v>
      </c>
      <c r="O551" s="18" t="s">
        <v>77</v>
      </c>
      <c r="P551" s="18" t="s">
        <v>78</v>
      </c>
      <c r="Q551" s="19">
        <v>44914</v>
      </c>
      <c r="R551" s="21">
        <v>14.28</v>
      </c>
      <c r="S551" s="18" t="s">
        <v>79</v>
      </c>
      <c r="T551" s="18" t="s">
        <v>174</v>
      </c>
      <c r="U551" s="18" t="s">
        <v>83</v>
      </c>
      <c r="V551" s="18" t="s">
        <v>95</v>
      </c>
      <c r="W551" s="18" t="s">
        <v>83</v>
      </c>
      <c r="X551" s="18" t="s">
        <v>118</v>
      </c>
      <c r="Y551" s="18" t="s">
        <v>85</v>
      </c>
      <c r="Z551" s="18" t="s">
        <v>86</v>
      </c>
      <c r="AA551" s="18" t="s">
        <v>119</v>
      </c>
      <c r="AB551" s="18" t="s">
        <v>760</v>
      </c>
      <c r="AC551" s="18" t="s">
        <v>761</v>
      </c>
      <c r="AD551" s="18" t="s">
        <v>85</v>
      </c>
      <c r="AE551" s="18" t="s">
        <v>90</v>
      </c>
      <c r="AF551" s="18" t="s">
        <v>177</v>
      </c>
      <c r="AG551" s="18" t="s">
        <v>139</v>
      </c>
      <c r="AH551" s="18" t="s">
        <v>93</v>
      </c>
      <c r="AI551" s="18" t="s">
        <v>94</v>
      </c>
      <c r="AJ551" s="19">
        <v>44897</v>
      </c>
      <c r="AK551" s="22" t="s">
        <v>95</v>
      </c>
      <c r="AL551" s="18" t="s">
        <v>95</v>
      </c>
      <c r="AM551" s="18" t="s">
        <v>95</v>
      </c>
      <c r="AN551" s="18" t="s">
        <v>95</v>
      </c>
      <c r="AO551" s="18" t="s">
        <v>95</v>
      </c>
      <c r="AP551" s="18" t="s">
        <v>95</v>
      </c>
      <c r="AQ551" s="18" t="s">
        <v>95</v>
      </c>
      <c r="AR551" s="18" t="s">
        <v>95</v>
      </c>
      <c r="AS551" s="18" t="s">
        <v>83</v>
      </c>
      <c r="AT551" s="18" t="s">
        <v>83</v>
      </c>
      <c r="AU551" s="18" t="s">
        <v>81</v>
      </c>
      <c r="AV551" s="18" t="s">
        <v>95</v>
      </c>
      <c r="AW551" s="18" t="s">
        <v>95</v>
      </c>
      <c r="AX551" s="18"/>
      <c r="AY551" s="18" t="str">
        <f>Pospago[[#This Row],[NUM_TELEFONICO]]&amp;"POSPAGOSI"</f>
        <v>987391394POSPAGOSI</v>
      </c>
      <c r="AZ551" s="18" t="str">
        <f>VLOOKUP(Pospago[[#This Row],[NOM_PLAZA_FINAL]],[1]!Locales[#Data],3,0)</f>
        <v>TIENDA RECREO</v>
      </c>
      <c r="BA551" s="18" t="str">
        <f>IFERROR(VLOOKUP(Pospago[[#This Row],[USUARIO]],[1]!Personal[#Data],6,0),"EJECUTIVO NO REGISTRADO")</f>
        <v>VALBUENA SANCHEZ ALBERT ANTHONY</v>
      </c>
      <c r="BB551" s="18" t="str">
        <f>Pospago[[#This Row],[TIPO_MOVIMIENTO]]&amp;" "&amp;Pospago[[#This Row],[FORMA_PAGO_FINAL]]</f>
        <v>ALTAS PAGO EN CAJA</v>
      </c>
      <c r="BC551" s="18">
        <f>DAY(Pospago[[#This Row],[FECHA_ALTA]])</f>
        <v>2</v>
      </c>
      <c r="BD551" s="18">
        <f>IF(Pospago[[#This Row],[TARIFA_BASICA]]=11.42,1,0)</f>
        <v>0</v>
      </c>
      <c r="BE551" s="18">
        <f>IF(Pospago[[#This Row],[PLANES TELEVENTAS]]="SI",1,0)</f>
        <v>0</v>
      </c>
      <c r="BF551" s="18">
        <f>1</f>
        <v>1</v>
      </c>
      <c r="BG551" s="18">
        <f>IF(OR(Pospago[[#This Row],[TARIFA_BASICA]]=11.42,Pospago[[#This Row],[PLANES TELEVENTAS]]="SI"),1,0)</f>
        <v>0</v>
      </c>
      <c r="BH551" s="18" t="str">
        <f>IF(MID(Pospago[[#This Row],[PlanDesc]],1,4) = "PLAN","POSPAGO",IF(MID(Pospago[[#This Row],[PlanDesc]],1,4)="FULL","FULL MEGAS","PREVIOPAGO"))</f>
        <v>PREVIOPAGO</v>
      </c>
      <c r="BI5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1" s="21">
        <f>Pospago[[#This Row],[TARIFA_BASICA]]*1.5</f>
        <v>21.419999999999998</v>
      </c>
    </row>
    <row r="552" spans="1:63" x14ac:dyDescent="0.25">
      <c r="A552" s="18" t="s">
        <v>154</v>
      </c>
      <c r="B552" s="18" t="s">
        <v>3602</v>
      </c>
      <c r="C552" s="18" t="s">
        <v>3603</v>
      </c>
      <c r="D552" s="19">
        <v>44897</v>
      </c>
      <c r="E552" s="18" t="s">
        <v>67</v>
      </c>
      <c r="F552" s="18" t="s">
        <v>3604</v>
      </c>
      <c r="G552" s="18" t="s">
        <v>3605</v>
      </c>
      <c r="H552" s="18" t="s">
        <v>159</v>
      </c>
      <c r="I552" s="18" t="s">
        <v>130</v>
      </c>
      <c r="J552" s="18" t="s">
        <v>433</v>
      </c>
      <c r="K552" s="18" t="s">
        <v>73</v>
      </c>
      <c r="L552" s="20" t="s">
        <v>3606</v>
      </c>
      <c r="M552" s="18" t="s">
        <v>75</v>
      </c>
      <c r="N552" s="20" t="s">
        <v>3607</v>
      </c>
      <c r="O552" s="18" t="s">
        <v>164</v>
      </c>
      <c r="P552" s="18" t="s">
        <v>78</v>
      </c>
      <c r="Q552" s="19">
        <v>44914</v>
      </c>
      <c r="R552" s="21">
        <v>15</v>
      </c>
      <c r="S552" s="18" t="s">
        <v>79</v>
      </c>
      <c r="T552" s="18" t="s">
        <v>80</v>
      </c>
      <c r="U552" s="18" t="s">
        <v>83</v>
      </c>
      <c r="V552" s="18" t="s">
        <v>95</v>
      </c>
      <c r="W552" s="18" t="s">
        <v>95</v>
      </c>
      <c r="X552" s="18" t="s">
        <v>84</v>
      </c>
      <c r="Y552" s="18" t="s">
        <v>85</v>
      </c>
      <c r="Z552" s="18" t="s">
        <v>86</v>
      </c>
      <c r="AA552" s="18" t="s">
        <v>87</v>
      </c>
      <c r="AB552" s="18" t="s">
        <v>242</v>
      </c>
      <c r="AC552" s="18" t="s">
        <v>243</v>
      </c>
      <c r="AD552" s="18" t="s">
        <v>85</v>
      </c>
      <c r="AE552" s="18" t="s">
        <v>90</v>
      </c>
      <c r="AF552" s="18" t="s">
        <v>91</v>
      </c>
      <c r="AG552" s="18" t="s">
        <v>92</v>
      </c>
      <c r="AH552" s="18" t="s">
        <v>165</v>
      </c>
      <c r="AI552" s="18" t="s">
        <v>94</v>
      </c>
      <c r="AJ552" s="19">
        <v>44897</v>
      </c>
      <c r="AK552" s="22" t="s">
        <v>95</v>
      </c>
      <c r="AL552" s="18" t="s">
        <v>95</v>
      </c>
      <c r="AM552" s="18" t="s">
        <v>95</v>
      </c>
      <c r="AN552" s="18" t="s">
        <v>95</v>
      </c>
      <c r="AO552" s="18" t="s">
        <v>95</v>
      </c>
      <c r="AP552" s="18" t="s">
        <v>95</v>
      </c>
      <c r="AQ552" s="18" t="s">
        <v>95</v>
      </c>
      <c r="AR552" s="18" t="s">
        <v>95</v>
      </c>
      <c r="AS552" s="18" t="s">
        <v>83</v>
      </c>
      <c r="AT552" s="18" t="s">
        <v>83</v>
      </c>
      <c r="AU552" s="18" t="s">
        <v>81</v>
      </c>
      <c r="AV552" s="18" t="s">
        <v>95</v>
      </c>
      <c r="AW552" s="18" t="s">
        <v>95</v>
      </c>
      <c r="AX552" s="18"/>
      <c r="AY552" s="18" t="str">
        <f>Pospago[[#This Row],[NUM_TELEFONICO]]&amp;"POSPAGOSI"</f>
        <v>987391606POSPAGOSI</v>
      </c>
      <c r="AZ552" s="18" t="str">
        <f>VLOOKUP(Pospago[[#This Row],[NOM_PLAZA_FINAL]],[1]!Locales[#Data],3,0)</f>
        <v>TIENDA CUENCA CENTRO</v>
      </c>
      <c r="BA552" s="18" t="str">
        <f>IFERROR(VLOOKUP(Pospago[[#This Row],[USUARIO]],[1]!Personal[#Data],6,0),"EJECUTIVO NO REGISTRADO")</f>
        <v>VALLEJO DELEG ROMAN NICOLAS</v>
      </c>
      <c r="BB552" s="18" t="str">
        <f>Pospago[[#This Row],[TIPO_MOVIMIENTO]]&amp;" "&amp;Pospago[[#This Row],[FORMA_PAGO_FINAL]]</f>
        <v>TRANSFERENCIAS DOMICILIADO</v>
      </c>
      <c r="BC552" s="18">
        <f>DAY(Pospago[[#This Row],[FECHA_ALTA]])</f>
        <v>2</v>
      </c>
      <c r="BD552" s="18">
        <f>IF(Pospago[[#This Row],[TARIFA_BASICA]]=11.42,1,0)</f>
        <v>0</v>
      </c>
      <c r="BE552" s="18">
        <f>IF(Pospago[[#This Row],[PLANES TELEVENTAS]]="SI",1,0)</f>
        <v>0</v>
      </c>
      <c r="BF552" s="18">
        <f>1</f>
        <v>1</v>
      </c>
      <c r="BG552" s="18">
        <f>IF(OR(Pospago[[#This Row],[TARIFA_BASICA]]=11.42,Pospago[[#This Row],[PLANES TELEVENTAS]]="SI"),1,0)</f>
        <v>0</v>
      </c>
      <c r="BH552" s="18" t="str">
        <f>IF(MID(Pospago[[#This Row],[PlanDesc]],1,4) = "PLAN","POSPAGO",IF(MID(Pospago[[#This Row],[PlanDesc]],1,4)="FULL","FULL MEGAS","PREVIOPAGO"))</f>
        <v>PREVIOPAGO</v>
      </c>
      <c r="BI5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5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2" s="21">
        <f>Pospago[[#This Row],[TARIFA_BASICA]]*1.5</f>
        <v>22.5</v>
      </c>
    </row>
    <row r="553" spans="1:63" x14ac:dyDescent="0.25">
      <c r="A553" s="18" t="s">
        <v>64</v>
      </c>
      <c r="B553" s="18" t="s">
        <v>3608</v>
      </c>
      <c r="C553" s="18" t="s">
        <v>3609</v>
      </c>
      <c r="D553" s="19">
        <v>44909</v>
      </c>
      <c r="E553" s="18" t="s">
        <v>67</v>
      </c>
      <c r="F553" s="18" t="s">
        <v>3610</v>
      </c>
      <c r="G553" s="18" t="s">
        <v>3611</v>
      </c>
      <c r="H553" s="18" t="s">
        <v>70</v>
      </c>
      <c r="I553" s="18" t="s">
        <v>160</v>
      </c>
      <c r="J553" s="18" t="s">
        <v>195</v>
      </c>
      <c r="K553" s="18" t="s">
        <v>73</v>
      </c>
      <c r="L553" s="20" t="s">
        <v>3612</v>
      </c>
      <c r="M553" s="18" t="s">
        <v>75</v>
      </c>
      <c r="N553" s="20" t="s">
        <v>3613</v>
      </c>
      <c r="O553" s="18" t="s">
        <v>77</v>
      </c>
      <c r="P553" s="18" t="s">
        <v>78</v>
      </c>
      <c r="Q553" s="19">
        <v>44914</v>
      </c>
      <c r="R553" s="21">
        <v>14.28</v>
      </c>
      <c r="S553" s="18" t="s">
        <v>79</v>
      </c>
      <c r="T553" s="18" t="s">
        <v>148</v>
      </c>
      <c r="U553" s="18" t="s">
        <v>83</v>
      </c>
      <c r="V553" s="18" t="s">
        <v>95</v>
      </c>
      <c r="W553" s="18" t="s">
        <v>83</v>
      </c>
      <c r="X553" s="18" t="s">
        <v>84</v>
      </c>
      <c r="Y553" s="18" t="s">
        <v>85</v>
      </c>
      <c r="Z553" s="18" t="s">
        <v>86</v>
      </c>
      <c r="AA553" s="18" t="s">
        <v>87</v>
      </c>
      <c r="AB553" s="18" t="s">
        <v>385</v>
      </c>
      <c r="AC553" s="18" t="s">
        <v>386</v>
      </c>
      <c r="AD553" s="18" t="s">
        <v>85</v>
      </c>
      <c r="AE553" s="18" t="s">
        <v>90</v>
      </c>
      <c r="AF553" s="18" t="s">
        <v>151</v>
      </c>
      <c r="AG553" s="18" t="s">
        <v>92</v>
      </c>
      <c r="AH553" s="18" t="s">
        <v>93</v>
      </c>
      <c r="AI553" s="18" t="s">
        <v>94</v>
      </c>
      <c r="AJ553" s="19">
        <v>44909</v>
      </c>
      <c r="AK553" s="22" t="s">
        <v>95</v>
      </c>
      <c r="AL553" s="18" t="s">
        <v>95</v>
      </c>
      <c r="AM553" s="18" t="s">
        <v>95</v>
      </c>
      <c r="AN553" s="18" t="s">
        <v>95</v>
      </c>
      <c r="AO553" s="18" t="s">
        <v>95</v>
      </c>
      <c r="AP553" s="18" t="s">
        <v>95</v>
      </c>
      <c r="AQ553" s="18" t="s">
        <v>95</v>
      </c>
      <c r="AR553" s="18" t="s">
        <v>95</v>
      </c>
      <c r="AS553" s="18" t="s">
        <v>83</v>
      </c>
      <c r="AT553" s="18" t="s">
        <v>83</v>
      </c>
      <c r="AU553" s="18" t="s">
        <v>81</v>
      </c>
      <c r="AV553" s="18" t="s">
        <v>95</v>
      </c>
      <c r="AW553" s="18" t="s">
        <v>95</v>
      </c>
      <c r="AX553" s="18"/>
      <c r="AY553" s="18" t="str">
        <f>Pospago[[#This Row],[NUM_TELEFONICO]]&amp;"POSPAGOSI"</f>
        <v>987412010POSPAGOSI</v>
      </c>
      <c r="AZ553" s="18" t="str">
        <f>VLOOKUP(Pospago[[#This Row],[NOM_PLAZA_FINAL]],[1]!Locales[#Data],3,0)</f>
        <v>TIENDA CUENCA REMIGIO</v>
      </c>
      <c r="BA553" s="18" t="str">
        <f>IFERROR(VLOOKUP(Pospago[[#This Row],[USUARIO]],[1]!Personal[#Data],6,0),"EJECUTIVO NO REGISTRADO")</f>
        <v>RAMIREZ RUBIO NELLY LILIANA</v>
      </c>
      <c r="BB553" s="18" t="str">
        <f>Pospago[[#This Row],[TIPO_MOVIMIENTO]]&amp;" "&amp;Pospago[[#This Row],[FORMA_PAGO_FINAL]]</f>
        <v>ALTAS DOMICILIADO</v>
      </c>
      <c r="BC553" s="18">
        <f>DAY(Pospago[[#This Row],[FECHA_ALTA]])</f>
        <v>14</v>
      </c>
      <c r="BD553" s="18">
        <f>IF(Pospago[[#This Row],[TARIFA_BASICA]]=11.42,1,0)</f>
        <v>0</v>
      </c>
      <c r="BE553" s="18">
        <f>IF(Pospago[[#This Row],[PLANES TELEVENTAS]]="SI",1,0)</f>
        <v>0</v>
      </c>
      <c r="BF553" s="18">
        <f>1</f>
        <v>1</v>
      </c>
      <c r="BG553" s="18">
        <f>IF(OR(Pospago[[#This Row],[TARIFA_BASICA]]=11.42,Pospago[[#This Row],[PLANES TELEVENTAS]]="SI"),1,0)</f>
        <v>0</v>
      </c>
      <c r="BH553" s="18" t="str">
        <f>IF(MID(Pospago[[#This Row],[PlanDesc]],1,4) = "PLAN","POSPAGO",IF(MID(Pospago[[#This Row],[PlanDesc]],1,4)="FULL","FULL MEGAS","PREVIOPAGO"))</f>
        <v>PREVIOPAGO</v>
      </c>
      <c r="BI5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3" s="21">
        <f>Pospago[[#This Row],[TARIFA_BASICA]]*1.5</f>
        <v>21.419999999999998</v>
      </c>
    </row>
    <row r="554" spans="1:63" x14ac:dyDescent="0.25">
      <c r="A554" s="18" t="s">
        <v>154</v>
      </c>
      <c r="B554" s="18" t="s">
        <v>3614</v>
      </c>
      <c r="C554" s="18" t="s">
        <v>3615</v>
      </c>
      <c r="D554" s="19">
        <v>44910</v>
      </c>
      <c r="E554" s="18" t="s">
        <v>67</v>
      </c>
      <c r="F554" s="18" t="s">
        <v>3616</v>
      </c>
      <c r="G554" s="18" t="s">
        <v>3617</v>
      </c>
      <c r="H554" s="18" t="s">
        <v>159</v>
      </c>
      <c r="I554" s="18" t="s">
        <v>194</v>
      </c>
      <c r="J554" s="18" t="s">
        <v>268</v>
      </c>
      <c r="K554" s="18" t="s">
        <v>73</v>
      </c>
      <c r="L554" s="20" t="s">
        <v>3618</v>
      </c>
      <c r="M554" s="18" t="s">
        <v>287</v>
      </c>
      <c r="N554" s="20" t="s">
        <v>3619</v>
      </c>
      <c r="O554" s="18" t="s">
        <v>164</v>
      </c>
      <c r="P554" s="18" t="s">
        <v>78</v>
      </c>
      <c r="Q554" s="19">
        <v>44914</v>
      </c>
      <c r="R554" s="21">
        <v>14.28</v>
      </c>
      <c r="S554" s="18" t="s">
        <v>79</v>
      </c>
      <c r="T554" s="18" t="s">
        <v>135</v>
      </c>
      <c r="U554" s="18" t="s">
        <v>83</v>
      </c>
      <c r="V554" s="18" t="s">
        <v>95</v>
      </c>
      <c r="W554" s="18" t="s">
        <v>95</v>
      </c>
      <c r="X554" s="18" t="s">
        <v>84</v>
      </c>
      <c r="Y554" s="18" t="s">
        <v>85</v>
      </c>
      <c r="Z554" s="18" t="s">
        <v>86</v>
      </c>
      <c r="AA554" s="18" t="s">
        <v>87</v>
      </c>
      <c r="AB554" s="18" t="s">
        <v>1545</v>
      </c>
      <c r="AC554" s="18" t="s">
        <v>1546</v>
      </c>
      <c r="AD554" s="18" t="s">
        <v>85</v>
      </c>
      <c r="AE554" s="18" t="s">
        <v>90</v>
      </c>
      <c r="AF554" s="18" t="s">
        <v>138</v>
      </c>
      <c r="AG554" s="18" t="s">
        <v>139</v>
      </c>
      <c r="AH554" s="18" t="s">
        <v>165</v>
      </c>
      <c r="AI554" s="18" t="s">
        <v>94</v>
      </c>
      <c r="AJ554" s="19">
        <v>44910</v>
      </c>
      <c r="AK554" s="22">
        <v>44910</v>
      </c>
      <c r="AL554" s="18" t="s">
        <v>291</v>
      </c>
      <c r="AM554" s="18" t="s">
        <v>292</v>
      </c>
      <c r="AN554" s="18" t="s">
        <v>494</v>
      </c>
      <c r="AO554" s="18" t="s">
        <v>543</v>
      </c>
      <c r="AP554" s="18">
        <v>1</v>
      </c>
      <c r="AQ554" s="18">
        <v>156.25</v>
      </c>
      <c r="AR554" s="18" t="s">
        <v>496</v>
      </c>
      <c r="AS554" s="18" t="s">
        <v>81</v>
      </c>
      <c r="AT554" s="18" t="s">
        <v>81</v>
      </c>
      <c r="AU554" s="18" t="s">
        <v>81</v>
      </c>
      <c r="AV554" s="18" t="s">
        <v>95</v>
      </c>
      <c r="AW554" s="18" t="s">
        <v>95</v>
      </c>
      <c r="AX554" s="18"/>
      <c r="AY554" s="18" t="str">
        <f>Pospago[[#This Row],[NUM_TELEFONICO]]&amp;"POSPAGOSI"</f>
        <v>987416060POSPAGOSI</v>
      </c>
      <c r="AZ554" s="18" t="str">
        <f>VLOOKUP(Pospago[[#This Row],[NOM_PLAZA_FINAL]],[1]!Locales[#Data],3,0)</f>
        <v>TIENDA AMERICA</v>
      </c>
      <c r="BA554" s="18" t="str">
        <f>IFERROR(VLOOKUP(Pospago[[#This Row],[USUARIO]],[1]!Personal[#Data],6,0),"EJECUTIVO NO REGISTRADO")</f>
        <v>GRANDA ESPINOZA ANDRES SEBASTIAN</v>
      </c>
      <c r="BB554" s="18" t="str">
        <f>Pospago[[#This Row],[TIPO_MOVIMIENTO]]&amp;" "&amp;Pospago[[#This Row],[FORMA_PAGO_FINAL]]</f>
        <v>TRANSFERENCIAS DOMICILIADO</v>
      </c>
      <c r="BC554" s="18">
        <f>DAY(Pospago[[#This Row],[FECHA_ALTA]])</f>
        <v>15</v>
      </c>
      <c r="BD554" s="18">
        <f>IF(Pospago[[#This Row],[TARIFA_BASICA]]=11.42,1,0)</f>
        <v>0</v>
      </c>
      <c r="BE554" s="18">
        <f>IF(Pospago[[#This Row],[PLANES TELEVENTAS]]="SI",1,0)</f>
        <v>1</v>
      </c>
      <c r="BF554" s="18">
        <f>1</f>
        <v>1</v>
      </c>
      <c r="BG554" s="18">
        <f>IF(OR(Pospago[[#This Row],[TARIFA_BASICA]]=11.42,Pospago[[#This Row],[PLANES TELEVENTAS]]="SI"),1,0)</f>
        <v>1</v>
      </c>
      <c r="BH554" s="18" t="str">
        <f>IF(MID(Pospago[[#This Row],[PlanDesc]],1,4) = "PLAN","POSPAGO",IF(MID(Pospago[[#This Row],[PlanDesc]],1,4)="FULL","FULL MEGAS","PREVIOPAGO"))</f>
        <v>PREVIOPAGO</v>
      </c>
      <c r="BI5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4" s="21">
        <f>Pospago[[#This Row],[TARIFA_BASICA]]*1.5</f>
        <v>21.419999999999998</v>
      </c>
    </row>
    <row r="555" spans="1:63" x14ac:dyDescent="0.25">
      <c r="A555" s="18" t="s">
        <v>154</v>
      </c>
      <c r="B555" s="18" t="s">
        <v>3620</v>
      </c>
      <c r="C555" s="18" t="s">
        <v>3621</v>
      </c>
      <c r="D555" s="19">
        <v>44902</v>
      </c>
      <c r="E555" s="18" t="s">
        <v>67</v>
      </c>
      <c r="F555" s="18" t="s">
        <v>3622</v>
      </c>
      <c r="G555" s="18" t="s">
        <v>3623</v>
      </c>
      <c r="H555" s="18" t="s">
        <v>159</v>
      </c>
      <c r="I555" s="18" t="s">
        <v>160</v>
      </c>
      <c r="J555" s="18" t="s">
        <v>161</v>
      </c>
      <c r="K555" s="18" t="s">
        <v>132</v>
      </c>
      <c r="L555" s="20" t="s">
        <v>3624</v>
      </c>
      <c r="M555" s="18" t="s">
        <v>75</v>
      </c>
      <c r="N555" s="20" t="s">
        <v>3625</v>
      </c>
      <c r="O555" s="18" t="s">
        <v>164</v>
      </c>
      <c r="P555" s="18" t="s">
        <v>78</v>
      </c>
      <c r="Q555" s="19">
        <v>44914</v>
      </c>
      <c r="R555" s="21">
        <v>14.28</v>
      </c>
      <c r="S555" s="18" t="s">
        <v>79</v>
      </c>
      <c r="T555" s="18" t="s">
        <v>174</v>
      </c>
      <c r="U555" s="18" t="s">
        <v>83</v>
      </c>
      <c r="V555" s="18" t="s">
        <v>95</v>
      </c>
      <c r="W555" s="18" t="s">
        <v>95</v>
      </c>
      <c r="X555" s="18" t="s">
        <v>118</v>
      </c>
      <c r="Y555" s="18" t="s">
        <v>85</v>
      </c>
      <c r="Z555" s="18" t="s">
        <v>86</v>
      </c>
      <c r="AA555" s="18" t="s">
        <v>119</v>
      </c>
      <c r="AB555" s="18" t="s">
        <v>303</v>
      </c>
      <c r="AC555" s="18" t="s">
        <v>304</v>
      </c>
      <c r="AD555" s="18" t="s">
        <v>85</v>
      </c>
      <c r="AE555" s="18" t="s">
        <v>90</v>
      </c>
      <c r="AF555" s="18" t="s">
        <v>177</v>
      </c>
      <c r="AG555" s="18" t="s">
        <v>139</v>
      </c>
      <c r="AH555" s="18" t="s">
        <v>165</v>
      </c>
      <c r="AI555" s="18" t="s">
        <v>94</v>
      </c>
      <c r="AJ555" s="19">
        <v>44902</v>
      </c>
      <c r="AK555" s="22" t="s">
        <v>95</v>
      </c>
      <c r="AL555" s="18" t="s">
        <v>95</v>
      </c>
      <c r="AM555" s="18" t="s">
        <v>95</v>
      </c>
      <c r="AN555" s="18" t="s">
        <v>95</v>
      </c>
      <c r="AO555" s="18" t="s">
        <v>95</v>
      </c>
      <c r="AP555" s="18" t="s">
        <v>95</v>
      </c>
      <c r="AQ555" s="18" t="s">
        <v>95</v>
      </c>
      <c r="AR555" s="18" t="s">
        <v>95</v>
      </c>
      <c r="AS555" s="18" t="s">
        <v>83</v>
      </c>
      <c r="AT555" s="18" t="s">
        <v>83</v>
      </c>
      <c r="AU555" s="18" t="s">
        <v>81</v>
      </c>
      <c r="AV555" s="18" t="s">
        <v>95</v>
      </c>
      <c r="AW555" s="18" t="s">
        <v>95</v>
      </c>
      <c r="AX555" s="18"/>
      <c r="AY555" s="18" t="str">
        <f>Pospago[[#This Row],[NUM_TELEFONICO]]&amp;"POSPAGOSI"</f>
        <v>987425764POSPAGOSI</v>
      </c>
      <c r="AZ555" s="18" t="str">
        <f>VLOOKUP(Pospago[[#This Row],[NOM_PLAZA_FINAL]],[1]!Locales[#Data],3,0)</f>
        <v>TIENDA RECREO</v>
      </c>
      <c r="BA555" s="18" t="str">
        <f>IFERROR(VLOOKUP(Pospago[[#This Row],[USUARIO]],[1]!Personal[#Data],6,0),"EJECUTIVO NO REGISTRADO")</f>
        <v>CORDOVA GAIBOR JONATHAN HERNAN</v>
      </c>
      <c r="BB555" s="18" t="str">
        <f>Pospago[[#This Row],[TIPO_MOVIMIENTO]]&amp;" "&amp;Pospago[[#This Row],[FORMA_PAGO_FINAL]]</f>
        <v>TRANSFERENCIAS PAGO EN CAJA</v>
      </c>
      <c r="BC555" s="18">
        <f>DAY(Pospago[[#This Row],[FECHA_ALTA]])</f>
        <v>7</v>
      </c>
      <c r="BD555" s="18">
        <f>IF(Pospago[[#This Row],[TARIFA_BASICA]]=11.42,1,0)</f>
        <v>0</v>
      </c>
      <c r="BE555" s="18">
        <f>IF(Pospago[[#This Row],[PLANES TELEVENTAS]]="SI",1,0)</f>
        <v>0</v>
      </c>
      <c r="BF555" s="18">
        <f>1</f>
        <v>1</v>
      </c>
      <c r="BG555" s="18">
        <f>IF(OR(Pospago[[#This Row],[TARIFA_BASICA]]=11.42,Pospago[[#This Row],[PLANES TELEVENTAS]]="SI"),1,0)</f>
        <v>0</v>
      </c>
      <c r="BH555" s="18" t="str">
        <f>IF(MID(Pospago[[#This Row],[PlanDesc]],1,4) = "PLAN","POSPAGO",IF(MID(Pospago[[#This Row],[PlanDesc]],1,4)="FULL","FULL MEGAS","PREVIOPAGO"))</f>
        <v>PREVIOPAGO</v>
      </c>
      <c r="BI5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5" s="21">
        <f>Pospago[[#This Row],[TARIFA_BASICA]]*1.5</f>
        <v>21.419999999999998</v>
      </c>
    </row>
    <row r="556" spans="1:63" x14ac:dyDescent="0.25">
      <c r="A556" s="18" t="s">
        <v>64</v>
      </c>
      <c r="B556" s="18" t="s">
        <v>3626</v>
      </c>
      <c r="C556" s="18" t="s">
        <v>3627</v>
      </c>
      <c r="D556" s="19">
        <v>44896</v>
      </c>
      <c r="E556" s="18" t="s">
        <v>67</v>
      </c>
      <c r="F556" s="18" t="s">
        <v>3628</v>
      </c>
      <c r="G556" s="18" t="s">
        <v>3629</v>
      </c>
      <c r="H556" s="18" t="s">
        <v>70</v>
      </c>
      <c r="I556" s="18" t="s">
        <v>130</v>
      </c>
      <c r="J556" s="18" t="s">
        <v>131</v>
      </c>
      <c r="K556" s="18" t="s">
        <v>95</v>
      </c>
      <c r="L556" s="20" t="s">
        <v>3630</v>
      </c>
      <c r="M556" s="18" t="s">
        <v>75</v>
      </c>
      <c r="N556" s="20" t="s">
        <v>3631</v>
      </c>
      <c r="O556" s="18" t="s">
        <v>231</v>
      </c>
      <c r="P556" s="18" t="s">
        <v>78</v>
      </c>
      <c r="Q556" s="19">
        <v>44914</v>
      </c>
      <c r="R556" s="21">
        <v>15</v>
      </c>
      <c r="S556" s="18" t="s">
        <v>79</v>
      </c>
      <c r="T556" s="18" t="s">
        <v>174</v>
      </c>
      <c r="U556" s="18" t="s">
        <v>83</v>
      </c>
      <c r="V556" s="18" t="s">
        <v>95</v>
      </c>
      <c r="W556" s="18" t="s">
        <v>83</v>
      </c>
      <c r="X556" s="18" t="s">
        <v>215</v>
      </c>
      <c r="Y556" s="18" t="s">
        <v>85</v>
      </c>
      <c r="Z556" s="18" t="s">
        <v>86</v>
      </c>
      <c r="AA556" s="18" t="s">
        <v>87</v>
      </c>
      <c r="AB556" s="18" t="s">
        <v>492</v>
      </c>
      <c r="AC556" s="18" t="s">
        <v>493</v>
      </c>
      <c r="AD556" s="18" t="s">
        <v>85</v>
      </c>
      <c r="AE556" s="18" t="s">
        <v>90</v>
      </c>
      <c r="AF556" s="18" t="s">
        <v>177</v>
      </c>
      <c r="AG556" s="18" t="s">
        <v>139</v>
      </c>
      <c r="AH556" s="18" t="s">
        <v>93</v>
      </c>
      <c r="AI556" s="18" t="s">
        <v>94</v>
      </c>
      <c r="AJ556" s="19">
        <v>44896</v>
      </c>
      <c r="AK556" s="22" t="s">
        <v>95</v>
      </c>
      <c r="AL556" s="18" t="s">
        <v>95</v>
      </c>
      <c r="AM556" s="18" t="s">
        <v>95</v>
      </c>
      <c r="AN556" s="18" t="s">
        <v>95</v>
      </c>
      <c r="AO556" s="18" t="s">
        <v>95</v>
      </c>
      <c r="AP556" s="18" t="s">
        <v>95</v>
      </c>
      <c r="AQ556" s="18" t="s">
        <v>95</v>
      </c>
      <c r="AR556" s="18" t="s">
        <v>95</v>
      </c>
      <c r="AS556" s="18" t="s">
        <v>83</v>
      </c>
      <c r="AT556" s="18" t="s">
        <v>83</v>
      </c>
      <c r="AU556" s="18" t="s">
        <v>81</v>
      </c>
      <c r="AV556" s="18" t="s">
        <v>95</v>
      </c>
      <c r="AW556" s="18" t="s">
        <v>95</v>
      </c>
      <c r="AX556" s="18"/>
      <c r="AY556" s="18" t="str">
        <f>Pospago[[#This Row],[NUM_TELEFONICO]]&amp;"POSPAGOSI"</f>
        <v>987460613POSPAGOSI</v>
      </c>
      <c r="AZ556" s="18" t="str">
        <f>VLOOKUP(Pospago[[#This Row],[NOM_PLAZA_FINAL]],[1]!Locales[#Data],3,0)</f>
        <v>TIENDA RECREO</v>
      </c>
      <c r="BA556" s="18" t="str">
        <f>IFERROR(VLOOKUP(Pospago[[#This Row],[USUARIO]],[1]!Personal[#Data],6,0),"EJECUTIVO NO REGISTRADO")</f>
        <v>CONDO GARCIA NICOLAS MATIAS</v>
      </c>
      <c r="BB556" s="18" t="str">
        <f>Pospago[[#This Row],[TIPO_MOVIMIENTO]]&amp;" "&amp;Pospago[[#This Row],[FORMA_PAGO_FINAL]]</f>
        <v>ALTAS DOMICILIADO</v>
      </c>
      <c r="BC556" s="18">
        <f>DAY(Pospago[[#This Row],[FECHA_ALTA]])</f>
        <v>1</v>
      </c>
      <c r="BD556" s="18">
        <f>IF(Pospago[[#This Row],[TARIFA_BASICA]]=11.42,1,0)</f>
        <v>0</v>
      </c>
      <c r="BE556" s="18">
        <f>IF(Pospago[[#This Row],[PLANES TELEVENTAS]]="SI",1,0)</f>
        <v>0</v>
      </c>
      <c r="BF556" s="18">
        <f>1</f>
        <v>1</v>
      </c>
      <c r="BG556" s="18">
        <f>IF(OR(Pospago[[#This Row],[TARIFA_BASICA]]=11.42,Pospago[[#This Row],[PLANES TELEVENTAS]]="SI"),1,0)</f>
        <v>0</v>
      </c>
      <c r="BH556" s="18" t="str">
        <f>IF(MID(Pospago[[#This Row],[PlanDesc]],1,4) = "PLAN","POSPAGO",IF(MID(Pospago[[#This Row],[PlanDesc]],1,4)="FULL","FULL MEGAS","PREVIOPAGO"))</f>
        <v>PREVIOPAGO</v>
      </c>
      <c r="BI5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5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6" s="21">
        <f>Pospago[[#This Row],[TARIFA_BASICA]]*1.5</f>
        <v>22.5</v>
      </c>
    </row>
    <row r="557" spans="1:63" x14ac:dyDescent="0.25">
      <c r="A557" s="18" t="s">
        <v>64</v>
      </c>
      <c r="B557" s="18" t="s">
        <v>3632</v>
      </c>
      <c r="C557" s="18" t="s">
        <v>3633</v>
      </c>
      <c r="D557" s="19">
        <v>44901</v>
      </c>
      <c r="E557" s="18" t="s">
        <v>67</v>
      </c>
      <c r="F557" s="18" t="s">
        <v>3634</v>
      </c>
      <c r="G557" s="18" t="s">
        <v>3635</v>
      </c>
      <c r="H557" s="18" t="s">
        <v>70</v>
      </c>
      <c r="I557" s="18" t="s">
        <v>130</v>
      </c>
      <c r="J557" s="18" t="s">
        <v>131</v>
      </c>
      <c r="K557" s="18" t="s">
        <v>132</v>
      </c>
      <c r="L557" s="20" t="s">
        <v>3636</v>
      </c>
      <c r="M557" s="18" t="s">
        <v>75</v>
      </c>
      <c r="N557" s="20" t="s">
        <v>3637</v>
      </c>
      <c r="O557" s="18" t="s">
        <v>77</v>
      </c>
      <c r="P557" s="18" t="s">
        <v>78</v>
      </c>
      <c r="Q557" s="19">
        <v>44914</v>
      </c>
      <c r="R557" s="21">
        <v>15</v>
      </c>
      <c r="S557" s="18" t="s">
        <v>79</v>
      </c>
      <c r="T557" s="18" t="s">
        <v>174</v>
      </c>
      <c r="U557" s="18" t="s">
        <v>83</v>
      </c>
      <c r="V557" s="18" t="s">
        <v>95</v>
      </c>
      <c r="W557" s="18" t="s">
        <v>83</v>
      </c>
      <c r="X557" s="18" t="s">
        <v>84</v>
      </c>
      <c r="Y557" s="18" t="s">
        <v>85</v>
      </c>
      <c r="Z557" s="18" t="s">
        <v>86</v>
      </c>
      <c r="AA557" s="18" t="s">
        <v>87</v>
      </c>
      <c r="AB557" s="18" t="s">
        <v>492</v>
      </c>
      <c r="AC557" s="18" t="s">
        <v>493</v>
      </c>
      <c r="AD557" s="18" t="s">
        <v>85</v>
      </c>
      <c r="AE557" s="18" t="s">
        <v>90</v>
      </c>
      <c r="AF557" s="18" t="s">
        <v>177</v>
      </c>
      <c r="AG557" s="18" t="s">
        <v>139</v>
      </c>
      <c r="AH557" s="18" t="s">
        <v>93</v>
      </c>
      <c r="AI557" s="18" t="s">
        <v>94</v>
      </c>
      <c r="AJ557" s="19">
        <v>44901</v>
      </c>
      <c r="AK557" s="22" t="s">
        <v>95</v>
      </c>
      <c r="AL557" s="18" t="s">
        <v>95</v>
      </c>
      <c r="AM557" s="18" t="s">
        <v>95</v>
      </c>
      <c r="AN557" s="18" t="s">
        <v>95</v>
      </c>
      <c r="AO557" s="18" t="s">
        <v>95</v>
      </c>
      <c r="AP557" s="18" t="s">
        <v>95</v>
      </c>
      <c r="AQ557" s="18" t="s">
        <v>95</v>
      </c>
      <c r="AR557" s="18" t="s">
        <v>95</v>
      </c>
      <c r="AS557" s="18" t="s">
        <v>83</v>
      </c>
      <c r="AT557" s="18" t="s">
        <v>83</v>
      </c>
      <c r="AU557" s="18" t="s">
        <v>81</v>
      </c>
      <c r="AV557" s="18" t="s">
        <v>95</v>
      </c>
      <c r="AW557" s="18" t="s">
        <v>95</v>
      </c>
      <c r="AX557" s="18"/>
      <c r="AY557" s="18" t="str">
        <f>Pospago[[#This Row],[NUM_TELEFONICO]]&amp;"POSPAGOSI"</f>
        <v>987467901POSPAGOSI</v>
      </c>
      <c r="AZ557" s="18" t="str">
        <f>VLOOKUP(Pospago[[#This Row],[NOM_PLAZA_FINAL]],[1]!Locales[#Data],3,0)</f>
        <v>TIENDA RECREO</v>
      </c>
      <c r="BA557" s="18" t="str">
        <f>IFERROR(VLOOKUP(Pospago[[#This Row],[USUARIO]],[1]!Personal[#Data],6,0),"EJECUTIVO NO REGISTRADO")</f>
        <v>CONDO GARCIA NICOLAS MATIAS</v>
      </c>
      <c r="BB557" s="18" t="str">
        <f>Pospago[[#This Row],[TIPO_MOVIMIENTO]]&amp;" "&amp;Pospago[[#This Row],[FORMA_PAGO_FINAL]]</f>
        <v>ALTAS DOMICILIADO</v>
      </c>
      <c r="BC557" s="18">
        <f>DAY(Pospago[[#This Row],[FECHA_ALTA]])</f>
        <v>6</v>
      </c>
      <c r="BD557" s="18">
        <f>IF(Pospago[[#This Row],[TARIFA_BASICA]]=11.42,1,0)</f>
        <v>0</v>
      </c>
      <c r="BE557" s="18">
        <f>IF(Pospago[[#This Row],[PLANES TELEVENTAS]]="SI",1,0)</f>
        <v>0</v>
      </c>
      <c r="BF557" s="18">
        <f>1</f>
        <v>1</v>
      </c>
      <c r="BG557" s="18">
        <f>IF(OR(Pospago[[#This Row],[TARIFA_BASICA]]=11.42,Pospago[[#This Row],[PLANES TELEVENTAS]]="SI"),1,0)</f>
        <v>0</v>
      </c>
      <c r="BH557" s="18" t="str">
        <f>IF(MID(Pospago[[#This Row],[PlanDesc]],1,4) = "PLAN","POSPAGO",IF(MID(Pospago[[#This Row],[PlanDesc]],1,4)="FULL","FULL MEGAS","PREVIOPAGO"))</f>
        <v>PREVIOPAGO</v>
      </c>
      <c r="BI5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5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7" s="21">
        <f>Pospago[[#This Row],[TARIFA_BASICA]]*1.5</f>
        <v>22.5</v>
      </c>
    </row>
    <row r="558" spans="1:63" x14ac:dyDescent="0.25">
      <c r="A558" s="18" t="s">
        <v>64</v>
      </c>
      <c r="B558" s="18" t="s">
        <v>3638</v>
      </c>
      <c r="C558" s="18" t="s">
        <v>3639</v>
      </c>
      <c r="D558" s="19">
        <v>44910</v>
      </c>
      <c r="E558" s="18" t="s">
        <v>67</v>
      </c>
      <c r="F558" s="18" t="s">
        <v>3640</v>
      </c>
      <c r="G558" s="18" t="s">
        <v>3641</v>
      </c>
      <c r="H558" s="18" t="s">
        <v>70</v>
      </c>
      <c r="I558" s="18" t="s">
        <v>160</v>
      </c>
      <c r="J558" s="18" t="s">
        <v>195</v>
      </c>
      <c r="K558" s="18" t="s">
        <v>349</v>
      </c>
      <c r="L558" s="20" t="s">
        <v>3642</v>
      </c>
      <c r="M558" s="18" t="s">
        <v>287</v>
      </c>
      <c r="N558" s="20" t="s">
        <v>3643</v>
      </c>
      <c r="O558" s="18" t="s">
        <v>77</v>
      </c>
      <c r="P558" s="18" t="s">
        <v>78</v>
      </c>
      <c r="Q558" s="19">
        <v>44914</v>
      </c>
      <c r="R558" s="21">
        <v>14.28</v>
      </c>
      <c r="S558" s="18" t="s">
        <v>79</v>
      </c>
      <c r="T558" s="18" t="s">
        <v>117</v>
      </c>
      <c r="U558" s="18" t="s">
        <v>83</v>
      </c>
      <c r="V558" s="18" t="s">
        <v>95</v>
      </c>
      <c r="W558" s="18" t="s">
        <v>83</v>
      </c>
      <c r="X558" s="18" t="s">
        <v>84</v>
      </c>
      <c r="Y558" s="18" t="s">
        <v>85</v>
      </c>
      <c r="Z558" s="18" t="s">
        <v>86</v>
      </c>
      <c r="AA558" s="18" t="s">
        <v>87</v>
      </c>
      <c r="AB558" s="18" t="s">
        <v>352</v>
      </c>
      <c r="AC558" s="18" t="s">
        <v>353</v>
      </c>
      <c r="AD558" s="18" t="s">
        <v>85</v>
      </c>
      <c r="AE558" s="18" t="s">
        <v>90</v>
      </c>
      <c r="AF558" s="18" t="s">
        <v>122</v>
      </c>
      <c r="AG558" s="18" t="s">
        <v>92</v>
      </c>
      <c r="AH558" s="18" t="s">
        <v>93</v>
      </c>
      <c r="AI558" s="18" t="s">
        <v>94</v>
      </c>
      <c r="AJ558" s="19">
        <v>44910</v>
      </c>
      <c r="AK558" s="22">
        <v>44910</v>
      </c>
      <c r="AL558" s="18" t="s">
        <v>291</v>
      </c>
      <c r="AM558" s="18" t="s">
        <v>292</v>
      </c>
      <c r="AN558" s="18" t="s">
        <v>293</v>
      </c>
      <c r="AO558" s="18" t="s">
        <v>354</v>
      </c>
      <c r="AP558" s="18">
        <v>1</v>
      </c>
      <c r="AQ558" s="18">
        <v>285.71429000000001</v>
      </c>
      <c r="AR558" s="18" t="s">
        <v>295</v>
      </c>
      <c r="AS558" s="18" t="s">
        <v>81</v>
      </c>
      <c r="AT558" s="18" t="s">
        <v>83</v>
      </c>
      <c r="AU558" s="18" t="s">
        <v>81</v>
      </c>
      <c r="AV558" s="18" t="s">
        <v>95</v>
      </c>
      <c r="AW558" s="18" t="s">
        <v>95</v>
      </c>
      <c r="AX558" s="18"/>
      <c r="AY558" s="18" t="str">
        <f>Pospago[[#This Row],[NUM_TELEFONICO]]&amp;"POSPAGOSI"</f>
        <v>987469254POSPAGOSI</v>
      </c>
      <c r="AZ558" s="18" t="str">
        <f>VLOOKUP(Pospago[[#This Row],[NOM_PLAZA_FINAL]],[1]!Locales[#Data],3,0)</f>
        <v>TIENDA MACHALA</v>
      </c>
      <c r="BA558" s="18" t="str">
        <f>IFERROR(VLOOKUP(Pospago[[#This Row],[USUARIO]],[1]!Personal[#Data],6,0),"EJECUTIVO NO REGISTRADO")</f>
        <v>TENORIO MARIA DEL PILAR</v>
      </c>
      <c r="BB558" s="18" t="str">
        <f>Pospago[[#This Row],[TIPO_MOVIMIENTO]]&amp;" "&amp;Pospago[[#This Row],[FORMA_PAGO_FINAL]]</f>
        <v>ALTAS DOMICILIADO</v>
      </c>
      <c r="BC558" s="18">
        <f>DAY(Pospago[[#This Row],[FECHA_ALTA]])</f>
        <v>15</v>
      </c>
      <c r="BD558" s="18">
        <f>IF(Pospago[[#This Row],[TARIFA_BASICA]]=11.42,1,0)</f>
        <v>0</v>
      </c>
      <c r="BE558" s="18">
        <f>IF(Pospago[[#This Row],[PLANES TELEVENTAS]]="SI",1,0)</f>
        <v>0</v>
      </c>
      <c r="BF558" s="18">
        <f>1</f>
        <v>1</v>
      </c>
      <c r="BG558" s="18">
        <f>IF(OR(Pospago[[#This Row],[TARIFA_BASICA]]=11.42,Pospago[[#This Row],[PLANES TELEVENTAS]]="SI"),1,0)</f>
        <v>0</v>
      </c>
      <c r="BH558" s="18" t="str">
        <f>IF(MID(Pospago[[#This Row],[PlanDesc]],1,4) = "PLAN","POSPAGO",IF(MID(Pospago[[#This Row],[PlanDesc]],1,4)="FULL","FULL MEGAS","PREVIOPAGO"))</f>
        <v>PREVIOPAGO</v>
      </c>
      <c r="BI5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5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8" s="21">
        <f>Pospago[[#This Row],[TARIFA_BASICA]]*1.5</f>
        <v>21.419999999999998</v>
      </c>
    </row>
    <row r="559" spans="1:63" x14ac:dyDescent="0.25">
      <c r="A559" s="18" t="s">
        <v>64</v>
      </c>
      <c r="B559" s="18" t="s">
        <v>3644</v>
      </c>
      <c r="C559" s="18" t="s">
        <v>3645</v>
      </c>
      <c r="D559" s="19">
        <v>44911</v>
      </c>
      <c r="E559" s="18" t="s">
        <v>67</v>
      </c>
      <c r="F559" s="18" t="s">
        <v>3646</v>
      </c>
      <c r="G559" s="18" t="s">
        <v>3647</v>
      </c>
      <c r="H559" s="18" t="s">
        <v>70</v>
      </c>
      <c r="I559" s="18" t="s">
        <v>160</v>
      </c>
      <c r="J559" s="18" t="s">
        <v>195</v>
      </c>
      <c r="K559" s="18" t="s">
        <v>3648</v>
      </c>
      <c r="L559" s="20" t="s">
        <v>3649</v>
      </c>
      <c r="M559" s="18" t="s">
        <v>75</v>
      </c>
      <c r="N559" s="20" t="s">
        <v>3650</v>
      </c>
      <c r="O559" s="18" t="s">
        <v>77</v>
      </c>
      <c r="P559" s="18" t="s">
        <v>78</v>
      </c>
      <c r="Q559" s="19">
        <v>44914</v>
      </c>
      <c r="R559" s="21">
        <v>14.28</v>
      </c>
      <c r="S559" s="18" t="s">
        <v>79</v>
      </c>
      <c r="T559" s="18" t="s">
        <v>174</v>
      </c>
      <c r="U559" s="18" t="s">
        <v>83</v>
      </c>
      <c r="V559" s="18" t="s">
        <v>95</v>
      </c>
      <c r="W559" s="18" t="s">
        <v>83</v>
      </c>
      <c r="X559" s="18" t="s">
        <v>118</v>
      </c>
      <c r="Y559" s="18" t="s">
        <v>85</v>
      </c>
      <c r="Z559" s="18" t="s">
        <v>86</v>
      </c>
      <c r="AA559" s="18" t="s">
        <v>119</v>
      </c>
      <c r="AB559" s="18" t="s">
        <v>1315</v>
      </c>
      <c r="AC559" s="18" t="s">
        <v>1316</v>
      </c>
      <c r="AD559" s="18" t="s">
        <v>85</v>
      </c>
      <c r="AE559" s="18" t="s">
        <v>90</v>
      </c>
      <c r="AF559" s="18" t="s">
        <v>177</v>
      </c>
      <c r="AG559" s="18" t="s">
        <v>139</v>
      </c>
      <c r="AH559" s="18" t="s">
        <v>93</v>
      </c>
      <c r="AI559" s="18" t="s">
        <v>94</v>
      </c>
      <c r="AJ559" s="19">
        <v>44911</v>
      </c>
      <c r="AK559" s="22" t="s">
        <v>95</v>
      </c>
      <c r="AL559" s="18" t="s">
        <v>95</v>
      </c>
      <c r="AM559" s="18" t="s">
        <v>95</v>
      </c>
      <c r="AN559" s="18" t="s">
        <v>95</v>
      </c>
      <c r="AO559" s="18" t="s">
        <v>95</v>
      </c>
      <c r="AP559" s="18" t="s">
        <v>95</v>
      </c>
      <c r="AQ559" s="18" t="s">
        <v>95</v>
      </c>
      <c r="AR559" s="18" t="s">
        <v>95</v>
      </c>
      <c r="AS559" s="18" t="s">
        <v>83</v>
      </c>
      <c r="AT559" s="18" t="s">
        <v>83</v>
      </c>
      <c r="AU559" s="18" t="s">
        <v>81</v>
      </c>
      <c r="AV559" s="18" t="s">
        <v>95</v>
      </c>
      <c r="AW559" s="18" t="s">
        <v>95</v>
      </c>
      <c r="AX559" s="18"/>
      <c r="AY559" s="18" t="str">
        <f>Pospago[[#This Row],[NUM_TELEFONICO]]&amp;"POSPAGOSI"</f>
        <v>987477056POSPAGOSI</v>
      </c>
      <c r="AZ559" s="18" t="str">
        <f>VLOOKUP(Pospago[[#This Row],[NOM_PLAZA_FINAL]],[1]!Locales[#Data],3,0)</f>
        <v>TIENDA RECREO</v>
      </c>
      <c r="BA559" s="18" t="str">
        <f>IFERROR(VLOOKUP(Pospago[[#This Row],[USUARIO]],[1]!Personal[#Data],6,0),"EJECUTIVO NO REGISTRADO")</f>
        <v>ORTEGA  NATALIE MÉNDEZ</v>
      </c>
      <c r="BB559" s="18" t="str">
        <f>Pospago[[#This Row],[TIPO_MOVIMIENTO]]&amp;" "&amp;Pospago[[#This Row],[FORMA_PAGO_FINAL]]</f>
        <v>ALTAS PAGO EN CAJA</v>
      </c>
      <c r="BC559" s="18">
        <f>DAY(Pospago[[#This Row],[FECHA_ALTA]])</f>
        <v>16</v>
      </c>
      <c r="BD559" s="18">
        <f>IF(Pospago[[#This Row],[TARIFA_BASICA]]=11.42,1,0)</f>
        <v>0</v>
      </c>
      <c r="BE559" s="18">
        <f>IF(Pospago[[#This Row],[PLANES TELEVENTAS]]="SI",1,0)</f>
        <v>0</v>
      </c>
      <c r="BF559" s="18">
        <f>1</f>
        <v>1</v>
      </c>
      <c r="BG559" s="18">
        <f>IF(OR(Pospago[[#This Row],[TARIFA_BASICA]]=11.42,Pospago[[#This Row],[PLANES TELEVENTAS]]="SI"),1,0)</f>
        <v>0</v>
      </c>
      <c r="BH559" s="18" t="str">
        <f>IF(MID(Pospago[[#This Row],[PlanDesc]],1,4) = "PLAN","POSPAGO",IF(MID(Pospago[[#This Row],[PlanDesc]],1,4)="FULL","FULL MEGAS","PREVIOPAGO"))</f>
        <v>PREVIOPAGO</v>
      </c>
      <c r="BI5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59" s="21">
        <f>Pospago[[#This Row],[TARIFA_BASICA]]*1.5</f>
        <v>21.419999999999998</v>
      </c>
    </row>
    <row r="560" spans="1:63" x14ac:dyDescent="0.25">
      <c r="A560" s="18" t="s">
        <v>154</v>
      </c>
      <c r="B560" s="18" t="s">
        <v>3651</v>
      </c>
      <c r="C560" s="18" t="s">
        <v>3652</v>
      </c>
      <c r="D560" s="19">
        <v>44907</v>
      </c>
      <c r="E560" s="18" t="s">
        <v>67</v>
      </c>
      <c r="F560" s="18" t="s">
        <v>3653</v>
      </c>
      <c r="G560" s="18" t="s">
        <v>3654</v>
      </c>
      <c r="H560" s="18" t="s">
        <v>159</v>
      </c>
      <c r="I560" s="18" t="s">
        <v>160</v>
      </c>
      <c r="J560" s="18" t="s">
        <v>161</v>
      </c>
      <c r="K560" s="18" t="s">
        <v>132</v>
      </c>
      <c r="L560" s="20" t="s">
        <v>3655</v>
      </c>
      <c r="M560" s="18" t="s">
        <v>75</v>
      </c>
      <c r="N560" s="20" t="s">
        <v>3656</v>
      </c>
      <c r="O560" s="18" t="s">
        <v>164</v>
      </c>
      <c r="P560" s="18" t="s">
        <v>78</v>
      </c>
      <c r="Q560" s="19">
        <v>44914</v>
      </c>
      <c r="R560" s="21">
        <v>14.28</v>
      </c>
      <c r="S560" s="18" t="s">
        <v>79</v>
      </c>
      <c r="T560" s="18" t="s">
        <v>174</v>
      </c>
      <c r="U560" s="18" t="s">
        <v>83</v>
      </c>
      <c r="V560" s="18" t="s">
        <v>95</v>
      </c>
      <c r="W560" s="18" t="s">
        <v>95</v>
      </c>
      <c r="X560" s="18" t="s">
        <v>84</v>
      </c>
      <c r="Y560" s="18" t="s">
        <v>85</v>
      </c>
      <c r="Z560" s="18" t="s">
        <v>86</v>
      </c>
      <c r="AA560" s="18" t="s">
        <v>87</v>
      </c>
      <c r="AB560" s="18" t="s">
        <v>918</v>
      </c>
      <c r="AC560" s="18" t="s">
        <v>919</v>
      </c>
      <c r="AD560" s="18" t="s">
        <v>85</v>
      </c>
      <c r="AE560" s="18" t="s">
        <v>90</v>
      </c>
      <c r="AF560" s="18" t="s">
        <v>177</v>
      </c>
      <c r="AG560" s="18" t="s">
        <v>139</v>
      </c>
      <c r="AH560" s="18" t="s">
        <v>165</v>
      </c>
      <c r="AI560" s="18" t="s">
        <v>94</v>
      </c>
      <c r="AJ560" s="19">
        <v>44907</v>
      </c>
      <c r="AK560" s="22" t="s">
        <v>95</v>
      </c>
      <c r="AL560" s="18" t="s">
        <v>95</v>
      </c>
      <c r="AM560" s="18" t="s">
        <v>95</v>
      </c>
      <c r="AN560" s="18" t="s">
        <v>95</v>
      </c>
      <c r="AO560" s="18" t="s">
        <v>95</v>
      </c>
      <c r="AP560" s="18" t="s">
        <v>95</v>
      </c>
      <c r="AQ560" s="18" t="s">
        <v>95</v>
      </c>
      <c r="AR560" s="18" t="s">
        <v>95</v>
      </c>
      <c r="AS560" s="18" t="s">
        <v>83</v>
      </c>
      <c r="AT560" s="18" t="s">
        <v>83</v>
      </c>
      <c r="AU560" s="18" t="s">
        <v>81</v>
      </c>
      <c r="AV560" s="18" t="s">
        <v>95</v>
      </c>
      <c r="AW560" s="18" t="s">
        <v>95</v>
      </c>
      <c r="AX560" s="18"/>
      <c r="AY560" s="18" t="str">
        <f>Pospago[[#This Row],[NUM_TELEFONICO]]&amp;"POSPAGOSI"</f>
        <v>987478617POSPAGOSI</v>
      </c>
      <c r="AZ560" s="18" t="str">
        <f>VLOOKUP(Pospago[[#This Row],[NOM_PLAZA_FINAL]],[1]!Locales[#Data],3,0)</f>
        <v>TIENDA RECREO</v>
      </c>
      <c r="BA560" s="18" t="str">
        <f>IFERROR(VLOOKUP(Pospago[[#This Row],[USUARIO]],[1]!Personal[#Data],6,0),"EJECUTIVO NO REGISTRADO")</f>
        <v>ORELLANA CARRERA MICHAEL ALEXANDER</v>
      </c>
      <c r="BB560" s="18" t="str">
        <f>Pospago[[#This Row],[TIPO_MOVIMIENTO]]&amp;" "&amp;Pospago[[#This Row],[FORMA_PAGO_FINAL]]</f>
        <v>TRANSFERENCIAS DOMICILIADO</v>
      </c>
      <c r="BC560" s="18">
        <f>DAY(Pospago[[#This Row],[FECHA_ALTA]])</f>
        <v>12</v>
      </c>
      <c r="BD560" s="18">
        <f>IF(Pospago[[#This Row],[TARIFA_BASICA]]=11.42,1,0)</f>
        <v>0</v>
      </c>
      <c r="BE560" s="18">
        <f>IF(Pospago[[#This Row],[PLANES TELEVENTAS]]="SI",1,0)</f>
        <v>0</v>
      </c>
      <c r="BF560" s="18">
        <f>1</f>
        <v>1</v>
      </c>
      <c r="BG560" s="18">
        <f>IF(OR(Pospago[[#This Row],[TARIFA_BASICA]]=11.42,Pospago[[#This Row],[PLANES TELEVENTAS]]="SI"),1,0)</f>
        <v>0</v>
      </c>
      <c r="BH560" s="18" t="str">
        <f>IF(MID(Pospago[[#This Row],[PlanDesc]],1,4) = "PLAN","POSPAGO",IF(MID(Pospago[[#This Row],[PlanDesc]],1,4)="FULL","FULL MEGAS","PREVIOPAGO"))</f>
        <v>PREVIOPAGO</v>
      </c>
      <c r="BI5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0" s="21">
        <f>Pospago[[#This Row],[TARIFA_BASICA]]*1.5</f>
        <v>21.419999999999998</v>
      </c>
    </row>
    <row r="561" spans="1:63" x14ac:dyDescent="0.25">
      <c r="A561" s="18" t="s">
        <v>64</v>
      </c>
      <c r="B561" s="18" t="s">
        <v>3657</v>
      </c>
      <c r="C561" s="18" t="s">
        <v>3658</v>
      </c>
      <c r="D561" s="19">
        <v>44907</v>
      </c>
      <c r="E561" s="18" t="s">
        <v>67</v>
      </c>
      <c r="F561" s="18" t="s">
        <v>3659</v>
      </c>
      <c r="G561" s="18" t="s">
        <v>3660</v>
      </c>
      <c r="H561" s="18" t="s">
        <v>70</v>
      </c>
      <c r="I561" s="18" t="s">
        <v>160</v>
      </c>
      <c r="J561" s="18" t="s">
        <v>195</v>
      </c>
      <c r="K561" s="18" t="s">
        <v>132</v>
      </c>
      <c r="L561" s="20" t="s">
        <v>3661</v>
      </c>
      <c r="M561" s="18" t="s">
        <v>75</v>
      </c>
      <c r="N561" s="20" t="s">
        <v>3662</v>
      </c>
      <c r="O561" s="18" t="s">
        <v>77</v>
      </c>
      <c r="P561" s="18" t="s">
        <v>78</v>
      </c>
      <c r="Q561" s="19">
        <v>44914</v>
      </c>
      <c r="R561" s="21">
        <v>14.28</v>
      </c>
      <c r="S561" s="18" t="s">
        <v>79</v>
      </c>
      <c r="T561" s="18" t="s">
        <v>174</v>
      </c>
      <c r="U561" s="18" t="s">
        <v>83</v>
      </c>
      <c r="V561" s="18" t="s">
        <v>95</v>
      </c>
      <c r="W561" s="18" t="s">
        <v>83</v>
      </c>
      <c r="X561" s="18" t="s">
        <v>84</v>
      </c>
      <c r="Y561" s="18" t="s">
        <v>85</v>
      </c>
      <c r="Z561" s="18" t="s">
        <v>86</v>
      </c>
      <c r="AA561" s="18" t="s">
        <v>87</v>
      </c>
      <c r="AB561" s="18" t="s">
        <v>404</v>
      </c>
      <c r="AC561" s="18" t="s">
        <v>405</v>
      </c>
      <c r="AD561" s="18" t="s">
        <v>85</v>
      </c>
      <c r="AE561" s="18" t="s">
        <v>90</v>
      </c>
      <c r="AF561" s="18" t="s">
        <v>177</v>
      </c>
      <c r="AG561" s="18" t="s">
        <v>139</v>
      </c>
      <c r="AH561" s="18" t="s">
        <v>93</v>
      </c>
      <c r="AI561" s="18" t="s">
        <v>94</v>
      </c>
      <c r="AJ561" s="19">
        <v>44907</v>
      </c>
      <c r="AK561" s="22" t="s">
        <v>95</v>
      </c>
      <c r="AL561" s="18" t="s">
        <v>95</v>
      </c>
      <c r="AM561" s="18" t="s">
        <v>95</v>
      </c>
      <c r="AN561" s="18" t="s">
        <v>95</v>
      </c>
      <c r="AO561" s="18" t="s">
        <v>95</v>
      </c>
      <c r="AP561" s="18" t="s">
        <v>95</v>
      </c>
      <c r="AQ561" s="18" t="s">
        <v>95</v>
      </c>
      <c r="AR561" s="18" t="s">
        <v>95</v>
      </c>
      <c r="AS561" s="18" t="s">
        <v>83</v>
      </c>
      <c r="AT561" s="18" t="s">
        <v>83</v>
      </c>
      <c r="AU561" s="18" t="s">
        <v>81</v>
      </c>
      <c r="AV561" s="18" t="s">
        <v>95</v>
      </c>
      <c r="AW561" s="18" t="s">
        <v>95</v>
      </c>
      <c r="AX561" s="18"/>
      <c r="AY561" s="18" t="str">
        <f>Pospago[[#This Row],[NUM_TELEFONICO]]&amp;"POSPAGOSI"</f>
        <v>987500901POSPAGOSI</v>
      </c>
      <c r="AZ561" s="18" t="str">
        <f>VLOOKUP(Pospago[[#This Row],[NOM_PLAZA_FINAL]],[1]!Locales[#Data],3,0)</f>
        <v>TIENDA RECREO</v>
      </c>
      <c r="BA561" s="18" t="str">
        <f>IFERROR(VLOOKUP(Pospago[[#This Row],[USUARIO]],[1]!Personal[#Data],6,0),"EJECUTIVO NO REGISTRADO")</f>
        <v>OTERO YEPEZ ANDREA SOLEDAD</v>
      </c>
      <c r="BB561" s="18" t="str">
        <f>Pospago[[#This Row],[TIPO_MOVIMIENTO]]&amp;" "&amp;Pospago[[#This Row],[FORMA_PAGO_FINAL]]</f>
        <v>ALTAS DOMICILIADO</v>
      </c>
      <c r="BC561" s="18">
        <f>DAY(Pospago[[#This Row],[FECHA_ALTA]])</f>
        <v>12</v>
      </c>
      <c r="BD561" s="18">
        <f>IF(Pospago[[#This Row],[TARIFA_BASICA]]=11.42,1,0)</f>
        <v>0</v>
      </c>
      <c r="BE561" s="18">
        <f>IF(Pospago[[#This Row],[PLANES TELEVENTAS]]="SI",1,0)</f>
        <v>0</v>
      </c>
      <c r="BF561" s="18">
        <f>1</f>
        <v>1</v>
      </c>
      <c r="BG561" s="18">
        <f>IF(OR(Pospago[[#This Row],[TARIFA_BASICA]]=11.42,Pospago[[#This Row],[PLANES TELEVENTAS]]="SI"),1,0)</f>
        <v>0</v>
      </c>
      <c r="BH561" s="18" t="str">
        <f>IF(MID(Pospago[[#This Row],[PlanDesc]],1,4) = "PLAN","POSPAGO",IF(MID(Pospago[[#This Row],[PlanDesc]],1,4)="FULL","FULL MEGAS","PREVIOPAGO"))</f>
        <v>PREVIOPAGO</v>
      </c>
      <c r="BI5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1" s="21">
        <f>Pospago[[#This Row],[TARIFA_BASICA]]*1.5</f>
        <v>21.419999999999998</v>
      </c>
    </row>
    <row r="562" spans="1:63" x14ac:dyDescent="0.25">
      <c r="A562" s="18" t="s">
        <v>64</v>
      </c>
      <c r="B562" s="18" t="s">
        <v>3663</v>
      </c>
      <c r="C562" s="18" t="s">
        <v>3664</v>
      </c>
      <c r="D562" s="19">
        <v>44910</v>
      </c>
      <c r="E562" s="18" t="s">
        <v>67</v>
      </c>
      <c r="F562" s="18" t="s">
        <v>3665</v>
      </c>
      <c r="G562" s="18" t="s">
        <v>3666</v>
      </c>
      <c r="H562" s="18" t="s">
        <v>70</v>
      </c>
      <c r="I562" s="18" t="s">
        <v>160</v>
      </c>
      <c r="J562" s="18" t="s">
        <v>195</v>
      </c>
      <c r="K562" s="18" t="s">
        <v>73</v>
      </c>
      <c r="L562" s="20" t="s">
        <v>3667</v>
      </c>
      <c r="M562" s="18" t="s">
        <v>287</v>
      </c>
      <c r="N562" s="20" t="s">
        <v>3668</v>
      </c>
      <c r="O562" s="18" t="s">
        <v>77</v>
      </c>
      <c r="P562" s="18" t="s">
        <v>78</v>
      </c>
      <c r="Q562" s="19">
        <v>44914</v>
      </c>
      <c r="R562" s="21">
        <v>14.28</v>
      </c>
      <c r="S562" s="18" t="s">
        <v>79</v>
      </c>
      <c r="T562" s="18" t="s">
        <v>174</v>
      </c>
      <c r="U562" s="18" t="s">
        <v>83</v>
      </c>
      <c r="V562" s="18" t="s">
        <v>95</v>
      </c>
      <c r="W562" s="18" t="s">
        <v>83</v>
      </c>
      <c r="X562" s="18" t="s">
        <v>118</v>
      </c>
      <c r="Y562" s="18" t="s">
        <v>85</v>
      </c>
      <c r="Z562" s="18" t="s">
        <v>86</v>
      </c>
      <c r="AA562" s="18" t="s">
        <v>119</v>
      </c>
      <c r="AB562" s="18" t="s">
        <v>492</v>
      </c>
      <c r="AC562" s="18" t="s">
        <v>493</v>
      </c>
      <c r="AD562" s="18" t="s">
        <v>85</v>
      </c>
      <c r="AE562" s="18" t="s">
        <v>90</v>
      </c>
      <c r="AF562" s="18" t="s">
        <v>177</v>
      </c>
      <c r="AG562" s="18" t="s">
        <v>139</v>
      </c>
      <c r="AH562" s="18" t="s">
        <v>93</v>
      </c>
      <c r="AI562" s="18" t="s">
        <v>94</v>
      </c>
      <c r="AJ562" s="19">
        <v>44910</v>
      </c>
      <c r="AK562" s="22">
        <v>44910</v>
      </c>
      <c r="AL562" s="18" t="s">
        <v>291</v>
      </c>
      <c r="AM562" s="18" t="s">
        <v>292</v>
      </c>
      <c r="AN562" s="18" t="s">
        <v>293</v>
      </c>
      <c r="AO562" s="18" t="s">
        <v>3669</v>
      </c>
      <c r="AP562" s="18">
        <v>1</v>
      </c>
      <c r="AQ562" s="18">
        <v>200.89286000000001</v>
      </c>
      <c r="AR562" s="18" t="s">
        <v>295</v>
      </c>
      <c r="AS562" s="18" t="s">
        <v>81</v>
      </c>
      <c r="AT562" s="18" t="s">
        <v>83</v>
      </c>
      <c r="AU562" s="18" t="s">
        <v>81</v>
      </c>
      <c r="AV562" s="18" t="s">
        <v>95</v>
      </c>
      <c r="AW562" s="18" t="s">
        <v>95</v>
      </c>
      <c r="AX562" s="18"/>
      <c r="AY562" s="18" t="str">
        <f>Pospago[[#This Row],[NUM_TELEFONICO]]&amp;"POSPAGOSI"</f>
        <v>987501803POSPAGOSI</v>
      </c>
      <c r="AZ562" s="18" t="str">
        <f>VLOOKUP(Pospago[[#This Row],[NOM_PLAZA_FINAL]],[1]!Locales[#Data],3,0)</f>
        <v>TIENDA RECREO</v>
      </c>
      <c r="BA562" s="18" t="str">
        <f>IFERROR(VLOOKUP(Pospago[[#This Row],[USUARIO]],[1]!Personal[#Data],6,0),"EJECUTIVO NO REGISTRADO")</f>
        <v>CONDO GARCIA NICOLAS MATIAS</v>
      </c>
      <c r="BB562" s="18" t="str">
        <f>Pospago[[#This Row],[TIPO_MOVIMIENTO]]&amp;" "&amp;Pospago[[#This Row],[FORMA_PAGO_FINAL]]</f>
        <v>ALTAS PAGO EN CAJA</v>
      </c>
      <c r="BC562" s="18">
        <f>DAY(Pospago[[#This Row],[FECHA_ALTA]])</f>
        <v>15</v>
      </c>
      <c r="BD562" s="18">
        <f>IF(Pospago[[#This Row],[TARIFA_BASICA]]=11.42,1,0)</f>
        <v>0</v>
      </c>
      <c r="BE562" s="18">
        <f>IF(Pospago[[#This Row],[PLANES TELEVENTAS]]="SI",1,0)</f>
        <v>0</v>
      </c>
      <c r="BF562" s="18">
        <f>1</f>
        <v>1</v>
      </c>
      <c r="BG562" s="18">
        <f>IF(OR(Pospago[[#This Row],[TARIFA_BASICA]]=11.42,Pospago[[#This Row],[PLANES TELEVENTAS]]="SI"),1,0)</f>
        <v>0</v>
      </c>
      <c r="BH562" s="18" t="str">
        <f>IF(MID(Pospago[[#This Row],[PlanDesc]],1,4) = "PLAN","POSPAGO",IF(MID(Pospago[[#This Row],[PlanDesc]],1,4)="FULL","FULL MEGAS","PREVIOPAGO"))</f>
        <v>PREVIOPAGO</v>
      </c>
      <c r="BI5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2" s="21">
        <f>Pospago[[#This Row],[TARIFA_BASICA]]*1.5</f>
        <v>21.419999999999998</v>
      </c>
    </row>
    <row r="563" spans="1:63" x14ac:dyDescent="0.25">
      <c r="A563" s="18" t="s">
        <v>154</v>
      </c>
      <c r="B563" s="18" t="s">
        <v>3670</v>
      </c>
      <c r="C563" s="18" t="s">
        <v>3671</v>
      </c>
      <c r="D563" s="19">
        <v>44897</v>
      </c>
      <c r="E563" s="18" t="s">
        <v>246</v>
      </c>
      <c r="F563" s="18" t="s">
        <v>3672</v>
      </c>
      <c r="G563" s="18" t="s">
        <v>3673</v>
      </c>
      <c r="H563" s="18" t="s">
        <v>159</v>
      </c>
      <c r="I563" s="18" t="s">
        <v>194</v>
      </c>
      <c r="J563" s="18" t="s">
        <v>268</v>
      </c>
      <c r="K563" s="18" t="s">
        <v>73</v>
      </c>
      <c r="L563" s="20" t="s">
        <v>3674</v>
      </c>
      <c r="M563" s="18" t="s">
        <v>75</v>
      </c>
      <c r="N563" s="20" t="s">
        <v>3675</v>
      </c>
      <c r="O563" s="18" t="s">
        <v>164</v>
      </c>
      <c r="P563" s="18" t="s">
        <v>78</v>
      </c>
      <c r="Q563" s="19">
        <v>44914</v>
      </c>
      <c r="R563" s="21">
        <v>14.28</v>
      </c>
      <c r="S563" s="18" t="s">
        <v>79</v>
      </c>
      <c r="T563" s="18" t="s">
        <v>232</v>
      </c>
      <c r="U563" s="18" t="s">
        <v>83</v>
      </c>
      <c r="V563" s="18" t="s">
        <v>95</v>
      </c>
      <c r="W563" s="18" t="s">
        <v>95</v>
      </c>
      <c r="X563" s="18" t="s">
        <v>118</v>
      </c>
      <c r="Y563" s="18" t="s">
        <v>85</v>
      </c>
      <c r="Z563" s="18" t="s">
        <v>86</v>
      </c>
      <c r="AA563" s="18" t="s">
        <v>119</v>
      </c>
      <c r="AB563" s="18" t="s">
        <v>377</v>
      </c>
      <c r="AC563" s="18" t="s">
        <v>378</v>
      </c>
      <c r="AD563" s="18" t="s">
        <v>85</v>
      </c>
      <c r="AE563" s="18" t="s">
        <v>90</v>
      </c>
      <c r="AF563" s="18" t="s">
        <v>235</v>
      </c>
      <c r="AG563" s="18" t="s">
        <v>139</v>
      </c>
      <c r="AH563" s="18" t="s">
        <v>165</v>
      </c>
      <c r="AI563" s="18" t="s">
        <v>94</v>
      </c>
      <c r="AJ563" s="19">
        <v>44897</v>
      </c>
      <c r="AK563" s="22" t="s">
        <v>95</v>
      </c>
      <c r="AL563" s="18" t="s">
        <v>95</v>
      </c>
      <c r="AM563" s="18" t="s">
        <v>95</v>
      </c>
      <c r="AN563" s="18" t="s">
        <v>95</v>
      </c>
      <c r="AO563" s="18" t="s">
        <v>95</v>
      </c>
      <c r="AP563" s="18" t="s">
        <v>95</v>
      </c>
      <c r="AQ563" s="18" t="s">
        <v>95</v>
      </c>
      <c r="AR563" s="18" t="s">
        <v>95</v>
      </c>
      <c r="AS563" s="18" t="s">
        <v>83</v>
      </c>
      <c r="AT563" s="18" t="s">
        <v>81</v>
      </c>
      <c r="AU563" s="18" t="s">
        <v>81</v>
      </c>
      <c r="AV563" s="18" t="s">
        <v>95</v>
      </c>
      <c r="AW563" s="18" t="s">
        <v>95</v>
      </c>
      <c r="AX563" s="18"/>
      <c r="AY563" s="18" t="str">
        <f>Pospago[[#This Row],[NUM_TELEFONICO]]&amp;"POSPAGOSI"</f>
        <v>987508833POSPAGOSI</v>
      </c>
      <c r="AZ563" s="18" t="str">
        <f>VLOOKUP(Pospago[[#This Row],[NOM_PLAZA_FINAL]],[1]!Locales[#Data],3,0)</f>
        <v>TIENDA CONDADO</v>
      </c>
      <c r="BA563" s="18" t="str">
        <f>IFERROR(VLOOKUP(Pospago[[#This Row],[USUARIO]],[1]!Personal[#Data],6,0),"EJECUTIVO NO REGISTRADO")</f>
        <v>MELCHIADE ISAAC VALMORE</v>
      </c>
      <c r="BB563" s="18" t="str">
        <f>Pospago[[#This Row],[TIPO_MOVIMIENTO]]&amp;" "&amp;Pospago[[#This Row],[FORMA_PAGO_FINAL]]</f>
        <v>TRANSFERENCIAS PAGO EN CAJA</v>
      </c>
      <c r="BC563" s="18">
        <f>DAY(Pospago[[#This Row],[FECHA_ALTA]])</f>
        <v>2</v>
      </c>
      <c r="BD563" s="18">
        <f>IF(Pospago[[#This Row],[TARIFA_BASICA]]=11.42,1,0)</f>
        <v>0</v>
      </c>
      <c r="BE563" s="18">
        <f>IF(Pospago[[#This Row],[PLANES TELEVENTAS]]="SI",1,0)</f>
        <v>1</v>
      </c>
      <c r="BF563" s="18">
        <f>1</f>
        <v>1</v>
      </c>
      <c r="BG563" s="18">
        <f>IF(OR(Pospago[[#This Row],[TARIFA_BASICA]]=11.42,Pospago[[#This Row],[PLANES TELEVENTAS]]="SI"),1,0)</f>
        <v>1</v>
      </c>
      <c r="BH563" s="18" t="str">
        <f>IF(MID(Pospago[[#This Row],[PlanDesc]],1,4) = "PLAN","POSPAGO",IF(MID(Pospago[[#This Row],[PlanDesc]],1,4)="FULL","FULL MEGAS","PREVIOPAGO"))</f>
        <v>PREVIOPAGO</v>
      </c>
      <c r="BI5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3" s="21">
        <f>Pospago[[#This Row],[TARIFA_BASICA]]*1.5</f>
        <v>21.419999999999998</v>
      </c>
    </row>
    <row r="564" spans="1:63" x14ac:dyDescent="0.25">
      <c r="A564" s="18" t="s">
        <v>154</v>
      </c>
      <c r="B564" s="18" t="s">
        <v>3676</v>
      </c>
      <c r="C564" s="18" t="s">
        <v>3677</v>
      </c>
      <c r="D564" s="19">
        <v>44909</v>
      </c>
      <c r="E564" s="18" t="s">
        <v>67</v>
      </c>
      <c r="F564" s="18" t="s">
        <v>3678</v>
      </c>
      <c r="G564" s="18" t="s">
        <v>3679</v>
      </c>
      <c r="H564" s="18" t="s">
        <v>159</v>
      </c>
      <c r="I564" s="18" t="s">
        <v>160</v>
      </c>
      <c r="J564" s="18" t="s">
        <v>161</v>
      </c>
      <c r="K564" s="18" t="s">
        <v>95</v>
      </c>
      <c r="L564" s="20" t="s">
        <v>3680</v>
      </c>
      <c r="M564" s="18" t="s">
        <v>75</v>
      </c>
      <c r="N564" s="20" t="s">
        <v>3681</v>
      </c>
      <c r="O564" s="18" t="s">
        <v>164</v>
      </c>
      <c r="P564" s="18" t="s">
        <v>78</v>
      </c>
      <c r="Q564" s="19">
        <v>44914</v>
      </c>
      <c r="R564" s="21">
        <v>14.28</v>
      </c>
      <c r="S564" s="18" t="s">
        <v>79</v>
      </c>
      <c r="T564" s="18" t="s">
        <v>174</v>
      </c>
      <c r="U564" s="18" t="s">
        <v>83</v>
      </c>
      <c r="V564" s="18" t="s">
        <v>95</v>
      </c>
      <c r="W564" s="18" t="s">
        <v>95</v>
      </c>
      <c r="X564" s="18" t="s">
        <v>84</v>
      </c>
      <c r="Y564" s="18" t="s">
        <v>85</v>
      </c>
      <c r="Z564" s="18" t="s">
        <v>86</v>
      </c>
      <c r="AA564" s="18" t="s">
        <v>87</v>
      </c>
      <c r="AB564" s="18" t="s">
        <v>760</v>
      </c>
      <c r="AC564" s="18" t="s">
        <v>761</v>
      </c>
      <c r="AD564" s="18" t="s">
        <v>85</v>
      </c>
      <c r="AE564" s="18" t="s">
        <v>90</v>
      </c>
      <c r="AF564" s="18" t="s">
        <v>177</v>
      </c>
      <c r="AG564" s="18" t="s">
        <v>139</v>
      </c>
      <c r="AH564" s="18" t="s">
        <v>165</v>
      </c>
      <c r="AI564" s="18" t="s">
        <v>94</v>
      </c>
      <c r="AJ564" s="19">
        <v>44909</v>
      </c>
      <c r="AK564" s="22" t="s">
        <v>95</v>
      </c>
      <c r="AL564" s="18" t="s">
        <v>95</v>
      </c>
      <c r="AM564" s="18" t="s">
        <v>95</v>
      </c>
      <c r="AN564" s="18" t="s">
        <v>95</v>
      </c>
      <c r="AO564" s="18" t="s">
        <v>95</v>
      </c>
      <c r="AP564" s="18" t="s">
        <v>95</v>
      </c>
      <c r="AQ564" s="18" t="s">
        <v>95</v>
      </c>
      <c r="AR564" s="18" t="s">
        <v>95</v>
      </c>
      <c r="AS564" s="18" t="s">
        <v>83</v>
      </c>
      <c r="AT564" s="18" t="s">
        <v>83</v>
      </c>
      <c r="AU564" s="18" t="s">
        <v>81</v>
      </c>
      <c r="AV564" s="18" t="s">
        <v>95</v>
      </c>
      <c r="AW564" s="18" t="s">
        <v>95</v>
      </c>
      <c r="AX564" s="18"/>
      <c r="AY564" s="18" t="str">
        <f>Pospago[[#This Row],[NUM_TELEFONICO]]&amp;"POSPAGOSI"</f>
        <v>987516099POSPAGOSI</v>
      </c>
      <c r="AZ564" s="18" t="str">
        <f>VLOOKUP(Pospago[[#This Row],[NOM_PLAZA_FINAL]],[1]!Locales[#Data],3,0)</f>
        <v>TIENDA RECREO</v>
      </c>
      <c r="BA564" s="18" t="str">
        <f>IFERROR(VLOOKUP(Pospago[[#This Row],[USUARIO]],[1]!Personal[#Data],6,0),"EJECUTIVO NO REGISTRADO")</f>
        <v>VALBUENA SANCHEZ ALBERT ANTHONY</v>
      </c>
      <c r="BB564" s="18" t="str">
        <f>Pospago[[#This Row],[TIPO_MOVIMIENTO]]&amp;" "&amp;Pospago[[#This Row],[FORMA_PAGO_FINAL]]</f>
        <v>TRANSFERENCIAS DOMICILIADO</v>
      </c>
      <c r="BC564" s="18">
        <f>DAY(Pospago[[#This Row],[FECHA_ALTA]])</f>
        <v>14</v>
      </c>
      <c r="BD564" s="18">
        <f>IF(Pospago[[#This Row],[TARIFA_BASICA]]=11.42,1,0)</f>
        <v>0</v>
      </c>
      <c r="BE564" s="18">
        <f>IF(Pospago[[#This Row],[PLANES TELEVENTAS]]="SI",1,0)</f>
        <v>0</v>
      </c>
      <c r="BF564" s="18">
        <f>1</f>
        <v>1</v>
      </c>
      <c r="BG564" s="18">
        <f>IF(OR(Pospago[[#This Row],[TARIFA_BASICA]]=11.42,Pospago[[#This Row],[PLANES TELEVENTAS]]="SI"),1,0)</f>
        <v>0</v>
      </c>
      <c r="BH564" s="18" t="str">
        <f>IF(MID(Pospago[[#This Row],[PlanDesc]],1,4) = "PLAN","POSPAGO",IF(MID(Pospago[[#This Row],[PlanDesc]],1,4)="FULL","FULL MEGAS","PREVIOPAGO"))</f>
        <v>PREVIOPAGO</v>
      </c>
      <c r="BI5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4" s="21">
        <f>Pospago[[#This Row],[TARIFA_BASICA]]*1.5</f>
        <v>21.419999999999998</v>
      </c>
    </row>
    <row r="565" spans="1:63" x14ac:dyDescent="0.25">
      <c r="A565" s="18" t="s">
        <v>154</v>
      </c>
      <c r="B565" s="18" t="s">
        <v>3682</v>
      </c>
      <c r="C565" s="18" t="s">
        <v>3683</v>
      </c>
      <c r="D565" s="19">
        <v>44907</v>
      </c>
      <c r="E565" s="18" t="s">
        <v>67</v>
      </c>
      <c r="F565" s="18" t="s">
        <v>3684</v>
      </c>
      <c r="G565" s="18" t="s">
        <v>3685</v>
      </c>
      <c r="H565" s="18" t="s">
        <v>159</v>
      </c>
      <c r="I565" s="18" t="s">
        <v>712</v>
      </c>
      <c r="J565" s="18" t="s">
        <v>2836</v>
      </c>
      <c r="K565" s="18" t="s">
        <v>73</v>
      </c>
      <c r="L565" s="20" t="s">
        <v>3686</v>
      </c>
      <c r="M565" s="18" t="s">
        <v>75</v>
      </c>
      <c r="N565" s="20" t="s">
        <v>3687</v>
      </c>
      <c r="O565" s="18" t="s">
        <v>164</v>
      </c>
      <c r="P565" s="18" t="s">
        <v>78</v>
      </c>
      <c r="Q565" s="19">
        <v>44914</v>
      </c>
      <c r="R565" s="21">
        <v>17.850000000000001</v>
      </c>
      <c r="S565" s="18" t="s">
        <v>79</v>
      </c>
      <c r="T565" s="18" t="s">
        <v>80</v>
      </c>
      <c r="U565" s="18" t="s">
        <v>83</v>
      </c>
      <c r="V565" s="18" t="s">
        <v>95</v>
      </c>
      <c r="W565" s="18" t="s">
        <v>95</v>
      </c>
      <c r="X565" s="18" t="s">
        <v>84</v>
      </c>
      <c r="Y565" s="18" t="s">
        <v>85</v>
      </c>
      <c r="Z565" s="18" t="s">
        <v>86</v>
      </c>
      <c r="AA565" s="18" t="s">
        <v>87</v>
      </c>
      <c r="AB565" s="18" t="s">
        <v>1415</v>
      </c>
      <c r="AC565" s="18" t="s">
        <v>1416</v>
      </c>
      <c r="AD565" s="18" t="s">
        <v>85</v>
      </c>
      <c r="AE565" s="18" t="s">
        <v>90</v>
      </c>
      <c r="AF565" s="18" t="s">
        <v>91</v>
      </c>
      <c r="AG565" s="18" t="s">
        <v>92</v>
      </c>
      <c r="AH565" s="18" t="s">
        <v>165</v>
      </c>
      <c r="AI565" s="18" t="s">
        <v>94</v>
      </c>
      <c r="AJ565" s="19">
        <v>44907</v>
      </c>
      <c r="AK565" s="22" t="s">
        <v>95</v>
      </c>
      <c r="AL565" s="18" t="s">
        <v>95</v>
      </c>
      <c r="AM565" s="18" t="s">
        <v>95</v>
      </c>
      <c r="AN565" s="18" t="s">
        <v>95</v>
      </c>
      <c r="AO565" s="18" t="s">
        <v>95</v>
      </c>
      <c r="AP565" s="18" t="s">
        <v>95</v>
      </c>
      <c r="AQ565" s="18" t="s">
        <v>95</v>
      </c>
      <c r="AR565" s="18" t="s">
        <v>95</v>
      </c>
      <c r="AS565" s="18" t="s">
        <v>83</v>
      </c>
      <c r="AT565" s="18" t="s">
        <v>81</v>
      </c>
      <c r="AU565" s="18" t="s">
        <v>81</v>
      </c>
      <c r="AV565" s="18" t="s">
        <v>95</v>
      </c>
      <c r="AW565" s="18" t="s">
        <v>95</v>
      </c>
      <c r="AX565" s="18"/>
      <c r="AY565" s="18" t="str">
        <f>Pospago[[#This Row],[NUM_TELEFONICO]]&amp;"POSPAGOSI"</f>
        <v>987520628POSPAGOSI</v>
      </c>
      <c r="AZ565" s="18" t="str">
        <f>VLOOKUP(Pospago[[#This Row],[NOM_PLAZA_FINAL]],[1]!Locales[#Data],3,0)</f>
        <v>TIENDA CUENCA CENTRO</v>
      </c>
      <c r="BA565" s="18" t="str">
        <f>IFERROR(VLOOKUP(Pospago[[#This Row],[USUARIO]],[1]!Personal[#Data],6,0),"EJECUTIVO NO REGISTRADO")</f>
        <v>PATIÑO URGILES DIANA CATALINA</v>
      </c>
      <c r="BB565" s="18" t="str">
        <f>Pospago[[#This Row],[TIPO_MOVIMIENTO]]&amp;" "&amp;Pospago[[#This Row],[FORMA_PAGO_FINAL]]</f>
        <v>TRANSFERENCIAS DOMICILIADO</v>
      </c>
      <c r="BC565" s="18">
        <f>DAY(Pospago[[#This Row],[FECHA_ALTA]])</f>
        <v>12</v>
      </c>
      <c r="BD565" s="18">
        <f>IF(Pospago[[#This Row],[TARIFA_BASICA]]=11.42,1,0)</f>
        <v>0</v>
      </c>
      <c r="BE565" s="18">
        <f>IF(Pospago[[#This Row],[PLANES TELEVENTAS]]="SI",1,0)</f>
        <v>1</v>
      </c>
      <c r="BF565" s="18">
        <f>1</f>
        <v>1</v>
      </c>
      <c r="BG565" s="18">
        <f>IF(OR(Pospago[[#This Row],[TARIFA_BASICA]]=11.42,Pospago[[#This Row],[PLANES TELEVENTAS]]="SI"),1,0)</f>
        <v>1</v>
      </c>
      <c r="BH565" s="18" t="str">
        <f>IF(MID(Pospago[[#This Row],[PlanDesc]],1,4) = "PLAN","POSPAGO",IF(MID(Pospago[[#This Row],[PlanDesc]],1,4)="FULL","FULL MEGAS","PREVIOPAGO"))</f>
        <v>PREVIOPAGO</v>
      </c>
      <c r="BI5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5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5" s="21">
        <f>Pospago[[#This Row],[TARIFA_BASICA]]*1.5</f>
        <v>26.775000000000002</v>
      </c>
    </row>
    <row r="566" spans="1:63" x14ac:dyDescent="0.25">
      <c r="A566" s="18" t="s">
        <v>64</v>
      </c>
      <c r="B566" s="18" t="s">
        <v>3688</v>
      </c>
      <c r="C566" s="18" t="s">
        <v>3689</v>
      </c>
      <c r="D566" s="19">
        <v>44898</v>
      </c>
      <c r="E566" s="18" t="s">
        <v>67</v>
      </c>
      <c r="F566" s="18" t="s">
        <v>3690</v>
      </c>
      <c r="G566" s="18" t="s">
        <v>3691</v>
      </c>
      <c r="H566" s="18" t="s">
        <v>70</v>
      </c>
      <c r="I566" s="18" t="s">
        <v>194</v>
      </c>
      <c r="J566" s="18" t="s">
        <v>195</v>
      </c>
      <c r="K566" s="18" t="s">
        <v>132</v>
      </c>
      <c r="L566" s="20" t="s">
        <v>3692</v>
      </c>
      <c r="M566" s="18" t="s">
        <v>75</v>
      </c>
      <c r="N566" s="20" t="s">
        <v>3693</v>
      </c>
      <c r="O566" s="18" t="s">
        <v>77</v>
      </c>
      <c r="P566" s="18" t="s">
        <v>78</v>
      </c>
      <c r="Q566" s="19">
        <v>44914</v>
      </c>
      <c r="R566" s="21">
        <v>14.28</v>
      </c>
      <c r="S566" s="18" t="s">
        <v>79</v>
      </c>
      <c r="T566" s="18" t="s">
        <v>232</v>
      </c>
      <c r="U566" s="18" t="s">
        <v>83</v>
      </c>
      <c r="V566" s="18" t="s">
        <v>95</v>
      </c>
      <c r="W566" s="18" t="s">
        <v>83</v>
      </c>
      <c r="X566" s="18" t="s">
        <v>118</v>
      </c>
      <c r="Y566" s="18" t="s">
        <v>85</v>
      </c>
      <c r="Z566" s="18" t="s">
        <v>86</v>
      </c>
      <c r="AA566" s="18" t="s">
        <v>119</v>
      </c>
      <c r="AB566" s="18" t="s">
        <v>233</v>
      </c>
      <c r="AC566" s="18" t="s">
        <v>234</v>
      </c>
      <c r="AD566" s="18" t="s">
        <v>85</v>
      </c>
      <c r="AE566" s="18" t="s">
        <v>90</v>
      </c>
      <c r="AF566" s="18" t="s">
        <v>235</v>
      </c>
      <c r="AG566" s="18" t="s">
        <v>139</v>
      </c>
      <c r="AH566" s="18" t="s">
        <v>93</v>
      </c>
      <c r="AI566" s="18" t="s">
        <v>94</v>
      </c>
      <c r="AJ566" s="19">
        <v>44898</v>
      </c>
      <c r="AK566" s="22" t="s">
        <v>95</v>
      </c>
      <c r="AL566" s="18" t="s">
        <v>95</v>
      </c>
      <c r="AM566" s="18" t="s">
        <v>95</v>
      </c>
      <c r="AN566" s="18" t="s">
        <v>95</v>
      </c>
      <c r="AO566" s="18" t="s">
        <v>95</v>
      </c>
      <c r="AP566" s="18" t="s">
        <v>95</v>
      </c>
      <c r="AQ566" s="18" t="s">
        <v>95</v>
      </c>
      <c r="AR566" s="18" t="s">
        <v>95</v>
      </c>
      <c r="AS566" s="18" t="s">
        <v>83</v>
      </c>
      <c r="AT566" s="18" t="s">
        <v>81</v>
      </c>
      <c r="AU566" s="18" t="s">
        <v>81</v>
      </c>
      <c r="AV566" s="18" t="s">
        <v>95</v>
      </c>
      <c r="AW566" s="18" t="s">
        <v>95</v>
      </c>
      <c r="AX566" s="18"/>
      <c r="AY566" s="18" t="str">
        <f>Pospago[[#This Row],[NUM_TELEFONICO]]&amp;"POSPAGOSI"</f>
        <v>987529282POSPAGOSI</v>
      </c>
      <c r="AZ566" s="18" t="str">
        <f>VLOOKUP(Pospago[[#This Row],[NOM_PLAZA_FINAL]],[1]!Locales[#Data],3,0)</f>
        <v>TIENDA CONDADO</v>
      </c>
      <c r="BA566" s="18" t="str">
        <f>IFERROR(VLOOKUP(Pospago[[#This Row],[USUARIO]],[1]!Personal[#Data],6,0),"EJECUTIVO NO REGISTRADO")</f>
        <v>ROSALES MALDONADO JESSICA GABRIELA</v>
      </c>
      <c r="BB566" s="18" t="str">
        <f>Pospago[[#This Row],[TIPO_MOVIMIENTO]]&amp;" "&amp;Pospago[[#This Row],[FORMA_PAGO_FINAL]]</f>
        <v>ALTAS PAGO EN CAJA</v>
      </c>
      <c r="BC566" s="18">
        <f>DAY(Pospago[[#This Row],[FECHA_ALTA]])</f>
        <v>3</v>
      </c>
      <c r="BD566" s="18">
        <f>IF(Pospago[[#This Row],[TARIFA_BASICA]]=11.42,1,0)</f>
        <v>0</v>
      </c>
      <c r="BE566" s="18">
        <f>IF(Pospago[[#This Row],[PLANES TELEVENTAS]]="SI",1,0)</f>
        <v>1</v>
      </c>
      <c r="BF566" s="18">
        <f>1</f>
        <v>1</v>
      </c>
      <c r="BG566" s="18">
        <f>IF(OR(Pospago[[#This Row],[TARIFA_BASICA]]=11.42,Pospago[[#This Row],[PLANES TELEVENTAS]]="SI"),1,0)</f>
        <v>1</v>
      </c>
      <c r="BH566" s="18" t="str">
        <f>IF(MID(Pospago[[#This Row],[PlanDesc]],1,4) = "PLAN","POSPAGO",IF(MID(Pospago[[#This Row],[PlanDesc]],1,4)="FULL","FULL MEGAS","PREVIOPAGO"))</f>
        <v>PREVIOPAGO</v>
      </c>
      <c r="BI5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6" s="21">
        <f>Pospago[[#This Row],[TARIFA_BASICA]]*1.5</f>
        <v>21.419999999999998</v>
      </c>
    </row>
    <row r="567" spans="1:63" x14ac:dyDescent="0.25">
      <c r="A567" s="18" t="s">
        <v>64</v>
      </c>
      <c r="B567" s="18" t="s">
        <v>3694</v>
      </c>
      <c r="C567" s="18" t="s">
        <v>3695</v>
      </c>
      <c r="D567" s="19">
        <v>44906</v>
      </c>
      <c r="E567" s="18" t="s">
        <v>67</v>
      </c>
      <c r="F567" s="18" t="s">
        <v>3696</v>
      </c>
      <c r="G567" s="18" t="s">
        <v>3697</v>
      </c>
      <c r="H567" s="18" t="s">
        <v>70</v>
      </c>
      <c r="I567" s="18" t="s">
        <v>1357</v>
      </c>
      <c r="J567" s="18" t="s">
        <v>72</v>
      </c>
      <c r="K567" s="18" t="s">
        <v>95</v>
      </c>
      <c r="L567" s="20" t="s">
        <v>3698</v>
      </c>
      <c r="M567" s="18" t="s">
        <v>75</v>
      </c>
      <c r="N567" s="20" t="s">
        <v>3699</v>
      </c>
      <c r="O567" s="18" t="s">
        <v>77</v>
      </c>
      <c r="P567" s="18" t="s">
        <v>78</v>
      </c>
      <c r="Q567" s="19">
        <v>44914</v>
      </c>
      <c r="R567" s="21">
        <v>11.42</v>
      </c>
      <c r="S567" s="18" t="s">
        <v>79</v>
      </c>
      <c r="T567" s="18" t="s">
        <v>232</v>
      </c>
      <c r="U567" s="18" t="s">
        <v>83</v>
      </c>
      <c r="V567" s="18" t="s">
        <v>95</v>
      </c>
      <c r="W567" s="18" t="s">
        <v>83</v>
      </c>
      <c r="X567" s="18" t="s">
        <v>118</v>
      </c>
      <c r="Y567" s="18" t="s">
        <v>85</v>
      </c>
      <c r="Z567" s="18" t="s">
        <v>86</v>
      </c>
      <c r="AA567" s="18" t="s">
        <v>119</v>
      </c>
      <c r="AB567" s="18" t="s">
        <v>233</v>
      </c>
      <c r="AC567" s="18" t="s">
        <v>234</v>
      </c>
      <c r="AD567" s="18" t="s">
        <v>85</v>
      </c>
      <c r="AE567" s="18" t="s">
        <v>90</v>
      </c>
      <c r="AF567" s="18" t="s">
        <v>235</v>
      </c>
      <c r="AG567" s="18" t="s">
        <v>139</v>
      </c>
      <c r="AH567" s="18" t="s">
        <v>93</v>
      </c>
      <c r="AI567" s="18" t="s">
        <v>94</v>
      </c>
      <c r="AJ567" s="19">
        <v>44906</v>
      </c>
      <c r="AK567" s="22" t="s">
        <v>95</v>
      </c>
      <c r="AL567" s="18" t="s">
        <v>95</v>
      </c>
      <c r="AM567" s="18" t="s">
        <v>95</v>
      </c>
      <c r="AN567" s="18" t="s">
        <v>95</v>
      </c>
      <c r="AO567" s="18" t="s">
        <v>95</v>
      </c>
      <c r="AP567" s="18" t="s">
        <v>95</v>
      </c>
      <c r="AQ567" s="18" t="s">
        <v>95</v>
      </c>
      <c r="AR567" s="18" t="s">
        <v>95</v>
      </c>
      <c r="AS567" s="18" t="s">
        <v>83</v>
      </c>
      <c r="AT567" s="18" t="s">
        <v>81</v>
      </c>
      <c r="AU567" s="18" t="s">
        <v>81</v>
      </c>
      <c r="AV567" s="18" t="s">
        <v>95</v>
      </c>
      <c r="AW567" s="18" t="s">
        <v>95</v>
      </c>
      <c r="AX567" s="18"/>
      <c r="AY567" s="18" t="str">
        <f>Pospago[[#This Row],[NUM_TELEFONICO]]&amp;"POSPAGOSI"</f>
        <v>987529966POSPAGOSI</v>
      </c>
      <c r="AZ567" s="18" t="str">
        <f>VLOOKUP(Pospago[[#This Row],[NOM_PLAZA_FINAL]],[1]!Locales[#Data],3,0)</f>
        <v>TIENDA CONDADO</v>
      </c>
      <c r="BA567" s="18" t="str">
        <f>IFERROR(VLOOKUP(Pospago[[#This Row],[USUARIO]],[1]!Personal[#Data],6,0),"EJECUTIVO NO REGISTRADO")</f>
        <v>ROSALES MALDONADO JESSICA GABRIELA</v>
      </c>
      <c r="BB567" s="18" t="str">
        <f>Pospago[[#This Row],[TIPO_MOVIMIENTO]]&amp;" "&amp;Pospago[[#This Row],[FORMA_PAGO_FINAL]]</f>
        <v>ALTAS PAGO EN CAJA</v>
      </c>
      <c r="BC567" s="18">
        <f>DAY(Pospago[[#This Row],[FECHA_ALTA]])</f>
        <v>11</v>
      </c>
      <c r="BD567" s="18">
        <f>IF(Pospago[[#This Row],[TARIFA_BASICA]]=11.42,1,0)</f>
        <v>1</v>
      </c>
      <c r="BE567" s="18">
        <f>IF(Pospago[[#This Row],[PLANES TELEVENTAS]]="SI",1,0)</f>
        <v>1</v>
      </c>
      <c r="BF567" s="18">
        <f>1</f>
        <v>1</v>
      </c>
      <c r="BG567" s="18">
        <f>IF(OR(Pospago[[#This Row],[TARIFA_BASICA]]=11.42,Pospago[[#This Row],[PLANES TELEVENTAS]]="SI"),1,0)</f>
        <v>1</v>
      </c>
      <c r="BH567" s="18" t="str">
        <f>IF(MID(Pospago[[#This Row],[PlanDesc]],1,4) = "PLAN","POSPAGO",IF(MID(Pospago[[#This Row],[PlanDesc]],1,4)="FULL","FULL MEGAS","PREVIOPAGO"))</f>
        <v>PREVIOPAGO</v>
      </c>
      <c r="BI5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5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67" s="21">
        <f>Pospago[[#This Row],[TARIFA_BASICA]]*1.5</f>
        <v>17.13</v>
      </c>
    </row>
    <row r="568" spans="1:63" x14ac:dyDescent="0.25">
      <c r="A568" s="18" t="s">
        <v>154</v>
      </c>
      <c r="B568" s="18" t="s">
        <v>3700</v>
      </c>
      <c r="C568" s="18" t="s">
        <v>3701</v>
      </c>
      <c r="D568" s="19">
        <v>44898</v>
      </c>
      <c r="E568" s="18" t="s">
        <v>67</v>
      </c>
      <c r="F568" s="18" t="s">
        <v>3702</v>
      </c>
      <c r="G568" s="18" t="s">
        <v>3703</v>
      </c>
      <c r="H568" s="18" t="s">
        <v>159</v>
      </c>
      <c r="I568" s="18" t="s">
        <v>160</v>
      </c>
      <c r="J568" s="18" t="s">
        <v>161</v>
      </c>
      <c r="K568" s="18" t="s">
        <v>95</v>
      </c>
      <c r="L568" s="20" t="s">
        <v>3704</v>
      </c>
      <c r="M568" s="18" t="s">
        <v>75</v>
      </c>
      <c r="N568" s="20" t="s">
        <v>3705</v>
      </c>
      <c r="O568" s="18" t="s">
        <v>164</v>
      </c>
      <c r="P568" s="18" t="s">
        <v>78</v>
      </c>
      <c r="Q568" s="19">
        <v>44914</v>
      </c>
      <c r="R568" s="21">
        <v>14.28</v>
      </c>
      <c r="S568" s="18" t="s">
        <v>79</v>
      </c>
      <c r="T568" s="18" t="s">
        <v>174</v>
      </c>
      <c r="U568" s="18" t="s">
        <v>83</v>
      </c>
      <c r="V568" s="18" t="s">
        <v>95</v>
      </c>
      <c r="W568" s="18" t="s">
        <v>95</v>
      </c>
      <c r="X568" s="18" t="s">
        <v>84</v>
      </c>
      <c r="Y568" s="18" t="s">
        <v>85</v>
      </c>
      <c r="Z568" s="18" t="s">
        <v>86</v>
      </c>
      <c r="AA568" s="18" t="s">
        <v>87</v>
      </c>
      <c r="AB568" s="18" t="s">
        <v>822</v>
      </c>
      <c r="AC568" s="18" t="s">
        <v>823</v>
      </c>
      <c r="AD568" s="18" t="s">
        <v>85</v>
      </c>
      <c r="AE568" s="18" t="s">
        <v>90</v>
      </c>
      <c r="AF568" s="18" t="s">
        <v>177</v>
      </c>
      <c r="AG568" s="18" t="s">
        <v>139</v>
      </c>
      <c r="AH568" s="18" t="s">
        <v>165</v>
      </c>
      <c r="AI568" s="18" t="s">
        <v>94</v>
      </c>
      <c r="AJ568" s="19">
        <v>44898</v>
      </c>
      <c r="AK568" s="22" t="s">
        <v>95</v>
      </c>
      <c r="AL568" s="18" t="s">
        <v>95</v>
      </c>
      <c r="AM568" s="18" t="s">
        <v>95</v>
      </c>
      <c r="AN568" s="18" t="s">
        <v>95</v>
      </c>
      <c r="AO568" s="18" t="s">
        <v>95</v>
      </c>
      <c r="AP568" s="18" t="s">
        <v>95</v>
      </c>
      <c r="AQ568" s="18" t="s">
        <v>95</v>
      </c>
      <c r="AR568" s="18" t="s">
        <v>95</v>
      </c>
      <c r="AS568" s="18" t="s">
        <v>83</v>
      </c>
      <c r="AT568" s="18" t="s">
        <v>83</v>
      </c>
      <c r="AU568" s="18" t="s">
        <v>81</v>
      </c>
      <c r="AV568" s="18" t="s">
        <v>95</v>
      </c>
      <c r="AW568" s="18" t="s">
        <v>95</v>
      </c>
      <c r="AX568" s="18"/>
      <c r="AY568" s="18" t="str">
        <f>Pospago[[#This Row],[NUM_TELEFONICO]]&amp;"POSPAGOSI"</f>
        <v>987537800POSPAGOSI</v>
      </c>
      <c r="AZ568" s="18" t="str">
        <f>VLOOKUP(Pospago[[#This Row],[NOM_PLAZA_FINAL]],[1]!Locales[#Data],3,0)</f>
        <v>TIENDA RECREO</v>
      </c>
      <c r="BA568" s="18" t="str">
        <f>IFERROR(VLOOKUP(Pospago[[#This Row],[USUARIO]],[1]!Personal[#Data],6,0),"EJECUTIVO NO REGISTRADO")</f>
        <v>SALAS PARRA MARIA JOSE</v>
      </c>
      <c r="BB568" s="18" t="str">
        <f>Pospago[[#This Row],[TIPO_MOVIMIENTO]]&amp;" "&amp;Pospago[[#This Row],[FORMA_PAGO_FINAL]]</f>
        <v>TRANSFERENCIAS DOMICILIADO</v>
      </c>
      <c r="BC568" s="18">
        <f>DAY(Pospago[[#This Row],[FECHA_ALTA]])</f>
        <v>3</v>
      </c>
      <c r="BD568" s="18">
        <f>IF(Pospago[[#This Row],[TARIFA_BASICA]]=11.42,1,0)</f>
        <v>0</v>
      </c>
      <c r="BE568" s="18">
        <f>IF(Pospago[[#This Row],[PLANES TELEVENTAS]]="SI",1,0)</f>
        <v>0</v>
      </c>
      <c r="BF568" s="18">
        <f>1</f>
        <v>1</v>
      </c>
      <c r="BG568" s="18">
        <f>IF(OR(Pospago[[#This Row],[TARIFA_BASICA]]=11.42,Pospago[[#This Row],[PLANES TELEVENTAS]]="SI"),1,0)</f>
        <v>0</v>
      </c>
      <c r="BH568" s="18" t="str">
        <f>IF(MID(Pospago[[#This Row],[PlanDesc]],1,4) = "PLAN","POSPAGO",IF(MID(Pospago[[#This Row],[PlanDesc]],1,4)="FULL","FULL MEGAS","PREVIOPAGO"))</f>
        <v>PREVIOPAGO</v>
      </c>
      <c r="BI5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8" s="21">
        <f>Pospago[[#This Row],[TARIFA_BASICA]]*1.5</f>
        <v>21.419999999999998</v>
      </c>
    </row>
    <row r="569" spans="1:63" x14ac:dyDescent="0.25">
      <c r="A569" s="18" t="s">
        <v>64</v>
      </c>
      <c r="B569" s="18" t="s">
        <v>3706</v>
      </c>
      <c r="C569" s="18" t="s">
        <v>3707</v>
      </c>
      <c r="D569" s="19">
        <v>44897</v>
      </c>
      <c r="E569" s="18" t="s">
        <v>67</v>
      </c>
      <c r="F569" s="18" t="s">
        <v>3708</v>
      </c>
      <c r="G569" s="18" t="s">
        <v>3709</v>
      </c>
      <c r="H569" s="18" t="s">
        <v>70</v>
      </c>
      <c r="I569" s="18" t="s">
        <v>2207</v>
      </c>
      <c r="J569" s="18" t="s">
        <v>2208</v>
      </c>
      <c r="K569" s="18" t="s">
        <v>507</v>
      </c>
      <c r="L569" s="20" t="s">
        <v>3710</v>
      </c>
      <c r="M569" s="18" t="s">
        <v>75</v>
      </c>
      <c r="N569" s="20" t="s">
        <v>3711</v>
      </c>
      <c r="O569" s="18" t="s">
        <v>77</v>
      </c>
      <c r="P569" s="18" t="s">
        <v>78</v>
      </c>
      <c r="Q569" s="19">
        <v>44914</v>
      </c>
      <c r="R569" s="21">
        <v>15</v>
      </c>
      <c r="S569" s="18" t="s">
        <v>79</v>
      </c>
      <c r="T569" s="18" t="s">
        <v>174</v>
      </c>
      <c r="U569" s="18" t="s">
        <v>83</v>
      </c>
      <c r="V569" s="18" t="s">
        <v>95</v>
      </c>
      <c r="W569" s="18" t="s">
        <v>83</v>
      </c>
      <c r="X569" s="18" t="s">
        <v>215</v>
      </c>
      <c r="Y569" s="18" t="s">
        <v>85</v>
      </c>
      <c r="Z569" s="18" t="s">
        <v>86</v>
      </c>
      <c r="AA569" s="18" t="s">
        <v>87</v>
      </c>
      <c r="AB569" s="18" t="s">
        <v>262</v>
      </c>
      <c r="AC569" s="18" t="s">
        <v>263</v>
      </c>
      <c r="AD569" s="18" t="s">
        <v>85</v>
      </c>
      <c r="AE569" s="18" t="s">
        <v>90</v>
      </c>
      <c r="AF569" s="18" t="s">
        <v>177</v>
      </c>
      <c r="AG569" s="18" t="s">
        <v>139</v>
      </c>
      <c r="AH569" s="18" t="s">
        <v>93</v>
      </c>
      <c r="AI569" s="18" t="s">
        <v>94</v>
      </c>
      <c r="AJ569" s="19">
        <v>44897</v>
      </c>
      <c r="AK569" s="22" t="s">
        <v>95</v>
      </c>
      <c r="AL569" s="18" t="s">
        <v>95</v>
      </c>
      <c r="AM569" s="18" t="s">
        <v>95</v>
      </c>
      <c r="AN569" s="18" t="s">
        <v>95</v>
      </c>
      <c r="AO569" s="18" t="s">
        <v>95</v>
      </c>
      <c r="AP569" s="18" t="s">
        <v>95</v>
      </c>
      <c r="AQ569" s="18" t="s">
        <v>95</v>
      </c>
      <c r="AR569" s="18" t="s">
        <v>95</v>
      </c>
      <c r="AS569" s="18" t="s">
        <v>83</v>
      </c>
      <c r="AT569" s="18" t="s">
        <v>95</v>
      </c>
      <c r="AU569" s="18" t="s">
        <v>95</v>
      </c>
      <c r="AV569" s="18" t="s">
        <v>95</v>
      </c>
      <c r="AW569" s="18" t="s">
        <v>95</v>
      </c>
      <c r="AX569" s="18"/>
      <c r="AY569" s="18" t="str">
        <f>Pospago[[#This Row],[NUM_TELEFONICO]]&amp;"POSPAGOSI"</f>
        <v>987540193POSPAGOSI</v>
      </c>
      <c r="AZ569" s="18" t="str">
        <f>VLOOKUP(Pospago[[#This Row],[NOM_PLAZA_FINAL]],[1]!Locales[#Data],3,0)</f>
        <v>TIENDA RECREO</v>
      </c>
      <c r="BA569" s="18" t="str">
        <f>IFERROR(VLOOKUP(Pospago[[#This Row],[USUARIO]],[1]!Personal[#Data],6,0),"EJECUTIVO NO REGISTRADO")</f>
        <v>CHICAIZA TOAPANTA ALEX DANILO</v>
      </c>
      <c r="BB569" s="18" t="str">
        <f>Pospago[[#This Row],[TIPO_MOVIMIENTO]]&amp;" "&amp;Pospago[[#This Row],[FORMA_PAGO_FINAL]]</f>
        <v>ALTAS DOMICILIADO</v>
      </c>
      <c r="BC569" s="18">
        <f>DAY(Pospago[[#This Row],[FECHA_ALTA]])</f>
        <v>2</v>
      </c>
      <c r="BD569" s="18">
        <f>IF(Pospago[[#This Row],[TARIFA_BASICA]]=11.42,1,0)</f>
        <v>0</v>
      </c>
      <c r="BE569" s="18">
        <f>IF(Pospago[[#This Row],[PLANES TELEVENTAS]]="SI",1,0)</f>
        <v>0</v>
      </c>
      <c r="BF569" s="18">
        <f>1</f>
        <v>1</v>
      </c>
      <c r="BG569" s="18">
        <f>IF(OR(Pospago[[#This Row],[TARIFA_BASICA]]=11.42,Pospago[[#This Row],[PLANES TELEVENTAS]]="SI"),1,0)</f>
        <v>0</v>
      </c>
      <c r="BH569" s="18" t="str">
        <f>IF(MID(Pospago[[#This Row],[PlanDesc]],1,4) = "PLAN","POSPAGO",IF(MID(Pospago[[#This Row],[PlanDesc]],1,4)="FULL","FULL MEGAS","PREVIOPAGO"))</f>
        <v>FULL MEGAS</v>
      </c>
      <c r="BI5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5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69" s="21">
        <f>Pospago[[#This Row],[TARIFA_BASICA]]*1.5</f>
        <v>22.5</v>
      </c>
    </row>
    <row r="570" spans="1:63" x14ac:dyDescent="0.25">
      <c r="A570" s="18" t="s">
        <v>64</v>
      </c>
      <c r="B570" s="18" t="s">
        <v>3712</v>
      </c>
      <c r="C570" s="18" t="s">
        <v>3713</v>
      </c>
      <c r="D570" s="19">
        <v>44912</v>
      </c>
      <c r="E570" s="18" t="s">
        <v>67</v>
      </c>
      <c r="F570" s="18" t="s">
        <v>3714</v>
      </c>
      <c r="G570" s="18" t="s">
        <v>3715</v>
      </c>
      <c r="H570" s="18" t="s">
        <v>70</v>
      </c>
      <c r="I570" s="18" t="s">
        <v>160</v>
      </c>
      <c r="J570" s="18" t="s">
        <v>195</v>
      </c>
      <c r="K570" s="18" t="s">
        <v>132</v>
      </c>
      <c r="L570" s="20" t="s">
        <v>3716</v>
      </c>
      <c r="M570" s="18" t="s">
        <v>75</v>
      </c>
      <c r="N570" s="20" t="s">
        <v>3717</v>
      </c>
      <c r="O570" s="18" t="s">
        <v>768</v>
      </c>
      <c r="P570" s="18" t="s">
        <v>78</v>
      </c>
      <c r="Q570" s="19">
        <v>44914</v>
      </c>
      <c r="R570" s="21">
        <v>14.28</v>
      </c>
      <c r="S570" s="18" t="s">
        <v>79</v>
      </c>
      <c r="T570" s="18" t="s">
        <v>174</v>
      </c>
      <c r="U570" s="18" t="s">
        <v>83</v>
      </c>
      <c r="V570" s="18" t="s">
        <v>95</v>
      </c>
      <c r="W570" s="18" t="s">
        <v>83</v>
      </c>
      <c r="X570" s="18" t="s">
        <v>84</v>
      </c>
      <c r="Y570" s="18" t="s">
        <v>85</v>
      </c>
      <c r="Z570" s="18" t="s">
        <v>86</v>
      </c>
      <c r="AA570" s="18" t="s">
        <v>87</v>
      </c>
      <c r="AB570" s="18" t="s">
        <v>396</v>
      </c>
      <c r="AC570" s="18" t="s">
        <v>397</v>
      </c>
      <c r="AD570" s="18" t="s">
        <v>85</v>
      </c>
      <c r="AE570" s="18" t="s">
        <v>90</v>
      </c>
      <c r="AF570" s="18" t="s">
        <v>177</v>
      </c>
      <c r="AG570" s="18" t="s">
        <v>139</v>
      </c>
      <c r="AH570" s="18" t="s">
        <v>93</v>
      </c>
      <c r="AI570" s="18" t="s">
        <v>94</v>
      </c>
      <c r="AJ570" s="19">
        <v>44912</v>
      </c>
      <c r="AK570" s="22" t="s">
        <v>95</v>
      </c>
      <c r="AL570" s="18" t="s">
        <v>95</v>
      </c>
      <c r="AM570" s="18" t="s">
        <v>95</v>
      </c>
      <c r="AN570" s="18" t="s">
        <v>95</v>
      </c>
      <c r="AO570" s="18" t="s">
        <v>95</v>
      </c>
      <c r="AP570" s="18" t="s">
        <v>95</v>
      </c>
      <c r="AQ570" s="18" t="s">
        <v>95</v>
      </c>
      <c r="AR570" s="18" t="s">
        <v>95</v>
      </c>
      <c r="AS570" s="18" t="s">
        <v>83</v>
      </c>
      <c r="AT570" s="18" t="s">
        <v>83</v>
      </c>
      <c r="AU570" s="18" t="s">
        <v>81</v>
      </c>
      <c r="AV570" s="18" t="s">
        <v>95</v>
      </c>
      <c r="AW570" s="18" t="s">
        <v>95</v>
      </c>
      <c r="AX570" s="18"/>
      <c r="AY570" s="18" t="str">
        <f>Pospago[[#This Row],[NUM_TELEFONICO]]&amp;"POSPAGOSI"</f>
        <v>987556718POSPAGOSI</v>
      </c>
      <c r="AZ570" s="18" t="str">
        <f>VLOOKUP(Pospago[[#This Row],[NOM_PLAZA_FINAL]],[1]!Locales[#Data],3,0)</f>
        <v>TIENDA RECREO</v>
      </c>
      <c r="BA570" s="18" t="str">
        <f>IFERROR(VLOOKUP(Pospago[[#This Row],[USUARIO]],[1]!Personal[#Data],6,0),"EJECUTIVO NO REGISTRADO")</f>
        <v>VINUEZA VELASCO ANGY DAYANA</v>
      </c>
      <c r="BB570" s="18" t="str">
        <f>Pospago[[#This Row],[TIPO_MOVIMIENTO]]&amp;" "&amp;Pospago[[#This Row],[FORMA_PAGO_FINAL]]</f>
        <v>ALTAS DOMICILIADO</v>
      </c>
      <c r="BC570" s="18">
        <f>DAY(Pospago[[#This Row],[FECHA_ALTA]])</f>
        <v>17</v>
      </c>
      <c r="BD570" s="18">
        <f>IF(Pospago[[#This Row],[TARIFA_BASICA]]=11.42,1,0)</f>
        <v>0</v>
      </c>
      <c r="BE570" s="18">
        <f>IF(Pospago[[#This Row],[PLANES TELEVENTAS]]="SI",1,0)</f>
        <v>0</v>
      </c>
      <c r="BF570" s="18">
        <f>1</f>
        <v>1</v>
      </c>
      <c r="BG570" s="18">
        <f>IF(OR(Pospago[[#This Row],[TARIFA_BASICA]]=11.42,Pospago[[#This Row],[PLANES TELEVENTAS]]="SI"),1,0)</f>
        <v>0</v>
      </c>
      <c r="BH570" s="18" t="str">
        <f>IF(MID(Pospago[[#This Row],[PlanDesc]],1,4) = "PLAN","POSPAGO",IF(MID(Pospago[[#This Row],[PlanDesc]],1,4)="FULL","FULL MEGAS","PREVIOPAGO"))</f>
        <v>PREVIOPAGO</v>
      </c>
      <c r="BI5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0" s="21">
        <f>Pospago[[#This Row],[TARIFA_BASICA]]*1.5</f>
        <v>21.419999999999998</v>
      </c>
    </row>
    <row r="571" spans="1:63" x14ac:dyDescent="0.25">
      <c r="A571" s="18" t="s">
        <v>154</v>
      </c>
      <c r="B571" s="18" t="s">
        <v>3718</v>
      </c>
      <c r="C571" s="18" t="s">
        <v>3719</v>
      </c>
      <c r="D571" s="19">
        <v>44898</v>
      </c>
      <c r="E571" s="18" t="s">
        <v>67</v>
      </c>
      <c r="F571" s="18" t="s">
        <v>3720</v>
      </c>
      <c r="G571" s="18" t="s">
        <v>3721</v>
      </c>
      <c r="H571" s="18" t="s">
        <v>159</v>
      </c>
      <c r="I571" s="18" t="s">
        <v>112</v>
      </c>
      <c r="J571" s="18" t="s">
        <v>781</v>
      </c>
      <c r="K571" s="18" t="s">
        <v>1949</v>
      </c>
      <c r="L571" s="20" t="s">
        <v>3722</v>
      </c>
      <c r="M571" s="18" t="s">
        <v>287</v>
      </c>
      <c r="N571" s="20" t="s">
        <v>3723</v>
      </c>
      <c r="O571" s="18" t="s">
        <v>164</v>
      </c>
      <c r="P571" s="18" t="s">
        <v>78</v>
      </c>
      <c r="Q571" s="19">
        <v>44914</v>
      </c>
      <c r="R571" s="21">
        <v>17.850000000000001</v>
      </c>
      <c r="S571" s="18" t="s">
        <v>79</v>
      </c>
      <c r="T571" s="18" t="s">
        <v>232</v>
      </c>
      <c r="U571" s="18" t="s">
        <v>83</v>
      </c>
      <c r="V571" s="18" t="s">
        <v>95</v>
      </c>
      <c r="W571" s="18" t="s">
        <v>95</v>
      </c>
      <c r="X571" s="18" t="s">
        <v>84</v>
      </c>
      <c r="Y571" s="18" t="s">
        <v>85</v>
      </c>
      <c r="Z571" s="18" t="s">
        <v>86</v>
      </c>
      <c r="AA571" s="18" t="s">
        <v>87</v>
      </c>
      <c r="AB571" s="18" t="s">
        <v>769</v>
      </c>
      <c r="AC571" s="18" t="s">
        <v>770</v>
      </c>
      <c r="AD571" s="18" t="s">
        <v>85</v>
      </c>
      <c r="AE571" s="18" t="s">
        <v>90</v>
      </c>
      <c r="AF571" s="18" t="s">
        <v>235</v>
      </c>
      <c r="AG571" s="18" t="s">
        <v>139</v>
      </c>
      <c r="AH571" s="18" t="s">
        <v>165</v>
      </c>
      <c r="AI571" s="18" t="s">
        <v>94</v>
      </c>
      <c r="AJ571" s="19">
        <v>44898</v>
      </c>
      <c r="AK571" s="22" t="s">
        <v>95</v>
      </c>
      <c r="AL571" s="18" t="s">
        <v>95</v>
      </c>
      <c r="AM571" s="18" t="s">
        <v>95</v>
      </c>
      <c r="AN571" s="18" t="s">
        <v>95</v>
      </c>
      <c r="AO571" s="18" t="s">
        <v>95</v>
      </c>
      <c r="AP571" s="18" t="s">
        <v>95</v>
      </c>
      <c r="AQ571" s="18" t="s">
        <v>95</v>
      </c>
      <c r="AR571" s="18" t="s">
        <v>95</v>
      </c>
      <c r="AS571" s="18" t="s">
        <v>83</v>
      </c>
      <c r="AT571" s="18" t="s">
        <v>83</v>
      </c>
      <c r="AU571" s="18" t="s">
        <v>81</v>
      </c>
      <c r="AV571" s="18" t="s">
        <v>95</v>
      </c>
      <c r="AW571" s="18" t="s">
        <v>95</v>
      </c>
      <c r="AX571" s="18"/>
      <c r="AY571" s="18" t="str">
        <f>Pospago[[#This Row],[NUM_TELEFONICO]]&amp;"POSPAGOSI"</f>
        <v>987564816POSPAGOSI</v>
      </c>
      <c r="AZ571" s="18" t="str">
        <f>VLOOKUP(Pospago[[#This Row],[NOM_PLAZA_FINAL]],[1]!Locales[#Data],3,0)</f>
        <v>TIENDA CONDADO</v>
      </c>
      <c r="BA571" s="18" t="str">
        <f>IFERROR(VLOOKUP(Pospago[[#This Row],[USUARIO]],[1]!Personal[#Data],6,0),"EJECUTIVO NO REGISTRADO")</f>
        <v>ROJAS VEGA JHOSMERY MICHELE</v>
      </c>
      <c r="BB571" s="18" t="str">
        <f>Pospago[[#This Row],[TIPO_MOVIMIENTO]]&amp;" "&amp;Pospago[[#This Row],[FORMA_PAGO_FINAL]]</f>
        <v>TRANSFERENCIAS DOMICILIADO</v>
      </c>
      <c r="BC571" s="18">
        <f>DAY(Pospago[[#This Row],[FECHA_ALTA]])</f>
        <v>3</v>
      </c>
      <c r="BD571" s="18">
        <f>IF(Pospago[[#This Row],[TARIFA_BASICA]]=11.42,1,0)</f>
        <v>0</v>
      </c>
      <c r="BE571" s="18">
        <f>IF(Pospago[[#This Row],[PLANES TELEVENTAS]]="SI",1,0)</f>
        <v>0</v>
      </c>
      <c r="BF571" s="18">
        <f>1</f>
        <v>1</v>
      </c>
      <c r="BG571" s="18">
        <f>IF(OR(Pospago[[#This Row],[TARIFA_BASICA]]=11.42,Pospago[[#This Row],[PLANES TELEVENTAS]]="SI"),1,0)</f>
        <v>0</v>
      </c>
      <c r="BH571" s="18" t="str">
        <f>IF(MID(Pospago[[#This Row],[PlanDesc]],1,4) = "PLAN","POSPAGO",IF(MID(Pospago[[#This Row],[PlanDesc]],1,4)="FULL","FULL MEGAS","PREVIOPAGO"))</f>
        <v>PREVIOPAGO</v>
      </c>
      <c r="BI5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5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1" s="21">
        <f>Pospago[[#This Row],[TARIFA_BASICA]]*1.5</f>
        <v>26.775000000000002</v>
      </c>
    </row>
    <row r="572" spans="1:63" x14ac:dyDescent="0.25">
      <c r="A572" s="18" t="s">
        <v>154</v>
      </c>
      <c r="B572" s="18" t="s">
        <v>3724</v>
      </c>
      <c r="C572" s="18" t="s">
        <v>3725</v>
      </c>
      <c r="D572" s="19">
        <v>44899</v>
      </c>
      <c r="E572" s="18" t="s">
        <v>67</v>
      </c>
      <c r="F572" s="18" t="s">
        <v>3726</v>
      </c>
      <c r="G572" s="18" t="s">
        <v>3727</v>
      </c>
      <c r="H572" s="18" t="s">
        <v>159</v>
      </c>
      <c r="I572" s="18" t="s">
        <v>160</v>
      </c>
      <c r="J572" s="18" t="s">
        <v>161</v>
      </c>
      <c r="K572" s="18" t="s">
        <v>95</v>
      </c>
      <c r="L572" s="20" t="s">
        <v>3728</v>
      </c>
      <c r="M572" s="18" t="s">
        <v>75</v>
      </c>
      <c r="N572" s="20" t="s">
        <v>3729</v>
      </c>
      <c r="O572" s="18" t="s">
        <v>164</v>
      </c>
      <c r="P572" s="18" t="s">
        <v>78</v>
      </c>
      <c r="Q572" s="19">
        <v>44914</v>
      </c>
      <c r="R572" s="21">
        <v>14.28</v>
      </c>
      <c r="S572" s="18" t="s">
        <v>79</v>
      </c>
      <c r="T572" s="18" t="s">
        <v>174</v>
      </c>
      <c r="U572" s="18" t="s">
        <v>83</v>
      </c>
      <c r="V572" s="18" t="s">
        <v>95</v>
      </c>
      <c r="W572" s="18" t="s">
        <v>95</v>
      </c>
      <c r="X572" s="18" t="s">
        <v>118</v>
      </c>
      <c r="Y572" s="18" t="s">
        <v>85</v>
      </c>
      <c r="Z572" s="18" t="s">
        <v>86</v>
      </c>
      <c r="AA572" s="18" t="s">
        <v>119</v>
      </c>
      <c r="AB572" s="18" t="s">
        <v>369</v>
      </c>
      <c r="AC572" s="18" t="s">
        <v>370</v>
      </c>
      <c r="AD572" s="18" t="s">
        <v>85</v>
      </c>
      <c r="AE572" s="18" t="s">
        <v>90</v>
      </c>
      <c r="AF572" s="18" t="s">
        <v>177</v>
      </c>
      <c r="AG572" s="18" t="s">
        <v>139</v>
      </c>
      <c r="AH572" s="18" t="s">
        <v>165</v>
      </c>
      <c r="AI572" s="18" t="s">
        <v>94</v>
      </c>
      <c r="AJ572" s="19">
        <v>44899</v>
      </c>
      <c r="AK572" s="22" t="s">
        <v>95</v>
      </c>
      <c r="AL572" s="18" t="s">
        <v>95</v>
      </c>
      <c r="AM572" s="18" t="s">
        <v>95</v>
      </c>
      <c r="AN572" s="18" t="s">
        <v>95</v>
      </c>
      <c r="AO572" s="18" t="s">
        <v>95</v>
      </c>
      <c r="AP572" s="18" t="s">
        <v>95</v>
      </c>
      <c r="AQ572" s="18" t="s">
        <v>95</v>
      </c>
      <c r="AR572" s="18" t="s">
        <v>95</v>
      </c>
      <c r="AS572" s="18" t="s">
        <v>83</v>
      </c>
      <c r="AT572" s="18" t="s">
        <v>83</v>
      </c>
      <c r="AU572" s="18" t="s">
        <v>81</v>
      </c>
      <c r="AV572" s="18" t="s">
        <v>95</v>
      </c>
      <c r="AW572" s="18" t="s">
        <v>95</v>
      </c>
      <c r="AX572" s="18"/>
      <c r="AY572" s="18" t="str">
        <f>Pospago[[#This Row],[NUM_TELEFONICO]]&amp;"POSPAGOSI"</f>
        <v>987581440POSPAGOSI</v>
      </c>
      <c r="AZ572" s="18" t="str">
        <f>VLOOKUP(Pospago[[#This Row],[NOM_PLAZA_FINAL]],[1]!Locales[#Data],3,0)</f>
        <v>TIENDA RECREO</v>
      </c>
      <c r="BA572" s="18" t="str">
        <f>IFERROR(VLOOKUP(Pospago[[#This Row],[USUARIO]],[1]!Personal[#Data],6,0),"EJECUTIVO NO REGISTRADO")</f>
        <v>GUAIGUA REINOSO GENESIS CAROLINA</v>
      </c>
      <c r="BB572" s="18" t="str">
        <f>Pospago[[#This Row],[TIPO_MOVIMIENTO]]&amp;" "&amp;Pospago[[#This Row],[FORMA_PAGO_FINAL]]</f>
        <v>TRANSFERENCIAS PAGO EN CAJA</v>
      </c>
      <c r="BC572" s="18">
        <f>DAY(Pospago[[#This Row],[FECHA_ALTA]])</f>
        <v>4</v>
      </c>
      <c r="BD572" s="18">
        <f>IF(Pospago[[#This Row],[TARIFA_BASICA]]=11.42,1,0)</f>
        <v>0</v>
      </c>
      <c r="BE572" s="18">
        <f>IF(Pospago[[#This Row],[PLANES TELEVENTAS]]="SI",1,0)</f>
        <v>0</v>
      </c>
      <c r="BF572" s="18">
        <f>1</f>
        <v>1</v>
      </c>
      <c r="BG572" s="18">
        <f>IF(OR(Pospago[[#This Row],[TARIFA_BASICA]]=11.42,Pospago[[#This Row],[PLANES TELEVENTAS]]="SI"),1,0)</f>
        <v>0</v>
      </c>
      <c r="BH572" s="18" t="str">
        <f>IF(MID(Pospago[[#This Row],[PlanDesc]],1,4) = "PLAN","POSPAGO",IF(MID(Pospago[[#This Row],[PlanDesc]],1,4)="FULL","FULL MEGAS","PREVIOPAGO"))</f>
        <v>PREVIOPAGO</v>
      </c>
      <c r="BI5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2" s="21">
        <f>Pospago[[#This Row],[TARIFA_BASICA]]*1.5</f>
        <v>21.419999999999998</v>
      </c>
    </row>
    <row r="573" spans="1:63" x14ac:dyDescent="0.25">
      <c r="A573" s="18" t="s">
        <v>154</v>
      </c>
      <c r="B573" s="18" t="s">
        <v>3730</v>
      </c>
      <c r="C573" s="18" t="s">
        <v>3731</v>
      </c>
      <c r="D573" s="19">
        <v>44910</v>
      </c>
      <c r="E573" s="18" t="s">
        <v>67</v>
      </c>
      <c r="F573" s="18" t="s">
        <v>3732</v>
      </c>
      <c r="G573" s="18" t="s">
        <v>3733</v>
      </c>
      <c r="H573" s="18" t="s">
        <v>159</v>
      </c>
      <c r="I573" s="18" t="s">
        <v>130</v>
      </c>
      <c r="J573" s="18" t="s">
        <v>433</v>
      </c>
      <c r="K573" s="18" t="s">
        <v>132</v>
      </c>
      <c r="L573" s="20" t="s">
        <v>3734</v>
      </c>
      <c r="M573" s="18" t="s">
        <v>75</v>
      </c>
      <c r="N573" s="20" t="s">
        <v>3735</v>
      </c>
      <c r="O573" s="18" t="s">
        <v>164</v>
      </c>
      <c r="P573" s="18" t="s">
        <v>78</v>
      </c>
      <c r="Q573" s="19">
        <v>44914</v>
      </c>
      <c r="R573" s="21">
        <v>15</v>
      </c>
      <c r="S573" s="18" t="s">
        <v>79</v>
      </c>
      <c r="T573" s="18" t="s">
        <v>135</v>
      </c>
      <c r="U573" s="18" t="s">
        <v>83</v>
      </c>
      <c r="V573" s="18" t="s">
        <v>95</v>
      </c>
      <c r="W573" s="18" t="s">
        <v>95</v>
      </c>
      <c r="X573" s="18" t="s">
        <v>118</v>
      </c>
      <c r="Y573" s="18" t="s">
        <v>85</v>
      </c>
      <c r="Z573" s="18" t="s">
        <v>86</v>
      </c>
      <c r="AA573" s="18" t="s">
        <v>119</v>
      </c>
      <c r="AB573" s="18" t="s">
        <v>665</v>
      </c>
      <c r="AC573" s="18" t="s">
        <v>666</v>
      </c>
      <c r="AD573" s="18" t="s">
        <v>85</v>
      </c>
      <c r="AE573" s="18" t="s">
        <v>90</v>
      </c>
      <c r="AF573" s="18" t="s">
        <v>138</v>
      </c>
      <c r="AG573" s="18" t="s">
        <v>139</v>
      </c>
      <c r="AH573" s="18" t="s">
        <v>165</v>
      </c>
      <c r="AI573" s="18" t="s">
        <v>94</v>
      </c>
      <c r="AJ573" s="19">
        <v>44910</v>
      </c>
      <c r="AK573" s="22" t="s">
        <v>95</v>
      </c>
      <c r="AL573" s="18" t="s">
        <v>95</v>
      </c>
      <c r="AM573" s="18" t="s">
        <v>95</v>
      </c>
      <c r="AN573" s="18" t="s">
        <v>95</v>
      </c>
      <c r="AO573" s="18" t="s">
        <v>95</v>
      </c>
      <c r="AP573" s="18" t="s">
        <v>95</v>
      </c>
      <c r="AQ573" s="18" t="s">
        <v>95</v>
      </c>
      <c r="AR573" s="18" t="s">
        <v>95</v>
      </c>
      <c r="AS573" s="18" t="s">
        <v>83</v>
      </c>
      <c r="AT573" s="18" t="s">
        <v>83</v>
      </c>
      <c r="AU573" s="18" t="s">
        <v>81</v>
      </c>
      <c r="AV573" s="18" t="s">
        <v>95</v>
      </c>
      <c r="AW573" s="18" t="s">
        <v>95</v>
      </c>
      <c r="AX573" s="18"/>
      <c r="AY573" s="18" t="str">
        <f>Pospago[[#This Row],[NUM_TELEFONICO]]&amp;"POSPAGOSI"</f>
        <v>987582539POSPAGOSI</v>
      </c>
      <c r="AZ573" s="18" t="str">
        <f>VLOOKUP(Pospago[[#This Row],[NOM_PLAZA_FINAL]],[1]!Locales[#Data],3,0)</f>
        <v>TIENDA AMERICA</v>
      </c>
      <c r="BA573" s="18" t="str">
        <f>IFERROR(VLOOKUP(Pospago[[#This Row],[USUARIO]],[1]!Personal[#Data],6,0),"EJECUTIVO NO REGISTRADO")</f>
        <v>ROSERO CAICEDO JAIRO STEFANO</v>
      </c>
      <c r="BB573" s="18" t="str">
        <f>Pospago[[#This Row],[TIPO_MOVIMIENTO]]&amp;" "&amp;Pospago[[#This Row],[FORMA_PAGO_FINAL]]</f>
        <v>TRANSFERENCIAS PAGO EN CAJA</v>
      </c>
      <c r="BC573" s="18">
        <f>DAY(Pospago[[#This Row],[FECHA_ALTA]])</f>
        <v>15</v>
      </c>
      <c r="BD573" s="18">
        <f>IF(Pospago[[#This Row],[TARIFA_BASICA]]=11.42,1,0)</f>
        <v>0</v>
      </c>
      <c r="BE573" s="18">
        <f>IF(Pospago[[#This Row],[PLANES TELEVENTAS]]="SI",1,0)</f>
        <v>0</v>
      </c>
      <c r="BF573" s="18">
        <f>1</f>
        <v>1</v>
      </c>
      <c r="BG573" s="18">
        <f>IF(OR(Pospago[[#This Row],[TARIFA_BASICA]]=11.42,Pospago[[#This Row],[PLANES TELEVENTAS]]="SI"),1,0)</f>
        <v>0</v>
      </c>
      <c r="BH573" s="18" t="str">
        <f>IF(MID(Pospago[[#This Row],[PlanDesc]],1,4) = "PLAN","POSPAGO",IF(MID(Pospago[[#This Row],[PlanDesc]],1,4)="FULL","FULL MEGAS","PREVIOPAGO"))</f>
        <v>PREVIOPAGO</v>
      </c>
      <c r="BI5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5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3" s="21">
        <f>Pospago[[#This Row],[TARIFA_BASICA]]*1.5</f>
        <v>22.5</v>
      </c>
    </row>
    <row r="574" spans="1:63" x14ac:dyDescent="0.25">
      <c r="A574" s="18" t="s">
        <v>64</v>
      </c>
      <c r="B574" s="18" t="s">
        <v>3736</v>
      </c>
      <c r="C574" s="18" t="s">
        <v>3737</v>
      </c>
      <c r="D574" s="19">
        <v>44909</v>
      </c>
      <c r="E574" s="18" t="s">
        <v>67</v>
      </c>
      <c r="F574" s="18" t="s">
        <v>3738</v>
      </c>
      <c r="G574" s="18" t="s">
        <v>3739</v>
      </c>
      <c r="H574" s="18" t="s">
        <v>70</v>
      </c>
      <c r="I574" s="18" t="s">
        <v>112</v>
      </c>
      <c r="J574" s="18" t="s">
        <v>113</v>
      </c>
      <c r="K574" s="18" t="s">
        <v>73</v>
      </c>
      <c r="L574" s="20" t="s">
        <v>3740</v>
      </c>
      <c r="M574" s="18" t="s">
        <v>75</v>
      </c>
      <c r="N574" s="20" t="s">
        <v>3741</v>
      </c>
      <c r="O574" s="18" t="s">
        <v>77</v>
      </c>
      <c r="P574" s="18" t="s">
        <v>78</v>
      </c>
      <c r="Q574" s="19">
        <v>44914</v>
      </c>
      <c r="R574" s="21">
        <v>17.850000000000001</v>
      </c>
      <c r="S574" s="18" t="s">
        <v>79</v>
      </c>
      <c r="T574" s="18" t="s">
        <v>148</v>
      </c>
      <c r="U574" s="18" t="s">
        <v>83</v>
      </c>
      <c r="V574" s="18" t="s">
        <v>95</v>
      </c>
      <c r="W574" s="18" t="s">
        <v>83</v>
      </c>
      <c r="X574" s="18" t="s">
        <v>84</v>
      </c>
      <c r="Y574" s="18" t="s">
        <v>85</v>
      </c>
      <c r="Z574" s="18" t="s">
        <v>86</v>
      </c>
      <c r="AA574" s="18" t="s">
        <v>87</v>
      </c>
      <c r="AB574" s="18" t="s">
        <v>149</v>
      </c>
      <c r="AC574" s="18" t="s">
        <v>150</v>
      </c>
      <c r="AD574" s="18" t="s">
        <v>85</v>
      </c>
      <c r="AE574" s="18" t="s">
        <v>90</v>
      </c>
      <c r="AF574" s="18" t="s">
        <v>151</v>
      </c>
      <c r="AG574" s="18" t="s">
        <v>92</v>
      </c>
      <c r="AH574" s="18" t="s">
        <v>93</v>
      </c>
      <c r="AI574" s="18" t="s">
        <v>94</v>
      </c>
      <c r="AJ574" s="19">
        <v>44909</v>
      </c>
      <c r="AK574" s="22" t="s">
        <v>95</v>
      </c>
      <c r="AL574" s="18" t="s">
        <v>95</v>
      </c>
      <c r="AM574" s="18" t="s">
        <v>95</v>
      </c>
      <c r="AN574" s="18" t="s">
        <v>95</v>
      </c>
      <c r="AO574" s="18" t="s">
        <v>95</v>
      </c>
      <c r="AP574" s="18" t="s">
        <v>95</v>
      </c>
      <c r="AQ574" s="18" t="s">
        <v>95</v>
      </c>
      <c r="AR574" s="18" t="s">
        <v>95</v>
      </c>
      <c r="AS574" s="18" t="s">
        <v>83</v>
      </c>
      <c r="AT574" s="18" t="s">
        <v>83</v>
      </c>
      <c r="AU574" s="18" t="s">
        <v>81</v>
      </c>
      <c r="AV574" s="18" t="s">
        <v>95</v>
      </c>
      <c r="AW574" s="18" t="s">
        <v>95</v>
      </c>
      <c r="AX574" s="18"/>
      <c r="AY574" s="18" t="str">
        <f>Pospago[[#This Row],[NUM_TELEFONICO]]&amp;"POSPAGOSI"</f>
        <v>987593751POSPAGOSI</v>
      </c>
      <c r="AZ574" s="18" t="str">
        <f>VLOOKUP(Pospago[[#This Row],[NOM_PLAZA_FINAL]],[1]!Locales[#Data],3,0)</f>
        <v>TIENDA CUENCA REMIGIO</v>
      </c>
      <c r="BA574" s="18" t="str">
        <f>IFERROR(VLOOKUP(Pospago[[#This Row],[USUARIO]],[1]!Personal[#Data],6,0),"EJECUTIVO NO REGISTRADO")</f>
        <v>OSORIO TEJADA ANA ESTEFANIA</v>
      </c>
      <c r="BB574" s="18" t="str">
        <f>Pospago[[#This Row],[TIPO_MOVIMIENTO]]&amp;" "&amp;Pospago[[#This Row],[FORMA_PAGO_FINAL]]</f>
        <v>ALTAS DOMICILIADO</v>
      </c>
      <c r="BC574" s="18">
        <f>DAY(Pospago[[#This Row],[FECHA_ALTA]])</f>
        <v>14</v>
      </c>
      <c r="BD574" s="18">
        <f>IF(Pospago[[#This Row],[TARIFA_BASICA]]=11.42,1,0)</f>
        <v>0</v>
      </c>
      <c r="BE574" s="18">
        <f>IF(Pospago[[#This Row],[PLANES TELEVENTAS]]="SI",1,0)</f>
        <v>0</v>
      </c>
      <c r="BF574" s="18">
        <f>1</f>
        <v>1</v>
      </c>
      <c r="BG574" s="18">
        <f>IF(OR(Pospago[[#This Row],[TARIFA_BASICA]]=11.42,Pospago[[#This Row],[PLANES TELEVENTAS]]="SI"),1,0)</f>
        <v>0</v>
      </c>
      <c r="BH574" s="18" t="str">
        <f>IF(MID(Pospago[[#This Row],[PlanDesc]],1,4) = "PLAN","POSPAGO",IF(MID(Pospago[[#This Row],[PlanDesc]],1,4)="FULL","FULL MEGAS","PREVIOPAGO"))</f>
        <v>PREVIOPAGO</v>
      </c>
      <c r="BI5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5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4" s="21">
        <f>Pospago[[#This Row],[TARIFA_BASICA]]*1.5</f>
        <v>26.775000000000002</v>
      </c>
    </row>
    <row r="575" spans="1:63" x14ac:dyDescent="0.25">
      <c r="A575" s="18" t="s">
        <v>64</v>
      </c>
      <c r="B575" s="18" t="s">
        <v>3742</v>
      </c>
      <c r="C575" s="18" t="s">
        <v>3743</v>
      </c>
      <c r="D575" s="19">
        <v>44902</v>
      </c>
      <c r="E575" s="18" t="s">
        <v>67</v>
      </c>
      <c r="F575" s="18" t="s">
        <v>3744</v>
      </c>
      <c r="G575" s="18" t="s">
        <v>3745</v>
      </c>
      <c r="H575" s="18" t="s">
        <v>70</v>
      </c>
      <c r="I575" s="18" t="s">
        <v>606</v>
      </c>
      <c r="J575" s="18" t="s">
        <v>607</v>
      </c>
      <c r="K575" s="18" t="s">
        <v>73</v>
      </c>
      <c r="L575" s="20" t="s">
        <v>3746</v>
      </c>
      <c r="M575" s="18" t="s">
        <v>75</v>
      </c>
      <c r="N575" s="20" t="s">
        <v>3747</v>
      </c>
      <c r="O575" s="18" t="s">
        <v>77</v>
      </c>
      <c r="P575" s="18" t="s">
        <v>78</v>
      </c>
      <c r="Q575" s="19">
        <v>44914</v>
      </c>
      <c r="R575" s="21">
        <v>26.78</v>
      </c>
      <c r="S575" s="18" t="s">
        <v>79</v>
      </c>
      <c r="T575" s="18" t="s">
        <v>80</v>
      </c>
      <c r="U575" s="18" t="s">
        <v>81</v>
      </c>
      <c r="V575" s="18" t="s">
        <v>693</v>
      </c>
      <c r="W575" s="18" t="s">
        <v>83</v>
      </c>
      <c r="X575" s="18" t="s">
        <v>215</v>
      </c>
      <c r="Y575" s="18" t="s">
        <v>85</v>
      </c>
      <c r="Z575" s="18" t="s">
        <v>86</v>
      </c>
      <c r="AA575" s="18" t="s">
        <v>87</v>
      </c>
      <c r="AB575" s="18" t="s">
        <v>1020</v>
      </c>
      <c r="AC575" s="18" t="s">
        <v>1021</v>
      </c>
      <c r="AD575" s="18" t="s">
        <v>85</v>
      </c>
      <c r="AE575" s="18" t="s">
        <v>90</v>
      </c>
      <c r="AF575" s="18" t="s">
        <v>91</v>
      </c>
      <c r="AG575" s="18" t="s">
        <v>92</v>
      </c>
      <c r="AH575" s="18" t="s">
        <v>93</v>
      </c>
      <c r="AI575" s="18" t="s">
        <v>94</v>
      </c>
      <c r="AJ575" s="19">
        <v>44902</v>
      </c>
      <c r="AK575" s="22" t="s">
        <v>95</v>
      </c>
      <c r="AL575" s="18" t="s">
        <v>95</v>
      </c>
      <c r="AM575" s="18" t="s">
        <v>95</v>
      </c>
      <c r="AN575" s="18" t="s">
        <v>95</v>
      </c>
      <c r="AO575" s="18" t="s">
        <v>95</v>
      </c>
      <c r="AP575" s="18" t="s">
        <v>95</v>
      </c>
      <c r="AQ575" s="18" t="s">
        <v>95</v>
      </c>
      <c r="AR575" s="18" t="s">
        <v>95</v>
      </c>
      <c r="AS575" s="18" t="s">
        <v>83</v>
      </c>
      <c r="AT575" s="18" t="s">
        <v>83</v>
      </c>
      <c r="AU575" s="18" t="s">
        <v>81</v>
      </c>
      <c r="AV575" s="18" t="s">
        <v>95</v>
      </c>
      <c r="AW575" s="18" t="s">
        <v>95</v>
      </c>
      <c r="AX575" s="18"/>
      <c r="AY575" s="18" t="str">
        <f>Pospago[[#This Row],[NUM_TELEFONICO]]&amp;"POSPAGOSI"</f>
        <v>987595190POSPAGOSI</v>
      </c>
      <c r="AZ575" s="18" t="str">
        <f>VLOOKUP(Pospago[[#This Row],[NOM_PLAZA_FINAL]],[1]!Locales[#Data],3,0)</f>
        <v>TIENDA CUENCA CENTRO</v>
      </c>
      <c r="BA575" s="18" t="str">
        <f>IFERROR(VLOOKUP(Pospago[[#This Row],[USUARIO]],[1]!Personal[#Data],6,0),"EJECUTIVO NO REGISTRADO")</f>
        <v>GONZALES ALVARRACIN PAOLA YESSENIA</v>
      </c>
      <c r="BB575" s="18" t="str">
        <f>Pospago[[#This Row],[TIPO_MOVIMIENTO]]&amp;" "&amp;Pospago[[#This Row],[FORMA_PAGO_FINAL]]</f>
        <v>ALTAS DOMICILIADO</v>
      </c>
      <c r="BC575" s="18">
        <f>DAY(Pospago[[#This Row],[FECHA_ALTA]])</f>
        <v>7</v>
      </c>
      <c r="BD575" s="18">
        <f>IF(Pospago[[#This Row],[TARIFA_BASICA]]=11.42,1,0)</f>
        <v>0</v>
      </c>
      <c r="BE575" s="18">
        <f>IF(Pospago[[#This Row],[PLANES TELEVENTAS]]="SI",1,0)</f>
        <v>0</v>
      </c>
      <c r="BF575" s="18">
        <f>1</f>
        <v>1</v>
      </c>
      <c r="BG575" s="18">
        <f>IF(OR(Pospago[[#This Row],[TARIFA_BASICA]]=11.42,Pospago[[#This Row],[PLANES TELEVENTAS]]="SI"),1,0)</f>
        <v>0</v>
      </c>
      <c r="BH575" s="18" t="str">
        <f>IF(MID(Pospago[[#This Row],[PlanDesc]],1,4) = "PLAN","POSPAGO",IF(MID(Pospago[[#This Row],[PlanDesc]],1,4)="FULL","FULL MEGAS","PREVIOPAGO"))</f>
        <v>PREVIOPAGO</v>
      </c>
      <c r="BI5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5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5" s="21">
        <f>Pospago[[#This Row],[TARIFA_BASICA]]*1.5</f>
        <v>40.17</v>
      </c>
    </row>
    <row r="576" spans="1:63" x14ac:dyDescent="0.25">
      <c r="A576" s="18" t="s">
        <v>64</v>
      </c>
      <c r="B576" s="18" t="s">
        <v>3748</v>
      </c>
      <c r="C576" s="18" t="s">
        <v>3749</v>
      </c>
      <c r="D576" s="19">
        <v>44904</v>
      </c>
      <c r="E576" s="18" t="s">
        <v>67</v>
      </c>
      <c r="F576" s="18" t="s">
        <v>3750</v>
      </c>
      <c r="G576" s="18" t="s">
        <v>3751</v>
      </c>
      <c r="H576" s="18" t="s">
        <v>70</v>
      </c>
      <c r="I576" s="18" t="s">
        <v>211</v>
      </c>
      <c r="J576" s="18" t="s">
        <v>212</v>
      </c>
      <c r="K576" s="18" t="s">
        <v>95</v>
      </c>
      <c r="L576" s="20" t="s">
        <v>3752</v>
      </c>
      <c r="M576" s="18" t="s">
        <v>287</v>
      </c>
      <c r="N576" s="20" t="s">
        <v>3753</v>
      </c>
      <c r="O576" s="18" t="s">
        <v>77</v>
      </c>
      <c r="P576" s="18" t="s">
        <v>78</v>
      </c>
      <c r="Q576" s="19">
        <v>44914</v>
      </c>
      <c r="R576" s="21">
        <v>25</v>
      </c>
      <c r="S576" s="18" t="s">
        <v>79</v>
      </c>
      <c r="T576" s="18" t="s">
        <v>117</v>
      </c>
      <c r="U576" s="18" t="s">
        <v>83</v>
      </c>
      <c r="V576" s="18" t="s">
        <v>95</v>
      </c>
      <c r="W576" s="18" t="s">
        <v>83</v>
      </c>
      <c r="X576" s="18" t="s">
        <v>118</v>
      </c>
      <c r="Y576" s="18" t="s">
        <v>85</v>
      </c>
      <c r="Z576" s="18" t="s">
        <v>86</v>
      </c>
      <c r="AA576" s="18" t="s">
        <v>119</v>
      </c>
      <c r="AB576" s="18" t="s">
        <v>1043</v>
      </c>
      <c r="AC576" s="18" t="s">
        <v>1044</v>
      </c>
      <c r="AD576" s="18" t="s">
        <v>85</v>
      </c>
      <c r="AE576" s="18" t="s">
        <v>90</v>
      </c>
      <c r="AF576" s="18" t="s">
        <v>122</v>
      </c>
      <c r="AG576" s="18" t="s">
        <v>92</v>
      </c>
      <c r="AH576" s="18" t="s">
        <v>93</v>
      </c>
      <c r="AI576" s="18" t="s">
        <v>94</v>
      </c>
      <c r="AJ576" s="19">
        <v>44904</v>
      </c>
      <c r="AK576" s="22">
        <v>44904</v>
      </c>
      <c r="AL576" s="18" t="s">
        <v>291</v>
      </c>
      <c r="AM576" s="18" t="s">
        <v>292</v>
      </c>
      <c r="AN576" s="18" t="s">
        <v>494</v>
      </c>
      <c r="AO576" s="18" t="s">
        <v>3754</v>
      </c>
      <c r="AP576" s="18">
        <v>1</v>
      </c>
      <c r="AQ576" s="18">
        <v>60.714289999999998</v>
      </c>
      <c r="AR576" s="18" t="s">
        <v>496</v>
      </c>
      <c r="AS576" s="18" t="s">
        <v>81</v>
      </c>
      <c r="AT576" s="18" t="s">
        <v>95</v>
      </c>
      <c r="AU576" s="18" t="s">
        <v>95</v>
      </c>
      <c r="AV576" s="18" t="s">
        <v>95</v>
      </c>
      <c r="AW576" s="18" t="s">
        <v>95</v>
      </c>
      <c r="AX576" s="18"/>
      <c r="AY576" s="18" t="str">
        <f>Pospago[[#This Row],[NUM_TELEFONICO]]&amp;"POSPAGOSI"</f>
        <v>987608155POSPAGOSI</v>
      </c>
      <c r="AZ576" s="18" t="str">
        <f>VLOOKUP(Pospago[[#This Row],[NOM_PLAZA_FINAL]],[1]!Locales[#Data],3,0)</f>
        <v>TIENDA MACHALA</v>
      </c>
      <c r="BA576" s="18" t="str">
        <f>IFERROR(VLOOKUP(Pospago[[#This Row],[USUARIO]],[1]!Personal[#Data],6,0),"EJECUTIVO NO REGISTRADO")</f>
        <v>GONZAGA YUPANGUI LIZBETH KATHERINE</v>
      </c>
      <c r="BB576" s="18" t="str">
        <f>Pospago[[#This Row],[TIPO_MOVIMIENTO]]&amp;" "&amp;Pospago[[#This Row],[FORMA_PAGO_FINAL]]</f>
        <v>ALTAS PAGO EN CAJA</v>
      </c>
      <c r="BC576" s="18">
        <f>DAY(Pospago[[#This Row],[FECHA_ALTA]])</f>
        <v>9</v>
      </c>
      <c r="BD576" s="18">
        <f>IF(Pospago[[#This Row],[TARIFA_BASICA]]=11.42,1,0)</f>
        <v>0</v>
      </c>
      <c r="BE576" s="18">
        <f>IF(Pospago[[#This Row],[PLANES TELEVENTAS]]="SI",1,0)</f>
        <v>0</v>
      </c>
      <c r="BF576" s="18">
        <f>1</f>
        <v>1</v>
      </c>
      <c r="BG576" s="18">
        <f>IF(OR(Pospago[[#This Row],[TARIFA_BASICA]]=11.42,Pospago[[#This Row],[PLANES TELEVENTAS]]="SI"),1,0)</f>
        <v>0</v>
      </c>
      <c r="BH576" s="18" t="str">
        <f>IF(MID(Pospago[[#This Row],[PlanDesc]],1,4) = "PLAN","POSPAGO",IF(MID(Pospago[[#This Row],[PlanDesc]],1,4)="FULL","FULL MEGAS","PREVIOPAGO"))</f>
        <v>FULL MEGAS</v>
      </c>
      <c r="BI5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38.4</v>
      </c>
      <c r="BJ5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6" s="21">
        <f>Pospago[[#This Row],[TARIFA_BASICA]]*1.5</f>
        <v>37.5</v>
      </c>
    </row>
    <row r="577" spans="1:63" x14ac:dyDescent="0.25">
      <c r="A577" s="18" t="s">
        <v>64</v>
      </c>
      <c r="B577" s="18" t="s">
        <v>3755</v>
      </c>
      <c r="C577" s="18" t="s">
        <v>3756</v>
      </c>
      <c r="D577" s="19">
        <v>44898</v>
      </c>
      <c r="E577" s="18" t="s">
        <v>67</v>
      </c>
      <c r="F577" s="18" t="s">
        <v>3757</v>
      </c>
      <c r="G577" s="18" t="s">
        <v>3758</v>
      </c>
      <c r="H577" s="18" t="s">
        <v>70</v>
      </c>
      <c r="I577" s="18" t="s">
        <v>2207</v>
      </c>
      <c r="J577" s="18" t="s">
        <v>2208</v>
      </c>
      <c r="K577" s="18" t="s">
        <v>73</v>
      </c>
      <c r="L577" s="20" t="s">
        <v>3759</v>
      </c>
      <c r="M577" s="18" t="s">
        <v>75</v>
      </c>
      <c r="N577" s="20" t="s">
        <v>3760</v>
      </c>
      <c r="O577" s="18" t="s">
        <v>77</v>
      </c>
      <c r="P577" s="18" t="s">
        <v>78</v>
      </c>
      <c r="Q577" s="19">
        <v>44914</v>
      </c>
      <c r="R577" s="21">
        <v>15</v>
      </c>
      <c r="S577" s="18" t="s">
        <v>79</v>
      </c>
      <c r="T577" s="18" t="s">
        <v>117</v>
      </c>
      <c r="U577" s="18" t="s">
        <v>83</v>
      </c>
      <c r="V577" s="18" t="s">
        <v>95</v>
      </c>
      <c r="W577" s="18" t="s">
        <v>83</v>
      </c>
      <c r="X577" s="18" t="s">
        <v>118</v>
      </c>
      <c r="Y577" s="18" t="s">
        <v>85</v>
      </c>
      <c r="Z577" s="18" t="s">
        <v>86</v>
      </c>
      <c r="AA577" s="18" t="s">
        <v>119</v>
      </c>
      <c r="AB577" s="18" t="s">
        <v>120</v>
      </c>
      <c r="AC577" s="18" t="s">
        <v>121</v>
      </c>
      <c r="AD577" s="18" t="s">
        <v>85</v>
      </c>
      <c r="AE577" s="18" t="s">
        <v>90</v>
      </c>
      <c r="AF577" s="18" t="s">
        <v>122</v>
      </c>
      <c r="AG577" s="18" t="s">
        <v>92</v>
      </c>
      <c r="AH577" s="18" t="s">
        <v>93</v>
      </c>
      <c r="AI577" s="18" t="s">
        <v>94</v>
      </c>
      <c r="AJ577" s="19">
        <v>44898</v>
      </c>
      <c r="AK577" s="22" t="s">
        <v>95</v>
      </c>
      <c r="AL577" s="18" t="s">
        <v>95</v>
      </c>
      <c r="AM577" s="18" t="s">
        <v>95</v>
      </c>
      <c r="AN577" s="18" t="s">
        <v>95</v>
      </c>
      <c r="AO577" s="18" t="s">
        <v>95</v>
      </c>
      <c r="AP577" s="18" t="s">
        <v>95</v>
      </c>
      <c r="AQ577" s="18" t="s">
        <v>95</v>
      </c>
      <c r="AR577" s="18" t="s">
        <v>95</v>
      </c>
      <c r="AS577" s="18" t="s">
        <v>83</v>
      </c>
      <c r="AT577" s="18" t="s">
        <v>95</v>
      </c>
      <c r="AU577" s="18" t="s">
        <v>95</v>
      </c>
      <c r="AV577" s="18" t="s">
        <v>95</v>
      </c>
      <c r="AW577" s="18" t="s">
        <v>95</v>
      </c>
      <c r="AX577" s="18"/>
      <c r="AY577" s="18" t="str">
        <f>Pospago[[#This Row],[NUM_TELEFONICO]]&amp;"POSPAGOSI"</f>
        <v>987627605POSPAGOSI</v>
      </c>
      <c r="AZ577" s="18" t="str">
        <f>VLOOKUP(Pospago[[#This Row],[NOM_PLAZA_FINAL]],[1]!Locales[#Data],3,0)</f>
        <v>TIENDA MACHALA</v>
      </c>
      <c r="BA577" s="18" t="str">
        <f>IFERROR(VLOOKUP(Pospago[[#This Row],[USUARIO]],[1]!Personal[#Data],6,0),"EJECUTIVO NO REGISTRADO")</f>
        <v>ARROBO VICENTE YADIRA ESPERANZA</v>
      </c>
      <c r="BB577" s="18" t="str">
        <f>Pospago[[#This Row],[TIPO_MOVIMIENTO]]&amp;" "&amp;Pospago[[#This Row],[FORMA_PAGO_FINAL]]</f>
        <v>ALTAS PAGO EN CAJA</v>
      </c>
      <c r="BC577" s="18">
        <f>DAY(Pospago[[#This Row],[FECHA_ALTA]])</f>
        <v>3</v>
      </c>
      <c r="BD577" s="18">
        <f>IF(Pospago[[#This Row],[TARIFA_BASICA]]=11.42,1,0)</f>
        <v>0</v>
      </c>
      <c r="BE577" s="18">
        <f>IF(Pospago[[#This Row],[PLANES TELEVENTAS]]="SI",1,0)</f>
        <v>0</v>
      </c>
      <c r="BF577" s="18">
        <f>1</f>
        <v>1</v>
      </c>
      <c r="BG577" s="18">
        <f>IF(OR(Pospago[[#This Row],[TARIFA_BASICA]]=11.42,Pospago[[#This Row],[PLANES TELEVENTAS]]="SI"),1,0)</f>
        <v>0</v>
      </c>
      <c r="BH577" s="18" t="str">
        <f>IF(MID(Pospago[[#This Row],[PlanDesc]],1,4) = "PLAN","POSPAGO",IF(MID(Pospago[[#This Row],[PlanDesc]],1,4)="FULL","FULL MEGAS","PREVIOPAGO"))</f>
        <v>FULL MEGAS</v>
      </c>
      <c r="BI5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14.856</v>
      </c>
      <c r="BJ5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7" s="21">
        <f>Pospago[[#This Row],[TARIFA_BASICA]]*1.5</f>
        <v>22.5</v>
      </c>
    </row>
    <row r="578" spans="1:63" x14ac:dyDescent="0.25">
      <c r="A578" s="18" t="s">
        <v>64</v>
      </c>
      <c r="B578" s="18" t="s">
        <v>3761</v>
      </c>
      <c r="C578" s="18" t="s">
        <v>3762</v>
      </c>
      <c r="D578" s="19">
        <v>44902</v>
      </c>
      <c r="E578" s="18" t="s">
        <v>67</v>
      </c>
      <c r="F578" s="18" t="s">
        <v>3763</v>
      </c>
      <c r="G578" s="18" t="s">
        <v>3764</v>
      </c>
      <c r="H578" s="18" t="s">
        <v>70</v>
      </c>
      <c r="I578" s="18" t="s">
        <v>160</v>
      </c>
      <c r="J578" s="18" t="s">
        <v>195</v>
      </c>
      <c r="K578" s="18" t="s">
        <v>73</v>
      </c>
      <c r="L578" s="20" t="s">
        <v>3765</v>
      </c>
      <c r="M578" s="18" t="s">
        <v>75</v>
      </c>
      <c r="N578" s="20" t="s">
        <v>3766</v>
      </c>
      <c r="O578" s="18" t="s">
        <v>77</v>
      </c>
      <c r="P578" s="18" t="s">
        <v>78</v>
      </c>
      <c r="Q578" s="19">
        <v>44914</v>
      </c>
      <c r="R578" s="21">
        <v>14.28</v>
      </c>
      <c r="S578" s="18" t="s">
        <v>79</v>
      </c>
      <c r="T578" s="18" t="s">
        <v>232</v>
      </c>
      <c r="U578" s="18" t="s">
        <v>83</v>
      </c>
      <c r="V578" s="18" t="s">
        <v>95</v>
      </c>
      <c r="W578" s="18" t="s">
        <v>83</v>
      </c>
      <c r="X578" s="18" t="s">
        <v>84</v>
      </c>
      <c r="Y578" s="18" t="s">
        <v>85</v>
      </c>
      <c r="Z578" s="18" t="s">
        <v>86</v>
      </c>
      <c r="AA578" s="18" t="s">
        <v>87</v>
      </c>
      <c r="AB578" s="18" t="s">
        <v>443</v>
      </c>
      <c r="AC578" s="18" t="s">
        <v>444</v>
      </c>
      <c r="AD578" s="18" t="s">
        <v>85</v>
      </c>
      <c r="AE578" s="18" t="s">
        <v>90</v>
      </c>
      <c r="AF578" s="18" t="s">
        <v>235</v>
      </c>
      <c r="AG578" s="18" t="s">
        <v>139</v>
      </c>
      <c r="AH578" s="18" t="s">
        <v>93</v>
      </c>
      <c r="AI578" s="18" t="s">
        <v>94</v>
      </c>
      <c r="AJ578" s="19">
        <v>44902</v>
      </c>
      <c r="AK578" s="22" t="s">
        <v>95</v>
      </c>
      <c r="AL578" s="18" t="s">
        <v>95</v>
      </c>
      <c r="AM578" s="18" t="s">
        <v>95</v>
      </c>
      <c r="AN578" s="18" t="s">
        <v>95</v>
      </c>
      <c r="AO578" s="18" t="s">
        <v>95</v>
      </c>
      <c r="AP578" s="18" t="s">
        <v>95</v>
      </c>
      <c r="AQ578" s="18" t="s">
        <v>95</v>
      </c>
      <c r="AR578" s="18" t="s">
        <v>95</v>
      </c>
      <c r="AS578" s="18" t="s">
        <v>83</v>
      </c>
      <c r="AT578" s="18" t="s">
        <v>83</v>
      </c>
      <c r="AU578" s="18" t="s">
        <v>81</v>
      </c>
      <c r="AV578" s="18" t="s">
        <v>95</v>
      </c>
      <c r="AW578" s="18" t="s">
        <v>95</v>
      </c>
      <c r="AX578" s="18"/>
      <c r="AY578" s="18" t="str">
        <f>Pospago[[#This Row],[NUM_TELEFONICO]]&amp;"POSPAGOSI"</f>
        <v>987636687POSPAGOSI</v>
      </c>
      <c r="AZ578" s="18" t="str">
        <f>VLOOKUP(Pospago[[#This Row],[NOM_PLAZA_FINAL]],[1]!Locales[#Data],3,0)</f>
        <v>TIENDA CONDADO</v>
      </c>
      <c r="BA578" s="18" t="str">
        <f>IFERROR(VLOOKUP(Pospago[[#This Row],[USUARIO]],[1]!Personal[#Data],6,0),"EJECUTIVO NO REGISTRADO")</f>
        <v>JARAMILLO ESPINOZA KENIA KATRINA</v>
      </c>
      <c r="BB578" s="18" t="str">
        <f>Pospago[[#This Row],[TIPO_MOVIMIENTO]]&amp;" "&amp;Pospago[[#This Row],[FORMA_PAGO_FINAL]]</f>
        <v>ALTAS DOMICILIADO</v>
      </c>
      <c r="BC578" s="18">
        <f>DAY(Pospago[[#This Row],[FECHA_ALTA]])</f>
        <v>7</v>
      </c>
      <c r="BD578" s="18">
        <f>IF(Pospago[[#This Row],[TARIFA_BASICA]]=11.42,1,0)</f>
        <v>0</v>
      </c>
      <c r="BE578" s="18">
        <f>IF(Pospago[[#This Row],[PLANES TELEVENTAS]]="SI",1,0)</f>
        <v>0</v>
      </c>
      <c r="BF578" s="18">
        <f>1</f>
        <v>1</v>
      </c>
      <c r="BG578" s="18">
        <f>IF(OR(Pospago[[#This Row],[TARIFA_BASICA]]=11.42,Pospago[[#This Row],[PLANES TELEVENTAS]]="SI"),1,0)</f>
        <v>0</v>
      </c>
      <c r="BH578" s="18" t="str">
        <f>IF(MID(Pospago[[#This Row],[PlanDesc]],1,4) = "PLAN","POSPAGO",IF(MID(Pospago[[#This Row],[PlanDesc]],1,4)="FULL","FULL MEGAS","PREVIOPAGO"))</f>
        <v>PREVIOPAGO</v>
      </c>
      <c r="BI5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8" s="21">
        <f>Pospago[[#This Row],[TARIFA_BASICA]]*1.5</f>
        <v>21.419999999999998</v>
      </c>
    </row>
    <row r="579" spans="1:63" x14ac:dyDescent="0.25">
      <c r="A579" s="18" t="s">
        <v>154</v>
      </c>
      <c r="B579" s="18" t="s">
        <v>3767</v>
      </c>
      <c r="C579" s="18" t="s">
        <v>763</v>
      </c>
      <c r="D579" s="19">
        <v>44902</v>
      </c>
      <c r="E579" s="18" t="s">
        <v>67</v>
      </c>
      <c r="F579" s="18" t="s">
        <v>764</v>
      </c>
      <c r="G579" s="18" t="s">
        <v>765</v>
      </c>
      <c r="H579" s="18" t="s">
        <v>159</v>
      </c>
      <c r="I579" s="18" t="s">
        <v>160</v>
      </c>
      <c r="J579" s="18" t="s">
        <v>161</v>
      </c>
      <c r="K579" s="18" t="s">
        <v>95</v>
      </c>
      <c r="L579" s="20" t="s">
        <v>3768</v>
      </c>
      <c r="M579" s="18" t="s">
        <v>287</v>
      </c>
      <c r="N579" s="20" t="s">
        <v>3769</v>
      </c>
      <c r="O579" s="18" t="s">
        <v>1036</v>
      </c>
      <c r="P579" s="18" t="s">
        <v>78</v>
      </c>
      <c r="Q579" s="19">
        <v>44914</v>
      </c>
      <c r="R579" s="21">
        <v>14.28</v>
      </c>
      <c r="S579" s="18" t="s">
        <v>79</v>
      </c>
      <c r="T579" s="18" t="s">
        <v>232</v>
      </c>
      <c r="U579" s="18" t="s">
        <v>83</v>
      </c>
      <c r="V579" s="18" t="s">
        <v>95</v>
      </c>
      <c r="W579" s="18" t="s">
        <v>95</v>
      </c>
      <c r="X579" s="18" t="s">
        <v>215</v>
      </c>
      <c r="Y579" s="18" t="s">
        <v>85</v>
      </c>
      <c r="Z579" s="18" t="s">
        <v>86</v>
      </c>
      <c r="AA579" s="18" t="s">
        <v>87</v>
      </c>
      <c r="AB579" s="18" t="s">
        <v>769</v>
      </c>
      <c r="AC579" s="18" t="s">
        <v>770</v>
      </c>
      <c r="AD579" s="18" t="s">
        <v>85</v>
      </c>
      <c r="AE579" s="18" t="s">
        <v>90</v>
      </c>
      <c r="AF579" s="18" t="s">
        <v>235</v>
      </c>
      <c r="AG579" s="18" t="s">
        <v>139</v>
      </c>
      <c r="AH579" s="18" t="s">
        <v>165</v>
      </c>
      <c r="AI579" s="18" t="s">
        <v>94</v>
      </c>
      <c r="AJ579" s="19">
        <v>44902</v>
      </c>
      <c r="AK579" s="22">
        <v>44902</v>
      </c>
      <c r="AL579" s="18" t="s">
        <v>291</v>
      </c>
      <c r="AM579" s="18" t="s">
        <v>292</v>
      </c>
      <c r="AN579" s="18" t="s">
        <v>293</v>
      </c>
      <c r="AO579" s="18" t="s">
        <v>3770</v>
      </c>
      <c r="AP579" s="18">
        <v>1</v>
      </c>
      <c r="AQ579" s="18">
        <v>616.07142999999996</v>
      </c>
      <c r="AR579" s="18" t="s">
        <v>3771</v>
      </c>
      <c r="AS579" s="18" t="s">
        <v>81</v>
      </c>
      <c r="AT579" s="18" t="s">
        <v>83</v>
      </c>
      <c r="AU579" s="18" t="s">
        <v>81</v>
      </c>
      <c r="AV579" s="18" t="s">
        <v>95</v>
      </c>
      <c r="AW579" s="18" t="s">
        <v>95</v>
      </c>
      <c r="AX579" s="18"/>
      <c r="AY579" s="18" t="str">
        <f>Pospago[[#This Row],[NUM_TELEFONICO]]&amp;"POSPAGOSI"</f>
        <v>987640619POSPAGOSI</v>
      </c>
      <c r="AZ579" s="18" t="str">
        <f>VLOOKUP(Pospago[[#This Row],[NOM_PLAZA_FINAL]],[1]!Locales[#Data],3,0)</f>
        <v>TIENDA CONDADO</v>
      </c>
      <c r="BA579" s="18" t="str">
        <f>IFERROR(VLOOKUP(Pospago[[#This Row],[USUARIO]],[1]!Personal[#Data],6,0),"EJECUTIVO NO REGISTRADO")</f>
        <v>ROJAS VEGA JHOSMERY MICHELE</v>
      </c>
      <c r="BB579" s="18" t="str">
        <f>Pospago[[#This Row],[TIPO_MOVIMIENTO]]&amp;" "&amp;Pospago[[#This Row],[FORMA_PAGO_FINAL]]</f>
        <v>TRANSFERENCIAS DOMICILIADO</v>
      </c>
      <c r="BC579" s="18">
        <f>DAY(Pospago[[#This Row],[FECHA_ALTA]])</f>
        <v>7</v>
      </c>
      <c r="BD579" s="18">
        <f>IF(Pospago[[#This Row],[TARIFA_BASICA]]=11.42,1,0)</f>
        <v>0</v>
      </c>
      <c r="BE579" s="18">
        <f>IF(Pospago[[#This Row],[PLANES TELEVENTAS]]="SI",1,0)</f>
        <v>0</v>
      </c>
      <c r="BF579" s="18">
        <f>1</f>
        <v>1</v>
      </c>
      <c r="BG579" s="18">
        <f>IF(OR(Pospago[[#This Row],[TARIFA_BASICA]]=11.42,Pospago[[#This Row],[PLANES TELEVENTAS]]="SI"),1,0)</f>
        <v>0</v>
      </c>
      <c r="BH579" s="18" t="str">
        <f>IF(MID(Pospago[[#This Row],[PlanDesc]],1,4) = "PLAN","POSPAGO",IF(MID(Pospago[[#This Row],[PlanDesc]],1,4)="FULL","FULL MEGAS","PREVIOPAGO"))</f>
        <v>PREVIOPAGO</v>
      </c>
      <c r="BI5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79" s="21">
        <f>Pospago[[#This Row],[TARIFA_BASICA]]*1.5</f>
        <v>21.419999999999998</v>
      </c>
    </row>
    <row r="580" spans="1:63" x14ac:dyDescent="0.25">
      <c r="A580" s="18" t="s">
        <v>64</v>
      </c>
      <c r="B580" s="18" t="s">
        <v>3772</v>
      </c>
      <c r="C580" s="18" t="s">
        <v>3773</v>
      </c>
      <c r="D580" s="19">
        <v>44898</v>
      </c>
      <c r="E580" s="18" t="s">
        <v>67</v>
      </c>
      <c r="F580" s="18" t="s">
        <v>3774</v>
      </c>
      <c r="G580" s="18" t="s">
        <v>3775</v>
      </c>
      <c r="H580" s="18" t="s">
        <v>70</v>
      </c>
      <c r="I580" s="18" t="s">
        <v>2207</v>
      </c>
      <c r="J580" s="18" t="s">
        <v>2208</v>
      </c>
      <c r="K580" s="18" t="s">
        <v>132</v>
      </c>
      <c r="L580" s="20" t="s">
        <v>3776</v>
      </c>
      <c r="M580" s="18" t="s">
        <v>75</v>
      </c>
      <c r="N580" s="20" t="s">
        <v>3777</v>
      </c>
      <c r="O580" s="18" t="s">
        <v>77</v>
      </c>
      <c r="P580" s="18" t="s">
        <v>78</v>
      </c>
      <c r="Q580" s="19">
        <v>44914</v>
      </c>
      <c r="R580" s="21">
        <v>15</v>
      </c>
      <c r="S580" s="18" t="s">
        <v>79</v>
      </c>
      <c r="T580" s="18" t="s">
        <v>232</v>
      </c>
      <c r="U580" s="18" t="s">
        <v>83</v>
      </c>
      <c r="V580" s="18" t="s">
        <v>95</v>
      </c>
      <c r="W580" s="18" t="s">
        <v>83</v>
      </c>
      <c r="X580" s="18" t="s">
        <v>84</v>
      </c>
      <c r="Y580" s="18" t="s">
        <v>85</v>
      </c>
      <c r="Z580" s="18" t="s">
        <v>86</v>
      </c>
      <c r="AA580" s="18" t="s">
        <v>87</v>
      </c>
      <c r="AB580" s="18" t="s">
        <v>769</v>
      </c>
      <c r="AC580" s="18" t="s">
        <v>770</v>
      </c>
      <c r="AD580" s="18" t="s">
        <v>85</v>
      </c>
      <c r="AE580" s="18" t="s">
        <v>90</v>
      </c>
      <c r="AF580" s="18" t="s">
        <v>235</v>
      </c>
      <c r="AG580" s="18" t="s">
        <v>139</v>
      </c>
      <c r="AH580" s="18" t="s">
        <v>93</v>
      </c>
      <c r="AI580" s="18" t="s">
        <v>94</v>
      </c>
      <c r="AJ580" s="19">
        <v>44898</v>
      </c>
      <c r="AK580" s="22" t="s">
        <v>95</v>
      </c>
      <c r="AL580" s="18" t="s">
        <v>95</v>
      </c>
      <c r="AM580" s="18" t="s">
        <v>95</v>
      </c>
      <c r="AN580" s="18" t="s">
        <v>95</v>
      </c>
      <c r="AO580" s="18" t="s">
        <v>95</v>
      </c>
      <c r="AP580" s="18" t="s">
        <v>95</v>
      </c>
      <c r="AQ580" s="18" t="s">
        <v>95</v>
      </c>
      <c r="AR580" s="18" t="s">
        <v>95</v>
      </c>
      <c r="AS580" s="18" t="s">
        <v>83</v>
      </c>
      <c r="AT580" s="18" t="s">
        <v>95</v>
      </c>
      <c r="AU580" s="18" t="s">
        <v>95</v>
      </c>
      <c r="AV580" s="18" t="s">
        <v>95</v>
      </c>
      <c r="AW580" s="18" t="s">
        <v>96</v>
      </c>
      <c r="AX580" s="18"/>
      <c r="AY580" s="18" t="str">
        <f>Pospago[[#This Row],[NUM_TELEFONICO]]&amp;"POSPAGOSI"</f>
        <v>987650656POSPAGOSI</v>
      </c>
      <c r="AZ580" s="18" t="str">
        <f>VLOOKUP(Pospago[[#This Row],[NOM_PLAZA_FINAL]],[1]!Locales[#Data],3,0)</f>
        <v>TIENDA CONDADO</v>
      </c>
      <c r="BA580" s="18" t="str">
        <f>IFERROR(VLOOKUP(Pospago[[#This Row],[USUARIO]],[1]!Personal[#Data],6,0),"EJECUTIVO NO REGISTRADO")</f>
        <v>ROJAS VEGA JHOSMERY MICHELE</v>
      </c>
      <c r="BB580" s="18" t="str">
        <f>Pospago[[#This Row],[TIPO_MOVIMIENTO]]&amp;" "&amp;Pospago[[#This Row],[FORMA_PAGO_FINAL]]</f>
        <v>ALTAS DOMICILIADO</v>
      </c>
      <c r="BC580" s="18">
        <f>DAY(Pospago[[#This Row],[FECHA_ALTA]])</f>
        <v>3</v>
      </c>
      <c r="BD580" s="18">
        <f>IF(Pospago[[#This Row],[TARIFA_BASICA]]=11.42,1,0)</f>
        <v>0</v>
      </c>
      <c r="BE580" s="18">
        <f>IF(Pospago[[#This Row],[PLANES TELEVENTAS]]="SI",1,0)</f>
        <v>0</v>
      </c>
      <c r="BF580" s="18">
        <f>1</f>
        <v>1</v>
      </c>
      <c r="BG580" s="18">
        <f>IF(OR(Pospago[[#This Row],[TARIFA_BASICA]]=11.42,Pospago[[#This Row],[PLANES TELEVENTAS]]="SI"),1,0)</f>
        <v>0</v>
      </c>
      <c r="BH580" s="18" t="str">
        <f>IF(MID(Pospago[[#This Row],[PlanDesc]],1,4) = "PLAN","POSPAGO",IF(MID(Pospago[[#This Row],[PlanDesc]],1,4)="FULL","FULL MEGAS","PREVIOPAGO"))</f>
        <v>FULL MEGAS</v>
      </c>
      <c r="BI5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5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80" s="21">
        <f>Pospago[[#This Row],[TARIFA_BASICA]]*1.5</f>
        <v>22.5</v>
      </c>
    </row>
    <row r="581" spans="1:63" x14ac:dyDescent="0.25">
      <c r="A581" s="18" t="s">
        <v>64</v>
      </c>
      <c r="B581" s="18" t="s">
        <v>3778</v>
      </c>
      <c r="C581" s="18" t="s">
        <v>3779</v>
      </c>
      <c r="D581" s="19">
        <v>44912</v>
      </c>
      <c r="E581" s="18" t="s">
        <v>67</v>
      </c>
      <c r="F581" s="18" t="s">
        <v>3780</v>
      </c>
      <c r="G581" s="18" t="s">
        <v>3781</v>
      </c>
      <c r="H581" s="18" t="s">
        <v>70</v>
      </c>
      <c r="I581" s="18" t="s">
        <v>71</v>
      </c>
      <c r="J581" s="18" t="s">
        <v>72</v>
      </c>
      <c r="K581" s="18" t="s">
        <v>73</v>
      </c>
      <c r="L581" s="20" t="s">
        <v>3782</v>
      </c>
      <c r="M581" s="18" t="s">
        <v>75</v>
      </c>
      <c r="N581" s="20" t="s">
        <v>3783</v>
      </c>
      <c r="O581" s="18" t="s">
        <v>77</v>
      </c>
      <c r="P581" s="18" t="s">
        <v>78</v>
      </c>
      <c r="Q581" s="19">
        <v>44914</v>
      </c>
      <c r="R581" s="21">
        <v>11.42</v>
      </c>
      <c r="S581" s="18" t="s">
        <v>79</v>
      </c>
      <c r="T581" s="18" t="s">
        <v>174</v>
      </c>
      <c r="U581" s="18" t="s">
        <v>83</v>
      </c>
      <c r="V581" s="18" t="s">
        <v>95</v>
      </c>
      <c r="W581" s="18" t="s">
        <v>83</v>
      </c>
      <c r="X581" s="18" t="s">
        <v>118</v>
      </c>
      <c r="Y581" s="18" t="s">
        <v>85</v>
      </c>
      <c r="Z581" s="18" t="s">
        <v>86</v>
      </c>
      <c r="AA581" s="18" t="s">
        <v>119</v>
      </c>
      <c r="AB581" s="18" t="s">
        <v>760</v>
      </c>
      <c r="AC581" s="18" t="s">
        <v>761</v>
      </c>
      <c r="AD581" s="18" t="s">
        <v>85</v>
      </c>
      <c r="AE581" s="18" t="s">
        <v>90</v>
      </c>
      <c r="AF581" s="18" t="s">
        <v>177</v>
      </c>
      <c r="AG581" s="18" t="s">
        <v>139</v>
      </c>
      <c r="AH581" s="18" t="s">
        <v>93</v>
      </c>
      <c r="AI581" s="18" t="s">
        <v>94</v>
      </c>
      <c r="AJ581" s="19">
        <v>44912</v>
      </c>
      <c r="AK581" s="22" t="s">
        <v>95</v>
      </c>
      <c r="AL581" s="18" t="s">
        <v>95</v>
      </c>
      <c r="AM581" s="18" t="s">
        <v>95</v>
      </c>
      <c r="AN581" s="18" t="s">
        <v>95</v>
      </c>
      <c r="AO581" s="18" t="s">
        <v>95</v>
      </c>
      <c r="AP581" s="18" t="s">
        <v>95</v>
      </c>
      <c r="AQ581" s="18" t="s">
        <v>95</v>
      </c>
      <c r="AR581" s="18" t="s">
        <v>95</v>
      </c>
      <c r="AS581" s="18" t="s">
        <v>83</v>
      </c>
      <c r="AT581" s="18" t="s">
        <v>83</v>
      </c>
      <c r="AU581" s="18" t="s">
        <v>81</v>
      </c>
      <c r="AV581" s="18" t="s">
        <v>95</v>
      </c>
      <c r="AW581" s="18" t="s">
        <v>95</v>
      </c>
      <c r="AX581" s="18"/>
      <c r="AY581" s="18" t="str">
        <f>Pospago[[#This Row],[NUM_TELEFONICO]]&amp;"POSPAGOSI"</f>
        <v>987656085POSPAGOSI</v>
      </c>
      <c r="AZ581" s="18" t="str">
        <f>VLOOKUP(Pospago[[#This Row],[NOM_PLAZA_FINAL]],[1]!Locales[#Data],3,0)</f>
        <v>TIENDA RECREO</v>
      </c>
      <c r="BA581" s="18" t="str">
        <f>IFERROR(VLOOKUP(Pospago[[#This Row],[USUARIO]],[1]!Personal[#Data],6,0),"EJECUTIVO NO REGISTRADO")</f>
        <v>VALBUENA SANCHEZ ALBERT ANTHONY</v>
      </c>
      <c r="BB581" s="18" t="str">
        <f>Pospago[[#This Row],[TIPO_MOVIMIENTO]]&amp;" "&amp;Pospago[[#This Row],[FORMA_PAGO_FINAL]]</f>
        <v>ALTAS PAGO EN CAJA</v>
      </c>
      <c r="BC581" s="18">
        <f>DAY(Pospago[[#This Row],[FECHA_ALTA]])</f>
        <v>17</v>
      </c>
      <c r="BD581" s="18">
        <f>IF(Pospago[[#This Row],[TARIFA_BASICA]]=11.42,1,0)</f>
        <v>1</v>
      </c>
      <c r="BE581" s="18">
        <f>IF(Pospago[[#This Row],[PLANES TELEVENTAS]]="SI",1,0)</f>
        <v>0</v>
      </c>
      <c r="BF581" s="18">
        <f>1</f>
        <v>1</v>
      </c>
      <c r="BG581" s="18">
        <f>IF(OR(Pospago[[#This Row],[TARIFA_BASICA]]=11.42,Pospago[[#This Row],[PLANES TELEVENTAS]]="SI"),1,0)</f>
        <v>1</v>
      </c>
      <c r="BH581" s="18" t="str">
        <f>IF(MID(Pospago[[#This Row],[PlanDesc]],1,4) = "PLAN","POSPAGO",IF(MID(Pospago[[#This Row],[PlanDesc]],1,4)="FULL","FULL MEGAS","PREVIOPAGO"))</f>
        <v>PREVIOPAGO</v>
      </c>
      <c r="BI5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5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81" s="21">
        <f>Pospago[[#This Row],[TARIFA_BASICA]]*1.5</f>
        <v>17.13</v>
      </c>
    </row>
    <row r="582" spans="1:63" x14ac:dyDescent="0.25">
      <c r="A582" s="18" t="s">
        <v>64</v>
      </c>
      <c r="B582" s="18" t="s">
        <v>3784</v>
      </c>
      <c r="C582" s="18" t="s">
        <v>3785</v>
      </c>
      <c r="D582" s="19">
        <v>44899</v>
      </c>
      <c r="E582" s="18" t="s">
        <v>67</v>
      </c>
      <c r="F582" s="18" t="s">
        <v>3786</v>
      </c>
      <c r="G582" s="18" t="s">
        <v>3787</v>
      </c>
      <c r="H582" s="18" t="s">
        <v>70</v>
      </c>
      <c r="I582" s="18" t="s">
        <v>160</v>
      </c>
      <c r="J582" s="18" t="s">
        <v>195</v>
      </c>
      <c r="K582" s="18" t="s">
        <v>132</v>
      </c>
      <c r="L582" s="20" t="s">
        <v>3788</v>
      </c>
      <c r="M582" s="18" t="s">
        <v>75</v>
      </c>
      <c r="N582" s="20" t="s">
        <v>3789</v>
      </c>
      <c r="O582" s="18" t="s">
        <v>77</v>
      </c>
      <c r="P582" s="18" t="s">
        <v>78</v>
      </c>
      <c r="Q582" s="19">
        <v>44914</v>
      </c>
      <c r="R582" s="21">
        <v>14.28</v>
      </c>
      <c r="S582" s="18" t="s">
        <v>79</v>
      </c>
      <c r="T582" s="18" t="s">
        <v>174</v>
      </c>
      <c r="U582" s="18" t="s">
        <v>83</v>
      </c>
      <c r="V582" s="18" t="s">
        <v>95</v>
      </c>
      <c r="W582" s="18" t="s">
        <v>83</v>
      </c>
      <c r="X582" s="18" t="s">
        <v>118</v>
      </c>
      <c r="Y582" s="18" t="s">
        <v>85</v>
      </c>
      <c r="Z582" s="18" t="s">
        <v>86</v>
      </c>
      <c r="AA582" s="18" t="s">
        <v>119</v>
      </c>
      <c r="AB582" s="18" t="s">
        <v>303</v>
      </c>
      <c r="AC582" s="18" t="s">
        <v>304</v>
      </c>
      <c r="AD582" s="18" t="s">
        <v>85</v>
      </c>
      <c r="AE582" s="18" t="s">
        <v>90</v>
      </c>
      <c r="AF582" s="18" t="s">
        <v>177</v>
      </c>
      <c r="AG582" s="18" t="s">
        <v>139</v>
      </c>
      <c r="AH582" s="18" t="s">
        <v>93</v>
      </c>
      <c r="AI582" s="18" t="s">
        <v>94</v>
      </c>
      <c r="AJ582" s="19">
        <v>44899</v>
      </c>
      <c r="AK582" s="22" t="s">
        <v>95</v>
      </c>
      <c r="AL582" s="18" t="s">
        <v>95</v>
      </c>
      <c r="AM582" s="18" t="s">
        <v>95</v>
      </c>
      <c r="AN582" s="18" t="s">
        <v>95</v>
      </c>
      <c r="AO582" s="18" t="s">
        <v>95</v>
      </c>
      <c r="AP582" s="18" t="s">
        <v>95</v>
      </c>
      <c r="AQ582" s="18" t="s">
        <v>95</v>
      </c>
      <c r="AR582" s="18" t="s">
        <v>95</v>
      </c>
      <c r="AS582" s="18" t="s">
        <v>83</v>
      </c>
      <c r="AT582" s="18" t="s">
        <v>83</v>
      </c>
      <c r="AU582" s="18" t="s">
        <v>81</v>
      </c>
      <c r="AV582" s="18" t="s">
        <v>95</v>
      </c>
      <c r="AW582" s="18" t="s">
        <v>95</v>
      </c>
      <c r="AX582" s="18"/>
      <c r="AY582" s="18" t="str">
        <f>Pospago[[#This Row],[NUM_TELEFONICO]]&amp;"POSPAGOSI"</f>
        <v>987658404POSPAGOSI</v>
      </c>
      <c r="AZ582" s="18" t="str">
        <f>VLOOKUP(Pospago[[#This Row],[NOM_PLAZA_FINAL]],[1]!Locales[#Data],3,0)</f>
        <v>TIENDA RECREO</v>
      </c>
      <c r="BA582" s="18" t="str">
        <f>IFERROR(VLOOKUP(Pospago[[#This Row],[USUARIO]],[1]!Personal[#Data],6,0),"EJECUTIVO NO REGISTRADO")</f>
        <v>CORDOVA GAIBOR JONATHAN HERNAN</v>
      </c>
      <c r="BB582" s="18" t="str">
        <f>Pospago[[#This Row],[TIPO_MOVIMIENTO]]&amp;" "&amp;Pospago[[#This Row],[FORMA_PAGO_FINAL]]</f>
        <v>ALTAS PAGO EN CAJA</v>
      </c>
      <c r="BC582" s="18">
        <f>DAY(Pospago[[#This Row],[FECHA_ALTA]])</f>
        <v>4</v>
      </c>
      <c r="BD582" s="18">
        <f>IF(Pospago[[#This Row],[TARIFA_BASICA]]=11.42,1,0)</f>
        <v>0</v>
      </c>
      <c r="BE582" s="18">
        <f>IF(Pospago[[#This Row],[PLANES TELEVENTAS]]="SI",1,0)</f>
        <v>0</v>
      </c>
      <c r="BF582" s="18">
        <f>1</f>
        <v>1</v>
      </c>
      <c r="BG582" s="18">
        <f>IF(OR(Pospago[[#This Row],[TARIFA_BASICA]]=11.42,Pospago[[#This Row],[PLANES TELEVENTAS]]="SI"),1,0)</f>
        <v>0</v>
      </c>
      <c r="BH582" s="18" t="str">
        <f>IF(MID(Pospago[[#This Row],[PlanDesc]],1,4) = "PLAN","POSPAGO",IF(MID(Pospago[[#This Row],[PlanDesc]],1,4)="FULL","FULL MEGAS","PREVIOPAGO"))</f>
        <v>PREVIOPAGO</v>
      </c>
      <c r="BI5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82" s="21">
        <f>Pospago[[#This Row],[TARIFA_BASICA]]*1.5</f>
        <v>21.419999999999998</v>
      </c>
    </row>
    <row r="583" spans="1:63" x14ac:dyDescent="0.25">
      <c r="A583" s="18" t="s">
        <v>154</v>
      </c>
      <c r="B583" s="18" t="s">
        <v>3790</v>
      </c>
      <c r="C583" s="18" t="s">
        <v>3791</v>
      </c>
      <c r="D583" s="19">
        <v>44909</v>
      </c>
      <c r="E583" s="18" t="s">
        <v>67</v>
      </c>
      <c r="F583" s="18" t="s">
        <v>3792</v>
      </c>
      <c r="G583" s="18" t="s">
        <v>3793</v>
      </c>
      <c r="H583" s="18" t="s">
        <v>159</v>
      </c>
      <c r="I583" s="18" t="s">
        <v>71</v>
      </c>
      <c r="J583" s="18" t="s">
        <v>258</v>
      </c>
      <c r="K583" s="18" t="s">
        <v>132</v>
      </c>
      <c r="L583" s="20" t="s">
        <v>3794</v>
      </c>
      <c r="M583" s="18" t="s">
        <v>75</v>
      </c>
      <c r="N583" s="20" t="s">
        <v>3795</v>
      </c>
      <c r="O583" s="18" t="s">
        <v>2241</v>
      </c>
      <c r="P583" s="18" t="s">
        <v>78</v>
      </c>
      <c r="Q583" s="19">
        <v>44914</v>
      </c>
      <c r="R583" s="21">
        <v>11.42</v>
      </c>
      <c r="S583" s="18" t="s">
        <v>79</v>
      </c>
      <c r="T583" s="18" t="s">
        <v>174</v>
      </c>
      <c r="U583" s="18" t="s">
        <v>83</v>
      </c>
      <c r="V583" s="18" t="s">
        <v>95</v>
      </c>
      <c r="W583" s="18" t="s">
        <v>95</v>
      </c>
      <c r="X583" s="18" t="s">
        <v>84</v>
      </c>
      <c r="Y583" s="18" t="s">
        <v>85</v>
      </c>
      <c r="Z583" s="18" t="s">
        <v>86</v>
      </c>
      <c r="AA583" s="18" t="s">
        <v>87</v>
      </c>
      <c r="AB583" s="18" t="s">
        <v>303</v>
      </c>
      <c r="AC583" s="18" t="s">
        <v>304</v>
      </c>
      <c r="AD583" s="18" t="s">
        <v>85</v>
      </c>
      <c r="AE583" s="18" t="s">
        <v>90</v>
      </c>
      <c r="AF583" s="18" t="s">
        <v>177</v>
      </c>
      <c r="AG583" s="18" t="s">
        <v>139</v>
      </c>
      <c r="AH583" s="18" t="s">
        <v>165</v>
      </c>
      <c r="AI583" s="18" t="s">
        <v>94</v>
      </c>
      <c r="AJ583" s="19">
        <v>44909</v>
      </c>
      <c r="AK583" s="22" t="s">
        <v>95</v>
      </c>
      <c r="AL583" s="18" t="s">
        <v>95</v>
      </c>
      <c r="AM583" s="18" t="s">
        <v>95</v>
      </c>
      <c r="AN583" s="18" t="s">
        <v>95</v>
      </c>
      <c r="AO583" s="18" t="s">
        <v>95</v>
      </c>
      <c r="AP583" s="18" t="s">
        <v>95</v>
      </c>
      <c r="AQ583" s="18" t="s">
        <v>95</v>
      </c>
      <c r="AR583" s="18" t="s">
        <v>95</v>
      </c>
      <c r="AS583" s="18" t="s">
        <v>83</v>
      </c>
      <c r="AT583" s="18" t="s">
        <v>83</v>
      </c>
      <c r="AU583" s="18" t="s">
        <v>81</v>
      </c>
      <c r="AV583" s="18" t="s">
        <v>95</v>
      </c>
      <c r="AW583" s="18" t="s">
        <v>95</v>
      </c>
      <c r="AX583" s="18"/>
      <c r="AY583" s="18" t="str">
        <f>Pospago[[#This Row],[NUM_TELEFONICO]]&amp;"POSPAGOSI"</f>
        <v>987677718POSPAGOSI</v>
      </c>
      <c r="AZ583" s="18" t="str">
        <f>VLOOKUP(Pospago[[#This Row],[NOM_PLAZA_FINAL]],[1]!Locales[#Data],3,0)</f>
        <v>TIENDA RECREO</v>
      </c>
      <c r="BA583" s="18" t="str">
        <f>IFERROR(VLOOKUP(Pospago[[#This Row],[USUARIO]],[1]!Personal[#Data],6,0),"EJECUTIVO NO REGISTRADO")</f>
        <v>CORDOVA GAIBOR JONATHAN HERNAN</v>
      </c>
      <c r="BB583" s="18" t="str">
        <f>Pospago[[#This Row],[TIPO_MOVIMIENTO]]&amp;" "&amp;Pospago[[#This Row],[FORMA_PAGO_FINAL]]</f>
        <v>TRANSFERENCIAS DOMICILIADO</v>
      </c>
      <c r="BC583" s="18">
        <f>DAY(Pospago[[#This Row],[FECHA_ALTA]])</f>
        <v>14</v>
      </c>
      <c r="BD583" s="18">
        <f>IF(Pospago[[#This Row],[TARIFA_BASICA]]=11.42,1,0)</f>
        <v>1</v>
      </c>
      <c r="BE583" s="18">
        <f>IF(Pospago[[#This Row],[PLANES TELEVENTAS]]="SI",1,0)</f>
        <v>0</v>
      </c>
      <c r="BF583" s="18">
        <f>1</f>
        <v>1</v>
      </c>
      <c r="BG583" s="18">
        <f>IF(OR(Pospago[[#This Row],[TARIFA_BASICA]]=11.42,Pospago[[#This Row],[PLANES TELEVENTAS]]="SI"),1,0)</f>
        <v>1</v>
      </c>
      <c r="BH583" s="18" t="str">
        <f>IF(MID(Pospago[[#This Row],[PlanDesc]],1,4) = "PLAN","POSPAGO",IF(MID(Pospago[[#This Row],[PlanDesc]],1,4)="FULL","FULL MEGAS","PREVIOPAGO"))</f>
        <v>PREVIOPAGO</v>
      </c>
      <c r="BI5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5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83" s="21">
        <f>Pospago[[#This Row],[TARIFA_BASICA]]*1.5</f>
        <v>17.13</v>
      </c>
    </row>
    <row r="584" spans="1:63" x14ac:dyDescent="0.25">
      <c r="A584" s="18" t="s">
        <v>64</v>
      </c>
      <c r="B584" s="18" t="s">
        <v>3796</v>
      </c>
      <c r="C584" s="18" t="s">
        <v>3797</v>
      </c>
      <c r="D584" s="19">
        <v>44901</v>
      </c>
      <c r="E584" s="18" t="s">
        <v>67</v>
      </c>
      <c r="F584" s="18" t="s">
        <v>3798</v>
      </c>
      <c r="G584" s="18" t="s">
        <v>3799</v>
      </c>
      <c r="H584" s="18" t="s">
        <v>70</v>
      </c>
      <c r="I584" s="18" t="s">
        <v>160</v>
      </c>
      <c r="J584" s="18" t="s">
        <v>195</v>
      </c>
      <c r="K584" s="18" t="s">
        <v>95</v>
      </c>
      <c r="L584" s="20" t="s">
        <v>3800</v>
      </c>
      <c r="M584" s="18" t="s">
        <v>75</v>
      </c>
      <c r="N584" s="20" t="s">
        <v>3801</v>
      </c>
      <c r="O584" s="18" t="s">
        <v>77</v>
      </c>
      <c r="P584" s="18" t="s">
        <v>78</v>
      </c>
      <c r="Q584" s="19">
        <v>44914</v>
      </c>
      <c r="R584" s="21">
        <v>14.28</v>
      </c>
      <c r="S584" s="18" t="s">
        <v>79</v>
      </c>
      <c r="T584" s="18" t="s">
        <v>232</v>
      </c>
      <c r="U584" s="18" t="s">
        <v>83</v>
      </c>
      <c r="V584" s="18" t="s">
        <v>95</v>
      </c>
      <c r="W584" s="18" t="s">
        <v>83</v>
      </c>
      <c r="X584" s="18" t="s">
        <v>84</v>
      </c>
      <c r="Y584" s="18" t="s">
        <v>85</v>
      </c>
      <c r="Z584" s="18" t="s">
        <v>86</v>
      </c>
      <c r="AA584" s="18" t="s">
        <v>87</v>
      </c>
      <c r="AB584" s="18" t="s">
        <v>443</v>
      </c>
      <c r="AC584" s="18" t="s">
        <v>444</v>
      </c>
      <c r="AD584" s="18" t="s">
        <v>85</v>
      </c>
      <c r="AE584" s="18" t="s">
        <v>90</v>
      </c>
      <c r="AF584" s="18" t="s">
        <v>235</v>
      </c>
      <c r="AG584" s="18" t="s">
        <v>139</v>
      </c>
      <c r="AH584" s="18" t="s">
        <v>93</v>
      </c>
      <c r="AI584" s="18" t="s">
        <v>94</v>
      </c>
      <c r="AJ584" s="19">
        <v>44901</v>
      </c>
      <c r="AK584" s="22" t="s">
        <v>95</v>
      </c>
      <c r="AL584" s="18" t="s">
        <v>95</v>
      </c>
      <c r="AM584" s="18" t="s">
        <v>95</v>
      </c>
      <c r="AN584" s="18" t="s">
        <v>95</v>
      </c>
      <c r="AO584" s="18" t="s">
        <v>95</v>
      </c>
      <c r="AP584" s="18" t="s">
        <v>95</v>
      </c>
      <c r="AQ584" s="18" t="s">
        <v>95</v>
      </c>
      <c r="AR584" s="18" t="s">
        <v>95</v>
      </c>
      <c r="AS584" s="18" t="s">
        <v>83</v>
      </c>
      <c r="AT584" s="18" t="s">
        <v>83</v>
      </c>
      <c r="AU584" s="18" t="s">
        <v>81</v>
      </c>
      <c r="AV584" s="18" t="s">
        <v>95</v>
      </c>
      <c r="AW584" s="18" t="s">
        <v>95</v>
      </c>
      <c r="AX584" s="18"/>
      <c r="AY584" s="18" t="str">
        <f>Pospago[[#This Row],[NUM_TELEFONICO]]&amp;"POSPAGOSI"</f>
        <v>987680910POSPAGOSI</v>
      </c>
      <c r="AZ584" s="18" t="str">
        <f>VLOOKUP(Pospago[[#This Row],[NOM_PLAZA_FINAL]],[1]!Locales[#Data],3,0)</f>
        <v>TIENDA CONDADO</v>
      </c>
      <c r="BA584" s="18" t="str">
        <f>IFERROR(VLOOKUP(Pospago[[#This Row],[USUARIO]],[1]!Personal[#Data],6,0),"EJECUTIVO NO REGISTRADO")</f>
        <v>JARAMILLO ESPINOZA KENIA KATRINA</v>
      </c>
      <c r="BB584" s="18" t="str">
        <f>Pospago[[#This Row],[TIPO_MOVIMIENTO]]&amp;" "&amp;Pospago[[#This Row],[FORMA_PAGO_FINAL]]</f>
        <v>ALTAS DOMICILIADO</v>
      </c>
      <c r="BC584" s="18">
        <f>DAY(Pospago[[#This Row],[FECHA_ALTA]])</f>
        <v>6</v>
      </c>
      <c r="BD584" s="18">
        <f>IF(Pospago[[#This Row],[TARIFA_BASICA]]=11.42,1,0)</f>
        <v>0</v>
      </c>
      <c r="BE584" s="18">
        <f>IF(Pospago[[#This Row],[PLANES TELEVENTAS]]="SI",1,0)</f>
        <v>0</v>
      </c>
      <c r="BF584" s="18">
        <f>1</f>
        <v>1</v>
      </c>
      <c r="BG584" s="18">
        <f>IF(OR(Pospago[[#This Row],[TARIFA_BASICA]]=11.42,Pospago[[#This Row],[PLANES TELEVENTAS]]="SI"),1,0)</f>
        <v>0</v>
      </c>
      <c r="BH584" s="18" t="str">
        <f>IF(MID(Pospago[[#This Row],[PlanDesc]],1,4) = "PLAN","POSPAGO",IF(MID(Pospago[[#This Row],[PlanDesc]],1,4)="FULL","FULL MEGAS","PREVIOPAGO"))</f>
        <v>PREVIOPAGO</v>
      </c>
      <c r="BI5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5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84" s="21">
        <f>Pospago[[#This Row],[TARIFA_BASICA]]*1.5</f>
        <v>21.419999999999998</v>
      </c>
    </row>
    <row r="585" spans="1:63" x14ac:dyDescent="0.25">
      <c r="A585" s="18" t="s">
        <v>64</v>
      </c>
      <c r="B585" s="18" t="s">
        <v>3802</v>
      </c>
      <c r="C585" s="18" t="s">
        <v>3803</v>
      </c>
      <c r="D585" s="19">
        <v>44896</v>
      </c>
      <c r="E585" s="18" t="s">
        <v>67</v>
      </c>
      <c r="F585" s="18" t="s">
        <v>3804</v>
      </c>
      <c r="G585" s="18" t="s">
        <v>3805</v>
      </c>
      <c r="H585" s="18" t="s">
        <v>193</v>
      </c>
      <c r="I585" s="18" t="s">
        <v>2207</v>
      </c>
      <c r="J585" s="18" t="s">
        <v>2208</v>
      </c>
      <c r="K585" s="18" t="s">
        <v>73</v>
      </c>
      <c r="L585" s="20" t="s">
        <v>3806</v>
      </c>
      <c r="M585" s="18" t="s">
        <v>75</v>
      </c>
      <c r="N585" s="20" t="s">
        <v>3807</v>
      </c>
      <c r="O585" s="18" t="s">
        <v>77</v>
      </c>
      <c r="P585" s="18" t="s">
        <v>78</v>
      </c>
      <c r="Q585" s="19">
        <v>44914</v>
      </c>
      <c r="R585" s="21">
        <v>15</v>
      </c>
      <c r="S585" s="18" t="s">
        <v>79</v>
      </c>
      <c r="T585" s="18" t="s">
        <v>80</v>
      </c>
      <c r="U585" s="18" t="s">
        <v>83</v>
      </c>
      <c r="V585" s="18" t="s">
        <v>95</v>
      </c>
      <c r="W585" s="18" t="s">
        <v>83</v>
      </c>
      <c r="X585" s="18" t="s">
        <v>118</v>
      </c>
      <c r="Y585" s="18" t="s">
        <v>85</v>
      </c>
      <c r="Z585" s="18" t="s">
        <v>86</v>
      </c>
      <c r="AA585" s="18" t="s">
        <v>119</v>
      </c>
      <c r="AB585" s="18" t="s">
        <v>88</v>
      </c>
      <c r="AC585" s="18" t="s">
        <v>89</v>
      </c>
      <c r="AD585" s="18" t="s">
        <v>85</v>
      </c>
      <c r="AE585" s="18" t="s">
        <v>90</v>
      </c>
      <c r="AF585" s="18" t="s">
        <v>91</v>
      </c>
      <c r="AG585" s="18" t="s">
        <v>92</v>
      </c>
      <c r="AH585" s="18" t="s">
        <v>93</v>
      </c>
      <c r="AI585" s="18" t="s">
        <v>94</v>
      </c>
      <c r="AJ585" s="19">
        <v>44896</v>
      </c>
      <c r="AK585" s="22" t="s">
        <v>95</v>
      </c>
      <c r="AL585" s="18" t="s">
        <v>95</v>
      </c>
      <c r="AM585" s="18" t="s">
        <v>95</v>
      </c>
      <c r="AN585" s="18" t="s">
        <v>95</v>
      </c>
      <c r="AO585" s="18" t="s">
        <v>95</v>
      </c>
      <c r="AP585" s="18" t="s">
        <v>95</v>
      </c>
      <c r="AQ585" s="18" t="s">
        <v>95</v>
      </c>
      <c r="AR585" s="18" t="s">
        <v>95</v>
      </c>
      <c r="AS585" s="18" t="s">
        <v>83</v>
      </c>
      <c r="AT585" s="18" t="s">
        <v>95</v>
      </c>
      <c r="AU585" s="18" t="s">
        <v>95</v>
      </c>
      <c r="AV585" s="18" t="s">
        <v>95</v>
      </c>
      <c r="AW585" s="18" t="s">
        <v>95</v>
      </c>
      <c r="AX585" s="18"/>
      <c r="AY585" s="18" t="str">
        <f>Pospago[[#This Row],[NUM_TELEFONICO]]&amp;"POSPAGOSI"</f>
        <v>987684713POSPAGOSI</v>
      </c>
      <c r="AZ585" s="18" t="str">
        <f>VLOOKUP(Pospago[[#This Row],[NOM_PLAZA_FINAL]],[1]!Locales[#Data],3,0)</f>
        <v>TIENDA CUENCA CENTRO</v>
      </c>
      <c r="BA585" s="18" t="str">
        <f>IFERROR(VLOOKUP(Pospago[[#This Row],[USUARIO]],[1]!Personal[#Data],6,0),"EJECUTIVO NO REGISTRADO")</f>
        <v>ANDRADE CONDO CHRISTIAN EDUARDO</v>
      </c>
      <c r="BB585" s="18" t="str">
        <f>Pospago[[#This Row],[TIPO_MOVIMIENTO]]&amp;" "&amp;Pospago[[#This Row],[FORMA_PAGO_FINAL]]</f>
        <v>ALTAS PAGO EN CAJA</v>
      </c>
      <c r="BC585" s="18">
        <f>DAY(Pospago[[#This Row],[FECHA_ALTA]])</f>
        <v>1</v>
      </c>
      <c r="BD585" s="18">
        <f>IF(Pospago[[#This Row],[TARIFA_BASICA]]=11.42,1,0)</f>
        <v>0</v>
      </c>
      <c r="BE585" s="18">
        <f>IF(Pospago[[#This Row],[PLANES TELEVENTAS]]="SI",1,0)</f>
        <v>0</v>
      </c>
      <c r="BF585" s="18">
        <f>1</f>
        <v>1</v>
      </c>
      <c r="BG585" s="18">
        <f>IF(OR(Pospago[[#This Row],[TARIFA_BASICA]]=11.42,Pospago[[#This Row],[PLANES TELEVENTAS]]="SI"),1,0)</f>
        <v>0</v>
      </c>
      <c r="BH585" s="18" t="str">
        <f>IF(MID(Pospago[[#This Row],[PlanDesc]],1,4) = "PLAN","POSPAGO",IF(MID(Pospago[[#This Row],[PlanDesc]],1,4)="FULL","FULL MEGAS","PREVIOPAGO"))</f>
        <v>FULL MEGAS</v>
      </c>
      <c r="BI5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5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85" s="21">
        <f>Pospago[[#This Row],[TARIFA_BASICA]]*1.5</f>
        <v>22.5</v>
      </c>
    </row>
    <row r="586" spans="1:63" x14ac:dyDescent="0.25">
      <c r="A586" s="18" t="s">
        <v>154</v>
      </c>
      <c r="B586" s="18" t="s">
        <v>3808</v>
      </c>
      <c r="C586" s="18" t="s">
        <v>3809</v>
      </c>
      <c r="D586" s="19">
        <v>44901</v>
      </c>
      <c r="E586" s="18" t="s">
        <v>67</v>
      </c>
      <c r="F586" s="18" t="s">
        <v>3810</v>
      </c>
      <c r="G586" s="18" t="s">
        <v>3811</v>
      </c>
      <c r="H586" s="18" t="s">
        <v>159</v>
      </c>
      <c r="I586" s="18" t="s">
        <v>160</v>
      </c>
      <c r="J586" s="18" t="s">
        <v>161</v>
      </c>
      <c r="K586" s="18" t="s">
        <v>73</v>
      </c>
      <c r="L586" s="20" t="s">
        <v>3812</v>
      </c>
      <c r="M586" s="18" t="s">
        <v>287</v>
      </c>
      <c r="N586" s="20" t="s">
        <v>3813</v>
      </c>
      <c r="O586" s="18" t="s">
        <v>164</v>
      </c>
      <c r="P586" s="18" t="s">
        <v>78</v>
      </c>
      <c r="Q586" s="19">
        <v>44914</v>
      </c>
      <c r="R586" s="21">
        <v>14.28</v>
      </c>
      <c r="S586" s="18" t="s">
        <v>79</v>
      </c>
      <c r="T586" s="18" t="s">
        <v>174</v>
      </c>
      <c r="U586" s="18" t="s">
        <v>83</v>
      </c>
      <c r="V586" s="18" t="s">
        <v>95</v>
      </c>
      <c r="W586" s="18" t="s">
        <v>95</v>
      </c>
      <c r="X586" s="18" t="s">
        <v>84</v>
      </c>
      <c r="Y586" s="18" t="s">
        <v>85</v>
      </c>
      <c r="Z586" s="18" t="s">
        <v>86</v>
      </c>
      <c r="AA586" s="18" t="s">
        <v>87</v>
      </c>
      <c r="AB586" s="18" t="s">
        <v>808</v>
      </c>
      <c r="AC586" s="18" t="s">
        <v>809</v>
      </c>
      <c r="AD586" s="18" t="s">
        <v>85</v>
      </c>
      <c r="AE586" s="18" t="s">
        <v>90</v>
      </c>
      <c r="AF586" s="18" t="s">
        <v>122</v>
      </c>
      <c r="AG586" s="18" t="s">
        <v>92</v>
      </c>
      <c r="AH586" s="18" t="s">
        <v>165</v>
      </c>
      <c r="AI586" s="18" t="s">
        <v>94</v>
      </c>
      <c r="AJ586" s="19">
        <v>44901</v>
      </c>
      <c r="AK586" s="22" t="s">
        <v>95</v>
      </c>
      <c r="AL586" s="18" t="s">
        <v>95</v>
      </c>
      <c r="AM586" s="18" t="s">
        <v>95</v>
      </c>
      <c r="AN586" s="18" t="s">
        <v>95</v>
      </c>
      <c r="AO586" s="18" t="s">
        <v>95</v>
      </c>
      <c r="AP586" s="18" t="s">
        <v>95</v>
      </c>
      <c r="AQ586" s="18" t="s">
        <v>95</v>
      </c>
      <c r="AR586" s="18" t="s">
        <v>95</v>
      </c>
      <c r="AS586" s="18" t="s">
        <v>83</v>
      </c>
      <c r="AT586" s="18" t="s">
        <v>83</v>
      </c>
      <c r="AU586" s="18" t="s">
        <v>81</v>
      </c>
      <c r="AV586" s="18" t="s">
        <v>95</v>
      </c>
      <c r="AW586" s="18" t="s">
        <v>95</v>
      </c>
      <c r="AX586" s="18"/>
      <c r="AY586" s="18" t="str">
        <f>Pospago[[#This Row],[NUM_TELEFONICO]]&amp;"POSPAGOSI"</f>
        <v>987685631POSPAGOSI</v>
      </c>
      <c r="AZ586" s="18" t="str">
        <f>VLOOKUP(Pospago[[#This Row],[NOM_PLAZA_FINAL]],[1]!Locales[#Data],3,0)</f>
        <v>TIENDA MACHALA</v>
      </c>
      <c r="BA586" s="18" t="str">
        <f>IFERROR(VLOOKUP(Pospago[[#This Row],[USUARIO]],[1]!Personal[#Data],6,0),"EJECUTIVO NO REGISTRADO")</f>
        <v>ALICIA ROMINA GONZALEZ SANDOYA</v>
      </c>
      <c r="BB586" s="18" t="str">
        <f>Pospago[[#This Row],[TIPO_MOVIMIENTO]]&amp;" "&amp;Pospago[[#This Row],[FORMA_PAGO_FINAL]]</f>
        <v>TRANSFERENCIAS DOMICILIADO</v>
      </c>
      <c r="BC586" s="18">
        <f>DAY(Pospago[[#This Row],[FECHA_ALTA]])</f>
        <v>6</v>
      </c>
      <c r="BD586" s="18">
        <f>IF(Pospago[[#This Row],[TARIFA_BASICA]]=11.42,1,0)</f>
        <v>0</v>
      </c>
      <c r="BE586" s="18">
        <f>IF(Pospago[[#This Row],[PLANES TELEVENTAS]]="SI",1,0)</f>
        <v>0</v>
      </c>
      <c r="BF586" s="18">
        <f>1</f>
        <v>1</v>
      </c>
      <c r="BG586" s="18">
        <f>IF(OR(Pospago[[#This Row],[TARIFA_BASICA]]=11.42,Pospago[[#This Row],[PLANES TELEVENTAS]]="SI"),1,0)</f>
        <v>0</v>
      </c>
      <c r="BH586" s="18" t="str">
        <f>IF(MID(Pospago[[#This Row],[PlanDesc]],1,4) = "PLAN","POSPAGO",IF(MID(Pospago[[#This Row],[PlanDesc]],1,4)="FULL","FULL MEGAS","PREVIOPAGO"))</f>
        <v>PREVIOPAGO</v>
      </c>
      <c r="BI5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7.26</v>
      </c>
      <c r="BJ5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86" s="21">
        <f>Pospago[[#This Row],[TARIFA_BASICA]]*1.5</f>
        <v>21.419999999999998</v>
      </c>
    </row>
    <row r="587" spans="1:63" x14ac:dyDescent="0.25">
      <c r="A587" s="18" t="s">
        <v>64</v>
      </c>
      <c r="B587" s="18" t="s">
        <v>3814</v>
      </c>
      <c r="C587" s="18" t="s">
        <v>3815</v>
      </c>
      <c r="D587" s="19">
        <v>44902</v>
      </c>
      <c r="E587" s="18" t="s">
        <v>67</v>
      </c>
      <c r="F587" s="18" t="s">
        <v>3816</v>
      </c>
      <c r="G587" s="18" t="s">
        <v>3817</v>
      </c>
      <c r="H587" s="18" t="s">
        <v>70</v>
      </c>
      <c r="I587" s="18" t="s">
        <v>160</v>
      </c>
      <c r="J587" s="18" t="s">
        <v>195</v>
      </c>
      <c r="K587" s="18" t="s">
        <v>114</v>
      </c>
      <c r="L587" s="20" t="s">
        <v>3818</v>
      </c>
      <c r="M587" s="18" t="s">
        <v>75</v>
      </c>
      <c r="N587" s="20" t="s">
        <v>3819</v>
      </c>
      <c r="O587" s="18" t="s">
        <v>77</v>
      </c>
      <c r="P587" s="18" t="s">
        <v>78</v>
      </c>
      <c r="Q587" s="19">
        <v>44914</v>
      </c>
      <c r="R587" s="21">
        <v>14.28</v>
      </c>
      <c r="S587" s="18" t="s">
        <v>79</v>
      </c>
      <c r="T587" s="18" t="s">
        <v>117</v>
      </c>
      <c r="U587" s="18" t="s">
        <v>83</v>
      </c>
      <c r="V587" s="18" t="s">
        <v>95</v>
      </c>
      <c r="W587" s="18" t="s">
        <v>83</v>
      </c>
      <c r="X587" s="18" t="s">
        <v>84</v>
      </c>
      <c r="Y587" s="18" t="s">
        <v>85</v>
      </c>
      <c r="Z587" s="18" t="s">
        <v>86</v>
      </c>
      <c r="AA587" s="18" t="s">
        <v>87</v>
      </c>
      <c r="AB587" s="18" t="s">
        <v>1043</v>
      </c>
      <c r="AC587" s="18" t="s">
        <v>1044</v>
      </c>
      <c r="AD587" s="18" t="s">
        <v>85</v>
      </c>
      <c r="AE587" s="18" t="s">
        <v>90</v>
      </c>
      <c r="AF587" s="18" t="s">
        <v>122</v>
      </c>
      <c r="AG587" s="18" t="s">
        <v>92</v>
      </c>
      <c r="AH587" s="18" t="s">
        <v>93</v>
      </c>
      <c r="AI587" s="18" t="s">
        <v>94</v>
      </c>
      <c r="AJ587" s="19">
        <v>44902</v>
      </c>
      <c r="AK587" s="22" t="s">
        <v>95</v>
      </c>
      <c r="AL587" s="18" t="s">
        <v>95</v>
      </c>
      <c r="AM587" s="18" t="s">
        <v>95</v>
      </c>
      <c r="AN587" s="18" t="s">
        <v>95</v>
      </c>
      <c r="AO587" s="18" t="s">
        <v>95</v>
      </c>
      <c r="AP587" s="18" t="s">
        <v>95</v>
      </c>
      <c r="AQ587" s="18" t="s">
        <v>95</v>
      </c>
      <c r="AR587" s="18" t="s">
        <v>95</v>
      </c>
      <c r="AS587" s="18" t="s">
        <v>83</v>
      </c>
      <c r="AT587" s="18" t="s">
        <v>83</v>
      </c>
      <c r="AU587" s="18" t="s">
        <v>81</v>
      </c>
      <c r="AV587" s="18" t="s">
        <v>95</v>
      </c>
      <c r="AW587" s="18" t="s">
        <v>95</v>
      </c>
      <c r="AX587" s="18"/>
      <c r="AY587" s="18" t="str">
        <f>Pospago[[#This Row],[NUM_TELEFONICO]]&amp;"POSPAGOSI"</f>
        <v>987690464POSPAGOSI</v>
      </c>
      <c r="AZ587" s="18" t="str">
        <f>VLOOKUP(Pospago[[#This Row],[NOM_PLAZA_FINAL]],[1]!Locales[#Data],3,0)</f>
        <v>TIENDA MACHALA</v>
      </c>
      <c r="BA587" s="18" t="str">
        <f>IFERROR(VLOOKUP(Pospago[[#This Row],[USUARIO]],[1]!Personal[#Data],6,0),"EJECUTIVO NO REGISTRADO")</f>
        <v>GONZAGA YUPANGUI LIZBETH KATHERINE</v>
      </c>
      <c r="BB587" s="18" t="str">
        <f>Pospago[[#This Row],[TIPO_MOVIMIENTO]]&amp;" "&amp;Pospago[[#This Row],[FORMA_PAGO_FINAL]]</f>
        <v>ALTAS DOMICILIADO</v>
      </c>
      <c r="BC587" s="18">
        <f>DAY(Pospago[[#This Row],[FECHA_ALTA]])</f>
        <v>7</v>
      </c>
      <c r="BD587" s="18">
        <f>IF(Pospago[[#This Row],[TARIFA_BASICA]]=11.42,1,0)</f>
        <v>0</v>
      </c>
      <c r="BE587" s="18">
        <f>IF(Pospago[[#This Row],[PLANES TELEVENTAS]]="SI",1,0)</f>
        <v>0</v>
      </c>
      <c r="BF587" s="18">
        <f>1</f>
        <v>1</v>
      </c>
      <c r="BG587" s="18">
        <f>IF(OR(Pospago[[#This Row],[TARIFA_BASICA]]=11.42,Pospago[[#This Row],[PLANES TELEVENTAS]]="SI"),1,0)</f>
        <v>0</v>
      </c>
      <c r="BH587" s="18" t="str">
        <f>IF(MID(Pospago[[#This Row],[PlanDesc]],1,4) = "PLAN","POSPAGO",IF(MID(Pospago[[#This Row],[PlanDesc]],1,4)="FULL","FULL MEGAS","PREVIOPAGO"))</f>
        <v>PREVIOPAGO</v>
      </c>
      <c r="BI5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5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87" s="21">
        <f>Pospago[[#This Row],[TARIFA_BASICA]]*1.5</f>
        <v>21.419999999999998</v>
      </c>
    </row>
    <row r="588" spans="1:63" x14ac:dyDescent="0.25">
      <c r="A588" s="18" t="s">
        <v>64</v>
      </c>
      <c r="B588" s="18" t="s">
        <v>3820</v>
      </c>
      <c r="C588" s="18" t="s">
        <v>3821</v>
      </c>
      <c r="D588" s="19">
        <v>44901</v>
      </c>
      <c r="E588" s="18" t="s">
        <v>67</v>
      </c>
      <c r="F588" s="18" t="s">
        <v>3822</v>
      </c>
      <c r="G588" s="18" t="s">
        <v>3823</v>
      </c>
      <c r="H588" s="18" t="s">
        <v>70</v>
      </c>
      <c r="I588" s="18" t="s">
        <v>130</v>
      </c>
      <c r="J588" s="18" t="s">
        <v>131</v>
      </c>
      <c r="K588" s="18" t="s">
        <v>349</v>
      </c>
      <c r="L588" s="20" t="s">
        <v>3824</v>
      </c>
      <c r="M588" s="18" t="s">
        <v>75</v>
      </c>
      <c r="N588" s="20" t="s">
        <v>3825</v>
      </c>
      <c r="O588" s="18" t="s">
        <v>77</v>
      </c>
      <c r="P588" s="18" t="s">
        <v>78</v>
      </c>
      <c r="Q588" s="19">
        <v>44914</v>
      </c>
      <c r="R588" s="21">
        <v>15</v>
      </c>
      <c r="S588" s="18" t="s">
        <v>79</v>
      </c>
      <c r="T588" s="18" t="s">
        <v>117</v>
      </c>
      <c r="U588" s="18" t="s">
        <v>83</v>
      </c>
      <c r="V588" s="18" t="s">
        <v>95</v>
      </c>
      <c r="W588" s="18" t="s">
        <v>83</v>
      </c>
      <c r="X588" s="18" t="s">
        <v>118</v>
      </c>
      <c r="Y588" s="18" t="s">
        <v>85</v>
      </c>
      <c r="Z588" s="18" t="s">
        <v>86</v>
      </c>
      <c r="AA588" s="18" t="s">
        <v>119</v>
      </c>
      <c r="AB588" s="18" t="s">
        <v>352</v>
      </c>
      <c r="AC588" s="18" t="s">
        <v>353</v>
      </c>
      <c r="AD588" s="18" t="s">
        <v>85</v>
      </c>
      <c r="AE588" s="18" t="s">
        <v>90</v>
      </c>
      <c r="AF588" s="18" t="s">
        <v>122</v>
      </c>
      <c r="AG588" s="18" t="s">
        <v>92</v>
      </c>
      <c r="AH588" s="18" t="s">
        <v>93</v>
      </c>
      <c r="AI588" s="18" t="s">
        <v>94</v>
      </c>
      <c r="AJ588" s="19">
        <v>44901</v>
      </c>
      <c r="AK588" s="22" t="s">
        <v>95</v>
      </c>
      <c r="AL588" s="18" t="s">
        <v>95</v>
      </c>
      <c r="AM588" s="18" t="s">
        <v>95</v>
      </c>
      <c r="AN588" s="18" t="s">
        <v>95</v>
      </c>
      <c r="AO588" s="18" t="s">
        <v>95</v>
      </c>
      <c r="AP588" s="18" t="s">
        <v>95</v>
      </c>
      <c r="AQ588" s="18" t="s">
        <v>95</v>
      </c>
      <c r="AR588" s="18" t="s">
        <v>95</v>
      </c>
      <c r="AS588" s="18" t="s">
        <v>83</v>
      </c>
      <c r="AT588" s="18" t="s">
        <v>83</v>
      </c>
      <c r="AU588" s="18" t="s">
        <v>81</v>
      </c>
      <c r="AV588" s="18" t="s">
        <v>95</v>
      </c>
      <c r="AW588" s="18" t="s">
        <v>95</v>
      </c>
      <c r="AX588" s="18"/>
      <c r="AY588" s="18" t="str">
        <f>Pospago[[#This Row],[NUM_TELEFONICO]]&amp;"POSPAGOSI"</f>
        <v>987690659POSPAGOSI</v>
      </c>
      <c r="AZ588" s="18" t="str">
        <f>VLOOKUP(Pospago[[#This Row],[NOM_PLAZA_FINAL]],[1]!Locales[#Data],3,0)</f>
        <v>TIENDA MACHALA</v>
      </c>
      <c r="BA588" s="18" t="str">
        <f>IFERROR(VLOOKUP(Pospago[[#This Row],[USUARIO]],[1]!Personal[#Data],6,0),"EJECUTIVO NO REGISTRADO")</f>
        <v>TENORIO MARIA DEL PILAR</v>
      </c>
      <c r="BB588" s="18" t="str">
        <f>Pospago[[#This Row],[TIPO_MOVIMIENTO]]&amp;" "&amp;Pospago[[#This Row],[FORMA_PAGO_FINAL]]</f>
        <v>ALTAS PAGO EN CAJA</v>
      </c>
      <c r="BC588" s="18">
        <f>DAY(Pospago[[#This Row],[FECHA_ALTA]])</f>
        <v>6</v>
      </c>
      <c r="BD588" s="18">
        <f>IF(Pospago[[#This Row],[TARIFA_BASICA]]=11.42,1,0)</f>
        <v>0</v>
      </c>
      <c r="BE588" s="18">
        <f>IF(Pospago[[#This Row],[PLANES TELEVENTAS]]="SI",1,0)</f>
        <v>0</v>
      </c>
      <c r="BF588" s="18">
        <f>1</f>
        <v>1</v>
      </c>
      <c r="BG588" s="18">
        <f>IF(OR(Pospago[[#This Row],[TARIFA_BASICA]]=11.42,Pospago[[#This Row],[PLANES TELEVENTAS]]="SI"),1,0)</f>
        <v>0</v>
      </c>
      <c r="BH588" s="18" t="str">
        <f>IF(MID(Pospago[[#This Row],[PlanDesc]],1,4) = "PLAN","POSPAGO",IF(MID(Pospago[[#This Row],[PlanDesc]],1,4)="FULL","FULL MEGAS","PREVIOPAGO"))</f>
        <v>PREVIOPAGO</v>
      </c>
      <c r="BI5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14.856</v>
      </c>
      <c r="BJ5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88" s="21">
        <f>Pospago[[#This Row],[TARIFA_BASICA]]*1.5</f>
        <v>22.5</v>
      </c>
    </row>
    <row r="589" spans="1:63" x14ac:dyDescent="0.25">
      <c r="A589" s="18" t="s">
        <v>64</v>
      </c>
      <c r="B589" s="18" t="s">
        <v>3826</v>
      </c>
      <c r="C589" s="18" t="s">
        <v>3827</v>
      </c>
      <c r="D589" s="19">
        <v>44911</v>
      </c>
      <c r="E589" s="18" t="s">
        <v>67</v>
      </c>
      <c r="F589" s="18" t="s">
        <v>3828</v>
      </c>
      <c r="G589" s="18" t="s">
        <v>3829</v>
      </c>
      <c r="H589" s="18" t="s">
        <v>70</v>
      </c>
      <c r="I589" s="18" t="s">
        <v>71</v>
      </c>
      <c r="J589" s="18" t="s">
        <v>72</v>
      </c>
      <c r="K589" s="18" t="s">
        <v>3830</v>
      </c>
      <c r="L589" s="20" t="s">
        <v>3831</v>
      </c>
      <c r="M589" s="18" t="s">
        <v>287</v>
      </c>
      <c r="N589" s="20" t="s">
        <v>3832</v>
      </c>
      <c r="O589" s="18" t="s">
        <v>77</v>
      </c>
      <c r="P589" s="18" t="s">
        <v>78</v>
      </c>
      <c r="Q589" s="19">
        <v>44914</v>
      </c>
      <c r="R589" s="21">
        <v>11.42</v>
      </c>
      <c r="S589" s="18" t="s">
        <v>79</v>
      </c>
      <c r="T589" s="18" t="s">
        <v>117</v>
      </c>
      <c r="U589" s="18" t="s">
        <v>83</v>
      </c>
      <c r="V589" s="18" t="s">
        <v>95</v>
      </c>
      <c r="W589" s="18" t="s">
        <v>83</v>
      </c>
      <c r="X589" s="18" t="s">
        <v>118</v>
      </c>
      <c r="Y589" s="18" t="s">
        <v>85</v>
      </c>
      <c r="Z589" s="18" t="s">
        <v>86</v>
      </c>
      <c r="AA589" s="18" t="s">
        <v>119</v>
      </c>
      <c r="AB589" s="18" t="s">
        <v>1043</v>
      </c>
      <c r="AC589" s="18" t="s">
        <v>1044</v>
      </c>
      <c r="AD589" s="18" t="s">
        <v>85</v>
      </c>
      <c r="AE589" s="18" t="s">
        <v>90</v>
      </c>
      <c r="AF589" s="18" t="s">
        <v>122</v>
      </c>
      <c r="AG589" s="18" t="s">
        <v>92</v>
      </c>
      <c r="AH589" s="18" t="s">
        <v>93</v>
      </c>
      <c r="AI589" s="18" t="s">
        <v>94</v>
      </c>
      <c r="AJ589" s="19">
        <v>44911</v>
      </c>
      <c r="AK589" s="22">
        <v>44911</v>
      </c>
      <c r="AL589" s="18" t="s">
        <v>291</v>
      </c>
      <c r="AM589" s="18" t="s">
        <v>292</v>
      </c>
      <c r="AN589" s="18" t="s">
        <v>494</v>
      </c>
      <c r="AO589" s="18" t="s">
        <v>3200</v>
      </c>
      <c r="AP589" s="18">
        <v>1</v>
      </c>
      <c r="AQ589" s="18">
        <v>169.64286000000001</v>
      </c>
      <c r="AR589" s="18" t="s">
        <v>496</v>
      </c>
      <c r="AS589" s="18" t="s">
        <v>81</v>
      </c>
      <c r="AT589" s="18" t="s">
        <v>83</v>
      </c>
      <c r="AU589" s="18" t="s">
        <v>81</v>
      </c>
      <c r="AV589" s="18" t="s">
        <v>95</v>
      </c>
      <c r="AW589" s="18" t="s">
        <v>95</v>
      </c>
      <c r="AX589" s="18"/>
      <c r="AY589" s="18" t="str">
        <f>Pospago[[#This Row],[NUM_TELEFONICO]]&amp;"POSPAGOSI"</f>
        <v>987697472POSPAGOSI</v>
      </c>
      <c r="AZ589" s="18" t="str">
        <f>VLOOKUP(Pospago[[#This Row],[NOM_PLAZA_FINAL]],[1]!Locales[#Data],3,0)</f>
        <v>TIENDA MACHALA</v>
      </c>
      <c r="BA589" s="18" t="str">
        <f>IFERROR(VLOOKUP(Pospago[[#This Row],[USUARIO]],[1]!Personal[#Data],6,0),"EJECUTIVO NO REGISTRADO")</f>
        <v>GONZAGA YUPANGUI LIZBETH KATHERINE</v>
      </c>
      <c r="BB589" s="18" t="str">
        <f>Pospago[[#This Row],[TIPO_MOVIMIENTO]]&amp;" "&amp;Pospago[[#This Row],[FORMA_PAGO_FINAL]]</f>
        <v>ALTAS PAGO EN CAJA</v>
      </c>
      <c r="BC589" s="18">
        <f>DAY(Pospago[[#This Row],[FECHA_ALTA]])</f>
        <v>16</v>
      </c>
      <c r="BD589" s="18">
        <f>IF(Pospago[[#This Row],[TARIFA_BASICA]]=11.42,1,0)</f>
        <v>1</v>
      </c>
      <c r="BE589" s="18">
        <f>IF(Pospago[[#This Row],[PLANES TELEVENTAS]]="SI",1,0)</f>
        <v>0</v>
      </c>
      <c r="BF589" s="18">
        <f>1</f>
        <v>1</v>
      </c>
      <c r="BG589" s="18">
        <f>IF(OR(Pospago[[#This Row],[TARIFA_BASICA]]=11.42,Pospago[[#This Row],[PLANES TELEVENTAS]]="SI"),1,0)</f>
        <v>1</v>
      </c>
      <c r="BH589" s="18" t="str">
        <f>IF(MID(Pospago[[#This Row],[PlanDesc]],1,4) = "PLAN","POSPAGO",IF(MID(Pospago[[#This Row],[PlanDesc]],1,4)="FULL","FULL MEGAS","PREVIOPAGO"))</f>
        <v>PREVIOPAGO</v>
      </c>
      <c r="BI5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7.4879999999999995</v>
      </c>
      <c r="BJ5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89" s="21">
        <f>Pospago[[#This Row],[TARIFA_BASICA]]*1.5</f>
        <v>17.13</v>
      </c>
    </row>
    <row r="590" spans="1:63" x14ac:dyDescent="0.25">
      <c r="A590" s="18" t="s">
        <v>64</v>
      </c>
      <c r="B590" s="18" t="s">
        <v>3833</v>
      </c>
      <c r="C590" s="18" t="s">
        <v>3834</v>
      </c>
      <c r="D590" s="19">
        <v>44905</v>
      </c>
      <c r="E590" s="18" t="s">
        <v>67</v>
      </c>
      <c r="F590" s="18" t="s">
        <v>3835</v>
      </c>
      <c r="G590" s="18" t="s">
        <v>3836</v>
      </c>
      <c r="H590" s="18" t="s">
        <v>70</v>
      </c>
      <c r="I590" s="18" t="s">
        <v>194</v>
      </c>
      <c r="J590" s="18" t="s">
        <v>195</v>
      </c>
      <c r="K590" s="18" t="s">
        <v>95</v>
      </c>
      <c r="L590" s="20" t="s">
        <v>3837</v>
      </c>
      <c r="M590" s="18" t="s">
        <v>75</v>
      </c>
      <c r="N590" s="20" t="s">
        <v>3838</v>
      </c>
      <c r="O590" s="18" t="s">
        <v>77</v>
      </c>
      <c r="P590" s="18" t="s">
        <v>78</v>
      </c>
      <c r="Q590" s="19">
        <v>44914</v>
      </c>
      <c r="R590" s="21">
        <v>14.28</v>
      </c>
      <c r="S590" s="18" t="s">
        <v>79</v>
      </c>
      <c r="T590" s="18" t="s">
        <v>232</v>
      </c>
      <c r="U590" s="18" t="s">
        <v>83</v>
      </c>
      <c r="V590" s="18" t="s">
        <v>95</v>
      </c>
      <c r="W590" s="18" t="s">
        <v>83</v>
      </c>
      <c r="X590" s="18" t="s">
        <v>118</v>
      </c>
      <c r="Y590" s="18" t="s">
        <v>85</v>
      </c>
      <c r="Z590" s="18" t="s">
        <v>86</v>
      </c>
      <c r="AA590" s="18" t="s">
        <v>119</v>
      </c>
      <c r="AB590" s="18" t="s">
        <v>280</v>
      </c>
      <c r="AC590" s="18" t="s">
        <v>281</v>
      </c>
      <c r="AD590" s="18" t="s">
        <v>85</v>
      </c>
      <c r="AE590" s="18" t="s">
        <v>90</v>
      </c>
      <c r="AF590" s="18" t="s">
        <v>235</v>
      </c>
      <c r="AG590" s="18" t="s">
        <v>139</v>
      </c>
      <c r="AH590" s="18" t="s">
        <v>93</v>
      </c>
      <c r="AI590" s="18" t="s">
        <v>94</v>
      </c>
      <c r="AJ590" s="19">
        <v>44905</v>
      </c>
      <c r="AK590" s="22" t="s">
        <v>95</v>
      </c>
      <c r="AL590" s="18" t="s">
        <v>95</v>
      </c>
      <c r="AM590" s="18" t="s">
        <v>95</v>
      </c>
      <c r="AN590" s="18" t="s">
        <v>95</v>
      </c>
      <c r="AO590" s="18" t="s">
        <v>95</v>
      </c>
      <c r="AP590" s="18" t="s">
        <v>95</v>
      </c>
      <c r="AQ590" s="18" t="s">
        <v>95</v>
      </c>
      <c r="AR590" s="18" t="s">
        <v>95</v>
      </c>
      <c r="AS590" s="18" t="s">
        <v>83</v>
      </c>
      <c r="AT590" s="18" t="s">
        <v>81</v>
      </c>
      <c r="AU590" s="18" t="s">
        <v>81</v>
      </c>
      <c r="AV590" s="18" t="s">
        <v>95</v>
      </c>
      <c r="AW590" s="18" t="s">
        <v>95</v>
      </c>
      <c r="AX590" s="18"/>
      <c r="AY590" s="18" t="str">
        <f>Pospago[[#This Row],[NUM_TELEFONICO]]&amp;"POSPAGOSI"</f>
        <v>987698082POSPAGOSI</v>
      </c>
      <c r="AZ590" s="18" t="str">
        <f>VLOOKUP(Pospago[[#This Row],[NOM_PLAZA_FINAL]],[1]!Locales[#Data],3,0)</f>
        <v>TIENDA CONDADO</v>
      </c>
      <c r="BA590" s="18" t="str">
        <f>IFERROR(VLOOKUP(Pospago[[#This Row],[USUARIO]],[1]!Personal[#Data],6,0),"EJECUTIVO NO REGISTRADO")</f>
        <v>GUACHAMIN CAZA HUGO ADRIAN</v>
      </c>
      <c r="BB590" s="18" t="str">
        <f>Pospago[[#This Row],[TIPO_MOVIMIENTO]]&amp;" "&amp;Pospago[[#This Row],[FORMA_PAGO_FINAL]]</f>
        <v>ALTAS PAGO EN CAJA</v>
      </c>
      <c r="BC590" s="18">
        <f>DAY(Pospago[[#This Row],[FECHA_ALTA]])</f>
        <v>10</v>
      </c>
      <c r="BD590" s="18">
        <f>IF(Pospago[[#This Row],[TARIFA_BASICA]]=11.42,1,0)</f>
        <v>0</v>
      </c>
      <c r="BE590" s="18">
        <f>IF(Pospago[[#This Row],[PLANES TELEVENTAS]]="SI",1,0)</f>
        <v>1</v>
      </c>
      <c r="BF590" s="18">
        <f>1</f>
        <v>1</v>
      </c>
      <c r="BG590" s="18">
        <f>IF(OR(Pospago[[#This Row],[TARIFA_BASICA]]=11.42,Pospago[[#This Row],[PLANES TELEVENTAS]]="SI"),1,0)</f>
        <v>1</v>
      </c>
      <c r="BH590" s="18" t="str">
        <f>IF(MID(Pospago[[#This Row],[PlanDesc]],1,4) = "PLAN","POSPAGO",IF(MID(Pospago[[#This Row],[PlanDesc]],1,4)="FULL","FULL MEGAS","PREVIOPAGO"))</f>
        <v>PREVIOPAGO</v>
      </c>
      <c r="BI5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90" s="21">
        <f>Pospago[[#This Row],[TARIFA_BASICA]]*1.5</f>
        <v>21.419999999999998</v>
      </c>
    </row>
    <row r="591" spans="1:63" x14ac:dyDescent="0.25">
      <c r="A591" s="18" t="s">
        <v>154</v>
      </c>
      <c r="B591" s="18" t="s">
        <v>3839</v>
      </c>
      <c r="C591" s="18" t="s">
        <v>3840</v>
      </c>
      <c r="D591" s="19">
        <v>44907</v>
      </c>
      <c r="E591" s="18" t="s">
        <v>67</v>
      </c>
      <c r="F591" s="18" t="s">
        <v>3841</v>
      </c>
      <c r="G591" s="18" t="s">
        <v>3842</v>
      </c>
      <c r="H591" s="18" t="s">
        <v>159</v>
      </c>
      <c r="I591" s="18" t="s">
        <v>227</v>
      </c>
      <c r="J591" s="18" t="s">
        <v>426</v>
      </c>
      <c r="K591" s="18" t="s">
        <v>73</v>
      </c>
      <c r="L591" s="20" t="s">
        <v>3843</v>
      </c>
      <c r="M591" s="18" t="s">
        <v>75</v>
      </c>
      <c r="N591" s="20" t="s">
        <v>3844</v>
      </c>
      <c r="O591" s="18" t="s">
        <v>164</v>
      </c>
      <c r="P591" s="18" t="s">
        <v>78</v>
      </c>
      <c r="Q591" s="19">
        <v>44914</v>
      </c>
      <c r="R591" s="21">
        <v>21.42</v>
      </c>
      <c r="S591" s="18" t="s">
        <v>79</v>
      </c>
      <c r="T591" s="18" t="s">
        <v>80</v>
      </c>
      <c r="U591" s="18" t="s">
        <v>83</v>
      </c>
      <c r="V591" s="18" t="s">
        <v>95</v>
      </c>
      <c r="W591" s="18" t="s">
        <v>95</v>
      </c>
      <c r="X591" s="18" t="s">
        <v>84</v>
      </c>
      <c r="Y591" s="18" t="s">
        <v>85</v>
      </c>
      <c r="Z591" s="18" t="s">
        <v>86</v>
      </c>
      <c r="AA591" s="18" t="s">
        <v>87</v>
      </c>
      <c r="AB591" s="18" t="s">
        <v>242</v>
      </c>
      <c r="AC591" s="18" t="s">
        <v>243</v>
      </c>
      <c r="AD591" s="18" t="s">
        <v>85</v>
      </c>
      <c r="AE591" s="18" t="s">
        <v>90</v>
      </c>
      <c r="AF591" s="18" t="s">
        <v>91</v>
      </c>
      <c r="AG591" s="18" t="s">
        <v>92</v>
      </c>
      <c r="AH591" s="18" t="s">
        <v>165</v>
      </c>
      <c r="AI591" s="18" t="s">
        <v>94</v>
      </c>
      <c r="AJ591" s="19">
        <v>44907</v>
      </c>
      <c r="AK591" s="22" t="s">
        <v>95</v>
      </c>
      <c r="AL591" s="18" t="s">
        <v>95</v>
      </c>
      <c r="AM591" s="18" t="s">
        <v>95</v>
      </c>
      <c r="AN591" s="18" t="s">
        <v>95</v>
      </c>
      <c r="AO591" s="18" t="s">
        <v>95</v>
      </c>
      <c r="AP591" s="18" t="s">
        <v>95</v>
      </c>
      <c r="AQ591" s="18" t="s">
        <v>95</v>
      </c>
      <c r="AR591" s="18" t="s">
        <v>95</v>
      </c>
      <c r="AS591" s="18" t="s">
        <v>83</v>
      </c>
      <c r="AT591" s="18" t="s">
        <v>83</v>
      </c>
      <c r="AU591" s="18" t="s">
        <v>81</v>
      </c>
      <c r="AV591" s="18" t="s">
        <v>95</v>
      </c>
      <c r="AW591" s="18" t="s">
        <v>95</v>
      </c>
      <c r="AX591" s="18"/>
      <c r="AY591" s="18" t="str">
        <f>Pospago[[#This Row],[NUM_TELEFONICO]]&amp;"POSPAGOSI"</f>
        <v>987700016POSPAGOSI</v>
      </c>
      <c r="AZ591" s="18" t="str">
        <f>VLOOKUP(Pospago[[#This Row],[NOM_PLAZA_FINAL]],[1]!Locales[#Data],3,0)</f>
        <v>TIENDA CUENCA CENTRO</v>
      </c>
      <c r="BA591" s="18" t="str">
        <f>IFERROR(VLOOKUP(Pospago[[#This Row],[USUARIO]],[1]!Personal[#Data],6,0),"EJECUTIVO NO REGISTRADO")</f>
        <v>VALLEJO DELEG ROMAN NICOLAS</v>
      </c>
      <c r="BB591" s="18" t="str">
        <f>Pospago[[#This Row],[TIPO_MOVIMIENTO]]&amp;" "&amp;Pospago[[#This Row],[FORMA_PAGO_FINAL]]</f>
        <v>TRANSFERENCIAS DOMICILIADO</v>
      </c>
      <c r="BC591" s="18">
        <f>DAY(Pospago[[#This Row],[FECHA_ALTA]])</f>
        <v>12</v>
      </c>
      <c r="BD591" s="18">
        <f>IF(Pospago[[#This Row],[TARIFA_BASICA]]=11.42,1,0)</f>
        <v>0</v>
      </c>
      <c r="BE591" s="18">
        <f>IF(Pospago[[#This Row],[PLANES TELEVENTAS]]="SI",1,0)</f>
        <v>0</v>
      </c>
      <c r="BF591" s="18">
        <f>1</f>
        <v>1</v>
      </c>
      <c r="BG591" s="18">
        <f>IF(OR(Pospago[[#This Row],[TARIFA_BASICA]]=11.42,Pospago[[#This Row],[PLANES TELEVENTAS]]="SI"),1,0)</f>
        <v>0</v>
      </c>
      <c r="BH591" s="18" t="str">
        <f>IF(MID(Pospago[[#This Row],[PlanDesc]],1,4) = "PLAN","POSPAGO",IF(MID(Pospago[[#This Row],[PlanDesc]],1,4)="FULL","FULL MEGAS","PREVIOPAGO"))</f>
        <v>PREVIOPAGO</v>
      </c>
      <c r="BI5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</v>
      </c>
      <c r="BJ5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91" s="21">
        <f>Pospago[[#This Row],[TARIFA_BASICA]]*1.5</f>
        <v>32.130000000000003</v>
      </c>
    </row>
    <row r="592" spans="1:63" x14ac:dyDescent="0.25">
      <c r="A592" s="18" t="s">
        <v>154</v>
      </c>
      <c r="B592" s="18" t="s">
        <v>3845</v>
      </c>
      <c r="C592" s="18" t="s">
        <v>3846</v>
      </c>
      <c r="D592" s="19">
        <v>44897</v>
      </c>
      <c r="E592" s="18" t="s">
        <v>67</v>
      </c>
      <c r="F592" s="18" t="s">
        <v>3847</v>
      </c>
      <c r="G592" s="18" t="s">
        <v>3848</v>
      </c>
      <c r="H592" s="18" t="s">
        <v>159</v>
      </c>
      <c r="I592" s="18" t="s">
        <v>160</v>
      </c>
      <c r="J592" s="18" t="s">
        <v>161</v>
      </c>
      <c r="K592" s="18" t="s">
        <v>132</v>
      </c>
      <c r="L592" s="20" t="s">
        <v>3849</v>
      </c>
      <c r="M592" s="18" t="s">
        <v>75</v>
      </c>
      <c r="N592" s="20" t="s">
        <v>3850</v>
      </c>
      <c r="O592" s="18" t="s">
        <v>164</v>
      </c>
      <c r="P592" s="18" t="s">
        <v>78</v>
      </c>
      <c r="Q592" s="19">
        <v>44914</v>
      </c>
      <c r="R592" s="21">
        <v>14.28</v>
      </c>
      <c r="S592" s="18" t="s">
        <v>79</v>
      </c>
      <c r="T592" s="18" t="s">
        <v>174</v>
      </c>
      <c r="U592" s="18" t="s">
        <v>83</v>
      </c>
      <c r="V592" s="18" t="s">
        <v>95</v>
      </c>
      <c r="W592" s="18" t="s">
        <v>95</v>
      </c>
      <c r="X592" s="18" t="s">
        <v>84</v>
      </c>
      <c r="Y592" s="18" t="s">
        <v>85</v>
      </c>
      <c r="Z592" s="18" t="s">
        <v>86</v>
      </c>
      <c r="AA592" s="18" t="s">
        <v>87</v>
      </c>
      <c r="AB592" s="18" t="s">
        <v>2159</v>
      </c>
      <c r="AC592" s="18" t="s">
        <v>2160</v>
      </c>
      <c r="AD592" s="18" t="s">
        <v>85</v>
      </c>
      <c r="AE592" s="18" t="s">
        <v>90</v>
      </c>
      <c r="AF592" s="18" t="s">
        <v>177</v>
      </c>
      <c r="AG592" s="18" t="s">
        <v>139</v>
      </c>
      <c r="AH592" s="18" t="s">
        <v>165</v>
      </c>
      <c r="AI592" s="18" t="s">
        <v>94</v>
      </c>
      <c r="AJ592" s="19">
        <v>44897</v>
      </c>
      <c r="AK592" s="22" t="s">
        <v>95</v>
      </c>
      <c r="AL592" s="18" t="s">
        <v>95</v>
      </c>
      <c r="AM592" s="18" t="s">
        <v>95</v>
      </c>
      <c r="AN592" s="18" t="s">
        <v>95</v>
      </c>
      <c r="AO592" s="18" t="s">
        <v>95</v>
      </c>
      <c r="AP592" s="18" t="s">
        <v>95</v>
      </c>
      <c r="AQ592" s="18" t="s">
        <v>95</v>
      </c>
      <c r="AR592" s="18" t="s">
        <v>95</v>
      </c>
      <c r="AS592" s="18" t="s">
        <v>83</v>
      </c>
      <c r="AT592" s="18" t="s">
        <v>83</v>
      </c>
      <c r="AU592" s="18" t="s">
        <v>81</v>
      </c>
      <c r="AV592" s="18" t="s">
        <v>95</v>
      </c>
      <c r="AW592" s="18" t="s">
        <v>95</v>
      </c>
      <c r="AX592" s="18"/>
      <c r="AY592" s="18" t="str">
        <f>Pospago[[#This Row],[NUM_TELEFONICO]]&amp;"POSPAGOSI"</f>
        <v>987701644POSPAGOSI</v>
      </c>
      <c r="AZ592" s="18" t="str">
        <f>VLOOKUP(Pospago[[#This Row],[NOM_PLAZA_FINAL]],[1]!Locales[#Data],3,0)</f>
        <v>TIENDA RECREO</v>
      </c>
      <c r="BA592" s="18" t="str">
        <f>IFERROR(VLOOKUP(Pospago[[#This Row],[USUARIO]],[1]!Personal[#Data],6,0),"EJECUTIVO NO REGISTRADO")</f>
        <v>GUEVARA MAZA CRISTIAN FABIAN</v>
      </c>
      <c r="BB592" s="18" t="str">
        <f>Pospago[[#This Row],[TIPO_MOVIMIENTO]]&amp;" "&amp;Pospago[[#This Row],[FORMA_PAGO_FINAL]]</f>
        <v>TRANSFERENCIAS DOMICILIADO</v>
      </c>
      <c r="BC592" s="18">
        <f>DAY(Pospago[[#This Row],[FECHA_ALTA]])</f>
        <v>2</v>
      </c>
      <c r="BD592" s="18">
        <f>IF(Pospago[[#This Row],[TARIFA_BASICA]]=11.42,1,0)</f>
        <v>0</v>
      </c>
      <c r="BE592" s="18">
        <f>IF(Pospago[[#This Row],[PLANES TELEVENTAS]]="SI",1,0)</f>
        <v>0</v>
      </c>
      <c r="BF592" s="18">
        <f>1</f>
        <v>1</v>
      </c>
      <c r="BG592" s="18">
        <f>IF(OR(Pospago[[#This Row],[TARIFA_BASICA]]=11.42,Pospago[[#This Row],[PLANES TELEVENTAS]]="SI"),1,0)</f>
        <v>0</v>
      </c>
      <c r="BH592" s="18" t="str">
        <f>IF(MID(Pospago[[#This Row],[PlanDesc]],1,4) = "PLAN","POSPAGO",IF(MID(Pospago[[#This Row],[PlanDesc]],1,4)="FULL","FULL MEGAS","PREVIOPAGO"))</f>
        <v>PREVIOPAGO</v>
      </c>
      <c r="BI5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92" s="21">
        <f>Pospago[[#This Row],[TARIFA_BASICA]]*1.5</f>
        <v>21.419999999999998</v>
      </c>
    </row>
    <row r="593" spans="1:63" x14ac:dyDescent="0.25">
      <c r="A593" s="18" t="s">
        <v>64</v>
      </c>
      <c r="B593" s="18" t="s">
        <v>3851</v>
      </c>
      <c r="C593" s="18" t="s">
        <v>3852</v>
      </c>
      <c r="D593" s="19">
        <v>44903</v>
      </c>
      <c r="E593" s="18" t="s">
        <v>67</v>
      </c>
      <c r="F593" s="18" t="s">
        <v>3853</v>
      </c>
      <c r="G593" s="18" t="s">
        <v>3854</v>
      </c>
      <c r="H593" s="18" t="s">
        <v>70</v>
      </c>
      <c r="I593" s="18" t="s">
        <v>160</v>
      </c>
      <c r="J593" s="18" t="s">
        <v>195</v>
      </c>
      <c r="K593" s="18" t="s">
        <v>132</v>
      </c>
      <c r="L593" s="20" t="s">
        <v>3855</v>
      </c>
      <c r="M593" s="18" t="s">
        <v>75</v>
      </c>
      <c r="N593" s="20" t="s">
        <v>3856</v>
      </c>
      <c r="O593" s="18" t="s">
        <v>77</v>
      </c>
      <c r="P593" s="18" t="s">
        <v>78</v>
      </c>
      <c r="Q593" s="19">
        <v>44914</v>
      </c>
      <c r="R593" s="21">
        <v>14.28</v>
      </c>
      <c r="S593" s="18" t="s">
        <v>79</v>
      </c>
      <c r="T593" s="18" t="s">
        <v>232</v>
      </c>
      <c r="U593" s="18" t="s">
        <v>83</v>
      </c>
      <c r="V593" s="18" t="s">
        <v>95</v>
      </c>
      <c r="W593" s="18" t="s">
        <v>83</v>
      </c>
      <c r="X593" s="18" t="s">
        <v>118</v>
      </c>
      <c r="Y593" s="18" t="s">
        <v>85</v>
      </c>
      <c r="Z593" s="18" t="s">
        <v>86</v>
      </c>
      <c r="AA593" s="18" t="s">
        <v>119</v>
      </c>
      <c r="AB593" s="18" t="s">
        <v>769</v>
      </c>
      <c r="AC593" s="18" t="s">
        <v>770</v>
      </c>
      <c r="AD593" s="18" t="s">
        <v>85</v>
      </c>
      <c r="AE593" s="18" t="s">
        <v>90</v>
      </c>
      <c r="AF593" s="18" t="s">
        <v>235</v>
      </c>
      <c r="AG593" s="18" t="s">
        <v>139</v>
      </c>
      <c r="AH593" s="18" t="s">
        <v>93</v>
      </c>
      <c r="AI593" s="18" t="s">
        <v>94</v>
      </c>
      <c r="AJ593" s="19">
        <v>44903</v>
      </c>
      <c r="AK593" s="22" t="s">
        <v>95</v>
      </c>
      <c r="AL593" s="18" t="s">
        <v>95</v>
      </c>
      <c r="AM593" s="18" t="s">
        <v>95</v>
      </c>
      <c r="AN593" s="18" t="s">
        <v>95</v>
      </c>
      <c r="AO593" s="18" t="s">
        <v>95</v>
      </c>
      <c r="AP593" s="18" t="s">
        <v>95</v>
      </c>
      <c r="AQ593" s="18" t="s">
        <v>95</v>
      </c>
      <c r="AR593" s="18" t="s">
        <v>95</v>
      </c>
      <c r="AS593" s="18" t="s">
        <v>83</v>
      </c>
      <c r="AT593" s="18" t="s">
        <v>83</v>
      </c>
      <c r="AU593" s="18" t="s">
        <v>81</v>
      </c>
      <c r="AV593" s="18" t="s">
        <v>95</v>
      </c>
      <c r="AW593" s="18" t="s">
        <v>95</v>
      </c>
      <c r="AX593" s="18"/>
      <c r="AY593" s="18" t="str">
        <f>Pospago[[#This Row],[NUM_TELEFONICO]]&amp;"POSPAGOSI"</f>
        <v>987703111POSPAGOSI</v>
      </c>
      <c r="AZ593" s="18" t="str">
        <f>VLOOKUP(Pospago[[#This Row],[NOM_PLAZA_FINAL]],[1]!Locales[#Data],3,0)</f>
        <v>TIENDA CONDADO</v>
      </c>
      <c r="BA593" s="18" t="str">
        <f>IFERROR(VLOOKUP(Pospago[[#This Row],[USUARIO]],[1]!Personal[#Data],6,0),"EJECUTIVO NO REGISTRADO")</f>
        <v>ROJAS VEGA JHOSMERY MICHELE</v>
      </c>
      <c r="BB593" s="18" t="str">
        <f>Pospago[[#This Row],[TIPO_MOVIMIENTO]]&amp;" "&amp;Pospago[[#This Row],[FORMA_PAGO_FINAL]]</f>
        <v>ALTAS PAGO EN CAJA</v>
      </c>
      <c r="BC593" s="18">
        <f>DAY(Pospago[[#This Row],[FECHA_ALTA]])</f>
        <v>8</v>
      </c>
      <c r="BD593" s="18">
        <f>IF(Pospago[[#This Row],[TARIFA_BASICA]]=11.42,1,0)</f>
        <v>0</v>
      </c>
      <c r="BE593" s="18">
        <f>IF(Pospago[[#This Row],[PLANES TELEVENTAS]]="SI",1,0)</f>
        <v>0</v>
      </c>
      <c r="BF593" s="18">
        <f>1</f>
        <v>1</v>
      </c>
      <c r="BG593" s="18">
        <f>IF(OR(Pospago[[#This Row],[TARIFA_BASICA]]=11.42,Pospago[[#This Row],[PLANES TELEVENTAS]]="SI"),1,0)</f>
        <v>0</v>
      </c>
      <c r="BH593" s="18" t="str">
        <f>IF(MID(Pospago[[#This Row],[PlanDesc]],1,4) = "PLAN","POSPAGO",IF(MID(Pospago[[#This Row],[PlanDesc]],1,4)="FULL","FULL MEGAS","PREVIOPAGO"))</f>
        <v>PREVIOPAGO</v>
      </c>
      <c r="BI5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5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93" s="21">
        <f>Pospago[[#This Row],[TARIFA_BASICA]]*1.5</f>
        <v>21.419999999999998</v>
      </c>
    </row>
    <row r="594" spans="1:63" x14ac:dyDescent="0.25">
      <c r="A594" s="18" t="s">
        <v>154</v>
      </c>
      <c r="B594" s="18" t="s">
        <v>3857</v>
      </c>
      <c r="C594" s="18" t="s">
        <v>3858</v>
      </c>
      <c r="D594" s="19">
        <v>44900</v>
      </c>
      <c r="E594" s="18" t="s">
        <v>67</v>
      </c>
      <c r="F594" s="18" t="s">
        <v>3859</v>
      </c>
      <c r="G594" s="18" t="s">
        <v>3860</v>
      </c>
      <c r="H594" s="18" t="s">
        <v>159</v>
      </c>
      <c r="I594" s="18" t="s">
        <v>160</v>
      </c>
      <c r="J594" s="18" t="s">
        <v>161</v>
      </c>
      <c r="K594" s="18" t="s">
        <v>132</v>
      </c>
      <c r="L594" s="20" t="s">
        <v>3861</v>
      </c>
      <c r="M594" s="18" t="s">
        <v>75</v>
      </c>
      <c r="N594" s="20" t="s">
        <v>3862</v>
      </c>
      <c r="O594" s="18" t="s">
        <v>164</v>
      </c>
      <c r="P594" s="18" t="s">
        <v>78</v>
      </c>
      <c r="Q594" s="19">
        <v>44914</v>
      </c>
      <c r="R594" s="21">
        <v>14.28</v>
      </c>
      <c r="S594" s="18" t="s">
        <v>79</v>
      </c>
      <c r="T594" s="18" t="s">
        <v>232</v>
      </c>
      <c r="U594" s="18" t="s">
        <v>83</v>
      </c>
      <c r="V594" s="18" t="s">
        <v>95</v>
      </c>
      <c r="W594" s="18" t="s">
        <v>95</v>
      </c>
      <c r="X594" s="18" t="s">
        <v>84</v>
      </c>
      <c r="Y594" s="18" t="s">
        <v>85</v>
      </c>
      <c r="Z594" s="18" t="s">
        <v>86</v>
      </c>
      <c r="AA594" s="18" t="s">
        <v>87</v>
      </c>
      <c r="AB594" s="18" t="s">
        <v>271</v>
      </c>
      <c r="AC594" s="18" t="s">
        <v>272</v>
      </c>
      <c r="AD594" s="18" t="s">
        <v>85</v>
      </c>
      <c r="AE594" s="18" t="s">
        <v>90</v>
      </c>
      <c r="AF594" s="18" t="s">
        <v>235</v>
      </c>
      <c r="AG594" s="18" t="s">
        <v>139</v>
      </c>
      <c r="AH594" s="18" t="s">
        <v>165</v>
      </c>
      <c r="AI594" s="18" t="s">
        <v>94</v>
      </c>
      <c r="AJ594" s="19">
        <v>44900</v>
      </c>
      <c r="AK594" s="22" t="s">
        <v>95</v>
      </c>
      <c r="AL594" s="18" t="s">
        <v>95</v>
      </c>
      <c r="AM594" s="18" t="s">
        <v>95</v>
      </c>
      <c r="AN594" s="18" t="s">
        <v>95</v>
      </c>
      <c r="AO594" s="18" t="s">
        <v>95</v>
      </c>
      <c r="AP594" s="18" t="s">
        <v>95</v>
      </c>
      <c r="AQ594" s="18" t="s">
        <v>95</v>
      </c>
      <c r="AR594" s="18" t="s">
        <v>95</v>
      </c>
      <c r="AS594" s="18" t="s">
        <v>83</v>
      </c>
      <c r="AT594" s="18" t="s">
        <v>83</v>
      </c>
      <c r="AU594" s="18" t="s">
        <v>81</v>
      </c>
      <c r="AV594" s="18" t="s">
        <v>95</v>
      </c>
      <c r="AW594" s="18" t="s">
        <v>95</v>
      </c>
      <c r="AX594" s="18"/>
      <c r="AY594" s="18" t="str">
        <f>Pospago[[#This Row],[NUM_TELEFONICO]]&amp;"POSPAGOSI"</f>
        <v>987711203POSPAGOSI</v>
      </c>
      <c r="AZ594" s="18" t="str">
        <f>VLOOKUP(Pospago[[#This Row],[NOM_PLAZA_FINAL]],[1]!Locales[#Data],3,0)</f>
        <v>TIENDA CONDADO</v>
      </c>
      <c r="BA594" s="18" t="str">
        <f>IFERROR(VLOOKUP(Pospago[[#This Row],[USUARIO]],[1]!Personal[#Data],6,0),"EJECUTIVO NO REGISTRADO")</f>
        <v>CASTILLO AGUIRRE EDWIN MODESTO</v>
      </c>
      <c r="BB594" s="18" t="str">
        <f>Pospago[[#This Row],[TIPO_MOVIMIENTO]]&amp;" "&amp;Pospago[[#This Row],[FORMA_PAGO_FINAL]]</f>
        <v>TRANSFERENCIAS DOMICILIADO</v>
      </c>
      <c r="BC594" s="18">
        <f>DAY(Pospago[[#This Row],[FECHA_ALTA]])</f>
        <v>5</v>
      </c>
      <c r="BD594" s="18">
        <f>IF(Pospago[[#This Row],[TARIFA_BASICA]]=11.42,1,0)</f>
        <v>0</v>
      </c>
      <c r="BE594" s="18">
        <f>IF(Pospago[[#This Row],[PLANES TELEVENTAS]]="SI",1,0)</f>
        <v>0</v>
      </c>
      <c r="BF594" s="18">
        <f>1</f>
        <v>1</v>
      </c>
      <c r="BG594" s="18">
        <f>IF(OR(Pospago[[#This Row],[TARIFA_BASICA]]=11.42,Pospago[[#This Row],[PLANES TELEVENTAS]]="SI"),1,0)</f>
        <v>0</v>
      </c>
      <c r="BH594" s="18" t="str">
        <f>IF(MID(Pospago[[#This Row],[PlanDesc]],1,4) = "PLAN","POSPAGO",IF(MID(Pospago[[#This Row],[PlanDesc]],1,4)="FULL","FULL MEGAS","PREVIOPAGO"))</f>
        <v>PREVIOPAGO</v>
      </c>
      <c r="BI5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5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94" s="21">
        <f>Pospago[[#This Row],[TARIFA_BASICA]]*1.5</f>
        <v>21.419999999999998</v>
      </c>
    </row>
    <row r="595" spans="1:63" x14ac:dyDescent="0.25">
      <c r="A595" s="18" t="s">
        <v>154</v>
      </c>
      <c r="B595" s="18" t="s">
        <v>3863</v>
      </c>
      <c r="C595" s="18" t="s">
        <v>3864</v>
      </c>
      <c r="D595" s="19">
        <v>44910</v>
      </c>
      <c r="E595" s="18" t="s">
        <v>67</v>
      </c>
      <c r="F595" s="18" t="s">
        <v>3865</v>
      </c>
      <c r="G595" s="18" t="s">
        <v>3866</v>
      </c>
      <c r="H595" s="18" t="s">
        <v>159</v>
      </c>
      <c r="I595" s="18" t="s">
        <v>71</v>
      </c>
      <c r="J595" s="18" t="s">
        <v>258</v>
      </c>
      <c r="K595" s="18" t="s">
        <v>73</v>
      </c>
      <c r="L595" s="20" t="s">
        <v>3867</v>
      </c>
      <c r="M595" s="18" t="s">
        <v>75</v>
      </c>
      <c r="N595" s="20" t="s">
        <v>3868</v>
      </c>
      <c r="O595" s="18" t="s">
        <v>164</v>
      </c>
      <c r="P595" s="18" t="s">
        <v>78</v>
      </c>
      <c r="Q595" s="19">
        <v>44914</v>
      </c>
      <c r="R595" s="21">
        <v>11.42</v>
      </c>
      <c r="S595" s="18" t="s">
        <v>79</v>
      </c>
      <c r="T595" s="18" t="s">
        <v>135</v>
      </c>
      <c r="U595" s="18" t="s">
        <v>83</v>
      </c>
      <c r="V595" s="18" t="s">
        <v>95</v>
      </c>
      <c r="W595" s="18" t="s">
        <v>95</v>
      </c>
      <c r="X595" s="18" t="s">
        <v>118</v>
      </c>
      <c r="Y595" s="18" t="s">
        <v>85</v>
      </c>
      <c r="Z595" s="18" t="s">
        <v>86</v>
      </c>
      <c r="AA595" s="18" t="s">
        <v>119</v>
      </c>
      <c r="AB595" s="18" t="s">
        <v>866</v>
      </c>
      <c r="AC595" s="18" t="s">
        <v>867</v>
      </c>
      <c r="AD595" s="18" t="s">
        <v>85</v>
      </c>
      <c r="AE595" s="18" t="s">
        <v>90</v>
      </c>
      <c r="AF595" s="18" t="s">
        <v>138</v>
      </c>
      <c r="AG595" s="18" t="s">
        <v>139</v>
      </c>
      <c r="AH595" s="18" t="s">
        <v>165</v>
      </c>
      <c r="AI595" s="18" t="s">
        <v>94</v>
      </c>
      <c r="AJ595" s="19">
        <v>44910</v>
      </c>
      <c r="AK595" s="22" t="s">
        <v>95</v>
      </c>
      <c r="AL595" s="18" t="s">
        <v>95</v>
      </c>
      <c r="AM595" s="18" t="s">
        <v>95</v>
      </c>
      <c r="AN595" s="18" t="s">
        <v>95</v>
      </c>
      <c r="AO595" s="18" t="s">
        <v>95</v>
      </c>
      <c r="AP595" s="18" t="s">
        <v>95</v>
      </c>
      <c r="AQ595" s="18" t="s">
        <v>95</v>
      </c>
      <c r="AR595" s="18" t="s">
        <v>95</v>
      </c>
      <c r="AS595" s="18" t="s">
        <v>83</v>
      </c>
      <c r="AT595" s="18" t="s">
        <v>83</v>
      </c>
      <c r="AU595" s="18" t="s">
        <v>81</v>
      </c>
      <c r="AV595" s="18" t="s">
        <v>95</v>
      </c>
      <c r="AW595" s="18" t="s">
        <v>95</v>
      </c>
      <c r="AX595" s="18"/>
      <c r="AY595" s="18" t="str">
        <f>Pospago[[#This Row],[NUM_TELEFONICO]]&amp;"POSPAGOSI"</f>
        <v>987712632POSPAGOSI</v>
      </c>
      <c r="AZ595" s="18" t="str">
        <f>VLOOKUP(Pospago[[#This Row],[NOM_PLAZA_FINAL]],[1]!Locales[#Data],3,0)</f>
        <v>TIENDA AMERICA</v>
      </c>
      <c r="BA595" s="18" t="str">
        <f>IFERROR(VLOOKUP(Pospago[[#This Row],[USUARIO]],[1]!Personal[#Data],6,0),"EJECUTIVO NO REGISTRADO")</f>
        <v>ORTEGA RUIZ GABRIEL ANTONIO</v>
      </c>
      <c r="BB595" s="18" t="str">
        <f>Pospago[[#This Row],[TIPO_MOVIMIENTO]]&amp;" "&amp;Pospago[[#This Row],[FORMA_PAGO_FINAL]]</f>
        <v>TRANSFERENCIAS PAGO EN CAJA</v>
      </c>
      <c r="BC595" s="18">
        <f>DAY(Pospago[[#This Row],[FECHA_ALTA]])</f>
        <v>15</v>
      </c>
      <c r="BD595" s="18">
        <f>IF(Pospago[[#This Row],[TARIFA_BASICA]]=11.42,1,0)</f>
        <v>1</v>
      </c>
      <c r="BE595" s="18">
        <f>IF(Pospago[[#This Row],[PLANES TELEVENTAS]]="SI",1,0)</f>
        <v>0</v>
      </c>
      <c r="BF595" s="18">
        <f>1</f>
        <v>1</v>
      </c>
      <c r="BG595" s="18">
        <f>IF(OR(Pospago[[#This Row],[TARIFA_BASICA]]=11.42,Pospago[[#This Row],[PLANES TELEVENTAS]]="SI"),1,0)</f>
        <v>1</v>
      </c>
      <c r="BH595" s="18" t="str">
        <f>IF(MID(Pospago[[#This Row],[PlanDesc]],1,4) = "PLAN","POSPAGO",IF(MID(Pospago[[#This Row],[PlanDesc]],1,4)="FULL","FULL MEGAS","PREVIOPAGO"))</f>
        <v>PREVIOPAGO</v>
      </c>
      <c r="BI5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5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95" s="21">
        <f>Pospago[[#This Row],[TARIFA_BASICA]]*1.5</f>
        <v>17.13</v>
      </c>
    </row>
    <row r="596" spans="1:63" x14ac:dyDescent="0.25">
      <c r="A596" s="18" t="s">
        <v>154</v>
      </c>
      <c r="B596" s="18" t="s">
        <v>3869</v>
      </c>
      <c r="C596" s="18" t="s">
        <v>3870</v>
      </c>
      <c r="D596" s="19">
        <v>44903</v>
      </c>
      <c r="E596" s="18" t="s">
        <v>67</v>
      </c>
      <c r="F596" s="18" t="s">
        <v>3871</v>
      </c>
      <c r="G596" s="18" t="s">
        <v>3872</v>
      </c>
      <c r="H596" s="18" t="s">
        <v>159</v>
      </c>
      <c r="I596" s="18" t="s">
        <v>130</v>
      </c>
      <c r="J596" s="18" t="s">
        <v>433</v>
      </c>
      <c r="K596" s="18" t="s">
        <v>132</v>
      </c>
      <c r="L596" s="20" t="s">
        <v>3873</v>
      </c>
      <c r="M596" s="18" t="s">
        <v>75</v>
      </c>
      <c r="N596" s="20" t="s">
        <v>3874</v>
      </c>
      <c r="O596" s="18" t="s">
        <v>2241</v>
      </c>
      <c r="P596" s="18" t="s">
        <v>78</v>
      </c>
      <c r="Q596" s="19">
        <v>44914</v>
      </c>
      <c r="R596" s="21">
        <v>15</v>
      </c>
      <c r="S596" s="18" t="s">
        <v>79</v>
      </c>
      <c r="T596" s="18" t="s">
        <v>232</v>
      </c>
      <c r="U596" s="18" t="s">
        <v>83</v>
      </c>
      <c r="V596" s="18" t="s">
        <v>95</v>
      </c>
      <c r="W596" s="18" t="s">
        <v>95</v>
      </c>
      <c r="X596" s="18" t="s">
        <v>84</v>
      </c>
      <c r="Y596" s="18" t="s">
        <v>85</v>
      </c>
      <c r="Z596" s="18" t="s">
        <v>86</v>
      </c>
      <c r="AA596" s="18" t="s">
        <v>87</v>
      </c>
      <c r="AB596" s="18" t="s">
        <v>377</v>
      </c>
      <c r="AC596" s="18" t="s">
        <v>378</v>
      </c>
      <c r="AD596" s="18" t="s">
        <v>85</v>
      </c>
      <c r="AE596" s="18" t="s">
        <v>90</v>
      </c>
      <c r="AF596" s="18" t="s">
        <v>235</v>
      </c>
      <c r="AG596" s="18" t="s">
        <v>139</v>
      </c>
      <c r="AH596" s="18" t="s">
        <v>165</v>
      </c>
      <c r="AI596" s="18" t="s">
        <v>94</v>
      </c>
      <c r="AJ596" s="19">
        <v>44903</v>
      </c>
      <c r="AK596" s="22" t="s">
        <v>95</v>
      </c>
      <c r="AL596" s="18" t="s">
        <v>95</v>
      </c>
      <c r="AM596" s="18" t="s">
        <v>95</v>
      </c>
      <c r="AN596" s="18" t="s">
        <v>95</v>
      </c>
      <c r="AO596" s="18" t="s">
        <v>95</v>
      </c>
      <c r="AP596" s="18" t="s">
        <v>95</v>
      </c>
      <c r="AQ596" s="18" t="s">
        <v>95</v>
      </c>
      <c r="AR596" s="18" t="s">
        <v>95</v>
      </c>
      <c r="AS596" s="18" t="s">
        <v>83</v>
      </c>
      <c r="AT596" s="18" t="s">
        <v>83</v>
      </c>
      <c r="AU596" s="18" t="s">
        <v>81</v>
      </c>
      <c r="AV596" s="18" t="s">
        <v>95</v>
      </c>
      <c r="AW596" s="18" t="s">
        <v>291</v>
      </c>
      <c r="AX596" s="18"/>
      <c r="AY596" s="18" t="str">
        <f>Pospago[[#This Row],[NUM_TELEFONICO]]&amp;"POSPAGOSI"</f>
        <v>987715618POSPAGOSI</v>
      </c>
      <c r="AZ596" s="18" t="str">
        <f>VLOOKUP(Pospago[[#This Row],[NOM_PLAZA_FINAL]],[1]!Locales[#Data],3,0)</f>
        <v>TIENDA CONDADO</v>
      </c>
      <c r="BA596" s="18" t="str">
        <f>IFERROR(VLOOKUP(Pospago[[#This Row],[USUARIO]],[1]!Personal[#Data],6,0),"EJECUTIVO NO REGISTRADO")</f>
        <v>MELCHIADE ISAAC VALMORE</v>
      </c>
      <c r="BB596" s="18" t="str">
        <f>Pospago[[#This Row],[TIPO_MOVIMIENTO]]&amp;" "&amp;Pospago[[#This Row],[FORMA_PAGO_FINAL]]</f>
        <v>TRANSFERENCIAS DOMICILIADO</v>
      </c>
      <c r="BC596" s="18">
        <f>DAY(Pospago[[#This Row],[FECHA_ALTA]])</f>
        <v>8</v>
      </c>
      <c r="BD596" s="18">
        <f>IF(Pospago[[#This Row],[TARIFA_BASICA]]=11.42,1,0)</f>
        <v>0</v>
      </c>
      <c r="BE596" s="18">
        <f>IF(Pospago[[#This Row],[PLANES TELEVENTAS]]="SI",1,0)</f>
        <v>0</v>
      </c>
      <c r="BF596" s="18">
        <f>1</f>
        <v>1</v>
      </c>
      <c r="BG596" s="18">
        <f>IF(OR(Pospago[[#This Row],[TARIFA_BASICA]]=11.42,Pospago[[#This Row],[PLANES TELEVENTAS]]="SI"),1,0)</f>
        <v>0</v>
      </c>
      <c r="BH596" s="18" t="str">
        <f>IF(MID(Pospago[[#This Row],[PlanDesc]],1,4) = "PLAN","POSPAGO",IF(MID(Pospago[[#This Row],[PlanDesc]],1,4)="FULL","FULL MEGAS","PREVIOPAGO"))</f>
        <v>PREVIOPAGO</v>
      </c>
      <c r="BI5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5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96" s="21">
        <f>Pospago[[#This Row],[TARIFA_BASICA]]*1.5</f>
        <v>22.5</v>
      </c>
    </row>
    <row r="597" spans="1:63" x14ac:dyDescent="0.25">
      <c r="A597" s="18" t="s">
        <v>154</v>
      </c>
      <c r="B597" s="18" t="s">
        <v>3875</v>
      </c>
      <c r="C597" s="18" t="s">
        <v>3876</v>
      </c>
      <c r="D597" s="19">
        <v>44912</v>
      </c>
      <c r="E597" s="18" t="s">
        <v>67</v>
      </c>
      <c r="F597" s="18" t="s">
        <v>3877</v>
      </c>
      <c r="G597" s="18" t="s">
        <v>3878</v>
      </c>
      <c r="H597" s="18" t="s">
        <v>159</v>
      </c>
      <c r="I597" s="18" t="s">
        <v>160</v>
      </c>
      <c r="J597" s="18" t="s">
        <v>161</v>
      </c>
      <c r="K597" s="18" t="s">
        <v>73</v>
      </c>
      <c r="L597" s="20" t="s">
        <v>3879</v>
      </c>
      <c r="M597" s="18" t="s">
        <v>75</v>
      </c>
      <c r="N597" s="20" t="s">
        <v>3880</v>
      </c>
      <c r="O597" s="18" t="s">
        <v>164</v>
      </c>
      <c r="P597" s="18" t="s">
        <v>78</v>
      </c>
      <c r="Q597" s="19">
        <v>44914</v>
      </c>
      <c r="R597" s="21">
        <v>14.28</v>
      </c>
      <c r="S597" s="18" t="s">
        <v>79</v>
      </c>
      <c r="T597" s="18" t="s">
        <v>174</v>
      </c>
      <c r="U597" s="18" t="s">
        <v>83</v>
      </c>
      <c r="V597" s="18" t="s">
        <v>95</v>
      </c>
      <c r="W597" s="18" t="s">
        <v>95</v>
      </c>
      <c r="X597" s="18" t="s">
        <v>118</v>
      </c>
      <c r="Y597" s="18" t="s">
        <v>85</v>
      </c>
      <c r="Z597" s="18" t="s">
        <v>86</v>
      </c>
      <c r="AA597" s="18" t="s">
        <v>119</v>
      </c>
      <c r="AB597" s="18" t="s">
        <v>760</v>
      </c>
      <c r="AC597" s="18" t="s">
        <v>761</v>
      </c>
      <c r="AD597" s="18" t="s">
        <v>85</v>
      </c>
      <c r="AE597" s="18" t="s">
        <v>90</v>
      </c>
      <c r="AF597" s="18" t="s">
        <v>177</v>
      </c>
      <c r="AG597" s="18" t="s">
        <v>139</v>
      </c>
      <c r="AH597" s="18" t="s">
        <v>165</v>
      </c>
      <c r="AI597" s="18" t="s">
        <v>94</v>
      </c>
      <c r="AJ597" s="19">
        <v>44912</v>
      </c>
      <c r="AK597" s="22" t="s">
        <v>95</v>
      </c>
      <c r="AL597" s="18" t="s">
        <v>95</v>
      </c>
      <c r="AM597" s="18" t="s">
        <v>95</v>
      </c>
      <c r="AN597" s="18" t="s">
        <v>95</v>
      </c>
      <c r="AO597" s="18" t="s">
        <v>95</v>
      </c>
      <c r="AP597" s="18" t="s">
        <v>95</v>
      </c>
      <c r="AQ597" s="18" t="s">
        <v>95</v>
      </c>
      <c r="AR597" s="18" t="s">
        <v>95</v>
      </c>
      <c r="AS597" s="18" t="s">
        <v>83</v>
      </c>
      <c r="AT597" s="18" t="s">
        <v>83</v>
      </c>
      <c r="AU597" s="18" t="s">
        <v>81</v>
      </c>
      <c r="AV597" s="18" t="s">
        <v>95</v>
      </c>
      <c r="AW597" s="18" t="s">
        <v>291</v>
      </c>
      <c r="AX597" s="18"/>
      <c r="AY597" s="18" t="str">
        <f>Pospago[[#This Row],[NUM_TELEFONICO]]&amp;"POSPAGOSI"</f>
        <v>987721062POSPAGOSI</v>
      </c>
      <c r="AZ597" s="18" t="str">
        <f>VLOOKUP(Pospago[[#This Row],[NOM_PLAZA_FINAL]],[1]!Locales[#Data],3,0)</f>
        <v>TIENDA RECREO</v>
      </c>
      <c r="BA597" s="18" t="str">
        <f>IFERROR(VLOOKUP(Pospago[[#This Row],[USUARIO]],[1]!Personal[#Data],6,0),"EJECUTIVO NO REGISTRADO")</f>
        <v>VALBUENA SANCHEZ ALBERT ANTHONY</v>
      </c>
      <c r="BB597" s="18" t="str">
        <f>Pospago[[#This Row],[TIPO_MOVIMIENTO]]&amp;" "&amp;Pospago[[#This Row],[FORMA_PAGO_FINAL]]</f>
        <v>TRANSFERENCIAS PAGO EN CAJA</v>
      </c>
      <c r="BC597" s="18">
        <f>DAY(Pospago[[#This Row],[FECHA_ALTA]])</f>
        <v>17</v>
      </c>
      <c r="BD597" s="18">
        <f>IF(Pospago[[#This Row],[TARIFA_BASICA]]=11.42,1,0)</f>
        <v>0</v>
      </c>
      <c r="BE597" s="18">
        <f>IF(Pospago[[#This Row],[PLANES TELEVENTAS]]="SI",1,0)</f>
        <v>0</v>
      </c>
      <c r="BF597" s="18">
        <f>1</f>
        <v>1</v>
      </c>
      <c r="BG597" s="18">
        <f>IF(OR(Pospago[[#This Row],[TARIFA_BASICA]]=11.42,Pospago[[#This Row],[PLANES TELEVENTAS]]="SI"),1,0)</f>
        <v>0</v>
      </c>
      <c r="BH597" s="18" t="str">
        <f>IF(MID(Pospago[[#This Row],[PlanDesc]],1,4) = "PLAN","POSPAGO",IF(MID(Pospago[[#This Row],[PlanDesc]],1,4)="FULL","FULL MEGAS","PREVIOPAGO"))</f>
        <v>PREVIOPAGO</v>
      </c>
      <c r="BI5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5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97" s="21">
        <f>Pospago[[#This Row],[TARIFA_BASICA]]*1.5</f>
        <v>21.419999999999998</v>
      </c>
    </row>
    <row r="598" spans="1:63" x14ac:dyDescent="0.25">
      <c r="A598" s="18" t="s">
        <v>154</v>
      </c>
      <c r="B598" s="18" t="s">
        <v>3881</v>
      </c>
      <c r="C598" s="18" t="s">
        <v>3882</v>
      </c>
      <c r="D598" s="19">
        <v>44911</v>
      </c>
      <c r="E598" s="18" t="s">
        <v>67</v>
      </c>
      <c r="F598" s="18" t="s">
        <v>3883</v>
      </c>
      <c r="G598" s="18" t="s">
        <v>3884</v>
      </c>
      <c r="H598" s="18" t="s">
        <v>159</v>
      </c>
      <c r="I598" s="18" t="s">
        <v>71</v>
      </c>
      <c r="J598" s="18" t="s">
        <v>258</v>
      </c>
      <c r="K598" s="18" t="s">
        <v>95</v>
      </c>
      <c r="L598" s="20" t="s">
        <v>3885</v>
      </c>
      <c r="M598" s="18" t="s">
        <v>287</v>
      </c>
      <c r="N598" s="20" t="s">
        <v>3886</v>
      </c>
      <c r="O598" s="18" t="s">
        <v>164</v>
      </c>
      <c r="P598" s="18" t="s">
        <v>78</v>
      </c>
      <c r="Q598" s="19">
        <v>44914</v>
      </c>
      <c r="R598" s="21">
        <v>11.42</v>
      </c>
      <c r="S598" s="18" t="s">
        <v>79</v>
      </c>
      <c r="T598" s="18" t="s">
        <v>174</v>
      </c>
      <c r="U598" s="18" t="s">
        <v>83</v>
      </c>
      <c r="V598" s="18" t="s">
        <v>95</v>
      </c>
      <c r="W598" s="18" t="s">
        <v>95</v>
      </c>
      <c r="X598" s="18" t="s">
        <v>118</v>
      </c>
      <c r="Y598" s="18" t="s">
        <v>85</v>
      </c>
      <c r="Z598" s="18" t="s">
        <v>86</v>
      </c>
      <c r="AA598" s="18" t="s">
        <v>119</v>
      </c>
      <c r="AB598" s="18" t="s">
        <v>740</v>
      </c>
      <c r="AC598" s="18" t="s">
        <v>741</v>
      </c>
      <c r="AD598" s="18" t="s">
        <v>85</v>
      </c>
      <c r="AE598" s="18" t="s">
        <v>90</v>
      </c>
      <c r="AF598" s="18" t="s">
        <v>177</v>
      </c>
      <c r="AG598" s="18" t="s">
        <v>139</v>
      </c>
      <c r="AH598" s="18" t="s">
        <v>165</v>
      </c>
      <c r="AI598" s="18" t="s">
        <v>94</v>
      </c>
      <c r="AJ598" s="19">
        <v>44911</v>
      </c>
      <c r="AK598" s="22" t="s">
        <v>95</v>
      </c>
      <c r="AL598" s="18" t="s">
        <v>95</v>
      </c>
      <c r="AM598" s="18" t="s">
        <v>95</v>
      </c>
      <c r="AN598" s="18" t="s">
        <v>95</v>
      </c>
      <c r="AO598" s="18" t="s">
        <v>95</v>
      </c>
      <c r="AP598" s="18" t="s">
        <v>95</v>
      </c>
      <c r="AQ598" s="18" t="s">
        <v>95</v>
      </c>
      <c r="AR598" s="18" t="s">
        <v>95</v>
      </c>
      <c r="AS598" s="18" t="s">
        <v>83</v>
      </c>
      <c r="AT598" s="18" t="s">
        <v>83</v>
      </c>
      <c r="AU598" s="18" t="s">
        <v>81</v>
      </c>
      <c r="AV598" s="18" t="s">
        <v>95</v>
      </c>
      <c r="AW598" s="18" t="s">
        <v>96</v>
      </c>
      <c r="AX598" s="18"/>
      <c r="AY598" s="18" t="str">
        <f>Pospago[[#This Row],[NUM_TELEFONICO]]&amp;"POSPAGOSI"</f>
        <v>987725682POSPAGOSI</v>
      </c>
      <c r="AZ598" s="18" t="str">
        <f>VLOOKUP(Pospago[[#This Row],[NOM_PLAZA_FINAL]],[1]!Locales[#Data],3,0)</f>
        <v>TIENDA RECREO</v>
      </c>
      <c r="BA598" s="18" t="str">
        <f>IFERROR(VLOOKUP(Pospago[[#This Row],[USUARIO]],[1]!Personal[#Data],6,0),"EJECUTIVO NO REGISTRADO")</f>
        <v>CHAVEZ VASQUEZ YESSENIA KATHERINE</v>
      </c>
      <c r="BB598" s="18" t="str">
        <f>Pospago[[#This Row],[TIPO_MOVIMIENTO]]&amp;" "&amp;Pospago[[#This Row],[FORMA_PAGO_FINAL]]</f>
        <v>TRANSFERENCIAS PAGO EN CAJA</v>
      </c>
      <c r="BC598" s="18">
        <f>DAY(Pospago[[#This Row],[FECHA_ALTA]])</f>
        <v>16</v>
      </c>
      <c r="BD598" s="18">
        <f>IF(Pospago[[#This Row],[TARIFA_BASICA]]=11.42,1,0)</f>
        <v>1</v>
      </c>
      <c r="BE598" s="18">
        <f>IF(Pospago[[#This Row],[PLANES TELEVENTAS]]="SI",1,0)</f>
        <v>0</v>
      </c>
      <c r="BF598" s="18">
        <f>1</f>
        <v>1</v>
      </c>
      <c r="BG598" s="18">
        <f>IF(OR(Pospago[[#This Row],[TARIFA_BASICA]]=11.42,Pospago[[#This Row],[PLANES TELEVENTAS]]="SI"),1,0)</f>
        <v>1</v>
      </c>
      <c r="BH598" s="18" t="str">
        <f>IF(MID(Pospago[[#This Row],[PlanDesc]],1,4) = "PLAN","POSPAGO",IF(MID(Pospago[[#This Row],[PlanDesc]],1,4)="FULL","FULL MEGAS","PREVIOPAGO"))</f>
        <v>PREVIOPAGO</v>
      </c>
      <c r="BI5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5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598" s="21">
        <f>Pospago[[#This Row],[TARIFA_BASICA]]*1.5</f>
        <v>17.13</v>
      </c>
    </row>
    <row r="599" spans="1:63" x14ac:dyDescent="0.25">
      <c r="A599" s="18" t="s">
        <v>64</v>
      </c>
      <c r="B599" s="18" t="s">
        <v>3887</v>
      </c>
      <c r="C599" s="18" t="s">
        <v>3888</v>
      </c>
      <c r="D599" s="19">
        <v>44898</v>
      </c>
      <c r="E599" s="18" t="s">
        <v>246</v>
      </c>
      <c r="F599" s="18" t="s">
        <v>3889</v>
      </c>
      <c r="G599" s="18" t="s">
        <v>3890</v>
      </c>
      <c r="H599" s="18" t="s">
        <v>70</v>
      </c>
      <c r="I599" s="18" t="s">
        <v>392</v>
      </c>
      <c r="J599" s="18" t="s">
        <v>131</v>
      </c>
      <c r="K599" s="18" t="s">
        <v>132</v>
      </c>
      <c r="L599" s="20" t="s">
        <v>3891</v>
      </c>
      <c r="M599" s="18" t="s">
        <v>287</v>
      </c>
      <c r="N599" s="20" t="s">
        <v>3892</v>
      </c>
      <c r="O599" s="18" t="s">
        <v>77</v>
      </c>
      <c r="P599" s="18" t="s">
        <v>78</v>
      </c>
      <c r="Q599" s="19">
        <v>44914</v>
      </c>
      <c r="R599" s="21">
        <v>15</v>
      </c>
      <c r="S599" s="18" t="s">
        <v>79</v>
      </c>
      <c r="T599" s="18" t="s">
        <v>232</v>
      </c>
      <c r="U599" s="18" t="s">
        <v>83</v>
      </c>
      <c r="V599" s="18" t="s">
        <v>95</v>
      </c>
      <c r="W599" s="18" t="s">
        <v>83</v>
      </c>
      <c r="X599" s="18" t="s">
        <v>118</v>
      </c>
      <c r="Y599" s="18" t="s">
        <v>85</v>
      </c>
      <c r="Z599" s="18" t="s">
        <v>86</v>
      </c>
      <c r="AA599" s="18" t="s">
        <v>119</v>
      </c>
      <c r="AB599" s="18" t="s">
        <v>233</v>
      </c>
      <c r="AC599" s="18" t="s">
        <v>234</v>
      </c>
      <c r="AD599" s="18" t="s">
        <v>85</v>
      </c>
      <c r="AE599" s="18" t="s">
        <v>90</v>
      </c>
      <c r="AF599" s="18" t="s">
        <v>235</v>
      </c>
      <c r="AG599" s="18" t="s">
        <v>139</v>
      </c>
      <c r="AH599" s="18" t="s">
        <v>93</v>
      </c>
      <c r="AI599" s="18" t="s">
        <v>94</v>
      </c>
      <c r="AJ599" s="19">
        <v>44898</v>
      </c>
      <c r="AK599" s="22">
        <v>44898</v>
      </c>
      <c r="AL599" s="18" t="s">
        <v>291</v>
      </c>
      <c r="AM599" s="18" t="s">
        <v>292</v>
      </c>
      <c r="AN599" s="18" t="s">
        <v>494</v>
      </c>
      <c r="AO599" s="18" t="s">
        <v>294</v>
      </c>
      <c r="AP599" s="18">
        <v>1</v>
      </c>
      <c r="AQ599" s="18">
        <v>102.67856999999999</v>
      </c>
      <c r="AR599" s="18" t="s">
        <v>496</v>
      </c>
      <c r="AS599" s="18" t="s">
        <v>81</v>
      </c>
      <c r="AT599" s="18" t="s">
        <v>81</v>
      </c>
      <c r="AU599" s="18" t="s">
        <v>81</v>
      </c>
      <c r="AV599" s="18" t="s">
        <v>95</v>
      </c>
      <c r="AW599" s="18" t="s">
        <v>95</v>
      </c>
      <c r="AX599" s="18"/>
      <c r="AY599" s="18" t="str">
        <f>Pospago[[#This Row],[NUM_TELEFONICO]]&amp;"POSPAGOSI"</f>
        <v>987731199POSPAGOSI</v>
      </c>
      <c r="AZ599" s="18" t="str">
        <f>VLOOKUP(Pospago[[#This Row],[NOM_PLAZA_FINAL]],[1]!Locales[#Data],3,0)</f>
        <v>TIENDA CONDADO</v>
      </c>
      <c r="BA599" s="18" t="str">
        <f>IFERROR(VLOOKUP(Pospago[[#This Row],[USUARIO]],[1]!Personal[#Data],6,0),"EJECUTIVO NO REGISTRADO")</f>
        <v>ROSALES MALDONADO JESSICA GABRIELA</v>
      </c>
      <c r="BB599" s="18" t="str">
        <f>Pospago[[#This Row],[TIPO_MOVIMIENTO]]&amp;" "&amp;Pospago[[#This Row],[FORMA_PAGO_FINAL]]</f>
        <v>ALTAS PAGO EN CAJA</v>
      </c>
      <c r="BC599" s="18">
        <f>DAY(Pospago[[#This Row],[FECHA_ALTA]])</f>
        <v>3</v>
      </c>
      <c r="BD599" s="18">
        <f>IF(Pospago[[#This Row],[TARIFA_BASICA]]=11.42,1,0)</f>
        <v>0</v>
      </c>
      <c r="BE599" s="18">
        <f>IF(Pospago[[#This Row],[PLANES TELEVENTAS]]="SI",1,0)</f>
        <v>1</v>
      </c>
      <c r="BF599" s="18">
        <f>1</f>
        <v>1</v>
      </c>
      <c r="BG599" s="18">
        <f>IF(OR(Pospago[[#This Row],[TARIFA_BASICA]]=11.42,Pospago[[#This Row],[PLANES TELEVENTAS]]="SI"),1,0)</f>
        <v>1</v>
      </c>
      <c r="BH599" s="18" t="str">
        <f>IF(MID(Pospago[[#This Row],[PlanDesc]],1,4) = "PLAN","POSPAGO",IF(MID(Pospago[[#This Row],[PlanDesc]],1,4)="FULL","FULL MEGAS","PREVIOPAGO"))</f>
        <v>PREVIOPAGO</v>
      </c>
      <c r="BI5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5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599" s="21">
        <f>Pospago[[#This Row],[TARIFA_BASICA]]*1.5</f>
        <v>22.5</v>
      </c>
    </row>
    <row r="600" spans="1:63" x14ac:dyDescent="0.25">
      <c r="A600" s="18" t="s">
        <v>64</v>
      </c>
      <c r="B600" s="18" t="s">
        <v>3893</v>
      </c>
      <c r="C600" s="18" t="s">
        <v>3894</v>
      </c>
      <c r="D600" s="19">
        <v>44908</v>
      </c>
      <c r="E600" s="18" t="s">
        <v>67</v>
      </c>
      <c r="F600" s="18" t="s">
        <v>3895</v>
      </c>
      <c r="G600" s="18" t="s">
        <v>3896</v>
      </c>
      <c r="H600" s="18" t="s">
        <v>70</v>
      </c>
      <c r="I600" s="18" t="s">
        <v>160</v>
      </c>
      <c r="J600" s="18" t="s">
        <v>195</v>
      </c>
      <c r="K600" s="18" t="s">
        <v>73</v>
      </c>
      <c r="L600" s="20" t="s">
        <v>3897</v>
      </c>
      <c r="M600" s="18" t="s">
        <v>75</v>
      </c>
      <c r="N600" s="20" t="s">
        <v>3898</v>
      </c>
      <c r="O600" s="18" t="s">
        <v>77</v>
      </c>
      <c r="P600" s="18" t="s">
        <v>78</v>
      </c>
      <c r="Q600" s="19">
        <v>44914</v>
      </c>
      <c r="R600" s="21">
        <v>14.28</v>
      </c>
      <c r="S600" s="18" t="s">
        <v>79</v>
      </c>
      <c r="T600" s="18" t="s">
        <v>80</v>
      </c>
      <c r="U600" s="18" t="s">
        <v>83</v>
      </c>
      <c r="V600" s="18" t="s">
        <v>95</v>
      </c>
      <c r="W600" s="18" t="s">
        <v>83</v>
      </c>
      <c r="X600" s="18" t="s">
        <v>84</v>
      </c>
      <c r="Y600" s="18" t="s">
        <v>85</v>
      </c>
      <c r="Z600" s="18" t="s">
        <v>86</v>
      </c>
      <c r="AA600" s="18" t="s">
        <v>87</v>
      </c>
      <c r="AB600" s="18" t="s">
        <v>880</v>
      </c>
      <c r="AC600" s="18" t="s">
        <v>881</v>
      </c>
      <c r="AD600" s="18" t="s">
        <v>85</v>
      </c>
      <c r="AE600" s="18" t="s">
        <v>90</v>
      </c>
      <c r="AF600" s="18" t="s">
        <v>91</v>
      </c>
      <c r="AG600" s="18" t="s">
        <v>92</v>
      </c>
      <c r="AH600" s="18" t="s">
        <v>93</v>
      </c>
      <c r="AI600" s="18" t="s">
        <v>94</v>
      </c>
      <c r="AJ600" s="19">
        <v>44908</v>
      </c>
      <c r="AK600" s="22" t="s">
        <v>95</v>
      </c>
      <c r="AL600" s="18" t="s">
        <v>95</v>
      </c>
      <c r="AM600" s="18" t="s">
        <v>95</v>
      </c>
      <c r="AN600" s="18" t="s">
        <v>95</v>
      </c>
      <c r="AO600" s="18" t="s">
        <v>95</v>
      </c>
      <c r="AP600" s="18" t="s">
        <v>95</v>
      </c>
      <c r="AQ600" s="18" t="s">
        <v>95</v>
      </c>
      <c r="AR600" s="18" t="s">
        <v>95</v>
      </c>
      <c r="AS600" s="18" t="s">
        <v>83</v>
      </c>
      <c r="AT600" s="18" t="s">
        <v>83</v>
      </c>
      <c r="AU600" s="18" t="s">
        <v>81</v>
      </c>
      <c r="AV600" s="18" t="s">
        <v>95</v>
      </c>
      <c r="AW600" s="18" t="s">
        <v>95</v>
      </c>
      <c r="AX600" s="18"/>
      <c r="AY600" s="18" t="str">
        <f>Pospago[[#This Row],[NUM_TELEFONICO]]&amp;"POSPAGOSI"</f>
        <v>987736304POSPAGOSI</v>
      </c>
      <c r="AZ600" s="18" t="str">
        <f>VLOOKUP(Pospago[[#This Row],[NOM_PLAZA_FINAL]],[1]!Locales[#Data],3,0)</f>
        <v>TIENDA CUENCA CENTRO</v>
      </c>
      <c r="BA600" s="18" t="str">
        <f>IFERROR(VLOOKUP(Pospago[[#This Row],[USUARIO]],[1]!Personal[#Data],6,0),"EJECUTIVO NO REGISTRADO")</f>
        <v>LUNA JACHO ANDREA GABRIELA</v>
      </c>
      <c r="BB600" s="18" t="str">
        <f>Pospago[[#This Row],[TIPO_MOVIMIENTO]]&amp;" "&amp;Pospago[[#This Row],[FORMA_PAGO_FINAL]]</f>
        <v>ALTAS DOMICILIADO</v>
      </c>
      <c r="BC600" s="18">
        <f>DAY(Pospago[[#This Row],[FECHA_ALTA]])</f>
        <v>13</v>
      </c>
      <c r="BD600" s="18">
        <f>IF(Pospago[[#This Row],[TARIFA_BASICA]]=11.42,1,0)</f>
        <v>0</v>
      </c>
      <c r="BE600" s="18">
        <f>IF(Pospago[[#This Row],[PLANES TELEVENTAS]]="SI",1,0)</f>
        <v>0</v>
      </c>
      <c r="BF600" s="18">
        <f>1</f>
        <v>1</v>
      </c>
      <c r="BG600" s="18">
        <f>IF(OR(Pospago[[#This Row],[TARIFA_BASICA]]=11.42,Pospago[[#This Row],[PLANES TELEVENTAS]]="SI"),1,0)</f>
        <v>0</v>
      </c>
      <c r="BH600" s="18" t="str">
        <f>IF(MID(Pospago[[#This Row],[PlanDesc]],1,4) = "PLAN","POSPAGO",IF(MID(Pospago[[#This Row],[PlanDesc]],1,4)="FULL","FULL MEGAS","PREVIOPAGO"))</f>
        <v>PREVIOPAGO</v>
      </c>
      <c r="BI6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00" s="21">
        <f>Pospago[[#This Row],[TARIFA_BASICA]]*1.5</f>
        <v>21.419999999999998</v>
      </c>
    </row>
    <row r="601" spans="1:63" x14ac:dyDescent="0.25">
      <c r="A601" s="18" t="s">
        <v>64</v>
      </c>
      <c r="B601" s="18" t="s">
        <v>3899</v>
      </c>
      <c r="C601" s="18" t="s">
        <v>3900</v>
      </c>
      <c r="D601" s="19">
        <v>44901</v>
      </c>
      <c r="E601" s="18" t="s">
        <v>67</v>
      </c>
      <c r="F601" s="18" t="s">
        <v>3901</v>
      </c>
      <c r="G601" s="18" t="s">
        <v>3902</v>
      </c>
      <c r="H601" s="18" t="s">
        <v>70</v>
      </c>
      <c r="I601" s="18" t="s">
        <v>2207</v>
      </c>
      <c r="J601" s="18" t="s">
        <v>2208</v>
      </c>
      <c r="K601" s="18" t="s">
        <v>3903</v>
      </c>
      <c r="L601" s="20" t="s">
        <v>3904</v>
      </c>
      <c r="M601" s="18" t="s">
        <v>75</v>
      </c>
      <c r="N601" s="20" t="s">
        <v>3905</v>
      </c>
      <c r="O601" s="18" t="s">
        <v>77</v>
      </c>
      <c r="P601" s="18" t="s">
        <v>78</v>
      </c>
      <c r="Q601" s="19">
        <v>44914</v>
      </c>
      <c r="R601" s="21">
        <v>15</v>
      </c>
      <c r="S601" s="18" t="s">
        <v>79</v>
      </c>
      <c r="T601" s="18" t="s">
        <v>117</v>
      </c>
      <c r="U601" s="18" t="s">
        <v>83</v>
      </c>
      <c r="V601" s="18" t="s">
        <v>95</v>
      </c>
      <c r="W601" s="18" t="s">
        <v>83</v>
      </c>
      <c r="X601" s="18" t="s">
        <v>84</v>
      </c>
      <c r="Y601" s="18" t="s">
        <v>85</v>
      </c>
      <c r="Z601" s="18" t="s">
        <v>86</v>
      </c>
      <c r="AA601" s="18" t="s">
        <v>87</v>
      </c>
      <c r="AB601" s="18" t="s">
        <v>352</v>
      </c>
      <c r="AC601" s="18" t="s">
        <v>353</v>
      </c>
      <c r="AD601" s="18" t="s">
        <v>85</v>
      </c>
      <c r="AE601" s="18" t="s">
        <v>90</v>
      </c>
      <c r="AF601" s="18" t="s">
        <v>122</v>
      </c>
      <c r="AG601" s="18" t="s">
        <v>92</v>
      </c>
      <c r="AH601" s="18" t="s">
        <v>93</v>
      </c>
      <c r="AI601" s="18" t="s">
        <v>94</v>
      </c>
      <c r="AJ601" s="19">
        <v>44901</v>
      </c>
      <c r="AK601" s="22" t="s">
        <v>95</v>
      </c>
      <c r="AL601" s="18" t="s">
        <v>95</v>
      </c>
      <c r="AM601" s="18" t="s">
        <v>95</v>
      </c>
      <c r="AN601" s="18" t="s">
        <v>95</v>
      </c>
      <c r="AO601" s="18" t="s">
        <v>95</v>
      </c>
      <c r="AP601" s="18" t="s">
        <v>95</v>
      </c>
      <c r="AQ601" s="18" t="s">
        <v>95</v>
      </c>
      <c r="AR601" s="18" t="s">
        <v>95</v>
      </c>
      <c r="AS601" s="18" t="s">
        <v>83</v>
      </c>
      <c r="AT601" s="18" t="s">
        <v>95</v>
      </c>
      <c r="AU601" s="18" t="s">
        <v>95</v>
      </c>
      <c r="AV601" s="18" t="s">
        <v>95</v>
      </c>
      <c r="AW601" s="18" t="s">
        <v>95</v>
      </c>
      <c r="AX601" s="18"/>
      <c r="AY601" s="18" t="str">
        <f>Pospago[[#This Row],[NUM_TELEFONICO]]&amp;"POSPAGOSI"</f>
        <v>987749683POSPAGOSI</v>
      </c>
      <c r="AZ601" s="18" t="str">
        <f>VLOOKUP(Pospago[[#This Row],[NOM_PLAZA_FINAL]],[1]!Locales[#Data],3,0)</f>
        <v>TIENDA MACHALA</v>
      </c>
      <c r="BA601" s="18" t="str">
        <f>IFERROR(VLOOKUP(Pospago[[#This Row],[USUARIO]],[1]!Personal[#Data],6,0),"EJECUTIVO NO REGISTRADO")</f>
        <v>TENORIO MARIA DEL PILAR</v>
      </c>
      <c r="BB601" s="18" t="str">
        <f>Pospago[[#This Row],[TIPO_MOVIMIENTO]]&amp;" "&amp;Pospago[[#This Row],[FORMA_PAGO_FINAL]]</f>
        <v>ALTAS DOMICILIADO</v>
      </c>
      <c r="BC601" s="18">
        <f>DAY(Pospago[[#This Row],[FECHA_ALTA]])</f>
        <v>6</v>
      </c>
      <c r="BD601" s="18">
        <f>IF(Pospago[[#This Row],[TARIFA_BASICA]]=11.42,1,0)</f>
        <v>0</v>
      </c>
      <c r="BE601" s="18">
        <f>IF(Pospago[[#This Row],[PLANES TELEVENTAS]]="SI",1,0)</f>
        <v>0</v>
      </c>
      <c r="BF601" s="18">
        <f>1</f>
        <v>1</v>
      </c>
      <c r="BG601" s="18">
        <f>IF(OR(Pospago[[#This Row],[TARIFA_BASICA]]=11.42,Pospago[[#This Row],[PLANES TELEVENTAS]]="SI"),1,0)</f>
        <v>0</v>
      </c>
      <c r="BH601" s="18" t="str">
        <f>IF(MID(Pospago[[#This Row],[PlanDesc]],1,4) = "PLAN","POSPAGO",IF(MID(Pospago[[#This Row],[PlanDesc]],1,4)="FULL","FULL MEGAS","PREVIOPAGO"))</f>
        <v>FULL MEGAS</v>
      </c>
      <c r="BI6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19.8</v>
      </c>
      <c r="BJ6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01" s="21">
        <f>Pospago[[#This Row],[TARIFA_BASICA]]*1.5</f>
        <v>22.5</v>
      </c>
    </row>
    <row r="602" spans="1:63" x14ac:dyDescent="0.25">
      <c r="A602" s="18" t="s">
        <v>154</v>
      </c>
      <c r="B602" s="18" t="s">
        <v>3906</v>
      </c>
      <c r="C602" s="18" t="s">
        <v>3907</v>
      </c>
      <c r="D602" s="19">
        <v>44902</v>
      </c>
      <c r="E602" s="18" t="s">
        <v>67</v>
      </c>
      <c r="F602" s="18" t="s">
        <v>3908</v>
      </c>
      <c r="G602" s="18" t="s">
        <v>3909</v>
      </c>
      <c r="H602" s="18" t="s">
        <v>159</v>
      </c>
      <c r="I602" s="18" t="s">
        <v>71</v>
      </c>
      <c r="J602" s="18" t="s">
        <v>258</v>
      </c>
      <c r="K602" s="18" t="s">
        <v>132</v>
      </c>
      <c r="L602" s="20" t="s">
        <v>3910</v>
      </c>
      <c r="M602" s="18" t="s">
        <v>75</v>
      </c>
      <c r="N602" s="20" t="s">
        <v>3911</v>
      </c>
      <c r="O602" s="18" t="s">
        <v>164</v>
      </c>
      <c r="P602" s="18" t="s">
        <v>78</v>
      </c>
      <c r="Q602" s="19">
        <v>44914</v>
      </c>
      <c r="R602" s="21">
        <v>11.42</v>
      </c>
      <c r="S602" s="18" t="s">
        <v>79</v>
      </c>
      <c r="T602" s="18" t="s">
        <v>174</v>
      </c>
      <c r="U602" s="18" t="s">
        <v>83</v>
      </c>
      <c r="V602" s="18" t="s">
        <v>95</v>
      </c>
      <c r="W602" s="18" t="s">
        <v>95</v>
      </c>
      <c r="X602" s="18" t="s">
        <v>118</v>
      </c>
      <c r="Y602" s="18" t="s">
        <v>85</v>
      </c>
      <c r="Z602" s="18" t="s">
        <v>86</v>
      </c>
      <c r="AA602" s="18" t="s">
        <v>119</v>
      </c>
      <c r="AB602" s="18" t="s">
        <v>760</v>
      </c>
      <c r="AC602" s="18" t="s">
        <v>761</v>
      </c>
      <c r="AD602" s="18" t="s">
        <v>85</v>
      </c>
      <c r="AE602" s="18" t="s">
        <v>90</v>
      </c>
      <c r="AF602" s="18" t="s">
        <v>177</v>
      </c>
      <c r="AG602" s="18" t="s">
        <v>139</v>
      </c>
      <c r="AH602" s="18" t="s">
        <v>165</v>
      </c>
      <c r="AI602" s="18" t="s">
        <v>94</v>
      </c>
      <c r="AJ602" s="19">
        <v>44902</v>
      </c>
      <c r="AK602" s="22" t="s">
        <v>95</v>
      </c>
      <c r="AL602" s="18" t="s">
        <v>95</v>
      </c>
      <c r="AM602" s="18" t="s">
        <v>95</v>
      </c>
      <c r="AN602" s="18" t="s">
        <v>95</v>
      </c>
      <c r="AO602" s="18" t="s">
        <v>95</v>
      </c>
      <c r="AP602" s="18" t="s">
        <v>95</v>
      </c>
      <c r="AQ602" s="18" t="s">
        <v>95</v>
      </c>
      <c r="AR602" s="18" t="s">
        <v>95</v>
      </c>
      <c r="AS602" s="18" t="s">
        <v>83</v>
      </c>
      <c r="AT602" s="18" t="s">
        <v>83</v>
      </c>
      <c r="AU602" s="18" t="s">
        <v>81</v>
      </c>
      <c r="AV602" s="18" t="s">
        <v>95</v>
      </c>
      <c r="AW602" s="18" t="s">
        <v>95</v>
      </c>
      <c r="AX602" s="18"/>
      <c r="AY602" s="18" t="str">
        <f>Pospago[[#This Row],[NUM_TELEFONICO]]&amp;"POSPAGOSI"</f>
        <v>987764009POSPAGOSI</v>
      </c>
      <c r="AZ602" s="18" t="str">
        <f>VLOOKUP(Pospago[[#This Row],[NOM_PLAZA_FINAL]],[1]!Locales[#Data],3,0)</f>
        <v>TIENDA RECREO</v>
      </c>
      <c r="BA602" s="18" t="str">
        <f>IFERROR(VLOOKUP(Pospago[[#This Row],[USUARIO]],[1]!Personal[#Data],6,0),"EJECUTIVO NO REGISTRADO")</f>
        <v>VALBUENA SANCHEZ ALBERT ANTHONY</v>
      </c>
      <c r="BB602" s="18" t="str">
        <f>Pospago[[#This Row],[TIPO_MOVIMIENTO]]&amp;" "&amp;Pospago[[#This Row],[FORMA_PAGO_FINAL]]</f>
        <v>TRANSFERENCIAS PAGO EN CAJA</v>
      </c>
      <c r="BC602" s="18">
        <f>DAY(Pospago[[#This Row],[FECHA_ALTA]])</f>
        <v>7</v>
      </c>
      <c r="BD602" s="18">
        <f>IF(Pospago[[#This Row],[TARIFA_BASICA]]=11.42,1,0)</f>
        <v>1</v>
      </c>
      <c r="BE602" s="18">
        <f>IF(Pospago[[#This Row],[PLANES TELEVENTAS]]="SI",1,0)</f>
        <v>0</v>
      </c>
      <c r="BF602" s="18">
        <f>1</f>
        <v>1</v>
      </c>
      <c r="BG602" s="18">
        <f>IF(OR(Pospago[[#This Row],[TARIFA_BASICA]]=11.42,Pospago[[#This Row],[PLANES TELEVENTAS]]="SI"),1,0)</f>
        <v>1</v>
      </c>
      <c r="BH602" s="18" t="str">
        <f>IF(MID(Pospago[[#This Row],[PlanDesc]],1,4) = "PLAN","POSPAGO",IF(MID(Pospago[[#This Row],[PlanDesc]],1,4)="FULL","FULL MEGAS","PREVIOPAGO"))</f>
        <v>PREVIOPAGO</v>
      </c>
      <c r="BI6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6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02" s="21">
        <f>Pospago[[#This Row],[TARIFA_BASICA]]*1.5</f>
        <v>17.13</v>
      </c>
    </row>
    <row r="603" spans="1:63" x14ac:dyDescent="0.25">
      <c r="A603" s="18" t="s">
        <v>154</v>
      </c>
      <c r="B603" s="18" t="s">
        <v>3912</v>
      </c>
      <c r="C603" s="18" t="s">
        <v>3913</v>
      </c>
      <c r="D603" s="19">
        <v>44899</v>
      </c>
      <c r="E603" s="18" t="s">
        <v>67</v>
      </c>
      <c r="F603" s="18" t="s">
        <v>3914</v>
      </c>
      <c r="G603" s="18" t="s">
        <v>3915</v>
      </c>
      <c r="H603" s="18" t="s">
        <v>159</v>
      </c>
      <c r="I603" s="18" t="s">
        <v>160</v>
      </c>
      <c r="J603" s="18" t="s">
        <v>161</v>
      </c>
      <c r="K603" s="18" t="s">
        <v>132</v>
      </c>
      <c r="L603" s="20" t="s">
        <v>3916</v>
      </c>
      <c r="M603" s="18" t="s">
        <v>75</v>
      </c>
      <c r="N603" s="20" t="s">
        <v>3917</v>
      </c>
      <c r="O603" s="18" t="s">
        <v>2241</v>
      </c>
      <c r="P603" s="18" t="s">
        <v>78</v>
      </c>
      <c r="Q603" s="19">
        <v>44914</v>
      </c>
      <c r="R603" s="21">
        <v>14.28</v>
      </c>
      <c r="S603" s="18" t="s">
        <v>79</v>
      </c>
      <c r="T603" s="18" t="s">
        <v>174</v>
      </c>
      <c r="U603" s="18" t="s">
        <v>83</v>
      </c>
      <c r="V603" s="18" t="s">
        <v>95</v>
      </c>
      <c r="W603" s="18" t="s">
        <v>95</v>
      </c>
      <c r="X603" s="18" t="s">
        <v>84</v>
      </c>
      <c r="Y603" s="18" t="s">
        <v>85</v>
      </c>
      <c r="Z603" s="18" t="s">
        <v>86</v>
      </c>
      <c r="AA603" s="18" t="s">
        <v>87</v>
      </c>
      <c r="AB603" s="18" t="s">
        <v>303</v>
      </c>
      <c r="AC603" s="18" t="s">
        <v>304</v>
      </c>
      <c r="AD603" s="18" t="s">
        <v>85</v>
      </c>
      <c r="AE603" s="18" t="s">
        <v>90</v>
      </c>
      <c r="AF603" s="18" t="s">
        <v>177</v>
      </c>
      <c r="AG603" s="18" t="s">
        <v>139</v>
      </c>
      <c r="AH603" s="18" t="s">
        <v>165</v>
      </c>
      <c r="AI603" s="18" t="s">
        <v>94</v>
      </c>
      <c r="AJ603" s="19">
        <v>44899</v>
      </c>
      <c r="AK603" s="22" t="s">
        <v>95</v>
      </c>
      <c r="AL603" s="18" t="s">
        <v>95</v>
      </c>
      <c r="AM603" s="18" t="s">
        <v>95</v>
      </c>
      <c r="AN603" s="18" t="s">
        <v>95</v>
      </c>
      <c r="AO603" s="18" t="s">
        <v>95</v>
      </c>
      <c r="AP603" s="18" t="s">
        <v>95</v>
      </c>
      <c r="AQ603" s="18" t="s">
        <v>95</v>
      </c>
      <c r="AR603" s="18" t="s">
        <v>95</v>
      </c>
      <c r="AS603" s="18" t="s">
        <v>83</v>
      </c>
      <c r="AT603" s="18" t="s">
        <v>83</v>
      </c>
      <c r="AU603" s="18" t="s">
        <v>81</v>
      </c>
      <c r="AV603" s="18" t="s">
        <v>95</v>
      </c>
      <c r="AW603" s="18" t="s">
        <v>95</v>
      </c>
      <c r="AX603" s="18"/>
      <c r="AY603" s="18" t="str">
        <f>Pospago[[#This Row],[NUM_TELEFONICO]]&amp;"POSPAGOSI"</f>
        <v>987772631POSPAGOSI</v>
      </c>
      <c r="AZ603" s="18" t="str">
        <f>VLOOKUP(Pospago[[#This Row],[NOM_PLAZA_FINAL]],[1]!Locales[#Data],3,0)</f>
        <v>TIENDA RECREO</v>
      </c>
      <c r="BA603" s="18" t="str">
        <f>IFERROR(VLOOKUP(Pospago[[#This Row],[USUARIO]],[1]!Personal[#Data],6,0),"EJECUTIVO NO REGISTRADO")</f>
        <v>CORDOVA GAIBOR JONATHAN HERNAN</v>
      </c>
      <c r="BB603" s="18" t="str">
        <f>Pospago[[#This Row],[TIPO_MOVIMIENTO]]&amp;" "&amp;Pospago[[#This Row],[FORMA_PAGO_FINAL]]</f>
        <v>TRANSFERENCIAS DOMICILIADO</v>
      </c>
      <c r="BC603" s="18">
        <f>DAY(Pospago[[#This Row],[FECHA_ALTA]])</f>
        <v>4</v>
      </c>
      <c r="BD603" s="18">
        <f>IF(Pospago[[#This Row],[TARIFA_BASICA]]=11.42,1,0)</f>
        <v>0</v>
      </c>
      <c r="BE603" s="18">
        <f>IF(Pospago[[#This Row],[PLANES TELEVENTAS]]="SI",1,0)</f>
        <v>0</v>
      </c>
      <c r="BF603" s="18">
        <f>1</f>
        <v>1</v>
      </c>
      <c r="BG603" s="18">
        <f>IF(OR(Pospago[[#This Row],[TARIFA_BASICA]]=11.42,Pospago[[#This Row],[PLANES TELEVENTAS]]="SI"),1,0)</f>
        <v>0</v>
      </c>
      <c r="BH603" s="18" t="str">
        <f>IF(MID(Pospago[[#This Row],[PlanDesc]],1,4) = "PLAN","POSPAGO",IF(MID(Pospago[[#This Row],[PlanDesc]],1,4)="FULL","FULL MEGAS","PREVIOPAGO"))</f>
        <v>PREVIOPAGO</v>
      </c>
      <c r="BI6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03" s="21">
        <f>Pospago[[#This Row],[TARIFA_BASICA]]*1.5</f>
        <v>21.419999999999998</v>
      </c>
    </row>
    <row r="604" spans="1:63" x14ac:dyDescent="0.25">
      <c r="A604" s="18" t="s">
        <v>154</v>
      </c>
      <c r="B604" s="18" t="s">
        <v>3918</v>
      </c>
      <c r="C604" s="18" t="s">
        <v>3919</v>
      </c>
      <c r="D604" s="19">
        <v>44901</v>
      </c>
      <c r="E604" s="18" t="s">
        <v>67</v>
      </c>
      <c r="F604" s="18" t="s">
        <v>3920</v>
      </c>
      <c r="G604" s="18" t="s">
        <v>3921</v>
      </c>
      <c r="H604" s="18" t="s">
        <v>159</v>
      </c>
      <c r="I604" s="18" t="s">
        <v>160</v>
      </c>
      <c r="J604" s="18" t="s">
        <v>161</v>
      </c>
      <c r="K604" s="18" t="s">
        <v>95</v>
      </c>
      <c r="L604" s="20" t="s">
        <v>3922</v>
      </c>
      <c r="M604" s="18" t="s">
        <v>75</v>
      </c>
      <c r="N604" s="20" t="s">
        <v>3923</v>
      </c>
      <c r="O604" s="18" t="s">
        <v>164</v>
      </c>
      <c r="P604" s="18" t="s">
        <v>78</v>
      </c>
      <c r="Q604" s="19">
        <v>44914</v>
      </c>
      <c r="R604" s="21">
        <v>14.28</v>
      </c>
      <c r="S604" s="18" t="s">
        <v>79</v>
      </c>
      <c r="T604" s="18" t="s">
        <v>174</v>
      </c>
      <c r="U604" s="18" t="s">
        <v>83</v>
      </c>
      <c r="V604" s="18" t="s">
        <v>95</v>
      </c>
      <c r="W604" s="18" t="s">
        <v>95</v>
      </c>
      <c r="X604" s="18" t="s">
        <v>118</v>
      </c>
      <c r="Y604" s="18" t="s">
        <v>85</v>
      </c>
      <c r="Z604" s="18" t="s">
        <v>86</v>
      </c>
      <c r="AA604" s="18" t="s">
        <v>119</v>
      </c>
      <c r="AB604" s="18" t="s">
        <v>492</v>
      </c>
      <c r="AC604" s="18" t="s">
        <v>493</v>
      </c>
      <c r="AD604" s="18" t="s">
        <v>85</v>
      </c>
      <c r="AE604" s="18" t="s">
        <v>90</v>
      </c>
      <c r="AF604" s="18" t="s">
        <v>177</v>
      </c>
      <c r="AG604" s="18" t="s">
        <v>139</v>
      </c>
      <c r="AH604" s="18" t="s">
        <v>165</v>
      </c>
      <c r="AI604" s="18" t="s">
        <v>94</v>
      </c>
      <c r="AJ604" s="19">
        <v>44901</v>
      </c>
      <c r="AK604" s="22" t="s">
        <v>95</v>
      </c>
      <c r="AL604" s="18" t="s">
        <v>95</v>
      </c>
      <c r="AM604" s="18" t="s">
        <v>95</v>
      </c>
      <c r="AN604" s="18" t="s">
        <v>95</v>
      </c>
      <c r="AO604" s="18" t="s">
        <v>95</v>
      </c>
      <c r="AP604" s="18" t="s">
        <v>95</v>
      </c>
      <c r="AQ604" s="18" t="s">
        <v>95</v>
      </c>
      <c r="AR604" s="18" t="s">
        <v>95</v>
      </c>
      <c r="AS604" s="18" t="s">
        <v>83</v>
      </c>
      <c r="AT604" s="18" t="s">
        <v>83</v>
      </c>
      <c r="AU604" s="18" t="s">
        <v>81</v>
      </c>
      <c r="AV604" s="18" t="s">
        <v>95</v>
      </c>
      <c r="AW604" s="18" t="s">
        <v>95</v>
      </c>
      <c r="AX604" s="18"/>
      <c r="AY604" s="18" t="str">
        <f>Pospago[[#This Row],[NUM_TELEFONICO]]&amp;"POSPAGOSI"</f>
        <v>987779787POSPAGOSI</v>
      </c>
      <c r="AZ604" s="18" t="str">
        <f>VLOOKUP(Pospago[[#This Row],[NOM_PLAZA_FINAL]],[1]!Locales[#Data],3,0)</f>
        <v>TIENDA RECREO</v>
      </c>
      <c r="BA604" s="18" t="str">
        <f>IFERROR(VLOOKUP(Pospago[[#This Row],[USUARIO]],[1]!Personal[#Data],6,0),"EJECUTIVO NO REGISTRADO")</f>
        <v>CONDO GARCIA NICOLAS MATIAS</v>
      </c>
      <c r="BB604" s="18" t="str">
        <f>Pospago[[#This Row],[TIPO_MOVIMIENTO]]&amp;" "&amp;Pospago[[#This Row],[FORMA_PAGO_FINAL]]</f>
        <v>TRANSFERENCIAS PAGO EN CAJA</v>
      </c>
      <c r="BC604" s="18">
        <f>DAY(Pospago[[#This Row],[FECHA_ALTA]])</f>
        <v>6</v>
      </c>
      <c r="BD604" s="18">
        <f>IF(Pospago[[#This Row],[TARIFA_BASICA]]=11.42,1,0)</f>
        <v>0</v>
      </c>
      <c r="BE604" s="18">
        <f>IF(Pospago[[#This Row],[PLANES TELEVENTAS]]="SI",1,0)</f>
        <v>0</v>
      </c>
      <c r="BF604" s="18">
        <f>1</f>
        <v>1</v>
      </c>
      <c r="BG604" s="18">
        <f>IF(OR(Pospago[[#This Row],[TARIFA_BASICA]]=11.42,Pospago[[#This Row],[PLANES TELEVENTAS]]="SI"),1,0)</f>
        <v>0</v>
      </c>
      <c r="BH604" s="18" t="str">
        <f>IF(MID(Pospago[[#This Row],[PlanDesc]],1,4) = "PLAN","POSPAGO",IF(MID(Pospago[[#This Row],[PlanDesc]],1,4)="FULL","FULL MEGAS","PREVIOPAGO"))</f>
        <v>PREVIOPAGO</v>
      </c>
      <c r="BI6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04" s="21">
        <f>Pospago[[#This Row],[TARIFA_BASICA]]*1.5</f>
        <v>21.419999999999998</v>
      </c>
    </row>
    <row r="605" spans="1:63" x14ac:dyDescent="0.25">
      <c r="A605" s="18" t="s">
        <v>154</v>
      </c>
      <c r="B605" s="18" t="s">
        <v>3924</v>
      </c>
      <c r="C605" s="18" t="s">
        <v>3925</v>
      </c>
      <c r="D605" s="19">
        <v>44903</v>
      </c>
      <c r="E605" s="18" t="s">
        <v>67</v>
      </c>
      <c r="F605" s="18" t="s">
        <v>3926</v>
      </c>
      <c r="G605" s="18" t="s">
        <v>3927</v>
      </c>
      <c r="H605" s="18" t="s">
        <v>391</v>
      </c>
      <c r="I605" s="18" t="s">
        <v>71</v>
      </c>
      <c r="J605" s="18" t="s">
        <v>258</v>
      </c>
      <c r="K605" s="18" t="s">
        <v>196</v>
      </c>
      <c r="L605" s="20" t="s">
        <v>3928</v>
      </c>
      <c r="M605" s="18" t="s">
        <v>75</v>
      </c>
      <c r="N605" s="20" t="s">
        <v>3929</v>
      </c>
      <c r="O605" s="18" t="s">
        <v>164</v>
      </c>
      <c r="P605" s="18" t="s">
        <v>78</v>
      </c>
      <c r="Q605" s="19">
        <v>44914</v>
      </c>
      <c r="R605" s="21">
        <v>11.42</v>
      </c>
      <c r="S605" s="18" t="s">
        <v>79</v>
      </c>
      <c r="T605" s="18" t="s">
        <v>174</v>
      </c>
      <c r="U605" s="18" t="s">
        <v>83</v>
      </c>
      <c r="V605" s="18" t="s">
        <v>95</v>
      </c>
      <c r="W605" s="18" t="s">
        <v>95</v>
      </c>
      <c r="X605" s="18" t="s">
        <v>118</v>
      </c>
      <c r="Y605" s="18" t="s">
        <v>85</v>
      </c>
      <c r="Z605" s="18" t="s">
        <v>86</v>
      </c>
      <c r="AA605" s="18" t="s">
        <v>119</v>
      </c>
      <c r="AB605" s="18" t="s">
        <v>187</v>
      </c>
      <c r="AC605" s="18" t="s">
        <v>188</v>
      </c>
      <c r="AD605" s="18" t="s">
        <v>85</v>
      </c>
      <c r="AE605" s="18" t="s">
        <v>90</v>
      </c>
      <c r="AF605" s="18" t="s">
        <v>177</v>
      </c>
      <c r="AG605" s="18" t="s">
        <v>139</v>
      </c>
      <c r="AH605" s="18" t="s">
        <v>165</v>
      </c>
      <c r="AI605" s="18" t="s">
        <v>94</v>
      </c>
      <c r="AJ605" s="19">
        <v>44903</v>
      </c>
      <c r="AK605" s="22" t="s">
        <v>95</v>
      </c>
      <c r="AL605" s="18" t="s">
        <v>95</v>
      </c>
      <c r="AM605" s="18" t="s">
        <v>95</v>
      </c>
      <c r="AN605" s="18" t="s">
        <v>95</v>
      </c>
      <c r="AO605" s="18" t="s">
        <v>95</v>
      </c>
      <c r="AP605" s="18" t="s">
        <v>95</v>
      </c>
      <c r="AQ605" s="18" t="s">
        <v>95</v>
      </c>
      <c r="AR605" s="18" t="s">
        <v>95</v>
      </c>
      <c r="AS605" s="18" t="s">
        <v>83</v>
      </c>
      <c r="AT605" s="18" t="s">
        <v>83</v>
      </c>
      <c r="AU605" s="18" t="s">
        <v>81</v>
      </c>
      <c r="AV605" s="18" t="s">
        <v>95</v>
      </c>
      <c r="AW605" s="18" t="s">
        <v>95</v>
      </c>
      <c r="AX605" s="18"/>
      <c r="AY605" s="18" t="str">
        <f>Pospago[[#This Row],[NUM_TELEFONICO]]&amp;"POSPAGOSI"</f>
        <v>987780339POSPAGOSI</v>
      </c>
      <c r="AZ605" s="18" t="str">
        <f>VLOOKUP(Pospago[[#This Row],[NOM_PLAZA_FINAL]],[1]!Locales[#Data],3,0)</f>
        <v>TIENDA RECREO</v>
      </c>
      <c r="BA605" s="18" t="str">
        <f>IFERROR(VLOOKUP(Pospago[[#This Row],[USUARIO]],[1]!Personal[#Data],6,0),"EJECUTIVO NO REGISTRADO")</f>
        <v>ESPINOZA MARTINES LAURA XIOMARA</v>
      </c>
      <c r="BB605" s="18" t="str">
        <f>Pospago[[#This Row],[TIPO_MOVIMIENTO]]&amp;" "&amp;Pospago[[#This Row],[FORMA_PAGO_FINAL]]</f>
        <v>TRANSFERENCIAS PAGO EN CAJA</v>
      </c>
      <c r="BC605" s="18">
        <f>DAY(Pospago[[#This Row],[FECHA_ALTA]])</f>
        <v>8</v>
      </c>
      <c r="BD605" s="18">
        <f>IF(Pospago[[#This Row],[TARIFA_BASICA]]=11.42,1,0)</f>
        <v>1</v>
      </c>
      <c r="BE605" s="18">
        <f>IF(Pospago[[#This Row],[PLANES TELEVENTAS]]="SI",1,0)</f>
        <v>0</v>
      </c>
      <c r="BF605" s="18">
        <f>1</f>
        <v>1</v>
      </c>
      <c r="BG605" s="18">
        <f>IF(OR(Pospago[[#This Row],[TARIFA_BASICA]]=11.42,Pospago[[#This Row],[PLANES TELEVENTAS]]="SI"),1,0)</f>
        <v>1</v>
      </c>
      <c r="BH605" s="18" t="str">
        <f>IF(MID(Pospago[[#This Row],[PlanDesc]],1,4) = "PLAN","POSPAGO",IF(MID(Pospago[[#This Row],[PlanDesc]],1,4)="FULL","FULL MEGAS","PREVIOPAGO"))</f>
        <v>PREVIOPAGO</v>
      </c>
      <c r="BI6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6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05" s="21">
        <f>Pospago[[#This Row],[TARIFA_BASICA]]*1.5</f>
        <v>17.13</v>
      </c>
    </row>
    <row r="606" spans="1:63" x14ac:dyDescent="0.25">
      <c r="A606" s="18" t="s">
        <v>154</v>
      </c>
      <c r="B606" s="18" t="s">
        <v>3930</v>
      </c>
      <c r="C606" s="18" t="s">
        <v>3931</v>
      </c>
      <c r="D606" s="19">
        <v>44904</v>
      </c>
      <c r="E606" s="18" t="s">
        <v>67</v>
      </c>
      <c r="F606" s="18" t="s">
        <v>3932</v>
      </c>
      <c r="G606" s="18" t="s">
        <v>3933</v>
      </c>
      <c r="H606" s="18" t="s">
        <v>159</v>
      </c>
      <c r="I606" s="18" t="s">
        <v>160</v>
      </c>
      <c r="J606" s="18" t="s">
        <v>161</v>
      </c>
      <c r="K606" s="18" t="s">
        <v>95</v>
      </c>
      <c r="L606" s="20" t="s">
        <v>3934</v>
      </c>
      <c r="M606" s="18" t="s">
        <v>75</v>
      </c>
      <c r="N606" s="20" t="s">
        <v>3935</v>
      </c>
      <c r="O606" s="18" t="s">
        <v>164</v>
      </c>
      <c r="P606" s="18" t="s">
        <v>78</v>
      </c>
      <c r="Q606" s="19">
        <v>44914</v>
      </c>
      <c r="R606" s="21">
        <v>14.28</v>
      </c>
      <c r="S606" s="18" t="s">
        <v>79</v>
      </c>
      <c r="T606" s="18" t="s">
        <v>174</v>
      </c>
      <c r="U606" s="18" t="s">
        <v>83</v>
      </c>
      <c r="V606" s="18" t="s">
        <v>95</v>
      </c>
      <c r="W606" s="18" t="s">
        <v>95</v>
      </c>
      <c r="X606" s="18" t="s">
        <v>84</v>
      </c>
      <c r="Y606" s="18" t="s">
        <v>85</v>
      </c>
      <c r="Z606" s="18" t="s">
        <v>86</v>
      </c>
      <c r="AA606" s="18" t="s">
        <v>87</v>
      </c>
      <c r="AB606" s="18" t="s">
        <v>926</v>
      </c>
      <c r="AC606" s="18" t="s">
        <v>927</v>
      </c>
      <c r="AD606" s="18" t="s">
        <v>85</v>
      </c>
      <c r="AE606" s="18" t="s">
        <v>90</v>
      </c>
      <c r="AF606" s="18" t="s">
        <v>177</v>
      </c>
      <c r="AG606" s="18" t="s">
        <v>139</v>
      </c>
      <c r="AH606" s="18" t="s">
        <v>165</v>
      </c>
      <c r="AI606" s="18" t="s">
        <v>94</v>
      </c>
      <c r="AJ606" s="19">
        <v>44904</v>
      </c>
      <c r="AK606" s="22" t="s">
        <v>95</v>
      </c>
      <c r="AL606" s="18" t="s">
        <v>95</v>
      </c>
      <c r="AM606" s="18" t="s">
        <v>95</v>
      </c>
      <c r="AN606" s="18" t="s">
        <v>95</v>
      </c>
      <c r="AO606" s="18" t="s">
        <v>95</v>
      </c>
      <c r="AP606" s="18" t="s">
        <v>95</v>
      </c>
      <c r="AQ606" s="18" t="s">
        <v>95</v>
      </c>
      <c r="AR606" s="18" t="s">
        <v>95</v>
      </c>
      <c r="AS606" s="18" t="s">
        <v>83</v>
      </c>
      <c r="AT606" s="18" t="s">
        <v>83</v>
      </c>
      <c r="AU606" s="18" t="s">
        <v>81</v>
      </c>
      <c r="AV606" s="18" t="s">
        <v>95</v>
      </c>
      <c r="AW606" s="18" t="s">
        <v>95</v>
      </c>
      <c r="AX606" s="18"/>
      <c r="AY606" s="18" t="str">
        <f>Pospago[[#This Row],[NUM_TELEFONICO]]&amp;"POSPAGOSI"</f>
        <v>987782090POSPAGOSI</v>
      </c>
      <c r="AZ606" s="18" t="str">
        <f>VLOOKUP(Pospago[[#This Row],[NOM_PLAZA_FINAL]],[1]!Locales[#Data],3,0)</f>
        <v>TIENDA RECREO</v>
      </c>
      <c r="BA606" s="18" t="str">
        <f>IFERROR(VLOOKUP(Pospago[[#This Row],[USUARIO]],[1]!Personal[#Data],6,0),"EJECUTIVO NO REGISTRADO")</f>
        <v>CABEZAS LOPEZ ROBERTO ALEJANDRO</v>
      </c>
      <c r="BB606" s="18" t="str">
        <f>Pospago[[#This Row],[TIPO_MOVIMIENTO]]&amp;" "&amp;Pospago[[#This Row],[FORMA_PAGO_FINAL]]</f>
        <v>TRANSFERENCIAS DOMICILIADO</v>
      </c>
      <c r="BC606" s="18">
        <f>DAY(Pospago[[#This Row],[FECHA_ALTA]])</f>
        <v>9</v>
      </c>
      <c r="BD606" s="18">
        <f>IF(Pospago[[#This Row],[TARIFA_BASICA]]=11.42,1,0)</f>
        <v>0</v>
      </c>
      <c r="BE606" s="18">
        <f>IF(Pospago[[#This Row],[PLANES TELEVENTAS]]="SI",1,0)</f>
        <v>0</v>
      </c>
      <c r="BF606" s="18">
        <f>1</f>
        <v>1</v>
      </c>
      <c r="BG606" s="18">
        <f>IF(OR(Pospago[[#This Row],[TARIFA_BASICA]]=11.42,Pospago[[#This Row],[PLANES TELEVENTAS]]="SI"),1,0)</f>
        <v>0</v>
      </c>
      <c r="BH606" s="18" t="str">
        <f>IF(MID(Pospago[[#This Row],[PlanDesc]],1,4) = "PLAN","POSPAGO",IF(MID(Pospago[[#This Row],[PlanDesc]],1,4)="FULL","FULL MEGAS","PREVIOPAGO"))</f>
        <v>PREVIOPAGO</v>
      </c>
      <c r="BI6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06" s="21">
        <f>Pospago[[#This Row],[TARIFA_BASICA]]*1.5</f>
        <v>21.419999999999998</v>
      </c>
    </row>
    <row r="607" spans="1:63" x14ac:dyDescent="0.25">
      <c r="A607" s="18" t="s">
        <v>154</v>
      </c>
      <c r="B607" s="18" t="s">
        <v>3936</v>
      </c>
      <c r="C607" s="18" t="s">
        <v>3937</v>
      </c>
      <c r="D607" s="19">
        <v>44909</v>
      </c>
      <c r="E607" s="18" t="s">
        <v>67</v>
      </c>
      <c r="F607" s="18" t="s">
        <v>3938</v>
      </c>
      <c r="G607" s="18" t="s">
        <v>3939</v>
      </c>
      <c r="H607" s="18" t="s">
        <v>159</v>
      </c>
      <c r="I607" s="18" t="s">
        <v>194</v>
      </c>
      <c r="J607" s="18" t="s">
        <v>268</v>
      </c>
      <c r="K607" s="18" t="s">
        <v>132</v>
      </c>
      <c r="L607" s="20" t="s">
        <v>3940</v>
      </c>
      <c r="M607" s="18" t="s">
        <v>75</v>
      </c>
      <c r="N607" s="20" t="s">
        <v>3941</v>
      </c>
      <c r="O607" s="18" t="s">
        <v>2241</v>
      </c>
      <c r="P607" s="18" t="s">
        <v>78</v>
      </c>
      <c r="Q607" s="19">
        <v>44914</v>
      </c>
      <c r="R607" s="21">
        <v>14.28</v>
      </c>
      <c r="S607" s="18" t="s">
        <v>79</v>
      </c>
      <c r="T607" s="18" t="s">
        <v>174</v>
      </c>
      <c r="U607" s="18" t="s">
        <v>83</v>
      </c>
      <c r="V607" s="18" t="s">
        <v>95</v>
      </c>
      <c r="W607" s="18" t="s">
        <v>95</v>
      </c>
      <c r="X607" s="18" t="s">
        <v>118</v>
      </c>
      <c r="Y607" s="18" t="s">
        <v>85</v>
      </c>
      <c r="Z607" s="18" t="s">
        <v>86</v>
      </c>
      <c r="AA607" s="18" t="s">
        <v>119</v>
      </c>
      <c r="AB607" s="18" t="s">
        <v>760</v>
      </c>
      <c r="AC607" s="18" t="s">
        <v>761</v>
      </c>
      <c r="AD607" s="18" t="s">
        <v>85</v>
      </c>
      <c r="AE607" s="18" t="s">
        <v>90</v>
      </c>
      <c r="AF607" s="18" t="s">
        <v>177</v>
      </c>
      <c r="AG607" s="18" t="s">
        <v>139</v>
      </c>
      <c r="AH607" s="18" t="s">
        <v>165</v>
      </c>
      <c r="AI607" s="18" t="s">
        <v>94</v>
      </c>
      <c r="AJ607" s="19">
        <v>44909</v>
      </c>
      <c r="AK607" s="22" t="s">
        <v>95</v>
      </c>
      <c r="AL607" s="18" t="s">
        <v>95</v>
      </c>
      <c r="AM607" s="18" t="s">
        <v>95</v>
      </c>
      <c r="AN607" s="18" t="s">
        <v>95</v>
      </c>
      <c r="AO607" s="18" t="s">
        <v>95</v>
      </c>
      <c r="AP607" s="18" t="s">
        <v>95</v>
      </c>
      <c r="AQ607" s="18" t="s">
        <v>95</v>
      </c>
      <c r="AR607" s="18" t="s">
        <v>95</v>
      </c>
      <c r="AS607" s="18" t="s">
        <v>83</v>
      </c>
      <c r="AT607" s="18" t="s">
        <v>81</v>
      </c>
      <c r="AU607" s="18" t="s">
        <v>81</v>
      </c>
      <c r="AV607" s="18" t="s">
        <v>95</v>
      </c>
      <c r="AW607" s="18" t="s">
        <v>95</v>
      </c>
      <c r="AX607" s="18"/>
      <c r="AY607" s="18" t="str">
        <f>Pospago[[#This Row],[NUM_TELEFONICO]]&amp;"POSPAGOSI"</f>
        <v>987786980POSPAGOSI</v>
      </c>
      <c r="AZ607" s="18" t="str">
        <f>VLOOKUP(Pospago[[#This Row],[NOM_PLAZA_FINAL]],[1]!Locales[#Data],3,0)</f>
        <v>TIENDA RECREO</v>
      </c>
      <c r="BA607" s="18" t="str">
        <f>IFERROR(VLOOKUP(Pospago[[#This Row],[USUARIO]],[1]!Personal[#Data],6,0),"EJECUTIVO NO REGISTRADO")</f>
        <v>VALBUENA SANCHEZ ALBERT ANTHONY</v>
      </c>
      <c r="BB607" s="18" t="str">
        <f>Pospago[[#This Row],[TIPO_MOVIMIENTO]]&amp;" "&amp;Pospago[[#This Row],[FORMA_PAGO_FINAL]]</f>
        <v>TRANSFERENCIAS PAGO EN CAJA</v>
      </c>
      <c r="BC607" s="18">
        <f>DAY(Pospago[[#This Row],[FECHA_ALTA]])</f>
        <v>14</v>
      </c>
      <c r="BD607" s="18">
        <f>IF(Pospago[[#This Row],[TARIFA_BASICA]]=11.42,1,0)</f>
        <v>0</v>
      </c>
      <c r="BE607" s="18">
        <f>IF(Pospago[[#This Row],[PLANES TELEVENTAS]]="SI",1,0)</f>
        <v>1</v>
      </c>
      <c r="BF607" s="18">
        <f>1</f>
        <v>1</v>
      </c>
      <c r="BG607" s="18">
        <f>IF(OR(Pospago[[#This Row],[TARIFA_BASICA]]=11.42,Pospago[[#This Row],[PLANES TELEVENTAS]]="SI"),1,0)</f>
        <v>1</v>
      </c>
      <c r="BH607" s="18" t="str">
        <f>IF(MID(Pospago[[#This Row],[PlanDesc]],1,4) = "PLAN","POSPAGO",IF(MID(Pospago[[#This Row],[PlanDesc]],1,4)="FULL","FULL MEGAS","PREVIOPAGO"))</f>
        <v>PREVIOPAGO</v>
      </c>
      <c r="BI6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07" s="21">
        <f>Pospago[[#This Row],[TARIFA_BASICA]]*1.5</f>
        <v>21.419999999999998</v>
      </c>
    </row>
    <row r="608" spans="1:63" x14ac:dyDescent="0.25">
      <c r="A608" s="18" t="s">
        <v>154</v>
      </c>
      <c r="B608" s="18" t="s">
        <v>3942</v>
      </c>
      <c r="C608" s="18" t="s">
        <v>3943</v>
      </c>
      <c r="D608" s="19">
        <v>44903</v>
      </c>
      <c r="E608" s="18" t="s">
        <v>67</v>
      </c>
      <c r="F608" s="18" t="s">
        <v>3944</v>
      </c>
      <c r="G608" s="18" t="s">
        <v>3945</v>
      </c>
      <c r="H608" s="18" t="s">
        <v>159</v>
      </c>
      <c r="I608" s="18" t="s">
        <v>130</v>
      </c>
      <c r="J608" s="18" t="s">
        <v>433</v>
      </c>
      <c r="K608" s="18" t="s">
        <v>132</v>
      </c>
      <c r="L608" s="20" t="s">
        <v>3946</v>
      </c>
      <c r="M608" s="18" t="s">
        <v>75</v>
      </c>
      <c r="N608" s="20" t="s">
        <v>3947</v>
      </c>
      <c r="O608" s="18" t="s">
        <v>164</v>
      </c>
      <c r="P608" s="18" t="s">
        <v>78</v>
      </c>
      <c r="Q608" s="19">
        <v>44914</v>
      </c>
      <c r="R608" s="21">
        <v>15</v>
      </c>
      <c r="S608" s="18" t="s">
        <v>79</v>
      </c>
      <c r="T608" s="18" t="s">
        <v>117</v>
      </c>
      <c r="U608" s="18" t="s">
        <v>83</v>
      </c>
      <c r="V608" s="18" t="s">
        <v>95</v>
      </c>
      <c r="W608" s="18" t="s">
        <v>95</v>
      </c>
      <c r="X608" s="18" t="s">
        <v>84</v>
      </c>
      <c r="Y608" s="18" t="s">
        <v>85</v>
      </c>
      <c r="Z608" s="18" t="s">
        <v>86</v>
      </c>
      <c r="AA608" s="18" t="s">
        <v>87</v>
      </c>
      <c r="AB608" s="18" t="s">
        <v>1043</v>
      </c>
      <c r="AC608" s="18" t="s">
        <v>1044</v>
      </c>
      <c r="AD608" s="18" t="s">
        <v>85</v>
      </c>
      <c r="AE608" s="18" t="s">
        <v>90</v>
      </c>
      <c r="AF608" s="18" t="s">
        <v>122</v>
      </c>
      <c r="AG608" s="18" t="s">
        <v>92</v>
      </c>
      <c r="AH608" s="18" t="s">
        <v>165</v>
      </c>
      <c r="AI608" s="18" t="s">
        <v>94</v>
      </c>
      <c r="AJ608" s="19">
        <v>44903</v>
      </c>
      <c r="AK608" s="22" t="s">
        <v>95</v>
      </c>
      <c r="AL608" s="18" t="s">
        <v>95</v>
      </c>
      <c r="AM608" s="18" t="s">
        <v>95</v>
      </c>
      <c r="AN608" s="18" t="s">
        <v>95</v>
      </c>
      <c r="AO608" s="18" t="s">
        <v>95</v>
      </c>
      <c r="AP608" s="18" t="s">
        <v>95</v>
      </c>
      <c r="AQ608" s="18" t="s">
        <v>95</v>
      </c>
      <c r="AR608" s="18" t="s">
        <v>95</v>
      </c>
      <c r="AS608" s="18" t="s">
        <v>83</v>
      </c>
      <c r="AT608" s="18" t="s">
        <v>83</v>
      </c>
      <c r="AU608" s="18" t="s">
        <v>81</v>
      </c>
      <c r="AV608" s="18" t="s">
        <v>95</v>
      </c>
      <c r="AW608" s="18" t="s">
        <v>95</v>
      </c>
      <c r="AX608" s="18"/>
      <c r="AY608" s="18" t="str">
        <f>Pospago[[#This Row],[NUM_TELEFONICO]]&amp;"POSPAGOSI"</f>
        <v>987788856POSPAGOSI</v>
      </c>
      <c r="AZ608" s="18" t="str">
        <f>VLOOKUP(Pospago[[#This Row],[NOM_PLAZA_FINAL]],[1]!Locales[#Data],3,0)</f>
        <v>TIENDA MACHALA</v>
      </c>
      <c r="BA608" s="18" t="str">
        <f>IFERROR(VLOOKUP(Pospago[[#This Row],[USUARIO]],[1]!Personal[#Data],6,0),"EJECUTIVO NO REGISTRADO")</f>
        <v>GONZAGA YUPANGUI LIZBETH KATHERINE</v>
      </c>
      <c r="BB608" s="18" t="str">
        <f>Pospago[[#This Row],[TIPO_MOVIMIENTO]]&amp;" "&amp;Pospago[[#This Row],[FORMA_PAGO_FINAL]]</f>
        <v>TRANSFERENCIAS DOMICILIADO</v>
      </c>
      <c r="BC608" s="18">
        <f>DAY(Pospago[[#This Row],[FECHA_ALTA]])</f>
        <v>8</v>
      </c>
      <c r="BD608" s="18">
        <f>IF(Pospago[[#This Row],[TARIFA_BASICA]]=11.42,1,0)</f>
        <v>0</v>
      </c>
      <c r="BE608" s="18">
        <f>IF(Pospago[[#This Row],[PLANES TELEVENTAS]]="SI",1,0)</f>
        <v>0</v>
      </c>
      <c r="BF608" s="18">
        <f>1</f>
        <v>1</v>
      </c>
      <c r="BG608" s="18">
        <f>IF(OR(Pospago[[#This Row],[TARIFA_BASICA]]=11.42,Pospago[[#This Row],[PLANES TELEVENTAS]]="SI"),1,0)</f>
        <v>0</v>
      </c>
      <c r="BH608" s="18" t="str">
        <f>IF(MID(Pospago[[#This Row],[PlanDesc]],1,4) = "PLAN","POSPAGO",IF(MID(Pospago[[#This Row],[PlanDesc]],1,4)="FULL","FULL MEGAS","PREVIOPAGO"))</f>
        <v>PREVIOPAGO</v>
      </c>
      <c r="BI6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</v>
      </c>
      <c r="BJ6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08" s="21">
        <f>Pospago[[#This Row],[TARIFA_BASICA]]*1.5</f>
        <v>22.5</v>
      </c>
    </row>
    <row r="609" spans="1:63" x14ac:dyDescent="0.25">
      <c r="A609" s="18" t="s">
        <v>154</v>
      </c>
      <c r="B609" s="18" t="s">
        <v>3948</v>
      </c>
      <c r="C609" s="18" t="s">
        <v>3846</v>
      </c>
      <c r="D609" s="19">
        <v>44897</v>
      </c>
      <c r="E609" s="18" t="s">
        <v>67</v>
      </c>
      <c r="F609" s="18" t="s">
        <v>3847</v>
      </c>
      <c r="G609" s="18" t="s">
        <v>3848</v>
      </c>
      <c r="H609" s="18" t="s">
        <v>159</v>
      </c>
      <c r="I609" s="18" t="s">
        <v>160</v>
      </c>
      <c r="J609" s="18" t="s">
        <v>161</v>
      </c>
      <c r="K609" s="18" t="s">
        <v>132</v>
      </c>
      <c r="L609" s="20" t="s">
        <v>3949</v>
      </c>
      <c r="M609" s="18" t="s">
        <v>75</v>
      </c>
      <c r="N609" s="20" t="s">
        <v>3950</v>
      </c>
      <c r="O609" s="18" t="s">
        <v>164</v>
      </c>
      <c r="P609" s="18" t="s">
        <v>78</v>
      </c>
      <c r="Q609" s="19">
        <v>44914</v>
      </c>
      <c r="R609" s="21">
        <v>14.28</v>
      </c>
      <c r="S609" s="18" t="s">
        <v>79</v>
      </c>
      <c r="T609" s="18" t="s">
        <v>174</v>
      </c>
      <c r="U609" s="18" t="s">
        <v>83</v>
      </c>
      <c r="V609" s="18" t="s">
        <v>95</v>
      </c>
      <c r="W609" s="18" t="s">
        <v>95</v>
      </c>
      <c r="X609" s="18" t="s">
        <v>84</v>
      </c>
      <c r="Y609" s="18" t="s">
        <v>85</v>
      </c>
      <c r="Z609" s="18" t="s">
        <v>86</v>
      </c>
      <c r="AA609" s="18" t="s">
        <v>87</v>
      </c>
      <c r="AB609" s="18" t="s">
        <v>2159</v>
      </c>
      <c r="AC609" s="18" t="s">
        <v>2160</v>
      </c>
      <c r="AD609" s="18" t="s">
        <v>85</v>
      </c>
      <c r="AE609" s="18" t="s">
        <v>90</v>
      </c>
      <c r="AF609" s="18" t="s">
        <v>177</v>
      </c>
      <c r="AG609" s="18" t="s">
        <v>139</v>
      </c>
      <c r="AH609" s="18" t="s">
        <v>165</v>
      </c>
      <c r="AI609" s="18" t="s">
        <v>94</v>
      </c>
      <c r="AJ609" s="19">
        <v>44897</v>
      </c>
      <c r="AK609" s="22" t="s">
        <v>95</v>
      </c>
      <c r="AL609" s="18" t="s">
        <v>95</v>
      </c>
      <c r="AM609" s="18" t="s">
        <v>95</v>
      </c>
      <c r="AN609" s="18" t="s">
        <v>95</v>
      </c>
      <c r="AO609" s="18" t="s">
        <v>95</v>
      </c>
      <c r="AP609" s="18" t="s">
        <v>95</v>
      </c>
      <c r="AQ609" s="18" t="s">
        <v>95</v>
      </c>
      <c r="AR609" s="18" t="s">
        <v>95</v>
      </c>
      <c r="AS609" s="18" t="s">
        <v>83</v>
      </c>
      <c r="AT609" s="18" t="s">
        <v>83</v>
      </c>
      <c r="AU609" s="18" t="s">
        <v>81</v>
      </c>
      <c r="AV609" s="18" t="s">
        <v>95</v>
      </c>
      <c r="AW609" s="18" t="s">
        <v>95</v>
      </c>
      <c r="AX609" s="18"/>
      <c r="AY609" s="18" t="str">
        <f>Pospago[[#This Row],[NUM_TELEFONICO]]&amp;"POSPAGOSI"</f>
        <v>987795988POSPAGOSI</v>
      </c>
      <c r="AZ609" s="18" t="str">
        <f>VLOOKUP(Pospago[[#This Row],[NOM_PLAZA_FINAL]],[1]!Locales[#Data],3,0)</f>
        <v>TIENDA RECREO</v>
      </c>
      <c r="BA609" s="18" t="str">
        <f>IFERROR(VLOOKUP(Pospago[[#This Row],[USUARIO]],[1]!Personal[#Data],6,0),"EJECUTIVO NO REGISTRADO")</f>
        <v>GUEVARA MAZA CRISTIAN FABIAN</v>
      </c>
      <c r="BB609" s="18" t="str">
        <f>Pospago[[#This Row],[TIPO_MOVIMIENTO]]&amp;" "&amp;Pospago[[#This Row],[FORMA_PAGO_FINAL]]</f>
        <v>TRANSFERENCIAS DOMICILIADO</v>
      </c>
      <c r="BC609" s="18">
        <f>DAY(Pospago[[#This Row],[FECHA_ALTA]])</f>
        <v>2</v>
      </c>
      <c r="BD609" s="18">
        <f>IF(Pospago[[#This Row],[TARIFA_BASICA]]=11.42,1,0)</f>
        <v>0</v>
      </c>
      <c r="BE609" s="18">
        <f>IF(Pospago[[#This Row],[PLANES TELEVENTAS]]="SI",1,0)</f>
        <v>0</v>
      </c>
      <c r="BF609" s="18">
        <f>1</f>
        <v>1</v>
      </c>
      <c r="BG609" s="18">
        <f>IF(OR(Pospago[[#This Row],[TARIFA_BASICA]]=11.42,Pospago[[#This Row],[PLANES TELEVENTAS]]="SI"),1,0)</f>
        <v>0</v>
      </c>
      <c r="BH609" s="18" t="str">
        <f>IF(MID(Pospago[[#This Row],[PlanDesc]],1,4) = "PLAN","POSPAGO",IF(MID(Pospago[[#This Row],[PlanDesc]],1,4)="FULL","FULL MEGAS","PREVIOPAGO"))</f>
        <v>PREVIOPAGO</v>
      </c>
      <c r="BI6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09" s="21">
        <f>Pospago[[#This Row],[TARIFA_BASICA]]*1.5</f>
        <v>21.419999999999998</v>
      </c>
    </row>
    <row r="610" spans="1:63" x14ac:dyDescent="0.25">
      <c r="A610" s="18" t="s">
        <v>64</v>
      </c>
      <c r="B610" s="18" t="s">
        <v>3951</v>
      </c>
      <c r="C610" s="18" t="s">
        <v>3952</v>
      </c>
      <c r="D610" s="19">
        <v>44897</v>
      </c>
      <c r="E610" s="18" t="s">
        <v>67</v>
      </c>
      <c r="F610" s="18" t="s">
        <v>3953</v>
      </c>
      <c r="G610" s="18" t="s">
        <v>3954</v>
      </c>
      <c r="H610" s="18" t="s">
        <v>70</v>
      </c>
      <c r="I610" s="18" t="s">
        <v>112</v>
      </c>
      <c r="J610" s="18" t="s">
        <v>113</v>
      </c>
      <c r="K610" s="18" t="s">
        <v>1727</v>
      </c>
      <c r="L610" s="20" t="s">
        <v>3955</v>
      </c>
      <c r="M610" s="18" t="s">
        <v>75</v>
      </c>
      <c r="N610" s="20" t="s">
        <v>3956</v>
      </c>
      <c r="O610" s="18" t="s">
        <v>77</v>
      </c>
      <c r="P610" s="18" t="s">
        <v>78</v>
      </c>
      <c r="Q610" s="19">
        <v>44914</v>
      </c>
      <c r="R610" s="21">
        <v>17.850000000000001</v>
      </c>
      <c r="S610" s="18" t="s">
        <v>79</v>
      </c>
      <c r="T610" s="18" t="s">
        <v>80</v>
      </c>
      <c r="U610" s="18" t="s">
        <v>83</v>
      </c>
      <c r="V610" s="18" t="s">
        <v>95</v>
      </c>
      <c r="W610" s="18" t="s">
        <v>83</v>
      </c>
      <c r="X610" s="18" t="s">
        <v>84</v>
      </c>
      <c r="Y610" s="18" t="s">
        <v>85</v>
      </c>
      <c r="Z610" s="18" t="s">
        <v>86</v>
      </c>
      <c r="AA610" s="18" t="s">
        <v>87</v>
      </c>
      <c r="AB610" s="18" t="s">
        <v>1020</v>
      </c>
      <c r="AC610" s="18" t="s">
        <v>1021</v>
      </c>
      <c r="AD610" s="18" t="s">
        <v>85</v>
      </c>
      <c r="AE610" s="18" t="s">
        <v>90</v>
      </c>
      <c r="AF610" s="18" t="s">
        <v>91</v>
      </c>
      <c r="AG610" s="18" t="s">
        <v>92</v>
      </c>
      <c r="AH610" s="18" t="s">
        <v>93</v>
      </c>
      <c r="AI610" s="18" t="s">
        <v>94</v>
      </c>
      <c r="AJ610" s="19">
        <v>44897</v>
      </c>
      <c r="AK610" s="22" t="s">
        <v>95</v>
      </c>
      <c r="AL610" s="18" t="s">
        <v>95</v>
      </c>
      <c r="AM610" s="18" t="s">
        <v>95</v>
      </c>
      <c r="AN610" s="18" t="s">
        <v>95</v>
      </c>
      <c r="AO610" s="18" t="s">
        <v>95</v>
      </c>
      <c r="AP610" s="18" t="s">
        <v>95</v>
      </c>
      <c r="AQ610" s="18" t="s">
        <v>95</v>
      </c>
      <c r="AR610" s="18" t="s">
        <v>95</v>
      </c>
      <c r="AS610" s="18" t="s">
        <v>83</v>
      </c>
      <c r="AT610" s="18" t="s">
        <v>83</v>
      </c>
      <c r="AU610" s="18" t="s">
        <v>81</v>
      </c>
      <c r="AV610" s="18" t="s">
        <v>95</v>
      </c>
      <c r="AW610" s="18" t="s">
        <v>95</v>
      </c>
      <c r="AX610" s="18"/>
      <c r="AY610" s="18" t="str">
        <f>Pospago[[#This Row],[NUM_TELEFONICO]]&amp;"POSPAGOSI"</f>
        <v>987800763POSPAGOSI</v>
      </c>
      <c r="AZ610" s="18" t="str">
        <f>VLOOKUP(Pospago[[#This Row],[NOM_PLAZA_FINAL]],[1]!Locales[#Data],3,0)</f>
        <v>TIENDA CUENCA CENTRO</v>
      </c>
      <c r="BA610" s="18" t="str">
        <f>IFERROR(VLOOKUP(Pospago[[#This Row],[USUARIO]],[1]!Personal[#Data],6,0),"EJECUTIVO NO REGISTRADO")</f>
        <v>GONZALES ALVARRACIN PAOLA YESSENIA</v>
      </c>
      <c r="BB610" s="18" t="str">
        <f>Pospago[[#This Row],[TIPO_MOVIMIENTO]]&amp;" "&amp;Pospago[[#This Row],[FORMA_PAGO_FINAL]]</f>
        <v>ALTAS DOMICILIADO</v>
      </c>
      <c r="BC610" s="18">
        <f>DAY(Pospago[[#This Row],[FECHA_ALTA]])</f>
        <v>2</v>
      </c>
      <c r="BD610" s="18">
        <f>IF(Pospago[[#This Row],[TARIFA_BASICA]]=11.42,1,0)</f>
        <v>0</v>
      </c>
      <c r="BE610" s="18">
        <f>IF(Pospago[[#This Row],[PLANES TELEVENTAS]]="SI",1,0)</f>
        <v>0</v>
      </c>
      <c r="BF610" s="18">
        <f>1</f>
        <v>1</v>
      </c>
      <c r="BG610" s="18">
        <f>IF(OR(Pospago[[#This Row],[TARIFA_BASICA]]=11.42,Pospago[[#This Row],[PLANES TELEVENTAS]]="SI"),1,0)</f>
        <v>0</v>
      </c>
      <c r="BH610" s="18" t="str">
        <f>IF(MID(Pospago[[#This Row],[PlanDesc]],1,4) = "PLAN","POSPAGO",IF(MID(Pospago[[#This Row],[PlanDesc]],1,4)="FULL","FULL MEGAS","PREVIOPAGO"))</f>
        <v>PREVIOPAGO</v>
      </c>
      <c r="BI6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6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10" s="21">
        <f>Pospago[[#This Row],[TARIFA_BASICA]]*1.5</f>
        <v>26.775000000000002</v>
      </c>
    </row>
    <row r="611" spans="1:63" x14ac:dyDescent="0.25">
      <c r="A611" s="18" t="s">
        <v>154</v>
      </c>
      <c r="B611" s="18" t="s">
        <v>3957</v>
      </c>
      <c r="C611" s="18" t="s">
        <v>3958</v>
      </c>
      <c r="D611" s="19">
        <v>44900</v>
      </c>
      <c r="E611" s="18" t="s">
        <v>67</v>
      </c>
      <c r="F611" s="18" t="s">
        <v>3959</v>
      </c>
      <c r="G611" s="18" t="s">
        <v>3960</v>
      </c>
      <c r="H611" s="18" t="s">
        <v>159</v>
      </c>
      <c r="I611" s="18" t="s">
        <v>71</v>
      </c>
      <c r="J611" s="18" t="s">
        <v>258</v>
      </c>
      <c r="K611" s="18" t="s">
        <v>95</v>
      </c>
      <c r="L611" s="20" t="s">
        <v>3961</v>
      </c>
      <c r="M611" s="18" t="s">
        <v>75</v>
      </c>
      <c r="N611" s="20" t="s">
        <v>3962</v>
      </c>
      <c r="O611" s="18" t="s">
        <v>164</v>
      </c>
      <c r="P611" s="18" t="s">
        <v>78</v>
      </c>
      <c r="Q611" s="19">
        <v>44914</v>
      </c>
      <c r="R611" s="21">
        <v>11.42</v>
      </c>
      <c r="S611" s="18" t="s">
        <v>79</v>
      </c>
      <c r="T611" s="18" t="s">
        <v>174</v>
      </c>
      <c r="U611" s="18" t="s">
        <v>83</v>
      </c>
      <c r="V611" s="18" t="s">
        <v>95</v>
      </c>
      <c r="W611" s="18" t="s">
        <v>95</v>
      </c>
      <c r="X611" s="18" t="s">
        <v>118</v>
      </c>
      <c r="Y611" s="18" t="s">
        <v>85</v>
      </c>
      <c r="Z611" s="18" t="s">
        <v>86</v>
      </c>
      <c r="AA611" s="18" t="s">
        <v>119</v>
      </c>
      <c r="AB611" s="18" t="s">
        <v>175</v>
      </c>
      <c r="AC611" s="18" t="s">
        <v>176</v>
      </c>
      <c r="AD611" s="18" t="s">
        <v>85</v>
      </c>
      <c r="AE611" s="18" t="s">
        <v>90</v>
      </c>
      <c r="AF611" s="18" t="s">
        <v>177</v>
      </c>
      <c r="AG611" s="18" t="s">
        <v>139</v>
      </c>
      <c r="AH611" s="18" t="s">
        <v>165</v>
      </c>
      <c r="AI611" s="18" t="s">
        <v>94</v>
      </c>
      <c r="AJ611" s="19">
        <v>44900</v>
      </c>
      <c r="AK611" s="22" t="s">
        <v>95</v>
      </c>
      <c r="AL611" s="18" t="s">
        <v>95</v>
      </c>
      <c r="AM611" s="18" t="s">
        <v>95</v>
      </c>
      <c r="AN611" s="18" t="s">
        <v>95</v>
      </c>
      <c r="AO611" s="18" t="s">
        <v>95</v>
      </c>
      <c r="AP611" s="18" t="s">
        <v>95</v>
      </c>
      <c r="AQ611" s="18" t="s">
        <v>95</v>
      </c>
      <c r="AR611" s="18" t="s">
        <v>95</v>
      </c>
      <c r="AS611" s="18" t="s">
        <v>83</v>
      </c>
      <c r="AT611" s="18" t="s">
        <v>83</v>
      </c>
      <c r="AU611" s="18" t="s">
        <v>81</v>
      </c>
      <c r="AV611" s="18" t="s">
        <v>95</v>
      </c>
      <c r="AW611" s="18" t="s">
        <v>95</v>
      </c>
      <c r="AX611" s="18"/>
      <c r="AY611" s="18" t="str">
        <f>Pospago[[#This Row],[NUM_TELEFONICO]]&amp;"POSPAGOSI"</f>
        <v>987800831POSPAGOSI</v>
      </c>
      <c r="AZ611" s="18" t="str">
        <f>VLOOKUP(Pospago[[#This Row],[NOM_PLAZA_FINAL]],[1]!Locales[#Data],3,0)</f>
        <v>TIENDA RECREO</v>
      </c>
      <c r="BA611" s="18" t="str">
        <f>IFERROR(VLOOKUP(Pospago[[#This Row],[USUARIO]],[1]!Personal[#Data],6,0),"EJECUTIVO NO REGISTRADO")</f>
        <v>VARGAS REYES LUIS EDUARDO</v>
      </c>
      <c r="BB611" s="18" t="str">
        <f>Pospago[[#This Row],[TIPO_MOVIMIENTO]]&amp;" "&amp;Pospago[[#This Row],[FORMA_PAGO_FINAL]]</f>
        <v>TRANSFERENCIAS PAGO EN CAJA</v>
      </c>
      <c r="BC611" s="18">
        <f>DAY(Pospago[[#This Row],[FECHA_ALTA]])</f>
        <v>5</v>
      </c>
      <c r="BD611" s="18">
        <f>IF(Pospago[[#This Row],[TARIFA_BASICA]]=11.42,1,0)</f>
        <v>1</v>
      </c>
      <c r="BE611" s="18">
        <f>IF(Pospago[[#This Row],[PLANES TELEVENTAS]]="SI",1,0)</f>
        <v>0</v>
      </c>
      <c r="BF611" s="18">
        <f>1</f>
        <v>1</v>
      </c>
      <c r="BG611" s="18">
        <f>IF(OR(Pospago[[#This Row],[TARIFA_BASICA]]=11.42,Pospago[[#This Row],[PLANES TELEVENTAS]]="SI"),1,0)</f>
        <v>1</v>
      </c>
      <c r="BH611" s="18" t="str">
        <f>IF(MID(Pospago[[#This Row],[PlanDesc]],1,4) = "PLAN","POSPAGO",IF(MID(Pospago[[#This Row],[PlanDesc]],1,4)="FULL","FULL MEGAS","PREVIOPAGO"))</f>
        <v>PREVIOPAGO</v>
      </c>
      <c r="BI6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6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11" s="21">
        <f>Pospago[[#This Row],[TARIFA_BASICA]]*1.5</f>
        <v>17.13</v>
      </c>
    </row>
    <row r="612" spans="1:63" x14ac:dyDescent="0.25">
      <c r="A612" s="18" t="s">
        <v>64</v>
      </c>
      <c r="B612" s="18" t="s">
        <v>3963</v>
      </c>
      <c r="C612" s="18" t="s">
        <v>3964</v>
      </c>
      <c r="D612" s="19">
        <v>44896</v>
      </c>
      <c r="E612" s="18" t="s">
        <v>67</v>
      </c>
      <c r="F612" s="18" t="s">
        <v>474</v>
      </c>
      <c r="G612" s="18" t="s">
        <v>475</v>
      </c>
      <c r="H612" s="18" t="s">
        <v>70</v>
      </c>
      <c r="I612" s="18" t="s">
        <v>130</v>
      </c>
      <c r="J612" s="18" t="s">
        <v>131</v>
      </c>
      <c r="K612" s="18" t="s">
        <v>95</v>
      </c>
      <c r="L612" s="20" t="s">
        <v>3965</v>
      </c>
      <c r="M612" s="18" t="s">
        <v>75</v>
      </c>
      <c r="N612" s="20" t="s">
        <v>3966</v>
      </c>
      <c r="O612" s="18" t="s">
        <v>77</v>
      </c>
      <c r="P612" s="18" t="s">
        <v>78</v>
      </c>
      <c r="Q612" s="19">
        <v>44914</v>
      </c>
      <c r="R612" s="21">
        <v>15</v>
      </c>
      <c r="S612" s="18" t="s">
        <v>79</v>
      </c>
      <c r="T612" s="18" t="s">
        <v>135</v>
      </c>
      <c r="U612" s="18" t="s">
        <v>83</v>
      </c>
      <c r="V612" s="18" t="s">
        <v>95</v>
      </c>
      <c r="W612" s="18" t="s">
        <v>83</v>
      </c>
      <c r="X612" s="18" t="s">
        <v>118</v>
      </c>
      <c r="Y612" s="18" t="s">
        <v>85</v>
      </c>
      <c r="Z612" s="18" t="s">
        <v>86</v>
      </c>
      <c r="AA612" s="18" t="s">
        <v>119</v>
      </c>
      <c r="AB612" s="18" t="s">
        <v>478</v>
      </c>
      <c r="AC612" s="18" t="s">
        <v>479</v>
      </c>
      <c r="AD612" s="18" t="s">
        <v>85</v>
      </c>
      <c r="AE612" s="18" t="s">
        <v>90</v>
      </c>
      <c r="AF612" s="18" t="s">
        <v>138</v>
      </c>
      <c r="AG612" s="18" t="s">
        <v>139</v>
      </c>
      <c r="AH612" s="18" t="s">
        <v>93</v>
      </c>
      <c r="AI612" s="18" t="s">
        <v>94</v>
      </c>
      <c r="AJ612" s="19">
        <v>44896</v>
      </c>
      <c r="AK612" s="22" t="s">
        <v>95</v>
      </c>
      <c r="AL612" s="18" t="s">
        <v>95</v>
      </c>
      <c r="AM612" s="18" t="s">
        <v>95</v>
      </c>
      <c r="AN612" s="18" t="s">
        <v>95</v>
      </c>
      <c r="AO612" s="18" t="s">
        <v>95</v>
      </c>
      <c r="AP612" s="18" t="s">
        <v>95</v>
      </c>
      <c r="AQ612" s="18" t="s">
        <v>95</v>
      </c>
      <c r="AR612" s="18" t="s">
        <v>95</v>
      </c>
      <c r="AS612" s="18" t="s">
        <v>83</v>
      </c>
      <c r="AT612" s="18" t="s">
        <v>83</v>
      </c>
      <c r="AU612" s="18" t="s">
        <v>81</v>
      </c>
      <c r="AV612" s="18" t="s">
        <v>95</v>
      </c>
      <c r="AW612" s="18" t="s">
        <v>95</v>
      </c>
      <c r="AX612" s="18"/>
      <c r="AY612" s="18" t="str">
        <f>Pospago[[#This Row],[NUM_TELEFONICO]]&amp;"POSPAGOSI"</f>
        <v>987803677POSPAGOSI</v>
      </c>
      <c r="AZ612" s="18" t="str">
        <f>VLOOKUP(Pospago[[#This Row],[NOM_PLAZA_FINAL]],[1]!Locales[#Data],3,0)</f>
        <v>TIENDA AMERICA</v>
      </c>
      <c r="BA612" s="18" t="str">
        <f>IFERROR(VLOOKUP(Pospago[[#This Row],[USUARIO]],[1]!Personal[#Data],6,0),"EJECUTIVO NO REGISTRADO")</f>
        <v>REINO TUFINO PAULTEH KATHERINE</v>
      </c>
      <c r="BB612" s="18" t="str">
        <f>Pospago[[#This Row],[TIPO_MOVIMIENTO]]&amp;" "&amp;Pospago[[#This Row],[FORMA_PAGO_FINAL]]</f>
        <v>ALTAS PAGO EN CAJA</v>
      </c>
      <c r="BC612" s="18">
        <f>DAY(Pospago[[#This Row],[FECHA_ALTA]])</f>
        <v>1</v>
      </c>
      <c r="BD612" s="18">
        <f>IF(Pospago[[#This Row],[TARIFA_BASICA]]=11.42,1,0)</f>
        <v>0</v>
      </c>
      <c r="BE612" s="18">
        <f>IF(Pospago[[#This Row],[PLANES TELEVENTAS]]="SI",1,0)</f>
        <v>0</v>
      </c>
      <c r="BF612" s="18">
        <f>1</f>
        <v>1</v>
      </c>
      <c r="BG612" s="18">
        <f>IF(OR(Pospago[[#This Row],[TARIFA_BASICA]]=11.42,Pospago[[#This Row],[PLANES TELEVENTAS]]="SI"),1,0)</f>
        <v>0</v>
      </c>
      <c r="BH612" s="18" t="str">
        <f>IF(MID(Pospago[[#This Row],[PlanDesc]],1,4) = "PLAN","POSPAGO",IF(MID(Pospago[[#This Row],[PlanDesc]],1,4)="FULL","FULL MEGAS","PREVIOPAGO"))</f>
        <v>PREVIOPAGO</v>
      </c>
      <c r="BI6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6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12" s="21">
        <f>Pospago[[#This Row],[TARIFA_BASICA]]*1.5</f>
        <v>22.5</v>
      </c>
    </row>
    <row r="613" spans="1:63" x14ac:dyDescent="0.25">
      <c r="A613" s="18" t="s">
        <v>64</v>
      </c>
      <c r="B613" s="18" t="s">
        <v>3967</v>
      </c>
      <c r="C613" s="18" t="s">
        <v>3968</v>
      </c>
      <c r="D613" s="19">
        <v>44902</v>
      </c>
      <c r="E613" s="18" t="s">
        <v>67</v>
      </c>
      <c r="F613" s="18" t="s">
        <v>3969</v>
      </c>
      <c r="G613" s="18" t="s">
        <v>3970</v>
      </c>
      <c r="H613" s="18" t="s">
        <v>3971</v>
      </c>
      <c r="I613" s="18" t="s">
        <v>3972</v>
      </c>
      <c r="J613" s="18" t="s">
        <v>3973</v>
      </c>
      <c r="K613" s="18" t="s">
        <v>73</v>
      </c>
      <c r="L613" s="20" t="s">
        <v>3974</v>
      </c>
      <c r="M613" s="18" t="s">
        <v>75</v>
      </c>
      <c r="N613" s="20" t="s">
        <v>3975</v>
      </c>
      <c r="O613" s="18" t="s">
        <v>520</v>
      </c>
      <c r="P613" s="18" t="s">
        <v>521</v>
      </c>
      <c r="Q613" s="19">
        <v>44914</v>
      </c>
      <c r="R613" s="21">
        <v>26.78</v>
      </c>
      <c r="S613" s="18" t="s">
        <v>79</v>
      </c>
      <c r="T613" s="18" t="s">
        <v>148</v>
      </c>
      <c r="U613" s="18" t="s">
        <v>83</v>
      </c>
      <c r="V613" s="18" t="s">
        <v>95</v>
      </c>
      <c r="W613" s="18" t="s">
        <v>83</v>
      </c>
      <c r="X613" s="18" t="s">
        <v>215</v>
      </c>
      <c r="Y613" s="18" t="s">
        <v>85</v>
      </c>
      <c r="Z613" s="18" t="s">
        <v>86</v>
      </c>
      <c r="AA613" s="18" t="s">
        <v>87</v>
      </c>
      <c r="AB613" s="18" t="s">
        <v>610</v>
      </c>
      <c r="AC613" s="18" t="s">
        <v>611</v>
      </c>
      <c r="AD613" s="18" t="s">
        <v>85</v>
      </c>
      <c r="AE613" s="18" t="s">
        <v>90</v>
      </c>
      <c r="AF613" s="18" t="s">
        <v>151</v>
      </c>
      <c r="AG613" s="18" t="s">
        <v>92</v>
      </c>
      <c r="AH613" s="18" t="s">
        <v>93</v>
      </c>
      <c r="AI613" s="18" t="s">
        <v>522</v>
      </c>
      <c r="AJ613" s="19">
        <v>44902</v>
      </c>
      <c r="AK613" s="22" t="s">
        <v>95</v>
      </c>
      <c r="AL613" s="18" t="s">
        <v>95</v>
      </c>
      <c r="AM613" s="18" t="s">
        <v>95</v>
      </c>
      <c r="AN613" s="18" t="s">
        <v>95</v>
      </c>
      <c r="AO613" s="18" t="s">
        <v>95</v>
      </c>
      <c r="AP613" s="18" t="s">
        <v>95</v>
      </c>
      <c r="AQ613" s="18" t="s">
        <v>95</v>
      </c>
      <c r="AR613" s="18" t="s">
        <v>95</v>
      </c>
      <c r="AS613" s="18" t="s">
        <v>83</v>
      </c>
      <c r="AT613" s="18" t="s">
        <v>83</v>
      </c>
      <c r="AU613" s="18" t="s">
        <v>83</v>
      </c>
      <c r="AV613" s="18" t="s">
        <v>95</v>
      </c>
      <c r="AW613" s="18" t="s">
        <v>95</v>
      </c>
      <c r="AX613" s="18"/>
      <c r="AY613" s="18" t="str">
        <f>Pospago[[#This Row],[NUM_TELEFONICO]]&amp;"POSPAGOSI"</f>
        <v>987811380POSPAGOSI</v>
      </c>
      <c r="AZ613" s="18" t="str">
        <f>VLOOKUP(Pospago[[#This Row],[NOM_PLAZA_FINAL]],[1]!Locales[#Data],3,0)</f>
        <v>TIENDA CUENCA REMIGIO</v>
      </c>
      <c r="BA613" s="18" t="str">
        <f>IFERROR(VLOOKUP(Pospago[[#This Row],[USUARIO]],[1]!Personal[#Data],6,0),"EJECUTIVO NO REGISTRADO")</f>
        <v>PATIÑO TAPIA ANDRES SANTIAGO</v>
      </c>
      <c r="BB613" s="18" t="str">
        <f>Pospago[[#This Row],[TIPO_MOVIMIENTO]]&amp;" "&amp;Pospago[[#This Row],[FORMA_PAGO_FINAL]]</f>
        <v>ALTAS DOMICILIADO</v>
      </c>
      <c r="BC613" s="18">
        <f>DAY(Pospago[[#This Row],[FECHA_ALTA]])</f>
        <v>7</v>
      </c>
      <c r="BD613" s="18">
        <f>IF(Pospago[[#This Row],[TARIFA_BASICA]]=11.42,1,0)</f>
        <v>0</v>
      </c>
      <c r="BE613" s="18">
        <f>IF(Pospago[[#This Row],[PLANES TELEVENTAS]]="SI",1,0)</f>
        <v>0</v>
      </c>
      <c r="BF613" s="18">
        <f>1</f>
        <v>1</v>
      </c>
      <c r="BG613" s="18">
        <f>IF(OR(Pospago[[#This Row],[TARIFA_BASICA]]=11.42,Pospago[[#This Row],[PLANES TELEVENTAS]]="SI"),1,0)</f>
        <v>0</v>
      </c>
      <c r="BH613" s="18" t="str">
        <f>IF(MID(Pospago[[#This Row],[PlanDesc]],1,4) = "PLAN","POSPAGO",IF(MID(Pospago[[#This Row],[PlanDesc]],1,4)="FULL","FULL MEGAS","PREVIOPAGO"))</f>
        <v>POSPAGO</v>
      </c>
      <c r="BI6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6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0</v>
      </c>
      <c r="BK613" s="21">
        <f>Pospago[[#This Row],[TARIFA_BASICA]]*1.5</f>
        <v>40.17</v>
      </c>
    </row>
    <row r="614" spans="1:63" x14ac:dyDescent="0.25">
      <c r="A614" s="18" t="s">
        <v>154</v>
      </c>
      <c r="B614" s="18" t="s">
        <v>3976</v>
      </c>
      <c r="C614" s="18" t="s">
        <v>3977</v>
      </c>
      <c r="D614" s="19">
        <v>44909</v>
      </c>
      <c r="E614" s="18" t="s">
        <v>67</v>
      </c>
      <c r="F614" s="18" t="s">
        <v>3978</v>
      </c>
      <c r="G614" s="18" t="s">
        <v>3979</v>
      </c>
      <c r="H614" s="18" t="s">
        <v>159</v>
      </c>
      <c r="I614" s="18" t="s">
        <v>130</v>
      </c>
      <c r="J614" s="18" t="s">
        <v>433</v>
      </c>
      <c r="K614" s="18" t="s">
        <v>73</v>
      </c>
      <c r="L614" s="20" t="s">
        <v>3980</v>
      </c>
      <c r="M614" s="18" t="s">
        <v>75</v>
      </c>
      <c r="N614" s="20" t="s">
        <v>3981</v>
      </c>
      <c r="O614" s="18" t="s">
        <v>164</v>
      </c>
      <c r="P614" s="18" t="s">
        <v>78</v>
      </c>
      <c r="Q614" s="19">
        <v>44914</v>
      </c>
      <c r="R614" s="21">
        <v>15</v>
      </c>
      <c r="S614" s="18" t="s">
        <v>79</v>
      </c>
      <c r="T614" s="18" t="s">
        <v>174</v>
      </c>
      <c r="U614" s="18" t="s">
        <v>83</v>
      </c>
      <c r="V614" s="18" t="s">
        <v>95</v>
      </c>
      <c r="W614" s="18" t="s">
        <v>95</v>
      </c>
      <c r="X614" s="18" t="s">
        <v>118</v>
      </c>
      <c r="Y614" s="18" t="s">
        <v>85</v>
      </c>
      <c r="Z614" s="18" t="s">
        <v>86</v>
      </c>
      <c r="AA614" s="18" t="s">
        <v>119</v>
      </c>
      <c r="AB614" s="18" t="s">
        <v>303</v>
      </c>
      <c r="AC614" s="18" t="s">
        <v>304</v>
      </c>
      <c r="AD614" s="18" t="s">
        <v>85</v>
      </c>
      <c r="AE614" s="18" t="s">
        <v>90</v>
      </c>
      <c r="AF614" s="18" t="s">
        <v>177</v>
      </c>
      <c r="AG614" s="18" t="s">
        <v>139</v>
      </c>
      <c r="AH614" s="18" t="s">
        <v>165</v>
      </c>
      <c r="AI614" s="18" t="s">
        <v>94</v>
      </c>
      <c r="AJ614" s="19">
        <v>44909</v>
      </c>
      <c r="AK614" s="22" t="s">
        <v>95</v>
      </c>
      <c r="AL614" s="18" t="s">
        <v>95</v>
      </c>
      <c r="AM614" s="18" t="s">
        <v>95</v>
      </c>
      <c r="AN614" s="18" t="s">
        <v>95</v>
      </c>
      <c r="AO614" s="18" t="s">
        <v>95</v>
      </c>
      <c r="AP614" s="18" t="s">
        <v>95</v>
      </c>
      <c r="AQ614" s="18" t="s">
        <v>95</v>
      </c>
      <c r="AR614" s="18" t="s">
        <v>95</v>
      </c>
      <c r="AS614" s="18" t="s">
        <v>83</v>
      </c>
      <c r="AT614" s="18" t="s">
        <v>83</v>
      </c>
      <c r="AU614" s="18" t="s">
        <v>81</v>
      </c>
      <c r="AV614" s="18" t="s">
        <v>95</v>
      </c>
      <c r="AW614" s="18" t="s">
        <v>95</v>
      </c>
      <c r="AX614" s="18"/>
      <c r="AY614" s="18" t="str">
        <f>Pospago[[#This Row],[NUM_TELEFONICO]]&amp;"POSPAGOSI"</f>
        <v>987812451POSPAGOSI</v>
      </c>
      <c r="AZ614" s="18" t="str">
        <f>VLOOKUP(Pospago[[#This Row],[NOM_PLAZA_FINAL]],[1]!Locales[#Data],3,0)</f>
        <v>TIENDA RECREO</v>
      </c>
      <c r="BA614" s="18" t="str">
        <f>IFERROR(VLOOKUP(Pospago[[#This Row],[USUARIO]],[1]!Personal[#Data],6,0),"EJECUTIVO NO REGISTRADO")</f>
        <v>CORDOVA GAIBOR JONATHAN HERNAN</v>
      </c>
      <c r="BB614" s="18" t="str">
        <f>Pospago[[#This Row],[TIPO_MOVIMIENTO]]&amp;" "&amp;Pospago[[#This Row],[FORMA_PAGO_FINAL]]</f>
        <v>TRANSFERENCIAS PAGO EN CAJA</v>
      </c>
      <c r="BC614" s="18">
        <f>DAY(Pospago[[#This Row],[FECHA_ALTA]])</f>
        <v>14</v>
      </c>
      <c r="BD614" s="18">
        <f>IF(Pospago[[#This Row],[TARIFA_BASICA]]=11.42,1,0)</f>
        <v>0</v>
      </c>
      <c r="BE614" s="18">
        <f>IF(Pospago[[#This Row],[PLANES TELEVENTAS]]="SI",1,0)</f>
        <v>0</v>
      </c>
      <c r="BF614" s="18">
        <f>1</f>
        <v>1</v>
      </c>
      <c r="BG614" s="18">
        <f>IF(OR(Pospago[[#This Row],[TARIFA_BASICA]]=11.42,Pospago[[#This Row],[PLANES TELEVENTAS]]="SI"),1,0)</f>
        <v>0</v>
      </c>
      <c r="BH614" s="18" t="str">
        <f>IF(MID(Pospago[[#This Row],[PlanDesc]],1,4) = "PLAN","POSPAGO",IF(MID(Pospago[[#This Row],[PlanDesc]],1,4)="FULL","FULL MEGAS","PREVIOPAGO"))</f>
        <v>PREVIOPAGO</v>
      </c>
      <c r="BI6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6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14" s="21">
        <f>Pospago[[#This Row],[TARIFA_BASICA]]*1.5</f>
        <v>22.5</v>
      </c>
    </row>
    <row r="615" spans="1:63" x14ac:dyDescent="0.25">
      <c r="A615" s="18" t="s">
        <v>64</v>
      </c>
      <c r="B615" s="18" t="s">
        <v>3982</v>
      </c>
      <c r="C615" s="18" t="s">
        <v>3983</v>
      </c>
      <c r="D615" s="19">
        <v>44903</v>
      </c>
      <c r="E615" s="18" t="s">
        <v>67</v>
      </c>
      <c r="F615" s="18" t="s">
        <v>3984</v>
      </c>
      <c r="G615" s="18" t="s">
        <v>3985</v>
      </c>
      <c r="H615" s="18" t="s">
        <v>70</v>
      </c>
      <c r="I615" s="18" t="s">
        <v>359</v>
      </c>
      <c r="J615" s="18" t="s">
        <v>360</v>
      </c>
      <c r="K615" s="18" t="s">
        <v>73</v>
      </c>
      <c r="L615" s="20" t="s">
        <v>3986</v>
      </c>
      <c r="M615" s="18" t="s">
        <v>75</v>
      </c>
      <c r="N615" s="20" t="s">
        <v>3987</v>
      </c>
      <c r="O615" s="18" t="s">
        <v>768</v>
      </c>
      <c r="P615" s="18" t="s">
        <v>78</v>
      </c>
      <c r="Q615" s="19">
        <v>44914</v>
      </c>
      <c r="R615" s="21">
        <v>14.28</v>
      </c>
      <c r="S615" s="18" t="s">
        <v>79</v>
      </c>
      <c r="T615" s="18" t="s">
        <v>148</v>
      </c>
      <c r="U615" s="18" t="s">
        <v>83</v>
      </c>
      <c r="V615" s="18" t="s">
        <v>95</v>
      </c>
      <c r="W615" s="18" t="s">
        <v>83</v>
      </c>
      <c r="X615" s="18" t="s">
        <v>84</v>
      </c>
      <c r="Y615" s="18" t="s">
        <v>85</v>
      </c>
      <c r="Z615" s="18" t="s">
        <v>86</v>
      </c>
      <c r="AA615" s="18" t="s">
        <v>87</v>
      </c>
      <c r="AB615" s="18" t="s">
        <v>610</v>
      </c>
      <c r="AC615" s="18" t="s">
        <v>611</v>
      </c>
      <c r="AD615" s="18" t="s">
        <v>85</v>
      </c>
      <c r="AE615" s="18" t="s">
        <v>90</v>
      </c>
      <c r="AF615" s="18" t="s">
        <v>151</v>
      </c>
      <c r="AG615" s="18" t="s">
        <v>92</v>
      </c>
      <c r="AH615" s="18" t="s">
        <v>93</v>
      </c>
      <c r="AI615" s="18" t="s">
        <v>94</v>
      </c>
      <c r="AJ615" s="19">
        <v>44903</v>
      </c>
      <c r="AK615" s="22" t="s">
        <v>95</v>
      </c>
      <c r="AL615" s="18" t="s">
        <v>95</v>
      </c>
      <c r="AM615" s="18" t="s">
        <v>95</v>
      </c>
      <c r="AN615" s="18" t="s">
        <v>95</v>
      </c>
      <c r="AO615" s="18" t="s">
        <v>95</v>
      </c>
      <c r="AP615" s="18" t="s">
        <v>95</v>
      </c>
      <c r="AQ615" s="18" t="s">
        <v>95</v>
      </c>
      <c r="AR615" s="18" t="s">
        <v>95</v>
      </c>
      <c r="AS615" s="18" t="s">
        <v>83</v>
      </c>
      <c r="AT615" s="18" t="s">
        <v>83</v>
      </c>
      <c r="AU615" s="18" t="s">
        <v>83</v>
      </c>
      <c r="AV615" s="18" t="s">
        <v>95</v>
      </c>
      <c r="AW615" s="18" t="s">
        <v>95</v>
      </c>
      <c r="AX615" s="18"/>
      <c r="AY615" s="18" t="str">
        <f>Pospago[[#This Row],[NUM_TELEFONICO]]&amp;"POSPAGOSI"</f>
        <v>987813508POSPAGOSI</v>
      </c>
      <c r="AZ615" s="18" t="str">
        <f>VLOOKUP(Pospago[[#This Row],[NOM_PLAZA_FINAL]],[1]!Locales[#Data],3,0)</f>
        <v>TIENDA CUENCA REMIGIO</v>
      </c>
      <c r="BA615" s="18" t="str">
        <f>IFERROR(VLOOKUP(Pospago[[#This Row],[USUARIO]],[1]!Personal[#Data],6,0),"EJECUTIVO NO REGISTRADO")</f>
        <v>PATIÑO TAPIA ANDRES SANTIAGO</v>
      </c>
      <c r="BB615" s="18" t="str">
        <f>Pospago[[#This Row],[TIPO_MOVIMIENTO]]&amp;" "&amp;Pospago[[#This Row],[FORMA_PAGO_FINAL]]</f>
        <v>ALTAS DOMICILIADO</v>
      </c>
      <c r="BC615" s="18">
        <f>DAY(Pospago[[#This Row],[FECHA_ALTA]])</f>
        <v>8</v>
      </c>
      <c r="BD615" s="18">
        <f>IF(Pospago[[#This Row],[TARIFA_BASICA]]=11.42,1,0)</f>
        <v>0</v>
      </c>
      <c r="BE615" s="18">
        <f>IF(Pospago[[#This Row],[PLANES TELEVENTAS]]="SI",1,0)</f>
        <v>0</v>
      </c>
      <c r="BF615" s="18">
        <f>1</f>
        <v>1</v>
      </c>
      <c r="BG615" s="18">
        <f>IF(OR(Pospago[[#This Row],[TARIFA_BASICA]]=11.42,Pospago[[#This Row],[PLANES TELEVENTAS]]="SI"),1,0)</f>
        <v>0</v>
      </c>
      <c r="BH615" s="18" t="str">
        <f>IF(MID(Pospago[[#This Row],[PlanDesc]],1,4) = "PLAN","POSPAGO",IF(MID(Pospago[[#This Row],[PlanDesc]],1,4)="FULL","FULL MEGAS","PREVIOPAGO"))</f>
        <v>POSPAGO</v>
      </c>
      <c r="BI6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15" s="21">
        <f>Pospago[[#This Row],[TARIFA_BASICA]]*1.5</f>
        <v>21.419999999999998</v>
      </c>
    </row>
    <row r="616" spans="1:63" x14ac:dyDescent="0.25">
      <c r="A616" s="18" t="s">
        <v>154</v>
      </c>
      <c r="B616" s="18" t="s">
        <v>3988</v>
      </c>
      <c r="C616" s="18" t="s">
        <v>3989</v>
      </c>
      <c r="D616" s="19">
        <v>44904</v>
      </c>
      <c r="E616" s="18" t="s">
        <v>67</v>
      </c>
      <c r="F616" s="18" t="s">
        <v>3990</v>
      </c>
      <c r="G616" s="18" t="s">
        <v>3991</v>
      </c>
      <c r="H616" s="18" t="s">
        <v>159</v>
      </c>
      <c r="I616" s="18" t="s">
        <v>71</v>
      </c>
      <c r="J616" s="18" t="s">
        <v>258</v>
      </c>
      <c r="K616" s="18" t="s">
        <v>132</v>
      </c>
      <c r="L616" s="20" t="s">
        <v>3992</v>
      </c>
      <c r="M616" s="18" t="s">
        <v>75</v>
      </c>
      <c r="N616" s="20" t="s">
        <v>3993</v>
      </c>
      <c r="O616" s="18" t="s">
        <v>164</v>
      </c>
      <c r="P616" s="18" t="s">
        <v>78</v>
      </c>
      <c r="Q616" s="19">
        <v>44914</v>
      </c>
      <c r="R616" s="21">
        <v>11.42</v>
      </c>
      <c r="S616" s="18" t="s">
        <v>79</v>
      </c>
      <c r="T616" s="18" t="s">
        <v>174</v>
      </c>
      <c r="U616" s="18" t="s">
        <v>83</v>
      </c>
      <c r="V616" s="18" t="s">
        <v>95</v>
      </c>
      <c r="W616" s="18" t="s">
        <v>95</v>
      </c>
      <c r="X616" s="18" t="s">
        <v>84</v>
      </c>
      <c r="Y616" s="18" t="s">
        <v>85</v>
      </c>
      <c r="Z616" s="18" t="s">
        <v>86</v>
      </c>
      <c r="AA616" s="18" t="s">
        <v>87</v>
      </c>
      <c r="AB616" s="18" t="s">
        <v>187</v>
      </c>
      <c r="AC616" s="18" t="s">
        <v>188</v>
      </c>
      <c r="AD616" s="18" t="s">
        <v>85</v>
      </c>
      <c r="AE616" s="18" t="s">
        <v>90</v>
      </c>
      <c r="AF616" s="18" t="s">
        <v>177</v>
      </c>
      <c r="AG616" s="18" t="s">
        <v>139</v>
      </c>
      <c r="AH616" s="18" t="s">
        <v>165</v>
      </c>
      <c r="AI616" s="18" t="s">
        <v>94</v>
      </c>
      <c r="AJ616" s="19">
        <v>44904</v>
      </c>
      <c r="AK616" s="22" t="s">
        <v>95</v>
      </c>
      <c r="AL616" s="18" t="s">
        <v>95</v>
      </c>
      <c r="AM616" s="18" t="s">
        <v>95</v>
      </c>
      <c r="AN616" s="18" t="s">
        <v>95</v>
      </c>
      <c r="AO616" s="18" t="s">
        <v>95</v>
      </c>
      <c r="AP616" s="18" t="s">
        <v>95</v>
      </c>
      <c r="AQ616" s="18" t="s">
        <v>95</v>
      </c>
      <c r="AR616" s="18" t="s">
        <v>95</v>
      </c>
      <c r="AS616" s="18" t="s">
        <v>83</v>
      </c>
      <c r="AT616" s="18" t="s">
        <v>83</v>
      </c>
      <c r="AU616" s="18" t="s">
        <v>81</v>
      </c>
      <c r="AV616" s="18" t="s">
        <v>95</v>
      </c>
      <c r="AW616" s="18" t="s">
        <v>95</v>
      </c>
      <c r="AX616" s="18"/>
      <c r="AY616" s="18" t="str">
        <f>Pospago[[#This Row],[NUM_TELEFONICO]]&amp;"POSPAGOSI"</f>
        <v>987816493POSPAGOSI</v>
      </c>
      <c r="AZ616" s="18" t="str">
        <f>VLOOKUP(Pospago[[#This Row],[NOM_PLAZA_FINAL]],[1]!Locales[#Data],3,0)</f>
        <v>TIENDA RECREO</v>
      </c>
      <c r="BA616" s="18" t="str">
        <f>IFERROR(VLOOKUP(Pospago[[#This Row],[USUARIO]],[1]!Personal[#Data],6,0),"EJECUTIVO NO REGISTRADO")</f>
        <v>ESPINOZA MARTINES LAURA XIOMARA</v>
      </c>
      <c r="BB616" s="18" t="str">
        <f>Pospago[[#This Row],[TIPO_MOVIMIENTO]]&amp;" "&amp;Pospago[[#This Row],[FORMA_PAGO_FINAL]]</f>
        <v>TRANSFERENCIAS DOMICILIADO</v>
      </c>
      <c r="BC616" s="18">
        <f>DAY(Pospago[[#This Row],[FECHA_ALTA]])</f>
        <v>9</v>
      </c>
      <c r="BD616" s="18">
        <f>IF(Pospago[[#This Row],[TARIFA_BASICA]]=11.42,1,0)</f>
        <v>1</v>
      </c>
      <c r="BE616" s="18">
        <f>IF(Pospago[[#This Row],[PLANES TELEVENTAS]]="SI",1,0)</f>
        <v>0</v>
      </c>
      <c r="BF616" s="18">
        <f>1</f>
        <v>1</v>
      </c>
      <c r="BG616" s="18">
        <f>IF(OR(Pospago[[#This Row],[TARIFA_BASICA]]=11.42,Pospago[[#This Row],[PLANES TELEVENTAS]]="SI"),1,0)</f>
        <v>1</v>
      </c>
      <c r="BH616" s="18" t="str">
        <f>IF(MID(Pospago[[#This Row],[PlanDesc]],1,4) = "PLAN","POSPAGO",IF(MID(Pospago[[#This Row],[PlanDesc]],1,4)="FULL","FULL MEGAS","PREVIOPAGO"))</f>
        <v>PREVIOPAGO</v>
      </c>
      <c r="BI6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16" s="21">
        <f>Pospago[[#This Row],[TARIFA_BASICA]]*1.5</f>
        <v>17.13</v>
      </c>
    </row>
    <row r="617" spans="1:63" x14ac:dyDescent="0.25">
      <c r="A617" s="18" t="s">
        <v>154</v>
      </c>
      <c r="B617" s="18" t="s">
        <v>3994</v>
      </c>
      <c r="C617" s="18" t="s">
        <v>3995</v>
      </c>
      <c r="D617" s="19">
        <v>44900</v>
      </c>
      <c r="E617" s="18" t="s">
        <v>67</v>
      </c>
      <c r="F617" s="18" t="s">
        <v>3996</v>
      </c>
      <c r="G617" s="18" t="s">
        <v>3997</v>
      </c>
      <c r="H617" s="18" t="s">
        <v>159</v>
      </c>
      <c r="I617" s="18" t="s">
        <v>71</v>
      </c>
      <c r="J617" s="18" t="s">
        <v>258</v>
      </c>
      <c r="K617" s="18" t="s">
        <v>73</v>
      </c>
      <c r="L617" s="20" t="s">
        <v>3998</v>
      </c>
      <c r="M617" s="18" t="s">
        <v>75</v>
      </c>
      <c r="N617" s="20" t="s">
        <v>3999</v>
      </c>
      <c r="O617" s="18" t="s">
        <v>164</v>
      </c>
      <c r="P617" s="18" t="s">
        <v>78</v>
      </c>
      <c r="Q617" s="19">
        <v>44914</v>
      </c>
      <c r="R617" s="21">
        <v>11.42</v>
      </c>
      <c r="S617" s="18" t="s">
        <v>79</v>
      </c>
      <c r="T617" s="18" t="s">
        <v>80</v>
      </c>
      <c r="U617" s="18" t="s">
        <v>83</v>
      </c>
      <c r="V617" s="18" t="s">
        <v>95</v>
      </c>
      <c r="W617" s="18" t="s">
        <v>95</v>
      </c>
      <c r="X617" s="18" t="s">
        <v>84</v>
      </c>
      <c r="Y617" s="18" t="s">
        <v>85</v>
      </c>
      <c r="Z617" s="18" t="s">
        <v>86</v>
      </c>
      <c r="AA617" s="18" t="s">
        <v>87</v>
      </c>
      <c r="AB617" s="18" t="s">
        <v>88</v>
      </c>
      <c r="AC617" s="18" t="s">
        <v>89</v>
      </c>
      <c r="AD617" s="18" t="s">
        <v>85</v>
      </c>
      <c r="AE617" s="18" t="s">
        <v>90</v>
      </c>
      <c r="AF617" s="18" t="s">
        <v>91</v>
      </c>
      <c r="AG617" s="18" t="s">
        <v>92</v>
      </c>
      <c r="AH617" s="18" t="s">
        <v>165</v>
      </c>
      <c r="AI617" s="18" t="s">
        <v>94</v>
      </c>
      <c r="AJ617" s="19">
        <v>44900</v>
      </c>
      <c r="AK617" s="22" t="s">
        <v>95</v>
      </c>
      <c r="AL617" s="18" t="s">
        <v>95</v>
      </c>
      <c r="AM617" s="18" t="s">
        <v>95</v>
      </c>
      <c r="AN617" s="18" t="s">
        <v>95</v>
      </c>
      <c r="AO617" s="18" t="s">
        <v>95</v>
      </c>
      <c r="AP617" s="18" t="s">
        <v>95</v>
      </c>
      <c r="AQ617" s="18" t="s">
        <v>95</v>
      </c>
      <c r="AR617" s="18" t="s">
        <v>95</v>
      </c>
      <c r="AS617" s="18" t="s">
        <v>83</v>
      </c>
      <c r="AT617" s="18" t="s">
        <v>83</v>
      </c>
      <c r="AU617" s="18" t="s">
        <v>81</v>
      </c>
      <c r="AV617" s="18" t="s">
        <v>95</v>
      </c>
      <c r="AW617" s="18" t="s">
        <v>95</v>
      </c>
      <c r="AX617" s="18"/>
      <c r="AY617" s="18" t="str">
        <f>Pospago[[#This Row],[NUM_TELEFONICO]]&amp;"POSPAGOSI"</f>
        <v>987821061POSPAGOSI</v>
      </c>
      <c r="AZ617" s="18" t="str">
        <f>VLOOKUP(Pospago[[#This Row],[NOM_PLAZA_FINAL]],[1]!Locales[#Data],3,0)</f>
        <v>TIENDA CUENCA CENTRO</v>
      </c>
      <c r="BA617" s="18" t="str">
        <f>IFERROR(VLOOKUP(Pospago[[#This Row],[USUARIO]],[1]!Personal[#Data],6,0),"EJECUTIVO NO REGISTRADO")</f>
        <v>ANDRADE CONDO CHRISTIAN EDUARDO</v>
      </c>
      <c r="BB617" s="18" t="str">
        <f>Pospago[[#This Row],[TIPO_MOVIMIENTO]]&amp;" "&amp;Pospago[[#This Row],[FORMA_PAGO_FINAL]]</f>
        <v>TRANSFERENCIAS DOMICILIADO</v>
      </c>
      <c r="BC617" s="18">
        <f>DAY(Pospago[[#This Row],[FECHA_ALTA]])</f>
        <v>5</v>
      </c>
      <c r="BD617" s="18">
        <f>IF(Pospago[[#This Row],[TARIFA_BASICA]]=11.42,1,0)</f>
        <v>1</v>
      </c>
      <c r="BE617" s="18">
        <f>IF(Pospago[[#This Row],[PLANES TELEVENTAS]]="SI",1,0)</f>
        <v>0</v>
      </c>
      <c r="BF617" s="18">
        <f>1</f>
        <v>1</v>
      </c>
      <c r="BG617" s="18">
        <f>IF(OR(Pospago[[#This Row],[TARIFA_BASICA]]=11.42,Pospago[[#This Row],[PLANES TELEVENTAS]]="SI"),1,0)</f>
        <v>1</v>
      </c>
      <c r="BH617" s="18" t="str">
        <f>IF(MID(Pospago[[#This Row],[PlanDesc]],1,4) = "PLAN","POSPAGO",IF(MID(Pospago[[#This Row],[PlanDesc]],1,4)="FULL","FULL MEGAS","PREVIOPAGO"))</f>
        <v>PREVIOPAGO</v>
      </c>
      <c r="BI6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17" s="21">
        <f>Pospago[[#This Row],[TARIFA_BASICA]]*1.5</f>
        <v>17.13</v>
      </c>
    </row>
    <row r="618" spans="1:63" x14ac:dyDescent="0.25">
      <c r="A618" s="18" t="s">
        <v>154</v>
      </c>
      <c r="B618" s="18" t="s">
        <v>4000</v>
      </c>
      <c r="C618" s="18" t="s">
        <v>4001</v>
      </c>
      <c r="D618" s="19">
        <v>44900</v>
      </c>
      <c r="E618" s="18" t="s">
        <v>67</v>
      </c>
      <c r="F618" s="18" t="s">
        <v>4002</v>
      </c>
      <c r="G618" s="18" t="s">
        <v>4003</v>
      </c>
      <c r="H618" s="18" t="s">
        <v>159</v>
      </c>
      <c r="I618" s="18" t="s">
        <v>71</v>
      </c>
      <c r="J618" s="18" t="s">
        <v>258</v>
      </c>
      <c r="K618" s="18" t="s">
        <v>95</v>
      </c>
      <c r="L618" s="20" t="s">
        <v>4004</v>
      </c>
      <c r="M618" s="18" t="s">
        <v>75</v>
      </c>
      <c r="N618" s="20" t="s">
        <v>4005</v>
      </c>
      <c r="O618" s="18" t="s">
        <v>164</v>
      </c>
      <c r="P618" s="18" t="s">
        <v>78</v>
      </c>
      <c r="Q618" s="19">
        <v>44914</v>
      </c>
      <c r="R618" s="21">
        <v>11.42</v>
      </c>
      <c r="S618" s="18" t="s">
        <v>79</v>
      </c>
      <c r="T618" s="18" t="s">
        <v>174</v>
      </c>
      <c r="U618" s="18" t="s">
        <v>83</v>
      </c>
      <c r="V618" s="18" t="s">
        <v>95</v>
      </c>
      <c r="W618" s="18" t="s">
        <v>95</v>
      </c>
      <c r="X618" s="18" t="s">
        <v>84</v>
      </c>
      <c r="Y618" s="18" t="s">
        <v>85</v>
      </c>
      <c r="Z618" s="18" t="s">
        <v>86</v>
      </c>
      <c r="AA618" s="18" t="s">
        <v>87</v>
      </c>
      <c r="AB618" s="18" t="s">
        <v>187</v>
      </c>
      <c r="AC618" s="18" t="s">
        <v>188</v>
      </c>
      <c r="AD618" s="18" t="s">
        <v>85</v>
      </c>
      <c r="AE618" s="18" t="s">
        <v>90</v>
      </c>
      <c r="AF618" s="18" t="s">
        <v>177</v>
      </c>
      <c r="AG618" s="18" t="s">
        <v>139</v>
      </c>
      <c r="AH618" s="18" t="s">
        <v>165</v>
      </c>
      <c r="AI618" s="18" t="s">
        <v>94</v>
      </c>
      <c r="AJ618" s="19">
        <v>44900</v>
      </c>
      <c r="AK618" s="22" t="s">
        <v>95</v>
      </c>
      <c r="AL618" s="18" t="s">
        <v>95</v>
      </c>
      <c r="AM618" s="18" t="s">
        <v>95</v>
      </c>
      <c r="AN618" s="18" t="s">
        <v>95</v>
      </c>
      <c r="AO618" s="18" t="s">
        <v>95</v>
      </c>
      <c r="AP618" s="18" t="s">
        <v>95</v>
      </c>
      <c r="AQ618" s="18" t="s">
        <v>95</v>
      </c>
      <c r="AR618" s="18" t="s">
        <v>95</v>
      </c>
      <c r="AS618" s="18" t="s">
        <v>83</v>
      </c>
      <c r="AT618" s="18" t="s">
        <v>83</v>
      </c>
      <c r="AU618" s="18" t="s">
        <v>81</v>
      </c>
      <c r="AV618" s="18" t="s">
        <v>95</v>
      </c>
      <c r="AW618" s="18" t="s">
        <v>95</v>
      </c>
      <c r="AX618" s="18"/>
      <c r="AY618" s="18" t="str">
        <f>Pospago[[#This Row],[NUM_TELEFONICO]]&amp;"POSPAGOSI"</f>
        <v>987821359POSPAGOSI</v>
      </c>
      <c r="AZ618" s="18" t="str">
        <f>VLOOKUP(Pospago[[#This Row],[NOM_PLAZA_FINAL]],[1]!Locales[#Data],3,0)</f>
        <v>TIENDA RECREO</v>
      </c>
      <c r="BA618" s="18" t="str">
        <f>IFERROR(VLOOKUP(Pospago[[#This Row],[USUARIO]],[1]!Personal[#Data],6,0),"EJECUTIVO NO REGISTRADO")</f>
        <v>ESPINOZA MARTINES LAURA XIOMARA</v>
      </c>
      <c r="BB618" s="18" t="str">
        <f>Pospago[[#This Row],[TIPO_MOVIMIENTO]]&amp;" "&amp;Pospago[[#This Row],[FORMA_PAGO_FINAL]]</f>
        <v>TRANSFERENCIAS DOMICILIADO</v>
      </c>
      <c r="BC618" s="18">
        <f>DAY(Pospago[[#This Row],[FECHA_ALTA]])</f>
        <v>5</v>
      </c>
      <c r="BD618" s="18">
        <f>IF(Pospago[[#This Row],[TARIFA_BASICA]]=11.42,1,0)</f>
        <v>1</v>
      </c>
      <c r="BE618" s="18">
        <f>IF(Pospago[[#This Row],[PLANES TELEVENTAS]]="SI",1,0)</f>
        <v>0</v>
      </c>
      <c r="BF618" s="18">
        <f>1</f>
        <v>1</v>
      </c>
      <c r="BG618" s="18">
        <f>IF(OR(Pospago[[#This Row],[TARIFA_BASICA]]=11.42,Pospago[[#This Row],[PLANES TELEVENTAS]]="SI"),1,0)</f>
        <v>1</v>
      </c>
      <c r="BH618" s="18" t="str">
        <f>IF(MID(Pospago[[#This Row],[PlanDesc]],1,4) = "PLAN","POSPAGO",IF(MID(Pospago[[#This Row],[PlanDesc]],1,4)="FULL","FULL MEGAS","PREVIOPAGO"))</f>
        <v>PREVIOPAGO</v>
      </c>
      <c r="BI6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18" s="21">
        <f>Pospago[[#This Row],[TARIFA_BASICA]]*1.5</f>
        <v>17.13</v>
      </c>
    </row>
    <row r="619" spans="1:63" x14ac:dyDescent="0.25">
      <c r="A619" s="18" t="s">
        <v>154</v>
      </c>
      <c r="B619" s="18" t="s">
        <v>4006</v>
      </c>
      <c r="C619" s="18" t="s">
        <v>4007</v>
      </c>
      <c r="D619" s="19">
        <v>44904</v>
      </c>
      <c r="E619" s="18" t="s">
        <v>67</v>
      </c>
      <c r="F619" s="18" t="s">
        <v>4008</v>
      </c>
      <c r="G619" s="18" t="s">
        <v>4009</v>
      </c>
      <c r="H619" s="18" t="s">
        <v>159</v>
      </c>
      <c r="I619" s="18" t="s">
        <v>160</v>
      </c>
      <c r="J619" s="18" t="s">
        <v>161</v>
      </c>
      <c r="K619" s="18" t="s">
        <v>95</v>
      </c>
      <c r="L619" s="20" t="s">
        <v>4010</v>
      </c>
      <c r="M619" s="18" t="s">
        <v>75</v>
      </c>
      <c r="N619" s="20" t="s">
        <v>4011</v>
      </c>
      <c r="O619" s="18" t="s">
        <v>164</v>
      </c>
      <c r="P619" s="18" t="s">
        <v>78</v>
      </c>
      <c r="Q619" s="19">
        <v>44914</v>
      </c>
      <c r="R619" s="21">
        <v>14.28</v>
      </c>
      <c r="S619" s="18" t="s">
        <v>79</v>
      </c>
      <c r="T619" s="18" t="s">
        <v>174</v>
      </c>
      <c r="U619" s="18" t="s">
        <v>83</v>
      </c>
      <c r="V619" s="18" t="s">
        <v>95</v>
      </c>
      <c r="W619" s="18" t="s">
        <v>95</v>
      </c>
      <c r="X619" s="18" t="s">
        <v>118</v>
      </c>
      <c r="Y619" s="18" t="s">
        <v>85</v>
      </c>
      <c r="Z619" s="18" t="s">
        <v>86</v>
      </c>
      <c r="AA619" s="18" t="s">
        <v>119</v>
      </c>
      <c r="AB619" s="18" t="s">
        <v>187</v>
      </c>
      <c r="AC619" s="18" t="s">
        <v>188</v>
      </c>
      <c r="AD619" s="18" t="s">
        <v>85</v>
      </c>
      <c r="AE619" s="18" t="s">
        <v>90</v>
      </c>
      <c r="AF619" s="18" t="s">
        <v>177</v>
      </c>
      <c r="AG619" s="18" t="s">
        <v>139</v>
      </c>
      <c r="AH619" s="18" t="s">
        <v>165</v>
      </c>
      <c r="AI619" s="18" t="s">
        <v>94</v>
      </c>
      <c r="AJ619" s="19">
        <v>44904</v>
      </c>
      <c r="AK619" s="22" t="s">
        <v>95</v>
      </c>
      <c r="AL619" s="18" t="s">
        <v>95</v>
      </c>
      <c r="AM619" s="18" t="s">
        <v>95</v>
      </c>
      <c r="AN619" s="18" t="s">
        <v>95</v>
      </c>
      <c r="AO619" s="18" t="s">
        <v>95</v>
      </c>
      <c r="AP619" s="18" t="s">
        <v>95</v>
      </c>
      <c r="AQ619" s="18" t="s">
        <v>95</v>
      </c>
      <c r="AR619" s="18" t="s">
        <v>95</v>
      </c>
      <c r="AS619" s="18" t="s">
        <v>83</v>
      </c>
      <c r="AT619" s="18" t="s">
        <v>83</v>
      </c>
      <c r="AU619" s="18" t="s">
        <v>81</v>
      </c>
      <c r="AV619" s="18" t="s">
        <v>95</v>
      </c>
      <c r="AW619" s="18" t="s">
        <v>95</v>
      </c>
      <c r="AX619" s="18"/>
      <c r="AY619" s="18" t="str">
        <f>Pospago[[#This Row],[NUM_TELEFONICO]]&amp;"POSPAGOSI"</f>
        <v>987841008POSPAGOSI</v>
      </c>
      <c r="AZ619" s="18" t="str">
        <f>VLOOKUP(Pospago[[#This Row],[NOM_PLAZA_FINAL]],[1]!Locales[#Data],3,0)</f>
        <v>TIENDA RECREO</v>
      </c>
      <c r="BA619" s="18" t="str">
        <f>IFERROR(VLOOKUP(Pospago[[#This Row],[USUARIO]],[1]!Personal[#Data],6,0),"EJECUTIVO NO REGISTRADO")</f>
        <v>ESPINOZA MARTINES LAURA XIOMARA</v>
      </c>
      <c r="BB619" s="18" t="str">
        <f>Pospago[[#This Row],[TIPO_MOVIMIENTO]]&amp;" "&amp;Pospago[[#This Row],[FORMA_PAGO_FINAL]]</f>
        <v>TRANSFERENCIAS PAGO EN CAJA</v>
      </c>
      <c r="BC619" s="18">
        <f>DAY(Pospago[[#This Row],[FECHA_ALTA]])</f>
        <v>9</v>
      </c>
      <c r="BD619" s="18">
        <f>IF(Pospago[[#This Row],[TARIFA_BASICA]]=11.42,1,0)</f>
        <v>0</v>
      </c>
      <c r="BE619" s="18">
        <f>IF(Pospago[[#This Row],[PLANES TELEVENTAS]]="SI",1,0)</f>
        <v>0</v>
      </c>
      <c r="BF619" s="18">
        <f>1</f>
        <v>1</v>
      </c>
      <c r="BG619" s="18">
        <f>IF(OR(Pospago[[#This Row],[TARIFA_BASICA]]=11.42,Pospago[[#This Row],[PLANES TELEVENTAS]]="SI"),1,0)</f>
        <v>0</v>
      </c>
      <c r="BH619" s="18" t="str">
        <f>IF(MID(Pospago[[#This Row],[PlanDesc]],1,4) = "PLAN","POSPAGO",IF(MID(Pospago[[#This Row],[PlanDesc]],1,4)="FULL","FULL MEGAS","PREVIOPAGO"))</f>
        <v>PREVIOPAGO</v>
      </c>
      <c r="BI6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19" s="21">
        <f>Pospago[[#This Row],[TARIFA_BASICA]]*1.5</f>
        <v>21.419999999999998</v>
      </c>
    </row>
    <row r="620" spans="1:63" x14ac:dyDescent="0.25">
      <c r="A620" s="18" t="s">
        <v>64</v>
      </c>
      <c r="B620" s="18" t="s">
        <v>4012</v>
      </c>
      <c r="C620" s="18" t="s">
        <v>4013</v>
      </c>
      <c r="D620" s="19">
        <v>44904</v>
      </c>
      <c r="E620" s="18" t="s">
        <v>67</v>
      </c>
      <c r="F620" s="18" t="s">
        <v>4014</v>
      </c>
      <c r="G620" s="18" t="s">
        <v>4015</v>
      </c>
      <c r="H620" s="18" t="s">
        <v>70</v>
      </c>
      <c r="I620" s="18" t="s">
        <v>160</v>
      </c>
      <c r="J620" s="18" t="s">
        <v>195</v>
      </c>
      <c r="K620" s="18" t="s">
        <v>132</v>
      </c>
      <c r="L620" s="20" t="s">
        <v>4016</v>
      </c>
      <c r="M620" s="18" t="s">
        <v>75</v>
      </c>
      <c r="N620" s="20" t="s">
        <v>4017</v>
      </c>
      <c r="O620" s="18" t="s">
        <v>77</v>
      </c>
      <c r="P620" s="18" t="s">
        <v>78</v>
      </c>
      <c r="Q620" s="19">
        <v>44914</v>
      </c>
      <c r="R620" s="21">
        <v>14.28</v>
      </c>
      <c r="S620" s="18" t="s">
        <v>79</v>
      </c>
      <c r="T620" s="18" t="s">
        <v>232</v>
      </c>
      <c r="U620" s="18" t="s">
        <v>83</v>
      </c>
      <c r="V620" s="18" t="s">
        <v>95</v>
      </c>
      <c r="W620" s="18" t="s">
        <v>83</v>
      </c>
      <c r="X620" s="18" t="s">
        <v>84</v>
      </c>
      <c r="Y620" s="18" t="s">
        <v>85</v>
      </c>
      <c r="Z620" s="18" t="s">
        <v>86</v>
      </c>
      <c r="AA620" s="18" t="s">
        <v>87</v>
      </c>
      <c r="AB620" s="18" t="s">
        <v>412</v>
      </c>
      <c r="AC620" s="18" t="s">
        <v>413</v>
      </c>
      <c r="AD620" s="18" t="s">
        <v>85</v>
      </c>
      <c r="AE620" s="18" t="s">
        <v>90</v>
      </c>
      <c r="AF620" s="18" t="s">
        <v>235</v>
      </c>
      <c r="AG620" s="18" t="s">
        <v>139</v>
      </c>
      <c r="AH620" s="18" t="s">
        <v>93</v>
      </c>
      <c r="AI620" s="18" t="s">
        <v>94</v>
      </c>
      <c r="AJ620" s="19">
        <v>44904</v>
      </c>
      <c r="AK620" s="22" t="s">
        <v>95</v>
      </c>
      <c r="AL620" s="18" t="s">
        <v>95</v>
      </c>
      <c r="AM620" s="18" t="s">
        <v>95</v>
      </c>
      <c r="AN620" s="18" t="s">
        <v>95</v>
      </c>
      <c r="AO620" s="18" t="s">
        <v>95</v>
      </c>
      <c r="AP620" s="18" t="s">
        <v>95</v>
      </c>
      <c r="AQ620" s="18" t="s">
        <v>95</v>
      </c>
      <c r="AR620" s="18" t="s">
        <v>95</v>
      </c>
      <c r="AS620" s="18" t="s">
        <v>83</v>
      </c>
      <c r="AT620" s="18" t="s">
        <v>83</v>
      </c>
      <c r="AU620" s="18" t="s">
        <v>81</v>
      </c>
      <c r="AV620" s="18" t="s">
        <v>95</v>
      </c>
      <c r="AW620" s="18" t="s">
        <v>95</v>
      </c>
      <c r="AX620" s="18"/>
      <c r="AY620" s="18" t="str">
        <f>Pospago[[#This Row],[NUM_TELEFONICO]]&amp;"POSPAGOSI"</f>
        <v>987844491POSPAGOSI</v>
      </c>
      <c r="AZ620" s="18" t="str">
        <f>VLOOKUP(Pospago[[#This Row],[NOM_PLAZA_FINAL]],[1]!Locales[#Data],3,0)</f>
        <v>TIENDA CONDADO</v>
      </c>
      <c r="BA620" s="18" t="str">
        <f>IFERROR(VLOOKUP(Pospago[[#This Row],[USUARIO]],[1]!Personal[#Data],6,0),"EJECUTIVO NO REGISTRADO")</f>
        <v>PADILLA MALDONADO HENRY LEOPOLDO</v>
      </c>
      <c r="BB620" s="18" t="str">
        <f>Pospago[[#This Row],[TIPO_MOVIMIENTO]]&amp;" "&amp;Pospago[[#This Row],[FORMA_PAGO_FINAL]]</f>
        <v>ALTAS DOMICILIADO</v>
      </c>
      <c r="BC620" s="18">
        <f>DAY(Pospago[[#This Row],[FECHA_ALTA]])</f>
        <v>9</v>
      </c>
      <c r="BD620" s="18">
        <f>IF(Pospago[[#This Row],[TARIFA_BASICA]]=11.42,1,0)</f>
        <v>0</v>
      </c>
      <c r="BE620" s="18">
        <f>IF(Pospago[[#This Row],[PLANES TELEVENTAS]]="SI",1,0)</f>
        <v>0</v>
      </c>
      <c r="BF620" s="18">
        <f>1</f>
        <v>1</v>
      </c>
      <c r="BG620" s="18">
        <f>IF(OR(Pospago[[#This Row],[TARIFA_BASICA]]=11.42,Pospago[[#This Row],[PLANES TELEVENTAS]]="SI"),1,0)</f>
        <v>0</v>
      </c>
      <c r="BH620" s="18" t="str">
        <f>IF(MID(Pospago[[#This Row],[PlanDesc]],1,4) = "PLAN","POSPAGO",IF(MID(Pospago[[#This Row],[PlanDesc]],1,4)="FULL","FULL MEGAS","PREVIOPAGO"))</f>
        <v>PREVIOPAGO</v>
      </c>
      <c r="BI6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0" s="21">
        <f>Pospago[[#This Row],[TARIFA_BASICA]]*1.5</f>
        <v>21.419999999999998</v>
      </c>
    </row>
    <row r="621" spans="1:63" x14ac:dyDescent="0.25">
      <c r="A621" s="18" t="s">
        <v>154</v>
      </c>
      <c r="B621" s="18" t="s">
        <v>4018</v>
      </c>
      <c r="C621" s="18" t="s">
        <v>4019</v>
      </c>
      <c r="D621" s="19">
        <v>44913</v>
      </c>
      <c r="E621" s="18" t="s">
        <v>67</v>
      </c>
      <c r="F621" s="18" t="s">
        <v>4020</v>
      </c>
      <c r="G621" s="18" t="s">
        <v>4021</v>
      </c>
      <c r="H621" s="18" t="s">
        <v>159</v>
      </c>
      <c r="I621" s="18" t="s">
        <v>112</v>
      </c>
      <c r="J621" s="18" t="s">
        <v>781</v>
      </c>
      <c r="K621" s="18" t="s">
        <v>73</v>
      </c>
      <c r="L621" s="20" t="s">
        <v>4022</v>
      </c>
      <c r="M621" s="18" t="s">
        <v>75</v>
      </c>
      <c r="N621" s="20" t="s">
        <v>4023</v>
      </c>
      <c r="O621" s="18" t="s">
        <v>164</v>
      </c>
      <c r="P621" s="18" t="s">
        <v>78</v>
      </c>
      <c r="Q621" s="19">
        <v>44914</v>
      </c>
      <c r="R621" s="21">
        <v>17.850000000000001</v>
      </c>
      <c r="S621" s="18" t="s">
        <v>79</v>
      </c>
      <c r="T621" s="18" t="s">
        <v>174</v>
      </c>
      <c r="U621" s="18" t="s">
        <v>83</v>
      </c>
      <c r="V621" s="18" t="s">
        <v>95</v>
      </c>
      <c r="W621" s="18" t="s">
        <v>95</v>
      </c>
      <c r="X621" s="18" t="s">
        <v>84</v>
      </c>
      <c r="Y621" s="18" t="s">
        <v>85</v>
      </c>
      <c r="Z621" s="18" t="s">
        <v>86</v>
      </c>
      <c r="AA621" s="18" t="s">
        <v>87</v>
      </c>
      <c r="AB621" s="18" t="s">
        <v>369</v>
      </c>
      <c r="AC621" s="18" t="s">
        <v>370</v>
      </c>
      <c r="AD621" s="18" t="s">
        <v>85</v>
      </c>
      <c r="AE621" s="18" t="s">
        <v>90</v>
      </c>
      <c r="AF621" s="18" t="s">
        <v>177</v>
      </c>
      <c r="AG621" s="18" t="s">
        <v>139</v>
      </c>
      <c r="AH621" s="18" t="s">
        <v>165</v>
      </c>
      <c r="AI621" s="18" t="s">
        <v>94</v>
      </c>
      <c r="AJ621" s="19">
        <v>44913</v>
      </c>
      <c r="AK621" s="22" t="s">
        <v>95</v>
      </c>
      <c r="AL621" s="18" t="s">
        <v>95</v>
      </c>
      <c r="AM621" s="18" t="s">
        <v>95</v>
      </c>
      <c r="AN621" s="18" t="s">
        <v>95</v>
      </c>
      <c r="AO621" s="18" t="s">
        <v>95</v>
      </c>
      <c r="AP621" s="18" t="s">
        <v>95</v>
      </c>
      <c r="AQ621" s="18" t="s">
        <v>95</v>
      </c>
      <c r="AR621" s="18" t="s">
        <v>95</v>
      </c>
      <c r="AS621" s="18" t="s">
        <v>83</v>
      </c>
      <c r="AT621" s="18" t="s">
        <v>83</v>
      </c>
      <c r="AU621" s="18" t="s">
        <v>81</v>
      </c>
      <c r="AV621" s="18" t="s">
        <v>95</v>
      </c>
      <c r="AW621" s="18" t="s">
        <v>95</v>
      </c>
      <c r="AX621" s="18"/>
      <c r="AY621" s="18" t="str">
        <f>Pospago[[#This Row],[NUM_TELEFONICO]]&amp;"POSPAGOSI"</f>
        <v>987844916POSPAGOSI</v>
      </c>
      <c r="AZ621" s="18" t="str">
        <f>VLOOKUP(Pospago[[#This Row],[NOM_PLAZA_FINAL]],[1]!Locales[#Data],3,0)</f>
        <v>TIENDA RECREO</v>
      </c>
      <c r="BA621" s="18" t="str">
        <f>IFERROR(VLOOKUP(Pospago[[#This Row],[USUARIO]],[1]!Personal[#Data],6,0),"EJECUTIVO NO REGISTRADO")</f>
        <v>GUAIGUA REINOSO GENESIS CAROLINA</v>
      </c>
      <c r="BB621" s="18" t="str">
        <f>Pospago[[#This Row],[TIPO_MOVIMIENTO]]&amp;" "&amp;Pospago[[#This Row],[FORMA_PAGO_FINAL]]</f>
        <v>TRANSFERENCIAS DOMICILIADO</v>
      </c>
      <c r="BC621" s="18">
        <f>DAY(Pospago[[#This Row],[FECHA_ALTA]])</f>
        <v>18</v>
      </c>
      <c r="BD621" s="18">
        <f>IF(Pospago[[#This Row],[TARIFA_BASICA]]=11.42,1,0)</f>
        <v>0</v>
      </c>
      <c r="BE621" s="18">
        <f>IF(Pospago[[#This Row],[PLANES TELEVENTAS]]="SI",1,0)</f>
        <v>0</v>
      </c>
      <c r="BF621" s="18">
        <f>1</f>
        <v>1</v>
      </c>
      <c r="BG621" s="18">
        <f>IF(OR(Pospago[[#This Row],[TARIFA_BASICA]]=11.42,Pospago[[#This Row],[PLANES TELEVENTAS]]="SI"),1,0)</f>
        <v>0</v>
      </c>
      <c r="BH621" s="18" t="str">
        <f>IF(MID(Pospago[[#This Row],[PlanDesc]],1,4) = "PLAN","POSPAGO",IF(MID(Pospago[[#This Row],[PlanDesc]],1,4)="FULL","FULL MEGAS","PREVIOPAGO"))</f>
        <v>PREVIOPAGO</v>
      </c>
      <c r="BI6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6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1" s="21">
        <f>Pospago[[#This Row],[TARIFA_BASICA]]*1.5</f>
        <v>26.775000000000002</v>
      </c>
    </row>
    <row r="622" spans="1:63" x14ac:dyDescent="0.25">
      <c r="A622" s="18" t="s">
        <v>154</v>
      </c>
      <c r="B622" s="18" t="s">
        <v>4024</v>
      </c>
      <c r="C622" s="18" t="s">
        <v>4025</v>
      </c>
      <c r="D622" s="19">
        <v>44899</v>
      </c>
      <c r="E622" s="18" t="s">
        <v>246</v>
      </c>
      <c r="F622" s="18" t="s">
        <v>4026</v>
      </c>
      <c r="G622" s="18" t="s">
        <v>4027</v>
      </c>
      <c r="H622" s="18" t="s">
        <v>159</v>
      </c>
      <c r="I622" s="18" t="s">
        <v>71</v>
      </c>
      <c r="J622" s="18" t="s">
        <v>258</v>
      </c>
      <c r="K622" s="18" t="s">
        <v>95</v>
      </c>
      <c r="L622" s="20" t="s">
        <v>4028</v>
      </c>
      <c r="M622" s="18" t="s">
        <v>75</v>
      </c>
      <c r="N622" s="20" t="s">
        <v>4029</v>
      </c>
      <c r="O622" s="18" t="s">
        <v>164</v>
      </c>
      <c r="P622" s="18" t="s">
        <v>78</v>
      </c>
      <c r="Q622" s="19">
        <v>44914</v>
      </c>
      <c r="R622" s="21">
        <v>11.42</v>
      </c>
      <c r="S622" s="18" t="s">
        <v>79</v>
      </c>
      <c r="T622" s="18" t="s">
        <v>174</v>
      </c>
      <c r="U622" s="18" t="s">
        <v>83</v>
      </c>
      <c r="V622" s="18" t="s">
        <v>95</v>
      </c>
      <c r="W622" s="18" t="s">
        <v>95</v>
      </c>
      <c r="X622" s="18" t="s">
        <v>118</v>
      </c>
      <c r="Y622" s="18" t="s">
        <v>85</v>
      </c>
      <c r="Z622" s="18" t="s">
        <v>86</v>
      </c>
      <c r="AA622" s="18" t="s">
        <v>119</v>
      </c>
      <c r="AB622" s="18" t="s">
        <v>175</v>
      </c>
      <c r="AC622" s="18" t="s">
        <v>176</v>
      </c>
      <c r="AD622" s="18" t="s">
        <v>85</v>
      </c>
      <c r="AE622" s="18" t="s">
        <v>90</v>
      </c>
      <c r="AF622" s="18" t="s">
        <v>177</v>
      </c>
      <c r="AG622" s="18" t="s">
        <v>139</v>
      </c>
      <c r="AH622" s="18" t="s">
        <v>165</v>
      </c>
      <c r="AI622" s="18" t="s">
        <v>94</v>
      </c>
      <c r="AJ622" s="19">
        <v>44899</v>
      </c>
      <c r="AK622" s="22" t="s">
        <v>95</v>
      </c>
      <c r="AL622" s="18" t="s">
        <v>95</v>
      </c>
      <c r="AM622" s="18" t="s">
        <v>95</v>
      </c>
      <c r="AN622" s="18" t="s">
        <v>95</v>
      </c>
      <c r="AO622" s="18" t="s">
        <v>95</v>
      </c>
      <c r="AP622" s="18" t="s">
        <v>95</v>
      </c>
      <c r="AQ622" s="18" t="s">
        <v>95</v>
      </c>
      <c r="AR622" s="18" t="s">
        <v>95</v>
      </c>
      <c r="AS622" s="18" t="s">
        <v>83</v>
      </c>
      <c r="AT622" s="18" t="s">
        <v>83</v>
      </c>
      <c r="AU622" s="18" t="s">
        <v>81</v>
      </c>
      <c r="AV622" s="18" t="s">
        <v>95</v>
      </c>
      <c r="AW622" s="18" t="s">
        <v>95</v>
      </c>
      <c r="AX622" s="18"/>
      <c r="AY622" s="18" t="str">
        <f>Pospago[[#This Row],[NUM_TELEFONICO]]&amp;"POSPAGOSI"</f>
        <v>987863115POSPAGOSI</v>
      </c>
      <c r="AZ622" s="18" t="str">
        <f>VLOOKUP(Pospago[[#This Row],[NOM_PLAZA_FINAL]],[1]!Locales[#Data],3,0)</f>
        <v>TIENDA RECREO</v>
      </c>
      <c r="BA622" s="18" t="str">
        <f>IFERROR(VLOOKUP(Pospago[[#This Row],[USUARIO]],[1]!Personal[#Data],6,0),"EJECUTIVO NO REGISTRADO")</f>
        <v>VARGAS REYES LUIS EDUARDO</v>
      </c>
      <c r="BB622" s="18" t="str">
        <f>Pospago[[#This Row],[TIPO_MOVIMIENTO]]&amp;" "&amp;Pospago[[#This Row],[FORMA_PAGO_FINAL]]</f>
        <v>TRANSFERENCIAS PAGO EN CAJA</v>
      </c>
      <c r="BC622" s="18">
        <f>DAY(Pospago[[#This Row],[FECHA_ALTA]])</f>
        <v>4</v>
      </c>
      <c r="BD622" s="18">
        <f>IF(Pospago[[#This Row],[TARIFA_BASICA]]=11.42,1,0)</f>
        <v>1</v>
      </c>
      <c r="BE622" s="18">
        <f>IF(Pospago[[#This Row],[PLANES TELEVENTAS]]="SI",1,0)</f>
        <v>0</v>
      </c>
      <c r="BF622" s="18">
        <f>1</f>
        <v>1</v>
      </c>
      <c r="BG622" s="18">
        <f>IF(OR(Pospago[[#This Row],[TARIFA_BASICA]]=11.42,Pospago[[#This Row],[PLANES TELEVENTAS]]="SI"),1,0)</f>
        <v>1</v>
      </c>
      <c r="BH622" s="18" t="str">
        <f>IF(MID(Pospago[[#This Row],[PlanDesc]],1,4) = "PLAN","POSPAGO",IF(MID(Pospago[[#This Row],[PlanDesc]],1,4)="FULL","FULL MEGAS","PREVIOPAGO"))</f>
        <v>PREVIOPAGO</v>
      </c>
      <c r="BI6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6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22" s="21">
        <f>Pospago[[#This Row],[TARIFA_BASICA]]*1.5</f>
        <v>17.13</v>
      </c>
    </row>
    <row r="623" spans="1:63" x14ac:dyDescent="0.25">
      <c r="A623" s="18" t="s">
        <v>154</v>
      </c>
      <c r="B623" s="18" t="s">
        <v>4030</v>
      </c>
      <c r="C623" s="18" t="s">
        <v>4031</v>
      </c>
      <c r="D623" s="19">
        <v>44903</v>
      </c>
      <c r="E623" s="18" t="s">
        <v>67</v>
      </c>
      <c r="F623" s="18" t="s">
        <v>4032</v>
      </c>
      <c r="G623" s="18" t="s">
        <v>4033</v>
      </c>
      <c r="H623" s="18" t="s">
        <v>159</v>
      </c>
      <c r="I623" s="18" t="s">
        <v>160</v>
      </c>
      <c r="J623" s="18" t="s">
        <v>161</v>
      </c>
      <c r="K623" s="18" t="s">
        <v>73</v>
      </c>
      <c r="L623" s="20" t="s">
        <v>4034</v>
      </c>
      <c r="M623" s="18" t="s">
        <v>75</v>
      </c>
      <c r="N623" s="20" t="s">
        <v>4035</v>
      </c>
      <c r="O623" s="18" t="s">
        <v>164</v>
      </c>
      <c r="P623" s="18" t="s">
        <v>78</v>
      </c>
      <c r="Q623" s="19">
        <v>44914</v>
      </c>
      <c r="R623" s="21">
        <v>14.28</v>
      </c>
      <c r="S623" s="18" t="s">
        <v>79</v>
      </c>
      <c r="T623" s="18" t="s">
        <v>148</v>
      </c>
      <c r="U623" s="18" t="s">
        <v>83</v>
      </c>
      <c r="V623" s="18" t="s">
        <v>95</v>
      </c>
      <c r="W623" s="18" t="s">
        <v>95</v>
      </c>
      <c r="X623" s="18" t="s">
        <v>84</v>
      </c>
      <c r="Y623" s="18" t="s">
        <v>85</v>
      </c>
      <c r="Z623" s="18" t="s">
        <v>86</v>
      </c>
      <c r="AA623" s="18" t="s">
        <v>87</v>
      </c>
      <c r="AB623" s="18" t="s">
        <v>610</v>
      </c>
      <c r="AC623" s="18" t="s">
        <v>611</v>
      </c>
      <c r="AD623" s="18" t="s">
        <v>85</v>
      </c>
      <c r="AE623" s="18" t="s">
        <v>90</v>
      </c>
      <c r="AF623" s="18" t="s">
        <v>151</v>
      </c>
      <c r="AG623" s="18" t="s">
        <v>92</v>
      </c>
      <c r="AH623" s="18" t="s">
        <v>165</v>
      </c>
      <c r="AI623" s="18" t="s">
        <v>94</v>
      </c>
      <c r="AJ623" s="19">
        <v>44903</v>
      </c>
      <c r="AK623" s="22" t="s">
        <v>95</v>
      </c>
      <c r="AL623" s="18" t="s">
        <v>95</v>
      </c>
      <c r="AM623" s="18" t="s">
        <v>95</v>
      </c>
      <c r="AN623" s="18" t="s">
        <v>95</v>
      </c>
      <c r="AO623" s="18" t="s">
        <v>95</v>
      </c>
      <c r="AP623" s="18" t="s">
        <v>95</v>
      </c>
      <c r="AQ623" s="18" t="s">
        <v>95</v>
      </c>
      <c r="AR623" s="18" t="s">
        <v>95</v>
      </c>
      <c r="AS623" s="18" t="s">
        <v>83</v>
      </c>
      <c r="AT623" s="18" t="s">
        <v>83</v>
      </c>
      <c r="AU623" s="18" t="s">
        <v>81</v>
      </c>
      <c r="AV623" s="18" t="s">
        <v>95</v>
      </c>
      <c r="AW623" s="18" t="s">
        <v>95</v>
      </c>
      <c r="AX623" s="18"/>
      <c r="AY623" s="18" t="str">
        <f>Pospago[[#This Row],[NUM_TELEFONICO]]&amp;"POSPAGOSI"</f>
        <v>987868496POSPAGOSI</v>
      </c>
      <c r="AZ623" s="18" t="str">
        <f>VLOOKUP(Pospago[[#This Row],[NOM_PLAZA_FINAL]],[1]!Locales[#Data],3,0)</f>
        <v>TIENDA CUENCA REMIGIO</v>
      </c>
      <c r="BA623" s="18" t="str">
        <f>IFERROR(VLOOKUP(Pospago[[#This Row],[USUARIO]],[1]!Personal[#Data],6,0),"EJECUTIVO NO REGISTRADO")</f>
        <v>PATIÑO TAPIA ANDRES SANTIAGO</v>
      </c>
      <c r="BB623" s="18" t="str">
        <f>Pospago[[#This Row],[TIPO_MOVIMIENTO]]&amp;" "&amp;Pospago[[#This Row],[FORMA_PAGO_FINAL]]</f>
        <v>TRANSFERENCIAS DOMICILIADO</v>
      </c>
      <c r="BC623" s="18">
        <f>DAY(Pospago[[#This Row],[FECHA_ALTA]])</f>
        <v>8</v>
      </c>
      <c r="BD623" s="18">
        <f>IF(Pospago[[#This Row],[TARIFA_BASICA]]=11.42,1,0)</f>
        <v>0</v>
      </c>
      <c r="BE623" s="18">
        <f>IF(Pospago[[#This Row],[PLANES TELEVENTAS]]="SI",1,0)</f>
        <v>0</v>
      </c>
      <c r="BF623" s="18">
        <f>1</f>
        <v>1</v>
      </c>
      <c r="BG623" s="18">
        <f>IF(OR(Pospago[[#This Row],[TARIFA_BASICA]]=11.42,Pospago[[#This Row],[PLANES TELEVENTAS]]="SI"),1,0)</f>
        <v>0</v>
      </c>
      <c r="BH623" s="18" t="str">
        <f>IF(MID(Pospago[[#This Row],[PlanDesc]],1,4) = "PLAN","POSPAGO",IF(MID(Pospago[[#This Row],[PlanDesc]],1,4)="FULL","FULL MEGAS","PREVIOPAGO"))</f>
        <v>PREVIOPAGO</v>
      </c>
      <c r="BI6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3" s="21">
        <f>Pospago[[#This Row],[TARIFA_BASICA]]*1.5</f>
        <v>21.419999999999998</v>
      </c>
    </row>
    <row r="624" spans="1:63" x14ac:dyDescent="0.25">
      <c r="A624" s="18" t="s">
        <v>154</v>
      </c>
      <c r="B624" s="18" t="s">
        <v>4036</v>
      </c>
      <c r="C624" s="18" t="s">
        <v>4037</v>
      </c>
      <c r="D624" s="19">
        <v>44909</v>
      </c>
      <c r="E624" s="18" t="s">
        <v>67</v>
      </c>
      <c r="F624" s="18" t="s">
        <v>4038</v>
      </c>
      <c r="G624" s="18" t="s">
        <v>4039</v>
      </c>
      <c r="H624" s="18" t="s">
        <v>159</v>
      </c>
      <c r="I624" s="18" t="s">
        <v>160</v>
      </c>
      <c r="J624" s="18" t="s">
        <v>161</v>
      </c>
      <c r="K624" s="18" t="s">
        <v>73</v>
      </c>
      <c r="L624" s="20" t="s">
        <v>4040</v>
      </c>
      <c r="M624" s="18" t="s">
        <v>75</v>
      </c>
      <c r="N624" s="20" t="s">
        <v>4041</v>
      </c>
      <c r="O624" s="18" t="s">
        <v>164</v>
      </c>
      <c r="P624" s="18" t="s">
        <v>78</v>
      </c>
      <c r="Q624" s="19">
        <v>44914</v>
      </c>
      <c r="R624" s="21">
        <v>14.28</v>
      </c>
      <c r="S624" s="18" t="s">
        <v>79</v>
      </c>
      <c r="T624" s="18" t="s">
        <v>148</v>
      </c>
      <c r="U624" s="18" t="s">
        <v>83</v>
      </c>
      <c r="V624" s="18" t="s">
        <v>95</v>
      </c>
      <c r="W624" s="18" t="s">
        <v>95</v>
      </c>
      <c r="X624" s="18" t="s">
        <v>84</v>
      </c>
      <c r="Y624" s="18" t="s">
        <v>85</v>
      </c>
      <c r="Z624" s="18" t="s">
        <v>86</v>
      </c>
      <c r="AA624" s="18" t="s">
        <v>87</v>
      </c>
      <c r="AB624" s="18" t="s">
        <v>610</v>
      </c>
      <c r="AC624" s="18" t="s">
        <v>611</v>
      </c>
      <c r="AD624" s="18" t="s">
        <v>85</v>
      </c>
      <c r="AE624" s="18" t="s">
        <v>90</v>
      </c>
      <c r="AF624" s="18" t="s">
        <v>151</v>
      </c>
      <c r="AG624" s="18" t="s">
        <v>92</v>
      </c>
      <c r="AH624" s="18" t="s">
        <v>165</v>
      </c>
      <c r="AI624" s="18" t="s">
        <v>94</v>
      </c>
      <c r="AJ624" s="19">
        <v>44909</v>
      </c>
      <c r="AK624" s="22" t="s">
        <v>95</v>
      </c>
      <c r="AL624" s="18" t="s">
        <v>95</v>
      </c>
      <c r="AM624" s="18" t="s">
        <v>95</v>
      </c>
      <c r="AN624" s="18" t="s">
        <v>95</v>
      </c>
      <c r="AO624" s="18" t="s">
        <v>95</v>
      </c>
      <c r="AP624" s="18" t="s">
        <v>95</v>
      </c>
      <c r="AQ624" s="18" t="s">
        <v>95</v>
      </c>
      <c r="AR624" s="18" t="s">
        <v>95</v>
      </c>
      <c r="AS624" s="18" t="s">
        <v>83</v>
      </c>
      <c r="AT624" s="18" t="s">
        <v>83</v>
      </c>
      <c r="AU624" s="18" t="s">
        <v>81</v>
      </c>
      <c r="AV624" s="18" t="s">
        <v>95</v>
      </c>
      <c r="AW624" s="18" t="s">
        <v>95</v>
      </c>
      <c r="AX624" s="18"/>
      <c r="AY624" s="18" t="str">
        <f>Pospago[[#This Row],[NUM_TELEFONICO]]&amp;"POSPAGOSI"</f>
        <v>987871762POSPAGOSI</v>
      </c>
      <c r="AZ624" s="18" t="str">
        <f>VLOOKUP(Pospago[[#This Row],[NOM_PLAZA_FINAL]],[1]!Locales[#Data],3,0)</f>
        <v>TIENDA CUENCA REMIGIO</v>
      </c>
      <c r="BA624" s="18" t="str">
        <f>IFERROR(VLOOKUP(Pospago[[#This Row],[USUARIO]],[1]!Personal[#Data],6,0),"EJECUTIVO NO REGISTRADO")</f>
        <v>PATIÑO TAPIA ANDRES SANTIAGO</v>
      </c>
      <c r="BB624" s="18" t="str">
        <f>Pospago[[#This Row],[TIPO_MOVIMIENTO]]&amp;" "&amp;Pospago[[#This Row],[FORMA_PAGO_FINAL]]</f>
        <v>TRANSFERENCIAS DOMICILIADO</v>
      </c>
      <c r="BC624" s="18">
        <f>DAY(Pospago[[#This Row],[FECHA_ALTA]])</f>
        <v>14</v>
      </c>
      <c r="BD624" s="18">
        <f>IF(Pospago[[#This Row],[TARIFA_BASICA]]=11.42,1,0)</f>
        <v>0</v>
      </c>
      <c r="BE624" s="18">
        <f>IF(Pospago[[#This Row],[PLANES TELEVENTAS]]="SI",1,0)</f>
        <v>0</v>
      </c>
      <c r="BF624" s="18">
        <f>1</f>
        <v>1</v>
      </c>
      <c r="BG624" s="18">
        <f>IF(OR(Pospago[[#This Row],[TARIFA_BASICA]]=11.42,Pospago[[#This Row],[PLANES TELEVENTAS]]="SI"),1,0)</f>
        <v>0</v>
      </c>
      <c r="BH624" s="18" t="str">
        <f>IF(MID(Pospago[[#This Row],[PlanDesc]],1,4) = "PLAN","POSPAGO",IF(MID(Pospago[[#This Row],[PlanDesc]],1,4)="FULL","FULL MEGAS","PREVIOPAGO"))</f>
        <v>PREVIOPAGO</v>
      </c>
      <c r="BI6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4" s="21">
        <f>Pospago[[#This Row],[TARIFA_BASICA]]*1.5</f>
        <v>21.419999999999998</v>
      </c>
    </row>
    <row r="625" spans="1:63" x14ac:dyDescent="0.25">
      <c r="A625" s="18" t="s">
        <v>64</v>
      </c>
      <c r="B625" s="18" t="s">
        <v>4042</v>
      </c>
      <c r="C625" s="18" t="s">
        <v>4043</v>
      </c>
      <c r="D625" s="19">
        <v>44907</v>
      </c>
      <c r="E625" s="18" t="s">
        <v>67</v>
      </c>
      <c r="F625" s="18" t="s">
        <v>4044</v>
      </c>
      <c r="G625" s="18" t="s">
        <v>4045</v>
      </c>
      <c r="H625" s="18" t="s">
        <v>70</v>
      </c>
      <c r="I625" s="18" t="s">
        <v>130</v>
      </c>
      <c r="J625" s="18" t="s">
        <v>131</v>
      </c>
      <c r="K625" s="18" t="s">
        <v>73</v>
      </c>
      <c r="L625" s="20" t="s">
        <v>4046</v>
      </c>
      <c r="M625" s="18" t="s">
        <v>75</v>
      </c>
      <c r="N625" s="20" t="s">
        <v>4047</v>
      </c>
      <c r="O625" s="18" t="s">
        <v>77</v>
      </c>
      <c r="P625" s="18" t="s">
        <v>78</v>
      </c>
      <c r="Q625" s="19">
        <v>44914</v>
      </c>
      <c r="R625" s="21">
        <v>15</v>
      </c>
      <c r="S625" s="18" t="s">
        <v>79</v>
      </c>
      <c r="T625" s="18" t="s">
        <v>174</v>
      </c>
      <c r="U625" s="18" t="s">
        <v>83</v>
      </c>
      <c r="V625" s="18" t="s">
        <v>95</v>
      </c>
      <c r="W625" s="18" t="s">
        <v>83</v>
      </c>
      <c r="X625" s="18" t="s">
        <v>118</v>
      </c>
      <c r="Y625" s="18" t="s">
        <v>85</v>
      </c>
      <c r="Z625" s="18" t="s">
        <v>86</v>
      </c>
      <c r="AA625" s="18" t="s">
        <v>119</v>
      </c>
      <c r="AB625" s="18" t="s">
        <v>492</v>
      </c>
      <c r="AC625" s="18" t="s">
        <v>493</v>
      </c>
      <c r="AD625" s="18" t="s">
        <v>85</v>
      </c>
      <c r="AE625" s="18" t="s">
        <v>90</v>
      </c>
      <c r="AF625" s="18" t="s">
        <v>177</v>
      </c>
      <c r="AG625" s="18" t="s">
        <v>139</v>
      </c>
      <c r="AH625" s="18" t="s">
        <v>93</v>
      </c>
      <c r="AI625" s="18" t="s">
        <v>94</v>
      </c>
      <c r="AJ625" s="19">
        <v>44907</v>
      </c>
      <c r="AK625" s="22" t="s">
        <v>95</v>
      </c>
      <c r="AL625" s="18" t="s">
        <v>95</v>
      </c>
      <c r="AM625" s="18" t="s">
        <v>95</v>
      </c>
      <c r="AN625" s="18" t="s">
        <v>95</v>
      </c>
      <c r="AO625" s="18" t="s">
        <v>95</v>
      </c>
      <c r="AP625" s="18" t="s">
        <v>95</v>
      </c>
      <c r="AQ625" s="18" t="s">
        <v>95</v>
      </c>
      <c r="AR625" s="18" t="s">
        <v>95</v>
      </c>
      <c r="AS625" s="18" t="s">
        <v>83</v>
      </c>
      <c r="AT625" s="18" t="s">
        <v>83</v>
      </c>
      <c r="AU625" s="18" t="s">
        <v>81</v>
      </c>
      <c r="AV625" s="18" t="s">
        <v>95</v>
      </c>
      <c r="AW625" s="18" t="s">
        <v>95</v>
      </c>
      <c r="AX625" s="18"/>
      <c r="AY625" s="18" t="str">
        <f>Pospago[[#This Row],[NUM_TELEFONICO]]&amp;"POSPAGOSI"</f>
        <v>987881014POSPAGOSI</v>
      </c>
      <c r="AZ625" s="18" t="str">
        <f>VLOOKUP(Pospago[[#This Row],[NOM_PLAZA_FINAL]],[1]!Locales[#Data],3,0)</f>
        <v>TIENDA RECREO</v>
      </c>
      <c r="BA625" s="18" t="str">
        <f>IFERROR(VLOOKUP(Pospago[[#This Row],[USUARIO]],[1]!Personal[#Data],6,0),"EJECUTIVO NO REGISTRADO")</f>
        <v>CONDO GARCIA NICOLAS MATIAS</v>
      </c>
      <c r="BB625" s="18" t="str">
        <f>Pospago[[#This Row],[TIPO_MOVIMIENTO]]&amp;" "&amp;Pospago[[#This Row],[FORMA_PAGO_FINAL]]</f>
        <v>ALTAS PAGO EN CAJA</v>
      </c>
      <c r="BC625" s="18">
        <f>DAY(Pospago[[#This Row],[FECHA_ALTA]])</f>
        <v>12</v>
      </c>
      <c r="BD625" s="18">
        <f>IF(Pospago[[#This Row],[TARIFA_BASICA]]=11.42,1,0)</f>
        <v>0</v>
      </c>
      <c r="BE625" s="18">
        <f>IF(Pospago[[#This Row],[PLANES TELEVENTAS]]="SI",1,0)</f>
        <v>0</v>
      </c>
      <c r="BF625" s="18">
        <f>1</f>
        <v>1</v>
      </c>
      <c r="BG625" s="18">
        <f>IF(OR(Pospago[[#This Row],[TARIFA_BASICA]]=11.42,Pospago[[#This Row],[PLANES TELEVENTAS]]="SI"),1,0)</f>
        <v>0</v>
      </c>
      <c r="BH625" s="18" t="str">
        <f>IF(MID(Pospago[[#This Row],[PlanDesc]],1,4) = "PLAN","POSPAGO",IF(MID(Pospago[[#This Row],[PlanDesc]],1,4)="FULL","FULL MEGAS","PREVIOPAGO"))</f>
        <v>PREVIOPAGO</v>
      </c>
      <c r="BI6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6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5" s="21">
        <f>Pospago[[#This Row],[TARIFA_BASICA]]*1.5</f>
        <v>22.5</v>
      </c>
    </row>
    <row r="626" spans="1:63" x14ac:dyDescent="0.25">
      <c r="A626" s="18" t="s">
        <v>64</v>
      </c>
      <c r="B626" s="18" t="s">
        <v>4048</v>
      </c>
      <c r="C626" s="18" t="s">
        <v>1342</v>
      </c>
      <c r="D626" s="19">
        <v>44912</v>
      </c>
      <c r="E626" s="18" t="s">
        <v>67</v>
      </c>
      <c r="F626" s="18" t="s">
        <v>1343</v>
      </c>
      <c r="G626" s="18" t="s">
        <v>1344</v>
      </c>
      <c r="H626" s="18" t="s">
        <v>70</v>
      </c>
      <c r="I626" s="18" t="s">
        <v>160</v>
      </c>
      <c r="J626" s="18" t="s">
        <v>195</v>
      </c>
      <c r="K626" s="18" t="s">
        <v>95</v>
      </c>
      <c r="L626" s="20" t="s">
        <v>4049</v>
      </c>
      <c r="M626" s="18" t="s">
        <v>75</v>
      </c>
      <c r="N626" s="20" t="s">
        <v>4050</v>
      </c>
      <c r="O626" s="18" t="s">
        <v>77</v>
      </c>
      <c r="P626" s="18" t="s">
        <v>78</v>
      </c>
      <c r="Q626" s="19">
        <v>44914</v>
      </c>
      <c r="R626" s="21">
        <v>14.28</v>
      </c>
      <c r="S626" s="18" t="s">
        <v>79</v>
      </c>
      <c r="T626" s="18" t="s">
        <v>232</v>
      </c>
      <c r="U626" s="18" t="s">
        <v>83</v>
      </c>
      <c r="V626" s="18" t="s">
        <v>95</v>
      </c>
      <c r="W626" s="18" t="s">
        <v>83</v>
      </c>
      <c r="X626" s="18" t="s">
        <v>84</v>
      </c>
      <c r="Y626" s="18" t="s">
        <v>85</v>
      </c>
      <c r="Z626" s="18" t="s">
        <v>86</v>
      </c>
      <c r="AA626" s="18" t="s">
        <v>87</v>
      </c>
      <c r="AB626" s="18" t="s">
        <v>233</v>
      </c>
      <c r="AC626" s="18" t="s">
        <v>234</v>
      </c>
      <c r="AD626" s="18" t="s">
        <v>85</v>
      </c>
      <c r="AE626" s="18" t="s">
        <v>90</v>
      </c>
      <c r="AF626" s="18" t="s">
        <v>235</v>
      </c>
      <c r="AG626" s="18" t="s">
        <v>139</v>
      </c>
      <c r="AH626" s="18" t="s">
        <v>93</v>
      </c>
      <c r="AI626" s="18" t="s">
        <v>94</v>
      </c>
      <c r="AJ626" s="19">
        <v>44912</v>
      </c>
      <c r="AK626" s="22" t="s">
        <v>95</v>
      </c>
      <c r="AL626" s="18" t="s">
        <v>95</v>
      </c>
      <c r="AM626" s="18" t="s">
        <v>95</v>
      </c>
      <c r="AN626" s="18" t="s">
        <v>95</v>
      </c>
      <c r="AO626" s="18" t="s">
        <v>95</v>
      </c>
      <c r="AP626" s="18" t="s">
        <v>95</v>
      </c>
      <c r="AQ626" s="18" t="s">
        <v>95</v>
      </c>
      <c r="AR626" s="18" t="s">
        <v>95</v>
      </c>
      <c r="AS626" s="18" t="s">
        <v>83</v>
      </c>
      <c r="AT626" s="18" t="s">
        <v>83</v>
      </c>
      <c r="AU626" s="18" t="s">
        <v>81</v>
      </c>
      <c r="AV626" s="18" t="s">
        <v>95</v>
      </c>
      <c r="AW626" s="18" t="s">
        <v>95</v>
      </c>
      <c r="AX626" s="18"/>
      <c r="AY626" s="18" t="str">
        <f>Pospago[[#This Row],[NUM_TELEFONICO]]&amp;"POSPAGOSI"</f>
        <v>987886574POSPAGOSI</v>
      </c>
      <c r="AZ626" s="18" t="str">
        <f>VLOOKUP(Pospago[[#This Row],[NOM_PLAZA_FINAL]],[1]!Locales[#Data],3,0)</f>
        <v>TIENDA CONDADO</v>
      </c>
      <c r="BA626" s="18" t="str">
        <f>IFERROR(VLOOKUP(Pospago[[#This Row],[USUARIO]],[1]!Personal[#Data],6,0),"EJECUTIVO NO REGISTRADO")</f>
        <v>ROSALES MALDONADO JESSICA GABRIELA</v>
      </c>
      <c r="BB626" s="18" t="str">
        <f>Pospago[[#This Row],[TIPO_MOVIMIENTO]]&amp;" "&amp;Pospago[[#This Row],[FORMA_PAGO_FINAL]]</f>
        <v>ALTAS DOMICILIADO</v>
      </c>
      <c r="BC626" s="18">
        <f>DAY(Pospago[[#This Row],[FECHA_ALTA]])</f>
        <v>17</v>
      </c>
      <c r="BD626" s="18">
        <f>IF(Pospago[[#This Row],[TARIFA_BASICA]]=11.42,1,0)</f>
        <v>0</v>
      </c>
      <c r="BE626" s="18">
        <f>IF(Pospago[[#This Row],[PLANES TELEVENTAS]]="SI",1,0)</f>
        <v>0</v>
      </c>
      <c r="BF626" s="18">
        <f>1</f>
        <v>1</v>
      </c>
      <c r="BG626" s="18">
        <f>IF(OR(Pospago[[#This Row],[TARIFA_BASICA]]=11.42,Pospago[[#This Row],[PLANES TELEVENTAS]]="SI"),1,0)</f>
        <v>0</v>
      </c>
      <c r="BH626" s="18" t="str">
        <f>IF(MID(Pospago[[#This Row],[PlanDesc]],1,4) = "PLAN","POSPAGO",IF(MID(Pospago[[#This Row],[PlanDesc]],1,4)="FULL","FULL MEGAS","PREVIOPAGO"))</f>
        <v>PREVIOPAGO</v>
      </c>
      <c r="BI6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6" s="21">
        <f>Pospago[[#This Row],[TARIFA_BASICA]]*1.5</f>
        <v>21.419999999999998</v>
      </c>
    </row>
    <row r="627" spans="1:63" x14ac:dyDescent="0.25">
      <c r="A627" s="18" t="s">
        <v>64</v>
      </c>
      <c r="B627" s="18" t="s">
        <v>4051</v>
      </c>
      <c r="C627" s="18" t="s">
        <v>4052</v>
      </c>
      <c r="D627" s="19">
        <v>44908</v>
      </c>
      <c r="E627" s="18" t="s">
        <v>67</v>
      </c>
      <c r="F627" s="18" t="s">
        <v>4053</v>
      </c>
      <c r="G627" s="18" t="s">
        <v>4054</v>
      </c>
      <c r="H627" s="18" t="s">
        <v>70</v>
      </c>
      <c r="I627" s="18" t="s">
        <v>160</v>
      </c>
      <c r="J627" s="18" t="s">
        <v>195</v>
      </c>
      <c r="K627" s="18" t="s">
        <v>132</v>
      </c>
      <c r="L627" s="20" t="s">
        <v>4055</v>
      </c>
      <c r="M627" s="18" t="s">
        <v>75</v>
      </c>
      <c r="N627" s="20" t="s">
        <v>4056</v>
      </c>
      <c r="O627" s="18" t="s">
        <v>77</v>
      </c>
      <c r="P627" s="18" t="s">
        <v>78</v>
      </c>
      <c r="Q627" s="19">
        <v>44914</v>
      </c>
      <c r="R627" s="21">
        <v>14.28</v>
      </c>
      <c r="S627" s="18" t="s">
        <v>79</v>
      </c>
      <c r="T627" s="18" t="s">
        <v>174</v>
      </c>
      <c r="U627" s="18" t="s">
        <v>83</v>
      </c>
      <c r="V627" s="18" t="s">
        <v>95</v>
      </c>
      <c r="W627" s="18" t="s">
        <v>83</v>
      </c>
      <c r="X627" s="18" t="s">
        <v>84</v>
      </c>
      <c r="Y627" s="18" t="s">
        <v>85</v>
      </c>
      <c r="Z627" s="18" t="s">
        <v>86</v>
      </c>
      <c r="AA627" s="18" t="s">
        <v>87</v>
      </c>
      <c r="AB627" s="18" t="s">
        <v>926</v>
      </c>
      <c r="AC627" s="18" t="s">
        <v>927</v>
      </c>
      <c r="AD627" s="18" t="s">
        <v>85</v>
      </c>
      <c r="AE627" s="18" t="s">
        <v>90</v>
      </c>
      <c r="AF627" s="18" t="s">
        <v>177</v>
      </c>
      <c r="AG627" s="18" t="s">
        <v>139</v>
      </c>
      <c r="AH627" s="18" t="s">
        <v>93</v>
      </c>
      <c r="AI627" s="18" t="s">
        <v>94</v>
      </c>
      <c r="AJ627" s="19">
        <v>44908</v>
      </c>
      <c r="AK627" s="22" t="s">
        <v>95</v>
      </c>
      <c r="AL627" s="18" t="s">
        <v>95</v>
      </c>
      <c r="AM627" s="18" t="s">
        <v>95</v>
      </c>
      <c r="AN627" s="18" t="s">
        <v>95</v>
      </c>
      <c r="AO627" s="18" t="s">
        <v>95</v>
      </c>
      <c r="AP627" s="18" t="s">
        <v>95</v>
      </c>
      <c r="AQ627" s="18" t="s">
        <v>95</v>
      </c>
      <c r="AR627" s="18" t="s">
        <v>95</v>
      </c>
      <c r="AS627" s="18" t="s">
        <v>83</v>
      </c>
      <c r="AT627" s="18" t="s">
        <v>83</v>
      </c>
      <c r="AU627" s="18" t="s">
        <v>81</v>
      </c>
      <c r="AV627" s="18" t="s">
        <v>95</v>
      </c>
      <c r="AW627" s="18" t="s">
        <v>95</v>
      </c>
      <c r="AX627" s="18"/>
      <c r="AY627" s="18" t="str">
        <f>Pospago[[#This Row],[NUM_TELEFONICO]]&amp;"POSPAGOSI"</f>
        <v>987909439POSPAGOSI</v>
      </c>
      <c r="AZ627" s="18" t="str">
        <f>VLOOKUP(Pospago[[#This Row],[NOM_PLAZA_FINAL]],[1]!Locales[#Data],3,0)</f>
        <v>TIENDA RECREO</v>
      </c>
      <c r="BA627" s="18" t="str">
        <f>IFERROR(VLOOKUP(Pospago[[#This Row],[USUARIO]],[1]!Personal[#Data],6,0),"EJECUTIVO NO REGISTRADO")</f>
        <v>CABEZAS LOPEZ ROBERTO ALEJANDRO</v>
      </c>
      <c r="BB627" s="18" t="str">
        <f>Pospago[[#This Row],[TIPO_MOVIMIENTO]]&amp;" "&amp;Pospago[[#This Row],[FORMA_PAGO_FINAL]]</f>
        <v>ALTAS DOMICILIADO</v>
      </c>
      <c r="BC627" s="18">
        <f>DAY(Pospago[[#This Row],[FECHA_ALTA]])</f>
        <v>13</v>
      </c>
      <c r="BD627" s="18">
        <f>IF(Pospago[[#This Row],[TARIFA_BASICA]]=11.42,1,0)</f>
        <v>0</v>
      </c>
      <c r="BE627" s="18">
        <f>IF(Pospago[[#This Row],[PLANES TELEVENTAS]]="SI",1,0)</f>
        <v>0</v>
      </c>
      <c r="BF627" s="18">
        <f>1</f>
        <v>1</v>
      </c>
      <c r="BG627" s="18">
        <f>IF(OR(Pospago[[#This Row],[TARIFA_BASICA]]=11.42,Pospago[[#This Row],[PLANES TELEVENTAS]]="SI"),1,0)</f>
        <v>0</v>
      </c>
      <c r="BH627" s="18" t="str">
        <f>IF(MID(Pospago[[#This Row],[PlanDesc]],1,4) = "PLAN","POSPAGO",IF(MID(Pospago[[#This Row],[PlanDesc]],1,4)="FULL","FULL MEGAS","PREVIOPAGO"))</f>
        <v>PREVIOPAGO</v>
      </c>
      <c r="BI6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7" s="21">
        <f>Pospago[[#This Row],[TARIFA_BASICA]]*1.5</f>
        <v>21.419999999999998</v>
      </c>
    </row>
    <row r="628" spans="1:63" x14ac:dyDescent="0.25">
      <c r="A628" s="18" t="s">
        <v>64</v>
      </c>
      <c r="B628" s="18" t="s">
        <v>4057</v>
      </c>
      <c r="C628" s="18" t="s">
        <v>4058</v>
      </c>
      <c r="D628" s="19">
        <v>44901</v>
      </c>
      <c r="E628" s="18" t="s">
        <v>67</v>
      </c>
      <c r="F628" s="18" t="s">
        <v>4059</v>
      </c>
      <c r="G628" s="18" t="s">
        <v>4060</v>
      </c>
      <c r="H628" s="18" t="s">
        <v>70</v>
      </c>
      <c r="I628" s="18" t="s">
        <v>112</v>
      </c>
      <c r="J628" s="18" t="s">
        <v>113</v>
      </c>
      <c r="K628" s="18" t="s">
        <v>132</v>
      </c>
      <c r="L628" s="20" t="s">
        <v>4061</v>
      </c>
      <c r="M628" s="18" t="s">
        <v>75</v>
      </c>
      <c r="N628" s="20" t="s">
        <v>4062</v>
      </c>
      <c r="O628" s="18" t="s">
        <v>77</v>
      </c>
      <c r="P628" s="18" t="s">
        <v>78</v>
      </c>
      <c r="Q628" s="19">
        <v>44914</v>
      </c>
      <c r="R628" s="21">
        <v>17.850000000000001</v>
      </c>
      <c r="S628" s="18" t="s">
        <v>79</v>
      </c>
      <c r="T628" s="18" t="s">
        <v>174</v>
      </c>
      <c r="U628" s="18" t="s">
        <v>83</v>
      </c>
      <c r="V628" s="18" t="s">
        <v>95</v>
      </c>
      <c r="W628" s="18" t="s">
        <v>83</v>
      </c>
      <c r="X628" s="18" t="s">
        <v>84</v>
      </c>
      <c r="Y628" s="18" t="s">
        <v>85</v>
      </c>
      <c r="Z628" s="18" t="s">
        <v>86</v>
      </c>
      <c r="AA628" s="18" t="s">
        <v>87</v>
      </c>
      <c r="AB628" s="18" t="s">
        <v>262</v>
      </c>
      <c r="AC628" s="18" t="s">
        <v>263</v>
      </c>
      <c r="AD628" s="18" t="s">
        <v>85</v>
      </c>
      <c r="AE628" s="18" t="s">
        <v>90</v>
      </c>
      <c r="AF628" s="18" t="s">
        <v>177</v>
      </c>
      <c r="AG628" s="18" t="s">
        <v>139</v>
      </c>
      <c r="AH628" s="18" t="s">
        <v>93</v>
      </c>
      <c r="AI628" s="18" t="s">
        <v>94</v>
      </c>
      <c r="AJ628" s="19">
        <v>44901</v>
      </c>
      <c r="AK628" s="22" t="s">
        <v>95</v>
      </c>
      <c r="AL628" s="18" t="s">
        <v>95</v>
      </c>
      <c r="AM628" s="18" t="s">
        <v>95</v>
      </c>
      <c r="AN628" s="18" t="s">
        <v>95</v>
      </c>
      <c r="AO628" s="18" t="s">
        <v>95</v>
      </c>
      <c r="AP628" s="18" t="s">
        <v>95</v>
      </c>
      <c r="AQ628" s="18" t="s">
        <v>95</v>
      </c>
      <c r="AR628" s="18" t="s">
        <v>95</v>
      </c>
      <c r="AS628" s="18" t="s">
        <v>83</v>
      </c>
      <c r="AT628" s="18" t="s">
        <v>83</v>
      </c>
      <c r="AU628" s="18" t="s">
        <v>81</v>
      </c>
      <c r="AV628" s="18" t="s">
        <v>95</v>
      </c>
      <c r="AW628" s="18" t="s">
        <v>95</v>
      </c>
      <c r="AX628" s="18"/>
      <c r="AY628" s="18" t="str">
        <f>Pospago[[#This Row],[NUM_TELEFONICO]]&amp;"POSPAGOSI"</f>
        <v>987916055POSPAGOSI</v>
      </c>
      <c r="AZ628" s="18" t="str">
        <f>VLOOKUP(Pospago[[#This Row],[NOM_PLAZA_FINAL]],[1]!Locales[#Data],3,0)</f>
        <v>TIENDA RECREO</v>
      </c>
      <c r="BA628" s="18" t="str">
        <f>IFERROR(VLOOKUP(Pospago[[#This Row],[USUARIO]],[1]!Personal[#Data],6,0),"EJECUTIVO NO REGISTRADO")</f>
        <v>CHICAIZA TOAPANTA ALEX DANILO</v>
      </c>
      <c r="BB628" s="18" t="str">
        <f>Pospago[[#This Row],[TIPO_MOVIMIENTO]]&amp;" "&amp;Pospago[[#This Row],[FORMA_PAGO_FINAL]]</f>
        <v>ALTAS DOMICILIADO</v>
      </c>
      <c r="BC628" s="18">
        <f>DAY(Pospago[[#This Row],[FECHA_ALTA]])</f>
        <v>6</v>
      </c>
      <c r="BD628" s="18">
        <f>IF(Pospago[[#This Row],[TARIFA_BASICA]]=11.42,1,0)</f>
        <v>0</v>
      </c>
      <c r="BE628" s="18">
        <f>IF(Pospago[[#This Row],[PLANES TELEVENTAS]]="SI",1,0)</f>
        <v>0</v>
      </c>
      <c r="BF628" s="18">
        <f>1</f>
        <v>1</v>
      </c>
      <c r="BG628" s="18">
        <f>IF(OR(Pospago[[#This Row],[TARIFA_BASICA]]=11.42,Pospago[[#This Row],[PLANES TELEVENTAS]]="SI"),1,0)</f>
        <v>0</v>
      </c>
      <c r="BH628" s="18" t="str">
        <f>IF(MID(Pospago[[#This Row],[PlanDesc]],1,4) = "PLAN","POSPAGO",IF(MID(Pospago[[#This Row],[PlanDesc]],1,4)="FULL","FULL MEGAS","PREVIOPAGO"))</f>
        <v>PREVIOPAGO</v>
      </c>
      <c r="BI6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6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8" s="21">
        <f>Pospago[[#This Row],[TARIFA_BASICA]]*1.5</f>
        <v>26.775000000000002</v>
      </c>
    </row>
    <row r="629" spans="1:63" x14ac:dyDescent="0.25">
      <c r="A629" s="18" t="s">
        <v>64</v>
      </c>
      <c r="B629" s="18" t="s">
        <v>4063</v>
      </c>
      <c r="C629" s="18" t="s">
        <v>4064</v>
      </c>
      <c r="D629" s="19">
        <v>44911</v>
      </c>
      <c r="E629" s="18" t="s">
        <v>67</v>
      </c>
      <c r="F629" s="18" t="s">
        <v>4065</v>
      </c>
      <c r="G629" s="18" t="s">
        <v>4066</v>
      </c>
      <c r="H629" s="18" t="s">
        <v>70</v>
      </c>
      <c r="I629" s="18" t="s">
        <v>130</v>
      </c>
      <c r="J629" s="18" t="s">
        <v>131</v>
      </c>
      <c r="K629" s="18" t="s">
        <v>349</v>
      </c>
      <c r="L629" s="20" t="s">
        <v>4067</v>
      </c>
      <c r="M629" s="18" t="s">
        <v>287</v>
      </c>
      <c r="N629" s="20" t="s">
        <v>4068</v>
      </c>
      <c r="O629" s="18" t="s">
        <v>77</v>
      </c>
      <c r="P629" s="18" t="s">
        <v>78</v>
      </c>
      <c r="Q629" s="19">
        <v>44914</v>
      </c>
      <c r="R629" s="21">
        <v>15</v>
      </c>
      <c r="S629" s="18" t="s">
        <v>79</v>
      </c>
      <c r="T629" s="18" t="s">
        <v>117</v>
      </c>
      <c r="U629" s="18" t="s">
        <v>83</v>
      </c>
      <c r="V629" s="18" t="s">
        <v>95</v>
      </c>
      <c r="W629" s="18" t="s">
        <v>83</v>
      </c>
      <c r="X629" s="18" t="s">
        <v>84</v>
      </c>
      <c r="Y629" s="18" t="s">
        <v>85</v>
      </c>
      <c r="Z629" s="18" t="s">
        <v>86</v>
      </c>
      <c r="AA629" s="18" t="s">
        <v>87</v>
      </c>
      <c r="AB629" s="18" t="s">
        <v>352</v>
      </c>
      <c r="AC629" s="18" t="s">
        <v>353</v>
      </c>
      <c r="AD629" s="18" t="s">
        <v>85</v>
      </c>
      <c r="AE629" s="18" t="s">
        <v>90</v>
      </c>
      <c r="AF629" s="18" t="s">
        <v>122</v>
      </c>
      <c r="AG629" s="18" t="s">
        <v>92</v>
      </c>
      <c r="AH629" s="18" t="s">
        <v>93</v>
      </c>
      <c r="AI629" s="18" t="s">
        <v>94</v>
      </c>
      <c r="AJ629" s="19">
        <v>44911</v>
      </c>
      <c r="AK629" s="22">
        <v>44911</v>
      </c>
      <c r="AL629" s="18" t="s">
        <v>291</v>
      </c>
      <c r="AM629" s="18" t="s">
        <v>292</v>
      </c>
      <c r="AN629" s="18" t="s">
        <v>293</v>
      </c>
      <c r="AO629" s="18" t="s">
        <v>1022</v>
      </c>
      <c r="AP629" s="18">
        <v>1</v>
      </c>
      <c r="AQ629" s="18">
        <v>334.82143000000002</v>
      </c>
      <c r="AR629" s="18" t="s">
        <v>295</v>
      </c>
      <c r="AS629" s="18" t="s">
        <v>81</v>
      </c>
      <c r="AT629" s="18" t="s">
        <v>83</v>
      </c>
      <c r="AU629" s="18" t="s">
        <v>81</v>
      </c>
      <c r="AV629" s="18" t="s">
        <v>95</v>
      </c>
      <c r="AW629" s="18" t="s">
        <v>95</v>
      </c>
      <c r="AX629" s="18"/>
      <c r="AY629" s="18" t="str">
        <f>Pospago[[#This Row],[NUM_TELEFONICO]]&amp;"POSPAGOSI"</f>
        <v>987916497POSPAGOSI</v>
      </c>
      <c r="AZ629" s="18" t="str">
        <f>VLOOKUP(Pospago[[#This Row],[NOM_PLAZA_FINAL]],[1]!Locales[#Data],3,0)</f>
        <v>TIENDA MACHALA</v>
      </c>
      <c r="BA629" s="18" t="str">
        <f>IFERROR(VLOOKUP(Pospago[[#This Row],[USUARIO]],[1]!Personal[#Data],6,0),"EJECUTIVO NO REGISTRADO")</f>
        <v>TENORIO MARIA DEL PILAR</v>
      </c>
      <c r="BB629" s="18" t="str">
        <f>Pospago[[#This Row],[TIPO_MOVIMIENTO]]&amp;" "&amp;Pospago[[#This Row],[FORMA_PAGO_FINAL]]</f>
        <v>ALTAS DOMICILIADO</v>
      </c>
      <c r="BC629" s="18">
        <f>DAY(Pospago[[#This Row],[FECHA_ALTA]])</f>
        <v>16</v>
      </c>
      <c r="BD629" s="18">
        <f>IF(Pospago[[#This Row],[TARIFA_BASICA]]=11.42,1,0)</f>
        <v>0</v>
      </c>
      <c r="BE629" s="18">
        <f>IF(Pospago[[#This Row],[PLANES TELEVENTAS]]="SI",1,0)</f>
        <v>0</v>
      </c>
      <c r="BF629" s="18">
        <f>1</f>
        <v>1</v>
      </c>
      <c r="BG629" s="18">
        <f>IF(OR(Pospago[[#This Row],[TARIFA_BASICA]]=11.42,Pospago[[#This Row],[PLANES TELEVENTAS]]="SI"),1,0)</f>
        <v>0</v>
      </c>
      <c r="BH629" s="18" t="str">
        <f>IF(MID(Pospago[[#This Row],[PlanDesc]],1,4) = "PLAN","POSPAGO",IF(MID(Pospago[[#This Row],[PlanDesc]],1,4)="FULL","FULL MEGAS","PREVIOPAGO"))</f>
        <v>PREVIOPAGO</v>
      </c>
      <c r="BI6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19.8</v>
      </c>
      <c r="BJ6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29" s="21">
        <f>Pospago[[#This Row],[TARIFA_BASICA]]*1.5</f>
        <v>22.5</v>
      </c>
    </row>
    <row r="630" spans="1:63" x14ac:dyDescent="0.25">
      <c r="A630" s="18" t="s">
        <v>154</v>
      </c>
      <c r="B630" s="18" t="s">
        <v>4069</v>
      </c>
      <c r="C630" s="18" t="s">
        <v>4070</v>
      </c>
      <c r="D630" s="19">
        <v>44908</v>
      </c>
      <c r="E630" s="18" t="s">
        <v>67</v>
      </c>
      <c r="F630" s="18" t="s">
        <v>4071</v>
      </c>
      <c r="G630" s="18" t="s">
        <v>4072</v>
      </c>
      <c r="H630" s="18" t="s">
        <v>159</v>
      </c>
      <c r="I630" s="18" t="s">
        <v>194</v>
      </c>
      <c r="J630" s="18" t="s">
        <v>268</v>
      </c>
      <c r="K630" s="18" t="s">
        <v>132</v>
      </c>
      <c r="L630" s="20" t="s">
        <v>4073</v>
      </c>
      <c r="M630" s="18" t="s">
        <v>75</v>
      </c>
      <c r="N630" s="20" t="s">
        <v>4074</v>
      </c>
      <c r="O630" s="18" t="s">
        <v>164</v>
      </c>
      <c r="P630" s="18" t="s">
        <v>78</v>
      </c>
      <c r="Q630" s="19">
        <v>44914</v>
      </c>
      <c r="R630" s="21">
        <v>14.28</v>
      </c>
      <c r="S630" s="18" t="s">
        <v>79</v>
      </c>
      <c r="T630" s="18" t="s">
        <v>174</v>
      </c>
      <c r="U630" s="18" t="s">
        <v>83</v>
      </c>
      <c r="V630" s="18" t="s">
        <v>95</v>
      </c>
      <c r="W630" s="18" t="s">
        <v>95</v>
      </c>
      <c r="X630" s="18" t="s">
        <v>118</v>
      </c>
      <c r="Y630" s="18" t="s">
        <v>85</v>
      </c>
      <c r="Z630" s="18" t="s">
        <v>86</v>
      </c>
      <c r="AA630" s="18" t="s">
        <v>119</v>
      </c>
      <c r="AB630" s="18" t="s">
        <v>630</v>
      </c>
      <c r="AC630" s="18" t="s">
        <v>631</v>
      </c>
      <c r="AD630" s="18" t="s">
        <v>85</v>
      </c>
      <c r="AE630" s="18" t="s">
        <v>90</v>
      </c>
      <c r="AF630" s="18" t="s">
        <v>177</v>
      </c>
      <c r="AG630" s="18" t="s">
        <v>139</v>
      </c>
      <c r="AH630" s="18" t="s">
        <v>165</v>
      </c>
      <c r="AI630" s="18" t="s">
        <v>94</v>
      </c>
      <c r="AJ630" s="19">
        <v>44908</v>
      </c>
      <c r="AK630" s="22" t="s">
        <v>95</v>
      </c>
      <c r="AL630" s="18" t="s">
        <v>95</v>
      </c>
      <c r="AM630" s="18" t="s">
        <v>95</v>
      </c>
      <c r="AN630" s="18" t="s">
        <v>95</v>
      </c>
      <c r="AO630" s="18" t="s">
        <v>95</v>
      </c>
      <c r="AP630" s="18" t="s">
        <v>95</v>
      </c>
      <c r="AQ630" s="18" t="s">
        <v>95</v>
      </c>
      <c r="AR630" s="18" t="s">
        <v>95</v>
      </c>
      <c r="AS630" s="18" t="s">
        <v>83</v>
      </c>
      <c r="AT630" s="18" t="s">
        <v>81</v>
      </c>
      <c r="AU630" s="18" t="s">
        <v>81</v>
      </c>
      <c r="AV630" s="18" t="s">
        <v>95</v>
      </c>
      <c r="AW630" s="18" t="s">
        <v>95</v>
      </c>
      <c r="AX630" s="18"/>
      <c r="AY630" s="18" t="str">
        <f>Pospago[[#This Row],[NUM_TELEFONICO]]&amp;"POSPAGOSI"</f>
        <v>987921909POSPAGOSI</v>
      </c>
      <c r="AZ630" s="18" t="str">
        <f>VLOOKUP(Pospago[[#This Row],[NOM_PLAZA_FINAL]],[1]!Locales[#Data],3,0)</f>
        <v>TIENDA RECREO</v>
      </c>
      <c r="BA630" s="18" t="str">
        <f>IFERROR(VLOOKUP(Pospago[[#This Row],[USUARIO]],[1]!Personal[#Data],6,0),"EJECUTIVO NO REGISTRADO")</f>
        <v>LOAYZA AGUILAR JONATHAN FABIAN</v>
      </c>
      <c r="BB630" s="18" t="str">
        <f>Pospago[[#This Row],[TIPO_MOVIMIENTO]]&amp;" "&amp;Pospago[[#This Row],[FORMA_PAGO_FINAL]]</f>
        <v>TRANSFERENCIAS PAGO EN CAJA</v>
      </c>
      <c r="BC630" s="18">
        <f>DAY(Pospago[[#This Row],[FECHA_ALTA]])</f>
        <v>13</v>
      </c>
      <c r="BD630" s="18">
        <f>IF(Pospago[[#This Row],[TARIFA_BASICA]]=11.42,1,0)</f>
        <v>0</v>
      </c>
      <c r="BE630" s="18">
        <f>IF(Pospago[[#This Row],[PLANES TELEVENTAS]]="SI",1,0)</f>
        <v>1</v>
      </c>
      <c r="BF630" s="18">
        <f>1</f>
        <v>1</v>
      </c>
      <c r="BG630" s="18">
        <f>IF(OR(Pospago[[#This Row],[TARIFA_BASICA]]=11.42,Pospago[[#This Row],[PLANES TELEVENTAS]]="SI"),1,0)</f>
        <v>1</v>
      </c>
      <c r="BH630" s="18" t="str">
        <f>IF(MID(Pospago[[#This Row],[PlanDesc]],1,4) = "PLAN","POSPAGO",IF(MID(Pospago[[#This Row],[PlanDesc]],1,4)="FULL","FULL MEGAS","PREVIOPAGO"))</f>
        <v>PREVIOPAGO</v>
      </c>
      <c r="BI6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0" s="21">
        <f>Pospago[[#This Row],[TARIFA_BASICA]]*1.5</f>
        <v>21.419999999999998</v>
      </c>
    </row>
    <row r="631" spans="1:63" x14ac:dyDescent="0.25">
      <c r="A631" s="18" t="s">
        <v>64</v>
      </c>
      <c r="B631" s="18" t="s">
        <v>4075</v>
      </c>
      <c r="C631" s="18" t="s">
        <v>4076</v>
      </c>
      <c r="D631" s="19">
        <v>44901</v>
      </c>
      <c r="E631" s="18" t="s">
        <v>246</v>
      </c>
      <c r="F631" s="18" t="s">
        <v>4077</v>
      </c>
      <c r="G631" s="18" t="s">
        <v>4078</v>
      </c>
      <c r="H631" s="18" t="s">
        <v>70</v>
      </c>
      <c r="I631" s="18" t="s">
        <v>194</v>
      </c>
      <c r="J631" s="18" t="s">
        <v>195</v>
      </c>
      <c r="K631" s="18" t="s">
        <v>132</v>
      </c>
      <c r="L631" s="20" t="s">
        <v>4079</v>
      </c>
      <c r="M631" s="18" t="s">
        <v>75</v>
      </c>
      <c r="N631" s="20" t="s">
        <v>4080</v>
      </c>
      <c r="O631" s="18" t="s">
        <v>77</v>
      </c>
      <c r="P631" s="18" t="s">
        <v>78</v>
      </c>
      <c r="Q631" s="19">
        <v>44914</v>
      </c>
      <c r="R631" s="21">
        <v>14.28</v>
      </c>
      <c r="S631" s="18" t="s">
        <v>79</v>
      </c>
      <c r="T631" s="18" t="s">
        <v>174</v>
      </c>
      <c r="U631" s="18" t="s">
        <v>83</v>
      </c>
      <c r="V631" s="18" t="s">
        <v>95</v>
      </c>
      <c r="W631" s="18" t="s">
        <v>83</v>
      </c>
      <c r="X631" s="18" t="s">
        <v>84</v>
      </c>
      <c r="Y631" s="18" t="s">
        <v>85</v>
      </c>
      <c r="Z631" s="18" t="s">
        <v>86</v>
      </c>
      <c r="AA631" s="18" t="s">
        <v>87</v>
      </c>
      <c r="AB631" s="18" t="s">
        <v>187</v>
      </c>
      <c r="AC631" s="18" t="s">
        <v>188</v>
      </c>
      <c r="AD631" s="18" t="s">
        <v>85</v>
      </c>
      <c r="AE631" s="18" t="s">
        <v>90</v>
      </c>
      <c r="AF631" s="18" t="s">
        <v>177</v>
      </c>
      <c r="AG631" s="18" t="s">
        <v>139</v>
      </c>
      <c r="AH631" s="18" t="s">
        <v>93</v>
      </c>
      <c r="AI631" s="18" t="s">
        <v>94</v>
      </c>
      <c r="AJ631" s="19">
        <v>44901</v>
      </c>
      <c r="AK631" s="22" t="s">
        <v>95</v>
      </c>
      <c r="AL631" s="18" t="s">
        <v>95</v>
      </c>
      <c r="AM631" s="18" t="s">
        <v>95</v>
      </c>
      <c r="AN631" s="18" t="s">
        <v>95</v>
      </c>
      <c r="AO631" s="18" t="s">
        <v>95</v>
      </c>
      <c r="AP631" s="18" t="s">
        <v>95</v>
      </c>
      <c r="AQ631" s="18" t="s">
        <v>95</v>
      </c>
      <c r="AR631" s="18" t="s">
        <v>95</v>
      </c>
      <c r="AS631" s="18" t="s">
        <v>83</v>
      </c>
      <c r="AT631" s="18" t="s">
        <v>81</v>
      </c>
      <c r="AU631" s="18" t="s">
        <v>81</v>
      </c>
      <c r="AV631" s="18" t="s">
        <v>95</v>
      </c>
      <c r="AW631" s="18" t="s">
        <v>95</v>
      </c>
      <c r="AX631" s="18"/>
      <c r="AY631" s="18" t="str">
        <f>Pospago[[#This Row],[NUM_TELEFONICO]]&amp;"POSPAGOSI"</f>
        <v>987934136POSPAGOSI</v>
      </c>
      <c r="AZ631" s="18" t="str">
        <f>VLOOKUP(Pospago[[#This Row],[NOM_PLAZA_FINAL]],[1]!Locales[#Data],3,0)</f>
        <v>TIENDA RECREO</v>
      </c>
      <c r="BA631" s="18" t="str">
        <f>IFERROR(VLOOKUP(Pospago[[#This Row],[USUARIO]],[1]!Personal[#Data],6,0),"EJECUTIVO NO REGISTRADO")</f>
        <v>ESPINOZA MARTINES LAURA XIOMARA</v>
      </c>
      <c r="BB631" s="18" t="str">
        <f>Pospago[[#This Row],[TIPO_MOVIMIENTO]]&amp;" "&amp;Pospago[[#This Row],[FORMA_PAGO_FINAL]]</f>
        <v>ALTAS DOMICILIADO</v>
      </c>
      <c r="BC631" s="18">
        <f>DAY(Pospago[[#This Row],[FECHA_ALTA]])</f>
        <v>6</v>
      </c>
      <c r="BD631" s="18">
        <f>IF(Pospago[[#This Row],[TARIFA_BASICA]]=11.42,1,0)</f>
        <v>0</v>
      </c>
      <c r="BE631" s="18">
        <f>IF(Pospago[[#This Row],[PLANES TELEVENTAS]]="SI",1,0)</f>
        <v>1</v>
      </c>
      <c r="BF631" s="18">
        <f>1</f>
        <v>1</v>
      </c>
      <c r="BG631" s="18">
        <f>IF(OR(Pospago[[#This Row],[TARIFA_BASICA]]=11.42,Pospago[[#This Row],[PLANES TELEVENTAS]]="SI"),1,0)</f>
        <v>1</v>
      </c>
      <c r="BH631" s="18" t="str">
        <f>IF(MID(Pospago[[#This Row],[PlanDesc]],1,4) = "PLAN","POSPAGO",IF(MID(Pospago[[#This Row],[PlanDesc]],1,4)="FULL","FULL MEGAS","PREVIOPAGO"))</f>
        <v>PREVIOPAGO</v>
      </c>
      <c r="BI6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1" s="21">
        <f>Pospago[[#This Row],[TARIFA_BASICA]]*1.5</f>
        <v>21.419999999999998</v>
      </c>
    </row>
    <row r="632" spans="1:63" x14ac:dyDescent="0.25">
      <c r="A632" s="18" t="s">
        <v>64</v>
      </c>
      <c r="B632" s="18" t="s">
        <v>4081</v>
      </c>
      <c r="C632" s="18" t="s">
        <v>4082</v>
      </c>
      <c r="D632" s="19">
        <v>44902</v>
      </c>
      <c r="E632" s="18" t="s">
        <v>67</v>
      </c>
      <c r="F632" s="18" t="s">
        <v>4083</v>
      </c>
      <c r="G632" s="18" t="s">
        <v>4084</v>
      </c>
      <c r="H632" s="18" t="s">
        <v>70</v>
      </c>
      <c r="I632" s="18" t="s">
        <v>160</v>
      </c>
      <c r="J632" s="18" t="s">
        <v>195</v>
      </c>
      <c r="K632" s="18" t="s">
        <v>132</v>
      </c>
      <c r="L632" s="20" t="s">
        <v>4085</v>
      </c>
      <c r="M632" s="18" t="s">
        <v>287</v>
      </c>
      <c r="N632" s="20" t="s">
        <v>4086</v>
      </c>
      <c r="O632" s="18" t="s">
        <v>77</v>
      </c>
      <c r="P632" s="18" t="s">
        <v>78</v>
      </c>
      <c r="Q632" s="19">
        <v>44914</v>
      </c>
      <c r="R632" s="21">
        <v>14.28</v>
      </c>
      <c r="S632" s="18" t="s">
        <v>79</v>
      </c>
      <c r="T632" s="18" t="s">
        <v>232</v>
      </c>
      <c r="U632" s="18" t="s">
        <v>83</v>
      </c>
      <c r="V632" s="18" t="s">
        <v>95</v>
      </c>
      <c r="W632" s="18" t="s">
        <v>83</v>
      </c>
      <c r="X632" s="18" t="s">
        <v>215</v>
      </c>
      <c r="Y632" s="18" t="s">
        <v>85</v>
      </c>
      <c r="Z632" s="18" t="s">
        <v>86</v>
      </c>
      <c r="AA632" s="18" t="s">
        <v>87</v>
      </c>
      <c r="AB632" s="18" t="s">
        <v>233</v>
      </c>
      <c r="AC632" s="18" t="s">
        <v>234</v>
      </c>
      <c r="AD632" s="18" t="s">
        <v>85</v>
      </c>
      <c r="AE632" s="18" t="s">
        <v>90</v>
      </c>
      <c r="AF632" s="18" t="s">
        <v>235</v>
      </c>
      <c r="AG632" s="18" t="s">
        <v>139</v>
      </c>
      <c r="AH632" s="18" t="s">
        <v>93</v>
      </c>
      <c r="AI632" s="18" t="s">
        <v>94</v>
      </c>
      <c r="AJ632" s="19">
        <v>44902</v>
      </c>
      <c r="AK632" s="22">
        <v>44902</v>
      </c>
      <c r="AL632" s="18" t="s">
        <v>291</v>
      </c>
      <c r="AM632" s="18" t="s">
        <v>292</v>
      </c>
      <c r="AN632" s="18" t="s">
        <v>494</v>
      </c>
      <c r="AO632" s="18" t="s">
        <v>354</v>
      </c>
      <c r="AP632" s="18">
        <v>1</v>
      </c>
      <c r="AQ632" s="18">
        <v>205.35713999999999</v>
      </c>
      <c r="AR632" s="18" t="s">
        <v>496</v>
      </c>
      <c r="AS632" s="18" t="s">
        <v>81</v>
      </c>
      <c r="AT632" s="18" t="s">
        <v>83</v>
      </c>
      <c r="AU632" s="18" t="s">
        <v>81</v>
      </c>
      <c r="AV632" s="18" t="s">
        <v>95</v>
      </c>
      <c r="AW632" s="18" t="s">
        <v>95</v>
      </c>
      <c r="AX632" s="18"/>
      <c r="AY632" s="18" t="str">
        <f>Pospago[[#This Row],[NUM_TELEFONICO]]&amp;"POSPAGOSI"</f>
        <v>987944853POSPAGOSI</v>
      </c>
      <c r="AZ632" s="18" t="str">
        <f>VLOOKUP(Pospago[[#This Row],[NOM_PLAZA_FINAL]],[1]!Locales[#Data],3,0)</f>
        <v>TIENDA CONDADO</v>
      </c>
      <c r="BA632" s="18" t="str">
        <f>IFERROR(VLOOKUP(Pospago[[#This Row],[USUARIO]],[1]!Personal[#Data],6,0),"EJECUTIVO NO REGISTRADO")</f>
        <v>ROSALES MALDONADO JESSICA GABRIELA</v>
      </c>
      <c r="BB632" s="18" t="str">
        <f>Pospago[[#This Row],[TIPO_MOVIMIENTO]]&amp;" "&amp;Pospago[[#This Row],[FORMA_PAGO_FINAL]]</f>
        <v>ALTAS DOMICILIADO</v>
      </c>
      <c r="BC632" s="18">
        <f>DAY(Pospago[[#This Row],[FECHA_ALTA]])</f>
        <v>7</v>
      </c>
      <c r="BD632" s="18">
        <f>IF(Pospago[[#This Row],[TARIFA_BASICA]]=11.42,1,0)</f>
        <v>0</v>
      </c>
      <c r="BE632" s="18">
        <f>IF(Pospago[[#This Row],[PLANES TELEVENTAS]]="SI",1,0)</f>
        <v>0</v>
      </c>
      <c r="BF632" s="18">
        <f>1</f>
        <v>1</v>
      </c>
      <c r="BG632" s="18">
        <f>IF(OR(Pospago[[#This Row],[TARIFA_BASICA]]=11.42,Pospago[[#This Row],[PLANES TELEVENTAS]]="SI"),1,0)</f>
        <v>0</v>
      </c>
      <c r="BH632" s="18" t="str">
        <f>IF(MID(Pospago[[#This Row],[PlanDesc]],1,4) = "PLAN","POSPAGO",IF(MID(Pospago[[#This Row],[PlanDesc]],1,4)="FULL","FULL MEGAS","PREVIOPAGO"))</f>
        <v>PREVIOPAGO</v>
      </c>
      <c r="BI6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2" s="21">
        <f>Pospago[[#This Row],[TARIFA_BASICA]]*1.5</f>
        <v>21.419999999999998</v>
      </c>
    </row>
    <row r="633" spans="1:63" x14ac:dyDescent="0.25">
      <c r="A633" s="18" t="s">
        <v>154</v>
      </c>
      <c r="B633" s="18" t="s">
        <v>4087</v>
      </c>
      <c r="C633" s="18" t="s">
        <v>4088</v>
      </c>
      <c r="D633" s="19">
        <v>44911</v>
      </c>
      <c r="E633" s="18" t="s">
        <v>67</v>
      </c>
      <c r="F633" s="18" t="s">
        <v>4089</v>
      </c>
      <c r="G633" s="18" t="s">
        <v>4090</v>
      </c>
      <c r="H633" s="18" t="s">
        <v>159</v>
      </c>
      <c r="I633" s="18" t="s">
        <v>194</v>
      </c>
      <c r="J633" s="18" t="s">
        <v>268</v>
      </c>
      <c r="K633" s="18" t="s">
        <v>95</v>
      </c>
      <c r="L633" s="20" t="s">
        <v>4091</v>
      </c>
      <c r="M633" s="18" t="s">
        <v>75</v>
      </c>
      <c r="N633" s="20" t="s">
        <v>4092</v>
      </c>
      <c r="O633" s="18" t="s">
        <v>164</v>
      </c>
      <c r="P633" s="18" t="s">
        <v>78</v>
      </c>
      <c r="Q633" s="19">
        <v>44914</v>
      </c>
      <c r="R633" s="21">
        <v>14.28</v>
      </c>
      <c r="S633" s="18" t="s">
        <v>79</v>
      </c>
      <c r="T633" s="18" t="s">
        <v>174</v>
      </c>
      <c r="U633" s="18" t="s">
        <v>83</v>
      </c>
      <c r="V633" s="18" t="s">
        <v>95</v>
      </c>
      <c r="W633" s="18" t="s">
        <v>95</v>
      </c>
      <c r="X633" s="18" t="s">
        <v>118</v>
      </c>
      <c r="Y633" s="18" t="s">
        <v>85</v>
      </c>
      <c r="Z633" s="18" t="s">
        <v>86</v>
      </c>
      <c r="AA633" s="18" t="s">
        <v>119</v>
      </c>
      <c r="AB633" s="18" t="s">
        <v>760</v>
      </c>
      <c r="AC633" s="18" t="s">
        <v>761</v>
      </c>
      <c r="AD633" s="18" t="s">
        <v>85</v>
      </c>
      <c r="AE633" s="18" t="s">
        <v>90</v>
      </c>
      <c r="AF633" s="18" t="s">
        <v>177</v>
      </c>
      <c r="AG633" s="18" t="s">
        <v>139</v>
      </c>
      <c r="AH633" s="18" t="s">
        <v>165</v>
      </c>
      <c r="AI633" s="18" t="s">
        <v>94</v>
      </c>
      <c r="AJ633" s="19">
        <v>44911</v>
      </c>
      <c r="AK633" s="22" t="s">
        <v>95</v>
      </c>
      <c r="AL633" s="18" t="s">
        <v>95</v>
      </c>
      <c r="AM633" s="18" t="s">
        <v>95</v>
      </c>
      <c r="AN633" s="18" t="s">
        <v>95</v>
      </c>
      <c r="AO633" s="18" t="s">
        <v>95</v>
      </c>
      <c r="AP633" s="18" t="s">
        <v>95</v>
      </c>
      <c r="AQ633" s="18" t="s">
        <v>95</v>
      </c>
      <c r="AR633" s="18" t="s">
        <v>95</v>
      </c>
      <c r="AS633" s="18" t="s">
        <v>83</v>
      </c>
      <c r="AT633" s="18" t="s">
        <v>81</v>
      </c>
      <c r="AU633" s="18" t="s">
        <v>81</v>
      </c>
      <c r="AV633" s="18" t="s">
        <v>95</v>
      </c>
      <c r="AW633" s="18" t="s">
        <v>95</v>
      </c>
      <c r="AX633" s="18"/>
      <c r="AY633" s="18" t="str">
        <f>Pospago[[#This Row],[NUM_TELEFONICO]]&amp;"POSPAGOSI"</f>
        <v>987951501POSPAGOSI</v>
      </c>
      <c r="AZ633" s="18" t="str">
        <f>VLOOKUP(Pospago[[#This Row],[NOM_PLAZA_FINAL]],[1]!Locales[#Data],3,0)</f>
        <v>TIENDA RECREO</v>
      </c>
      <c r="BA633" s="18" t="str">
        <f>IFERROR(VLOOKUP(Pospago[[#This Row],[USUARIO]],[1]!Personal[#Data],6,0),"EJECUTIVO NO REGISTRADO")</f>
        <v>VALBUENA SANCHEZ ALBERT ANTHONY</v>
      </c>
      <c r="BB633" s="18" t="str">
        <f>Pospago[[#This Row],[TIPO_MOVIMIENTO]]&amp;" "&amp;Pospago[[#This Row],[FORMA_PAGO_FINAL]]</f>
        <v>TRANSFERENCIAS PAGO EN CAJA</v>
      </c>
      <c r="BC633" s="18">
        <f>DAY(Pospago[[#This Row],[FECHA_ALTA]])</f>
        <v>16</v>
      </c>
      <c r="BD633" s="18">
        <f>IF(Pospago[[#This Row],[TARIFA_BASICA]]=11.42,1,0)</f>
        <v>0</v>
      </c>
      <c r="BE633" s="18">
        <f>IF(Pospago[[#This Row],[PLANES TELEVENTAS]]="SI",1,0)</f>
        <v>1</v>
      </c>
      <c r="BF633" s="18">
        <f>1</f>
        <v>1</v>
      </c>
      <c r="BG633" s="18">
        <f>IF(OR(Pospago[[#This Row],[TARIFA_BASICA]]=11.42,Pospago[[#This Row],[PLANES TELEVENTAS]]="SI"),1,0)</f>
        <v>1</v>
      </c>
      <c r="BH633" s="18" t="str">
        <f>IF(MID(Pospago[[#This Row],[PlanDesc]],1,4) = "PLAN","POSPAGO",IF(MID(Pospago[[#This Row],[PlanDesc]],1,4)="FULL","FULL MEGAS","PREVIOPAGO"))</f>
        <v>PREVIOPAGO</v>
      </c>
      <c r="BI6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3" s="21">
        <f>Pospago[[#This Row],[TARIFA_BASICA]]*1.5</f>
        <v>21.419999999999998</v>
      </c>
    </row>
    <row r="634" spans="1:63" x14ac:dyDescent="0.25">
      <c r="A634" s="18" t="s">
        <v>64</v>
      </c>
      <c r="B634" s="18" t="s">
        <v>4093</v>
      </c>
      <c r="C634" s="18" t="s">
        <v>4094</v>
      </c>
      <c r="D634" s="19">
        <v>44901</v>
      </c>
      <c r="E634" s="18" t="s">
        <v>67</v>
      </c>
      <c r="F634" s="18" t="s">
        <v>4095</v>
      </c>
      <c r="G634" s="18" t="s">
        <v>4096</v>
      </c>
      <c r="H634" s="18" t="s">
        <v>70</v>
      </c>
      <c r="I634" s="18" t="s">
        <v>183</v>
      </c>
      <c r="J634" s="18" t="s">
        <v>184</v>
      </c>
      <c r="K634" s="18" t="s">
        <v>114</v>
      </c>
      <c r="L634" s="20" t="s">
        <v>4097</v>
      </c>
      <c r="M634" s="18" t="s">
        <v>75</v>
      </c>
      <c r="N634" s="20" t="s">
        <v>4098</v>
      </c>
      <c r="O634" s="18" t="s">
        <v>77</v>
      </c>
      <c r="P634" s="18" t="s">
        <v>78</v>
      </c>
      <c r="Q634" s="19">
        <v>44914</v>
      </c>
      <c r="R634" s="21">
        <v>11.42</v>
      </c>
      <c r="S634" s="18" t="s">
        <v>79</v>
      </c>
      <c r="T634" s="18" t="s">
        <v>174</v>
      </c>
      <c r="U634" s="18" t="s">
        <v>83</v>
      </c>
      <c r="V634" s="18" t="s">
        <v>95</v>
      </c>
      <c r="W634" s="18" t="s">
        <v>83</v>
      </c>
      <c r="X634" s="18" t="s">
        <v>84</v>
      </c>
      <c r="Y634" s="18" t="s">
        <v>85</v>
      </c>
      <c r="Z634" s="18" t="s">
        <v>86</v>
      </c>
      <c r="AA634" s="18" t="s">
        <v>87</v>
      </c>
      <c r="AB634" s="18" t="s">
        <v>808</v>
      </c>
      <c r="AC634" s="18" t="s">
        <v>809</v>
      </c>
      <c r="AD634" s="18" t="s">
        <v>85</v>
      </c>
      <c r="AE634" s="18" t="s">
        <v>90</v>
      </c>
      <c r="AF634" s="18" t="s">
        <v>122</v>
      </c>
      <c r="AG634" s="18" t="s">
        <v>92</v>
      </c>
      <c r="AH634" s="18" t="s">
        <v>93</v>
      </c>
      <c r="AI634" s="18" t="s">
        <v>94</v>
      </c>
      <c r="AJ634" s="19">
        <v>44901</v>
      </c>
      <c r="AK634" s="22" t="s">
        <v>95</v>
      </c>
      <c r="AL634" s="18" t="s">
        <v>95</v>
      </c>
      <c r="AM634" s="18" t="s">
        <v>95</v>
      </c>
      <c r="AN634" s="18" t="s">
        <v>95</v>
      </c>
      <c r="AO634" s="18" t="s">
        <v>95</v>
      </c>
      <c r="AP634" s="18" t="s">
        <v>95</v>
      </c>
      <c r="AQ634" s="18" t="s">
        <v>95</v>
      </c>
      <c r="AR634" s="18" t="s">
        <v>95</v>
      </c>
      <c r="AS634" s="18" t="s">
        <v>83</v>
      </c>
      <c r="AT634" s="18" t="s">
        <v>83</v>
      </c>
      <c r="AU634" s="18" t="s">
        <v>83</v>
      </c>
      <c r="AV634" s="18" t="s">
        <v>95</v>
      </c>
      <c r="AW634" s="18" t="s">
        <v>95</v>
      </c>
      <c r="AX634" s="18"/>
      <c r="AY634" s="18" t="str">
        <f>Pospago[[#This Row],[NUM_TELEFONICO]]&amp;"POSPAGOSI"</f>
        <v>987951744POSPAGOSI</v>
      </c>
      <c r="AZ634" s="18" t="str">
        <f>VLOOKUP(Pospago[[#This Row],[NOM_PLAZA_FINAL]],[1]!Locales[#Data],3,0)</f>
        <v>TIENDA MACHALA</v>
      </c>
      <c r="BA634" s="18" t="str">
        <f>IFERROR(VLOOKUP(Pospago[[#This Row],[USUARIO]],[1]!Personal[#Data],6,0),"EJECUTIVO NO REGISTRADO")</f>
        <v>ALICIA ROMINA GONZALEZ SANDOYA</v>
      </c>
      <c r="BB634" s="18" t="str">
        <f>Pospago[[#This Row],[TIPO_MOVIMIENTO]]&amp;" "&amp;Pospago[[#This Row],[FORMA_PAGO_FINAL]]</f>
        <v>ALTAS DOMICILIADO</v>
      </c>
      <c r="BC634" s="18">
        <f>DAY(Pospago[[#This Row],[FECHA_ALTA]])</f>
        <v>6</v>
      </c>
      <c r="BD634" s="18">
        <f>IF(Pospago[[#This Row],[TARIFA_BASICA]]=11.42,1,0)</f>
        <v>1</v>
      </c>
      <c r="BE634" s="18">
        <f>IF(Pospago[[#This Row],[PLANES TELEVENTAS]]="SI",1,0)</f>
        <v>0</v>
      </c>
      <c r="BF634" s="18">
        <f>1</f>
        <v>1</v>
      </c>
      <c r="BG634" s="18">
        <f>IF(OR(Pospago[[#This Row],[TARIFA_BASICA]]=11.42,Pospago[[#This Row],[PLANES TELEVENTAS]]="SI"),1,0)</f>
        <v>1</v>
      </c>
      <c r="BH634" s="18" t="str">
        <f>IF(MID(Pospago[[#This Row],[PlanDesc]],1,4) = "PLAN","POSPAGO",IF(MID(Pospago[[#This Row],[PlanDesc]],1,4)="FULL","FULL MEGAS","PREVIOPAGO"))</f>
        <v>POSPAGO</v>
      </c>
      <c r="BI6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9.984</v>
      </c>
      <c r="BJ6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34" s="21">
        <f>Pospago[[#This Row],[TARIFA_BASICA]]*1.5</f>
        <v>17.13</v>
      </c>
    </row>
    <row r="635" spans="1:63" x14ac:dyDescent="0.25">
      <c r="A635" s="18" t="s">
        <v>64</v>
      </c>
      <c r="B635" s="18" t="s">
        <v>4099</v>
      </c>
      <c r="C635" s="18" t="s">
        <v>4100</v>
      </c>
      <c r="D635" s="19">
        <v>44912</v>
      </c>
      <c r="E635" s="18" t="s">
        <v>67</v>
      </c>
      <c r="F635" s="18" t="s">
        <v>4101</v>
      </c>
      <c r="G635" s="18" t="s">
        <v>4102</v>
      </c>
      <c r="H635" s="18" t="s">
        <v>70</v>
      </c>
      <c r="I635" s="18" t="s">
        <v>130</v>
      </c>
      <c r="J635" s="18" t="s">
        <v>131</v>
      </c>
      <c r="K635" s="18" t="s">
        <v>132</v>
      </c>
      <c r="L635" s="20" t="s">
        <v>4103</v>
      </c>
      <c r="M635" s="18" t="s">
        <v>75</v>
      </c>
      <c r="N635" s="20" t="s">
        <v>4104</v>
      </c>
      <c r="O635" s="18" t="s">
        <v>77</v>
      </c>
      <c r="P635" s="18" t="s">
        <v>78</v>
      </c>
      <c r="Q635" s="19">
        <v>44914</v>
      </c>
      <c r="R635" s="21">
        <v>15</v>
      </c>
      <c r="S635" s="18" t="s">
        <v>79</v>
      </c>
      <c r="T635" s="18" t="s">
        <v>174</v>
      </c>
      <c r="U635" s="18" t="s">
        <v>83</v>
      </c>
      <c r="V635" s="18" t="s">
        <v>95</v>
      </c>
      <c r="W635" s="18" t="s">
        <v>83</v>
      </c>
      <c r="X635" s="18" t="s">
        <v>118</v>
      </c>
      <c r="Y635" s="18" t="s">
        <v>85</v>
      </c>
      <c r="Z635" s="18" t="s">
        <v>86</v>
      </c>
      <c r="AA635" s="18" t="s">
        <v>119</v>
      </c>
      <c r="AB635" s="18" t="s">
        <v>492</v>
      </c>
      <c r="AC635" s="18" t="s">
        <v>493</v>
      </c>
      <c r="AD635" s="18" t="s">
        <v>85</v>
      </c>
      <c r="AE635" s="18" t="s">
        <v>90</v>
      </c>
      <c r="AF635" s="18" t="s">
        <v>177</v>
      </c>
      <c r="AG635" s="18" t="s">
        <v>139</v>
      </c>
      <c r="AH635" s="18" t="s">
        <v>93</v>
      </c>
      <c r="AI635" s="18" t="s">
        <v>94</v>
      </c>
      <c r="AJ635" s="19">
        <v>44912</v>
      </c>
      <c r="AK635" s="22" t="s">
        <v>95</v>
      </c>
      <c r="AL635" s="18" t="s">
        <v>95</v>
      </c>
      <c r="AM635" s="18" t="s">
        <v>95</v>
      </c>
      <c r="AN635" s="18" t="s">
        <v>95</v>
      </c>
      <c r="AO635" s="18" t="s">
        <v>95</v>
      </c>
      <c r="AP635" s="18" t="s">
        <v>95</v>
      </c>
      <c r="AQ635" s="18" t="s">
        <v>95</v>
      </c>
      <c r="AR635" s="18" t="s">
        <v>95</v>
      </c>
      <c r="AS635" s="18" t="s">
        <v>83</v>
      </c>
      <c r="AT635" s="18" t="s">
        <v>83</v>
      </c>
      <c r="AU635" s="18" t="s">
        <v>81</v>
      </c>
      <c r="AV635" s="18" t="s">
        <v>95</v>
      </c>
      <c r="AW635" s="18" t="s">
        <v>95</v>
      </c>
      <c r="AX635" s="18"/>
      <c r="AY635" s="18" t="str">
        <f>Pospago[[#This Row],[NUM_TELEFONICO]]&amp;"POSPAGOSI"</f>
        <v>987960224POSPAGOSI</v>
      </c>
      <c r="AZ635" s="18" t="str">
        <f>VLOOKUP(Pospago[[#This Row],[NOM_PLAZA_FINAL]],[1]!Locales[#Data],3,0)</f>
        <v>TIENDA RECREO</v>
      </c>
      <c r="BA635" s="18" t="str">
        <f>IFERROR(VLOOKUP(Pospago[[#This Row],[USUARIO]],[1]!Personal[#Data],6,0),"EJECUTIVO NO REGISTRADO")</f>
        <v>CONDO GARCIA NICOLAS MATIAS</v>
      </c>
      <c r="BB635" s="18" t="str">
        <f>Pospago[[#This Row],[TIPO_MOVIMIENTO]]&amp;" "&amp;Pospago[[#This Row],[FORMA_PAGO_FINAL]]</f>
        <v>ALTAS PAGO EN CAJA</v>
      </c>
      <c r="BC635" s="18">
        <f>DAY(Pospago[[#This Row],[FECHA_ALTA]])</f>
        <v>17</v>
      </c>
      <c r="BD635" s="18">
        <f>IF(Pospago[[#This Row],[TARIFA_BASICA]]=11.42,1,0)</f>
        <v>0</v>
      </c>
      <c r="BE635" s="18">
        <f>IF(Pospago[[#This Row],[PLANES TELEVENTAS]]="SI",1,0)</f>
        <v>0</v>
      </c>
      <c r="BF635" s="18">
        <f>1</f>
        <v>1</v>
      </c>
      <c r="BG635" s="18">
        <f>IF(OR(Pospago[[#This Row],[TARIFA_BASICA]]=11.42,Pospago[[#This Row],[PLANES TELEVENTAS]]="SI"),1,0)</f>
        <v>0</v>
      </c>
      <c r="BH635" s="18" t="str">
        <f>IF(MID(Pospago[[#This Row],[PlanDesc]],1,4) = "PLAN","POSPAGO",IF(MID(Pospago[[#This Row],[PlanDesc]],1,4)="FULL","FULL MEGAS","PREVIOPAGO"))</f>
        <v>PREVIOPAGO</v>
      </c>
      <c r="BI6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6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5" s="21">
        <f>Pospago[[#This Row],[TARIFA_BASICA]]*1.5</f>
        <v>22.5</v>
      </c>
    </row>
    <row r="636" spans="1:63" x14ac:dyDescent="0.25">
      <c r="A636" s="18" t="s">
        <v>64</v>
      </c>
      <c r="B636" s="18" t="s">
        <v>4105</v>
      </c>
      <c r="C636" s="18" t="s">
        <v>4106</v>
      </c>
      <c r="D636" s="19">
        <v>44904</v>
      </c>
      <c r="E636" s="18" t="s">
        <v>67</v>
      </c>
      <c r="F636" s="18" t="s">
        <v>4107</v>
      </c>
      <c r="G636" s="18" t="s">
        <v>4108</v>
      </c>
      <c r="H636" s="18" t="s">
        <v>70</v>
      </c>
      <c r="I636" s="18" t="s">
        <v>160</v>
      </c>
      <c r="J636" s="18" t="s">
        <v>195</v>
      </c>
      <c r="K636" s="18" t="s">
        <v>95</v>
      </c>
      <c r="L636" s="20" t="s">
        <v>4109</v>
      </c>
      <c r="M636" s="18" t="s">
        <v>287</v>
      </c>
      <c r="N636" s="20" t="s">
        <v>4110</v>
      </c>
      <c r="O636" s="18" t="s">
        <v>77</v>
      </c>
      <c r="P636" s="18" t="s">
        <v>78</v>
      </c>
      <c r="Q636" s="19">
        <v>44914</v>
      </c>
      <c r="R636" s="21">
        <v>14.28</v>
      </c>
      <c r="S636" s="18" t="s">
        <v>79</v>
      </c>
      <c r="T636" s="18" t="s">
        <v>117</v>
      </c>
      <c r="U636" s="18" t="s">
        <v>83</v>
      </c>
      <c r="V636" s="18" t="s">
        <v>95</v>
      </c>
      <c r="W636" s="18" t="s">
        <v>83</v>
      </c>
      <c r="X636" s="18" t="s">
        <v>84</v>
      </c>
      <c r="Y636" s="18" t="s">
        <v>85</v>
      </c>
      <c r="Z636" s="18" t="s">
        <v>86</v>
      </c>
      <c r="AA636" s="18" t="s">
        <v>87</v>
      </c>
      <c r="AB636" s="18" t="s">
        <v>120</v>
      </c>
      <c r="AC636" s="18" t="s">
        <v>121</v>
      </c>
      <c r="AD636" s="18" t="s">
        <v>85</v>
      </c>
      <c r="AE636" s="18" t="s">
        <v>90</v>
      </c>
      <c r="AF636" s="18" t="s">
        <v>122</v>
      </c>
      <c r="AG636" s="18" t="s">
        <v>92</v>
      </c>
      <c r="AH636" s="18" t="s">
        <v>93</v>
      </c>
      <c r="AI636" s="18" t="s">
        <v>94</v>
      </c>
      <c r="AJ636" s="19">
        <v>44904</v>
      </c>
      <c r="AK636" s="22">
        <v>44904</v>
      </c>
      <c r="AL636" s="18" t="s">
        <v>291</v>
      </c>
      <c r="AM636" s="18" t="s">
        <v>292</v>
      </c>
      <c r="AN636" s="18" t="s">
        <v>293</v>
      </c>
      <c r="AO636" s="18" t="s">
        <v>338</v>
      </c>
      <c r="AP636" s="18">
        <v>1</v>
      </c>
      <c r="AQ636" s="18">
        <v>339.28570999999999</v>
      </c>
      <c r="AR636" s="18" t="s">
        <v>295</v>
      </c>
      <c r="AS636" s="18" t="s">
        <v>81</v>
      </c>
      <c r="AT636" s="18" t="s">
        <v>83</v>
      </c>
      <c r="AU636" s="18" t="s">
        <v>81</v>
      </c>
      <c r="AV636" s="18" t="s">
        <v>95</v>
      </c>
      <c r="AW636" s="18" t="s">
        <v>95</v>
      </c>
      <c r="AX636" s="18"/>
      <c r="AY636" s="18" t="str">
        <f>Pospago[[#This Row],[NUM_TELEFONICO]]&amp;"POSPAGOSI"</f>
        <v>987964620POSPAGOSI</v>
      </c>
      <c r="AZ636" s="18" t="str">
        <f>VLOOKUP(Pospago[[#This Row],[NOM_PLAZA_FINAL]],[1]!Locales[#Data],3,0)</f>
        <v>TIENDA MACHALA</v>
      </c>
      <c r="BA636" s="18" t="str">
        <f>IFERROR(VLOOKUP(Pospago[[#This Row],[USUARIO]],[1]!Personal[#Data],6,0),"EJECUTIVO NO REGISTRADO")</f>
        <v>ARROBO VICENTE YADIRA ESPERANZA</v>
      </c>
      <c r="BB636" s="18" t="str">
        <f>Pospago[[#This Row],[TIPO_MOVIMIENTO]]&amp;" "&amp;Pospago[[#This Row],[FORMA_PAGO_FINAL]]</f>
        <v>ALTAS DOMICILIADO</v>
      </c>
      <c r="BC636" s="18">
        <f>DAY(Pospago[[#This Row],[FECHA_ALTA]])</f>
        <v>9</v>
      </c>
      <c r="BD636" s="18">
        <f>IF(Pospago[[#This Row],[TARIFA_BASICA]]=11.42,1,0)</f>
        <v>0</v>
      </c>
      <c r="BE636" s="18">
        <f>IF(Pospago[[#This Row],[PLANES TELEVENTAS]]="SI",1,0)</f>
        <v>0</v>
      </c>
      <c r="BF636" s="18">
        <f>1</f>
        <v>1</v>
      </c>
      <c r="BG636" s="18">
        <f>IF(OR(Pospago[[#This Row],[TARIFA_BASICA]]=11.42,Pospago[[#This Row],[PLANES TELEVENTAS]]="SI"),1,0)</f>
        <v>0</v>
      </c>
      <c r="BH636" s="18" t="str">
        <f>IF(MID(Pospago[[#This Row],[PlanDesc]],1,4) = "PLAN","POSPAGO",IF(MID(Pospago[[#This Row],[PlanDesc]],1,4)="FULL","FULL MEGAS","PREVIOPAGO"))</f>
        <v>PREVIOPAGO</v>
      </c>
      <c r="BI6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6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6" s="21">
        <f>Pospago[[#This Row],[TARIFA_BASICA]]*1.5</f>
        <v>21.419999999999998</v>
      </c>
    </row>
    <row r="637" spans="1:63" x14ac:dyDescent="0.25">
      <c r="A637" s="18" t="s">
        <v>154</v>
      </c>
      <c r="B637" s="18" t="s">
        <v>4111</v>
      </c>
      <c r="C637" s="18" t="s">
        <v>4112</v>
      </c>
      <c r="D637" s="19">
        <v>44904</v>
      </c>
      <c r="E637" s="18" t="s">
        <v>67</v>
      </c>
      <c r="F637" s="18" t="s">
        <v>4113</v>
      </c>
      <c r="G637" s="18" t="s">
        <v>4114</v>
      </c>
      <c r="H637" s="18" t="s">
        <v>159</v>
      </c>
      <c r="I637" s="18" t="s">
        <v>160</v>
      </c>
      <c r="J637" s="18" t="s">
        <v>161</v>
      </c>
      <c r="K637" s="18" t="s">
        <v>132</v>
      </c>
      <c r="L637" s="20" t="s">
        <v>4115</v>
      </c>
      <c r="M637" s="18" t="s">
        <v>75</v>
      </c>
      <c r="N637" s="20" t="s">
        <v>4116</v>
      </c>
      <c r="O637" s="18" t="s">
        <v>2241</v>
      </c>
      <c r="P637" s="18" t="s">
        <v>78</v>
      </c>
      <c r="Q637" s="19">
        <v>44914</v>
      </c>
      <c r="R637" s="21">
        <v>14.28</v>
      </c>
      <c r="S637" s="18" t="s">
        <v>79</v>
      </c>
      <c r="T637" s="18" t="s">
        <v>174</v>
      </c>
      <c r="U637" s="18" t="s">
        <v>83</v>
      </c>
      <c r="V637" s="18" t="s">
        <v>95</v>
      </c>
      <c r="W637" s="18" t="s">
        <v>95</v>
      </c>
      <c r="X637" s="18" t="s">
        <v>118</v>
      </c>
      <c r="Y637" s="18" t="s">
        <v>85</v>
      </c>
      <c r="Z637" s="18" t="s">
        <v>86</v>
      </c>
      <c r="AA637" s="18" t="s">
        <v>119</v>
      </c>
      <c r="AB637" s="18" t="s">
        <v>199</v>
      </c>
      <c r="AC637" s="18" t="s">
        <v>200</v>
      </c>
      <c r="AD637" s="18" t="s">
        <v>85</v>
      </c>
      <c r="AE637" s="18" t="s">
        <v>90</v>
      </c>
      <c r="AF637" s="18" t="s">
        <v>177</v>
      </c>
      <c r="AG637" s="18" t="s">
        <v>139</v>
      </c>
      <c r="AH637" s="18" t="s">
        <v>165</v>
      </c>
      <c r="AI637" s="18" t="s">
        <v>94</v>
      </c>
      <c r="AJ637" s="19">
        <v>44904</v>
      </c>
      <c r="AK637" s="22" t="s">
        <v>95</v>
      </c>
      <c r="AL637" s="18" t="s">
        <v>95</v>
      </c>
      <c r="AM637" s="18" t="s">
        <v>95</v>
      </c>
      <c r="AN637" s="18" t="s">
        <v>95</v>
      </c>
      <c r="AO637" s="18" t="s">
        <v>95</v>
      </c>
      <c r="AP637" s="18" t="s">
        <v>95</v>
      </c>
      <c r="AQ637" s="18" t="s">
        <v>95</v>
      </c>
      <c r="AR637" s="18" t="s">
        <v>95</v>
      </c>
      <c r="AS637" s="18" t="s">
        <v>83</v>
      </c>
      <c r="AT637" s="18" t="s">
        <v>83</v>
      </c>
      <c r="AU637" s="18" t="s">
        <v>81</v>
      </c>
      <c r="AV637" s="18" t="s">
        <v>95</v>
      </c>
      <c r="AW637" s="18" t="s">
        <v>95</v>
      </c>
      <c r="AX637" s="18"/>
      <c r="AY637" s="18" t="str">
        <f>Pospago[[#This Row],[NUM_TELEFONICO]]&amp;"POSPAGOSI"</f>
        <v>987971475POSPAGOSI</v>
      </c>
      <c r="AZ637" s="18" t="str">
        <f>VLOOKUP(Pospago[[#This Row],[NOM_PLAZA_FINAL]],[1]!Locales[#Data],3,0)</f>
        <v>TIENDA RECREO</v>
      </c>
      <c r="BA637" s="18" t="str">
        <f>IFERROR(VLOOKUP(Pospago[[#This Row],[USUARIO]],[1]!Personal[#Data],6,0),"EJECUTIVO NO REGISTRADO")</f>
        <v>MEDINA LAPO DAYANNA CAROLINA</v>
      </c>
      <c r="BB637" s="18" t="str">
        <f>Pospago[[#This Row],[TIPO_MOVIMIENTO]]&amp;" "&amp;Pospago[[#This Row],[FORMA_PAGO_FINAL]]</f>
        <v>TRANSFERENCIAS PAGO EN CAJA</v>
      </c>
      <c r="BC637" s="18">
        <f>DAY(Pospago[[#This Row],[FECHA_ALTA]])</f>
        <v>9</v>
      </c>
      <c r="BD637" s="18">
        <f>IF(Pospago[[#This Row],[TARIFA_BASICA]]=11.42,1,0)</f>
        <v>0</v>
      </c>
      <c r="BE637" s="18">
        <f>IF(Pospago[[#This Row],[PLANES TELEVENTAS]]="SI",1,0)</f>
        <v>0</v>
      </c>
      <c r="BF637" s="18">
        <f>1</f>
        <v>1</v>
      </c>
      <c r="BG637" s="18">
        <f>IF(OR(Pospago[[#This Row],[TARIFA_BASICA]]=11.42,Pospago[[#This Row],[PLANES TELEVENTAS]]="SI"),1,0)</f>
        <v>0</v>
      </c>
      <c r="BH637" s="18" t="str">
        <f>IF(MID(Pospago[[#This Row],[PlanDesc]],1,4) = "PLAN","POSPAGO",IF(MID(Pospago[[#This Row],[PlanDesc]],1,4)="FULL","FULL MEGAS","PREVIOPAGO"))</f>
        <v>PREVIOPAGO</v>
      </c>
      <c r="BI6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7" s="21">
        <f>Pospago[[#This Row],[TARIFA_BASICA]]*1.5</f>
        <v>21.419999999999998</v>
      </c>
    </row>
    <row r="638" spans="1:63" x14ac:dyDescent="0.25">
      <c r="A638" s="18" t="s">
        <v>154</v>
      </c>
      <c r="B638" s="18" t="s">
        <v>4117</v>
      </c>
      <c r="C638" s="18" t="s">
        <v>4118</v>
      </c>
      <c r="D638" s="19">
        <v>44897</v>
      </c>
      <c r="E638" s="18" t="s">
        <v>67</v>
      </c>
      <c r="F638" s="18" t="s">
        <v>4119</v>
      </c>
      <c r="G638" s="18" t="s">
        <v>4120</v>
      </c>
      <c r="H638" s="18" t="s">
        <v>159</v>
      </c>
      <c r="I638" s="18" t="s">
        <v>160</v>
      </c>
      <c r="J638" s="18" t="s">
        <v>161</v>
      </c>
      <c r="K638" s="18" t="s">
        <v>95</v>
      </c>
      <c r="L638" s="20" t="s">
        <v>4121</v>
      </c>
      <c r="M638" s="18" t="s">
        <v>75</v>
      </c>
      <c r="N638" s="20" t="s">
        <v>4122</v>
      </c>
      <c r="O638" s="18" t="s">
        <v>164</v>
      </c>
      <c r="P638" s="18" t="s">
        <v>78</v>
      </c>
      <c r="Q638" s="19">
        <v>44914</v>
      </c>
      <c r="R638" s="21">
        <v>14.28</v>
      </c>
      <c r="S638" s="18" t="s">
        <v>79</v>
      </c>
      <c r="T638" s="18" t="s">
        <v>174</v>
      </c>
      <c r="U638" s="18" t="s">
        <v>83</v>
      </c>
      <c r="V638" s="18" t="s">
        <v>95</v>
      </c>
      <c r="W638" s="18" t="s">
        <v>95</v>
      </c>
      <c r="X638" s="18" t="s">
        <v>118</v>
      </c>
      <c r="Y638" s="18" t="s">
        <v>85</v>
      </c>
      <c r="Z638" s="18" t="s">
        <v>86</v>
      </c>
      <c r="AA638" s="18" t="s">
        <v>119</v>
      </c>
      <c r="AB638" s="18" t="s">
        <v>175</v>
      </c>
      <c r="AC638" s="18" t="s">
        <v>176</v>
      </c>
      <c r="AD638" s="18" t="s">
        <v>85</v>
      </c>
      <c r="AE638" s="18" t="s">
        <v>90</v>
      </c>
      <c r="AF638" s="18" t="s">
        <v>177</v>
      </c>
      <c r="AG638" s="18" t="s">
        <v>139</v>
      </c>
      <c r="AH638" s="18" t="s">
        <v>165</v>
      </c>
      <c r="AI638" s="18" t="s">
        <v>94</v>
      </c>
      <c r="AJ638" s="19">
        <v>44897</v>
      </c>
      <c r="AK638" s="22" t="s">
        <v>95</v>
      </c>
      <c r="AL638" s="18" t="s">
        <v>95</v>
      </c>
      <c r="AM638" s="18" t="s">
        <v>95</v>
      </c>
      <c r="AN638" s="18" t="s">
        <v>95</v>
      </c>
      <c r="AO638" s="18" t="s">
        <v>95</v>
      </c>
      <c r="AP638" s="18" t="s">
        <v>95</v>
      </c>
      <c r="AQ638" s="18" t="s">
        <v>95</v>
      </c>
      <c r="AR638" s="18" t="s">
        <v>95</v>
      </c>
      <c r="AS638" s="18" t="s">
        <v>83</v>
      </c>
      <c r="AT638" s="18" t="s">
        <v>83</v>
      </c>
      <c r="AU638" s="18" t="s">
        <v>81</v>
      </c>
      <c r="AV638" s="18" t="s">
        <v>95</v>
      </c>
      <c r="AW638" s="18" t="s">
        <v>95</v>
      </c>
      <c r="AX638" s="18"/>
      <c r="AY638" s="18" t="str">
        <f>Pospago[[#This Row],[NUM_TELEFONICO]]&amp;"POSPAGOSI"</f>
        <v>987973623POSPAGOSI</v>
      </c>
      <c r="AZ638" s="18" t="str">
        <f>VLOOKUP(Pospago[[#This Row],[NOM_PLAZA_FINAL]],[1]!Locales[#Data],3,0)</f>
        <v>TIENDA RECREO</v>
      </c>
      <c r="BA638" s="18" t="str">
        <f>IFERROR(VLOOKUP(Pospago[[#This Row],[USUARIO]],[1]!Personal[#Data],6,0),"EJECUTIVO NO REGISTRADO")</f>
        <v>VARGAS REYES LUIS EDUARDO</v>
      </c>
      <c r="BB638" s="18" t="str">
        <f>Pospago[[#This Row],[TIPO_MOVIMIENTO]]&amp;" "&amp;Pospago[[#This Row],[FORMA_PAGO_FINAL]]</f>
        <v>TRANSFERENCIAS PAGO EN CAJA</v>
      </c>
      <c r="BC638" s="18">
        <f>DAY(Pospago[[#This Row],[FECHA_ALTA]])</f>
        <v>2</v>
      </c>
      <c r="BD638" s="18">
        <f>IF(Pospago[[#This Row],[TARIFA_BASICA]]=11.42,1,0)</f>
        <v>0</v>
      </c>
      <c r="BE638" s="18">
        <f>IF(Pospago[[#This Row],[PLANES TELEVENTAS]]="SI",1,0)</f>
        <v>0</v>
      </c>
      <c r="BF638" s="18">
        <f>1</f>
        <v>1</v>
      </c>
      <c r="BG638" s="18">
        <f>IF(OR(Pospago[[#This Row],[TARIFA_BASICA]]=11.42,Pospago[[#This Row],[PLANES TELEVENTAS]]="SI"),1,0)</f>
        <v>0</v>
      </c>
      <c r="BH638" s="18" t="str">
        <f>IF(MID(Pospago[[#This Row],[PlanDesc]],1,4) = "PLAN","POSPAGO",IF(MID(Pospago[[#This Row],[PlanDesc]],1,4)="FULL","FULL MEGAS","PREVIOPAGO"))</f>
        <v>PREVIOPAGO</v>
      </c>
      <c r="BI6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8" s="21">
        <f>Pospago[[#This Row],[TARIFA_BASICA]]*1.5</f>
        <v>21.419999999999998</v>
      </c>
    </row>
    <row r="639" spans="1:63" x14ac:dyDescent="0.25">
      <c r="A639" s="18" t="s">
        <v>154</v>
      </c>
      <c r="B639" s="18" t="s">
        <v>4123</v>
      </c>
      <c r="C639" s="18" t="s">
        <v>4124</v>
      </c>
      <c r="D639" s="19">
        <v>44912</v>
      </c>
      <c r="E639" s="18" t="s">
        <v>67</v>
      </c>
      <c r="F639" s="18" t="s">
        <v>4125</v>
      </c>
      <c r="G639" s="18" t="s">
        <v>4126</v>
      </c>
      <c r="H639" s="18" t="s">
        <v>159</v>
      </c>
      <c r="I639" s="18" t="s">
        <v>160</v>
      </c>
      <c r="J639" s="18" t="s">
        <v>161</v>
      </c>
      <c r="K639" s="18" t="s">
        <v>259</v>
      </c>
      <c r="L639" s="20" t="s">
        <v>4127</v>
      </c>
      <c r="M639" s="18" t="s">
        <v>75</v>
      </c>
      <c r="N639" s="20" t="s">
        <v>4128</v>
      </c>
      <c r="O639" s="18" t="s">
        <v>164</v>
      </c>
      <c r="P639" s="18" t="s">
        <v>78</v>
      </c>
      <c r="Q639" s="19">
        <v>44914</v>
      </c>
      <c r="R639" s="21">
        <v>14.28</v>
      </c>
      <c r="S639" s="18" t="s">
        <v>79</v>
      </c>
      <c r="T639" s="18" t="s">
        <v>174</v>
      </c>
      <c r="U639" s="18" t="s">
        <v>83</v>
      </c>
      <c r="V639" s="18" t="s">
        <v>95</v>
      </c>
      <c r="W639" s="18" t="s">
        <v>95</v>
      </c>
      <c r="X639" s="18" t="s">
        <v>118</v>
      </c>
      <c r="Y639" s="18" t="s">
        <v>85</v>
      </c>
      <c r="Z639" s="18" t="s">
        <v>86</v>
      </c>
      <c r="AA639" s="18" t="s">
        <v>119</v>
      </c>
      <c r="AB639" s="18" t="s">
        <v>175</v>
      </c>
      <c r="AC639" s="18" t="s">
        <v>176</v>
      </c>
      <c r="AD639" s="18" t="s">
        <v>85</v>
      </c>
      <c r="AE639" s="18" t="s">
        <v>90</v>
      </c>
      <c r="AF639" s="18" t="s">
        <v>177</v>
      </c>
      <c r="AG639" s="18" t="s">
        <v>139</v>
      </c>
      <c r="AH639" s="18" t="s">
        <v>165</v>
      </c>
      <c r="AI639" s="18" t="s">
        <v>94</v>
      </c>
      <c r="AJ639" s="19">
        <v>44912</v>
      </c>
      <c r="AK639" s="22" t="s">
        <v>95</v>
      </c>
      <c r="AL639" s="18" t="s">
        <v>95</v>
      </c>
      <c r="AM639" s="18" t="s">
        <v>95</v>
      </c>
      <c r="AN639" s="18" t="s">
        <v>95</v>
      </c>
      <c r="AO639" s="18" t="s">
        <v>95</v>
      </c>
      <c r="AP639" s="18" t="s">
        <v>95</v>
      </c>
      <c r="AQ639" s="18" t="s">
        <v>95</v>
      </c>
      <c r="AR639" s="18" t="s">
        <v>95</v>
      </c>
      <c r="AS639" s="18" t="s">
        <v>83</v>
      </c>
      <c r="AT639" s="18" t="s">
        <v>83</v>
      </c>
      <c r="AU639" s="18" t="s">
        <v>81</v>
      </c>
      <c r="AV639" s="18" t="s">
        <v>95</v>
      </c>
      <c r="AW639" s="18" t="s">
        <v>95</v>
      </c>
      <c r="AX639" s="18"/>
      <c r="AY639" s="18" t="str">
        <f>Pospago[[#This Row],[NUM_TELEFONICO]]&amp;"POSPAGOSI"</f>
        <v>987992243POSPAGOSI</v>
      </c>
      <c r="AZ639" s="18" t="str">
        <f>VLOOKUP(Pospago[[#This Row],[NOM_PLAZA_FINAL]],[1]!Locales[#Data],3,0)</f>
        <v>TIENDA RECREO</v>
      </c>
      <c r="BA639" s="18" t="str">
        <f>IFERROR(VLOOKUP(Pospago[[#This Row],[USUARIO]],[1]!Personal[#Data],6,0),"EJECUTIVO NO REGISTRADO")</f>
        <v>VARGAS REYES LUIS EDUARDO</v>
      </c>
      <c r="BB639" s="18" t="str">
        <f>Pospago[[#This Row],[TIPO_MOVIMIENTO]]&amp;" "&amp;Pospago[[#This Row],[FORMA_PAGO_FINAL]]</f>
        <v>TRANSFERENCIAS PAGO EN CAJA</v>
      </c>
      <c r="BC639" s="18">
        <f>DAY(Pospago[[#This Row],[FECHA_ALTA]])</f>
        <v>17</v>
      </c>
      <c r="BD639" s="18">
        <f>IF(Pospago[[#This Row],[TARIFA_BASICA]]=11.42,1,0)</f>
        <v>0</v>
      </c>
      <c r="BE639" s="18">
        <f>IF(Pospago[[#This Row],[PLANES TELEVENTAS]]="SI",1,0)</f>
        <v>0</v>
      </c>
      <c r="BF639" s="18">
        <f>1</f>
        <v>1</v>
      </c>
      <c r="BG639" s="18">
        <f>IF(OR(Pospago[[#This Row],[TARIFA_BASICA]]=11.42,Pospago[[#This Row],[PLANES TELEVENTAS]]="SI"),1,0)</f>
        <v>0</v>
      </c>
      <c r="BH639" s="18" t="str">
        <f>IF(MID(Pospago[[#This Row],[PlanDesc]],1,4) = "PLAN","POSPAGO",IF(MID(Pospago[[#This Row],[PlanDesc]],1,4)="FULL","FULL MEGAS","PREVIOPAGO"))</f>
        <v>PREVIOPAGO</v>
      </c>
      <c r="BI6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39" s="21">
        <f>Pospago[[#This Row],[TARIFA_BASICA]]*1.5</f>
        <v>21.419999999999998</v>
      </c>
    </row>
    <row r="640" spans="1:63" x14ac:dyDescent="0.25">
      <c r="A640" s="18" t="s">
        <v>154</v>
      </c>
      <c r="B640" s="18" t="s">
        <v>4129</v>
      </c>
      <c r="C640" s="18" t="s">
        <v>4130</v>
      </c>
      <c r="D640" s="19">
        <v>44908</v>
      </c>
      <c r="E640" s="18" t="s">
        <v>67</v>
      </c>
      <c r="F640" s="18" t="s">
        <v>4131</v>
      </c>
      <c r="G640" s="18" t="s">
        <v>4132</v>
      </c>
      <c r="H640" s="18" t="s">
        <v>159</v>
      </c>
      <c r="I640" s="18" t="s">
        <v>71</v>
      </c>
      <c r="J640" s="18" t="s">
        <v>258</v>
      </c>
      <c r="K640" s="18" t="s">
        <v>132</v>
      </c>
      <c r="L640" s="20" t="s">
        <v>4133</v>
      </c>
      <c r="M640" s="18" t="s">
        <v>75</v>
      </c>
      <c r="N640" s="20" t="s">
        <v>4134</v>
      </c>
      <c r="O640" s="18" t="s">
        <v>164</v>
      </c>
      <c r="P640" s="18" t="s">
        <v>78</v>
      </c>
      <c r="Q640" s="19">
        <v>44914</v>
      </c>
      <c r="R640" s="21">
        <v>11.42</v>
      </c>
      <c r="S640" s="18" t="s">
        <v>79</v>
      </c>
      <c r="T640" s="18" t="s">
        <v>80</v>
      </c>
      <c r="U640" s="18" t="s">
        <v>83</v>
      </c>
      <c r="V640" s="18" t="s">
        <v>95</v>
      </c>
      <c r="W640" s="18" t="s">
        <v>95</v>
      </c>
      <c r="X640" s="18" t="s">
        <v>84</v>
      </c>
      <c r="Y640" s="18" t="s">
        <v>85</v>
      </c>
      <c r="Z640" s="18" t="s">
        <v>86</v>
      </c>
      <c r="AA640" s="18" t="s">
        <v>87</v>
      </c>
      <c r="AB640" s="18" t="s">
        <v>1415</v>
      </c>
      <c r="AC640" s="18" t="s">
        <v>1416</v>
      </c>
      <c r="AD640" s="18" t="s">
        <v>85</v>
      </c>
      <c r="AE640" s="18" t="s">
        <v>90</v>
      </c>
      <c r="AF640" s="18" t="s">
        <v>91</v>
      </c>
      <c r="AG640" s="18" t="s">
        <v>92</v>
      </c>
      <c r="AH640" s="18" t="s">
        <v>165</v>
      </c>
      <c r="AI640" s="18" t="s">
        <v>94</v>
      </c>
      <c r="AJ640" s="19">
        <v>44908</v>
      </c>
      <c r="AK640" s="22" t="s">
        <v>95</v>
      </c>
      <c r="AL640" s="18" t="s">
        <v>95</v>
      </c>
      <c r="AM640" s="18" t="s">
        <v>95</v>
      </c>
      <c r="AN640" s="18" t="s">
        <v>95</v>
      </c>
      <c r="AO640" s="18" t="s">
        <v>95</v>
      </c>
      <c r="AP640" s="18" t="s">
        <v>95</v>
      </c>
      <c r="AQ640" s="18" t="s">
        <v>95</v>
      </c>
      <c r="AR640" s="18" t="s">
        <v>95</v>
      </c>
      <c r="AS640" s="18" t="s">
        <v>83</v>
      </c>
      <c r="AT640" s="18" t="s">
        <v>83</v>
      </c>
      <c r="AU640" s="18" t="s">
        <v>81</v>
      </c>
      <c r="AV640" s="18" t="s">
        <v>95</v>
      </c>
      <c r="AW640" s="18" t="s">
        <v>95</v>
      </c>
      <c r="AX640" s="18"/>
      <c r="AY640" s="18" t="str">
        <f>Pospago[[#This Row],[NUM_TELEFONICO]]&amp;"POSPAGOSI"</f>
        <v>987994634POSPAGOSI</v>
      </c>
      <c r="AZ640" s="18" t="str">
        <f>VLOOKUP(Pospago[[#This Row],[NOM_PLAZA_FINAL]],[1]!Locales[#Data],3,0)</f>
        <v>TIENDA CUENCA CENTRO</v>
      </c>
      <c r="BA640" s="18" t="str">
        <f>IFERROR(VLOOKUP(Pospago[[#This Row],[USUARIO]],[1]!Personal[#Data],6,0),"EJECUTIVO NO REGISTRADO")</f>
        <v>PATIÑO URGILES DIANA CATALINA</v>
      </c>
      <c r="BB640" s="18" t="str">
        <f>Pospago[[#This Row],[TIPO_MOVIMIENTO]]&amp;" "&amp;Pospago[[#This Row],[FORMA_PAGO_FINAL]]</f>
        <v>TRANSFERENCIAS DOMICILIADO</v>
      </c>
      <c r="BC640" s="18">
        <f>DAY(Pospago[[#This Row],[FECHA_ALTA]])</f>
        <v>13</v>
      </c>
      <c r="BD640" s="18">
        <f>IF(Pospago[[#This Row],[TARIFA_BASICA]]=11.42,1,0)</f>
        <v>1</v>
      </c>
      <c r="BE640" s="18">
        <f>IF(Pospago[[#This Row],[PLANES TELEVENTAS]]="SI",1,0)</f>
        <v>0</v>
      </c>
      <c r="BF640" s="18">
        <f>1</f>
        <v>1</v>
      </c>
      <c r="BG640" s="18">
        <f>IF(OR(Pospago[[#This Row],[TARIFA_BASICA]]=11.42,Pospago[[#This Row],[PLANES TELEVENTAS]]="SI"),1,0)</f>
        <v>1</v>
      </c>
      <c r="BH640" s="18" t="str">
        <f>IF(MID(Pospago[[#This Row],[PlanDesc]],1,4) = "PLAN","POSPAGO",IF(MID(Pospago[[#This Row],[PlanDesc]],1,4)="FULL","FULL MEGAS","PREVIOPAGO"))</f>
        <v>PREVIOPAGO</v>
      </c>
      <c r="BI6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40" s="21">
        <f>Pospago[[#This Row],[TARIFA_BASICA]]*1.5</f>
        <v>17.13</v>
      </c>
    </row>
    <row r="641" spans="1:63" x14ac:dyDescent="0.25">
      <c r="A641" s="18" t="s">
        <v>64</v>
      </c>
      <c r="B641" s="18" t="s">
        <v>4135</v>
      </c>
      <c r="C641" s="18" t="s">
        <v>4136</v>
      </c>
      <c r="D641" s="19">
        <v>44901</v>
      </c>
      <c r="E641" s="18" t="s">
        <v>67</v>
      </c>
      <c r="F641" s="18" t="s">
        <v>4137</v>
      </c>
      <c r="G641" s="18" t="s">
        <v>4138</v>
      </c>
      <c r="H641" s="18" t="s">
        <v>70</v>
      </c>
      <c r="I641" s="18" t="s">
        <v>160</v>
      </c>
      <c r="J641" s="18" t="s">
        <v>195</v>
      </c>
      <c r="K641" s="18" t="s">
        <v>132</v>
      </c>
      <c r="L641" s="20" t="s">
        <v>4139</v>
      </c>
      <c r="M641" s="18" t="s">
        <v>75</v>
      </c>
      <c r="N641" s="20" t="s">
        <v>4140</v>
      </c>
      <c r="O641" s="18" t="s">
        <v>77</v>
      </c>
      <c r="P641" s="18" t="s">
        <v>78</v>
      </c>
      <c r="Q641" s="19">
        <v>44914</v>
      </c>
      <c r="R641" s="21">
        <v>14.28</v>
      </c>
      <c r="S641" s="18" t="s">
        <v>79</v>
      </c>
      <c r="T641" s="18" t="s">
        <v>135</v>
      </c>
      <c r="U641" s="18" t="s">
        <v>83</v>
      </c>
      <c r="V641" s="18" t="s">
        <v>95</v>
      </c>
      <c r="W641" s="18" t="s">
        <v>83</v>
      </c>
      <c r="X641" s="18" t="s">
        <v>84</v>
      </c>
      <c r="Y641" s="18" t="s">
        <v>85</v>
      </c>
      <c r="Z641" s="18" t="s">
        <v>86</v>
      </c>
      <c r="AA641" s="18" t="s">
        <v>87</v>
      </c>
      <c r="AB641" s="18" t="s">
        <v>478</v>
      </c>
      <c r="AC641" s="18" t="s">
        <v>479</v>
      </c>
      <c r="AD641" s="18" t="s">
        <v>85</v>
      </c>
      <c r="AE641" s="18" t="s">
        <v>90</v>
      </c>
      <c r="AF641" s="18" t="s">
        <v>138</v>
      </c>
      <c r="AG641" s="18" t="s">
        <v>139</v>
      </c>
      <c r="AH641" s="18" t="s">
        <v>93</v>
      </c>
      <c r="AI641" s="18" t="s">
        <v>94</v>
      </c>
      <c r="AJ641" s="19">
        <v>44901</v>
      </c>
      <c r="AK641" s="22" t="s">
        <v>95</v>
      </c>
      <c r="AL641" s="18" t="s">
        <v>95</v>
      </c>
      <c r="AM641" s="18" t="s">
        <v>95</v>
      </c>
      <c r="AN641" s="18" t="s">
        <v>95</v>
      </c>
      <c r="AO641" s="18" t="s">
        <v>95</v>
      </c>
      <c r="AP641" s="18" t="s">
        <v>95</v>
      </c>
      <c r="AQ641" s="18" t="s">
        <v>95</v>
      </c>
      <c r="AR641" s="18" t="s">
        <v>95</v>
      </c>
      <c r="AS641" s="18" t="s">
        <v>83</v>
      </c>
      <c r="AT641" s="18" t="s">
        <v>83</v>
      </c>
      <c r="AU641" s="18" t="s">
        <v>81</v>
      </c>
      <c r="AV641" s="18" t="s">
        <v>95</v>
      </c>
      <c r="AW641" s="18" t="s">
        <v>95</v>
      </c>
      <c r="AX641" s="18"/>
      <c r="AY641" s="18" t="str">
        <f>Pospago[[#This Row],[NUM_TELEFONICO]]&amp;"POSPAGOSI"</f>
        <v>987996981POSPAGOSI</v>
      </c>
      <c r="AZ641" s="18" t="str">
        <f>VLOOKUP(Pospago[[#This Row],[NOM_PLAZA_FINAL]],[1]!Locales[#Data],3,0)</f>
        <v>TIENDA AMERICA</v>
      </c>
      <c r="BA641" s="18" t="str">
        <f>IFERROR(VLOOKUP(Pospago[[#This Row],[USUARIO]],[1]!Personal[#Data],6,0),"EJECUTIVO NO REGISTRADO")</f>
        <v>REINO TUFINO PAULTEH KATHERINE</v>
      </c>
      <c r="BB641" s="18" t="str">
        <f>Pospago[[#This Row],[TIPO_MOVIMIENTO]]&amp;" "&amp;Pospago[[#This Row],[FORMA_PAGO_FINAL]]</f>
        <v>ALTAS DOMICILIADO</v>
      </c>
      <c r="BC641" s="18">
        <f>DAY(Pospago[[#This Row],[FECHA_ALTA]])</f>
        <v>6</v>
      </c>
      <c r="BD641" s="18">
        <f>IF(Pospago[[#This Row],[TARIFA_BASICA]]=11.42,1,0)</f>
        <v>0</v>
      </c>
      <c r="BE641" s="18">
        <f>IF(Pospago[[#This Row],[PLANES TELEVENTAS]]="SI",1,0)</f>
        <v>0</v>
      </c>
      <c r="BF641" s="18">
        <f>1</f>
        <v>1</v>
      </c>
      <c r="BG641" s="18">
        <f>IF(OR(Pospago[[#This Row],[TARIFA_BASICA]]=11.42,Pospago[[#This Row],[PLANES TELEVENTAS]]="SI"),1,0)</f>
        <v>0</v>
      </c>
      <c r="BH641" s="18" t="str">
        <f>IF(MID(Pospago[[#This Row],[PlanDesc]],1,4) = "PLAN","POSPAGO",IF(MID(Pospago[[#This Row],[PlanDesc]],1,4)="FULL","FULL MEGAS","PREVIOPAGO"))</f>
        <v>PREVIOPAGO</v>
      </c>
      <c r="BI6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41" s="21">
        <f>Pospago[[#This Row],[TARIFA_BASICA]]*1.5</f>
        <v>21.419999999999998</v>
      </c>
    </row>
    <row r="642" spans="1:63" x14ac:dyDescent="0.25">
      <c r="A642" s="18" t="s">
        <v>154</v>
      </c>
      <c r="B642" s="18" t="s">
        <v>4141</v>
      </c>
      <c r="C642" s="18" t="s">
        <v>4142</v>
      </c>
      <c r="D642" s="19">
        <v>44900</v>
      </c>
      <c r="E642" s="18" t="s">
        <v>67</v>
      </c>
      <c r="F642" s="18" t="s">
        <v>4143</v>
      </c>
      <c r="G642" s="18" t="s">
        <v>4144</v>
      </c>
      <c r="H642" s="18" t="s">
        <v>159</v>
      </c>
      <c r="I642" s="18" t="s">
        <v>1357</v>
      </c>
      <c r="J642" s="18" t="s">
        <v>2022</v>
      </c>
      <c r="K642" s="18" t="s">
        <v>73</v>
      </c>
      <c r="L642" s="20" t="s">
        <v>4145</v>
      </c>
      <c r="M642" s="18" t="s">
        <v>75</v>
      </c>
      <c r="N642" s="20" t="s">
        <v>4146</v>
      </c>
      <c r="O642" s="18" t="s">
        <v>164</v>
      </c>
      <c r="P642" s="18" t="s">
        <v>78</v>
      </c>
      <c r="Q642" s="19">
        <v>44914</v>
      </c>
      <c r="R642" s="21">
        <v>11.42</v>
      </c>
      <c r="S642" s="18" t="s">
        <v>79</v>
      </c>
      <c r="T642" s="18" t="s">
        <v>80</v>
      </c>
      <c r="U642" s="18" t="s">
        <v>83</v>
      </c>
      <c r="V642" s="18" t="s">
        <v>95</v>
      </c>
      <c r="W642" s="18" t="s">
        <v>95</v>
      </c>
      <c r="X642" s="18" t="s">
        <v>84</v>
      </c>
      <c r="Y642" s="18" t="s">
        <v>85</v>
      </c>
      <c r="Z642" s="18" t="s">
        <v>86</v>
      </c>
      <c r="AA642" s="18" t="s">
        <v>87</v>
      </c>
      <c r="AB642" s="18" t="s">
        <v>880</v>
      </c>
      <c r="AC642" s="18" t="s">
        <v>881</v>
      </c>
      <c r="AD642" s="18" t="s">
        <v>85</v>
      </c>
      <c r="AE642" s="18" t="s">
        <v>90</v>
      </c>
      <c r="AF642" s="18" t="s">
        <v>91</v>
      </c>
      <c r="AG642" s="18" t="s">
        <v>92</v>
      </c>
      <c r="AH642" s="18" t="s">
        <v>165</v>
      </c>
      <c r="AI642" s="18" t="s">
        <v>94</v>
      </c>
      <c r="AJ642" s="19">
        <v>44900</v>
      </c>
      <c r="AK642" s="22" t="s">
        <v>95</v>
      </c>
      <c r="AL642" s="18" t="s">
        <v>95</v>
      </c>
      <c r="AM642" s="18" t="s">
        <v>95</v>
      </c>
      <c r="AN642" s="18" t="s">
        <v>95</v>
      </c>
      <c r="AO642" s="18" t="s">
        <v>95</v>
      </c>
      <c r="AP642" s="18" t="s">
        <v>95</v>
      </c>
      <c r="AQ642" s="18" t="s">
        <v>95</v>
      </c>
      <c r="AR642" s="18" t="s">
        <v>95</v>
      </c>
      <c r="AS642" s="18" t="s">
        <v>83</v>
      </c>
      <c r="AT642" s="18" t="s">
        <v>81</v>
      </c>
      <c r="AU642" s="18" t="s">
        <v>81</v>
      </c>
      <c r="AV642" s="18" t="s">
        <v>95</v>
      </c>
      <c r="AW642" s="18" t="s">
        <v>95</v>
      </c>
      <c r="AX642" s="18"/>
      <c r="AY642" s="18" t="str">
        <f>Pospago[[#This Row],[NUM_TELEFONICO]]&amp;"POSPAGOSI"</f>
        <v>987999900POSPAGOSI</v>
      </c>
      <c r="AZ642" s="18" t="str">
        <f>VLOOKUP(Pospago[[#This Row],[NOM_PLAZA_FINAL]],[1]!Locales[#Data],3,0)</f>
        <v>TIENDA CUENCA CENTRO</v>
      </c>
      <c r="BA642" s="18" t="str">
        <f>IFERROR(VLOOKUP(Pospago[[#This Row],[USUARIO]],[1]!Personal[#Data],6,0),"EJECUTIVO NO REGISTRADO")</f>
        <v>LUNA JACHO ANDREA GABRIELA</v>
      </c>
      <c r="BB642" s="18" t="str">
        <f>Pospago[[#This Row],[TIPO_MOVIMIENTO]]&amp;" "&amp;Pospago[[#This Row],[FORMA_PAGO_FINAL]]</f>
        <v>TRANSFERENCIAS DOMICILIADO</v>
      </c>
      <c r="BC642" s="18">
        <f>DAY(Pospago[[#This Row],[FECHA_ALTA]])</f>
        <v>5</v>
      </c>
      <c r="BD642" s="18">
        <f>IF(Pospago[[#This Row],[TARIFA_BASICA]]=11.42,1,0)</f>
        <v>1</v>
      </c>
      <c r="BE642" s="18">
        <f>IF(Pospago[[#This Row],[PLANES TELEVENTAS]]="SI",1,0)</f>
        <v>1</v>
      </c>
      <c r="BF642" s="18">
        <f>1</f>
        <v>1</v>
      </c>
      <c r="BG642" s="18">
        <f>IF(OR(Pospago[[#This Row],[TARIFA_BASICA]]=11.42,Pospago[[#This Row],[PLANES TELEVENTAS]]="SI"),1,0)</f>
        <v>1</v>
      </c>
      <c r="BH642" s="18" t="str">
        <f>IF(MID(Pospago[[#This Row],[PlanDesc]],1,4) = "PLAN","POSPAGO",IF(MID(Pospago[[#This Row],[PlanDesc]],1,4)="FULL","FULL MEGAS","PREVIOPAGO"))</f>
        <v>PREVIOPAGO</v>
      </c>
      <c r="BI6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42" s="21">
        <f>Pospago[[#This Row],[TARIFA_BASICA]]*1.5</f>
        <v>17.13</v>
      </c>
    </row>
    <row r="643" spans="1:63" x14ac:dyDescent="0.25">
      <c r="A643" s="18" t="s">
        <v>154</v>
      </c>
      <c r="B643" s="18" t="s">
        <v>4147</v>
      </c>
      <c r="C643" s="18" t="s">
        <v>4148</v>
      </c>
      <c r="D643" s="19">
        <v>44908</v>
      </c>
      <c r="E643" s="18" t="s">
        <v>67</v>
      </c>
      <c r="F643" s="18" t="s">
        <v>4149</v>
      </c>
      <c r="G643" s="18" t="s">
        <v>4150</v>
      </c>
      <c r="H643" s="18" t="s">
        <v>159</v>
      </c>
      <c r="I643" s="18" t="s">
        <v>194</v>
      </c>
      <c r="J643" s="18" t="s">
        <v>268</v>
      </c>
      <c r="K643" s="18" t="s">
        <v>73</v>
      </c>
      <c r="L643" s="20" t="s">
        <v>4151</v>
      </c>
      <c r="M643" s="18" t="s">
        <v>75</v>
      </c>
      <c r="N643" s="20" t="s">
        <v>4152</v>
      </c>
      <c r="O643" s="18" t="s">
        <v>164</v>
      </c>
      <c r="P643" s="18" t="s">
        <v>78</v>
      </c>
      <c r="Q643" s="19">
        <v>44914</v>
      </c>
      <c r="R643" s="21">
        <v>14.28</v>
      </c>
      <c r="S643" s="18" t="s">
        <v>79</v>
      </c>
      <c r="T643" s="18" t="s">
        <v>232</v>
      </c>
      <c r="U643" s="18" t="s">
        <v>83</v>
      </c>
      <c r="V643" s="18" t="s">
        <v>95</v>
      </c>
      <c r="W643" s="18" t="s">
        <v>95</v>
      </c>
      <c r="X643" s="18" t="s">
        <v>118</v>
      </c>
      <c r="Y643" s="18" t="s">
        <v>85</v>
      </c>
      <c r="Z643" s="18" t="s">
        <v>86</v>
      </c>
      <c r="AA643" s="18" t="s">
        <v>119</v>
      </c>
      <c r="AB643" s="18" t="s">
        <v>280</v>
      </c>
      <c r="AC643" s="18" t="s">
        <v>281</v>
      </c>
      <c r="AD643" s="18" t="s">
        <v>85</v>
      </c>
      <c r="AE643" s="18" t="s">
        <v>90</v>
      </c>
      <c r="AF643" s="18" t="s">
        <v>235</v>
      </c>
      <c r="AG643" s="18" t="s">
        <v>139</v>
      </c>
      <c r="AH643" s="18" t="s">
        <v>165</v>
      </c>
      <c r="AI643" s="18" t="s">
        <v>94</v>
      </c>
      <c r="AJ643" s="19">
        <v>44908</v>
      </c>
      <c r="AK643" s="22" t="s">
        <v>95</v>
      </c>
      <c r="AL643" s="18" t="s">
        <v>95</v>
      </c>
      <c r="AM643" s="18" t="s">
        <v>95</v>
      </c>
      <c r="AN643" s="18" t="s">
        <v>95</v>
      </c>
      <c r="AO643" s="18" t="s">
        <v>95</v>
      </c>
      <c r="AP643" s="18" t="s">
        <v>95</v>
      </c>
      <c r="AQ643" s="18" t="s">
        <v>95</v>
      </c>
      <c r="AR643" s="18" t="s">
        <v>95</v>
      </c>
      <c r="AS643" s="18" t="s">
        <v>83</v>
      </c>
      <c r="AT643" s="18" t="s">
        <v>81</v>
      </c>
      <c r="AU643" s="18" t="s">
        <v>81</v>
      </c>
      <c r="AV643" s="18" t="s">
        <v>95</v>
      </c>
      <c r="AW643" s="18" t="s">
        <v>95</v>
      </c>
      <c r="AX643" s="18"/>
      <c r="AY643" s="18" t="str">
        <f>Pospago[[#This Row],[NUM_TELEFONICO]]&amp;"POSPAGOSI"</f>
        <v>988159857POSPAGOSI</v>
      </c>
      <c r="AZ643" s="18" t="str">
        <f>VLOOKUP(Pospago[[#This Row],[NOM_PLAZA_FINAL]],[1]!Locales[#Data],3,0)</f>
        <v>TIENDA CONDADO</v>
      </c>
      <c r="BA643" s="18" t="str">
        <f>IFERROR(VLOOKUP(Pospago[[#This Row],[USUARIO]],[1]!Personal[#Data],6,0),"EJECUTIVO NO REGISTRADO")</f>
        <v>GUACHAMIN CAZA HUGO ADRIAN</v>
      </c>
      <c r="BB643" s="18" t="str">
        <f>Pospago[[#This Row],[TIPO_MOVIMIENTO]]&amp;" "&amp;Pospago[[#This Row],[FORMA_PAGO_FINAL]]</f>
        <v>TRANSFERENCIAS PAGO EN CAJA</v>
      </c>
      <c r="BC643" s="18">
        <f>DAY(Pospago[[#This Row],[FECHA_ALTA]])</f>
        <v>13</v>
      </c>
      <c r="BD643" s="18">
        <f>IF(Pospago[[#This Row],[TARIFA_BASICA]]=11.42,1,0)</f>
        <v>0</v>
      </c>
      <c r="BE643" s="18">
        <f>IF(Pospago[[#This Row],[PLANES TELEVENTAS]]="SI",1,0)</f>
        <v>1</v>
      </c>
      <c r="BF643" s="18">
        <f>1</f>
        <v>1</v>
      </c>
      <c r="BG643" s="18">
        <f>IF(OR(Pospago[[#This Row],[TARIFA_BASICA]]=11.42,Pospago[[#This Row],[PLANES TELEVENTAS]]="SI"),1,0)</f>
        <v>1</v>
      </c>
      <c r="BH643" s="18" t="str">
        <f>IF(MID(Pospago[[#This Row],[PlanDesc]],1,4) = "PLAN","POSPAGO",IF(MID(Pospago[[#This Row],[PlanDesc]],1,4)="FULL","FULL MEGAS","PREVIOPAGO"))</f>
        <v>PREVIOPAGO</v>
      </c>
      <c r="BI6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43" s="21">
        <f>Pospago[[#This Row],[TARIFA_BASICA]]*1.5</f>
        <v>21.419999999999998</v>
      </c>
    </row>
    <row r="644" spans="1:63" x14ac:dyDescent="0.25">
      <c r="A644" s="18" t="s">
        <v>64</v>
      </c>
      <c r="B644" s="18" t="s">
        <v>4153</v>
      </c>
      <c r="C644" s="18" t="s">
        <v>4154</v>
      </c>
      <c r="D644" s="19">
        <v>44907</v>
      </c>
      <c r="E644" s="18" t="s">
        <v>67</v>
      </c>
      <c r="F644" s="18" t="s">
        <v>4155</v>
      </c>
      <c r="G644" s="18" t="s">
        <v>4156</v>
      </c>
      <c r="H644" s="18" t="s">
        <v>70</v>
      </c>
      <c r="I644" s="18" t="s">
        <v>4157</v>
      </c>
      <c r="J644" s="18" t="s">
        <v>4158</v>
      </c>
      <c r="K644" s="18" t="s">
        <v>4159</v>
      </c>
      <c r="L644" s="20" t="s">
        <v>4160</v>
      </c>
      <c r="M644" s="18" t="s">
        <v>75</v>
      </c>
      <c r="N644" s="20" t="s">
        <v>4161</v>
      </c>
      <c r="O644" s="18" t="s">
        <v>77</v>
      </c>
      <c r="P644" s="18" t="s">
        <v>78</v>
      </c>
      <c r="Q644" s="19">
        <v>44914</v>
      </c>
      <c r="R644" s="21">
        <v>32.130000000000003</v>
      </c>
      <c r="S644" s="18" t="s">
        <v>79</v>
      </c>
      <c r="T644" s="18" t="s">
        <v>174</v>
      </c>
      <c r="U644" s="18" t="s">
        <v>81</v>
      </c>
      <c r="V644" s="18" t="s">
        <v>82</v>
      </c>
      <c r="W644" s="18" t="s">
        <v>83</v>
      </c>
      <c r="X644" s="18" t="s">
        <v>215</v>
      </c>
      <c r="Y644" s="18" t="s">
        <v>85</v>
      </c>
      <c r="Z644" s="18" t="s">
        <v>86</v>
      </c>
      <c r="AA644" s="18" t="s">
        <v>87</v>
      </c>
      <c r="AB644" s="18" t="s">
        <v>2159</v>
      </c>
      <c r="AC644" s="18" t="s">
        <v>2160</v>
      </c>
      <c r="AD644" s="18" t="s">
        <v>85</v>
      </c>
      <c r="AE644" s="18" t="s">
        <v>90</v>
      </c>
      <c r="AF644" s="18" t="s">
        <v>177</v>
      </c>
      <c r="AG644" s="18" t="s">
        <v>139</v>
      </c>
      <c r="AH644" s="18" t="s">
        <v>93</v>
      </c>
      <c r="AI644" s="18" t="s">
        <v>94</v>
      </c>
      <c r="AJ644" s="19">
        <v>44907</v>
      </c>
      <c r="AK644" s="22" t="s">
        <v>95</v>
      </c>
      <c r="AL644" s="18" t="s">
        <v>95</v>
      </c>
      <c r="AM644" s="18" t="s">
        <v>95</v>
      </c>
      <c r="AN644" s="18" t="s">
        <v>95</v>
      </c>
      <c r="AO644" s="18" t="s">
        <v>95</v>
      </c>
      <c r="AP644" s="18" t="s">
        <v>95</v>
      </c>
      <c r="AQ644" s="18" t="s">
        <v>95</v>
      </c>
      <c r="AR644" s="18" t="s">
        <v>95</v>
      </c>
      <c r="AS644" s="18" t="s">
        <v>83</v>
      </c>
      <c r="AT644" s="18" t="s">
        <v>83</v>
      </c>
      <c r="AU644" s="18" t="s">
        <v>81</v>
      </c>
      <c r="AV644" s="18" t="s">
        <v>95</v>
      </c>
      <c r="AW644" s="18" t="s">
        <v>95</v>
      </c>
      <c r="AX644" s="18"/>
      <c r="AY644" s="18" t="str">
        <f>Pospago[[#This Row],[NUM_TELEFONICO]]&amp;"POSPAGOSI"</f>
        <v>988211110POSPAGOSI</v>
      </c>
      <c r="AZ644" s="18" t="str">
        <f>VLOOKUP(Pospago[[#This Row],[NOM_PLAZA_FINAL]],[1]!Locales[#Data],3,0)</f>
        <v>TIENDA RECREO</v>
      </c>
      <c r="BA644" s="18" t="str">
        <f>IFERROR(VLOOKUP(Pospago[[#This Row],[USUARIO]],[1]!Personal[#Data],6,0),"EJECUTIVO NO REGISTRADO")</f>
        <v>GUEVARA MAZA CRISTIAN FABIAN</v>
      </c>
      <c r="BB644" s="18" t="str">
        <f>Pospago[[#This Row],[TIPO_MOVIMIENTO]]&amp;" "&amp;Pospago[[#This Row],[FORMA_PAGO_FINAL]]</f>
        <v>ALTAS DOMICILIADO</v>
      </c>
      <c r="BC644" s="18">
        <f>DAY(Pospago[[#This Row],[FECHA_ALTA]])</f>
        <v>12</v>
      </c>
      <c r="BD644" s="18">
        <f>IF(Pospago[[#This Row],[TARIFA_BASICA]]=11.42,1,0)</f>
        <v>0</v>
      </c>
      <c r="BE644" s="18">
        <f>IF(Pospago[[#This Row],[PLANES TELEVENTAS]]="SI",1,0)</f>
        <v>0</v>
      </c>
      <c r="BF644" s="18">
        <f>1</f>
        <v>1</v>
      </c>
      <c r="BG644" s="18">
        <f>IF(OR(Pospago[[#This Row],[TARIFA_BASICA]]=11.42,Pospago[[#This Row],[PLANES TELEVENTAS]]="SI"),1,0)</f>
        <v>0</v>
      </c>
      <c r="BH644" s="18" t="str">
        <f>IF(MID(Pospago[[#This Row],[PlanDesc]],1,4) = "PLAN","POSPAGO",IF(MID(Pospago[[#This Row],[PlanDesc]],1,4)="FULL","FULL MEGAS","PREVIOPAGO"))</f>
        <v>PREVIOPAGO</v>
      </c>
      <c r="BI6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64.260000000000005</v>
      </c>
      <c r="BJ6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44" s="21">
        <f>Pospago[[#This Row],[TARIFA_BASICA]]*1.5</f>
        <v>48.195000000000007</v>
      </c>
    </row>
    <row r="645" spans="1:63" x14ac:dyDescent="0.25">
      <c r="A645" s="18" t="s">
        <v>154</v>
      </c>
      <c r="B645" s="18" t="s">
        <v>4162</v>
      </c>
      <c r="C645" s="18" t="s">
        <v>4163</v>
      </c>
      <c r="D645" s="19">
        <v>44903</v>
      </c>
      <c r="E645" s="18" t="s">
        <v>67</v>
      </c>
      <c r="F645" s="18" t="s">
        <v>4164</v>
      </c>
      <c r="G645" s="18" t="s">
        <v>4165</v>
      </c>
      <c r="H645" s="18" t="s">
        <v>159</v>
      </c>
      <c r="I645" s="18" t="s">
        <v>71</v>
      </c>
      <c r="J645" s="18" t="s">
        <v>258</v>
      </c>
      <c r="K645" s="18" t="s">
        <v>73</v>
      </c>
      <c r="L645" s="20" t="s">
        <v>4166</v>
      </c>
      <c r="M645" s="18" t="s">
        <v>287</v>
      </c>
      <c r="N645" s="20" t="s">
        <v>4167</v>
      </c>
      <c r="O645" s="18" t="s">
        <v>164</v>
      </c>
      <c r="P645" s="18" t="s">
        <v>78</v>
      </c>
      <c r="Q645" s="19">
        <v>44914</v>
      </c>
      <c r="R645" s="21">
        <v>11.42</v>
      </c>
      <c r="S645" s="18" t="s">
        <v>79</v>
      </c>
      <c r="T645" s="18" t="s">
        <v>148</v>
      </c>
      <c r="U645" s="18" t="s">
        <v>83</v>
      </c>
      <c r="V645" s="18" t="s">
        <v>95</v>
      </c>
      <c r="W645" s="18" t="s">
        <v>95</v>
      </c>
      <c r="X645" s="18" t="s">
        <v>215</v>
      </c>
      <c r="Y645" s="18" t="s">
        <v>85</v>
      </c>
      <c r="Z645" s="18" t="s">
        <v>86</v>
      </c>
      <c r="AA645" s="18" t="s">
        <v>87</v>
      </c>
      <c r="AB645" s="18" t="s">
        <v>385</v>
      </c>
      <c r="AC645" s="18" t="s">
        <v>386</v>
      </c>
      <c r="AD645" s="18" t="s">
        <v>85</v>
      </c>
      <c r="AE645" s="18" t="s">
        <v>90</v>
      </c>
      <c r="AF645" s="18" t="s">
        <v>151</v>
      </c>
      <c r="AG645" s="18" t="s">
        <v>92</v>
      </c>
      <c r="AH645" s="18" t="s">
        <v>165</v>
      </c>
      <c r="AI645" s="18" t="s">
        <v>94</v>
      </c>
      <c r="AJ645" s="19">
        <v>44903</v>
      </c>
      <c r="AK645" s="22">
        <v>44903</v>
      </c>
      <c r="AL645" s="18" t="s">
        <v>291</v>
      </c>
      <c r="AM645" s="18" t="s">
        <v>292</v>
      </c>
      <c r="AN645" s="18" t="s">
        <v>494</v>
      </c>
      <c r="AO645" s="18" t="s">
        <v>1022</v>
      </c>
      <c r="AP645" s="18">
        <v>1</v>
      </c>
      <c r="AQ645" s="18">
        <v>241.07142999999999</v>
      </c>
      <c r="AR645" s="18" t="s">
        <v>496</v>
      </c>
      <c r="AS645" s="18" t="s">
        <v>81</v>
      </c>
      <c r="AT645" s="18" t="s">
        <v>83</v>
      </c>
      <c r="AU645" s="18" t="s">
        <v>81</v>
      </c>
      <c r="AV645" s="18" t="s">
        <v>95</v>
      </c>
      <c r="AW645" s="18" t="s">
        <v>95</v>
      </c>
      <c r="AX645" s="18"/>
      <c r="AY645" s="18" t="str">
        <f>Pospago[[#This Row],[NUM_TELEFONICO]]&amp;"POSPAGOSI"</f>
        <v>988471463POSPAGOSI</v>
      </c>
      <c r="AZ645" s="18" t="str">
        <f>VLOOKUP(Pospago[[#This Row],[NOM_PLAZA_FINAL]],[1]!Locales[#Data],3,0)</f>
        <v>TIENDA CUENCA REMIGIO</v>
      </c>
      <c r="BA645" s="18" t="str">
        <f>IFERROR(VLOOKUP(Pospago[[#This Row],[USUARIO]],[1]!Personal[#Data],6,0),"EJECUTIVO NO REGISTRADO")</f>
        <v>RAMIREZ RUBIO NELLY LILIANA</v>
      </c>
      <c r="BB645" s="18" t="str">
        <f>Pospago[[#This Row],[TIPO_MOVIMIENTO]]&amp;" "&amp;Pospago[[#This Row],[FORMA_PAGO_FINAL]]</f>
        <v>TRANSFERENCIAS DOMICILIADO</v>
      </c>
      <c r="BC645" s="18">
        <f>DAY(Pospago[[#This Row],[FECHA_ALTA]])</f>
        <v>8</v>
      </c>
      <c r="BD645" s="18">
        <f>IF(Pospago[[#This Row],[TARIFA_BASICA]]=11.42,1,0)</f>
        <v>1</v>
      </c>
      <c r="BE645" s="18">
        <f>IF(Pospago[[#This Row],[PLANES TELEVENTAS]]="SI",1,0)</f>
        <v>0</v>
      </c>
      <c r="BF645" s="18">
        <f>1</f>
        <v>1</v>
      </c>
      <c r="BG645" s="18">
        <f>IF(OR(Pospago[[#This Row],[TARIFA_BASICA]]=11.42,Pospago[[#This Row],[PLANES TELEVENTAS]]="SI"),1,0)</f>
        <v>1</v>
      </c>
      <c r="BH645" s="18" t="str">
        <f>IF(MID(Pospago[[#This Row],[PlanDesc]],1,4) = "PLAN","POSPAGO",IF(MID(Pospago[[#This Row],[PlanDesc]],1,4)="FULL","FULL MEGAS","PREVIOPAGO"))</f>
        <v>PREVIOPAGO</v>
      </c>
      <c r="BI6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45" s="21">
        <f>Pospago[[#This Row],[TARIFA_BASICA]]*1.5</f>
        <v>17.13</v>
      </c>
    </row>
    <row r="646" spans="1:63" x14ac:dyDescent="0.25">
      <c r="A646" s="18" t="s">
        <v>64</v>
      </c>
      <c r="B646" s="18" t="s">
        <v>4168</v>
      </c>
      <c r="C646" s="18" t="s">
        <v>4169</v>
      </c>
      <c r="D646" s="19">
        <v>44901</v>
      </c>
      <c r="E646" s="18" t="s">
        <v>67</v>
      </c>
      <c r="F646" s="18" t="s">
        <v>4170</v>
      </c>
      <c r="G646" s="18" t="s">
        <v>4171</v>
      </c>
      <c r="H646" s="18" t="s">
        <v>70</v>
      </c>
      <c r="I646" s="18" t="s">
        <v>71</v>
      </c>
      <c r="J646" s="18" t="s">
        <v>72</v>
      </c>
      <c r="K646" s="18" t="s">
        <v>73</v>
      </c>
      <c r="L646" s="20" t="s">
        <v>4172</v>
      </c>
      <c r="M646" s="18" t="s">
        <v>75</v>
      </c>
      <c r="N646" s="20" t="s">
        <v>4173</v>
      </c>
      <c r="O646" s="18" t="s">
        <v>77</v>
      </c>
      <c r="P646" s="18" t="s">
        <v>78</v>
      </c>
      <c r="Q646" s="19">
        <v>44914</v>
      </c>
      <c r="R646" s="21">
        <v>11.42</v>
      </c>
      <c r="S646" s="18" t="s">
        <v>79</v>
      </c>
      <c r="T646" s="18" t="s">
        <v>80</v>
      </c>
      <c r="U646" s="18" t="s">
        <v>81</v>
      </c>
      <c r="V646" s="18" t="s">
        <v>82</v>
      </c>
      <c r="W646" s="18" t="s">
        <v>83</v>
      </c>
      <c r="X646" s="18" t="s">
        <v>84</v>
      </c>
      <c r="Y646" s="18" t="s">
        <v>85</v>
      </c>
      <c r="Z646" s="18" t="s">
        <v>86</v>
      </c>
      <c r="AA646" s="18" t="s">
        <v>87</v>
      </c>
      <c r="AB646" s="18" t="s">
        <v>289</v>
      </c>
      <c r="AC646" s="18" t="s">
        <v>290</v>
      </c>
      <c r="AD646" s="18" t="s">
        <v>85</v>
      </c>
      <c r="AE646" s="18" t="s">
        <v>90</v>
      </c>
      <c r="AF646" s="18" t="s">
        <v>91</v>
      </c>
      <c r="AG646" s="18" t="s">
        <v>92</v>
      </c>
      <c r="AH646" s="18" t="s">
        <v>93</v>
      </c>
      <c r="AI646" s="18" t="s">
        <v>94</v>
      </c>
      <c r="AJ646" s="19">
        <v>44901</v>
      </c>
      <c r="AK646" s="22" t="s">
        <v>95</v>
      </c>
      <c r="AL646" s="18" t="s">
        <v>95</v>
      </c>
      <c r="AM646" s="18" t="s">
        <v>95</v>
      </c>
      <c r="AN646" s="18" t="s">
        <v>95</v>
      </c>
      <c r="AO646" s="18" t="s">
        <v>95</v>
      </c>
      <c r="AP646" s="18" t="s">
        <v>95</v>
      </c>
      <c r="AQ646" s="18" t="s">
        <v>95</v>
      </c>
      <c r="AR646" s="18" t="s">
        <v>95</v>
      </c>
      <c r="AS646" s="18" t="s">
        <v>83</v>
      </c>
      <c r="AT646" s="18" t="s">
        <v>83</v>
      </c>
      <c r="AU646" s="18" t="s">
        <v>81</v>
      </c>
      <c r="AV646" s="18" t="s">
        <v>95</v>
      </c>
      <c r="AW646" s="18" t="s">
        <v>95</v>
      </c>
      <c r="AX646" s="18"/>
      <c r="AY646" s="18" t="str">
        <f>Pospago[[#This Row],[NUM_TELEFONICO]]&amp;"POSPAGOSI"</f>
        <v>988993494POSPAGOSI</v>
      </c>
      <c r="AZ646" s="18" t="str">
        <f>VLOOKUP(Pospago[[#This Row],[NOM_PLAZA_FINAL]],[1]!Locales[#Data],3,0)</f>
        <v>TIENDA CUENCA CENTRO</v>
      </c>
      <c r="BA646" s="18" t="str">
        <f>IFERROR(VLOOKUP(Pospago[[#This Row],[USUARIO]],[1]!Personal[#Data],6,0),"EJECUTIVO NO REGISTRADO")</f>
        <v>CALLE CHACA JORGE VINICIO</v>
      </c>
      <c r="BB646" s="18" t="str">
        <f>Pospago[[#This Row],[TIPO_MOVIMIENTO]]&amp;" "&amp;Pospago[[#This Row],[FORMA_PAGO_FINAL]]</f>
        <v>ALTAS DOMICILIADO</v>
      </c>
      <c r="BC646" s="18">
        <f>DAY(Pospago[[#This Row],[FECHA_ALTA]])</f>
        <v>6</v>
      </c>
      <c r="BD646" s="18">
        <f>IF(Pospago[[#This Row],[TARIFA_BASICA]]=11.42,1,0)</f>
        <v>1</v>
      </c>
      <c r="BE646" s="18">
        <f>IF(Pospago[[#This Row],[PLANES TELEVENTAS]]="SI",1,0)</f>
        <v>0</v>
      </c>
      <c r="BF646" s="18">
        <f>1</f>
        <v>1</v>
      </c>
      <c r="BG646" s="18">
        <f>IF(OR(Pospago[[#This Row],[TARIFA_BASICA]]=11.42,Pospago[[#This Row],[PLANES TELEVENTAS]]="SI"),1,0)</f>
        <v>1</v>
      </c>
      <c r="BH646" s="18" t="str">
        <f>IF(MID(Pospago[[#This Row],[PlanDesc]],1,4) = "PLAN","POSPAGO",IF(MID(Pospago[[#This Row],[PlanDesc]],1,4)="FULL","FULL MEGAS","PREVIOPAGO"))</f>
        <v>PREVIOPAGO</v>
      </c>
      <c r="BI6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6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46" s="21">
        <f>Pospago[[#This Row],[TARIFA_BASICA]]*1.5</f>
        <v>17.13</v>
      </c>
    </row>
    <row r="647" spans="1:63" x14ac:dyDescent="0.25">
      <c r="A647" s="18" t="s">
        <v>64</v>
      </c>
      <c r="B647" s="18" t="s">
        <v>4174</v>
      </c>
      <c r="C647" s="18" t="s">
        <v>4175</v>
      </c>
      <c r="D647" s="19">
        <v>44896</v>
      </c>
      <c r="E647" s="18" t="s">
        <v>67</v>
      </c>
      <c r="F647" s="18" t="s">
        <v>4176</v>
      </c>
      <c r="G647" s="18" t="s">
        <v>4177</v>
      </c>
      <c r="H647" s="18" t="s">
        <v>70</v>
      </c>
      <c r="I647" s="18" t="s">
        <v>359</v>
      </c>
      <c r="J647" s="18" t="s">
        <v>360</v>
      </c>
      <c r="K647" s="18" t="s">
        <v>73</v>
      </c>
      <c r="L647" s="20" t="s">
        <v>4178</v>
      </c>
      <c r="M647" s="18" t="s">
        <v>75</v>
      </c>
      <c r="N647" s="20" t="s">
        <v>4179</v>
      </c>
      <c r="O647" s="18" t="s">
        <v>768</v>
      </c>
      <c r="P647" s="18" t="s">
        <v>78</v>
      </c>
      <c r="Q647" s="19">
        <v>44914</v>
      </c>
      <c r="R647" s="21">
        <v>14.28</v>
      </c>
      <c r="S647" s="18" t="s">
        <v>79</v>
      </c>
      <c r="T647" s="18" t="s">
        <v>80</v>
      </c>
      <c r="U647" s="18" t="s">
        <v>81</v>
      </c>
      <c r="V647" s="18" t="s">
        <v>82</v>
      </c>
      <c r="W647" s="18" t="s">
        <v>83</v>
      </c>
      <c r="X647" s="18" t="s">
        <v>215</v>
      </c>
      <c r="Y647" s="18" t="s">
        <v>85</v>
      </c>
      <c r="Z647" s="18" t="s">
        <v>86</v>
      </c>
      <c r="AA647" s="18" t="s">
        <v>87</v>
      </c>
      <c r="AB647" s="18" t="s">
        <v>242</v>
      </c>
      <c r="AC647" s="18" t="s">
        <v>243</v>
      </c>
      <c r="AD647" s="18" t="s">
        <v>85</v>
      </c>
      <c r="AE647" s="18" t="s">
        <v>90</v>
      </c>
      <c r="AF647" s="18" t="s">
        <v>91</v>
      </c>
      <c r="AG647" s="18" t="s">
        <v>92</v>
      </c>
      <c r="AH647" s="18" t="s">
        <v>93</v>
      </c>
      <c r="AI647" s="18" t="s">
        <v>94</v>
      </c>
      <c r="AJ647" s="19">
        <v>44896</v>
      </c>
      <c r="AK647" s="22" t="s">
        <v>95</v>
      </c>
      <c r="AL647" s="18" t="s">
        <v>95</v>
      </c>
      <c r="AM647" s="18" t="s">
        <v>95</v>
      </c>
      <c r="AN647" s="18" t="s">
        <v>95</v>
      </c>
      <c r="AO647" s="18" t="s">
        <v>95</v>
      </c>
      <c r="AP647" s="18" t="s">
        <v>95</v>
      </c>
      <c r="AQ647" s="18" t="s">
        <v>95</v>
      </c>
      <c r="AR647" s="18" t="s">
        <v>95</v>
      </c>
      <c r="AS647" s="18" t="s">
        <v>83</v>
      </c>
      <c r="AT647" s="18" t="s">
        <v>83</v>
      </c>
      <c r="AU647" s="18" t="s">
        <v>83</v>
      </c>
      <c r="AV647" s="18" t="s">
        <v>95</v>
      </c>
      <c r="AW647" s="18" t="s">
        <v>95</v>
      </c>
      <c r="AX647" s="18"/>
      <c r="AY647" s="18" t="str">
        <f>Pospago[[#This Row],[NUM_TELEFONICO]]&amp;"POSPAGOSI"</f>
        <v>989039920POSPAGOSI</v>
      </c>
      <c r="AZ647" s="18" t="str">
        <f>VLOOKUP(Pospago[[#This Row],[NOM_PLAZA_FINAL]],[1]!Locales[#Data],3,0)</f>
        <v>TIENDA CUENCA CENTRO</v>
      </c>
      <c r="BA647" s="18" t="str">
        <f>IFERROR(VLOOKUP(Pospago[[#This Row],[USUARIO]],[1]!Personal[#Data],6,0),"EJECUTIVO NO REGISTRADO")</f>
        <v>VALLEJO DELEG ROMAN NICOLAS</v>
      </c>
      <c r="BB647" s="18" t="str">
        <f>Pospago[[#This Row],[TIPO_MOVIMIENTO]]&amp;" "&amp;Pospago[[#This Row],[FORMA_PAGO_FINAL]]</f>
        <v>ALTAS DOMICILIADO</v>
      </c>
      <c r="BC647" s="18">
        <f>DAY(Pospago[[#This Row],[FECHA_ALTA]])</f>
        <v>1</v>
      </c>
      <c r="BD647" s="18">
        <f>IF(Pospago[[#This Row],[TARIFA_BASICA]]=11.42,1,0)</f>
        <v>0</v>
      </c>
      <c r="BE647" s="18">
        <f>IF(Pospago[[#This Row],[PLANES TELEVENTAS]]="SI",1,0)</f>
        <v>0</v>
      </c>
      <c r="BF647" s="18">
        <f>1</f>
        <v>1</v>
      </c>
      <c r="BG647" s="18">
        <f>IF(OR(Pospago[[#This Row],[TARIFA_BASICA]]=11.42,Pospago[[#This Row],[PLANES TELEVENTAS]]="SI"),1,0)</f>
        <v>0</v>
      </c>
      <c r="BH647" s="18" t="str">
        <f>IF(MID(Pospago[[#This Row],[PlanDesc]],1,4) = "PLAN","POSPAGO",IF(MID(Pospago[[#This Row],[PlanDesc]],1,4)="FULL","FULL MEGAS","PREVIOPAGO"))</f>
        <v>POSPAGO</v>
      </c>
      <c r="BI6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47" s="21">
        <f>Pospago[[#This Row],[TARIFA_BASICA]]*1.5</f>
        <v>21.419999999999998</v>
      </c>
    </row>
    <row r="648" spans="1:63" x14ac:dyDescent="0.25">
      <c r="A648" s="18" t="s">
        <v>64</v>
      </c>
      <c r="B648" s="18" t="s">
        <v>4180</v>
      </c>
      <c r="C648" s="18" t="s">
        <v>4181</v>
      </c>
      <c r="D648" s="19">
        <v>44904</v>
      </c>
      <c r="E648" s="18" t="s">
        <v>67</v>
      </c>
      <c r="F648" s="18" t="s">
        <v>4182</v>
      </c>
      <c r="G648" s="18" t="s">
        <v>4183</v>
      </c>
      <c r="H648" s="18" t="s">
        <v>70</v>
      </c>
      <c r="I648" s="18" t="s">
        <v>71</v>
      </c>
      <c r="J648" s="18" t="s">
        <v>72</v>
      </c>
      <c r="K648" s="18" t="s">
        <v>73</v>
      </c>
      <c r="L648" s="20" t="s">
        <v>4184</v>
      </c>
      <c r="M648" s="18" t="s">
        <v>75</v>
      </c>
      <c r="N648" s="20" t="s">
        <v>4185</v>
      </c>
      <c r="O648" s="18" t="s">
        <v>77</v>
      </c>
      <c r="P648" s="18" t="s">
        <v>78</v>
      </c>
      <c r="Q648" s="19">
        <v>44914</v>
      </c>
      <c r="R648" s="21">
        <v>11.42</v>
      </c>
      <c r="S648" s="18" t="s">
        <v>79</v>
      </c>
      <c r="T648" s="18" t="s">
        <v>80</v>
      </c>
      <c r="U648" s="18" t="s">
        <v>81</v>
      </c>
      <c r="V648" s="18" t="s">
        <v>1029</v>
      </c>
      <c r="W648" s="18" t="s">
        <v>83</v>
      </c>
      <c r="X648" s="18" t="s">
        <v>84</v>
      </c>
      <c r="Y648" s="18" t="s">
        <v>85</v>
      </c>
      <c r="Z648" s="18" t="s">
        <v>86</v>
      </c>
      <c r="AA648" s="18" t="s">
        <v>87</v>
      </c>
      <c r="AB648" s="18" t="s">
        <v>289</v>
      </c>
      <c r="AC648" s="18" t="s">
        <v>290</v>
      </c>
      <c r="AD648" s="18" t="s">
        <v>85</v>
      </c>
      <c r="AE648" s="18" t="s">
        <v>90</v>
      </c>
      <c r="AF648" s="18" t="s">
        <v>91</v>
      </c>
      <c r="AG648" s="18" t="s">
        <v>92</v>
      </c>
      <c r="AH648" s="18" t="s">
        <v>93</v>
      </c>
      <c r="AI648" s="18" t="s">
        <v>94</v>
      </c>
      <c r="AJ648" s="19">
        <v>44904</v>
      </c>
      <c r="AK648" s="22" t="s">
        <v>95</v>
      </c>
      <c r="AL648" s="18" t="s">
        <v>95</v>
      </c>
      <c r="AM648" s="18" t="s">
        <v>95</v>
      </c>
      <c r="AN648" s="18" t="s">
        <v>95</v>
      </c>
      <c r="AO648" s="18" t="s">
        <v>95</v>
      </c>
      <c r="AP648" s="18" t="s">
        <v>95</v>
      </c>
      <c r="AQ648" s="18" t="s">
        <v>95</v>
      </c>
      <c r="AR648" s="18" t="s">
        <v>95</v>
      </c>
      <c r="AS648" s="18" t="s">
        <v>83</v>
      </c>
      <c r="AT648" s="18" t="s">
        <v>83</v>
      </c>
      <c r="AU648" s="18" t="s">
        <v>81</v>
      </c>
      <c r="AV648" s="18" t="s">
        <v>95</v>
      </c>
      <c r="AW648" s="18" t="s">
        <v>95</v>
      </c>
      <c r="AX648" s="18"/>
      <c r="AY648" s="18" t="str">
        <f>Pospago[[#This Row],[NUM_TELEFONICO]]&amp;"POSPAGOSI"</f>
        <v>989069626POSPAGOSI</v>
      </c>
      <c r="AZ648" s="18" t="str">
        <f>VLOOKUP(Pospago[[#This Row],[NOM_PLAZA_FINAL]],[1]!Locales[#Data],3,0)</f>
        <v>TIENDA CUENCA CENTRO</v>
      </c>
      <c r="BA648" s="18" t="str">
        <f>IFERROR(VLOOKUP(Pospago[[#This Row],[USUARIO]],[1]!Personal[#Data],6,0),"EJECUTIVO NO REGISTRADO")</f>
        <v>CALLE CHACA JORGE VINICIO</v>
      </c>
      <c r="BB648" s="18" t="str">
        <f>Pospago[[#This Row],[TIPO_MOVIMIENTO]]&amp;" "&amp;Pospago[[#This Row],[FORMA_PAGO_FINAL]]</f>
        <v>ALTAS DOMICILIADO</v>
      </c>
      <c r="BC648" s="18">
        <f>DAY(Pospago[[#This Row],[FECHA_ALTA]])</f>
        <v>9</v>
      </c>
      <c r="BD648" s="18">
        <f>IF(Pospago[[#This Row],[TARIFA_BASICA]]=11.42,1,0)</f>
        <v>1</v>
      </c>
      <c r="BE648" s="18">
        <f>IF(Pospago[[#This Row],[PLANES TELEVENTAS]]="SI",1,0)</f>
        <v>0</v>
      </c>
      <c r="BF648" s="18">
        <f>1</f>
        <v>1</v>
      </c>
      <c r="BG648" s="18">
        <f>IF(OR(Pospago[[#This Row],[TARIFA_BASICA]]=11.42,Pospago[[#This Row],[PLANES TELEVENTAS]]="SI"),1,0)</f>
        <v>1</v>
      </c>
      <c r="BH648" s="18" t="str">
        <f>IF(MID(Pospago[[#This Row],[PlanDesc]],1,4) = "PLAN","POSPAGO",IF(MID(Pospago[[#This Row],[PlanDesc]],1,4)="FULL","FULL MEGAS","PREVIOPAGO"))</f>
        <v>PREVIOPAGO</v>
      </c>
      <c r="BI6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6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48" s="21">
        <f>Pospago[[#This Row],[TARIFA_BASICA]]*1.5</f>
        <v>17.13</v>
      </c>
    </row>
    <row r="649" spans="1:63" x14ac:dyDescent="0.25">
      <c r="A649" s="18" t="s">
        <v>64</v>
      </c>
      <c r="B649" s="18" t="s">
        <v>4186</v>
      </c>
      <c r="C649" s="18" t="s">
        <v>4187</v>
      </c>
      <c r="D649" s="19">
        <v>44902</v>
      </c>
      <c r="E649" s="18" t="s">
        <v>67</v>
      </c>
      <c r="F649" s="18" t="s">
        <v>4188</v>
      </c>
      <c r="G649" s="18" t="s">
        <v>4189</v>
      </c>
      <c r="H649" s="18" t="s">
        <v>70</v>
      </c>
      <c r="I649" s="18" t="s">
        <v>698</v>
      </c>
      <c r="J649" s="18" t="s">
        <v>607</v>
      </c>
      <c r="K649" s="18" t="s">
        <v>132</v>
      </c>
      <c r="L649" s="20" t="s">
        <v>4190</v>
      </c>
      <c r="M649" s="18" t="s">
        <v>75</v>
      </c>
      <c r="N649" s="20" t="s">
        <v>4191</v>
      </c>
      <c r="O649" s="18" t="s">
        <v>77</v>
      </c>
      <c r="P649" s="18" t="s">
        <v>78</v>
      </c>
      <c r="Q649" s="19">
        <v>44914</v>
      </c>
      <c r="R649" s="21">
        <v>26.78</v>
      </c>
      <c r="S649" s="18" t="s">
        <v>79</v>
      </c>
      <c r="T649" s="18" t="s">
        <v>232</v>
      </c>
      <c r="U649" s="18" t="s">
        <v>81</v>
      </c>
      <c r="V649" s="18" t="s">
        <v>82</v>
      </c>
      <c r="W649" s="18" t="s">
        <v>83</v>
      </c>
      <c r="X649" s="18" t="s">
        <v>84</v>
      </c>
      <c r="Y649" s="18" t="s">
        <v>85</v>
      </c>
      <c r="Z649" s="18" t="s">
        <v>86</v>
      </c>
      <c r="AA649" s="18" t="s">
        <v>87</v>
      </c>
      <c r="AB649" s="18" t="s">
        <v>280</v>
      </c>
      <c r="AC649" s="18" t="s">
        <v>281</v>
      </c>
      <c r="AD649" s="18" t="s">
        <v>85</v>
      </c>
      <c r="AE649" s="18" t="s">
        <v>90</v>
      </c>
      <c r="AF649" s="18" t="s">
        <v>235</v>
      </c>
      <c r="AG649" s="18" t="s">
        <v>139</v>
      </c>
      <c r="AH649" s="18" t="s">
        <v>93</v>
      </c>
      <c r="AI649" s="18" t="s">
        <v>94</v>
      </c>
      <c r="AJ649" s="19">
        <v>44902</v>
      </c>
      <c r="AK649" s="22" t="s">
        <v>95</v>
      </c>
      <c r="AL649" s="18" t="s">
        <v>95</v>
      </c>
      <c r="AM649" s="18" t="s">
        <v>95</v>
      </c>
      <c r="AN649" s="18" t="s">
        <v>95</v>
      </c>
      <c r="AO649" s="18" t="s">
        <v>95</v>
      </c>
      <c r="AP649" s="18" t="s">
        <v>95</v>
      </c>
      <c r="AQ649" s="18" t="s">
        <v>95</v>
      </c>
      <c r="AR649" s="18" t="s">
        <v>95</v>
      </c>
      <c r="AS649" s="18" t="s">
        <v>83</v>
      </c>
      <c r="AT649" s="18" t="s">
        <v>81</v>
      </c>
      <c r="AU649" s="18" t="s">
        <v>81</v>
      </c>
      <c r="AV649" s="18" t="s">
        <v>95</v>
      </c>
      <c r="AW649" s="18" t="s">
        <v>95</v>
      </c>
      <c r="AX649" s="18"/>
      <c r="AY649" s="18" t="str">
        <f>Pospago[[#This Row],[NUM_TELEFONICO]]&amp;"POSPAGOSI"</f>
        <v>989574274POSPAGOSI</v>
      </c>
      <c r="AZ649" s="18" t="str">
        <f>VLOOKUP(Pospago[[#This Row],[NOM_PLAZA_FINAL]],[1]!Locales[#Data],3,0)</f>
        <v>TIENDA CONDADO</v>
      </c>
      <c r="BA649" s="18" t="str">
        <f>IFERROR(VLOOKUP(Pospago[[#This Row],[USUARIO]],[1]!Personal[#Data],6,0),"EJECUTIVO NO REGISTRADO")</f>
        <v>GUACHAMIN CAZA HUGO ADRIAN</v>
      </c>
      <c r="BB649" s="18" t="str">
        <f>Pospago[[#This Row],[TIPO_MOVIMIENTO]]&amp;" "&amp;Pospago[[#This Row],[FORMA_PAGO_FINAL]]</f>
        <v>ALTAS DOMICILIADO</v>
      </c>
      <c r="BC649" s="18">
        <f>DAY(Pospago[[#This Row],[FECHA_ALTA]])</f>
        <v>7</v>
      </c>
      <c r="BD649" s="18">
        <f>IF(Pospago[[#This Row],[TARIFA_BASICA]]=11.42,1,0)</f>
        <v>0</v>
      </c>
      <c r="BE649" s="18">
        <f>IF(Pospago[[#This Row],[PLANES TELEVENTAS]]="SI",1,0)</f>
        <v>1</v>
      </c>
      <c r="BF649" s="18">
        <f>1</f>
        <v>1</v>
      </c>
      <c r="BG649" s="18">
        <f>IF(OR(Pospago[[#This Row],[TARIFA_BASICA]]=11.42,Pospago[[#This Row],[PLANES TELEVENTAS]]="SI"),1,0)</f>
        <v>1</v>
      </c>
      <c r="BH649" s="18" t="str">
        <f>IF(MID(Pospago[[#This Row],[PlanDesc]],1,4) = "PLAN","POSPAGO",IF(MID(Pospago[[#This Row],[PlanDesc]],1,4)="FULL","FULL MEGAS","PREVIOPAGO"))</f>
        <v>PREVIOPAGO</v>
      </c>
      <c r="BI6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6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49" s="21">
        <f>Pospago[[#This Row],[TARIFA_BASICA]]*1.5</f>
        <v>40.17</v>
      </c>
    </row>
    <row r="650" spans="1:63" x14ac:dyDescent="0.25">
      <c r="A650" s="18" t="s">
        <v>154</v>
      </c>
      <c r="B650" s="18" t="s">
        <v>4192</v>
      </c>
      <c r="C650" s="18" t="s">
        <v>4193</v>
      </c>
      <c r="D650" s="19">
        <v>44902</v>
      </c>
      <c r="E650" s="18" t="s">
        <v>67</v>
      </c>
      <c r="F650" s="18" t="s">
        <v>4194</v>
      </c>
      <c r="G650" s="18" t="s">
        <v>4195</v>
      </c>
      <c r="H650" s="18" t="s">
        <v>159</v>
      </c>
      <c r="I650" s="18" t="s">
        <v>160</v>
      </c>
      <c r="J650" s="18" t="s">
        <v>161</v>
      </c>
      <c r="K650" s="18" t="s">
        <v>132</v>
      </c>
      <c r="L650" s="20" t="s">
        <v>4196</v>
      </c>
      <c r="M650" s="18" t="s">
        <v>75</v>
      </c>
      <c r="N650" s="20" t="s">
        <v>4197</v>
      </c>
      <c r="O650" s="18" t="s">
        <v>164</v>
      </c>
      <c r="P650" s="18" t="s">
        <v>78</v>
      </c>
      <c r="Q650" s="19">
        <v>44914</v>
      </c>
      <c r="R650" s="21">
        <v>14.28</v>
      </c>
      <c r="S650" s="18" t="s">
        <v>79</v>
      </c>
      <c r="T650" s="18" t="s">
        <v>174</v>
      </c>
      <c r="U650" s="18" t="s">
        <v>83</v>
      </c>
      <c r="V650" s="18" t="s">
        <v>95</v>
      </c>
      <c r="W650" s="18" t="s">
        <v>95</v>
      </c>
      <c r="X650" s="18" t="s">
        <v>118</v>
      </c>
      <c r="Y650" s="18" t="s">
        <v>85</v>
      </c>
      <c r="Z650" s="18" t="s">
        <v>86</v>
      </c>
      <c r="AA650" s="18" t="s">
        <v>119</v>
      </c>
      <c r="AB650" s="18" t="s">
        <v>918</v>
      </c>
      <c r="AC650" s="18" t="s">
        <v>919</v>
      </c>
      <c r="AD650" s="18" t="s">
        <v>85</v>
      </c>
      <c r="AE650" s="18" t="s">
        <v>90</v>
      </c>
      <c r="AF650" s="18" t="s">
        <v>177</v>
      </c>
      <c r="AG650" s="18" t="s">
        <v>139</v>
      </c>
      <c r="AH650" s="18" t="s">
        <v>165</v>
      </c>
      <c r="AI650" s="18" t="s">
        <v>94</v>
      </c>
      <c r="AJ650" s="19">
        <v>44902</v>
      </c>
      <c r="AK650" s="22" t="s">
        <v>95</v>
      </c>
      <c r="AL650" s="18" t="s">
        <v>95</v>
      </c>
      <c r="AM650" s="18" t="s">
        <v>95</v>
      </c>
      <c r="AN650" s="18" t="s">
        <v>95</v>
      </c>
      <c r="AO650" s="18" t="s">
        <v>95</v>
      </c>
      <c r="AP650" s="18" t="s">
        <v>95</v>
      </c>
      <c r="AQ650" s="18" t="s">
        <v>95</v>
      </c>
      <c r="AR650" s="18" t="s">
        <v>95</v>
      </c>
      <c r="AS650" s="18" t="s">
        <v>83</v>
      </c>
      <c r="AT650" s="18" t="s">
        <v>83</v>
      </c>
      <c r="AU650" s="18" t="s">
        <v>81</v>
      </c>
      <c r="AV650" s="18" t="s">
        <v>95</v>
      </c>
      <c r="AW650" s="18" t="s">
        <v>95</v>
      </c>
      <c r="AX650" s="18"/>
      <c r="AY650" s="18" t="str">
        <f>Pospago[[#This Row],[NUM_TELEFONICO]]&amp;"POSPAGOSI"</f>
        <v>990822120POSPAGOSI</v>
      </c>
      <c r="AZ650" s="18" t="str">
        <f>VLOOKUP(Pospago[[#This Row],[NOM_PLAZA_FINAL]],[1]!Locales[#Data],3,0)</f>
        <v>TIENDA RECREO</v>
      </c>
      <c r="BA650" s="18" t="str">
        <f>IFERROR(VLOOKUP(Pospago[[#This Row],[USUARIO]],[1]!Personal[#Data],6,0),"EJECUTIVO NO REGISTRADO")</f>
        <v>ORELLANA CARRERA MICHAEL ALEXANDER</v>
      </c>
      <c r="BB650" s="18" t="str">
        <f>Pospago[[#This Row],[TIPO_MOVIMIENTO]]&amp;" "&amp;Pospago[[#This Row],[FORMA_PAGO_FINAL]]</f>
        <v>TRANSFERENCIAS PAGO EN CAJA</v>
      </c>
      <c r="BC650" s="18">
        <f>DAY(Pospago[[#This Row],[FECHA_ALTA]])</f>
        <v>7</v>
      </c>
      <c r="BD650" s="18">
        <f>IF(Pospago[[#This Row],[TARIFA_BASICA]]=11.42,1,0)</f>
        <v>0</v>
      </c>
      <c r="BE650" s="18">
        <f>IF(Pospago[[#This Row],[PLANES TELEVENTAS]]="SI",1,0)</f>
        <v>0</v>
      </c>
      <c r="BF650" s="18">
        <f>1</f>
        <v>1</v>
      </c>
      <c r="BG650" s="18">
        <f>IF(OR(Pospago[[#This Row],[TARIFA_BASICA]]=11.42,Pospago[[#This Row],[PLANES TELEVENTAS]]="SI"),1,0)</f>
        <v>0</v>
      </c>
      <c r="BH650" s="18" t="str">
        <f>IF(MID(Pospago[[#This Row],[PlanDesc]],1,4) = "PLAN","POSPAGO",IF(MID(Pospago[[#This Row],[PlanDesc]],1,4)="FULL","FULL MEGAS","PREVIOPAGO"))</f>
        <v>PREVIOPAGO</v>
      </c>
      <c r="BI6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50" s="21">
        <f>Pospago[[#This Row],[TARIFA_BASICA]]*1.5</f>
        <v>21.419999999999998</v>
      </c>
    </row>
    <row r="651" spans="1:63" x14ac:dyDescent="0.25">
      <c r="A651" s="18" t="s">
        <v>64</v>
      </c>
      <c r="B651" s="18" t="s">
        <v>4198</v>
      </c>
      <c r="C651" s="18" t="s">
        <v>4199</v>
      </c>
      <c r="D651" s="19">
        <v>44910</v>
      </c>
      <c r="E651" s="18" t="s">
        <v>67</v>
      </c>
      <c r="F651" s="18" t="s">
        <v>4200</v>
      </c>
      <c r="G651" s="18" t="s">
        <v>4201</v>
      </c>
      <c r="H651" s="18" t="s">
        <v>70</v>
      </c>
      <c r="I651" s="18" t="s">
        <v>392</v>
      </c>
      <c r="J651" s="18" t="s">
        <v>131</v>
      </c>
      <c r="K651" s="18" t="s">
        <v>114</v>
      </c>
      <c r="L651" s="20" t="s">
        <v>4202</v>
      </c>
      <c r="M651" s="18" t="s">
        <v>75</v>
      </c>
      <c r="N651" s="20" t="s">
        <v>4203</v>
      </c>
      <c r="O651" s="18" t="s">
        <v>77</v>
      </c>
      <c r="P651" s="18" t="s">
        <v>78</v>
      </c>
      <c r="Q651" s="19">
        <v>44914</v>
      </c>
      <c r="R651" s="21">
        <v>15</v>
      </c>
      <c r="S651" s="18" t="s">
        <v>79</v>
      </c>
      <c r="T651" s="18" t="s">
        <v>117</v>
      </c>
      <c r="U651" s="18" t="s">
        <v>81</v>
      </c>
      <c r="V651" s="18" t="s">
        <v>82</v>
      </c>
      <c r="W651" s="18" t="s">
        <v>83</v>
      </c>
      <c r="X651" s="18" t="s">
        <v>84</v>
      </c>
      <c r="Y651" s="18" t="s">
        <v>85</v>
      </c>
      <c r="Z651" s="18" t="s">
        <v>86</v>
      </c>
      <c r="AA651" s="18" t="s">
        <v>87</v>
      </c>
      <c r="AB651" s="18" t="s">
        <v>1043</v>
      </c>
      <c r="AC651" s="18" t="s">
        <v>1044</v>
      </c>
      <c r="AD651" s="18" t="s">
        <v>85</v>
      </c>
      <c r="AE651" s="18" t="s">
        <v>90</v>
      </c>
      <c r="AF651" s="18" t="s">
        <v>122</v>
      </c>
      <c r="AG651" s="18" t="s">
        <v>92</v>
      </c>
      <c r="AH651" s="18" t="s">
        <v>93</v>
      </c>
      <c r="AI651" s="18" t="s">
        <v>94</v>
      </c>
      <c r="AJ651" s="19">
        <v>44910</v>
      </c>
      <c r="AK651" s="22" t="s">
        <v>95</v>
      </c>
      <c r="AL651" s="18" t="s">
        <v>95</v>
      </c>
      <c r="AM651" s="18" t="s">
        <v>95</v>
      </c>
      <c r="AN651" s="18" t="s">
        <v>95</v>
      </c>
      <c r="AO651" s="18" t="s">
        <v>95</v>
      </c>
      <c r="AP651" s="18" t="s">
        <v>95</v>
      </c>
      <c r="AQ651" s="18" t="s">
        <v>95</v>
      </c>
      <c r="AR651" s="18" t="s">
        <v>95</v>
      </c>
      <c r="AS651" s="18" t="s">
        <v>83</v>
      </c>
      <c r="AT651" s="18" t="s">
        <v>81</v>
      </c>
      <c r="AU651" s="18" t="s">
        <v>81</v>
      </c>
      <c r="AV651" s="18" t="s">
        <v>95</v>
      </c>
      <c r="AW651" s="18" t="s">
        <v>95</v>
      </c>
      <c r="AX651" s="18"/>
      <c r="AY651" s="18" t="str">
        <f>Pospago[[#This Row],[NUM_TELEFONICO]]&amp;"POSPAGOSI"</f>
        <v>991054125POSPAGOSI</v>
      </c>
      <c r="AZ651" s="18" t="str">
        <f>VLOOKUP(Pospago[[#This Row],[NOM_PLAZA_FINAL]],[1]!Locales[#Data],3,0)</f>
        <v>TIENDA MACHALA</v>
      </c>
      <c r="BA651" s="18" t="str">
        <f>IFERROR(VLOOKUP(Pospago[[#This Row],[USUARIO]],[1]!Personal[#Data],6,0),"EJECUTIVO NO REGISTRADO")</f>
        <v>GONZAGA YUPANGUI LIZBETH KATHERINE</v>
      </c>
      <c r="BB651" s="18" t="str">
        <f>Pospago[[#This Row],[TIPO_MOVIMIENTO]]&amp;" "&amp;Pospago[[#This Row],[FORMA_PAGO_FINAL]]</f>
        <v>ALTAS DOMICILIADO</v>
      </c>
      <c r="BC651" s="18">
        <f>DAY(Pospago[[#This Row],[FECHA_ALTA]])</f>
        <v>15</v>
      </c>
      <c r="BD651" s="18">
        <f>IF(Pospago[[#This Row],[TARIFA_BASICA]]=11.42,1,0)</f>
        <v>0</v>
      </c>
      <c r="BE651" s="18">
        <f>IF(Pospago[[#This Row],[PLANES TELEVENTAS]]="SI",1,0)</f>
        <v>1</v>
      </c>
      <c r="BF651" s="18">
        <f>1</f>
        <v>1</v>
      </c>
      <c r="BG651" s="18">
        <f>IF(OR(Pospago[[#This Row],[TARIFA_BASICA]]=11.42,Pospago[[#This Row],[PLANES TELEVENTAS]]="SI"),1,0)</f>
        <v>1</v>
      </c>
      <c r="BH651" s="18" t="str">
        <f>IF(MID(Pospago[[#This Row],[PlanDesc]],1,4) = "PLAN","POSPAGO",IF(MID(Pospago[[#This Row],[PlanDesc]],1,4)="FULL","FULL MEGAS","PREVIOPAGO"))</f>
        <v>PREVIOPAGO</v>
      </c>
      <c r="BI6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19.8</v>
      </c>
      <c r="BJ6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51" s="21">
        <f>Pospago[[#This Row],[TARIFA_BASICA]]*1.5</f>
        <v>22.5</v>
      </c>
    </row>
    <row r="652" spans="1:63" x14ac:dyDescent="0.25">
      <c r="A652" s="18" t="s">
        <v>64</v>
      </c>
      <c r="B652" s="18" t="s">
        <v>4204</v>
      </c>
      <c r="C652" s="18" t="s">
        <v>4205</v>
      </c>
      <c r="D652" s="19">
        <v>44901</v>
      </c>
      <c r="E652" s="18" t="s">
        <v>67</v>
      </c>
      <c r="F652" s="18" t="s">
        <v>4206</v>
      </c>
      <c r="G652" s="18" t="s">
        <v>4207</v>
      </c>
      <c r="H652" s="18" t="s">
        <v>70</v>
      </c>
      <c r="I652" s="18" t="s">
        <v>606</v>
      </c>
      <c r="J652" s="18" t="s">
        <v>607</v>
      </c>
      <c r="K652" s="18" t="s">
        <v>73</v>
      </c>
      <c r="L652" s="20" t="s">
        <v>4208</v>
      </c>
      <c r="M652" s="18" t="s">
        <v>75</v>
      </c>
      <c r="N652" s="20" t="s">
        <v>4209</v>
      </c>
      <c r="O652" s="18" t="s">
        <v>77</v>
      </c>
      <c r="P652" s="18" t="s">
        <v>78</v>
      </c>
      <c r="Q652" s="19">
        <v>44914</v>
      </c>
      <c r="R652" s="21">
        <v>26.78</v>
      </c>
      <c r="S652" s="18" t="s">
        <v>79</v>
      </c>
      <c r="T652" s="18" t="s">
        <v>148</v>
      </c>
      <c r="U652" s="18" t="s">
        <v>81</v>
      </c>
      <c r="V652" s="18" t="s">
        <v>82</v>
      </c>
      <c r="W652" s="18" t="s">
        <v>83</v>
      </c>
      <c r="X652" s="18" t="s">
        <v>215</v>
      </c>
      <c r="Y652" s="18" t="s">
        <v>85</v>
      </c>
      <c r="Z652" s="18" t="s">
        <v>86</v>
      </c>
      <c r="AA652" s="18" t="s">
        <v>87</v>
      </c>
      <c r="AB652" s="18" t="s">
        <v>610</v>
      </c>
      <c r="AC652" s="18" t="s">
        <v>611</v>
      </c>
      <c r="AD652" s="18" t="s">
        <v>85</v>
      </c>
      <c r="AE652" s="18" t="s">
        <v>90</v>
      </c>
      <c r="AF652" s="18" t="s">
        <v>151</v>
      </c>
      <c r="AG652" s="18" t="s">
        <v>92</v>
      </c>
      <c r="AH652" s="18" t="s">
        <v>93</v>
      </c>
      <c r="AI652" s="18" t="s">
        <v>94</v>
      </c>
      <c r="AJ652" s="19">
        <v>44901</v>
      </c>
      <c r="AK652" s="22" t="s">
        <v>95</v>
      </c>
      <c r="AL652" s="18" t="s">
        <v>95</v>
      </c>
      <c r="AM652" s="18" t="s">
        <v>95</v>
      </c>
      <c r="AN652" s="18" t="s">
        <v>95</v>
      </c>
      <c r="AO652" s="18" t="s">
        <v>95</v>
      </c>
      <c r="AP652" s="18" t="s">
        <v>95</v>
      </c>
      <c r="AQ652" s="18" t="s">
        <v>95</v>
      </c>
      <c r="AR652" s="18" t="s">
        <v>95</v>
      </c>
      <c r="AS652" s="18" t="s">
        <v>83</v>
      </c>
      <c r="AT652" s="18" t="s">
        <v>83</v>
      </c>
      <c r="AU652" s="18" t="s">
        <v>81</v>
      </c>
      <c r="AV652" s="18" t="s">
        <v>95</v>
      </c>
      <c r="AW652" s="18" t="s">
        <v>95</v>
      </c>
      <c r="AX652" s="18"/>
      <c r="AY652" s="18" t="str">
        <f>Pospago[[#This Row],[NUM_TELEFONICO]]&amp;"POSPAGOSI"</f>
        <v>991254030POSPAGOSI</v>
      </c>
      <c r="AZ652" s="18" t="str">
        <f>VLOOKUP(Pospago[[#This Row],[NOM_PLAZA_FINAL]],[1]!Locales[#Data],3,0)</f>
        <v>TIENDA CUENCA REMIGIO</v>
      </c>
      <c r="BA652" s="18" t="str">
        <f>IFERROR(VLOOKUP(Pospago[[#This Row],[USUARIO]],[1]!Personal[#Data],6,0),"EJECUTIVO NO REGISTRADO")</f>
        <v>PATIÑO TAPIA ANDRES SANTIAGO</v>
      </c>
      <c r="BB652" s="18" t="str">
        <f>Pospago[[#This Row],[TIPO_MOVIMIENTO]]&amp;" "&amp;Pospago[[#This Row],[FORMA_PAGO_FINAL]]</f>
        <v>ALTAS DOMICILIADO</v>
      </c>
      <c r="BC652" s="18">
        <f>DAY(Pospago[[#This Row],[FECHA_ALTA]])</f>
        <v>6</v>
      </c>
      <c r="BD652" s="18">
        <f>IF(Pospago[[#This Row],[TARIFA_BASICA]]=11.42,1,0)</f>
        <v>0</v>
      </c>
      <c r="BE652" s="18">
        <f>IF(Pospago[[#This Row],[PLANES TELEVENTAS]]="SI",1,0)</f>
        <v>0</v>
      </c>
      <c r="BF652" s="18">
        <f>1</f>
        <v>1</v>
      </c>
      <c r="BG652" s="18">
        <f>IF(OR(Pospago[[#This Row],[TARIFA_BASICA]]=11.42,Pospago[[#This Row],[PLANES TELEVENTAS]]="SI"),1,0)</f>
        <v>0</v>
      </c>
      <c r="BH652" s="18" t="str">
        <f>IF(MID(Pospago[[#This Row],[PlanDesc]],1,4) = "PLAN","POSPAGO",IF(MID(Pospago[[#This Row],[PlanDesc]],1,4)="FULL","FULL MEGAS","PREVIOPAGO"))</f>
        <v>PREVIOPAGO</v>
      </c>
      <c r="BI6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6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52" s="21">
        <f>Pospago[[#This Row],[TARIFA_BASICA]]*1.5</f>
        <v>40.17</v>
      </c>
    </row>
    <row r="653" spans="1:63" x14ac:dyDescent="0.25">
      <c r="A653" s="18" t="s">
        <v>64</v>
      </c>
      <c r="B653" s="18" t="s">
        <v>4210</v>
      </c>
      <c r="C653" s="18" t="s">
        <v>4211</v>
      </c>
      <c r="D653" s="19">
        <v>44910</v>
      </c>
      <c r="E653" s="18" t="s">
        <v>67</v>
      </c>
      <c r="F653" s="18" t="s">
        <v>4212</v>
      </c>
      <c r="G653" s="18" t="s">
        <v>4213</v>
      </c>
      <c r="H653" s="18" t="s">
        <v>70</v>
      </c>
      <c r="I653" s="18" t="s">
        <v>606</v>
      </c>
      <c r="J653" s="18" t="s">
        <v>607</v>
      </c>
      <c r="K653" s="18" t="s">
        <v>349</v>
      </c>
      <c r="L653" s="20" t="s">
        <v>4214</v>
      </c>
      <c r="M653" s="18" t="s">
        <v>75</v>
      </c>
      <c r="N653" s="20" t="s">
        <v>4215</v>
      </c>
      <c r="O653" s="18" t="s">
        <v>77</v>
      </c>
      <c r="P653" s="18" t="s">
        <v>78</v>
      </c>
      <c r="Q653" s="19">
        <v>44914</v>
      </c>
      <c r="R653" s="21">
        <v>26.78</v>
      </c>
      <c r="S653" s="18" t="s">
        <v>79</v>
      </c>
      <c r="T653" s="18" t="s">
        <v>174</v>
      </c>
      <c r="U653" s="18" t="s">
        <v>81</v>
      </c>
      <c r="V653" s="18" t="s">
        <v>82</v>
      </c>
      <c r="W653" s="18" t="s">
        <v>83</v>
      </c>
      <c r="X653" s="18" t="s">
        <v>215</v>
      </c>
      <c r="Y653" s="18" t="s">
        <v>85</v>
      </c>
      <c r="Z653" s="18" t="s">
        <v>86</v>
      </c>
      <c r="AA653" s="18" t="s">
        <v>87</v>
      </c>
      <c r="AB653" s="18" t="s">
        <v>457</v>
      </c>
      <c r="AC653" s="18" t="s">
        <v>458</v>
      </c>
      <c r="AD653" s="18" t="s">
        <v>85</v>
      </c>
      <c r="AE653" s="18" t="s">
        <v>90</v>
      </c>
      <c r="AF653" s="18" t="s">
        <v>177</v>
      </c>
      <c r="AG653" s="18" t="s">
        <v>139</v>
      </c>
      <c r="AH653" s="18" t="s">
        <v>93</v>
      </c>
      <c r="AI653" s="18" t="s">
        <v>94</v>
      </c>
      <c r="AJ653" s="19">
        <v>44910</v>
      </c>
      <c r="AK653" s="22" t="s">
        <v>95</v>
      </c>
      <c r="AL653" s="18" t="s">
        <v>95</v>
      </c>
      <c r="AM653" s="18" t="s">
        <v>95</v>
      </c>
      <c r="AN653" s="18" t="s">
        <v>95</v>
      </c>
      <c r="AO653" s="18" t="s">
        <v>95</v>
      </c>
      <c r="AP653" s="18" t="s">
        <v>95</v>
      </c>
      <c r="AQ653" s="18" t="s">
        <v>95</v>
      </c>
      <c r="AR653" s="18" t="s">
        <v>95</v>
      </c>
      <c r="AS653" s="18" t="s">
        <v>83</v>
      </c>
      <c r="AT653" s="18" t="s">
        <v>83</v>
      </c>
      <c r="AU653" s="18" t="s">
        <v>81</v>
      </c>
      <c r="AV653" s="18" t="s">
        <v>95</v>
      </c>
      <c r="AW653" s="18" t="s">
        <v>95</v>
      </c>
      <c r="AX653" s="18"/>
      <c r="AY653" s="18" t="str">
        <f>Pospago[[#This Row],[NUM_TELEFONICO]]&amp;"POSPAGOSI"</f>
        <v>991364660POSPAGOSI</v>
      </c>
      <c r="AZ653" s="18" t="str">
        <f>VLOOKUP(Pospago[[#This Row],[NOM_PLAZA_FINAL]],[1]!Locales[#Data],3,0)</f>
        <v>TIENDA RECREO</v>
      </c>
      <c r="BA653" s="18" t="str">
        <f>IFERROR(VLOOKUP(Pospago[[#This Row],[USUARIO]],[1]!Personal[#Data],6,0),"EJECUTIVO NO REGISTRADO")</f>
        <v>LOZADA REYES BERTHA MARIBEL</v>
      </c>
      <c r="BB653" s="18" t="str">
        <f>Pospago[[#This Row],[TIPO_MOVIMIENTO]]&amp;" "&amp;Pospago[[#This Row],[FORMA_PAGO_FINAL]]</f>
        <v>ALTAS DOMICILIADO</v>
      </c>
      <c r="BC653" s="18">
        <f>DAY(Pospago[[#This Row],[FECHA_ALTA]])</f>
        <v>15</v>
      </c>
      <c r="BD653" s="18">
        <f>IF(Pospago[[#This Row],[TARIFA_BASICA]]=11.42,1,0)</f>
        <v>0</v>
      </c>
      <c r="BE653" s="18">
        <f>IF(Pospago[[#This Row],[PLANES TELEVENTAS]]="SI",1,0)</f>
        <v>0</v>
      </c>
      <c r="BF653" s="18">
        <f>1</f>
        <v>1</v>
      </c>
      <c r="BG653" s="18">
        <f>IF(OR(Pospago[[#This Row],[TARIFA_BASICA]]=11.42,Pospago[[#This Row],[PLANES TELEVENTAS]]="SI"),1,0)</f>
        <v>0</v>
      </c>
      <c r="BH653" s="18" t="str">
        <f>IF(MID(Pospago[[#This Row],[PlanDesc]],1,4) = "PLAN","POSPAGO",IF(MID(Pospago[[#This Row],[PlanDesc]],1,4)="FULL","FULL MEGAS","PREVIOPAGO"))</f>
        <v>PREVIOPAGO</v>
      </c>
      <c r="BI6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6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53" s="21">
        <f>Pospago[[#This Row],[TARIFA_BASICA]]*1.5</f>
        <v>40.17</v>
      </c>
    </row>
    <row r="654" spans="1:63" x14ac:dyDescent="0.25">
      <c r="A654" s="18" t="s">
        <v>64</v>
      </c>
      <c r="B654" s="18" t="s">
        <v>4216</v>
      </c>
      <c r="C654" s="18" t="s">
        <v>4217</v>
      </c>
      <c r="D654" s="19">
        <v>44911</v>
      </c>
      <c r="E654" s="18" t="s">
        <v>67</v>
      </c>
      <c r="F654" s="18" t="s">
        <v>4218</v>
      </c>
      <c r="G654" s="18" t="s">
        <v>4219</v>
      </c>
      <c r="H654" s="18" t="s">
        <v>70</v>
      </c>
      <c r="I654" s="18" t="s">
        <v>671</v>
      </c>
      <c r="J654" s="18" t="s">
        <v>672</v>
      </c>
      <c r="K654" s="18" t="s">
        <v>132</v>
      </c>
      <c r="L654" s="20" t="s">
        <v>4220</v>
      </c>
      <c r="M654" s="18" t="s">
        <v>75</v>
      </c>
      <c r="N654" s="20" t="s">
        <v>4221</v>
      </c>
      <c r="O654" s="18" t="s">
        <v>77</v>
      </c>
      <c r="P654" s="18" t="s">
        <v>78</v>
      </c>
      <c r="Q654" s="19">
        <v>44914</v>
      </c>
      <c r="R654" s="21">
        <v>15</v>
      </c>
      <c r="S654" s="18" t="s">
        <v>79</v>
      </c>
      <c r="T654" s="18" t="s">
        <v>80</v>
      </c>
      <c r="U654" s="18" t="s">
        <v>81</v>
      </c>
      <c r="V654" s="18" t="s">
        <v>693</v>
      </c>
      <c r="W654" s="18" t="s">
        <v>83</v>
      </c>
      <c r="X654" s="18" t="s">
        <v>84</v>
      </c>
      <c r="Y654" s="18" t="s">
        <v>85</v>
      </c>
      <c r="Z654" s="18" t="s">
        <v>86</v>
      </c>
      <c r="AA654" s="18" t="s">
        <v>87</v>
      </c>
      <c r="AB654" s="18" t="s">
        <v>242</v>
      </c>
      <c r="AC654" s="18" t="s">
        <v>243</v>
      </c>
      <c r="AD654" s="18" t="s">
        <v>85</v>
      </c>
      <c r="AE654" s="18" t="s">
        <v>90</v>
      </c>
      <c r="AF654" s="18" t="s">
        <v>91</v>
      </c>
      <c r="AG654" s="18" t="s">
        <v>92</v>
      </c>
      <c r="AH654" s="18" t="s">
        <v>93</v>
      </c>
      <c r="AI654" s="18" t="s">
        <v>94</v>
      </c>
      <c r="AJ654" s="19">
        <v>44911</v>
      </c>
      <c r="AK654" s="22" t="s">
        <v>95</v>
      </c>
      <c r="AL654" s="18" t="s">
        <v>95</v>
      </c>
      <c r="AM654" s="18" t="s">
        <v>95</v>
      </c>
      <c r="AN654" s="18" t="s">
        <v>95</v>
      </c>
      <c r="AO654" s="18" t="s">
        <v>95</v>
      </c>
      <c r="AP654" s="18" t="s">
        <v>95</v>
      </c>
      <c r="AQ654" s="18" t="s">
        <v>95</v>
      </c>
      <c r="AR654" s="18" t="s">
        <v>95</v>
      </c>
      <c r="AS654" s="18" t="s">
        <v>83</v>
      </c>
      <c r="AT654" s="18" t="s">
        <v>83</v>
      </c>
      <c r="AU654" s="18" t="s">
        <v>83</v>
      </c>
      <c r="AV654" s="18" t="s">
        <v>95</v>
      </c>
      <c r="AW654" s="18" t="s">
        <v>95</v>
      </c>
      <c r="AX654" s="18"/>
      <c r="AY654" s="18" t="str">
        <f>Pospago[[#This Row],[NUM_TELEFONICO]]&amp;"POSPAGOSI"</f>
        <v>991386803POSPAGOSI</v>
      </c>
      <c r="AZ654" s="18" t="str">
        <f>VLOOKUP(Pospago[[#This Row],[NOM_PLAZA_FINAL]],[1]!Locales[#Data],3,0)</f>
        <v>TIENDA CUENCA CENTRO</v>
      </c>
      <c r="BA654" s="18" t="str">
        <f>IFERROR(VLOOKUP(Pospago[[#This Row],[USUARIO]],[1]!Personal[#Data],6,0),"EJECUTIVO NO REGISTRADO")</f>
        <v>VALLEJO DELEG ROMAN NICOLAS</v>
      </c>
      <c r="BB654" s="18" t="str">
        <f>Pospago[[#This Row],[TIPO_MOVIMIENTO]]&amp;" "&amp;Pospago[[#This Row],[FORMA_PAGO_FINAL]]</f>
        <v>ALTAS DOMICILIADO</v>
      </c>
      <c r="BC654" s="18">
        <f>DAY(Pospago[[#This Row],[FECHA_ALTA]])</f>
        <v>16</v>
      </c>
      <c r="BD654" s="18">
        <f>IF(Pospago[[#This Row],[TARIFA_BASICA]]=11.42,1,0)</f>
        <v>0</v>
      </c>
      <c r="BE654" s="18">
        <f>IF(Pospago[[#This Row],[PLANES TELEVENTAS]]="SI",1,0)</f>
        <v>0</v>
      </c>
      <c r="BF654" s="18">
        <f>1</f>
        <v>1</v>
      </c>
      <c r="BG654" s="18">
        <f>IF(OR(Pospago[[#This Row],[TARIFA_BASICA]]=11.42,Pospago[[#This Row],[PLANES TELEVENTAS]]="SI"),1,0)</f>
        <v>0</v>
      </c>
      <c r="BH654" s="18" t="str">
        <f>IF(MID(Pospago[[#This Row],[PlanDesc]],1,4) = "PLAN","POSPAGO",IF(MID(Pospago[[#This Row],[PlanDesc]],1,4)="FULL","FULL MEGAS","PREVIOPAGO"))</f>
        <v>POSPAGO</v>
      </c>
      <c r="BI6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6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54" s="21">
        <f>Pospago[[#This Row],[TARIFA_BASICA]]*1.5</f>
        <v>22.5</v>
      </c>
    </row>
    <row r="655" spans="1:63" x14ac:dyDescent="0.25">
      <c r="A655" s="18" t="s">
        <v>154</v>
      </c>
      <c r="B655" s="18" t="s">
        <v>4222</v>
      </c>
      <c r="C655" s="18" t="s">
        <v>4223</v>
      </c>
      <c r="D655" s="19">
        <v>44896</v>
      </c>
      <c r="E655" s="18" t="s">
        <v>67</v>
      </c>
      <c r="F655" s="18" t="s">
        <v>4224</v>
      </c>
      <c r="G655" s="18" t="s">
        <v>4225</v>
      </c>
      <c r="H655" s="18" t="s">
        <v>159</v>
      </c>
      <c r="I655" s="18" t="s">
        <v>1357</v>
      </c>
      <c r="J655" s="18" t="s">
        <v>2022</v>
      </c>
      <c r="K655" s="18" t="s">
        <v>4226</v>
      </c>
      <c r="L655" s="20" t="s">
        <v>4227</v>
      </c>
      <c r="M655" s="18" t="s">
        <v>75</v>
      </c>
      <c r="N655" s="20" t="s">
        <v>4228</v>
      </c>
      <c r="O655" s="18" t="s">
        <v>164</v>
      </c>
      <c r="P655" s="18" t="s">
        <v>78</v>
      </c>
      <c r="Q655" s="19">
        <v>44914</v>
      </c>
      <c r="R655" s="21">
        <v>11.42</v>
      </c>
      <c r="S655" s="18" t="s">
        <v>79</v>
      </c>
      <c r="T655" s="18" t="s">
        <v>117</v>
      </c>
      <c r="U655" s="18" t="s">
        <v>83</v>
      </c>
      <c r="V655" s="18" t="s">
        <v>95</v>
      </c>
      <c r="W655" s="18" t="s">
        <v>95</v>
      </c>
      <c r="X655" s="18" t="s">
        <v>84</v>
      </c>
      <c r="Y655" s="18" t="s">
        <v>85</v>
      </c>
      <c r="Z655" s="18" t="s">
        <v>86</v>
      </c>
      <c r="AA655" s="18" t="s">
        <v>87</v>
      </c>
      <c r="AB655" s="18" t="s">
        <v>120</v>
      </c>
      <c r="AC655" s="18" t="s">
        <v>121</v>
      </c>
      <c r="AD655" s="18" t="s">
        <v>85</v>
      </c>
      <c r="AE655" s="18" t="s">
        <v>90</v>
      </c>
      <c r="AF655" s="18" t="s">
        <v>122</v>
      </c>
      <c r="AG655" s="18" t="s">
        <v>92</v>
      </c>
      <c r="AH655" s="18" t="s">
        <v>165</v>
      </c>
      <c r="AI655" s="18" t="s">
        <v>94</v>
      </c>
      <c r="AJ655" s="19">
        <v>44896</v>
      </c>
      <c r="AK655" s="22" t="s">
        <v>95</v>
      </c>
      <c r="AL655" s="18" t="s">
        <v>95</v>
      </c>
      <c r="AM655" s="18" t="s">
        <v>95</v>
      </c>
      <c r="AN655" s="18" t="s">
        <v>95</v>
      </c>
      <c r="AO655" s="18" t="s">
        <v>95</v>
      </c>
      <c r="AP655" s="18" t="s">
        <v>95</v>
      </c>
      <c r="AQ655" s="18" t="s">
        <v>95</v>
      </c>
      <c r="AR655" s="18" t="s">
        <v>95</v>
      </c>
      <c r="AS655" s="18" t="s">
        <v>83</v>
      </c>
      <c r="AT655" s="18" t="s">
        <v>81</v>
      </c>
      <c r="AU655" s="18" t="s">
        <v>81</v>
      </c>
      <c r="AV655" s="18" t="s">
        <v>95</v>
      </c>
      <c r="AW655" s="18" t="s">
        <v>95</v>
      </c>
      <c r="AX655" s="18"/>
      <c r="AY655" s="18" t="str">
        <f>Pospago[[#This Row],[NUM_TELEFONICO]]&amp;"POSPAGOSI"</f>
        <v>991407122POSPAGOSI</v>
      </c>
      <c r="AZ655" s="18" t="str">
        <f>VLOOKUP(Pospago[[#This Row],[NOM_PLAZA_FINAL]],[1]!Locales[#Data],3,0)</f>
        <v>TIENDA MACHALA</v>
      </c>
      <c r="BA655" s="18" t="str">
        <f>IFERROR(VLOOKUP(Pospago[[#This Row],[USUARIO]],[1]!Personal[#Data],6,0),"EJECUTIVO NO REGISTRADO")</f>
        <v>ARROBO VICENTE YADIRA ESPERANZA</v>
      </c>
      <c r="BB655" s="18" t="str">
        <f>Pospago[[#This Row],[TIPO_MOVIMIENTO]]&amp;" "&amp;Pospago[[#This Row],[FORMA_PAGO_FINAL]]</f>
        <v>TRANSFERENCIAS DOMICILIADO</v>
      </c>
      <c r="BC655" s="18">
        <f>DAY(Pospago[[#This Row],[FECHA_ALTA]])</f>
        <v>1</v>
      </c>
      <c r="BD655" s="18">
        <f>IF(Pospago[[#This Row],[TARIFA_BASICA]]=11.42,1,0)</f>
        <v>1</v>
      </c>
      <c r="BE655" s="18">
        <f>IF(Pospago[[#This Row],[PLANES TELEVENTAS]]="SI",1,0)</f>
        <v>1</v>
      </c>
      <c r="BF655" s="18">
        <f>1</f>
        <v>1</v>
      </c>
      <c r="BG655" s="18">
        <f>IF(OR(Pospago[[#This Row],[TARIFA_BASICA]]=11.42,Pospago[[#This Row],[PLANES TELEVENTAS]]="SI"),1,0)</f>
        <v>1</v>
      </c>
      <c r="BH655" s="18" t="str">
        <f>IF(MID(Pospago[[#This Row],[PlanDesc]],1,4) = "PLAN","POSPAGO",IF(MID(Pospago[[#This Row],[PlanDesc]],1,4)="FULL","FULL MEGAS","PREVIOPAGO"))</f>
        <v>PREVIOPAGO</v>
      </c>
      <c r="BI6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4.992</v>
      </c>
      <c r="BJ6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55" s="21">
        <f>Pospago[[#This Row],[TARIFA_BASICA]]*1.5</f>
        <v>17.13</v>
      </c>
    </row>
    <row r="656" spans="1:63" x14ac:dyDescent="0.25">
      <c r="A656" s="18" t="s">
        <v>154</v>
      </c>
      <c r="B656" s="18" t="s">
        <v>4229</v>
      </c>
      <c r="C656" s="18" t="s">
        <v>4230</v>
      </c>
      <c r="D656" s="19">
        <v>44901</v>
      </c>
      <c r="E656" s="18" t="s">
        <v>67</v>
      </c>
      <c r="F656" s="18" t="s">
        <v>4231</v>
      </c>
      <c r="G656" s="18" t="s">
        <v>4232</v>
      </c>
      <c r="H656" s="18" t="s">
        <v>159</v>
      </c>
      <c r="I656" s="18" t="s">
        <v>1357</v>
      </c>
      <c r="J656" s="18" t="s">
        <v>2022</v>
      </c>
      <c r="K656" s="18" t="s">
        <v>132</v>
      </c>
      <c r="L656" s="20" t="s">
        <v>4233</v>
      </c>
      <c r="M656" s="18" t="s">
        <v>75</v>
      </c>
      <c r="N656" s="20" t="s">
        <v>4234</v>
      </c>
      <c r="O656" s="18" t="s">
        <v>164</v>
      </c>
      <c r="P656" s="18" t="s">
        <v>78</v>
      </c>
      <c r="Q656" s="19">
        <v>44914</v>
      </c>
      <c r="R656" s="21">
        <v>11.42</v>
      </c>
      <c r="S656" s="18" t="s">
        <v>79</v>
      </c>
      <c r="T656" s="18" t="s">
        <v>174</v>
      </c>
      <c r="U656" s="18" t="s">
        <v>83</v>
      </c>
      <c r="V656" s="18" t="s">
        <v>95</v>
      </c>
      <c r="W656" s="18" t="s">
        <v>95</v>
      </c>
      <c r="X656" s="18" t="s">
        <v>118</v>
      </c>
      <c r="Y656" s="18" t="s">
        <v>85</v>
      </c>
      <c r="Z656" s="18" t="s">
        <v>86</v>
      </c>
      <c r="AA656" s="18" t="s">
        <v>119</v>
      </c>
      <c r="AB656" s="18" t="s">
        <v>175</v>
      </c>
      <c r="AC656" s="18" t="s">
        <v>176</v>
      </c>
      <c r="AD656" s="18" t="s">
        <v>85</v>
      </c>
      <c r="AE656" s="18" t="s">
        <v>90</v>
      </c>
      <c r="AF656" s="18" t="s">
        <v>177</v>
      </c>
      <c r="AG656" s="18" t="s">
        <v>139</v>
      </c>
      <c r="AH656" s="18" t="s">
        <v>165</v>
      </c>
      <c r="AI656" s="18" t="s">
        <v>94</v>
      </c>
      <c r="AJ656" s="19">
        <v>44901</v>
      </c>
      <c r="AK656" s="22" t="s">
        <v>95</v>
      </c>
      <c r="AL656" s="18" t="s">
        <v>95</v>
      </c>
      <c r="AM656" s="18" t="s">
        <v>95</v>
      </c>
      <c r="AN656" s="18" t="s">
        <v>95</v>
      </c>
      <c r="AO656" s="18" t="s">
        <v>95</v>
      </c>
      <c r="AP656" s="18" t="s">
        <v>95</v>
      </c>
      <c r="AQ656" s="18" t="s">
        <v>95</v>
      </c>
      <c r="AR656" s="18" t="s">
        <v>95</v>
      </c>
      <c r="AS656" s="18" t="s">
        <v>83</v>
      </c>
      <c r="AT656" s="18" t="s">
        <v>81</v>
      </c>
      <c r="AU656" s="18" t="s">
        <v>81</v>
      </c>
      <c r="AV656" s="18" t="s">
        <v>95</v>
      </c>
      <c r="AW656" s="18" t="s">
        <v>95</v>
      </c>
      <c r="AX656" s="18"/>
      <c r="AY656" s="18" t="str">
        <f>Pospago[[#This Row],[NUM_TELEFONICO]]&amp;"POSPAGOSI"</f>
        <v>991481114POSPAGOSI</v>
      </c>
      <c r="AZ656" s="18" t="str">
        <f>VLOOKUP(Pospago[[#This Row],[NOM_PLAZA_FINAL]],[1]!Locales[#Data],3,0)</f>
        <v>TIENDA RECREO</v>
      </c>
      <c r="BA656" s="18" t="str">
        <f>IFERROR(VLOOKUP(Pospago[[#This Row],[USUARIO]],[1]!Personal[#Data],6,0),"EJECUTIVO NO REGISTRADO")</f>
        <v>VARGAS REYES LUIS EDUARDO</v>
      </c>
      <c r="BB656" s="18" t="str">
        <f>Pospago[[#This Row],[TIPO_MOVIMIENTO]]&amp;" "&amp;Pospago[[#This Row],[FORMA_PAGO_FINAL]]</f>
        <v>TRANSFERENCIAS PAGO EN CAJA</v>
      </c>
      <c r="BC656" s="18">
        <f>DAY(Pospago[[#This Row],[FECHA_ALTA]])</f>
        <v>6</v>
      </c>
      <c r="BD656" s="18">
        <f>IF(Pospago[[#This Row],[TARIFA_BASICA]]=11.42,1,0)</f>
        <v>1</v>
      </c>
      <c r="BE656" s="18">
        <f>IF(Pospago[[#This Row],[PLANES TELEVENTAS]]="SI",1,0)</f>
        <v>1</v>
      </c>
      <c r="BF656" s="18">
        <f>1</f>
        <v>1</v>
      </c>
      <c r="BG656" s="18">
        <f>IF(OR(Pospago[[#This Row],[TARIFA_BASICA]]=11.42,Pospago[[#This Row],[PLANES TELEVENTAS]]="SI"),1,0)</f>
        <v>1</v>
      </c>
      <c r="BH656" s="18" t="str">
        <f>IF(MID(Pospago[[#This Row],[PlanDesc]],1,4) = "PLAN","POSPAGO",IF(MID(Pospago[[#This Row],[PlanDesc]],1,4)="FULL","FULL MEGAS","PREVIOPAGO"))</f>
        <v>PREVIOPAGO</v>
      </c>
      <c r="BI6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6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56" s="21">
        <f>Pospago[[#This Row],[TARIFA_BASICA]]*1.5</f>
        <v>17.13</v>
      </c>
    </row>
    <row r="657" spans="1:63" x14ac:dyDescent="0.25">
      <c r="A657" s="18" t="s">
        <v>154</v>
      </c>
      <c r="B657" s="18" t="s">
        <v>4235</v>
      </c>
      <c r="C657" s="18" t="s">
        <v>4236</v>
      </c>
      <c r="D657" s="19">
        <v>44903</v>
      </c>
      <c r="E657" s="18" t="s">
        <v>67</v>
      </c>
      <c r="F657" s="18" t="s">
        <v>4237</v>
      </c>
      <c r="G657" s="18" t="s">
        <v>4238</v>
      </c>
      <c r="H657" s="18" t="s">
        <v>159</v>
      </c>
      <c r="I657" s="18" t="s">
        <v>160</v>
      </c>
      <c r="J657" s="18" t="s">
        <v>161</v>
      </c>
      <c r="K657" s="18" t="s">
        <v>132</v>
      </c>
      <c r="L657" s="20" t="s">
        <v>4239</v>
      </c>
      <c r="M657" s="18" t="s">
        <v>75</v>
      </c>
      <c r="N657" s="20" t="s">
        <v>4240</v>
      </c>
      <c r="O657" s="18" t="s">
        <v>164</v>
      </c>
      <c r="P657" s="18" t="s">
        <v>78</v>
      </c>
      <c r="Q657" s="19">
        <v>44914</v>
      </c>
      <c r="R657" s="21">
        <v>14.28</v>
      </c>
      <c r="S657" s="18" t="s">
        <v>79</v>
      </c>
      <c r="T657" s="18" t="s">
        <v>80</v>
      </c>
      <c r="U657" s="18" t="s">
        <v>83</v>
      </c>
      <c r="V657" s="18" t="s">
        <v>95</v>
      </c>
      <c r="W657" s="18" t="s">
        <v>95</v>
      </c>
      <c r="X657" s="18" t="s">
        <v>118</v>
      </c>
      <c r="Y657" s="18" t="s">
        <v>85</v>
      </c>
      <c r="Z657" s="18" t="s">
        <v>86</v>
      </c>
      <c r="AA657" s="18" t="s">
        <v>119</v>
      </c>
      <c r="AB657" s="18" t="s">
        <v>242</v>
      </c>
      <c r="AC657" s="18" t="s">
        <v>243</v>
      </c>
      <c r="AD657" s="18" t="s">
        <v>85</v>
      </c>
      <c r="AE657" s="18" t="s">
        <v>90</v>
      </c>
      <c r="AF657" s="18" t="s">
        <v>91</v>
      </c>
      <c r="AG657" s="18" t="s">
        <v>92</v>
      </c>
      <c r="AH657" s="18" t="s">
        <v>165</v>
      </c>
      <c r="AI657" s="18" t="s">
        <v>94</v>
      </c>
      <c r="AJ657" s="19">
        <v>44903</v>
      </c>
      <c r="AK657" s="22" t="s">
        <v>95</v>
      </c>
      <c r="AL657" s="18" t="s">
        <v>95</v>
      </c>
      <c r="AM657" s="18" t="s">
        <v>95</v>
      </c>
      <c r="AN657" s="18" t="s">
        <v>95</v>
      </c>
      <c r="AO657" s="18" t="s">
        <v>95</v>
      </c>
      <c r="AP657" s="18" t="s">
        <v>95</v>
      </c>
      <c r="AQ657" s="18" t="s">
        <v>95</v>
      </c>
      <c r="AR657" s="18" t="s">
        <v>95</v>
      </c>
      <c r="AS657" s="18" t="s">
        <v>83</v>
      </c>
      <c r="AT657" s="18" t="s">
        <v>83</v>
      </c>
      <c r="AU657" s="18" t="s">
        <v>81</v>
      </c>
      <c r="AV657" s="18" t="s">
        <v>95</v>
      </c>
      <c r="AW657" s="18" t="s">
        <v>95</v>
      </c>
      <c r="AX657" s="18"/>
      <c r="AY657" s="18" t="str">
        <f>Pospago[[#This Row],[NUM_TELEFONICO]]&amp;"POSPAGOSI"</f>
        <v>991768890POSPAGOSI</v>
      </c>
      <c r="AZ657" s="18" t="str">
        <f>VLOOKUP(Pospago[[#This Row],[NOM_PLAZA_FINAL]],[1]!Locales[#Data],3,0)</f>
        <v>TIENDA CUENCA CENTRO</v>
      </c>
      <c r="BA657" s="18" t="str">
        <f>IFERROR(VLOOKUP(Pospago[[#This Row],[USUARIO]],[1]!Personal[#Data],6,0),"EJECUTIVO NO REGISTRADO")</f>
        <v>VALLEJO DELEG ROMAN NICOLAS</v>
      </c>
      <c r="BB657" s="18" t="str">
        <f>Pospago[[#This Row],[TIPO_MOVIMIENTO]]&amp;" "&amp;Pospago[[#This Row],[FORMA_PAGO_FINAL]]</f>
        <v>TRANSFERENCIAS PAGO EN CAJA</v>
      </c>
      <c r="BC657" s="18">
        <f>DAY(Pospago[[#This Row],[FECHA_ALTA]])</f>
        <v>8</v>
      </c>
      <c r="BD657" s="18">
        <f>IF(Pospago[[#This Row],[TARIFA_BASICA]]=11.42,1,0)</f>
        <v>0</v>
      </c>
      <c r="BE657" s="18">
        <f>IF(Pospago[[#This Row],[PLANES TELEVENTAS]]="SI",1,0)</f>
        <v>0</v>
      </c>
      <c r="BF657" s="18">
        <f>1</f>
        <v>1</v>
      </c>
      <c r="BG657" s="18">
        <f>IF(OR(Pospago[[#This Row],[TARIFA_BASICA]]=11.42,Pospago[[#This Row],[PLANES TELEVENTAS]]="SI"),1,0)</f>
        <v>0</v>
      </c>
      <c r="BH657" s="18" t="str">
        <f>IF(MID(Pospago[[#This Row],[PlanDesc]],1,4) = "PLAN","POSPAGO",IF(MID(Pospago[[#This Row],[PlanDesc]],1,4)="FULL","FULL MEGAS","PREVIOPAGO"))</f>
        <v>PREVIOPAGO</v>
      </c>
      <c r="BI6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57" s="21">
        <f>Pospago[[#This Row],[TARIFA_BASICA]]*1.5</f>
        <v>21.419999999999998</v>
      </c>
    </row>
    <row r="658" spans="1:63" x14ac:dyDescent="0.25">
      <c r="A658" s="18" t="s">
        <v>154</v>
      </c>
      <c r="B658" s="18" t="s">
        <v>4241</v>
      </c>
      <c r="C658" s="18" t="s">
        <v>4242</v>
      </c>
      <c r="D658" s="19">
        <v>44902</v>
      </c>
      <c r="E658" s="18" t="s">
        <v>67</v>
      </c>
      <c r="F658" s="18" t="s">
        <v>4243</v>
      </c>
      <c r="G658" s="18" t="s">
        <v>4244</v>
      </c>
      <c r="H658" s="18" t="s">
        <v>159</v>
      </c>
      <c r="I658" s="18" t="s">
        <v>160</v>
      </c>
      <c r="J658" s="18" t="s">
        <v>161</v>
      </c>
      <c r="K658" s="18" t="s">
        <v>132</v>
      </c>
      <c r="L658" s="20" t="s">
        <v>4245</v>
      </c>
      <c r="M658" s="18" t="s">
        <v>75</v>
      </c>
      <c r="N658" s="20" t="s">
        <v>4246</v>
      </c>
      <c r="O658" s="18" t="s">
        <v>164</v>
      </c>
      <c r="P658" s="18" t="s">
        <v>78</v>
      </c>
      <c r="Q658" s="19">
        <v>44914</v>
      </c>
      <c r="R658" s="21">
        <v>14.28</v>
      </c>
      <c r="S658" s="18" t="s">
        <v>79</v>
      </c>
      <c r="T658" s="18" t="s">
        <v>174</v>
      </c>
      <c r="U658" s="18" t="s">
        <v>83</v>
      </c>
      <c r="V658" s="18" t="s">
        <v>95</v>
      </c>
      <c r="W658" s="18" t="s">
        <v>95</v>
      </c>
      <c r="X658" s="18" t="s">
        <v>84</v>
      </c>
      <c r="Y658" s="18" t="s">
        <v>85</v>
      </c>
      <c r="Z658" s="18" t="s">
        <v>86</v>
      </c>
      <c r="AA658" s="18" t="s">
        <v>87</v>
      </c>
      <c r="AB658" s="18" t="s">
        <v>1315</v>
      </c>
      <c r="AC658" s="18" t="s">
        <v>1316</v>
      </c>
      <c r="AD658" s="18" t="s">
        <v>85</v>
      </c>
      <c r="AE658" s="18" t="s">
        <v>90</v>
      </c>
      <c r="AF658" s="18" t="s">
        <v>177</v>
      </c>
      <c r="AG658" s="18" t="s">
        <v>139</v>
      </c>
      <c r="AH658" s="18" t="s">
        <v>165</v>
      </c>
      <c r="AI658" s="18" t="s">
        <v>94</v>
      </c>
      <c r="AJ658" s="19">
        <v>44902</v>
      </c>
      <c r="AK658" s="22" t="s">
        <v>95</v>
      </c>
      <c r="AL658" s="18" t="s">
        <v>95</v>
      </c>
      <c r="AM658" s="18" t="s">
        <v>95</v>
      </c>
      <c r="AN658" s="18" t="s">
        <v>95</v>
      </c>
      <c r="AO658" s="18" t="s">
        <v>95</v>
      </c>
      <c r="AP658" s="18" t="s">
        <v>95</v>
      </c>
      <c r="AQ658" s="18" t="s">
        <v>95</v>
      </c>
      <c r="AR658" s="18" t="s">
        <v>95</v>
      </c>
      <c r="AS658" s="18" t="s">
        <v>83</v>
      </c>
      <c r="AT658" s="18" t="s">
        <v>83</v>
      </c>
      <c r="AU658" s="18" t="s">
        <v>81</v>
      </c>
      <c r="AV658" s="18" t="s">
        <v>95</v>
      </c>
      <c r="AW658" s="18" t="s">
        <v>95</v>
      </c>
      <c r="AX658" s="18"/>
      <c r="AY658" s="18" t="str">
        <f>Pospago[[#This Row],[NUM_TELEFONICO]]&amp;"POSPAGOSI"</f>
        <v>991949518POSPAGOSI</v>
      </c>
      <c r="AZ658" s="18" t="str">
        <f>VLOOKUP(Pospago[[#This Row],[NOM_PLAZA_FINAL]],[1]!Locales[#Data],3,0)</f>
        <v>TIENDA RECREO</v>
      </c>
      <c r="BA658" s="18" t="str">
        <f>IFERROR(VLOOKUP(Pospago[[#This Row],[USUARIO]],[1]!Personal[#Data],6,0),"EJECUTIVO NO REGISTRADO")</f>
        <v>ORTEGA  NATALIE MÉNDEZ</v>
      </c>
      <c r="BB658" s="18" t="str">
        <f>Pospago[[#This Row],[TIPO_MOVIMIENTO]]&amp;" "&amp;Pospago[[#This Row],[FORMA_PAGO_FINAL]]</f>
        <v>TRANSFERENCIAS DOMICILIADO</v>
      </c>
      <c r="BC658" s="18">
        <f>DAY(Pospago[[#This Row],[FECHA_ALTA]])</f>
        <v>7</v>
      </c>
      <c r="BD658" s="18">
        <f>IF(Pospago[[#This Row],[TARIFA_BASICA]]=11.42,1,0)</f>
        <v>0</v>
      </c>
      <c r="BE658" s="18">
        <f>IF(Pospago[[#This Row],[PLANES TELEVENTAS]]="SI",1,0)</f>
        <v>0</v>
      </c>
      <c r="BF658" s="18">
        <f>1</f>
        <v>1</v>
      </c>
      <c r="BG658" s="18">
        <f>IF(OR(Pospago[[#This Row],[TARIFA_BASICA]]=11.42,Pospago[[#This Row],[PLANES TELEVENTAS]]="SI"),1,0)</f>
        <v>0</v>
      </c>
      <c r="BH658" s="18" t="str">
        <f>IF(MID(Pospago[[#This Row],[PlanDesc]],1,4) = "PLAN","POSPAGO",IF(MID(Pospago[[#This Row],[PlanDesc]],1,4)="FULL","FULL MEGAS","PREVIOPAGO"))</f>
        <v>PREVIOPAGO</v>
      </c>
      <c r="BI6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58" s="21">
        <f>Pospago[[#This Row],[TARIFA_BASICA]]*1.5</f>
        <v>21.419999999999998</v>
      </c>
    </row>
    <row r="659" spans="1:63" x14ac:dyDescent="0.25">
      <c r="A659" s="18" t="s">
        <v>154</v>
      </c>
      <c r="B659" s="18" t="s">
        <v>4247</v>
      </c>
      <c r="C659" s="18" t="s">
        <v>4248</v>
      </c>
      <c r="D659" s="19">
        <v>44901</v>
      </c>
      <c r="E659" s="18" t="s">
        <v>67</v>
      </c>
      <c r="F659" s="18" t="s">
        <v>4249</v>
      </c>
      <c r="G659" s="18" t="s">
        <v>4250</v>
      </c>
      <c r="H659" s="18" t="s">
        <v>159</v>
      </c>
      <c r="I659" s="18" t="s">
        <v>160</v>
      </c>
      <c r="J659" s="18" t="s">
        <v>161</v>
      </c>
      <c r="K659" s="18" t="s">
        <v>73</v>
      </c>
      <c r="L659" s="20" t="s">
        <v>4251</v>
      </c>
      <c r="M659" s="18" t="s">
        <v>75</v>
      </c>
      <c r="N659" s="20" t="s">
        <v>4252</v>
      </c>
      <c r="O659" s="18" t="s">
        <v>164</v>
      </c>
      <c r="P659" s="18" t="s">
        <v>78</v>
      </c>
      <c r="Q659" s="19">
        <v>44914</v>
      </c>
      <c r="R659" s="21">
        <v>14.28</v>
      </c>
      <c r="S659" s="18" t="s">
        <v>79</v>
      </c>
      <c r="T659" s="18" t="s">
        <v>148</v>
      </c>
      <c r="U659" s="18" t="s">
        <v>83</v>
      </c>
      <c r="V659" s="18" t="s">
        <v>95</v>
      </c>
      <c r="W659" s="18" t="s">
        <v>95</v>
      </c>
      <c r="X659" s="18" t="s">
        <v>215</v>
      </c>
      <c r="Y659" s="18" t="s">
        <v>85</v>
      </c>
      <c r="Z659" s="18" t="s">
        <v>86</v>
      </c>
      <c r="AA659" s="18" t="s">
        <v>87</v>
      </c>
      <c r="AB659" s="18" t="s">
        <v>318</v>
      </c>
      <c r="AC659" s="18" t="s">
        <v>319</v>
      </c>
      <c r="AD659" s="18" t="s">
        <v>85</v>
      </c>
      <c r="AE659" s="18" t="s">
        <v>90</v>
      </c>
      <c r="AF659" s="18" t="s">
        <v>151</v>
      </c>
      <c r="AG659" s="18" t="s">
        <v>92</v>
      </c>
      <c r="AH659" s="18" t="s">
        <v>165</v>
      </c>
      <c r="AI659" s="18" t="s">
        <v>94</v>
      </c>
      <c r="AJ659" s="19">
        <v>44901</v>
      </c>
      <c r="AK659" s="22" t="s">
        <v>95</v>
      </c>
      <c r="AL659" s="18" t="s">
        <v>95</v>
      </c>
      <c r="AM659" s="18" t="s">
        <v>95</v>
      </c>
      <c r="AN659" s="18" t="s">
        <v>95</v>
      </c>
      <c r="AO659" s="18" t="s">
        <v>95</v>
      </c>
      <c r="AP659" s="18" t="s">
        <v>95</v>
      </c>
      <c r="AQ659" s="18" t="s">
        <v>95</v>
      </c>
      <c r="AR659" s="18" t="s">
        <v>95</v>
      </c>
      <c r="AS659" s="18" t="s">
        <v>83</v>
      </c>
      <c r="AT659" s="18" t="s">
        <v>83</v>
      </c>
      <c r="AU659" s="18" t="s">
        <v>81</v>
      </c>
      <c r="AV659" s="18" t="s">
        <v>95</v>
      </c>
      <c r="AW659" s="18" t="s">
        <v>95</v>
      </c>
      <c r="AX659" s="18"/>
      <c r="AY659" s="18" t="str">
        <f>Pospago[[#This Row],[NUM_TELEFONICO]]&amp;"POSPAGOSI"</f>
        <v>991977101POSPAGOSI</v>
      </c>
      <c r="AZ659" s="18" t="str">
        <f>VLOOKUP(Pospago[[#This Row],[NOM_PLAZA_FINAL]],[1]!Locales[#Data],3,0)</f>
        <v>TIENDA CUENCA REMIGIO</v>
      </c>
      <c r="BA659" s="18" t="str">
        <f>IFERROR(VLOOKUP(Pospago[[#This Row],[USUARIO]],[1]!Personal[#Data],6,0),"EJECUTIVO NO REGISTRADO")</f>
        <v>RODRIGUEZ QUITO JESSICA GABRIELA</v>
      </c>
      <c r="BB659" s="18" t="str">
        <f>Pospago[[#This Row],[TIPO_MOVIMIENTO]]&amp;" "&amp;Pospago[[#This Row],[FORMA_PAGO_FINAL]]</f>
        <v>TRANSFERENCIAS DOMICILIADO</v>
      </c>
      <c r="BC659" s="18">
        <f>DAY(Pospago[[#This Row],[FECHA_ALTA]])</f>
        <v>6</v>
      </c>
      <c r="BD659" s="18">
        <f>IF(Pospago[[#This Row],[TARIFA_BASICA]]=11.42,1,0)</f>
        <v>0</v>
      </c>
      <c r="BE659" s="18">
        <f>IF(Pospago[[#This Row],[PLANES TELEVENTAS]]="SI",1,0)</f>
        <v>0</v>
      </c>
      <c r="BF659" s="18">
        <f>1</f>
        <v>1</v>
      </c>
      <c r="BG659" s="18">
        <f>IF(OR(Pospago[[#This Row],[TARIFA_BASICA]]=11.42,Pospago[[#This Row],[PLANES TELEVENTAS]]="SI"),1,0)</f>
        <v>0</v>
      </c>
      <c r="BH659" s="18" t="str">
        <f>IF(MID(Pospago[[#This Row],[PlanDesc]],1,4) = "PLAN","POSPAGO",IF(MID(Pospago[[#This Row],[PlanDesc]],1,4)="FULL","FULL MEGAS","PREVIOPAGO"))</f>
        <v>PREVIOPAGO</v>
      </c>
      <c r="BI6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59" s="21">
        <f>Pospago[[#This Row],[TARIFA_BASICA]]*1.5</f>
        <v>21.419999999999998</v>
      </c>
    </row>
    <row r="660" spans="1:63" x14ac:dyDescent="0.25">
      <c r="A660" s="18" t="s">
        <v>64</v>
      </c>
      <c r="B660" s="18" t="s">
        <v>4253</v>
      </c>
      <c r="C660" s="18" t="s">
        <v>4254</v>
      </c>
      <c r="D660" s="19">
        <v>44907</v>
      </c>
      <c r="E660" s="18" t="s">
        <v>67</v>
      </c>
      <c r="F660" s="18" t="s">
        <v>4255</v>
      </c>
      <c r="G660" s="18" t="s">
        <v>4256</v>
      </c>
      <c r="H660" s="18" t="s">
        <v>70</v>
      </c>
      <c r="I660" s="18" t="s">
        <v>160</v>
      </c>
      <c r="J660" s="18" t="s">
        <v>195</v>
      </c>
      <c r="K660" s="18" t="s">
        <v>114</v>
      </c>
      <c r="L660" s="20" t="s">
        <v>4257</v>
      </c>
      <c r="M660" s="18" t="s">
        <v>75</v>
      </c>
      <c r="N660" s="20" t="s">
        <v>4258</v>
      </c>
      <c r="O660" s="18" t="s">
        <v>77</v>
      </c>
      <c r="P660" s="18" t="s">
        <v>78</v>
      </c>
      <c r="Q660" s="19">
        <v>44914</v>
      </c>
      <c r="R660" s="21">
        <v>14.28</v>
      </c>
      <c r="S660" s="18" t="s">
        <v>79</v>
      </c>
      <c r="T660" s="18" t="s">
        <v>117</v>
      </c>
      <c r="U660" s="18" t="s">
        <v>81</v>
      </c>
      <c r="V660" s="18" t="s">
        <v>82</v>
      </c>
      <c r="W660" s="18" t="s">
        <v>83</v>
      </c>
      <c r="X660" s="18" t="s">
        <v>118</v>
      </c>
      <c r="Y660" s="18" t="s">
        <v>85</v>
      </c>
      <c r="Z660" s="18" t="s">
        <v>86</v>
      </c>
      <c r="AA660" s="18" t="s">
        <v>119</v>
      </c>
      <c r="AB660" s="18" t="s">
        <v>651</v>
      </c>
      <c r="AC660" s="18" t="s">
        <v>652</v>
      </c>
      <c r="AD660" s="18" t="s">
        <v>85</v>
      </c>
      <c r="AE660" s="18" t="s">
        <v>90</v>
      </c>
      <c r="AF660" s="18" t="s">
        <v>122</v>
      </c>
      <c r="AG660" s="18" t="s">
        <v>92</v>
      </c>
      <c r="AH660" s="18" t="s">
        <v>93</v>
      </c>
      <c r="AI660" s="18" t="s">
        <v>94</v>
      </c>
      <c r="AJ660" s="19">
        <v>44907</v>
      </c>
      <c r="AK660" s="22" t="s">
        <v>95</v>
      </c>
      <c r="AL660" s="18" t="s">
        <v>95</v>
      </c>
      <c r="AM660" s="18" t="s">
        <v>95</v>
      </c>
      <c r="AN660" s="18" t="s">
        <v>95</v>
      </c>
      <c r="AO660" s="18" t="s">
        <v>95</v>
      </c>
      <c r="AP660" s="18" t="s">
        <v>95</v>
      </c>
      <c r="AQ660" s="18" t="s">
        <v>95</v>
      </c>
      <c r="AR660" s="18" t="s">
        <v>95</v>
      </c>
      <c r="AS660" s="18" t="s">
        <v>83</v>
      </c>
      <c r="AT660" s="18" t="s">
        <v>83</v>
      </c>
      <c r="AU660" s="18" t="s">
        <v>81</v>
      </c>
      <c r="AV660" s="18" t="s">
        <v>95</v>
      </c>
      <c r="AW660" s="18" t="s">
        <v>95</v>
      </c>
      <c r="AX660" s="18"/>
      <c r="AY660" s="18" t="str">
        <f>Pospago[[#This Row],[NUM_TELEFONICO]]&amp;"POSPAGOSI"</f>
        <v>992213597POSPAGOSI</v>
      </c>
      <c r="AZ660" s="18" t="str">
        <f>VLOOKUP(Pospago[[#This Row],[NOM_PLAZA_FINAL]],[1]!Locales[#Data],3,0)</f>
        <v>TIENDA MACHALA</v>
      </c>
      <c r="BA660" s="18" t="str">
        <f>IFERROR(VLOOKUP(Pospago[[#This Row],[USUARIO]],[1]!Personal[#Data],6,0),"EJECUTIVO NO REGISTRADO")</f>
        <v>SANCHEZ SARITAMA JOEL LUIS</v>
      </c>
      <c r="BB660" s="18" t="str">
        <f>Pospago[[#This Row],[TIPO_MOVIMIENTO]]&amp;" "&amp;Pospago[[#This Row],[FORMA_PAGO_FINAL]]</f>
        <v>ALTAS PAGO EN CAJA</v>
      </c>
      <c r="BC660" s="18">
        <f>DAY(Pospago[[#This Row],[FECHA_ALTA]])</f>
        <v>12</v>
      </c>
      <c r="BD660" s="18">
        <f>IF(Pospago[[#This Row],[TARIFA_BASICA]]=11.42,1,0)</f>
        <v>0</v>
      </c>
      <c r="BE660" s="18">
        <f>IF(Pospago[[#This Row],[PLANES TELEVENTAS]]="SI",1,0)</f>
        <v>0</v>
      </c>
      <c r="BF660" s="18">
        <f>1</f>
        <v>1</v>
      </c>
      <c r="BG660" s="18">
        <f>IF(OR(Pospago[[#This Row],[TARIFA_BASICA]]=11.42,Pospago[[#This Row],[PLANES TELEVENTAS]]="SI"),1,0)</f>
        <v>0</v>
      </c>
      <c r="BH660" s="18" t="str">
        <f>IF(MID(Pospago[[#This Row],[PlanDesc]],1,4) = "PLAN","POSPAGO",IF(MID(Pospago[[#This Row],[PlanDesc]],1,4)="FULL","FULL MEGAS","PREVIOPAGO"))</f>
        <v>PREVIOPAGO</v>
      </c>
      <c r="BI6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10.884</v>
      </c>
      <c r="BJ6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0" s="21">
        <f>Pospago[[#This Row],[TARIFA_BASICA]]*1.5</f>
        <v>21.419999999999998</v>
      </c>
    </row>
    <row r="661" spans="1:63" x14ac:dyDescent="0.25">
      <c r="A661" s="18" t="s">
        <v>64</v>
      </c>
      <c r="B661" s="18" t="s">
        <v>4259</v>
      </c>
      <c r="C661" s="18" t="s">
        <v>4260</v>
      </c>
      <c r="D661" s="19">
        <v>44898</v>
      </c>
      <c r="E661" s="18" t="s">
        <v>67</v>
      </c>
      <c r="F661" s="18" t="s">
        <v>4261</v>
      </c>
      <c r="G661" s="18" t="s">
        <v>4262</v>
      </c>
      <c r="H661" s="18" t="s">
        <v>70</v>
      </c>
      <c r="I661" s="18" t="s">
        <v>160</v>
      </c>
      <c r="J661" s="18" t="s">
        <v>195</v>
      </c>
      <c r="K661" s="18" t="s">
        <v>132</v>
      </c>
      <c r="L661" s="20" t="s">
        <v>4263</v>
      </c>
      <c r="M661" s="18" t="s">
        <v>287</v>
      </c>
      <c r="N661" s="20" t="s">
        <v>4264</v>
      </c>
      <c r="O661" s="18" t="s">
        <v>231</v>
      </c>
      <c r="P661" s="18" t="s">
        <v>78</v>
      </c>
      <c r="Q661" s="19">
        <v>44914</v>
      </c>
      <c r="R661" s="21">
        <v>14.28</v>
      </c>
      <c r="S661" s="18" t="s">
        <v>79</v>
      </c>
      <c r="T661" s="18" t="s">
        <v>232</v>
      </c>
      <c r="U661" s="18" t="s">
        <v>83</v>
      </c>
      <c r="V661" s="18" t="s">
        <v>95</v>
      </c>
      <c r="W661" s="18" t="s">
        <v>83</v>
      </c>
      <c r="X661" s="18" t="s">
        <v>84</v>
      </c>
      <c r="Y661" s="18" t="s">
        <v>85</v>
      </c>
      <c r="Z661" s="18" t="s">
        <v>86</v>
      </c>
      <c r="AA661" s="18" t="s">
        <v>87</v>
      </c>
      <c r="AB661" s="18" t="s">
        <v>280</v>
      </c>
      <c r="AC661" s="18" t="s">
        <v>281</v>
      </c>
      <c r="AD661" s="18" t="s">
        <v>85</v>
      </c>
      <c r="AE661" s="18" t="s">
        <v>90</v>
      </c>
      <c r="AF661" s="18" t="s">
        <v>235</v>
      </c>
      <c r="AG661" s="18" t="s">
        <v>139</v>
      </c>
      <c r="AH661" s="18" t="s">
        <v>93</v>
      </c>
      <c r="AI661" s="18" t="s">
        <v>94</v>
      </c>
      <c r="AJ661" s="19">
        <v>44898</v>
      </c>
      <c r="AK661" s="22">
        <v>44898</v>
      </c>
      <c r="AL661" s="18" t="s">
        <v>291</v>
      </c>
      <c r="AM661" s="18" t="s">
        <v>292</v>
      </c>
      <c r="AN661" s="18" t="s">
        <v>293</v>
      </c>
      <c r="AO661" s="18" t="s">
        <v>543</v>
      </c>
      <c r="AP661" s="18">
        <v>1</v>
      </c>
      <c r="AQ661" s="18">
        <v>205.35713999999999</v>
      </c>
      <c r="AR661" s="18" t="s">
        <v>295</v>
      </c>
      <c r="AS661" s="18" t="s">
        <v>81</v>
      </c>
      <c r="AT661" s="18" t="s">
        <v>83</v>
      </c>
      <c r="AU661" s="18" t="s">
        <v>81</v>
      </c>
      <c r="AV661" s="18" t="s">
        <v>95</v>
      </c>
      <c r="AW661" s="18" t="s">
        <v>95</v>
      </c>
      <c r="AX661" s="18"/>
      <c r="AY661" s="18" t="str">
        <f>Pospago[[#This Row],[NUM_TELEFONICO]]&amp;"POSPAGOSI"</f>
        <v>992510945POSPAGOSI</v>
      </c>
      <c r="AZ661" s="18" t="str">
        <f>VLOOKUP(Pospago[[#This Row],[NOM_PLAZA_FINAL]],[1]!Locales[#Data],3,0)</f>
        <v>TIENDA CONDADO</v>
      </c>
      <c r="BA661" s="18" t="str">
        <f>IFERROR(VLOOKUP(Pospago[[#This Row],[USUARIO]],[1]!Personal[#Data],6,0),"EJECUTIVO NO REGISTRADO")</f>
        <v>GUACHAMIN CAZA HUGO ADRIAN</v>
      </c>
      <c r="BB661" s="18" t="str">
        <f>Pospago[[#This Row],[TIPO_MOVIMIENTO]]&amp;" "&amp;Pospago[[#This Row],[FORMA_PAGO_FINAL]]</f>
        <v>ALTAS DOMICILIADO</v>
      </c>
      <c r="BC661" s="18">
        <f>DAY(Pospago[[#This Row],[FECHA_ALTA]])</f>
        <v>3</v>
      </c>
      <c r="BD661" s="18">
        <f>IF(Pospago[[#This Row],[TARIFA_BASICA]]=11.42,1,0)</f>
        <v>0</v>
      </c>
      <c r="BE661" s="18">
        <f>IF(Pospago[[#This Row],[PLANES TELEVENTAS]]="SI",1,0)</f>
        <v>0</v>
      </c>
      <c r="BF661" s="18">
        <f>1</f>
        <v>1</v>
      </c>
      <c r="BG661" s="18">
        <f>IF(OR(Pospago[[#This Row],[TARIFA_BASICA]]=11.42,Pospago[[#This Row],[PLANES TELEVENTAS]]="SI"),1,0)</f>
        <v>0</v>
      </c>
      <c r="BH661" s="18" t="str">
        <f>IF(MID(Pospago[[#This Row],[PlanDesc]],1,4) = "PLAN","POSPAGO",IF(MID(Pospago[[#This Row],[PlanDesc]],1,4)="FULL","FULL MEGAS","PREVIOPAGO"))</f>
        <v>PREVIOPAGO</v>
      </c>
      <c r="BI6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1" s="21">
        <f>Pospago[[#This Row],[TARIFA_BASICA]]*1.5</f>
        <v>21.419999999999998</v>
      </c>
    </row>
    <row r="662" spans="1:63" x14ac:dyDescent="0.25">
      <c r="A662" s="18" t="s">
        <v>154</v>
      </c>
      <c r="B662" s="18" t="s">
        <v>4265</v>
      </c>
      <c r="C662" s="18" t="s">
        <v>4266</v>
      </c>
      <c r="D662" s="19">
        <v>44911</v>
      </c>
      <c r="E662" s="18" t="s">
        <v>67</v>
      </c>
      <c r="F662" s="18" t="s">
        <v>4267</v>
      </c>
      <c r="G662" s="18" t="s">
        <v>4268</v>
      </c>
      <c r="H662" s="18" t="s">
        <v>159</v>
      </c>
      <c r="I662" s="18" t="s">
        <v>194</v>
      </c>
      <c r="J662" s="18" t="s">
        <v>268</v>
      </c>
      <c r="K662" s="18" t="s">
        <v>132</v>
      </c>
      <c r="L662" s="20" t="s">
        <v>4269</v>
      </c>
      <c r="M662" s="18" t="s">
        <v>75</v>
      </c>
      <c r="N662" s="20" t="s">
        <v>4270</v>
      </c>
      <c r="O662" s="18" t="s">
        <v>164</v>
      </c>
      <c r="P662" s="18" t="s">
        <v>78</v>
      </c>
      <c r="Q662" s="19">
        <v>44914</v>
      </c>
      <c r="R662" s="21">
        <v>14.28</v>
      </c>
      <c r="S662" s="18" t="s">
        <v>79</v>
      </c>
      <c r="T662" s="18" t="s">
        <v>174</v>
      </c>
      <c r="U662" s="18" t="s">
        <v>83</v>
      </c>
      <c r="V662" s="18" t="s">
        <v>95</v>
      </c>
      <c r="W662" s="18" t="s">
        <v>95</v>
      </c>
      <c r="X662" s="18" t="s">
        <v>84</v>
      </c>
      <c r="Y662" s="18" t="s">
        <v>85</v>
      </c>
      <c r="Z662" s="18" t="s">
        <v>86</v>
      </c>
      <c r="AA662" s="18" t="s">
        <v>87</v>
      </c>
      <c r="AB662" s="18" t="s">
        <v>926</v>
      </c>
      <c r="AC662" s="18" t="s">
        <v>927</v>
      </c>
      <c r="AD662" s="18" t="s">
        <v>85</v>
      </c>
      <c r="AE662" s="18" t="s">
        <v>90</v>
      </c>
      <c r="AF662" s="18" t="s">
        <v>177</v>
      </c>
      <c r="AG662" s="18" t="s">
        <v>139</v>
      </c>
      <c r="AH662" s="18" t="s">
        <v>165</v>
      </c>
      <c r="AI662" s="18" t="s">
        <v>94</v>
      </c>
      <c r="AJ662" s="19">
        <v>44911</v>
      </c>
      <c r="AK662" s="22" t="s">
        <v>95</v>
      </c>
      <c r="AL662" s="18" t="s">
        <v>95</v>
      </c>
      <c r="AM662" s="18" t="s">
        <v>95</v>
      </c>
      <c r="AN662" s="18" t="s">
        <v>95</v>
      </c>
      <c r="AO662" s="18" t="s">
        <v>95</v>
      </c>
      <c r="AP662" s="18" t="s">
        <v>95</v>
      </c>
      <c r="AQ662" s="18" t="s">
        <v>95</v>
      </c>
      <c r="AR662" s="18" t="s">
        <v>95</v>
      </c>
      <c r="AS662" s="18" t="s">
        <v>83</v>
      </c>
      <c r="AT662" s="18" t="s">
        <v>81</v>
      </c>
      <c r="AU662" s="18" t="s">
        <v>81</v>
      </c>
      <c r="AV662" s="18" t="s">
        <v>95</v>
      </c>
      <c r="AW662" s="18" t="s">
        <v>95</v>
      </c>
      <c r="AX662" s="18"/>
      <c r="AY662" s="18" t="str">
        <f>Pospago[[#This Row],[NUM_TELEFONICO]]&amp;"POSPAGOSI"</f>
        <v>992514026POSPAGOSI</v>
      </c>
      <c r="AZ662" s="18" t="str">
        <f>VLOOKUP(Pospago[[#This Row],[NOM_PLAZA_FINAL]],[1]!Locales[#Data],3,0)</f>
        <v>TIENDA RECREO</v>
      </c>
      <c r="BA662" s="18" t="str">
        <f>IFERROR(VLOOKUP(Pospago[[#This Row],[USUARIO]],[1]!Personal[#Data],6,0),"EJECUTIVO NO REGISTRADO")</f>
        <v>CABEZAS LOPEZ ROBERTO ALEJANDRO</v>
      </c>
      <c r="BB662" s="18" t="str">
        <f>Pospago[[#This Row],[TIPO_MOVIMIENTO]]&amp;" "&amp;Pospago[[#This Row],[FORMA_PAGO_FINAL]]</f>
        <v>TRANSFERENCIAS DOMICILIADO</v>
      </c>
      <c r="BC662" s="18">
        <f>DAY(Pospago[[#This Row],[FECHA_ALTA]])</f>
        <v>16</v>
      </c>
      <c r="BD662" s="18">
        <f>IF(Pospago[[#This Row],[TARIFA_BASICA]]=11.42,1,0)</f>
        <v>0</v>
      </c>
      <c r="BE662" s="18">
        <f>IF(Pospago[[#This Row],[PLANES TELEVENTAS]]="SI",1,0)</f>
        <v>1</v>
      </c>
      <c r="BF662" s="18">
        <f>1</f>
        <v>1</v>
      </c>
      <c r="BG662" s="18">
        <f>IF(OR(Pospago[[#This Row],[TARIFA_BASICA]]=11.42,Pospago[[#This Row],[PLANES TELEVENTAS]]="SI"),1,0)</f>
        <v>1</v>
      </c>
      <c r="BH662" s="18" t="str">
        <f>IF(MID(Pospago[[#This Row],[PlanDesc]],1,4) = "PLAN","POSPAGO",IF(MID(Pospago[[#This Row],[PlanDesc]],1,4)="FULL","FULL MEGAS","PREVIOPAGO"))</f>
        <v>PREVIOPAGO</v>
      </c>
      <c r="BI6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2" s="21">
        <f>Pospago[[#This Row],[TARIFA_BASICA]]*1.5</f>
        <v>21.419999999999998</v>
      </c>
    </row>
    <row r="663" spans="1:63" x14ac:dyDescent="0.25">
      <c r="A663" s="18" t="s">
        <v>154</v>
      </c>
      <c r="B663" s="18" t="s">
        <v>4271</v>
      </c>
      <c r="C663" s="18" t="s">
        <v>4272</v>
      </c>
      <c r="D663" s="19">
        <v>44908</v>
      </c>
      <c r="E663" s="18" t="s">
        <v>67</v>
      </c>
      <c r="F663" s="18" t="s">
        <v>4273</v>
      </c>
      <c r="G663" s="18" t="s">
        <v>4274</v>
      </c>
      <c r="H663" s="18" t="s">
        <v>159</v>
      </c>
      <c r="I663" s="18" t="s">
        <v>160</v>
      </c>
      <c r="J663" s="18" t="s">
        <v>161</v>
      </c>
      <c r="K663" s="18" t="s">
        <v>73</v>
      </c>
      <c r="L663" s="20" t="s">
        <v>4275</v>
      </c>
      <c r="M663" s="18" t="s">
        <v>75</v>
      </c>
      <c r="N663" s="20" t="s">
        <v>4276</v>
      </c>
      <c r="O663" s="18" t="s">
        <v>164</v>
      </c>
      <c r="P663" s="18" t="s">
        <v>78</v>
      </c>
      <c r="Q663" s="19">
        <v>44914</v>
      </c>
      <c r="R663" s="21">
        <v>14.28</v>
      </c>
      <c r="S663" s="18" t="s">
        <v>79</v>
      </c>
      <c r="T663" s="18" t="s">
        <v>232</v>
      </c>
      <c r="U663" s="18" t="s">
        <v>83</v>
      </c>
      <c r="V663" s="18" t="s">
        <v>95</v>
      </c>
      <c r="W663" s="18" t="s">
        <v>95</v>
      </c>
      <c r="X663" s="18" t="s">
        <v>84</v>
      </c>
      <c r="Y663" s="18" t="s">
        <v>85</v>
      </c>
      <c r="Z663" s="18" t="s">
        <v>86</v>
      </c>
      <c r="AA663" s="18" t="s">
        <v>87</v>
      </c>
      <c r="AB663" s="18" t="s">
        <v>377</v>
      </c>
      <c r="AC663" s="18" t="s">
        <v>378</v>
      </c>
      <c r="AD663" s="18" t="s">
        <v>85</v>
      </c>
      <c r="AE663" s="18" t="s">
        <v>90</v>
      </c>
      <c r="AF663" s="18" t="s">
        <v>235</v>
      </c>
      <c r="AG663" s="18" t="s">
        <v>139</v>
      </c>
      <c r="AH663" s="18" t="s">
        <v>165</v>
      </c>
      <c r="AI663" s="18" t="s">
        <v>94</v>
      </c>
      <c r="AJ663" s="19">
        <v>44908</v>
      </c>
      <c r="AK663" s="22" t="s">
        <v>95</v>
      </c>
      <c r="AL663" s="18" t="s">
        <v>95</v>
      </c>
      <c r="AM663" s="18" t="s">
        <v>95</v>
      </c>
      <c r="AN663" s="18" t="s">
        <v>95</v>
      </c>
      <c r="AO663" s="18" t="s">
        <v>95</v>
      </c>
      <c r="AP663" s="18" t="s">
        <v>95</v>
      </c>
      <c r="AQ663" s="18" t="s">
        <v>95</v>
      </c>
      <c r="AR663" s="18" t="s">
        <v>95</v>
      </c>
      <c r="AS663" s="18" t="s">
        <v>83</v>
      </c>
      <c r="AT663" s="18" t="s">
        <v>83</v>
      </c>
      <c r="AU663" s="18" t="s">
        <v>81</v>
      </c>
      <c r="AV663" s="18" t="s">
        <v>95</v>
      </c>
      <c r="AW663" s="18" t="s">
        <v>95</v>
      </c>
      <c r="AX663" s="18"/>
      <c r="AY663" s="18" t="str">
        <f>Pospago[[#This Row],[NUM_TELEFONICO]]&amp;"POSPAGOSI"</f>
        <v>992515640POSPAGOSI</v>
      </c>
      <c r="AZ663" s="18" t="str">
        <f>VLOOKUP(Pospago[[#This Row],[NOM_PLAZA_FINAL]],[1]!Locales[#Data],3,0)</f>
        <v>TIENDA CONDADO</v>
      </c>
      <c r="BA663" s="18" t="str">
        <f>IFERROR(VLOOKUP(Pospago[[#This Row],[USUARIO]],[1]!Personal[#Data],6,0),"EJECUTIVO NO REGISTRADO")</f>
        <v>MELCHIADE ISAAC VALMORE</v>
      </c>
      <c r="BB663" s="18" t="str">
        <f>Pospago[[#This Row],[TIPO_MOVIMIENTO]]&amp;" "&amp;Pospago[[#This Row],[FORMA_PAGO_FINAL]]</f>
        <v>TRANSFERENCIAS DOMICILIADO</v>
      </c>
      <c r="BC663" s="18">
        <f>DAY(Pospago[[#This Row],[FECHA_ALTA]])</f>
        <v>13</v>
      </c>
      <c r="BD663" s="18">
        <f>IF(Pospago[[#This Row],[TARIFA_BASICA]]=11.42,1,0)</f>
        <v>0</v>
      </c>
      <c r="BE663" s="18">
        <f>IF(Pospago[[#This Row],[PLANES TELEVENTAS]]="SI",1,0)</f>
        <v>0</v>
      </c>
      <c r="BF663" s="18">
        <f>1</f>
        <v>1</v>
      </c>
      <c r="BG663" s="18">
        <f>IF(OR(Pospago[[#This Row],[TARIFA_BASICA]]=11.42,Pospago[[#This Row],[PLANES TELEVENTAS]]="SI"),1,0)</f>
        <v>0</v>
      </c>
      <c r="BH663" s="18" t="str">
        <f>IF(MID(Pospago[[#This Row],[PlanDesc]],1,4) = "PLAN","POSPAGO",IF(MID(Pospago[[#This Row],[PlanDesc]],1,4)="FULL","FULL MEGAS","PREVIOPAGO"))</f>
        <v>PREVIOPAGO</v>
      </c>
      <c r="BI6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3" s="21">
        <f>Pospago[[#This Row],[TARIFA_BASICA]]*1.5</f>
        <v>21.419999999999998</v>
      </c>
    </row>
    <row r="664" spans="1:63" x14ac:dyDescent="0.25">
      <c r="A664" s="18" t="s">
        <v>154</v>
      </c>
      <c r="B664" s="18" t="s">
        <v>4277</v>
      </c>
      <c r="C664" s="18" t="s">
        <v>4278</v>
      </c>
      <c r="D664" s="19">
        <v>44900</v>
      </c>
      <c r="E664" s="18" t="s">
        <v>67</v>
      </c>
      <c r="F664" s="18" t="s">
        <v>4279</v>
      </c>
      <c r="G664" s="18" t="s">
        <v>4280</v>
      </c>
      <c r="H664" s="18" t="s">
        <v>159</v>
      </c>
      <c r="I664" s="18" t="s">
        <v>160</v>
      </c>
      <c r="J664" s="18" t="s">
        <v>161</v>
      </c>
      <c r="K664" s="18" t="s">
        <v>132</v>
      </c>
      <c r="L664" s="20" t="s">
        <v>4281</v>
      </c>
      <c r="M664" s="18" t="s">
        <v>75</v>
      </c>
      <c r="N664" s="20" t="s">
        <v>4282</v>
      </c>
      <c r="O664" s="18" t="s">
        <v>164</v>
      </c>
      <c r="P664" s="18" t="s">
        <v>78</v>
      </c>
      <c r="Q664" s="19">
        <v>44914</v>
      </c>
      <c r="R664" s="21">
        <v>14.28</v>
      </c>
      <c r="S664" s="18" t="s">
        <v>79</v>
      </c>
      <c r="T664" s="18" t="s">
        <v>174</v>
      </c>
      <c r="U664" s="18" t="s">
        <v>83</v>
      </c>
      <c r="V664" s="18" t="s">
        <v>95</v>
      </c>
      <c r="W664" s="18" t="s">
        <v>95</v>
      </c>
      <c r="X664" s="18" t="s">
        <v>118</v>
      </c>
      <c r="Y664" s="18" t="s">
        <v>85</v>
      </c>
      <c r="Z664" s="18" t="s">
        <v>86</v>
      </c>
      <c r="AA664" s="18" t="s">
        <v>119</v>
      </c>
      <c r="AB664" s="18" t="s">
        <v>303</v>
      </c>
      <c r="AC664" s="18" t="s">
        <v>304</v>
      </c>
      <c r="AD664" s="18" t="s">
        <v>85</v>
      </c>
      <c r="AE664" s="18" t="s">
        <v>90</v>
      </c>
      <c r="AF664" s="18" t="s">
        <v>177</v>
      </c>
      <c r="AG664" s="18" t="s">
        <v>139</v>
      </c>
      <c r="AH664" s="18" t="s">
        <v>165</v>
      </c>
      <c r="AI664" s="18" t="s">
        <v>94</v>
      </c>
      <c r="AJ664" s="19">
        <v>44900</v>
      </c>
      <c r="AK664" s="22" t="s">
        <v>95</v>
      </c>
      <c r="AL664" s="18" t="s">
        <v>95</v>
      </c>
      <c r="AM664" s="18" t="s">
        <v>95</v>
      </c>
      <c r="AN664" s="18" t="s">
        <v>95</v>
      </c>
      <c r="AO664" s="18" t="s">
        <v>95</v>
      </c>
      <c r="AP664" s="18" t="s">
        <v>95</v>
      </c>
      <c r="AQ664" s="18" t="s">
        <v>95</v>
      </c>
      <c r="AR664" s="18" t="s">
        <v>95</v>
      </c>
      <c r="AS664" s="18" t="s">
        <v>83</v>
      </c>
      <c r="AT664" s="18" t="s">
        <v>83</v>
      </c>
      <c r="AU664" s="18" t="s">
        <v>81</v>
      </c>
      <c r="AV664" s="18" t="s">
        <v>95</v>
      </c>
      <c r="AW664" s="18" t="s">
        <v>95</v>
      </c>
      <c r="AX664" s="18"/>
      <c r="AY664" s="18" t="str">
        <f>Pospago[[#This Row],[NUM_TELEFONICO]]&amp;"POSPAGOSI"</f>
        <v>992517464POSPAGOSI</v>
      </c>
      <c r="AZ664" s="18" t="str">
        <f>VLOOKUP(Pospago[[#This Row],[NOM_PLAZA_FINAL]],[1]!Locales[#Data],3,0)</f>
        <v>TIENDA RECREO</v>
      </c>
      <c r="BA664" s="18" t="str">
        <f>IFERROR(VLOOKUP(Pospago[[#This Row],[USUARIO]],[1]!Personal[#Data],6,0),"EJECUTIVO NO REGISTRADO")</f>
        <v>CORDOVA GAIBOR JONATHAN HERNAN</v>
      </c>
      <c r="BB664" s="18" t="str">
        <f>Pospago[[#This Row],[TIPO_MOVIMIENTO]]&amp;" "&amp;Pospago[[#This Row],[FORMA_PAGO_FINAL]]</f>
        <v>TRANSFERENCIAS PAGO EN CAJA</v>
      </c>
      <c r="BC664" s="18">
        <f>DAY(Pospago[[#This Row],[FECHA_ALTA]])</f>
        <v>5</v>
      </c>
      <c r="BD664" s="18">
        <f>IF(Pospago[[#This Row],[TARIFA_BASICA]]=11.42,1,0)</f>
        <v>0</v>
      </c>
      <c r="BE664" s="18">
        <f>IF(Pospago[[#This Row],[PLANES TELEVENTAS]]="SI",1,0)</f>
        <v>0</v>
      </c>
      <c r="BF664" s="18">
        <f>1</f>
        <v>1</v>
      </c>
      <c r="BG664" s="18">
        <f>IF(OR(Pospago[[#This Row],[TARIFA_BASICA]]=11.42,Pospago[[#This Row],[PLANES TELEVENTAS]]="SI"),1,0)</f>
        <v>0</v>
      </c>
      <c r="BH664" s="18" t="str">
        <f>IF(MID(Pospago[[#This Row],[PlanDesc]],1,4) = "PLAN","POSPAGO",IF(MID(Pospago[[#This Row],[PlanDesc]],1,4)="FULL","FULL MEGAS","PREVIOPAGO"))</f>
        <v>PREVIOPAGO</v>
      </c>
      <c r="BI6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4" s="21">
        <f>Pospago[[#This Row],[TARIFA_BASICA]]*1.5</f>
        <v>21.419999999999998</v>
      </c>
    </row>
    <row r="665" spans="1:63" x14ac:dyDescent="0.25">
      <c r="A665" s="18" t="s">
        <v>154</v>
      </c>
      <c r="B665" s="18" t="s">
        <v>4283</v>
      </c>
      <c r="C665" s="18" t="s">
        <v>4284</v>
      </c>
      <c r="D665" s="19">
        <v>44896</v>
      </c>
      <c r="E665" s="18" t="s">
        <v>67</v>
      </c>
      <c r="F665" s="18" t="s">
        <v>4285</v>
      </c>
      <c r="G665" s="18" t="s">
        <v>4286</v>
      </c>
      <c r="H665" s="18" t="s">
        <v>159</v>
      </c>
      <c r="I665" s="18" t="s">
        <v>160</v>
      </c>
      <c r="J665" s="18" t="s">
        <v>161</v>
      </c>
      <c r="K665" s="18" t="s">
        <v>132</v>
      </c>
      <c r="L665" s="20" t="s">
        <v>4287</v>
      </c>
      <c r="M665" s="18" t="s">
        <v>75</v>
      </c>
      <c r="N665" s="20" t="s">
        <v>4288</v>
      </c>
      <c r="O665" s="18" t="s">
        <v>164</v>
      </c>
      <c r="P665" s="18" t="s">
        <v>78</v>
      </c>
      <c r="Q665" s="19">
        <v>44914</v>
      </c>
      <c r="R665" s="21">
        <v>14.28</v>
      </c>
      <c r="S665" s="18" t="s">
        <v>79</v>
      </c>
      <c r="T665" s="18" t="s">
        <v>174</v>
      </c>
      <c r="U665" s="18" t="s">
        <v>83</v>
      </c>
      <c r="V665" s="18" t="s">
        <v>95</v>
      </c>
      <c r="W665" s="18" t="s">
        <v>95</v>
      </c>
      <c r="X665" s="18" t="s">
        <v>84</v>
      </c>
      <c r="Y665" s="18" t="s">
        <v>85</v>
      </c>
      <c r="Z665" s="18" t="s">
        <v>86</v>
      </c>
      <c r="AA665" s="18" t="s">
        <v>87</v>
      </c>
      <c r="AB665" s="18" t="s">
        <v>175</v>
      </c>
      <c r="AC665" s="18" t="s">
        <v>176</v>
      </c>
      <c r="AD665" s="18" t="s">
        <v>85</v>
      </c>
      <c r="AE665" s="18" t="s">
        <v>90</v>
      </c>
      <c r="AF665" s="18" t="s">
        <v>177</v>
      </c>
      <c r="AG665" s="18" t="s">
        <v>139</v>
      </c>
      <c r="AH665" s="18" t="s">
        <v>165</v>
      </c>
      <c r="AI665" s="18" t="s">
        <v>94</v>
      </c>
      <c r="AJ665" s="19">
        <v>44896</v>
      </c>
      <c r="AK665" s="22" t="s">
        <v>95</v>
      </c>
      <c r="AL665" s="18" t="s">
        <v>95</v>
      </c>
      <c r="AM665" s="18" t="s">
        <v>95</v>
      </c>
      <c r="AN665" s="18" t="s">
        <v>95</v>
      </c>
      <c r="AO665" s="18" t="s">
        <v>95</v>
      </c>
      <c r="AP665" s="18" t="s">
        <v>95</v>
      </c>
      <c r="AQ665" s="18" t="s">
        <v>95</v>
      </c>
      <c r="AR665" s="18" t="s">
        <v>95</v>
      </c>
      <c r="AS665" s="18" t="s">
        <v>83</v>
      </c>
      <c r="AT665" s="18" t="s">
        <v>83</v>
      </c>
      <c r="AU665" s="18" t="s">
        <v>81</v>
      </c>
      <c r="AV665" s="18" t="s">
        <v>95</v>
      </c>
      <c r="AW665" s="18" t="s">
        <v>95</v>
      </c>
      <c r="AX665" s="18"/>
      <c r="AY665" s="18" t="str">
        <f>Pospago[[#This Row],[NUM_TELEFONICO]]&amp;"POSPAGOSI"</f>
        <v>992524100POSPAGOSI</v>
      </c>
      <c r="AZ665" s="18" t="str">
        <f>VLOOKUP(Pospago[[#This Row],[NOM_PLAZA_FINAL]],[1]!Locales[#Data],3,0)</f>
        <v>TIENDA RECREO</v>
      </c>
      <c r="BA665" s="18" t="str">
        <f>IFERROR(VLOOKUP(Pospago[[#This Row],[USUARIO]],[1]!Personal[#Data],6,0),"EJECUTIVO NO REGISTRADO")</f>
        <v>VARGAS REYES LUIS EDUARDO</v>
      </c>
      <c r="BB665" s="18" t="str">
        <f>Pospago[[#This Row],[TIPO_MOVIMIENTO]]&amp;" "&amp;Pospago[[#This Row],[FORMA_PAGO_FINAL]]</f>
        <v>TRANSFERENCIAS DOMICILIADO</v>
      </c>
      <c r="BC665" s="18">
        <f>DAY(Pospago[[#This Row],[FECHA_ALTA]])</f>
        <v>1</v>
      </c>
      <c r="BD665" s="18">
        <f>IF(Pospago[[#This Row],[TARIFA_BASICA]]=11.42,1,0)</f>
        <v>0</v>
      </c>
      <c r="BE665" s="18">
        <f>IF(Pospago[[#This Row],[PLANES TELEVENTAS]]="SI",1,0)</f>
        <v>0</v>
      </c>
      <c r="BF665" s="18">
        <f>1</f>
        <v>1</v>
      </c>
      <c r="BG665" s="18">
        <f>IF(OR(Pospago[[#This Row],[TARIFA_BASICA]]=11.42,Pospago[[#This Row],[PLANES TELEVENTAS]]="SI"),1,0)</f>
        <v>0</v>
      </c>
      <c r="BH665" s="18" t="str">
        <f>IF(MID(Pospago[[#This Row],[PlanDesc]],1,4) = "PLAN","POSPAGO",IF(MID(Pospago[[#This Row],[PlanDesc]],1,4)="FULL","FULL MEGAS","PREVIOPAGO"))</f>
        <v>PREVIOPAGO</v>
      </c>
      <c r="BI6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5" s="21">
        <f>Pospago[[#This Row],[TARIFA_BASICA]]*1.5</f>
        <v>21.419999999999998</v>
      </c>
    </row>
    <row r="666" spans="1:63" x14ac:dyDescent="0.25">
      <c r="A666" s="18" t="s">
        <v>64</v>
      </c>
      <c r="B666" s="18" t="s">
        <v>4289</v>
      </c>
      <c r="C666" s="18" t="s">
        <v>4290</v>
      </c>
      <c r="D666" s="19">
        <v>44901</v>
      </c>
      <c r="E666" s="18" t="s">
        <v>67</v>
      </c>
      <c r="F666" s="18" t="s">
        <v>4291</v>
      </c>
      <c r="G666" s="18" t="s">
        <v>4292</v>
      </c>
      <c r="H666" s="18" t="s">
        <v>70</v>
      </c>
      <c r="I666" s="18" t="s">
        <v>112</v>
      </c>
      <c r="J666" s="18" t="s">
        <v>113</v>
      </c>
      <c r="K666" s="18" t="s">
        <v>73</v>
      </c>
      <c r="L666" s="20" t="s">
        <v>4293</v>
      </c>
      <c r="M666" s="18" t="s">
        <v>75</v>
      </c>
      <c r="N666" s="20" t="s">
        <v>4294</v>
      </c>
      <c r="O666" s="18" t="s">
        <v>77</v>
      </c>
      <c r="P666" s="18" t="s">
        <v>78</v>
      </c>
      <c r="Q666" s="19">
        <v>44914</v>
      </c>
      <c r="R666" s="21">
        <v>17.850000000000001</v>
      </c>
      <c r="S666" s="18" t="s">
        <v>79</v>
      </c>
      <c r="T666" s="18" t="s">
        <v>80</v>
      </c>
      <c r="U666" s="18" t="s">
        <v>83</v>
      </c>
      <c r="V666" s="18" t="s">
        <v>95</v>
      </c>
      <c r="W666" s="18" t="s">
        <v>83</v>
      </c>
      <c r="X666" s="18" t="s">
        <v>84</v>
      </c>
      <c r="Y666" s="18" t="s">
        <v>85</v>
      </c>
      <c r="Z666" s="18" t="s">
        <v>86</v>
      </c>
      <c r="AA666" s="18" t="s">
        <v>87</v>
      </c>
      <c r="AB666" s="18" t="s">
        <v>242</v>
      </c>
      <c r="AC666" s="18" t="s">
        <v>243</v>
      </c>
      <c r="AD666" s="18" t="s">
        <v>85</v>
      </c>
      <c r="AE666" s="18" t="s">
        <v>90</v>
      </c>
      <c r="AF666" s="18" t="s">
        <v>91</v>
      </c>
      <c r="AG666" s="18" t="s">
        <v>92</v>
      </c>
      <c r="AH666" s="18" t="s">
        <v>93</v>
      </c>
      <c r="AI666" s="18" t="s">
        <v>94</v>
      </c>
      <c r="AJ666" s="19">
        <v>44901</v>
      </c>
      <c r="AK666" s="22" t="s">
        <v>95</v>
      </c>
      <c r="AL666" s="18" t="s">
        <v>95</v>
      </c>
      <c r="AM666" s="18" t="s">
        <v>95</v>
      </c>
      <c r="AN666" s="18" t="s">
        <v>95</v>
      </c>
      <c r="AO666" s="18" t="s">
        <v>95</v>
      </c>
      <c r="AP666" s="18" t="s">
        <v>95</v>
      </c>
      <c r="AQ666" s="18" t="s">
        <v>95</v>
      </c>
      <c r="AR666" s="18" t="s">
        <v>95</v>
      </c>
      <c r="AS666" s="18" t="s">
        <v>83</v>
      </c>
      <c r="AT666" s="18" t="s">
        <v>83</v>
      </c>
      <c r="AU666" s="18" t="s">
        <v>81</v>
      </c>
      <c r="AV666" s="18" t="s">
        <v>95</v>
      </c>
      <c r="AW666" s="18" t="s">
        <v>95</v>
      </c>
      <c r="AX666" s="18"/>
      <c r="AY666" s="18" t="str">
        <f>Pospago[[#This Row],[NUM_TELEFONICO]]&amp;"POSPAGOSI"</f>
        <v>992530373POSPAGOSI</v>
      </c>
      <c r="AZ666" s="18" t="str">
        <f>VLOOKUP(Pospago[[#This Row],[NOM_PLAZA_FINAL]],[1]!Locales[#Data],3,0)</f>
        <v>TIENDA CUENCA CENTRO</v>
      </c>
      <c r="BA666" s="18" t="str">
        <f>IFERROR(VLOOKUP(Pospago[[#This Row],[USUARIO]],[1]!Personal[#Data],6,0),"EJECUTIVO NO REGISTRADO")</f>
        <v>VALLEJO DELEG ROMAN NICOLAS</v>
      </c>
      <c r="BB666" s="18" t="str">
        <f>Pospago[[#This Row],[TIPO_MOVIMIENTO]]&amp;" "&amp;Pospago[[#This Row],[FORMA_PAGO_FINAL]]</f>
        <v>ALTAS DOMICILIADO</v>
      </c>
      <c r="BC666" s="18">
        <f>DAY(Pospago[[#This Row],[FECHA_ALTA]])</f>
        <v>6</v>
      </c>
      <c r="BD666" s="18">
        <f>IF(Pospago[[#This Row],[TARIFA_BASICA]]=11.42,1,0)</f>
        <v>0</v>
      </c>
      <c r="BE666" s="18">
        <f>IF(Pospago[[#This Row],[PLANES TELEVENTAS]]="SI",1,0)</f>
        <v>0</v>
      </c>
      <c r="BF666" s="18">
        <f>1</f>
        <v>1</v>
      </c>
      <c r="BG666" s="18">
        <f>IF(OR(Pospago[[#This Row],[TARIFA_BASICA]]=11.42,Pospago[[#This Row],[PLANES TELEVENTAS]]="SI"),1,0)</f>
        <v>0</v>
      </c>
      <c r="BH666" s="18" t="str">
        <f>IF(MID(Pospago[[#This Row],[PlanDesc]],1,4) = "PLAN","POSPAGO",IF(MID(Pospago[[#This Row],[PlanDesc]],1,4)="FULL","FULL MEGAS","PREVIOPAGO"))</f>
        <v>PREVIOPAGO</v>
      </c>
      <c r="BI6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6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6" s="21">
        <f>Pospago[[#This Row],[TARIFA_BASICA]]*1.5</f>
        <v>26.775000000000002</v>
      </c>
    </row>
    <row r="667" spans="1:63" x14ac:dyDescent="0.25">
      <c r="A667" s="18" t="s">
        <v>64</v>
      </c>
      <c r="B667" s="18" t="s">
        <v>4295</v>
      </c>
      <c r="C667" s="18" t="s">
        <v>4296</v>
      </c>
      <c r="D667" s="19">
        <v>44896</v>
      </c>
      <c r="E667" s="18" t="s">
        <v>67</v>
      </c>
      <c r="F667" s="18" t="s">
        <v>4297</v>
      </c>
      <c r="G667" s="18" t="s">
        <v>4298</v>
      </c>
      <c r="H667" s="18" t="s">
        <v>70</v>
      </c>
      <c r="I667" s="18" t="s">
        <v>160</v>
      </c>
      <c r="J667" s="18" t="s">
        <v>195</v>
      </c>
      <c r="K667" s="18" t="s">
        <v>132</v>
      </c>
      <c r="L667" s="20" t="s">
        <v>4299</v>
      </c>
      <c r="M667" s="18" t="s">
        <v>75</v>
      </c>
      <c r="N667" s="20" t="s">
        <v>4300</v>
      </c>
      <c r="O667" s="18" t="s">
        <v>77</v>
      </c>
      <c r="P667" s="18" t="s">
        <v>78</v>
      </c>
      <c r="Q667" s="19">
        <v>44914</v>
      </c>
      <c r="R667" s="21">
        <v>14.28</v>
      </c>
      <c r="S667" s="18" t="s">
        <v>79</v>
      </c>
      <c r="T667" s="18" t="s">
        <v>174</v>
      </c>
      <c r="U667" s="18" t="s">
        <v>81</v>
      </c>
      <c r="V667" s="18" t="s">
        <v>693</v>
      </c>
      <c r="W667" s="18" t="s">
        <v>83</v>
      </c>
      <c r="X667" s="18" t="s">
        <v>84</v>
      </c>
      <c r="Y667" s="18" t="s">
        <v>85</v>
      </c>
      <c r="Z667" s="18" t="s">
        <v>86</v>
      </c>
      <c r="AA667" s="18" t="s">
        <v>87</v>
      </c>
      <c r="AB667" s="18" t="s">
        <v>303</v>
      </c>
      <c r="AC667" s="18" t="s">
        <v>304</v>
      </c>
      <c r="AD667" s="18" t="s">
        <v>85</v>
      </c>
      <c r="AE667" s="18" t="s">
        <v>90</v>
      </c>
      <c r="AF667" s="18" t="s">
        <v>177</v>
      </c>
      <c r="AG667" s="18" t="s">
        <v>139</v>
      </c>
      <c r="AH667" s="18" t="s">
        <v>93</v>
      </c>
      <c r="AI667" s="18" t="s">
        <v>94</v>
      </c>
      <c r="AJ667" s="19">
        <v>44896</v>
      </c>
      <c r="AK667" s="22" t="s">
        <v>95</v>
      </c>
      <c r="AL667" s="18" t="s">
        <v>95</v>
      </c>
      <c r="AM667" s="18" t="s">
        <v>95</v>
      </c>
      <c r="AN667" s="18" t="s">
        <v>95</v>
      </c>
      <c r="AO667" s="18" t="s">
        <v>95</v>
      </c>
      <c r="AP667" s="18" t="s">
        <v>95</v>
      </c>
      <c r="AQ667" s="18" t="s">
        <v>95</v>
      </c>
      <c r="AR667" s="18" t="s">
        <v>95</v>
      </c>
      <c r="AS667" s="18" t="s">
        <v>83</v>
      </c>
      <c r="AT667" s="18" t="s">
        <v>83</v>
      </c>
      <c r="AU667" s="18" t="s">
        <v>81</v>
      </c>
      <c r="AV667" s="18" t="s">
        <v>95</v>
      </c>
      <c r="AW667" s="18" t="s">
        <v>95</v>
      </c>
      <c r="AX667" s="18"/>
      <c r="AY667" s="18" t="str">
        <f>Pospago[[#This Row],[NUM_TELEFONICO]]&amp;"POSPAGOSI"</f>
        <v>992544781POSPAGOSI</v>
      </c>
      <c r="AZ667" s="18" t="str">
        <f>VLOOKUP(Pospago[[#This Row],[NOM_PLAZA_FINAL]],[1]!Locales[#Data],3,0)</f>
        <v>TIENDA RECREO</v>
      </c>
      <c r="BA667" s="18" t="str">
        <f>IFERROR(VLOOKUP(Pospago[[#This Row],[USUARIO]],[1]!Personal[#Data],6,0),"EJECUTIVO NO REGISTRADO")</f>
        <v>CORDOVA GAIBOR JONATHAN HERNAN</v>
      </c>
      <c r="BB667" s="18" t="str">
        <f>Pospago[[#This Row],[TIPO_MOVIMIENTO]]&amp;" "&amp;Pospago[[#This Row],[FORMA_PAGO_FINAL]]</f>
        <v>ALTAS DOMICILIADO</v>
      </c>
      <c r="BC667" s="18">
        <f>DAY(Pospago[[#This Row],[FECHA_ALTA]])</f>
        <v>1</v>
      </c>
      <c r="BD667" s="18">
        <f>IF(Pospago[[#This Row],[TARIFA_BASICA]]=11.42,1,0)</f>
        <v>0</v>
      </c>
      <c r="BE667" s="18">
        <f>IF(Pospago[[#This Row],[PLANES TELEVENTAS]]="SI",1,0)</f>
        <v>0</v>
      </c>
      <c r="BF667" s="18">
        <f>1</f>
        <v>1</v>
      </c>
      <c r="BG667" s="18">
        <f>IF(OR(Pospago[[#This Row],[TARIFA_BASICA]]=11.42,Pospago[[#This Row],[PLANES TELEVENTAS]]="SI"),1,0)</f>
        <v>0</v>
      </c>
      <c r="BH667" s="18" t="str">
        <f>IF(MID(Pospago[[#This Row],[PlanDesc]],1,4) = "PLAN","POSPAGO",IF(MID(Pospago[[#This Row],[PlanDesc]],1,4)="FULL","FULL MEGAS","PREVIOPAGO"))</f>
        <v>PREVIOPAGO</v>
      </c>
      <c r="BI6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7" s="21">
        <f>Pospago[[#This Row],[TARIFA_BASICA]]*1.5</f>
        <v>21.419999999999998</v>
      </c>
    </row>
    <row r="668" spans="1:63" x14ac:dyDescent="0.25">
      <c r="A668" s="18" t="s">
        <v>154</v>
      </c>
      <c r="B668" s="18" t="s">
        <v>4301</v>
      </c>
      <c r="C668" s="18" t="s">
        <v>4302</v>
      </c>
      <c r="D668" s="19">
        <v>44900</v>
      </c>
      <c r="E668" s="18" t="s">
        <v>67</v>
      </c>
      <c r="F668" s="18" t="s">
        <v>4303</v>
      </c>
      <c r="G668" s="18" t="s">
        <v>4304</v>
      </c>
      <c r="H668" s="18" t="s">
        <v>159</v>
      </c>
      <c r="I668" s="18" t="s">
        <v>160</v>
      </c>
      <c r="J668" s="18" t="s">
        <v>161</v>
      </c>
      <c r="K668" s="18" t="s">
        <v>73</v>
      </c>
      <c r="L668" s="20" t="s">
        <v>4305</v>
      </c>
      <c r="M668" s="18" t="s">
        <v>75</v>
      </c>
      <c r="N668" s="20" t="s">
        <v>4306</v>
      </c>
      <c r="O668" s="18" t="s">
        <v>164</v>
      </c>
      <c r="P668" s="18" t="s">
        <v>78</v>
      </c>
      <c r="Q668" s="19">
        <v>44914</v>
      </c>
      <c r="R668" s="21">
        <v>14.28</v>
      </c>
      <c r="S668" s="18" t="s">
        <v>79</v>
      </c>
      <c r="T668" s="18" t="s">
        <v>117</v>
      </c>
      <c r="U668" s="18" t="s">
        <v>83</v>
      </c>
      <c r="V668" s="18" t="s">
        <v>95</v>
      </c>
      <c r="W668" s="18" t="s">
        <v>95</v>
      </c>
      <c r="X668" s="18" t="s">
        <v>118</v>
      </c>
      <c r="Y668" s="18" t="s">
        <v>85</v>
      </c>
      <c r="Z668" s="18" t="s">
        <v>86</v>
      </c>
      <c r="AA668" s="18" t="s">
        <v>119</v>
      </c>
      <c r="AB668" s="18" t="s">
        <v>120</v>
      </c>
      <c r="AC668" s="18" t="s">
        <v>121</v>
      </c>
      <c r="AD668" s="18" t="s">
        <v>85</v>
      </c>
      <c r="AE668" s="18" t="s">
        <v>90</v>
      </c>
      <c r="AF668" s="18" t="s">
        <v>122</v>
      </c>
      <c r="AG668" s="18" t="s">
        <v>92</v>
      </c>
      <c r="AH668" s="18" t="s">
        <v>165</v>
      </c>
      <c r="AI668" s="18" t="s">
        <v>94</v>
      </c>
      <c r="AJ668" s="19">
        <v>44900</v>
      </c>
      <c r="AK668" s="22" t="s">
        <v>95</v>
      </c>
      <c r="AL668" s="18" t="s">
        <v>95</v>
      </c>
      <c r="AM668" s="18" t="s">
        <v>95</v>
      </c>
      <c r="AN668" s="18" t="s">
        <v>95</v>
      </c>
      <c r="AO668" s="18" t="s">
        <v>95</v>
      </c>
      <c r="AP668" s="18" t="s">
        <v>95</v>
      </c>
      <c r="AQ668" s="18" t="s">
        <v>95</v>
      </c>
      <c r="AR668" s="18" t="s">
        <v>95</v>
      </c>
      <c r="AS668" s="18" t="s">
        <v>83</v>
      </c>
      <c r="AT668" s="18" t="s">
        <v>83</v>
      </c>
      <c r="AU668" s="18" t="s">
        <v>81</v>
      </c>
      <c r="AV668" s="18" t="s">
        <v>95</v>
      </c>
      <c r="AW668" s="18" t="s">
        <v>95</v>
      </c>
      <c r="AX668" s="18"/>
      <c r="AY668" s="18" t="str">
        <f>Pospago[[#This Row],[NUM_TELEFONICO]]&amp;"POSPAGOSI"</f>
        <v>992547219POSPAGOSI</v>
      </c>
      <c r="AZ668" s="18" t="str">
        <f>VLOOKUP(Pospago[[#This Row],[NOM_PLAZA_FINAL]],[1]!Locales[#Data],3,0)</f>
        <v>TIENDA MACHALA</v>
      </c>
      <c r="BA668" s="18" t="str">
        <f>IFERROR(VLOOKUP(Pospago[[#This Row],[USUARIO]],[1]!Personal[#Data],6,0),"EJECUTIVO NO REGISTRADO")</f>
        <v>ARROBO VICENTE YADIRA ESPERANZA</v>
      </c>
      <c r="BB668" s="18" t="str">
        <f>Pospago[[#This Row],[TIPO_MOVIMIENTO]]&amp;" "&amp;Pospago[[#This Row],[FORMA_PAGO_FINAL]]</f>
        <v>TRANSFERENCIAS PAGO EN CAJA</v>
      </c>
      <c r="BC668" s="18">
        <f>DAY(Pospago[[#This Row],[FECHA_ALTA]])</f>
        <v>5</v>
      </c>
      <c r="BD668" s="18">
        <f>IF(Pospago[[#This Row],[TARIFA_BASICA]]=11.42,1,0)</f>
        <v>0</v>
      </c>
      <c r="BE668" s="18">
        <f>IF(Pospago[[#This Row],[PLANES TELEVENTAS]]="SI",1,0)</f>
        <v>0</v>
      </c>
      <c r="BF668" s="18">
        <f>1</f>
        <v>1</v>
      </c>
      <c r="BG668" s="18">
        <f>IF(OR(Pospago[[#This Row],[TARIFA_BASICA]]=11.42,Pospago[[#This Row],[PLANES TELEVENTAS]]="SI"),1,0)</f>
        <v>0</v>
      </c>
      <c r="BH668" s="18" t="str">
        <f>IF(MID(Pospago[[#This Row],[PlanDesc]],1,4) = "PLAN","POSPAGO",IF(MID(Pospago[[#This Row],[PlanDesc]],1,4)="FULL","FULL MEGAS","PREVIOPAGO"))</f>
        <v>PREVIOPAGO</v>
      </c>
      <c r="BI6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5.4359999999999999</v>
      </c>
      <c r="BJ6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68" s="21">
        <f>Pospago[[#This Row],[TARIFA_BASICA]]*1.5</f>
        <v>21.419999999999998</v>
      </c>
    </row>
    <row r="669" spans="1:63" x14ac:dyDescent="0.25">
      <c r="A669" s="18" t="s">
        <v>154</v>
      </c>
      <c r="B669" s="18" t="s">
        <v>4307</v>
      </c>
      <c r="C669" s="18" t="s">
        <v>4308</v>
      </c>
      <c r="D669" s="19">
        <v>44903</v>
      </c>
      <c r="E669" s="18" t="s">
        <v>67</v>
      </c>
      <c r="F669" s="18" t="s">
        <v>4309</v>
      </c>
      <c r="G669" s="18" t="s">
        <v>4310</v>
      </c>
      <c r="H669" s="18" t="s">
        <v>159</v>
      </c>
      <c r="I669" s="18" t="s">
        <v>71</v>
      </c>
      <c r="J669" s="18" t="s">
        <v>258</v>
      </c>
      <c r="K669" s="18" t="s">
        <v>95</v>
      </c>
      <c r="L669" s="20" t="s">
        <v>4311</v>
      </c>
      <c r="M669" s="18" t="s">
        <v>75</v>
      </c>
      <c r="N669" s="20" t="s">
        <v>4312</v>
      </c>
      <c r="O669" s="18" t="s">
        <v>164</v>
      </c>
      <c r="P669" s="18" t="s">
        <v>78</v>
      </c>
      <c r="Q669" s="19">
        <v>44914</v>
      </c>
      <c r="R669" s="21">
        <v>11.42</v>
      </c>
      <c r="S669" s="18" t="s">
        <v>79</v>
      </c>
      <c r="T669" s="18" t="s">
        <v>174</v>
      </c>
      <c r="U669" s="18" t="s">
        <v>83</v>
      </c>
      <c r="V669" s="18" t="s">
        <v>95</v>
      </c>
      <c r="W669" s="18" t="s">
        <v>95</v>
      </c>
      <c r="X669" s="18" t="s">
        <v>118</v>
      </c>
      <c r="Y669" s="18" t="s">
        <v>85</v>
      </c>
      <c r="Z669" s="18" t="s">
        <v>86</v>
      </c>
      <c r="AA669" s="18" t="s">
        <v>119</v>
      </c>
      <c r="AB669" s="18" t="s">
        <v>175</v>
      </c>
      <c r="AC669" s="18" t="s">
        <v>176</v>
      </c>
      <c r="AD669" s="18" t="s">
        <v>85</v>
      </c>
      <c r="AE669" s="18" t="s">
        <v>90</v>
      </c>
      <c r="AF669" s="18" t="s">
        <v>177</v>
      </c>
      <c r="AG669" s="18" t="s">
        <v>139</v>
      </c>
      <c r="AH669" s="18" t="s">
        <v>165</v>
      </c>
      <c r="AI669" s="18" t="s">
        <v>94</v>
      </c>
      <c r="AJ669" s="19">
        <v>44903</v>
      </c>
      <c r="AK669" s="22" t="s">
        <v>95</v>
      </c>
      <c r="AL669" s="18" t="s">
        <v>95</v>
      </c>
      <c r="AM669" s="18" t="s">
        <v>95</v>
      </c>
      <c r="AN669" s="18" t="s">
        <v>95</v>
      </c>
      <c r="AO669" s="18" t="s">
        <v>95</v>
      </c>
      <c r="AP669" s="18" t="s">
        <v>95</v>
      </c>
      <c r="AQ669" s="18" t="s">
        <v>95</v>
      </c>
      <c r="AR669" s="18" t="s">
        <v>95</v>
      </c>
      <c r="AS669" s="18" t="s">
        <v>83</v>
      </c>
      <c r="AT669" s="18" t="s">
        <v>83</v>
      </c>
      <c r="AU669" s="18" t="s">
        <v>81</v>
      </c>
      <c r="AV669" s="18" t="s">
        <v>95</v>
      </c>
      <c r="AW669" s="18" t="s">
        <v>95</v>
      </c>
      <c r="AX669" s="18"/>
      <c r="AY669" s="18" t="str">
        <f>Pospago[[#This Row],[NUM_TELEFONICO]]&amp;"POSPAGOSI"</f>
        <v>992554370POSPAGOSI</v>
      </c>
      <c r="AZ669" s="18" t="str">
        <f>VLOOKUP(Pospago[[#This Row],[NOM_PLAZA_FINAL]],[1]!Locales[#Data],3,0)</f>
        <v>TIENDA RECREO</v>
      </c>
      <c r="BA669" s="18" t="str">
        <f>IFERROR(VLOOKUP(Pospago[[#This Row],[USUARIO]],[1]!Personal[#Data],6,0),"EJECUTIVO NO REGISTRADO")</f>
        <v>VARGAS REYES LUIS EDUARDO</v>
      </c>
      <c r="BB669" s="18" t="str">
        <f>Pospago[[#This Row],[TIPO_MOVIMIENTO]]&amp;" "&amp;Pospago[[#This Row],[FORMA_PAGO_FINAL]]</f>
        <v>TRANSFERENCIAS PAGO EN CAJA</v>
      </c>
      <c r="BC669" s="18">
        <f>DAY(Pospago[[#This Row],[FECHA_ALTA]])</f>
        <v>8</v>
      </c>
      <c r="BD669" s="18">
        <f>IF(Pospago[[#This Row],[TARIFA_BASICA]]=11.42,1,0)</f>
        <v>1</v>
      </c>
      <c r="BE669" s="18">
        <f>IF(Pospago[[#This Row],[PLANES TELEVENTAS]]="SI",1,0)</f>
        <v>0</v>
      </c>
      <c r="BF669" s="18">
        <f>1</f>
        <v>1</v>
      </c>
      <c r="BG669" s="18">
        <f>IF(OR(Pospago[[#This Row],[TARIFA_BASICA]]=11.42,Pospago[[#This Row],[PLANES TELEVENTAS]]="SI"),1,0)</f>
        <v>1</v>
      </c>
      <c r="BH669" s="18" t="str">
        <f>IF(MID(Pospago[[#This Row],[PlanDesc]],1,4) = "PLAN","POSPAGO",IF(MID(Pospago[[#This Row],[PlanDesc]],1,4)="FULL","FULL MEGAS","PREVIOPAGO"))</f>
        <v>PREVIOPAGO</v>
      </c>
      <c r="BI6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6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69" s="21">
        <f>Pospago[[#This Row],[TARIFA_BASICA]]*1.5</f>
        <v>17.13</v>
      </c>
    </row>
    <row r="670" spans="1:63" x14ac:dyDescent="0.25">
      <c r="A670" s="18" t="s">
        <v>154</v>
      </c>
      <c r="B670" s="18" t="s">
        <v>4313</v>
      </c>
      <c r="C670" s="18" t="s">
        <v>4314</v>
      </c>
      <c r="D670" s="19">
        <v>44897</v>
      </c>
      <c r="E670" s="18" t="s">
        <v>67</v>
      </c>
      <c r="F670" s="18" t="s">
        <v>4315</v>
      </c>
      <c r="G670" s="18" t="s">
        <v>4316</v>
      </c>
      <c r="H670" s="18" t="s">
        <v>159</v>
      </c>
      <c r="I670" s="18" t="s">
        <v>71</v>
      </c>
      <c r="J670" s="18" t="s">
        <v>258</v>
      </c>
      <c r="K670" s="18" t="s">
        <v>132</v>
      </c>
      <c r="L670" s="20" t="s">
        <v>4317</v>
      </c>
      <c r="M670" s="18" t="s">
        <v>75</v>
      </c>
      <c r="N670" s="20" t="s">
        <v>4318</v>
      </c>
      <c r="O670" s="18" t="s">
        <v>164</v>
      </c>
      <c r="P670" s="18" t="s">
        <v>78</v>
      </c>
      <c r="Q670" s="19">
        <v>44914</v>
      </c>
      <c r="R670" s="21">
        <v>11.42</v>
      </c>
      <c r="S670" s="18" t="s">
        <v>79</v>
      </c>
      <c r="T670" s="18" t="s">
        <v>174</v>
      </c>
      <c r="U670" s="18" t="s">
        <v>83</v>
      </c>
      <c r="V670" s="18" t="s">
        <v>95</v>
      </c>
      <c r="W670" s="18" t="s">
        <v>95</v>
      </c>
      <c r="X670" s="18" t="s">
        <v>84</v>
      </c>
      <c r="Y670" s="18" t="s">
        <v>85</v>
      </c>
      <c r="Z670" s="18" t="s">
        <v>86</v>
      </c>
      <c r="AA670" s="18" t="s">
        <v>87</v>
      </c>
      <c r="AB670" s="18" t="s">
        <v>630</v>
      </c>
      <c r="AC670" s="18" t="s">
        <v>631</v>
      </c>
      <c r="AD670" s="18" t="s">
        <v>85</v>
      </c>
      <c r="AE670" s="18" t="s">
        <v>90</v>
      </c>
      <c r="AF670" s="18" t="s">
        <v>177</v>
      </c>
      <c r="AG670" s="18" t="s">
        <v>139</v>
      </c>
      <c r="AH670" s="18" t="s">
        <v>165</v>
      </c>
      <c r="AI670" s="18" t="s">
        <v>94</v>
      </c>
      <c r="AJ670" s="19">
        <v>44897</v>
      </c>
      <c r="AK670" s="22" t="s">
        <v>95</v>
      </c>
      <c r="AL670" s="18" t="s">
        <v>95</v>
      </c>
      <c r="AM670" s="18" t="s">
        <v>95</v>
      </c>
      <c r="AN670" s="18" t="s">
        <v>95</v>
      </c>
      <c r="AO670" s="18" t="s">
        <v>95</v>
      </c>
      <c r="AP670" s="18" t="s">
        <v>95</v>
      </c>
      <c r="AQ670" s="18" t="s">
        <v>95</v>
      </c>
      <c r="AR670" s="18" t="s">
        <v>95</v>
      </c>
      <c r="AS670" s="18" t="s">
        <v>83</v>
      </c>
      <c r="AT670" s="18" t="s">
        <v>83</v>
      </c>
      <c r="AU670" s="18" t="s">
        <v>81</v>
      </c>
      <c r="AV670" s="18" t="s">
        <v>95</v>
      </c>
      <c r="AW670" s="18" t="s">
        <v>95</v>
      </c>
      <c r="AX670" s="18"/>
      <c r="AY670" s="18" t="str">
        <f>Pospago[[#This Row],[NUM_TELEFONICO]]&amp;"POSPAGOSI"</f>
        <v>992556297POSPAGOSI</v>
      </c>
      <c r="AZ670" s="18" t="str">
        <f>VLOOKUP(Pospago[[#This Row],[NOM_PLAZA_FINAL]],[1]!Locales[#Data],3,0)</f>
        <v>TIENDA RECREO</v>
      </c>
      <c r="BA670" s="18" t="str">
        <f>IFERROR(VLOOKUP(Pospago[[#This Row],[USUARIO]],[1]!Personal[#Data],6,0),"EJECUTIVO NO REGISTRADO")</f>
        <v>LOAYZA AGUILAR JONATHAN FABIAN</v>
      </c>
      <c r="BB670" s="18" t="str">
        <f>Pospago[[#This Row],[TIPO_MOVIMIENTO]]&amp;" "&amp;Pospago[[#This Row],[FORMA_PAGO_FINAL]]</f>
        <v>TRANSFERENCIAS DOMICILIADO</v>
      </c>
      <c r="BC670" s="18">
        <f>DAY(Pospago[[#This Row],[FECHA_ALTA]])</f>
        <v>2</v>
      </c>
      <c r="BD670" s="18">
        <f>IF(Pospago[[#This Row],[TARIFA_BASICA]]=11.42,1,0)</f>
        <v>1</v>
      </c>
      <c r="BE670" s="18">
        <f>IF(Pospago[[#This Row],[PLANES TELEVENTAS]]="SI",1,0)</f>
        <v>0</v>
      </c>
      <c r="BF670" s="18">
        <f>1</f>
        <v>1</v>
      </c>
      <c r="BG670" s="18">
        <f>IF(OR(Pospago[[#This Row],[TARIFA_BASICA]]=11.42,Pospago[[#This Row],[PLANES TELEVENTAS]]="SI"),1,0)</f>
        <v>1</v>
      </c>
      <c r="BH670" s="18" t="str">
        <f>IF(MID(Pospago[[#This Row],[PlanDesc]],1,4) = "PLAN","POSPAGO",IF(MID(Pospago[[#This Row],[PlanDesc]],1,4)="FULL","FULL MEGAS","PREVIOPAGO"))</f>
        <v>PREVIOPAGO</v>
      </c>
      <c r="BI6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70" s="21">
        <f>Pospago[[#This Row],[TARIFA_BASICA]]*1.5</f>
        <v>17.13</v>
      </c>
    </row>
    <row r="671" spans="1:63" x14ac:dyDescent="0.25">
      <c r="A671" s="18" t="s">
        <v>64</v>
      </c>
      <c r="B671" s="18" t="s">
        <v>4319</v>
      </c>
      <c r="C671" s="18" t="s">
        <v>4320</v>
      </c>
      <c r="D671" s="19">
        <v>44912</v>
      </c>
      <c r="E671" s="18" t="s">
        <v>67</v>
      </c>
      <c r="F671" s="18" t="s">
        <v>4321</v>
      </c>
      <c r="G671" s="18" t="s">
        <v>4322</v>
      </c>
      <c r="H671" s="18" t="s">
        <v>70</v>
      </c>
      <c r="I671" s="18" t="s">
        <v>392</v>
      </c>
      <c r="J671" s="18" t="s">
        <v>131</v>
      </c>
      <c r="K671" s="18" t="s">
        <v>132</v>
      </c>
      <c r="L671" s="20" t="s">
        <v>4323</v>
      </c>
      <c r="M671" s="18" t="s">
        <v>75</v>
      </c>
      <c r="N671" s="20" t="s">
        <v>4324</v>
      </c>
      <c r="O671" s="18" t="s">
        <v>77</v>
      </c>
      <c r="P671" s="18" t="s">
        <v>78</v>
      </c>
      <c r="Q671" s="19">
        <v>44914</v>
      </c>
      <c r="R671" s="21">
        <v>15</v>
      </c>
      <c r="S671" s="18" t="s">
        <v>79</v>
      </c>
      <c r="T671" s="18" t="s">
        <v>174</v>
      </c>
      <c r="U671" s="18" t="s">
        <v>83</v>
      </c>
      <c r="V671" s="18" t="s">
        <v>95</v>
      </c>
      <c r="W671" s="18" t="s">
        <v>83</v>
      </c>
      <c r="X671" s="18" t="s">
        <v>118</v>
      </c>
      <c r="Y671" s="18" t="s">
        <v>85</v>
      </c>
      <c r="Z671" s="18" t="s">
        <v>86</v>
      </c>
      <c r="AA671" s="18" t="s">
        <v>119</v>
      </c>
      <c r="AB671" s="18" t="s">
        <v>492</v>
      </c>
      <c r="AC671" s="18" t="s">
        <v>493</v>
      </c>
      <c r="AD671" s="18" t="s">
        <v>85</v>
      </c>
      <c r="AE671" s="18" t="s">
        <v>90</v>
      </c>
      <c r="AF671" s="18" t="s">
        <v>177</v>
      </c>
      <c r="AG671" s="18" t="s">
        <v>139</v>
      </c>
      <c r="AH671" s="18" t="s">
        <v>93</v>
      </c>
      <c r="AI671" s="18" t="s">
        <v>94</v>
      </c>
      <c r="AJ671" s="19">
        <v>44912</v>
      </c>
      <c r="AK671" s="22" t="s">
        <v>95</v>
      </c>
      <c r="AL671" s="18" t="s">
        <v>95</v>
      </c>
      <c r="AM671" s="18" t="s">
        <v>95</v>
      </c>
      <c r="AN671" s="18" t="s">
        <v>95</v>
      </c>
      <c r="AO671" s="18" t="s">
        <v>95</v>
      </c>
      <c r="AP671" s="18" t="s">
        <v>95</v>
      </c>
      <c r="AQ671" s="18" t="s">
        <v>95</v>
      </c>
      <c r="AR671" s="18" t="s">
        <v>95</v>
      </c>
      <c r="AS671" s="18" t="s">
        <v>83</v>
      </c>
      <c r="AT671" s="18" t="s">
        <v>81</v>
      </c>
      <c r="AU671" s="18" t="s">
        <v>81</v>
      </c>
      <c r="AV671" s="18" t="s">
        <v>95</v>
      </c>
      <c r="AW671" s="18" t="s">
        <v>95</v>
      </c>
      <c r="AX671" s="18"/>
      <c r="AY671" s="18" t="str">
        <f>Pospago[[#This Row],[NUM_TELEFONICO]]&amp;"POSPAGOSI"</f>
        <v>992557542POSPAGOSI</v>
      </c>
      <c r="AZ671" s="18" t="str">
        <f>VLOOKUP(Pospago[[#This Row],[NOM_PLAZA_FINAL]],[1]!Locales[#Data],3,0)</f>
        <v>TIENDA RECREO</v>
      </c>
      <c r="BA671" s="18" t="str">
        <f>IFERROR(VLOOKUP(Pospago[[#This Row],[USUARIO]],[1]!Personal[#Data],6,0),"EJECUTIVO NO REGISTRADO")</f>
        <v>CONDO GARCIA NICOLAS MATIAS</v>
      </c>
      <c r="BB671" s="18" t="str">
        <f>Pospago[[#This Row],[TIPO_MOVIMIENTO]]&amp;" "&amp;Pospago[[#This Row],[FORMA_PAGO_FINAL]]</f>
        <v>ALTAS PAGO EN CAJA</v>
      </c>
      <c r="BC671" s="18">
        <f>DAY(Pospago[[#This Row],[FECHA_ALTA]])</f>
        <v>17</v>
      </c>
      <c r="BD671" s="18">
        <f>IF(Pospago[[#This Row],[TARIFA_BASICA]]=11.42,1,0)</f>
        <v>0</v>
      </c>
      <c r="BE671" s="18">
        <f>IF(Pospago[[#This Row],[PLANES TELEVENTAS]]="SI",1,0)</f>
        <v>1</v>
      </c>
      <c r="BF671" s="18">
        <f>1</f>
        <v>1</v>
      </c>
      <c r="BG671" s="18">
        <f>IF(OR(Pospago[[#This Row],[TARIFA_BASICA]]=11.42,Pospago[[#This Row],[PLANES TELEVENTAS]]="SI"),1,0)</f>
        <v>1</v>
      </c>
      <c r="BH671" s="18" t="str">
        <f>IF(MID(Pospago[[#This Row],[PlanDesc]],1,4) = "PLAN","POSPAGO",IF(MID(Pospago[[#This Row],[PlanDesc]],1,4)="FULL","FULL MEGAS","PREVIOPAGO"))</f>
        <v>PREVIOPAGO</v>
      </c>
      <c r="BI6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6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71" s="21">
        <f>Pospago[[#This Row],[TARIFA_BASICA]]*1.5</f>
        <v>22.5</v>
      </c>
    </row>
    <row r="672" spans="1:63" x14ac:dyDescent="0.25">
      <c r="A672" s="18" t="s">
        <v>154</v>
      </c>
      <c r="B672" s="18" t="s">
        <v>4325</v>
      </c>
      <c r="C672" s="18" t="s">
        <v>4326</v>
      </c>
      <c r="D672" s="19">
        <v>44904</v>
      </c>
      <c r="E672" s="18" t="s">
        <v>67</v>
      </c>
      <c r="F672" s="18" t="s">
        <v>4327</v>
      </c>
      <c r="G672" s="18" t="s">
        <v>4328</v>
      </c>
      <c r="H672" s="18" t="s">
        <v>159</v>
      </c>
      <c r="I672" s="18" t="s">
        <v>71</v>
      </c>
      <c r="J672" s="18" t="s">
        <v>258</v>
      </c>
      <c r="K672" s="18" t="s">
        <v>132</v>
      </c>
      <c r="L672" s="20" t="s">
        <v>4329</v>
      </c>
      <c r="M672" s="18" t="s">
        <v>75</v>
      </c>
      <c r="N672" s="20" t="s">
        <v>4330</v>
      </c>
      <c r="O672" s="18" t="s">
        <v>164</v>
      </c>
      <c r="P672" s="18" t="s">
        <v>78</v>
      </c>
      <c r="Q672" s="19">
        <v>44914</v>
      </c>
      <c r="R672" s="21">
        <v>11.42</v>
      </c>
      <c r="S672" s="18" t="s">
        <v>79</v>
      </c>
      <c r="T672" s="18" t="s">
        <v>174</v>
      </c>
      <c r="U672" s="18" t="s">
        <v>83</v>
      </c>
      <c r="V672" s="18" t="s">
        <v>95</v>
      </c>
      <c r="W672" s="18" t="s">
        <v>95</v>
      </c>
      <c r="X672" s="18" t="s">
        <v>84</v>
      </c>
      <c r="Y672" s="18" t="s">
        <v>85</v>
      </c>
      <c r="Z672" s="18" t="s">
        <v>86</v>
      </c>
      <c r="AA672" s="18" t="s">
        <v>87</v>
      </c>
      <c r="AB672" s="18" t="s">
        <v>926</v>
      </c>
      <c r="AC672" s="18" t="s">
        <v>927</v>
      </c>
      <c r="AD672" s="18" t="s">
        <v>85</v>
      </c>
      <c r="AE672" s="18" t="s">
        <v>90</v>
      </c>
      <c r="AF672" s="18" t="s">
        <v>177</v>
      </c>
      <c r="AG672" s="18" t="s">
        <v>139</v>
      </c>
      <c r="AH672" s="18" t="s">
        <v>165</v>
      </c>
      <c r="AI672" s="18" t="s">
        <v>94</v>
      </c>
      <c r="AJ672" s="19">
        <v>44904</v>
      </c>
      <c r="AK672" s="22" t="s">
        <v>95</v>
      </c>
      <c r="AL672" s="18" t="s">
        <v>95</v>
      </c>
      <c r="AM672" s="18" t="s">
        <v>95</v>
      </c>
      <c r="AN672" s="18" t="s">
        <v>95</v>
      </c>
      <c r="AO672" s="18" t="s">
        <v>95</v>
      </c>
      <c r="AP672" s="18" t="s">
        <v>95</v>
      </c>
      <c r="AQ672" s="18" t="s">
        <v>95</v>
      </c>
      <c r="AR672" s="18" t="s">
        <v>95</v>
      </c>
      <c r="AS672" s="18" t="s">
        <v>83</v>
      </c>
      <c r="AT672" s="18" t="s">
        <v>83</v>
      </c>
      <c r="AU672" s="18" t="s">
        <v>81</v>
      </c>
      <c r="AV672" s="18" t="s">
        <v>95</v>
      </c>
      <c r="AW672" s="18" t="s">
        <v>95</v>
      </c>
      <c r="AX672" s="18"/>
      <c r="AY672" s="18" t="str">
        <f>Pospago[[#This Row],[NUM_TELEFONICO]]&amp;"POSPAGOSI"</f>
        <v>992557827POSPAGOSI</v>
      </c>
      <c r="AZ672" s="18" t="str">
        <f>VLOOKUP(Pospago[[#This Row],[NOM_PLAZA_FINAL]],[1]!Locales[#Data],3,0)</f>
        <v>TIENDA RECREO</v>
      </c>
      <c r="BA672" s="18" t="str">
        <f>IFERROR(VLOOKUP(Pospago[[#This Row],[USUARIO]],[1]!Personal[#Data],6,0),"EJECUTIVO NO REGISTRADO")</f>
        <v>CABEZAS LOPEZ ROBERTO ALEJANDRO</v>
      </c>
      <c r="BB672" s="18" t="str">
        <f>Pospago[[#This Row],[TIPO_MOVIMIENTO]]&amp;" "&amp;Pospago[[#This Row],[FORMA_PAGO_FINAL]]</f>
        <v>TRANSFERENCIAS DOMICILIADO</v>
      </c>
      <c r="BC672" s="18">
        <f>DAY(Pospago[[#This Row],[FECHA_ALTA]])</f>
        <v>9</v>
      </c>
      <c r="BD672" s="18">
        <f>IF(Pospago[[#This Row],[TARIFA_BASICA]]=11.42,1,0)</f>
        <v>1</v>
      </c>
      <c r="BE672" s="18">
        <f>IF(Pospago[[#This Row],[PLANES TELEVENTAS]]="SI",1,0)</f>
        <v>0</v>
      </c>
      <c r="BF672" s="18">
        <f>1</f>
        <v>1</v>
      </c>
      <c r="BG672" s="18">
        <f>IF(OR(Pospago[[#This Row],[TARIFA_BASICA]]=11.42,Pospago[[#This Row],[PLANES TELEVENTAS]]="SI"),1,0)</f>
        <v>1</v>
      </c>
      <c r="BH672" s="18" t="str">
        <f>IF(MID(Pospago[[#This Row],[PlanDesc]],1,4) = "PLAN","POSPAGO",IF(MID(Pospago[[#This Row],[PlanDesc]],1,4)="FULL","FULL MEGAS","PREVIOPAGO"))</f>
        <v>PREVIOPAGO</v>
      </c>
      <c r="BI6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72" s="21">
        <f>Pospago[[#This Row],[TARIFA_BASICA]]*1.5</f>
        <v>17.13</v>
      </c>
    </row>
    <row r="673" spans="1:63" x14ac:dyDescent="0.25">
      <c r="A673" s="18" t="s">
        <v>64</v>
      </c>
      <c r="B673" s="18" t="s">
        <v>4331</v>
      </c>
      <c r="C673" s="18" t="s">
        <v>4332</v>
      </c>
      <c r="D673" s="19">
        <v>44908</v>
      </c>
      <c r="E673" s="18" t="s">
        <v>67</v>
      </c>
      <c r="F673" s="18" t="s">
        <v>4333</v>
      </c>
      <c r="G673" s="18" t="s">
        <v>4334</v>
      </c>
      <c r="H673" s="18" t="s">
        <v>70</v>
      </c>
      <c r="I673" s="18" t="s">
        <v>698</v>
      </c>
      <c r="J673" s="18" t="s">
        <v>607</v>
      </c>
      <c r="K673" s="18" t="s">
        <v>73</v>
      </c>
      <c r="L673" s="20" t="s">
        <v>4335</v>
      </c>
      <c r="M673" s="18" t="s">
        <v>75</v>
      </c>
      <c r="N673" s="20" t="s">
        <v>4336</v>
      </c>
      <c r="O673" s="18" t="s">
        <v>77</v>
      </c>
      <c r="P673" s="18" t="s">
        <v>78</v>
      </c>
      <c r="Q673" s="19">
        <v>44914</v>
      </c>
      <c r="R673" s="21">
        <v>26.78</v>
      </c>
      <c r="S673" s="18" t="s">
        <v>79</v>
      </c>
      <c r="T673" s="18" t="s">
        <v>148</v>
      </c>
      <c r="U673" s="18" t="s">
        <v>83</v>
      </c>
      <c r="V673" s="18" t="s">
        <v>95</v>
      </c>
      <c r="W673" s="18" t="s">
        <v>83</v>
      </c>
      <c r="X673" s="18" t="s">
        <v>84</v>
      </c>
      <c r="Y673" s="18" t="s">
        <v>85</v>
      </c>
      <c r="Z673" s="18" t="s">
        <v>86</v>
      </c>
      <c r="AA673" s="18" t="s">
        <v>87</v>
      </c>
      <c r="AB673" s="18" t="s">
        <v>318</v>
      </c>
      <c r="AC673" s="18" t="s">
        <v>319</v>
      </c>
      <c r="AD673" s="18" t="s">
        <v>85</v>
      </c>
      <c r="AE673" s="18" t="s">
        <v>90</v>
      </c>
      <c r="AF673" s="18" t="s">
        <v>151</v>
      </c>
      <c r="AG673" s="18" t="s">
        <v>92</v>
      </c>
      <c r="AH673" s="18" t="s">
        <v>93</v>
      </c>
      <c r="AI673" s="18" t="s">
        <v>94</v>
      </c>
      <c r="AJ673" s="19">
        <v>44908</v>
      </c>
      <c r="AK673" s="22" t="s">
        <v>95</v>
      </c>
      <c r="AL673" s="18" t="s">
        <v>95</v>
      </c>
      <c r="AM673" s="18" t="s">
        <v>95</v>
      </c>
      <c r="AN673" s="18" t="s">
        <v>95</v>
      </c>
      <c r="AO673" s="18" t="s">
        <v>95</v>
      </c>
      <c r="AP673" s="18" t="s">
        <v>95</v>
      </c>
      <c r="AQ673" s="18" t="s">
        <v>95</v>
      </c>
      <c r="AR673" s="18" t="s">
        <v>95</v>
      </c>
      <c r="AS673" s="18" t="s">
        <v>83</v>
      </c>
      <c r="AT673" s="18" t="s">
        <v>81</v>
      </c>
      <c r="AU673" s="18" t="s">
        <v>81</v>
      </c>
      <c r="AV673" s="18" t="s">
        <v>95</v>
      </c>
      <c r="AW673" s="18" t="s">
        <v>95</v>
      </c>
      <c r="AX673" s="18"/>
      <c r="AY673" s="18" t="str">
        <f>Pospago[[#This Row],[NUM_TELEFONICO]]&amp;"POSPAGOSI"</f>
        <v>992563285POSPAGOSI</v>
      </c>
      <c r="AZ673" s="18" t="str">
        <f>VLOOKUP(Pospago[[#This Row],[NOM_PLAZA_FINAL]],[1]!Locales[#Data],3,0)</f>
        <v>TIENDA CUENCA REMIGIO</v>
      </c>
      <c r="BA673" s="18" t="str">
        <f>IFERROR(VLOOKUP(Pospago[[#This Row],[USUARIO]],[1]!Personal[#Data],6,0),"EJECUTIVO NO REGISTRADO")</f>
        <v>RODRIGUEZ QUITO JESSICA GABRIELA</v>
      </c>
      <c r="BB673" s="18" t="str">
        <f>Pospago[[#This Row],[TIPO_MOVIMIENTO]]&amp;" "&amp;Pospago[[#This Row],[FORMA_PAGO_FINAL]]</f>
        <v>ALTAS DOMICILIADO</v>
      </c>
      <c r="BC673" s="18">
        <f>DAY(Pospago[[#This Row],[FECHA_ALTA]])</f>
        <v>13</v>
      </c>
      <c r="BD673" s="18">
        <f>IF(Pospago[[#This Row],[TARIFA_BASICA]]=11.42,1,0)</f>
        <v>0</v>
      </c>
      <c r="BE673" s="18">
        <f>IF(Pospago[[#This Row],[PLANES TELEVENTAS]]="SI",1,0)</f>
        <v>1</v>
      </c>
      <c r="BF673" s="18">
        <f>1</f>
        <v>1</v>
      </c>
      <c r="BG673" s="18">
        <f>IF(OR(Pospago[[#This Row],[TARIFA_BASICA]]=11.42,Pospago[[#This Row],[PLANES TELEVENTAS]]="SI"),1,0)</f>
        <v>1</v>
      </c>
      <c r="BH673" s="18" t="str">
        <f>IF(MID(Pospago[[#This Row],[PlanDesc]],1,4) = "PLAN","POSPAGO",IF(MID(Pospago[[#This Row],[PlanDesc]],1,4)="FULL","FULL MEGAS","PREVIOPAGO"))</f>
        <v>PREVIOPAGO</v>
      </c>
      <c r="BI6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6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73" s="21">
        <f>Pospago[[#This Row],[TARIFA_BASICA]]*1.5</f>
        <v>40.17</v>
      </c>
    </row>
    <row r="674" spans="1:63" x14ac:dyDescent="0.25">
      <c r="A674" s="18" t="s">
        <v>154</v>
      </c>
      <c r="B674" s="18" t="s">
        <v>4337</v>
      </c>
      <c r="C674" s="18" t="s">
        <v>4338</v>
      </c>
      <c r="D674" s="19">
        <v>44901</v>
      </c>
      <c r="E674" s="18" t="s">
        <v>67</v>
      </c>
      <c r="F674" s="18" t="s">
        <v>4339</v>
      </c>
      <c r="G674" s="18" t="s">
        <v>4340</v>
      </c>
      <c r="H674" s="18" t="s">
        <v>159</v>
      </c>
      <c r="I674" s="18" t="s">
        <v>71</v>
      </c>
      <c r="J674" s="18" t="s">
        <v>258</v>
      </c>
      <c r="K674" s="18" t="s">
        <v>132</v>
      </c>
      <c r="L674" s="20" t="s">
        <v>4341</v>
      </c>
      <c r="M674" s="18" t="s">
        <v>75</v>
      </c>
      <c r="N674" s="20" t="s">
        <v>4342</v>
      </c>
      <c r="O674" s="18" t="s">
        <v>164</v>
      </c>
      <c r="P674" s="18" t="s">
        <v>78</v>
      </c>
      <c r="Q674" s="19">
        <v>44914</v>
      </c>
      <c r="R674" s="21">
        <v>11.42</v>
      </c>
      <c r="S674" s="18" t="s">
        <v>79</v>
      </c>
      <c r="T674" s="18" t="s">
        <v>232</v>
      </c>
      <c r="U674" s="18" t="s">
        <v>83</v>
      </c>
      <c r="V674" s="18" t="s">
        <v>95</v>
      </c>
      <c r="W674" s="18" t="s">
        <v>95</v>
      </c>
      <c r="X674" s="18" t="s">
        <v>84</v>
      </c>
      <c r="Y674" s="18" t="s">
        <v>85</v>
      </c>
      <c r="Z674" s="18" t="s">
        <v>86</v>
      </c>
      <c r="AA674" s="18" t="s">
        <v>87</v>
      </c>
      <c r="AB674" s="18" t="s">
        <v>769</v>
      </c>
      <c r="AC674" s="18" t="s">
        <v>770</v>
      </c>
      <c r="AD674" s="18" t="s">
        <v>85</v>
      </c>
      <c r="AE674" s="18" t="s">
        <v>90</v>
      </c>
      <c r="AF674" s="18" t="s">
        <v>235</v>
      </c>
      <c r="AG674" s="18" t="s">
        <v>139</v>
      </c>
      <c r="AH674" s="18" t="s">
        <v>165</v>
      </c>
      <c r="AI674" s="18" t="s">
        <v>94</v>
      </c>
      <c r="AJ674" s="19">
        <v>44901</v>
      </c>
      <c r="AK674" s="22" t="s">
        <v>95</v>
      </c>
      <c r="AL674" s="18" t="s">
        <v>95</v>
      </c>
      <c r="AM674" s="18" t="s">
        <v>95</v>
      </c>
      <c r="AN674" s="18" t="s">
        <v>95</v>
      </c>
      <c r="AO674" s="18" t="s">
        <v>95</v>
      </c>
      <c r="AP674" s="18" t="s">
        <v>95</v>
      </c>
      <c r="AQ674" s="18" t="s">
        <v>95</v>
      </c>
      <c r="AR674" s="18" t="s">
        <v>95</v>
      </c>
      <c r="AS674" s="18" t="s">
        <v>83</v>
      </c>
      <c r="AT674" s="18" t="s">
        <v>83</v>
      </c>
      <c r="AU674" s="18" t="s">
        <v>81</v>
      </c>
      <c r="AV674" s="18" t="s">
        <v>95</v>
      </c>
      <c r="AW674" s="18" t="s">
        <v>95</v>
      </c>
      <c r="AX674" s="18"/>
      <c r="AY674" s="18" t="str">
        <f>Pospago[[#This Row],[NUM_TELEFONICO]]&amp;"POSPAGOSI"</f>
        <v>992564118POSPAGOSI</v>
      </c>
      <c r="AZ674" s="18" t="str">
        <f>VLOOKUP(Pospago[[#This Row],[NOM_PLAZA_FINAL]],[1]!Locales[#Data],3,0)</f>
        <v>TIENDA CONDADO</v>
      </c>
      <c r="BA674" s="18" t="str">
        <f>IFERROR(VLOOKUP(Pospago[[#This Row],[USUARIO]],[1]!Personal[#Data],6,0),"EJECUTIVO NO REGISTRADO")</f>
        <v>ROJAS VEGA JHOSMERY MICHELE</v>
      </c>
      <c r="BB674" s="18" t="str">
        <f>Pospago[[#This Row],[TIPO_MOVIMIENTO]]&amp;" "&amp;Pospago[[#This Row],[FORMA_PAGO_FINAL]]</f>
        <v>TRANSFERENCIAS DOMICILIADO</v>
      </c>
      <c r="BC674" s="18">
        <f>DAY(Pospago[[#This Row],[FECHA_ALTA]])</f>
        <v>6</v>
      </c>
      <c r="BD674" s="18">
        <f>IF(Pospago[[#This Row],[TARIFA_BASICA]]=11.42,1,0)</f>
        <v>1</v>
      </c>
      <c r="BE674" s="18">
        <f>IF(Pospago[[#This Row],[PLANES TELEVENTAS]]="SI",1,0)</f>
        <v>0</v>
      </c>
      <c r="BF674" s="18">
        <f>1</f>
        <v>1</v>
      </c>
      <c r="BG674" s="18">
        <f>IF(OR(Pospago[[#This Row],[TARIFA_BASICA]]=11.42,Pospago[[#This Row],[PLANES TELEVENTAS]]="SI"),1,0)</f>
        <v>1</v>
      </c>
      <c r="BH674" s="18" t="str">
        <f>IF(MID(Pospago[[#This Row],[PlanDesc]],1,4) = "PLAN","POSPAGO",IF(MID(Pospago[[#This Row],[PlanDesc]],1,4)="FULL","FULL MEGAS","PREVIOPAGO"))</f>
        <v>PREVIOPAGO</v>
      </c>
      <c r="BI6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74" s="21">
        <f>Pospago[[#This Row],[TARIFA_BASICA]]*1.5</f>
        <v>17.13</v>
      </c>
    </row>
    <row r="675" spans="1:63" x14ac:dyDescent="0.25">
      <c r="A675" s="18" t="s">
        <v>154</v>
      </c>
      <c r="B675" s="18" t="s">
        <v>4343</v>
      </c>
      <c r="C675" s="18" t="s">
        <v>2740</v>
      </c>
      <c r="D675" s="19">
        <v>44898</v>
      </c>
      <c r="E675" s="18" t="s">
        <v>67</v>
      </c>
      <c r="F675" s="18" t="s">
        <v>2741</v>
      </c>
      <c r="G675" s="18" t="s">
        <v>2742</v>
      </c>
      <c r="H675" s="18" t="s">
        <v>159</v>
      </c>
      <c r="I675" s="18" t="s">
        <v>71</v>
      </c>
      <c r="J675" s="18" t="s">
        <v>258</v>
      </c>
      <c r="K675" s="18" t="s">
        <v>73</v>
      </c>
      <c r="L675" s="20" t="s">
        <v>4344</v>
      </c>
      <c r="M675" s="18" t="s">
        <v>287</v>
      </c>
      <c r="N675" s="20" t="s">
        <v>4345</v>
      </c>
      <c r="O675" s="18" t="s">
        <v>2241</v>
      </c>
      <c r="P675" s="18" t="s">
        <v>78</v>
      </c>
      <c r="Q675" s="19">
        <v>44914</v>
      </c>
      <c r="R675" s="21">
        <v>11.42</v>
      </c>
      <c r="S675" s="18" t="s">
        <v>79</v>
      </c>
      <c r="T675" s="18" t="s">
        <v>80</v>
      </c>
      <c r="U675" s="18" t="s">
        <v>83</v>
      </c>
      <c r="V675" s="18" t="s">
        <v>95</v>
      </c>
      <c r="W675" s="18" t="s">
        <v>95</v>
      </c>
      <c r="X675" s="18" t="s">
        <v>215</v>
      </c>
      <c r="Y675" s="18" t="s">
        <v>85</v>
      </c>
      <c r="Z675" s="18" t="s">
        <v>86</v>
      </c>
      <c r="AA675" s="18" t="s">
        <v>87</v>
      </c>
      <c r="AB675" s="18" t="s">
        <v>289</v>
      </c>
      <c r="AC675" s="18" t="s">
        <v>290</v>
      </c>
      <c r="AD675" s="18" t="s">
        <v>85</v>
      </c>
      <c r="AE675" s="18" t="s">
        <v>90</v>
      </c>
      <c r="AF675" s="18" t="s">
        <v>91</v>
      </c>
      <c r="AG675" s="18" t="s">
        <v>92</v>
      </c>
      <c r="AH675" s="18" t="s">
        <v>165</v>
      </c>
      <c r="AI675" s="18" t="s">
        <v>94</v>
      </c>
      <c r="AJ675" s="19">
        <v>44898</v>
      </c>
      <c r="AK675" s="22">
        <v>44898</v>
      </c>
      <c r="AL675" s="18" t="s">
        <v>291</v>
      </c>
      <c r="AM675" s="18" t="s">
        <v>292</v>
      </c>
      <c r="AN675" s="18" t="s">
        <v>494</v>
      </c>
      <c r="AO675" s="18" t="s">
        <v>4346</v>
      </c>
      <c r="AP675" s="18">
        <v>1</v>
      </c>
      <c r="AQ675" s="18">
        <v>1151.7857100000001</v>
      </c>
      <c r="AR675" s="18" t="s">
        <v>496</v>
      </c>
      <c r="AS675" s="18" t="s">
        <v>81</v>
      </c>
      <c r="AT675" s="18" t="s">
        <v>83</v>
      </c>
      <c r="AU675" s="18" t="s">
        <v>81</v>
      </c>
      <c r="AV675" s="18" t="s">
        <v>95</v>
      </c>
      <c r="AW675" s="18" t="s">
        <v>95</v>
      </c>
      <c r="AX675" s="18"/>
      <c r="AY675" s="18" t="str">
        <f>Pospago[[#This Row],[NUM_TELEFONICO]]&amp;"POSPAGOSI"</f>
        <v>992574735POSPAGOSI</v>
      </c>
      <c r="AZ675" s="18" t="str">
        <f>VLOOKUP(Pospago[[#This Row],[NOM_PLAZA_FINAL]],[1]!Locales[#Data],3,0)</f>
        <v>TIENDA CUENCA CENTRO</v>
      </c>
      <c r="BA675" s="18" t="str">
        <f>IFERROR(VLOOKUP(Pospago[[#This Row],[USUARIO]],[1]!Personal[#Data],6,0),"EJECUTIVO NO REGISTRADO")</f>
        <v>CALLE CHACA JORGE VINICIO</v>
      </c>
      <c r="BB675" s="18" t="str">
        <f>Pospago[[#This Row],[TIPO_MOVIMIENTO]]&amp;" "&amp;Pospago[[#This Row],[FORMA_PAGO_FINAL]]</f>
        <v>TRANSFERENCIAS DOMICILIADO</v>
      </c>
      <c r="BC675" s="18">
        <f>DAY(Pospago[[#This Row],[FECHA_ALTA]])</f>
        <v>3</v>
      </c>
      <c r="BD675" s="18">
        <f>IF(Pospago[[#This Row],[TARIFA_BASICA]]=11.42,1,0)</f>
        <v>1</v>
      </c>
      <c r="BE675" s="18">
        <f>IF(Pospago[[#This Row],[PLANES TELEVENTAS]]="SI",1,0)</f>
        <v>0</v>
      </c>
      <c r="BF675" s="18">
        <f>1</f>
        <v>1</v>
      </c>
      <c r="BG675" s="18">
        <f>IF(OR(Pospago[[#This Row],[TARIFA_BASICA]]=11.42,Pospago[[#This Row],[PLANES TELEVENTAS]]="SI"),1,0)</f>
        <v>1</v>
      </c>
      <c r="BH675" s="18" t="str">
        <f>IF(MID(Pospago[[#This Row],[PlanDesc]],1,4) = "PLAN","POSPAGO",IF(MID(Pospago[[#This Row],[PlanDesc]],1,4)="FULL","FULL MEGAS","PREVIOPAGO"))</f>
        <v>PREVIOPAGO</v>
      </c>
      <c r="BI6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75" s="21">
        <f>Pospago[[#This Row],[TARIFA_BASICA]]*1.5</f>
        <v>17.13</v>
      </c>
    </row>
    <row r="676" spans="1:63" x14ac:dyDescent="0.25">
      <c r="A676" s="18" t="s">
        <v>154</v>
      </c>
      <c r="B676" s="18" t="s">
        <v>4347</v>
      </c>
      <c r="C676" s="18" t="s">
        <v>4348</v>
      </c>
      <c r="D676" s="19">
        <v>44910</v>
      </c>
      <c r="E676" s="18" t="s">
        <v>67</v>
      </c>
      <c r="F676" s="18" t="s">
        <v>4349</v>
      </c>
      <c r="G676" s="18" t="s">
        <v>4350</v>
      </c>
      <c r="H676" s="18" t="s">
        <v>159</v>
      </c>
      <c r="I676" s="18" t="s">
        <v>160</v>
      </c>
      <c r="J676" s="18" t="s">
        <v>161</v>
      </c>
      <c r="K676" s="18" t="s">
        <v>132</v>
      </c>
      <c r="L676" s="20" t="s">
        <v>4351</v>
      </c>
      <c r="M676" s="18" t="s">
        <v>75</v>
      </c>
      <c r="N676" s="20" t="s">
        <v>4352</v>
      </c>
      <c r="O676" s="18" t="s">
        <v>164</v>
      </c>
      <c r="P676" s="18" t="s">
        <v>78</v>
      </c>
      <c r="Q676" s="19">
        <v>44914</v>
      </c>
      <c r="R676" s="21">
        <v>14.28</v>
      </c>
      <c r="S676" s="18" t="s">
        <v>79</v>
      </c>
      <c r="T676" s="18" t="s">
        <v>232</v>
      </c>
      <c r="U676" s="18" t="s">
        <v>83</v>
      </c>
      <c r="V676" s="18" t="s">
        <v>95</v>
      </c>
      <c r="W676" s="18" t="s">
        <v>95</v>
      </c>
      <c r="X676" s="18" t="s">
        <v>84</v>
      </c>
      <c r="Y676" s="18" t="s">
        <v>85</v>
      </c>
      <c r="Z676" s="18" t="s">
        <v>86</v>
      </c>
      <c r="AA676" s="18" t="s">
        <v>87</v>
      </c>
      <c r="AB676" s="18" t="s">
        <v>271</v>
      </c>
      <c r="AC676" s="18" t="s">
        <v>272</v>
      </c>
      <c r="AD676" s="18" t="s">
        <v>85</v>
      </c>
      <c r="AE676" s="18" t="s">
        <v>90</v>
      </c>
      <c r="AF676" s="18" t="s">
        <v>235</v>
      </c>
      <c r="AG676" s="18" t="s">
        <v>139</v>
      </c>
      <c r="AH676" s="18" t="s">
        <v>165</v>
      </c>
      <c r="AI676" s="18" t="s">
        <v>94</v>
      </c>
      <c r="AJ676" s="19">
        <v>44910</v>
      </c>
      <c r="AK676" s="22" t="s">
        <v>95</v>
      </c>
      <c r="AL676" s="18" t="s">
        <v>95</v>
      </c>
      <c r="AM676" s="18" t="s">
        <v>95</v>
      </c>
      <c r="AN676" s="18" t="s">
        <v>95</v>
      </c>
      <c r="AO676" s="18" t="s">
        <v>95</v>
      </c>
      <c r="AP676" s="18" t="s">
        <v>95</v>
      </c>
      <c r="AQ676" s="18" t="s">
        <v>95</v>
      </c>
      <c r="AR676" s="18" t="s">
        <v>95</v>
      </c>
      <c r="AS676" s="18" t="s">
        <v>83</v>
      </c>
      <c r="AT676" s="18" t="s">
        <v>83</v>
      </c>
      <c r="AU676" s="18" t="s">
        <v>81</v>
      </c>
      <c r="AV676" s="18" t="s">
        <v>95</v>
      </c>
      <c r="AW676" s="18" t="s">
        <v>95</v>
      </c>
      <c r="AX676" s="18"/>
      <c r="AY676" s="18" t="str">
        <f>Pospago[[#This Row],[NUM_TELEFONICO]]&amp;"POSPAGOSI"</f>
        <v>992578018POSPAGOSI</v>
      </c>
      <c r="AZ676" s="18" t="str">
        <f>VLOOKUP(Pospago[[#This Row],[NOM_PLAZA_FINAL]],[1]!Locales[#Data],3,0)</f>
        <v>TIENDA CONDADO</v>
      </c>
      <c r="BA676" s="18" t="str">
        <f>IFERROR(VLOOKUP(Pospago[[#This Row],[USUARIO]],[1]!Personal[#Data],6,0),"EJECUTIVO NO REGISTRADO")</f>
        <v>CASTILLO AGUIRRE EDWIN MODESTO</v>
      </c>
      <c r="BB676" s="18" t="str">
        <f>Pospago[[#This Row],[TIPO_MOVIMIENTO]]&amp;" "&amp;Pospago[[#This Row],[FORMA_PAGO_FINAL]]</f>
        <v>TRANSFERENCIAS DOMICILIADO</v>
      </c>
      <c r="BC676" s="18">
        <f>DAY(Pospago[[#This Row],[FECHA_ALTA]])</f>
        <v>15</v>
      </c>
      <c r="BD676" s="18">
        <f>IF(Pospago[[#This Row],[TARIFA_BASICA]]=11.42,1,0)</f>
        <v>0</v>
      </c>
      <c r="BE676" s="18">
        <f>IF(Pospago[[#This Row],[PLANES TELEVENTAS]]="SI",1,0)</f>
        <v>0</v>
      </c>
      <c r="BF676" s="18">
        <f>1</f>
        <v>1</v>
      </c>
      <c r="BG676" s="18">
        <f>IF(OR(Pospago[[#This Row],[TARIFA_BASICA]]=11.42,Pospago[[#This Row],[PLANES TELEVENTAS]]="SI"),1,0)</f>
        <v>0</v>
      </c>
      <c r="BH676" s="18" t="str">
        <f>IF(MID(Pospago[[#This Row],[PlanDesc]],1,4) = "PLAN","POSPAGO",IF(MID(Pospago[[#This Row],[PlanDesc]],1,4)="FULL","FULL MEGAS","PREVIOPAGO"))</f>
        <v>PREVIOPAGO</v>
      </c>
      <c r="BI6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76" s="21">
        <f>Pospago[[#This Row],[TARIFA_BASICA]]*1.5</f>
        <v>21.419999999999998</v>
      </c>
    </row>
    <row r="677" spans="1:63" x14ac:dyDescent="0.25">
      <c r="A677" s="18" t="s">
        <v>64</v>
      </c>
      <c r="B677" s="18" t="s">
        <v>4353</v>
      </c>
      <c r="C677" s="18" t="s">
        <v>2243</v>
      </c>
      <c r="D677" s="19">
        <v>44896</v>
      </c>
      <c r="E677" s="18" t="s">
        <v>67</v>
      </c>
      <c r="F677" s="18" t="s">
        <v>2244</v>
      </c>
      <c r="G677" s="18" t="s">
        <v>2245</v>
      </c>
      <c r="H677" s="18" t="s">
        <v>193</v>
      </c>
      <c r="I677" s="18" t="s">
        <v>194</v>
      </c>
      <c r="J677" s="18" t="s">
        <v>195</v>
      </c>
      <c r="K677" s="18" t="s">
        <v>73</v>
      </c>
      <c r="L677" s="20" t="s">
        <v>4354</v>
      </c>
      <c r="M677" s="18" t="s">
        <v>75</v>
      </c>
      <c r="N677" s="20" t="s">
        <v>4355</v>
      </c>
      <c r="O677" s="18" t="s">
        <v>77</v>
      </c>
      <c r="P677" s="18" t="s">
        <v>78</v>
      </c>
      <c r="Q677" s="19">
        <v>44914</v>
      </c>
      <c r="R677" s="21">
        <v>14.28</v>
      </c>
      <c r="S677" s="18" t="s">
        <v>79</v>
      </c>
      <c r="T677" s="18" t="s">
        <v>80</v>
      </c>
      <c r="U677" s="18" t="s">
        <v>83</v>
      </c>
      <c r="V677" s="18" t="s">
        <v>95</v>
      </c>
      <c r="W677" s="18" t="s">
        <v>83</v>
      </c>
      <c r="X677" s="18" t="s">
        <v>215</v>
      </c>
      <c r="Y677" s="18" t="s">
        <v>85</v>
      </c>
      <c r="Z677" s="18" t="s">
        <v>86</v>
      </c>
      <c r="AA677" s="18" t="s">
        <v>87</v>
      </c>
      <c r="AB677" s="18" t="s">
        <v>242</v>
      </c>
      <c r="AC677" s="18" t="s">
        <v>243</v>
      </c>
      <c r="AD677" s="18" t="s">
        <v>85</v>
      </c>
      <c r="AE677" s="18" t="s">
        <v>90</v>
      </c>
      <c r="AF677" s="18" t="s">
        <v>91</v>
      </c>
      <c r="AG677" s="18" t="s">
        <v>92</v>
      </c>
      <c r="AH677" s="18" t="s">
        <v>93</v>
      </c>
      <c r="AI677" s="18" t="s">
        <v>94</v>
      </c>
      <c r="AJ677" s="19">
        <v>44896</v>
      </c>
      <c r="AK677" s="22" t="s">
        <v>95</v>
      </c>
      <c r="AL677" s="18" t="s">
        <v>95</v>
      </c>
      <c r="AM677" s="18" t="s">
        <v>95</v>
      </c>
      <c r="AN677" s="18" t="s">
        <v>95</v>
      </c>
      <c r="AO677" s="18" t="s">
        <v>95</v>
      </c>
      <c r="AP677" s="18" t="s">
        <v>95</v>
      </c>
      <c r="AQ677" s="18" t="s">
        <v>95</v>
      </c>
      <c r="AR677" s="18" t="s">
        <v>95</v>
      </c>
      <c r="AS677" s="18" t="s">
        <v>83</v>
      </c>
      <c r="AT677" s="18" t="s">
        <v>81</v>
      </c>
      <c r="AU677" s="18" t="s">
        <v>81</v>
      </c>
      <c r="AV677" s="18" t="s">
        <v>95</v>
      </c>
      <c r="AW677" s="18" t="s">
        <v>95</v>
      </c>
      <c r="AX677" s="18"/>
      <c r="AY677" s="18" t="str">
        <f>Pospago[[#This Row],[NUM_TELEFONICO]]&amp;"POSPAGOSI"</f>
        <v>992601561POSPAGOSI</v>
      </c>
      <c r="AZ677" s="18" t="str">
        <f>VLOOKUP(Pospago[[#This Row],[NOM_PLAZA_FINAL]],[1]!Locales[#Data],3,0)</f>
        <v>TIENDA CUENCA CENTRO</v>
      </c>
      <c r="BA677" s="18" t="str">
        <f>IFERROR(VLOOKUP(Pospago[[#This Row],[USUARIO]],[1]!Personal[#Data],6,0),"EJECUTIVO NO REGISTRADO")</f>
        <v>VALLEJO DELEG ROMAN NICOLAS</v>
      </c>
      <c r="BB677" s="18" t="str">
        <f>Pospago[[#This Row],[TIPO_MOVIMIENTO]]&amp;" "&amp;Pospago[[#This Row],[FORMA_PAGO_FINAL]]</f>
        <v>ALTAS DOMICILIADO</v>
      </c>
      <c r="BC677" s="18">
        <f>DAY(Pospago[[#This Row],[FECHA_ALTA]])</f>
        <v>1</v>
      </c>
      <c r="BD677" s="18">
        <f>IF(Pospago[[#This Row],[TARIFA_BASICA]]=11.42,1,0)</f>
        <v>0</v>
      </c>
      <c r="BE677" s="18">
        <f>IF(Pospago[[#This Row],[PLANES TELEVENTAS]]="SI",1,0)</f>
        <v>1</v>
      </c>
      <c r="BF677" s="18">
        <f>1</f>
        <v>1</v>
      </c>
      <c r="BG677" s="18">
        <f>IF(OR(Pospago[[#This Row],[TARIFA_BASICA]]=11.42,Pospago[[#This Row],[PLANES TELEVENTAS]]="SI"),1,0)</f>
        <v>1</v>
      </c>
      <c r="BH677" s="18" t="str">
        <f>IF(MID(Pospago[[#This Row],[PlanDesc]],1,4) = "PLAN","POSPAGO",IF(MID(Pospago[[#This Row],[PlanDesc]],1,4)="FULL","FULL MEGAS","PREVIOPAGO"))</f>
        <v>PREVIOPAGO</v>
      </c>
      <c r="BI6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77" s="21">
        <f>Pospago[[#This Row],[TARIFA_BASICA]]*1.5</f>
        <v>21.419999999999998</v>
      </c>
    </row>
    <row r="678" spans="1:63" x14ac:dyDescent="0.25">
      <c r="A678" s="18" t="s">
        <v>154</v>
      </c>
      <c r="B678" s="18" t="s">
        <v>4356</v>
      </c>
      <c r="C678" s="18" t="s">
        <v>4357</v>
      </c>
      <c r="D678" s="19">
        <v>44897</v>
      </c>
      <c r="E678" s="18" t="s">
        <v>67</v>
      </c>
      <c r="F678" s="18" t="s">
        <v>4358</v>
      </c>
      <c r="G678" s="18" t="s">
        <v>4359</v>
      </c>
      <c r="H678" s="18" t="s">
        <v>159</v>
      </c>
      <c r="I678" s="18" t="s">
        <v>359</v>
      </c>
      <c r="J678" s="18" t="s">
        <v>360</v>
      </c>
      <c r="K678" s="18" t="s">
        <v>132</v>
      </c>
      <c r="L678" s="20" t="s">
        <v>4360</v>
      </c>
      <c r="M678" s="18" t="s">
        <v>75</v>
      </c>
      <c r="N678" s="20" t="s">
        <v>4361</v>
      </c>
      <c r="O678" s="18" t="s">
        <v>1532</v>
      </c>
      <c r="P678" s="18" t="s">
        <v>78</v>
      </c>
      <c r="Q678" s="19">
        <v>44914</v>
      </c>
      <c r="R678" s="21">
        <v>14.28</v>
      </c>
      <c r="S678" s="18" t="s">
        <v>79</v>
      </c>
      <c r="T678" s="18" t="s">
        <v>174</v>
      </c>
      <c r="U678" s="18" t="s">
        <v>83</v>
      </c>
      <c r="V678" s="18" t="s">
        <v>95</v>
      </c>
      <c r="W678" s="18" t="s">
        <v>95</v>
      </c>
      <c r="X678" s="18" t="s">
        <v>84</v>
      </c>
      <c r="Y678" s="18" t="s">
        <v>85</v>
      </c>
      <c r="Z678" s="18" t="s">
        <v>86</v>
      </c>
      <c r="AA678" s="18" t="s">
        <v>87</v>
      </c>
      <c r="AB678" s="18" t="s">
        <v>175</v>
      </c>
      <c r="AC678" s="18" t="s">
        <v>176</v>
      </c>
      <c r="AD678" s="18" t="s">
        <v>85</v>
      </c>
      <c r="AE678" s="18" t="s">
        <v>90</v>
      </c>
      <c r="AF678" s="18" t="s">
        <v>177</v>
      </c>
      <c r="AG678" s="18" t="s">
        <v>139</v>
      </c>
      <c r="AH678" s="18" t="s">
        <v>165</v>
      </c>
      <c r="AI678" s="18" t="s">
        <v>94</v>
      </c>
      <c r="AJ678" s="19">
        <v>44897</v>
      </c>
      <c r="AK678" s="22" t="s">
        <v>95</v>
      </c>
      <c r="AL678" s="18" t="s">
        <v>95</v>
      </c>
      <c r="AM678" s="18" t="s">
        <v>95</v>
      </c>
      <c r="AN678" s="18" t="s">
        <v>95</v>
      </c>
      <c r="AO678" s="18" t="s">
        <v>95</v>
      </c>
      <c r="AP678" s="18" t="s">
        <v>95</v>
      </c>
      <c r="AQ678" s="18" t="s">
        <v>95</v>
      </c>
      <c r="AR678" s="18" t="s">
        <v>95</v>
      </c>
      <c r="AS678" s="18" t="s">
        <v>83</v>
      </c>
      <c r="AT678" s="18" t="s">
        <v>83</v>
      </c>
      <c r="AU678" s="18" t="s">
        <v>83</v>
      </c>
      <c r="AV678" s="18" t="s">
        <v>95</v>
      </c>
      <c r="AW678" s="18" t="s">
        <v>95</v>
      </c>
      <c r="AX678" s="18"/>
      <c r="AY678" s="18" t="str">
        <f>Pospago[[#This Row],[NUM_TELEFONICO]]&amp;"POSPAGOSI"</f>
        <v>992627206POSPAGOSI</v>
      </c>
      <c r="AZ678" s="18" t="str">
        <f>VLOOKUP(Pospago[[#This Row],[NOM_PLAZA_FINAL]],[1]!Locales[#Data],3,0)</f>
        <v>TIENDA RECREO</v>
      </c>
      <c r="BA678" s="18" t="str">
        <f>IFERROR(VLOOKUP(Pospago[[#This Row],[USUARIO]],[1]!Personal[#Data],6,0),"EJECUTIVO NO REGISTRADO")</f>
        <v>VARGAS REYES LUIS EDUARDO</v>
      </c>
      <c r="BB678" s="18" t="str">
        <f>Pospago[[#This Row],[TIPO_MOVIMIENTO]]&amp;" "&amp;Pospago[[#This Row],[FORMA_PAGO_FINAL]]</f>
        <v>TRANSFERENCIAS DOMICILIADO</v>
      </c>
      <c r="BC678" s="18">
        <f>DAY(Pospago[[#This Row],[FECHA_ALTA]])</f>
        <v>2</v>
      </c>
      <c r="BD678" s="18">
        <f>IF(Pospago[[#This Row],[TARIFA_BASICA]]=11.42,1,0)</f>
        <v>0</v>
      </c>
      <c r="BE678" s="18">
        <f>IF(Pospago[[#This Row],[PLANES TELEVENTAS]]="SI",1,0)</f>
        <v>0</v>
      </c>
      <c r="BF678" s="18">
        <f>1</f>
        <v>1</v>
      </c>
      <c r="BG678" s="18">
        <f>IF(OR(Pospago[[#This Row],[TARIFA_BASICA]]=11.42,Pospago[[#This Row],[PLANES TELEVENTAS]]="SI"),1,0)</f>
        <v>0</v>
      </c>
      <c r="BH678" s="18" t="str">
        <f>IF(MID(Pospago[[#This Row],[PlanDesc]],1,4) = "PLAN","POSPAGO",IF(MID(Pospago[[#This Row],[PlanDesc]],1,4)="FULL","FULL MEGAS","PREVIOPAGO"))</f>
        <v>POSPAGO</v>
      </c>
      <c r="BI6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78" s="21">
        <f>Pospago[[#This Row],[TARIFA_BASICA]]*1.5</f>
        <v>21.419999999999998</v>
      </c>
    </row>
    <row r="679" spans="1:63" x14ac:dyDescent="0.25">
      <c r="A679" s="18" t="s">
        <v>154</v>
      </c>
      <c r="B679" s="18" t="s">
        <v>4362</v>
      </c>
      <c r="C679" s="18" t="s">
        <v>4363</v>
      </c>
      <c r="D679" s="19">
        <v>44899</v>
      </c>
      <c r="E679" s="18" t="s">
        <v>67</v>
      </c>
      <c r="F679" s="18" t="s">
        <v>4364</v>
      </c>
      <c r="G679" s="18" t="s">
        <v>4365</v>
      </c>
      <c r="H679" s="18" t="s">
        <v>159</v>
      </c>
      <c r="I679" s="18" t="s">
        <v>160</v>
      </c>
      <c r="J679" s="18" t="s">
        <v>161</v>
      </c>
      <c r="K679" s="18" t="s">
        <v>95</v>
      </c>
      <c r="L679" s="20" t="s">
        <v>4366</v>
      </c>
      <c r="M679" s="18" t="s">
        <v>75</v>
      </c>
      <c r="N679" s="20" t="s">
        <v>4367</v>
      </c>
      <c r="O679" s="18" t="s">
        <v>164</v>
      </c>
      <c r="P679" s="18" t="s">
        <v>78</v>
      </c>
      <c r="Q679" s="19">
        <v>44914</v>
      </c>
      <c r="R679" s="21">
        <v>14.28</v>
      </c>
      <c r="S679" s="18" t="s">
        <v>79</v>
      </c>
      <c r="T679" s="18" t="s">
        <v>232</v>
      </c>
      <c r="U679" s="18" t="s">
        <v>83</v>
      </c>
      <c r="V679" s="18" t="s">
        <v>95</v>
      </c>
      <c r="W679" s="18" t="s">
        <v>95</v>
      </c>
      <c r="X679" s="18" t="s">
        <v>118</v>
      </c>
      <c r="Y679" s="18" t="s">
        <v>85</v>
      </c>
      <c r="Z679" s="18" t="s">
        <v>86</v>
      </c>
      <c r="AA679" s="18" t="s">
        <v>119</v>
      </c>
      <c r="AB679" s="18" t="s">
        <v>280</v>
      </c>
      <c r="AC679" s="18" t="s">
        <v>281</v>
      </c>
      <c r="AD679" s="18" t="s">
        <v>85</v>
      </c>
      <c r="AE679" s="18" t="s">
        <v>90</v>
      </c>
      <c r="AF679" s="18" t="s">
        <v>235</v>
      </c>
      <c r="AG679" s="18" t="s">
        <v>139</v>
      </c>
      <c r="AH679" s="18" t="s">
        <v>165</v>
      </c>
      <c r="AI679" s="18" t="s">
        <v>94</v>
      </c>
      <c r="AJ679" s="19">
        <v>44899</v>
      </c>
      <c r="AK679" s="22" t="s">
        <v>95</v>
      </c>
      <c r="AL679" s="18" t="s">
        <v>95</v>
      </c>
      <c r="AM679" s="18" t="s">
        <v>95</v>
      </c>
      <c r="AN679" s="18" t="s">
        <v>95</v>
      </c>
      <c r="AO679" s="18" t="s">
        <v>95</v>
      </c>
      <c r="AP679" s="18" t="s">
        <v>95</v>
      </c>
      <c r="AQ679" s="18" t="s">
        <v>95</v>
      </c>
      <c r="AR679" s="18" t="s">
        <v>95</v>
      </c>
      <c r="AS679" s="18" t="s">
        <v>83</v>
      </c>
      <c r="AT679" s="18" t="s">
        <v>83</v>
      </c>
      <c r="AU679" s="18" t="s">
        <v>81</v>
      </c>
      <c r="AV679" s="18" t="s">
        <v>95</v>
      </c>
      <c r="AW679" s="18" t="s">
        <v>291</v>
      </c>
      <c r="AX679" s="18"/>
      <c r="AY679" s="18" t="str">
        <f>Pospago[[#This Row],[NUM_TELEFONICO]]&amp;"POSPAGOSI"</f>
        <v>992640438POSPAGOSI</v>
      </c>
      <c r="AZ679" s="18" t="str">
        <f>VLOOKUP(Pospago[[#This Row],[NOM_PLAZA_FINAL]],[1]!Locales[#Data],3,0)</f>
        <v>TIENDA CONDADO</v>
      </c>
      <c r="BA679" s="18" t="str">
        <f>IFERROR(VLOOKUP(Pospago[[#This Row],[USUARIO]],[1]!Personal[#Data],6,0),"EJECUTIVO NO REGISTRADO")</f>
        <v>GUACHAMIN CAZA HUGO ADRIAN</v>
      </c>
      <c r="BB679" s="18" t="str">
        <f>Pospago[[#This Row],[TIPO_MOVIMIENTO]]&amp;" "&amp;Pospago[[#This Row],[FORMA_PAGO_FINAL]]</f>
        <v>TRANSFERENCIAS PAGO EN CAJA</v>
      </c>
      <c r="BC679" s="18">
        <f>DAY(Pospago[[#This Row],[FECHA_ALTA]])</f>
        <v>4</v>
      </c>
      <c r="BD679" s="18">
        <f>IF(Pospago[[#This Row],[TARIFA_BASICA]]=11.42,1,0)</f>
        <v>0</v>
      </c>
      <c r="BE679" s="18">
        <f>IF(Pospago[[#This Row],[PLANES TELEVENTAS]]="SI",1,0)</f>
        <v>0</v>
      </c>
      <c r="BF679" s="18">
        <f>1</f>
        <v>1</v>
      </c>
      <c r="BG679" s="18">
        <f>IF(OR(Pospago[[#This Row],[TARIFA_BASICA]]=11.42,Pospago[[#This Row],[PLANES TELEVENTAS]]="SI"),1,0)</f>
        <v>0</v>
      </c>
      <c r="BH679" s="18" t="str">
        <f>IF(MID(Pospago[[#This Row],[PlanDesc]],1,4) = "PLAN","POSPAGO",IF(MID(Pospago[[#This Row],[PlanDesc]],1,4)="FULL","FULL MEGAS","PREVIOPAGO"))</f>
        <v>PREVIOPAGO</v>
      </c>
      <c r="BI6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79" s="21">
        <f>Pospago[[#This Row],[TARIFA_BASICA]]*1.5</f>
        <v>21.419999999999998</v>
      </c>
    </row>
    <row r="680" spans="1:63" x14ac:dyDescent="0.25">
      <c r="A680" s="18" t="s">
        <v>154</v>
      </c>
      <c r="B680" s="18" t="s">
        <v>4368</v>
      </c>
      <c r="C680" s="18" t="s">
        <v>4369</v>
      </c>
      <c r="D680" s="19">
        <v>44900</v>
      </c>
      <c r="E680" s="18" t="s">
        <v>67</v>
      </c>
      <c r="F680" s="18" t="s">
        <v>4370</v>
      </c>
      <c r="G680" s="18" t="s">
        <v>4371</v>
      </c>
      <c r="H680" s="18" t="s">
        <v>159</v>
      </c>
      <c r="I680" s="18" t="s">
        <v>112</v>
      </c>
      <c r="J680" s="18" t="s">
        <v>781</v>
      </c>
      <c r="K680" s="18" t="s">
        <v>73</v>
      </c>
      <c r="L680" s="20" t="s">
        <v>4372</v>
      </c>
      <c r="M680" s="18" t="s">
        <v>75</v>
      </c>
      <c r="N680" s="20" t="s">
        <v>4373</v>
      </c>
      <c r="O680" s="18" t="s">
        <v>164</v>
      </c>
      <c r="P680" s="18" t="s">
        <v>78</v>
      </c>
      <c r="Q680" s="19">
        <v>44914</v>
      </c>
      <c r="R680" s="21">
        <v>17.850000000000001</v>
      </c>
      <c r="S680" s="18" t="s">
        <v>79</v>
      </c>
      <c r="T680" s="18" t="s">
        <v>232</v>
      </c>
      <c r="U680" s="18" t="s">
        <v>83</v>
      </c>
      <c r="V680" s="18" t="s">
        <v>95</v>
      </c>
      <c r="W680" s="18" t="s">
        <v>95</v>
      </c>
      <c r="X680" s="18" t="s">
        <v>84</v>
      </c>
      <c r="Y680" s="18" t="s">
        <v>85</v>
      </c>
      <c r="Z680" s="18" t="s">
        <v>86</v>
      </c>
      <c r="AA680" s="18" t="s">
        <v>87</v>
      </c>
      <c r="AB680" s="18" t="s">
        <v>769</v>
      </c>
      <c r="AC680" s="18" t="s">
        <v>770</v>
      </c>
      <c r="AD680" s="18" t="s">
        <v>85</v>
      </c>
      <c r="AE680" s="18" t="s">
        <v>90</v>
      </c>
      <c r="AF680" s="18" t="s">
        <v>235</v>
      </c>
      <c r="AG680" s="18" t="s">
        <v>139</v>
      </c>
      <c r="AH680" s="18" t="s">
        <v>165</v>
      </c>
      <c r="AI680" s="18" t="s">
        <v>94</v>
      </c>
      <c r="AJ680" s="19">
        <v>44900</v>
      </c>
      <c r="AK680" s="22" t="s">
        <v>95</v>
      </c>
      <c r="AL680" s="18" t="s">
        <v>95</v>
      </c>
      <c r="AM680" s="18" t="s">
        <v>95</v>
      </c>
      <c r="AN680" s="18" t="s">
        <v>95</v>
      </c>
      <c r="AO680" s="18" t="s">
        <v>95</v>
      </c>
      <c r="AP680" s="18" t="s">
        <v>95</v>
      </c>
      <c r="AQ680" s="18" t="s">
        <v>95</v>
      </c>
      <c r="AR680" s="18" t="s">
        <v>95</v>
      </c>
      <c r="AS680" s="18" t="s">
        <v>83</v>
      </c>
      <c r="AT680" s="18" t="s">
        <v>83</v>
      </c>
      <c r="AU680" s="18" t="s">
        <v>81</v>
      </c>
      <c r="AV680" s="18" t="s">
        <v>95</v>
      </c>
      <c r="AW680" s="18" t="s">
        <v>95</v>
      </c>
      <c r="AX680" s="18"/>
      <c r="AY680" s="18" t="str">
        <f>Pospago[[#This Row],[NUM_TELEFONICO]]&amp;"POSPAGOSI"</f>
        <v>992642480POSPAGOSI</v>
      </c>
      <c r="AZ680" s="18" t="str">
        <f>VLOOKUP(Pospago[[#This Row],[NOM_PLAZA_FINAL]],[1]!Locales[#Data],3,0)</f>
        <v>TIENDA CONDADO</v>
      </c>
      <c r="BA680" s="18" t="str">
        <f>IFERROR(VLOOKUP(Pospago[[#This Row],[USUARIO]],[1]!Personal[#Data],6,0),"EJECUTIVO NO REGISTRADO")</f>
        <v>ROJAS VEGA JHOSMERY MICHELE</v>
      </c>
      <c r="BB680" s="18" t="str">
        <f>Pospago[[#This Row],[TIPO_MOVIMIENTO]]&amp;" "&amp;Pospago[[#This Row],[FORMA_PAGO_FINAL]]</f>
        <v>TRANSFERENCIAS DOMICILIADO</v>
      </c>
      <c r="BC680" s="18">
        <f>DAY(Pospago[[#This Row],[FECHA_ALTA]])</f>
        <v>5</v>
      </c>
      <c r="BD680" s="18">
        <f>IF(Pospago[[#This Row],[TARIFA_BASICA]]=11.42,1,0)</f>
        <v>0</v>
      </c>
      <c r="BE680" s="18">
        <f>IF(Pospago[[#This Row],[PLANES TELEVENTAS]]="SI",1,0)</f>
        <v>0</v>
      </c>
      <c r="BF680" s="18">
        <f>1</f>
        <v>1</v>
      </c>
      <c r="BG680" s="18">
        <f>IF(OR(Pospago[[#This Row],[TARIFA_BASICA]]=11.42,Pospago[[#This Row],[PLANES TELEVENTAS]]="SI"),1,0)</f>
        <v>0</v>
      </c>
      <c r="BH680" s="18" t="str">
        <f>IF(MID(Pospago[[#This Row],[PlanDesc]],1,4) = "PLAN","POSPAGO",IF(MID(Pospago[[#This Row],[PlanDesc]],1,4)="FULL","FULL MEGAS","PREVIOPAGO"))</f>
        <v>PREVIOPAGO</v>
      </c>
      <c r="BI6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6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80" s="21">
        <f>Pospago[[#This Row],[TARIFA_BASICA]]*1.5</f>
        <v>26.775000000000002</v>
      </c>
    </row>
    <row r="681" spans="1:63" x14ac:dyDescent="0.25">
      <c r="A681" s="18" t="s">
        <v>154</v>
      </c>
      <c r="B681" s="18" t="s">
        <v>4374</v>
      </c>
      <c r="C681" s="18" t="s">
        <v>4375</v>
      </c>
      <c r="D681" s="19">
        <v>44897</v>
      </c>
      <c r="E681" s="18" t="s">
        <v>246</v>
      </c>
      <c r="F681" s="18" t="s">
        <v>4376</v>
      </c>
      <c r="G681" s="18" t="s">
        <v>4377</v>
      </c>
      <c r="H681" s="18" t="s">
        <v>159</v>
      </c>
      <c r="I681" s="18" t="s">
        <v>183</v>
      </c>
      <c r="J681" s="18" t="s">
        <v>184</v>
      </c>
      <c r="K681" s="18" t="s">
        <v>132</v>
      </c>
      <c r="L681" s="20" t="s">
        <v>4378</v>
      </c>
      <c r="M681" s="18" t="s">
        <v>287</v>
      </c>
      <c r="N681" s="20" t="s">
        <v>4379</v>
      </c>
      <c r="O681" s="18" t="s">
        <v>231</v>
      </c>
      <c r="P681" s="18" t="s">
        <v>78</v>
      </c>
      <c r="Q681" s="19">
        <v>44914</v>
      </c>
      <c r="R681" s="21">
        <v>11.42</v>
      </c>
      <c r="S681" s="18" t="s">
        <v>79</v>
      </c>
      <c r="T681" s="18" t="s">
        <v>232</v>
      </c>
      <c r="U681" s="18" t="s">
        <v>83</v>
      </c>
      <c r="V681" s="18" t="s">
        <v>95</v>
      </c>
      <c r="W681" s="18" t="s">
        <v>95</v>
      </c>
      <c r="X681" s="18" t="s">
        <v>84</v>
      </c>
      <c r="Y681" s="18" t="s">
        <v>85</v>
      </c>
      <c r="Z681" s="18" t="s">
        <v>86</v>
      </c>
      <c r="AA681" s="18" t="s">
        <v>87</v>
      </c>
      <c r="AB681" s="18" t="s">
        <v>271</v>
      </c>
      <c r="AC681" s="18" t="s">
        <v>272</v>
      </c>
      <c r="AD681" s="18" t="s">
        <v>85</v>
      </c>
      <c r="AE681" s="18" t="s">
        <v>90</v>
      </c>
      <c r="AF681" s="18" t="s">
        <v>235</v>
      </c>
      <c r="AG681" s="18" t="s">
        <v>139</v>
      </c>
      <c r="AH681" s="18" t="s">
        <v>165</v>
      </c>
      <c r="AI681" s="18" t="s">
        <v>94</v>
      </c>
      <c r="AJ681" s="19">
        <v>44897</v>
      </c>
      <c r="AK681" s="22">
        <v>44897</v>
      </c>
      <c r="AL681" s="18" t="s">
        <v>291</v>
      </c>
      <c r="AM681" s="18" t="s">
        <v>292</v>
      </c>
      <c r="AN681" s="18" t="s">
        <v>293</v>
      </c>
      <c r="AO681" s="18" t="s">
        <v>4380</v>
      </c>
      <c r="AP681" s="18">
        <v>1</v>
      </c>
      <c r="AQ681" s="18">
        <v>151.78570999999999</v>
      </c>
      <c r="AR681" s="18" t="s">
        <v>295</v>
      </c>
      <c r="AS681" s="18" t="s">
        <v>81</v>
      </c>
      <c r="AT681" s="18" t="s">
        <v>83</v>
      </c>
      <c r="AU681" s="18" t="s">
        <v>83</v>
      </c>
      <c r="AV681" s="18" t="s">
        <v>95</v>
      </c>
      <c r="AW681" s="18" t="s">
        <v>96</v>
      </c>
      <c r="AX681" s="18"/>
      <c r="AY681" s="18" t="str">
        <f>Pospago[[#This Row],[NUM_TELEFONICO]]&amp;"POSPAGOSI"</f>
        <v>992651047POSPAGOSI</v>
      </c>
      <c r="AZ681" s="18" t="str">
        <f>VLOOKUP(Pospago[[#This Row],[NOM_PLAZA_FINAL]],[1]!Locales[#Data],3,0)</f>
        <v>TIENDA CONDADO</v>
      </c>
      <c r="BA681" s="18" t="str">
        <f>IFERROR(VLOOKUP(Pospago[[#This Row],[USUARIO]],[1]!Personal[#Data],6,0),"EJECUTIVO NO REGISTRADO")</f>
        <v>CASTILLO AGUIRRE EDWIN MODESTO</v>
      </c>
      <c r="BB681" s="18" t="str">
        <f>Pospago[[#This Row],[TIPO_MOVIMIENTO]]&amp;" "&amp;Pospago[[#This Row],[FORMA_PAGO_FINAL]]</f>
        <v>TRANSFERENCIAS DOMICILIADO</v>
      </c>
      <c r="BC681" s="18">
        <f>DAY(Pospago[[#This Row],[FECHA_ALTA]])</f>
        <v>2</v>
      </c>
      <c r="BD681" s="18">
        <f>IF(Pospago[[#This Row],[TARIFA_BASICA]]=11.42,1,0)</f>
        <v>1</v>
      </c>
      <c r="BE681" s="18">
        <f>IF(Pospago[[#This Row],[PLANES TELEVENTAS]]="SI",1,0)</f>
        <v>0</v>
      </c>
      <c r="BF681" s="18">
        <f>1</f>
        <v>1</v>
      </c>
      <c r="BG681" s="18">
        <f>IF(OR(Pospago[[#This Row],[TARIFA_BASICA]]=11.42,Pospago[[#This Row],[PLANES TELEVENTAS]]="SI"),1,0)</f>
        <v>1</v>
      </c>
      <c r="BH681" s="18" t="str">
        <f>IF(MID(Pospago[[#This Row],[PlanDesc]],1,4) = "PLAN","POSPAGO",IF(MID(Pospago[[#This Row],[PlanDesc]],1,4)="FULL","FULL MEGAS","PREVIOPAGO"))</f>
        <v>POSPAGO</v>
      </c>
      <c r="BI6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81" s="21">
        <f>Pospago[[#This Row],[TARIFA_BASICA]]*1.5</f>
        <v>17.13</v>
      </c>
    </row>
    <row r="682" spans="1:63" x14ac:dyDescent="0.25">
      <c r="A682" s="18" t="s">
        <v>154</v>
      </c>
      <c r="B682" s="18" t="s">
        <v>4381</v>
      </c>
      <c r="C682" s="18" t="s">
        <v>4382</v>
      </c>
      <c r="D682" s="19">
        <v>44898</v>
      </c>
      <c r="E682" s="18" t="s">
        <v>67</v>
      </c>
      <c r="F682" s="18" t="s">
        <v>4383</v>
      </c>
      <c r="G682" s="18" t="s">
        <v>4384</v>
      </c>
      <c r="H682" s="18" t="s">
        <v>159</v>
      </c>
      <c r="I682" s="18" t="s">
        <v>194</v>
      </c>
      <c r="J682" s="18" t="s">
        <v>268</v>
      </c>
      <c r="K682" s="18" t="s">
        <v>95</v>
      </c>
      <c r="L682" s="20" t="s">
        <v>4385</v>
      </c>
      <c r="M682" s="18" t="s">
        <v>75</v>
      </c>
      <c r="N682" s="20" t="s">
        <v>4386</v>
      </c>
      <c r="O682" s="18" t="s">
        <v>164</v>
      </c>
      <c r="P682" s="18" t="s">
        <v>78</v>
      </c>
      <c r="Q682" s="19">
        <v>44914</v>
      </c>
      <c r="R682" s="21">
        <v>14.28</v>
      </c>
      <c r="S682" s="18" t="s">
        <v>79</v>
      </c>
      <c r="T682" s="18" t="s">
        <v>232</v>
      </c>
      <c r="U682" s="18" t="s">
        <v>83</v>
      </c>
      <c r="V682" s="18" t="s">
        <v>95</v>
      </c>
      <c r="W682" s="18" t="s">
        <v>95</v>
      </c>
      <c r="X682" s="18" t="s">
        <v>118</v>
      </c>
      <c r="Y682" s="18" t="s">
        <v>85</v>
      </c>
      <c r="Z682" s="18" t="s">
        <v>86</v>
      </c>
      <c r="AA682" s="18" t="s">
        <v>119</v>
      </c>
      <c r="AB682" s="18" t="s">
        <v>280</v>
      </c>
      <c r="AC682" s="18" t="s">
        <v>281</v>
      </c>
      <c r="AD682" s="18" t="s">
        <v>85</v>
      </c>
      <c r="AE682" s="18" t="s">
        <v>90</v>
      </c>
      <c r="AF682" s="18" t="s">
        <v>235</v>
      </c>
      <c r="AG682" s="18" t="s">
        <v>139</v>
      </c>
      <c r="AH682" s="18" t="s">
        <v>165</v>
      </c>
      <c r="AI682" s="18" t="s">
        <v>94</v>
      </c>
      <c r="AJ682" s="19">
        <v>44898</v>
      </c>
      <c r="AK682" s="22" t="s">
        <v>95</v>
      </c>
      <c r="AL682" s="18" t="s">
        <v>95</v>
      </c>
      <c r="AM682" s="18" t="s">
        <v>95</v>
      </c>
      <c r="AN682" s="18" t="s">
        <v>95</v>
      </c>
      <c r="AO682" s="18" t="s">
        <v>95</v>
      </c>
      <c r="AP682" s="18" t="s">
        <v>95</v>
      </c>
      <c r="AQ682" s="18" t="s">
        <v>95</v>
      </c>
      <c r="AR682" s="18" t="s">
        <v>95</v>
      </c>
      <c r="AS682" s="18" t="s">
        <v>83</v>
      </c>
      <c r="AT682" s="18" t="s">
        <v>81</v>
      </c>
      <c r="AU682" s="18" t="s">
        <v>81</v>
      </c>
      <c r="AV682" s="18" t="s">
        <v>95</v>
      </c>
      <c r="AW682" s="18" t="s">
        <v>95</v>
      </c>
      <c r="AX682" s="18"/>
      <c r="AY682" s="18" t="str">
        <f>Pospago[[#This Row],[NUM_TELEFONICO]]&amp;"POSPAGOSI"</f>
        <v>992655167POSPAGOSI</v>
      </c>
      <c r="AZ682" s="18" t="str">
        <f>VLOOKUP(Pospago[[#This Row],[NOM_PLAZA_FINAL]],[1]!Locales[#Data],3,0)</f>
        <v>TIENDA CONDADO</v>
      </c>
      <c r="BA682" s="18" t="str">
        <f>IFERROR(VLOOKUP(Pospago[[#This Row],[USUARIO]],[1]!Personal[#Data],6,0),"EJECUTIVO NO REGISTRADO")</f>
        <v>GUACHAMIN CAZA HUGO ADRIAN</v>
      </c>
      <c r="BB682" s="18" t="str">
        <f>Pospago[[#This Row],[TIPO_MOVIMIENTO]]&amp;" "&amp;Pospago[[#This Row],[FORMA_PAGO_FINAL]]</f>
        <v>TRANSFERENCIAS PAGO EN CAJA</v>
      </c>
      <c r="BC682" s="18">
        <f>DAY(Pospago[[#This Row],[FECHA_ALTA]])</f>
        <v>3</v>
      </c>
      <c r="BD682" s="18">
        <f>IF(Pospago[[#This Row],[TARIFA_BASICA]]=11.42,1,0)</f>
        <v>0</v>
      </c>
      <c r="BE682" s="18">
        <f>IF(Pospago[[#This Row],[PLANES TELEVENTAS]]="SI",1,0)</f>
        <v>1</v>
      </c>
      <c r="BF682" s="18">
        <f>1</f>
        <v>1</v>
      </c>
      <c r="BG682" s="18">
        <f>IF(OR(Pospago[[#This Row],[TARIFA_BASICA]]=11.42,Pospago[[#This Row],[PLANES TELEVENTAS]]="SI"),1,0)</f>
        <v>1</v>
      </c>
      <c r="BH682" s="18" t="str">
        <f>IF(MID(Pospago[[#This Row],[PlanDesc]],1,4) = "PLAN","POSPAGO",IF(MID(Pospago[[#This Row],[PlanDesc]],1,4)="FULL","FULL MEGAS","PREVIOPAGO"))</f>
        <v>PREVIOPAGO</v>
      </c>
      <c r="BI6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82" s="21">
        <f>Pospago[[#This Row],[TARIFA_BASICA]]*1.5</f>
        <v>21.419999999999998</v>
      </c>
    </row>
    <row r="683" spans="1:63" x14ac:dyDescent="0.25">
      <c r="A683" s="18" t="s">
        <v>154</v>
      </c>
      <c r="B683" s="18" t="s">
        <v>4387</v>
      </c>
      <c r="C683" s="18" t="s">
        <v>4388</v>
      </c>
      <c r="D683" s="19">
        <v>44911</v>
      </c>
      <c r="E683" s="18" t="s">
        <v>67</v>
      </c>
      <c r="F683" s="18" t="s">
        <v>4389</v>
      </c>
      <c r="G683" s="18" t="s">
        <v>4390</v>
      </c>
      <c r="H683" s="18" t="s">
        <v>159</v>
      </c>
      <c r="I683" s="18" t="s">
        <v>227</v>
      </c>
      <c r="J683" s="18" t="s">
        <v>426</v>
      </c>
      <c r="K683" s="18" t="s">
        <v>114</v>
      </c>
      <c r="L683" s="20" t="s">
        <v>4391</v>
      </c>
      <c r="M683" s="18" t="s">
        <v>75</v>
      </c>
      <c r="N683" s="20" t="s">
        <v>4392</v>
      </c>
      <c r="O683" s="18" t="s">
        <v>164</v>
      </c>
      <c r="P683" s="18" t="s">
        <v>78</v>
      </c>
      <c r="Q683" s="19">
        <v>44914</v>
      </c>
      <c r="R683" s="21">
        <v>21.42</v>
      </c>
      <c r="S683" s="18" t="s">
        <v>79</v>
      </c>
      <c r="T683" s="18" t="s">
        <v>117</v>
      </c>
      <c r="U683" s="18" t="s">
        <v>83</v>
      </c>
      <c r="V683" s="18" t="s">
        <v>95</v>
      </c>
      <c r="W683" s="18" t="s">
        <v>95</v>
      </c>
      <c r="X683" s="18" t="s">
        <v>84</v>
      </c>
      <c r="Y683" s="18" t="s">
        <v>85</v>
      </c>
      <c r="Z683" s="18" t="s">
        <v>86</v>
      </c>
      <c r="AA683" s="18" t="s">
        <v>87</v>
      </c>
      <c r="AB683" s="18" t="s">
        <v>1043</v>
      </c>
      <c r="AC683" s="18" t="s">
        <v>1044</v>
      </c>
      <c r="AD683" s="18" t="s">
        <v>85</v>
      </c>
      <c r="AE683" s="18" t="s">
        <v>90</v>
      </c>
      <c r="AF683" s="18" t="s">
        <v>122</v>
      </c>
      <c r="AG683" s="18" t="s">
        <v>92</v>
      </c>
      <c r="AH683" s="18" t="s">
        <v>165</v>
      </c>
      <c r="AI683" s="18" t="s">
        <v>94</v>
      </c>
      <c r="AJ683" s="19">
        <v>44911</v>
      </c>
      <c r="AK683" s="22" t="s">
        <v>95</v>
      </c>
      <c r="AL683" s="18" t="s">
        <v>95</v>
      </c>
      <c r="AM683" s="18" t="s">
        <v>95</v>
      </c>
      <c r="AN683" s="18" t="s">
        <v>95</v>
      </c>
      <c r="AO683" s="18" t="s">
        <v>95</v>
      </c>
      <c r="AP683" s="18" t="s">
        <v>95</v>
      </c>
      <c r="AQ683" s="18" t="s">
        <v>95</v>
      </c>
      <c r="AR683" s="18" t="s">
        <v>95</v>
      </c>
      <c r="AS683" s="18" t="s">
        <v>83</v>
      </c>
      <c r="AT683" s="18" t="s">
        <v>83</v>
      </c>
      <c r="AU683" s="18" t="s">
        <v>81</v>
      </c>
      <c r="AV683" s="18" t="s">
        <v>95</v>
      </c>
      <c r="AW683" s="18" t="s">
        <v>95</v>
      </c>
      <c r="AX683" s="18"/>
      <c r="AY683" s="18" t="str">
        <f>Pospago[[#This Row],[NUM_TELEFONICO]]&amp;"POSPAGOSI"</f>
        <v>992666666POSPAGOSI</v>
      </c>
      <c r="AZ683" s="18" t="str">
        <f>VLOOKUP(Pospago[[#This Row],[NOM_PLAZA_FINAL]],[1]!Locales[#Data],3,0)</f>
        <v>TIENDA MACHALA</v>
      </c>
      <c r="BA683" s="18" t="str">
        <f>IFERROR(VLOOKUP(Pospago[[#This Row],[USUARIO]],[1]!Personal[#Data],6,0),"EJECUTIVO NO REGISTRADO")</f>
        <v>GONZAGA YUPANGUI LIZBETH KATHERINE</v>
      </c>
      <c r="BB683" s="18" t="str">
        <f>Pospago[[#This Row],[TIPO_MOVIMIENTO]]&amp;" "&amp;Pospago[[#This Row],[FORMA_PAGO_FINAL]]</f>
        <v>TRANSFERENCIAS DOMICILIADO</v>
      </c>
      <c r="BC683" s="18">
        <f>DAY(Pospago[[#This Row],[FECHA_ALTA]])</f>
        <v>16</v>
      </c>
      <c r="BD683" s="18">
        <f>IF(Pospago[[#This Row],[TARIFA_BASICA]]=11.42,1,0)</f>
        <v>0</v>
      </c>
      <c r="BE683" s="18">
        <f>IF(Pospago[[#This Row],[PLANES TELEVENTAS]]="SI",1,0)</f>
        <v>0</v>
      </c>
      <c r="BF683" s="18">
        <f>1</f>
        <v>1</v>
      </c>
      <c r="BG683" s="18">
        <f>IF(OR(Pospago[[#This Row],[TARIFA_BASICA]]=11.42,Pospago[[#This Row],[PLANES TELEVENTAS]]="SI"),1,0)</f>
        <v>0</v>
      </c>
      <c r="BH683" s="18" t="str">
        <f>IF(MID(Pospago[[#This Row],[PlanDesc]],1,4) = "PLAN","POSPAGO",IF(MID(Pospago[[#This Row],[PlanDesc]],1,4)="FULL","FULL MEGAS","PREVIOPAGO"))</f>
        <v>PREVIOPAGO</v>
      </c>
      <c r="BI6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18</v>
      </c>
      <c r="BJ6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83" s="21">
        <f>Pospago[[#This Row],[TARIFA_BASICA]]*1.5</f>
        <v>32.130000000000003</v>
      </c>
    </row>
    <row r="684" spans="1:63" x14ac:dyDescent="0.25">
      <c r="A684" s="18" t="s">
        <v>64</v>
      </c>
      <c r="B684" s="18" t="s">
        <v>4393</v>
      </c>
      <c r="C684" s="18" t="s">
        <v>4394</v>
      </c>
      <c r="D684" s="19">
        <v>44907</v>
      </c>
      <c r="E684" s="18" t="s">
        <v>67</v>
      </c>
      <c r="F684" s="18" t="s">
        <v>4395</v>
      </c>
      <c r="G684" s="18" t="s">
        <v>4396</v>
      </c>
      <c r="H684" s="18" t="s">
        <v>70</v>
      </c>
      <c r="I684" s="18" t="s">
        <v>160</v>
      </c>
      <c r="J684" s="18" t="s">
        <v>195</v>
      </c>
      <c r="K684" s="18" t="s">
        <v>73</v>
      </c>
      <c r="L684" s="20" t="s">
        <v>4397</v>
      </c>
      <c r="M684" s="18" t="s">
        <v>75</v>
      </c>
      <c r="N684" s="20" t="s">
        <v>4398</v>
      </c>
      <c r="O684" s="18" t="s">
        <v>77</v>
      </c>
      <c r="P684" s="18" t="s">
        <v>78</v>
      </c>
      <c r="Q684" s="19">
        <v>44914</v>
      </c>
      <c r="R684" s="21">
        <v>14.28</v>
      </c>
      <c r="S684" s="18" t="s">
        <v>79</v>
      </c>
      <c r="T684" s="18" t="s">
        <v>80</v>
      </c>
      <c r="U684" s="18" t="s">
        <v>83</v>
      </c>
      <c r="V684" s="18" t="s">
        <v>95</v>
      </c>
      <c r="W684" s="18" t="s">
        <v>83</v>
      </c>
      <c r="X684" s="18" t="s">
        <v>118</v>
      </c>
      <c r="Y684" s="18" t="s">
        <v>85</v>
      </c>
      <c r="Z684" s="18" t="s">
        <v>86</v>
      </c>
      <c r="AA684" s="18" t="s">
        <v>119</v>
      </c>
      <c r="AB684" s="18" t="s">
        <v>242</v>
      </c>
      <c r="AC684" s="18" t="s">
        <v>243</v>
      </c>
      <c r="AD684" s="18" t="s">
        <v>85</v>
      </c>
      <c r="AE684" s="18" t="s">
        <v>90</v>
      </c>
      <c r="AF684" s="18" t="s">
        <v>91</v>
      </c>
      <c r="AG684" s="18" t="s">
        <v>92</v>
      </c>
      <c r="AH684" s="18" t="s">
        <v>93</v>
      </c>
      <c r="AI684" s="18" t="s">
        <v>94</v>
      </c>
      <c r="AJ684" s="19">
        <v>44907</v>
      </c>
      <c r="AK684" s="22" t="s">
        <v>95</v>
      </c>
      <c r="AL684" s="18" t="s">
        <v>95</v>
      </c>
      <c r="AM684" s="18" t="s">
        <v>95</v>
      </c>
      <c r="AN684" s="18" t="s">
        <v>95</v>
      </c>
      <c r="AO684" s="18" t="s">
        <v>95</v>
      </c>
      <c r="AP684" s="18" t="s">
        <v>95</v>
      </c>
      <c r="AQ684" s="18" t="s">
        <v>95</v>
      </c>
      <c r="AR684" s="18" t="s">
        <v>95</v>
      </c>
      <c r="AS684" s="18" t="s">
        <v>83</v>
      </c>
      <c r="AT684" s="18" t="s">
        <v>83</v>
      </c>
      <c r="AU684" s="18" t="s">
        <v>81</v>
      </c>
      <c r="AV684" s="18" t="s">
        <v>95</v>
      </c>
      <c r="AW684" s="18" t="s">
        <v>95</v>
      </c>
      <c r="AX684" s="18"/>
      <c r="AY684" s="18" t="str">
        <f>Pospago[[#This Row],[NUM_TELEFONICO]]&amp;"POSPAGOSI"</f>
        <v>992688501POSPAGOSI</v>
      </c>
      <c r="AZ684" s="18" t="str">
        <f>VLOOKUP(Pospago[[#This Row],[NOM_PLAZA_FINAL]],[1]!Locales[#Data],3,0)</f>
        <v>TIENDA CUENCA CENTRO</v>
      </c>
      <c r="BA684" s="18" t="str">
        <f>IFERROR(VLOOKUP(Pospago[[#This Row],[USUARIO]],[1]!Personal[#Data],6,0),"EJECUTIVO NO REGISTRADO")</f>
        <v>VALLEJO DELEG ROMAN NICOLAS</v>
      </c>
      <c r="BB684" s="18" t="str">
        <f>Pospago[[#This Row],[TIPO_MOVIMIENTO]]&amp;" "&amp;Pospago[[#This Row],[FORMA_PAGO_FINAL]]</f>
        <v>ALTAS PAGO EN CAJA</v>
      </c>
      <c r="BC684" s="18">
        <f>DAY(Pospago[[#This Row],[FECHA_ALTA]])</f>
        <v>12</v>
      </c>
      <c r="BD684" s="18">
        <f>IF(Pospago[[#This Row],[TARIFA_BASICA]]=11.42,1,0)</f>
        <v>0</v>
      </c>
      <c r="BE684" s="18">
        <f>IF(Pospago[[#This Row],[PLANES TELEVENTAS]]="SI",1,0)</f>
        <v>0</v>
      </c>
      <c r="BF684" s="18">
        <f>1</f>
        <v>1</v>
      </c>
      <c r="BG684" s="18">
        <f>IF(OR(Pospago[[#This Row],[TARIFA_BASICA]]=11.42,Pospago[[#This Row],[PLANES TELEVENTAS]]="SI"),1,0)</f>
        <v>0</v>
      </c>
      <c r="BH684" s="18" t="str">
        <f>IF(MID(Pospago[[#This Row],[PlanDesc]],1,4) = "PLAN","POSPAGO",IF(MID(Pospago[[#This Row],[PlanDesc]],1,4)="FULL","FULL MEGAS","PREVIOPAGO"))</f>
        <v>PREVIOPAGO</v>
      </c>
      <c r="BI6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6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84" s="21">
        <f>Pospago[[#This Row],[TARIFA_BASICA]]*1.5</f>
        <v>21.419999999999998</v>
      </c>
    </row>
    <row r="685" spans="1:63" x14ac:dyDescent="0.25">
      <c r="A685" s="18" t="s">
        <v>154</v>
      </c>
      <c r="B685" s="18" t="s">
        <v>4399</v>
      </c>
      <c r="C685" s="18" t="s">
        <v>4400</v>
      </c>
      <c r="D685" s="19">
        <v>44908</v>
      </c>
      <c r="E685" s="18" t="s">
        <v>67</v>
      </c>
      <c r="F685" s="18" t="s">
        <v>4401</v>
      </c>
      <c r="G685" s="18" t="s">
        <v>4402</v>
      </c>
      <c r="H685" s="18" t="s">
        <v>159</v>
      </c>
      <c r="I685" s="18" t="s">
        <v>71</v>
      </c>
      <c r="J685" s="18" t="s">
        <v>258</v>
      </c>
      <c r="K685" s="18" t="s">
        <v>73</v>
      </c>
      <c r="L685" s="20" t="s">
        <v>4403</v>
      </c>
      <c r="M685" s="18" t="s">
        <v>75</v>
      </c>
      <c r="N685" s="20" t="s">
        <v>4404</v>
      </c>
      <c r="O685" s="18" t="s">
        <v>164</v>
      </c>
      <c r="P685" s="18" t="s">
        <v>78</v>
      </c>
      <c r="Q685" s="19">
        <v>44914</v>
      </c>
      <c r="R685" s="21">
        <v>11.42</v>
      </c>
      <c r="S685" s="18" t="s">
        <v>79</v>
      </c>
      <c r="T685" s="18" t="s">
        <v>148</v>
      </c>
      <c r="U685" s="18" t="s">
        <v>83</v>
      </c>
      <c r="V685" s="18" t="s">
        <v>95</v>
      </c>
      <c r="W685" s="18" t="s">
        <v>95</v>
      </c>
      <c r="X685" s="18" t="s">
        <v>84</v>
      </c>
      <c r="Y685" s="18" t="s">
        <v>85</v>
      </c>
      <c r="Z685" s="18" t="s">
        <v>86</v>
      </c>
      <c r="AA685" s="18" t="s">
        <v>87</v>
      </c>
      <c r="AB685" s="18" t="s">
        <v>610</v>
      </c>
      <c r="AC685" s="18" t="s">
        <v>611</v>
      </c>
      <c r="AD685" s="18" t="s">
        <v>85</v>
      </c>
      <c r="AE685" s="18" t="s">
        <v>90</v>
      </c>
      <c r="AF685" s="18" t="s">
        <v>151</v>
      </c>
      <c r="AG685" s="18" t="s">
        <v>92</v>
      </c>
      <c r="AH685" s="18" t="s">
        <v>165</v>
      </c>
      <c r="AI685" s="18" t="s">
        <v>94</v>
      </c>
      <c r="AJ685" s="19">
        <v>44908</v>
      </c>
      <c r="AK685" s="22" t="s">
        <v>95</v>
      </c>
      <c r="AL685" s="18" t="s">
        <v>95</v>
      </c>
      <c r="AM685" s="18" t="s">
        <v>95</v>
      </c>
      <c r="AN685" s="18" t="s">
        <v>95</v>
      </c>
      <c r="AO685" s="18" t="s">
        <v>95</v>
      </c>
      <c r="AP685" s="18" t="s">
        <v>95</v>
      </c>
      <c r="AQ685" s="18" t="s">
        <v>95</v>
      </c>
      <c r="AR685" s="18" t="s">
        <v>95</v>
      </c>
      <c r="AS685" s="18" t="s">
        <v>83</v>
      </c>
      <c r="AT685" s="18" t="s">
        <v>83</v>
      </c>
      <c r="AU685" s="18" t="s">
        <v>81</v>
      </c>
      <c r="AV685" s="18" t="s">
        <v>95</v>
      </c>
      <c r="AW685" s="18" t="s">
        <v>95</v>
      </c>
      <c r="AX685" s="18"/>
      <c r="AY685" s="18" t="str">
        <f>Pospago[[#This Row],[NUM_TELEFONICO]]&amp;"POSPAGOSI"</f>
        <v>992693512POSPAGOSI</v>
      </c>
      <c r="AZ685" s="18" t="str">
        <f>VLOOKUP(Pospago[[#This Row],[NOM_PLAZA_FINAL]],[1]!Locales[#Data],3,0)</f>
        <v>TIENDA CUENCA REMIGIO</v>
      </c>
      <c r="BA685" s="18" t="str">
        <f>IFERROR(VLOOKUP(Pospago[[#This Row],[USUARIO]],[1]!Personal[#Data],6,0),"EJECUTIVO NO REGISTRADO")</f>
        <v>PATIÑO TAPIA ANDRES SANTIAGO</v>
      </c>
      <c r="BB685" s="18" t="str">
        <f>Pospago[[#This Row],[TIPO_MOVIMIENTO]]&amp;" "&amp;Pospago[[#This Row],[FORMA_PAGO_FINAL]]</f>
        <v>TRANSFERENCIAS DOMICILIADO</v>
      </c>
      <c r="BC685" s="18">
        <f>DAY(Pospago[[#This Row],[FECHA_ALTA]])</f>
        <v>13</v>
      </c>
      <c r="BD685" s="18">
        <f>IF(Pospago[[#This Row],[TARIFA_BASICA]]=11.42,1,0)</f>
        <v>1</v>
      </c>
      <c r="BE685" s="18">
        <f>IF(Pospago[[#This Row],[PLANES TELEVENTAS]]="SI",1,0)</f>
        <v>0</v>
      </c>
      <c r="BF685" s="18">
        <f>1</f>
        <v>1</v>
      </c>
      <c r="BG685" s="18">
        <f>IF(OR(Pospago[[#This Row],[TARIFA_BASICA]]=11.42,Pospago[[#This Row],[PLANES TELEVENTAS]]="SI"),1,0)</f>
        <v>1</v>
      </c>
      <c r="BH685" s="18" t="str">
        <f>IF(MID(Pospago[[#This Row],[PlanDesc]],1,4) = "PLAN","POSPAGO",IF(MID(Pospago[[#This Row],[PlanDesc]],1,4)="FULL","FULL MEGAS","PREVIOPAGO"))</f>
        <v>PREVIOPAGO</v>
      </c>
      <c r="BI6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6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685" s="21">
        <f>Pospago[[#This Row],[TARIFA_BASICA]]*1.5</f>
        <v>17.13</v>
      </c>
    </row>
    <row r="686" spans="1:63" x14ac:dyDescent="0.25">
      <c r="A686" s="18" t="s">
        <v>64</v>
      </c>
      <c r="B686" s="18" t="s">
        <v>4405</v>
      </c>
      <c r="C686" s="18" t="s">
        <v>4406</v>
      </c>
      <c r="D686" s="19">
        <v>44903</v>
      </c>
      <c r="E686" s="18" t="s">
        <v>67</v>
      </c>
      <c r="F686" s="18" t="s">
        <v>4407</v>
      </c>
      <c r="G686" s="18" t="s">
        <v>4408</v>
      </c>
      <c r="H686" s="18" t="s">
        <v>70</v>
      </c>
      <c r="I686" s="18" t="s">
        <v>160</v>
      </c>
      <c r="J686" s="18" t="s">
        <v>195</v>
      </c>
      <c r="K686" s="18" t="s">
        <v>73</v>
      </c>
      <c r="L686" s="20" t="s">
        <v>4409</v>
      </c>
      <c r="M686" s="18" t="s">
        <v>75</v>
      </c>
      <c r="N686" s="20" t="s">
        <v>4410</v>
      </c>
      <c r="O686" s="18" t="s">
        <v>77</v>
      </c>
      <c r="P686" s="18" t="s">
        <v>78</v>
      </c>
      <c r="Q686" s="19">
        <v>44914</v>
      </c>
      <c r="R686" s="21">
        <v>14.28</v>
      </c>
      <c r="S686" s="18" t="s">
        <v>79</v>
      </c>
      <c r="T686" s="18" t="s">
        <v>148</v>
      </c>
      <c r="U686" s="18" t="s">
        <v>83</v>
      </c>
      <c r="V686" s="18" t="s">
        <v>95</v>
      </c>
      <c r="W686" s="18" t="s">
        <v>83</v>
      </c>
      <c r="X686" s="18" t="s">
        <v>84</v>
      </c>
      <c r="Y686" s="18" t="s">
        <v>85</v>
      </c>
      <c r="Z686" s="18" t="s">
        <v>86</v>
      </c>
      <c r="AA686" s="18" t="s">
        <v>87</v>
      </c>
      <c r="AB686" s="18" t="s">
        <v>149</v>
      </c>
      <c r="AC686" s="18" t="s">
        <v>150</v>
      </c>
      <c r="AD686" s="18" t="s">
        <v>85</v>
      </c>
      <c r="AE686" s="18" t="s">
        <v>90</v>
      </c>
      <c r="AF686" s="18" t="s">
        <v>151</v>
      </c>
      <c r="AG686" s="18" t="s">
        <v>92</v>
      </c>
      <c r="AH686" s="18" t="s">
        <v>93</v>
      </c>
      <c r="AI686" s="18" t="s">
        <v>94</v>
      </c>
      <c r="AJ686" s="19">
        <v>44903</v>
      </c>
      <c r="AK686" s="22" t="s">
        <v>95</v>
      </c>
      <c r="AL686" s="18" t="s">
        <v>95</v>
      </c>
      <c r="AM686" s="18" t="s">
        <v>95</v>
      </c>
      <c r="AN686" s="18" t="s">
        <v>95</v>
      </c>
      <c r="AO686" s="18" t="s">
        <v>95</v>
      </c>
      <c r="AP686" s="18" t="s">
        <v>95</v>
      </c>
      <c r="AQ686" s="18" t="s">
        <v>95</v>
      </c>
      <c r="AR686" s="18" t="s">
        <v>95</v>
      </c>
      <c r="AS686" s="18" t="s">
        <v>83</v>
      </c>
      <c r="AT686" s="18" t="s">
        <v>83</v>
      </c>
      <c r="AU686" s="18" t="s">
        <v>81</v>
      </c>
      <c r="AV686" s="18" t="s">
        <v>95</v>
      </c>
      <c r="AW686" s="18" t="s">
        <v>95</v>
      </c>
      <c r="AX686" s="18"/>
      <c r="AY686" s="18" t="str">
        <f>Pospago[[#This Row],[NUM_TELEFONICO]]&amp;"POSPAGOSI"</f>
        <v>992696040POSPAGOSI</v>
      </c>
      <c r="AZ686" s="18" t="str">
        <f>VLOOKUP(Pospago[[#This Row],[NOM_PLAZA_FINAL]],[1]!Locales[#Data],3,0)</f>
        <v>TIENDA CUENCA REMIGIO</v>
      </c>
      <c r="BA686" s="18" t="str">
        <f>IFERROR(VLOOKUP(Pospago[[#This Row],[USUARIO]],[1]!Personal[#Data],6,0),"EJECUTIVO NO REGISTRADO")</f>
        <v>OSORIO TEJADA ANA ESTEFANIA</v>
      </c>
      <c r="BB686" s="18" t="str">
        <f>Pospago[[#This Row],[TIPO_MOVIMIENTO]]&amp;" "&amp;Pospago[[#This Row],[FORMA_PAGO_FINAL]]</f>
        <v>ALTAS DOMICILIADO</v>
      </c>
      <c r="BC686" s="18">
        <f>DAY(Pospago[[#This Row],[FECHA_ALTA]])</f>
        <v>8</v>
      </c>
      <c r="BD686" s="18">
        <f>IF(Pospago[[#This Row],[TARIFA_BASICA]]=11.42,1,0)</f>
        <v>0</v>
      </c>
      <c r="BE686" s="18">
        <f>IF(Pospago[[#This Row],[PLANES TELEVENTAS]]="SI",1,0)</f>
        <v>0</v>
      </c>
      <c r="BF686" s="18">
        <f>1</f>
        <v>1</v>
      </c>
      <c r="BG686" s="18">
        <f>IF(OR(Pospago[[#This Row],[TARIFA_BASICA]]=11.42,Pospago[[#This Row],[PLANES TELEVENTAS]]="SI"),1,0)</f>
        <v>0</v>
      </c>
      <c r="BH686" s="18" t="str">
        <f>IF(MID(Pospago[[#This Row],[PlanDesc]],1,4) = "PLAN","POSPAGO",IF(MID(Pospago[[#This Row],[PlanDesc]],1,4)="FULL","FULL MEGAS","PREVIOPAGO"))</f>
        <v>PREVIOPAGO</v>
      </c>
      <c r="BI6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86" s="21">
        <f>Pospago[[#This Row],[TARIFA_BASICA]]*1.5</f>
        <v>21.419999999999998</v>
      </c>
    </row>
    <row r="687" spans="1:63" x14ac:dyDescent="0.25">
      <c r="A687" s="18" t="s">
        <v>154</v>
      </c>
      <c r="B687" s="18" t="s">
        <v>4411</v>
      </c>
      <c r="C687" s="18" t="s">
        <v>4412</v>
      </c>
      <c r="D687" s="19">
        <v>44905</v>
      </c>
      <c r="E687" s="18" t="s">
        <v>67</v>
      </c>
      <c r="F687" s="18" t="s">
        <v>4413</v>
      </c>
      <c r="G687" s="18" t="s">
        <v>4414</v>
      </c>
      <c r="H687" s="18" t="s">
        <v>159</v>
      </c>
      <c r="I687" s="18" t="s">
        <v>160</v>
      </c>
      <c r="J687" s="18" t="s">
        <v>161</v>
      </c>
      <c r="K687" s="18" t="s">
        <v>132</v>
      </c>
      <c r="L687" s="20" t="s">
        <v>4415</v>
      </c>
      <c r="M687" s="18" t="s">
        <v>75</v>
      </c>
      <c r="N687" s="20" t="s">
        <v>4416</v>
      </c>
      <c r="O687" s="18" t="s">
        <v>2241</v>
      </c>
      <c r="P687" s="18" t="s">
        <v>78</v>
      </c>
      <c r="Q687" s="19">
        <v>44914</v>
      </c>
      <c r="R687" s="21">
        <v>14.28</v>
      </c>
      <c r="S687" s="18" t="s">
        <v>79</v>
      </c>
      <c r="T687" s="18" t="s">
        <v>174</v>
      </c>
      <c r="U687" s="18" t="s">
        <v>83</v>
      </c>
      <c r="V687" s="18" t="s">
        <v>95</v>
      </c>
      <c r="W687" s="18" t="s">
        <v>95</v>
      </c>
      <c r="X687" s="18" t="s">
        <v>118</v>
      </c>
      <c r="Y687" s="18" t="s">
        <v>85</v>
      </c>
      <c r="Z687" s="18" t="s">
        <v>86</v>
      </c>
      <c r="AA687" s="18" t="s">
        <v>119</v>
      </c>
      <c r="AB687" s="18" t="s">
        <v>760</v>
      </c>
      <c r="AC687" s="18" t="s">
        <v>761</v>
      </c>
      <c r="AD687" s="18" t="s">
        <v>85</v>
      </c>
      <c r="AE687" s="18" t="s">
        <v>90</v>
      </c>
      <c r="AF687" s="18" t="s">
        <v>177</v>
      </c>
      <c r="AG687" s="18" t="s">
        <v>139</v>
      </c>
      <c r="AH687" s="18" t="s">
        <v>165</v>
      </c>
      <c r="AI687" s="18" t="s">
        <v>94</v>
      </c>
      <c r="AJ687" s="19">
        <v>44905</v>
      </c>
      <c r="AK687" s="22" t="s">
        <v>95</v>
      </c>
      <c r="AL687" s="18" t="s">
        <v>95</v>
      </c>
      <c r="AM687" s="18" t="s">
        <v>95</v>
      </c>
      <c r="AN687" s="18" t="s">
        <v>95</v>
      </c>
      <c r="AO687" s="18" t="s">
        <v>95</v>
      </c>
      <c r="AP687" s="18" t="s">
        <v>95</v>
      </c>
      <c r="AQ687" s="18" t="s">
        <v>95</v>
      </c>
      <c r="AR687" s="18" t="s">
        <v>95</v>
      </c>
      <c r="AS687" s="18" t="s">
        <v>83</v>
      </c>
      <c r="AT687" s="18" t="s">
        <v>83</v>
      </c>
      <c r="AU687" s="18" t="s">
        <v>81</v>
      </c>
      <c r="AV687" s="18" t="s">
        <v>95</v>
      </c>
      <c r="AW687" s="18" t="s">
        <v>95</v>
      </c>
      <c r="AX687" s="18"/>
      <c r="AY687" s="18" t="str">
        <f>Pospago[[#This Row],[NUM_TELEFONICO]]&amp;"POSPAGOSI"</f>
        <v>992705111POSPAGOSI</v>
      </c>
      <c r="AZ687" s="18" t="str">
        <f>VLOOKUP(Pospago[[#This Row],[NOM_PLAZA_FINAL]],[1]!Locales[#Data],3,0)</f>
        <v>TIENDA RECREO</v>
      </c>
      <c r="BA687" s="18" t="str">
        <f>IFERROR(VLOOKUP(Pospago[[#This Row],[USUARIO]],[1]!Personal[#Data],6,0),"EJECUTIVO NO REGISTRADO")</f>
        <v>VALBUENA SANCHEZ ALBERT ANTHONY</v>
      </c>
      <c r="BB687" s="18" t="str">
        <f>Pospago[[#This Row],[TIPO_MOVIMIENTO]]&amp;" "&amp;Pospago[[#This Row],[FORMA_PAGO_FINAL]]</f>
        <v>TRANSFERENCIAS PAGO EN CAJA</v>
      </c>
      <c r="BC687" s="18">
        <f>DAY(Pospago[[#This Row],[FECHA_ALTA]])</f>
        <v>10</v>
      </c>
      <c r="BD687" s="18">
        <f>IF(Pospago[[#This Row],[TARIFA_BASICA]]=11.42,1,0)</f>
        <v>0</v>
      </c>
      <c r="BE687" s="18">
        <f>IF(Pospago[[#This Row],[PLANES TELEVENTAS]]="SI",1,0)</f>
        <v>0</v>
      </c>
      <c r="BF687" s="18">
        <f>1</f>
        <v>1</v>
      </c>
      <c r="BG687" s="18">
        <f>IF(OR(Pospago[[#This Row],[TARIFA_BASICA]]=11.42,Pospago[[#This Row],[PLANES TELEVENTAS]]="SI"),1,0)</f>
        <v>0</v>
      </c>
      <c r="BH687" s="18" t="str">
        <f>IF(MID(Pospago[[#This Row],[PlanDesc]],1,4) = "PLAN","POSPAGO",IF(MID(Pospago[[#This Row],[PlanDesc]],1,4)="FULL","FULL MEGAS","PREVIOPAGO"))</f>
        <v>PREVIOPAGO</v>
      </c>
      <c r="BI6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87" s="21">
        <f>Pospago[[#This Row],[TARIFA_BASICA]]*1.5</f>
        <v>21.419999999999998</v>
      </c>
    </row>
    <row r="688" spans="1:63" x14ac:dyDescent="0.25">
      <c r="A688" s="18" t="s">
        <v>154</v>
      </c>
      <c r="B688" s="18" t="s">
        <v>4417</v>
      </c>
      <c r="C688" s="18" t="s">
        <v>4418</v>
      </c>
      <c r="D688" s="19">
        <v>44905</v>
      </c>
      <c r="E688" s="18" t="s">
        <v>67</v>
      </c>
      <c r="F688" s="18" t="s">
        <v>4419</v>
      </c>
      <c r="G688" s="18" t="s">
        <v>4420</v>
      </c>
      <c r="H688" s="18" t="s">
        <v>159</v>
      </c>
      <c r="I688" s="18" t="s">
        <v>194</v>
      </c>
      <c r="J688" s="18" t="s">
        <v>268</v>
      </c>
      <c r="K688" s="18" t="s">
        <v>132</v>
      </c>
      <c r="L688" s="20" t="s">
        <v>4421</v>
      </c>
      <c r="M688" s="18" t="s">
        <v>75</v>
      </c>
      <c r="N688" s="20" t="s">
        <v>4422</v>
      </c>
      <c r="O688" s="18" t="s">
        <v>1378</v>
      </c>
      <c r="P688" s="18" t="s">
        <v>78</v>
      </c>
      <c r="Q688" s="19">
        <v>44914</v>
      </c>
      <c r="R688" s="21">
        <v>14.28</v>
      </c>
      <c r="S688" s="18" t="s">
        <v>79</v>
      </c>
      <c r="T688" s="18" t="s">
        <v>232</v>
      </c>
      <c r="U688" s="18" t="s">
        <v>83</v>
      </c>
      <c r="V688" s="18" t="s">
        <v>95</v>
      </c>
      <c r="W688" s="18" t="s">
        <v>95</v>
      </c>
      <c r="X688" s="18" t="s">
        <v>84</v>
      </c>
      <c r="Y688" s="18" t="s">
        <v>85</v>
      </c>
      <c r="Z688" s="18" t="s">
        <v>86</v>
      </c>
      <c r="AA688" s="18" t="s">
        <v>87</v>
      </c>
      <c r="AB688" s="18" t="s">
        <v>280</v>
      </c>
      <c r="AC688" s="18" t="s">
        <v>281</v>
      </c>
      <c r="AD688" s="18" t="s">
        <v>85</v>
      </c>
      <c r="AE688" s="18" t="s">
        <v>90</v>
      </c>
      <c r="AF688" s="18" t="s">
        <v>235</v>
      </c>
      <c r="AG688" s="18" t="s">
        <v>139</v>
      </c>
      <c r="AH688" s="18" t="s">
        <v>165</v>
      </c>
      <c r="AI688" s="18" t="s">
        <v>94</v>
      </c>
      <c r="AJ688" s="19">
        <v>44905</v>
      </c>
      <c r="AK688" s="22" t="s">
        <v>95</v>
      </c>
      <c r="AL688" s="18" t="s">
        <v>95</v>
      </c>
      <c r="AM688" s="18" t="s">
        <v>95</v>
      </c>
      <c r="AN688" s="18" t="s">
        <v>95</v>
      </c>
      <c r="AO688" s="18" t="s">
        <v>95</v>
      </c>
      <c r="AP688" s="18" t="s">
        <v>95</v>
      </c>
      <c r="AQ688" s="18" t="s">
        <v>95</v>
      </c>
      <c r="AR688" s="18" t="s">
        <v>95</v>
      </c>
      <c r="AS688" s="18" t="s">
        <v>83</v>
      </c>
      <c r="AT688" s="18" t="s">
        <v>81</v>
      </c>
      <c r="AU688" s="18" t="s">
        <v>81</v>
      </c>
      <c r="AV688" s="18" t="s">
        <v>95</v>
      </c>
      <c r="AW688" s="18" t="s">
        <v>95</v>
      </c>
      <c r="AX688" s="18"/>
      <c r="AY688" s="18" t="str">
        <f>Pospago[[#This Row],[NUM_TELEFONICO]]&amp;"POSPAGOSI"</f>
        <v>992736154POSPAGOSI</v>
      </c>
      <c r="AZ688" s="18" t="str">
        <f>VLOOKUP(Pospago[[#This Row],[NOM_PLAZA_FINAL]],[1]!Locales[#Data],3,0)</f>
        <v>TIENDA CONDADO</v>
      </c>
      <c r="BA688" s="18" t="str">
        <f>IFERROR(VLOOKUP(Pospago[[#This Row],[USUARIO]],[1]!Personal[#Data],6,0),"EJECUTIVO NO REGISTRADO")</f>
        <v>GUACHAMIN CAZA HUGO ADRIAN</v>
      </c>
      <c r="BB688" s="18" t="str">
        <f>Pospago[[#This Row],[TIPO_MOVIMIENTO]]&amp;" "&amp;Pospago[[#This Row],[FORMA_PAGO_FINAL]]</f>
        <v>TRANSFERENCIAS DOMICILIADO</v>
      </c>
      <c r="BC688" s="18">
        <f>DAY(Pospago[[#This Row],[FECHA_ALTA]])</f>
        <v>10</v>
      </c>
      <c r="BD688" s="18">
        <f>IF(Pospago[[#This Row],[TARIFA_BASICA]]=11.42,1,0)</f>
        <v>0</v>
      </c>
      <c r="BE688" s="18">
        <f>IF(Pospago[[#This Row],[PLANES TELEVENTAS]]="SI",1,0)</f>
        <v>1</v>
      </c>
      <c r="BF688" s="18">
        <f>1</f>
        <v>1</v>
      </c>
      <c r="BG688" s="18">
        <f>IF(OR(Pospago[[#This Row],[TARIFA_BASICA]]=11.42,Pospago[[#This Row],[PLANES TELEVENTAS]]="SI"),1,0)</f>
        <v>1</v>
      </c>
      <c r="BH688" s="18" t="str">
        <f>IF(MID(Pospago[[#This Row],[PlanDesc]],1,4) = "PLAN","POSPAGO",IF(MID(Pospago[[#This Row],[PlanDesc]],1,4)="FULL","FULL MEGAS","PREVIOPAGO"))</f>
        <v>PREVIOPAGO</v>
      </c>
      <c r="BI6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88" s="21">
        <f>Pospago[[#This Row],[TARIFA_BASICA]]*1.5</f>
        <v>21.419999999999998</v>
      </c>
    </row>
    <row r="689" spans="1:63" x14ac:dyDescent="0.25">
      <c r="A689" s="18" t="s">
        <v>64</v>
      </c>
      <c r="B689" s="18" t="s">
        <v>4423</v>
      </c>
      <c r="C689" s="18" t="s">
        <v>4424</v>
      </c>
      <c r="D689" s="19">
        <v>44904</v>
      </c>
      <c r="E689" s="18" t="s">
        <v>67</v>
      </c>
      <c r="F689" s="18" t="s">
        <v>4425</v>
      </c>
      <c r="G689" s="18" t="s">
        <v>4426</v>
      </c>
      <c r="H689" s="18" t="s">
        <v>70</v>
      </c>
      <c r="I689" s="18" t="s">
        <v>160</v>
      </c>
      <c r="J689" s="18" t="s">
        <v>195</v>
      </c>
      <c r="K689" s="18" t="s">
        <v>95</v>
      </c>
      <c r="L689" s="20" t="s">
        <v>4427</v>
      </c>
      <c r="M689" s="18" t="s">
        <v>75</v>
      </c>
      <c r="N689" s="20" t="s">
        <v>4428</v>
      </c>
      <c r="O689" s="18" t="s">
        <v>77</v>
      </c>
      <c r="P689" s="18" t="s">
        <v>78</v>
      </c>
      <c r="Q689" s="19">
        <v>44914</v>
      </c>
      <c r="R689" s="21">
        <v>14.28</v>
      </c>
      <c r="S689" s="18" t="s">
        <v>79</v>
      </c>
      <c r="T689" s="18" t="s">
        <v>232</v>
      </c>
      <c r="U689" s="18" t="s">
        <v>83</v>
      </c>
      <c r="V689" s="18" t="s">
        <v>95</v>
      </c>
      <c r="W689" s="18" t="s">
        <v>83</v>
      </c>
      <c r="X689" s="18" t="s">
        <v>84</v>
      </c>
      <c r="Y689" s="18" t="s">
        <v>85</v>
      </c>
      <c r="Z689" s="18" t="s">
        <v>86</v>
      </c>
      <c r="AA689" s="18" t="s">
        <v>87</v>
      </c>
      <c r="AB689" s="18" t="s">
        <v>412</v>
      </c>
      <c r="AC689" s="18" t="s">
        <v>413</v>
      </c>
      <c r="AD689" s="18" t="s">
        <v>85</v>
      </c>
      <c r="AE689" s="18" t="s">
        <v>90</v>
      </c>
      <c r="AF689" s="18" t="s">
        <v>235</v>
      </c>
      <c r="AG689" s="18" t="s">
        <v>139</v>
      </c>
      <c r="AH689" s="18" t="s">
        <v>93</v>
      </c>
      <c r="AI689" s="18" t="s">
        <v>94</v>
      </c>
      <c r="AJ689" s="19">
        <v>44904</v>
      </c>
      <c r="AK689" s="22" t="s">
        <v>95</v>
      </c>
      <c r="AL689" s="18" t="s">
        <v>95</v>
      </c>
      <c r="AM689" s="18" t="s">
        <v>95</v>
      </c>
      <c r="AN689" s="18" t="s">
        <v>95</v>
      </c>
      <c r="AO689" s="18" t="s">
        <v>95</v>
      </c>
      <c r="AP689" s="18" t="s">
        <v>95</v>
      </c>
      <c r="AQ689" s="18" t="s">
        <v>95</v>
      </c>
      <c r="AR689" s="18" t="s">
        <v>95</v>
      </c>
      <c r="AS689" s="18" t="s">
        <v>83</v>
      </c>
      <c r="AT689" s="18" t="s">
        <v>83</v>
      </c>
      <c r="AU689" s="18" t="s">
        <v>81</v>
      </c>
      <c r="AV689" s="18" t="s">
        <v>95</v>
      </c>
      <c r="AW689" s="18" t="s">
        <v>95</v>
      </c>
      <c r="AX689" s="18"/>
      <c r="AY689" s="18" t="str">
        <f>Pospago[[#This Row],[NUM_TELEFONICO]]&amp;"POSPAGOSI"</f>
        <v>992748467POSPAGOSI</v>
      </c>
      <c r="AZ689" s="18" t="str">
        <f>VLOOKUP(Pospago[[#This Row],[NOM_PLAZA_FINAL]],[1]!Locales[#Data],3,0)</f>
        <v>TIENDA CONDADO</v>
      </c>
      <c r="BA689" s="18" t="str">
        <f>IFERROR(VLOOKUP(Pospago[[#This Row],[USUARIO]],[1]!Personal[#Data],6,0),"EJECUTIVO NO REGISTRADO")</f>
        <v>PADILLA MALDONADO HENRY LEOPOLDO</v>
      </c>
      <c r="BB689" s="18" t="str">
        <f>Pospago[[#This Row],[TIPO_MOVIMIENTO]]&amp;" "&amp;Pospago[[#This Row],[FORMA_PAGO_FINAL]]</f>
        <v>ALTAS DOMICILIADO</v>
      </c>
      <c r="BC689" s="18">
        <f>DAY(Pospago[[#This Row],[FECHA_ALTA]])</f>
        <v>9</v>
      </c>
      <c r="BD689" s="18">
        <f>IF(Pospago[[#This Row],[TARIFA_BASICA]]=11.42,1,0)</f>
        <v>0</v>
      </c>
      <c r="BE689" s="18">
        <f>IF(Pospago[[#This Row],[PLANES TELEVENTAS]]="SI",1,0)</f>
        <v>0</v>
      </c>
      <c r="BF689" s="18">
        <f>1</f>
        <v>1</v>
      </c>
      <c r="BG689" s="18">
        <f>IF(OR(Pospago[[#This Row],[TARIFA_BASICA]]=11.42,Pospago[[#This Row],[PLANES TELEVENTAS]]="SI"),1,0)</f>
        <v>0</v>
      </c>
      <c r="BH689" s="18" t="str">
        <f>IF(MID(Pospago[[#This Row],[PlanDesc]],1,4) = "PLAN","POSPAGO",IF(MID(Pospago[[#This Row],[PlanDesc]],1,4)="FULL","FULL MEGAS","PREVIOPAGO"))</f>
        <v>PREVIOPAGO</v>
      </c>
      <c r="BI6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6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89" s="21">
        <f>Pospago[[#This Row],[TARIFA_BASICA]]*1.5</f>
        <v>21.419999999999998</v>
      </c>
    </row>
    <row r="690" spans="1:63" x14ac:dyDescent="0.25">
      <c r="A690" s="18" t="s">
        <v>154</v>
      </c>
      <c r="B690" s="18" t="s">
        <v>4429</v>
      </c>
      <c r="C690" s="18" t="s">
        <v>4430</v>
      </c>
      <c r="D690" s="19">
        <v>44904</v>
      </c>
      <c r="E690" s="18" t="s">
        <v>67</v>
      </c>
      <c r="F690" s="18" t="s">
        <v>4431</v>
      </c>
      <c r="G690" s="18" t="s">
        <v>4432</v>
      </c>
      <c r="H690" s="18" t="s">
        <v>159</v>
      </c>
      <c r="I690" s="18" t="s">
        <v>160</v>
      </c>
      <c r="J690" s="18" t="s">
        <v>161</v>
      </c>
      <c r="K690" s="18" t="s">
        <v>132</v>
      </c>
      <c r="L690" s="20" t="s">
        <v>4433</v>
      </c>
      <c r="M690" s="18" t="s">
        <v>75</v>
      </c>
      <c r="N690" s="20" t="s">
        <v>4434</v>
      </c>
      <c r="O690" s="18" t="s">
        <v>311</v>
      </c>
      <c r="P690" s="18" t="s">
        <v>78</v>
      </c>
      <c r="Q690" s="19">
        <v>44914</v>
      </c>
      <c r="R690" s="21">
        <v>14.28</v>
      </c>
      <c r="S690" s="18" t="s">
        <v>79</v>
      </c>
      <c r="T690" s="18" t="s">
        <v>174</v>
      </c>
      <c r="U690" s="18" t="s">
        <v>83</v>
      </c>
      <c r="V690" s="18" t="s">
        <v>95</v>
      </c>
      <c r="W690" s="18" t="s">
        <v>95</v>
      </c>
      <c r="X690" s="18" t="s">
        <v>215</v>
      </c>
      <c r="Y690" s="18" t="s">
        <v>85</v>
      </c>
      <c r="Z690" s="18" t="s">
        <v>86</v>
      </c>
      <c r="AA690" s="18" t="s">
        <v>87</v>
      </c>
      <c r="AB690" s="18" t="s">
        <v>2159</v>
      </c>
      <c r="AC690" s="18" t="s">
        <v>2160</v>
      </c>
      <c r="AD690" s="18" t="s">
        <v>85</v>
      </c>
      <c r="AE690" s="18" t="s">
        <v>90</v>
      </c>
      <c r="AF690" s="18" t="s">
        <v>177</v>
      </c>
      <c r="AG690" s="18" t="s">
        <v>139</v>
      </c>
      <c r="AH690" s="18" t="s">
        <v>165</v>
      </c>
      <c r="AI690" s="18" t="s">
        <v>94</v>
      </c>
      <c r="AJ690" s="19">
        <v>44904</v>
      </c>
      <c r="AK690" s="22" t="s">
        <v>95</v>
      </c>
      <c r="AL690" s="18" t="s">
        <v>95</v>
      </c>
      <c r="AM690" s="18" t="s">
        <v>95</v>
      </c>
      <c r="AN690" s="18" t="s">
        <v>95</v>
      </c>
      <c r="AO690" s="18" t="s">
        <v>95</v>
      </c>
      <c r="AP690" s="18" t="s">
        <v>95</v>
      </c>
      <c r="AQ690" s="18" t="s">
        <v>95</v>
      </c>
      <c r="AR690" s="18" t="s">
        <v>95</v>
      </c>
      <c r="AS690" s="18" t="s">
        <v>83</v>
      </c>
      <c r="AT690" s="18" t="s">
        <v>83</v>
      </c>
      <c r="AU690" s="18" t="s">
        <v>81</v>
      </c>
      <c r="AV690" s="18" t="s">
        <v>95</v>
      </c>
      <c r="AW690" s="18" t="s">
        <v>95</v>
      </c>
      <c r="AX690" s="18"/>
      <c r="AY690" s="18" t="str">
        <f>Pospago[[#This Row],[NUM_TELEFONICO]]&amp;"POSPAGOSI"</f>
        <v>992752751POSPAGOSI</v>
      </c>
      <c r="AZ690" s="18" t="str">
        <f>VLOOKUP(Pospago[[#This Row],[NOM_PLAZA_FINAL]],[1]!Locales[#Data],3,0)</f>
        <v>TIENDA RECREO</v>
      </c>
      <c r="BA690" s="18" t="str">
        <f>IFERROR(VLOOKUP(Pospago[[#This Row],[USUARIO]],[1]!Personal[#Data],6,0),"EJECUTIVO NO REGISTRADO")</f>
        <v>GUEVARA MAZA CRISTIAN FABIAN</v>
      </c>
      <c r="BB690" s="18" t="str">
        <f>Pospago[[#This Row],[TIPO_MOVIMIENTO]]&amp;" "&amp;Pospago[[#This Row],[FORMA_PAGO_FINAL]]</f>
        <v>TRANSFERENCIAS DOMICILIADO</v>
      </c>
      <c r="BC690" s="18">
        <f>DAY(Pospago[[#This Row],[FECHA_ALTA]])</f>
        <v>9</v>
      </c>
      <c r="BD690" s="18">
        <f>IF(Pospago[[#This Row],[TARIFA_BASICA]]=11.42,1,0)</f>
        <v>0</v>
      </c>
      <c r="BE690" s="18">
        <f>IF(Pospago[[#This Row],[PLANES TELEVENTAS]]="SI",1,0)</f>
        <v>0</v>
      </c>
      <c r="BF690" s="18">
        <f>1</f>
        <v>1</v>
      </c>
      <c r="BG690" s="18">
        <f>IF(OR(Pospago[[#This Row],[TARIFA_BASICA]]=11.42,Pospago[[#This Row],[PLANES TELEVENTAS]]="SI"),1,0)</f>
        <v>0</v>
      </c>
      <c r="BH690" s="18" t="str">
        <f>IF(MID(Pospago[[#This Row],[PlanDesc]],1,4) = "PLAN","POSPAGO",IF(MID(Pospago[[#This Row],[PlanDesc]],1,4)="FULL","FULL MEGAS","PREVIOPAGO"))</f>
        <v>PREVIOPAGO</v>
      </c>
      <c r="BI6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6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0" s="21">
        <f>Pospago[[#This Row],[TARIFA_BASICA]]*1.5</f>
        <v>21.419999999999998</v>
      </c>
    </row>
    <row r="691" spans="1:63" x14ac:dyDescent="0.25">
      <c r="A691" s="18" t="s">
        <v>64</v>
      </c>
      <c r="B691" s="18" t="s">
        <v>4435</v>
      </c>
      <c r="C691" s="18" t="s">
        <v>4436</v>
      </c>
      <c r="D691" s="19">
        <v>44903</v>
      </c>
      <c r="E691" s="18" t="s">
        <v>67</v>
      </c>
      <c r="F691" s="18" t="s">
        <v>4437</v>
      </c>
      <c r="G691" s="18" t="s">
        <v>4438</v>
      </c>
      <c r="H691" s="18" t="s">
        <v>193</v>
      </c>
      <c r="I691" s="18" t="s">
        <v>112</v>
      </c>
      <c r="J691" s="18" t="s">
        <v>113</v>
      </c>
      <c r="K691" s="18" t="s">
        <v>132</v>
      </c>
      <c r="L691" s="20" t="s">
        <v>4439</v>
      </c>
      <c r="M691" s="18" t="s">
        <v>75</v>
      </c>
      <c r="N691" s="20" t="s">
        <v>4440</v>
      </c>
      <c r="O691" s="18" t="s">
        <v>77</v>
      </c>
      <c r="P691" s="18" t="s">
        <v>78</v>
      </c>
      <c r="Q691" s="19">
        <v>44914</v>
      </c>
      <c r="R691" s="21">
        <v>17.850000000000001</v>
      </c>
      <c r="S691" s="18" t="s">
        <v>79</v>
      </c>
      <c r="T691" s="18" t="s">
        <v>174</v>
      </c>
      <c r="U691" s="18" t="s">
        <v>83</v>
      </c>
      <c r="V691" s="18" t="s">
        <v>95</v>
      </c>
      <c r="W691" s="18" t="s">
        <v>83</v>
      </c>
      <c r="X691" s="18" t="s">
        <v>118</v>
      </c>
      <c r="Y691" s="18" t="s">
        <v>85</v>
      </c>
      <c r="Z691" s="18" t="s">
        <v>86</v>
      </c>
      <c r="AA691" s="18" t="s">
        <v>119</v>
      </c>
      <c r="AB691" s="18" t="s">
        <v>262</v>
      </c>
      <c r="AC691" s="18" t="s">
        <v>263</v>
      </c>
      <c r="AD691" s="18" t="s">
        <v>85</v>
      </c>
      <c r="AE691" s="18" t="s">
        <v>90</v>
      </c>
      <c r="AF691" s="18" t="s">
        <v>177</v>
      </c>
      <c r="AG691" s="18" t="s">
        <v>139</v>
      </c>
      <c r="AH691" s="18" t="s">
        <v>93</v>
      </c>
      <c r="AI691" s="18" t="s">
        <v>94</v>
      </c>
      <c r="AJ691" s="19">
        <v>44903</v>
      </c>
      <c r="AK691" s="22" t="s">
        <v>95</v>
      </c>
      <c r="AL691" s="18" t="s">
        <v>95</v>
      </c>
      <c r="AM691" s="18" t="s">
        <v>95</v>
      </c>
      <c r="AN691" s="18" t="s">
        <v>95</v>
      </c>
      <c r="AO691" s="18" t="s">
        <v>95</v>
      </c>
      <c r="AP691" s="18" t="s">
        <v>95</v>
      </c>
      <c r="AQ691" s="18" t="s">
        <v>95</v>
      </c>
      <c r="AR691" s="18" t="s">
        <v>95</v>
      </c>
      <c r="AS691" s="18" t="s">
        <v>83</v>
      </c>
      <c r="AT691" s="18" t="s">
        <v>83</v>
      </c>
      <c r="AU691" s="18" t="s">
        <v>81</v>
      </c>
      <c r="AV691" s="18" t="s">
        <v>95</v>
      </c>
      <c r="AW691" s="18" t="s">
        <v>95</v>
      </c>
      <c r="AX691" s="18"/>
      <c r="AY691" s="18" t="str">
        <f>Pospago[[#This Row],[NUM_TELEFONICO]]&amp;"POSPAGOSI"</f>
        <v>992754738POSPAGOSI</v>
      </c>
      <c r="AZ691" s="18" t="str">
        <f>VLOOKUP(Pospago[[#This Row],[NOM_PLAZA_FINAL]],[1]!Locales[#Data],3,0)</f>
        <v>TIENDA RECREO</v>
      </c>
      <c r="BA691" s="18" t="str">
        <f>IFERROR(VLOOKUP(Pospago[[#This Row],[USUARIO]],[1]!Personal[#Data],6,0),"EJECUTIVO NO REGISTRADO")</f>
        <v>CHICAIZA TOAPANTA ALEX DANILO</v>
      </c>
      <c r="BB691" s="18" t="str">
        <f>Pospago[[#This Row],[TIPO_MOVIMIENTO]]&amp;" "&amp;Pospago[[#This Row],[FORMA_PAGO_FINAL]]</f>
        <v>ALTAS PAGO EN CAJA</v>
      </c>
      <c r="BC691" s="18">
        <f>DAY(Pospago[[#This Row],[FECHA_ALTA]])</f>
        <v>8</v>
      </c>
      <c r="BD691" s="18">
        <f>IF(Pospago[[#This Row],[TARIFA_BASICA]]=11.42,1,0)</f>
        <v>0</v>
      </c>
      <c r="BE691" s="18">
        <f>IF(Pospago[[#This Row],[PLANES TELEVENTAS]]="SI",1,0)</f>
        <v>0</v>
      </c>
      <c r="BF691" s="18">
        <f>1</f>
        <v>1</v>
      </c>
      <c r="BG691" s="18">
        <f>IF(OR(Pospago[[#This Row],[TARIFA_BASICA]]=11.42,Pospago[[#This Row],[PLANES TELEVENTAS]]="SI"),1,0)</f>
        <v>0</v>
      </c>
      <c r="BH691" s="18" t="str">
        <f>IF(MID(Pospago[[#This Row],[PlanDesc]],1,4) = "PLAN","POSPAGO",IF(MID(Pospago[[#This Row],[PlanDesc]],1,4)="FULL","FULL MEGAS","PREVIOPAGO"))</f>
        <v>PREVIOPAGO</v>
      </c>
      <c r="BI6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15.76</v>
      </c>
      <c r="BJ6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1" s="21">
        <f>Pospago[[#This Row],[TARIFA_BASICA]]*1.5</f>
        <v>26.775000000000002</v>
      </c>
    </row>
    <row r="692" spans="1:63" x14ac:dyDescent="0.25">
      <c r="A692" s="18" t="s">
        <v>64</v>
      </c>
      <c r="B692" s="18" t="s">
        <v>4441</v>
      </c>
      <c r="C692" s="18" t="s">
        <v>4442</v>
      </c>
      <c r="D692" s="19">
        <v>44896</v>
      </c>
      <c r="E692" s="18" t="s">
        <v>67</v>
      </c>
      <c r="F692" s="18" t="s">
        <v>4443</v>
      </c>
      <c r="G692" s="18" t="s">
        <v>4444</v>
      </c>
      <c r="H692" s="18" t="s">
        <v>70</v>
      </c>
      <c r="I692" s="18" t="s">
        <v>160</v>
      </c>
      <c r="J692" s="18" t="s">
        <v>195</v>
      </c>
      <c r="K692" s="18" t="s">
        <v>114</v>
      </c>
      <c r="L692" s="20" t="s">
        <v>4445</v>
      </c>
      <c r="M692" s="18" t="s">
        <v>75</v>
      </c>
      <c r="N692" s="20" t="s">
        <v>4446</v>
      </c>
      <c r="O692" s="18" t="s">
        <v>77</v>
      </c>
      <c r="P692" s="18" t="s">
        <v>78</v>
      </c>
      <c r="Q692" s="19">
        <v>44914</v>
      </c>
      <c r="R692" s="21">
        <v>14.28</v>
      </c>
      <c r="S692" s="18" t="s">
        <v>79</v>
      </c>
      <c r="T692" s="18" t="s">
        <v>117</v>
      </c>
      <c r="U692" s="18" t="s">
        <v>83</v>
      </c>
      <c r="V692" s="18" t="s">
        <v>95</v>
      </c>
      <c r="W692" s="18" t="s">
        <v>83</v>
      </c>
      <c r="X692" s="18" t="s">
        <v>84</v>
      </c>
      <c r="Y692" s="18" t="s">
        <v>85</v>
      </c>
      <c r="Z692" s="18" t="s">
        <v>86</v>
      </c>
      <c r="AA692" s="18" t="s">
        <v>87</v>
      </c>
      <c r="AB692" s="18" t="s">
        <v>352</v>
      </c>
      <c r="AC692" s="18" t="s">
        <v>353</v>
      </c>
      <c r="AD692" s="18" t="s">
        <v>85</v>
      </c>
      <c r="AE692" s="18" t="s">
        <v>90</v>
      </c>
      <c r="AF692" s="18" t="s">
        <v>122</v>
      </c>
      <c r="AG692" s="18" t="s">
        <v>92</v>
      </c>
      <c r="AH692" s="18" t="s">
        <v>93</v>
      </c>
      <c r="AI692" s="18" t="s">
        <v>94</v>
      </c>
      <c r="AJ692" s="19">
        <v>44896</v>
      </c>
      <c r="AK692" s="22" t="s">
        <v>95</v>
      </c>
      <c r="AL692" s="18" t="s">
        <v>95</v>
      </c>
      <c r="AM692" s="18" t="s">
        <v>95</v>
      </c>
      <c r="AN692" s="18" t="s">
        <v>95</v>
      </c>
      <c r="AO692" s="18" t="s">
        <v>95</v>
      </c>
      <c r="AP692" s="18" t="s">
        <v>95</v>
      </c>
      <c r="AQ692" s="18" t="s">
        <v>95</v>
      </c>
      <c r="AR692" s="18" t="s">
        <v>95</v>
      </c>
      <c r="AS692" s="18" t="s">
        <v>83</v>
      </c>
      <c r="AT692" s="18" t="s">
        <v>83</v>
      </c>
      <c r="AU692" s="18" t="s">
        <v>81</v>
      </c>
      <c r="AV692" s="18" t="s">
        <v>95</v>
      </c>
      <c r="AW692" s="18" t="s">
        <v>95</v>
      </c>
      <c r="AX692" s="18"/>
      <c r="AY692" s="18" t="str">
        <f>Pospago[[#This Row],[NUM_TELEFONICO]]&amp;"POSPAGOSI"</f>
        <v>992758105POSPAGOSI</v>
      </c>
      <c r="AZ692" s="18" t="str">
        <f>VLOOKUP(Pospago[[#This Row],[NOM_PLAZA_FINAL]],[1]!Locales[#Data],3,0)</f>
        <v>TIENDA MACHALA</v>
      </c>
      <c r="BA692" s="18" t="str">
        <f>IFERROR(VLOOKUP(Pospago[[#This Row],[USUARIO]],[1]!Personal[#Data],6,0),"EJECUTIVO NO REGISTRADO")</f>
        <v>TENORIO MARIA DEL PILAR</v>
      </c>
      <c r="BB692" s="18" t="str">
        <f>Pospago[[#This Row],[TIPO_MOVIMIENTO]]&amp;" "&amp;Pospago[[#This Row],[FORMA_PAGO_FINAL]]</f>
        <v>ALTAS DOMICILIADO</v>
      </c>
      <c r="BC692" s="18">
        <f>DAY(Pospago[[#This Row],[FECHA_ALTA]])</f>
        <v>1</v>
      </c>
      <c r="BD692" s="18">
        <f>IF(Pospago[[#This Row],[TARIFA_BASICA]]=11.42,1,0)</f>
        <v>0</v>
      </c>
      <c r="BE692" s="18">
        <f>IF(Pospago[[#This Row],[PLANES TELEVENTAS]]="SI",1,0)</f>
        <v>0</v>
      </c>
      <c r="BF692" s="18">
        <f>1</f>
        <v>1</v>
      </c>
      <c r="BG692" s="18">
        <f>IF(OR(Pospago[[#This Row],[TARIFA_BASICA]]=11.42,Pospago[[#This Row],[PLANES TELEVENTAS]]="SI"),1,0)</f>
        <v>0</v>
      </c>
      <c r="BH692" s="18" t="str">
        <f>IF(MID(Pospago[[#This Row],[PlanDesc]],1,4) = "PLAN","POSPAGO",IF(MID(Pospago[[#This Row],[PlanDesc]],1,4)="FULL","FULL MEGAS","PREVIOPAGO"))</f>
        <v>PREVIOPAGO</v>
      </c>
      <c r="BI6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6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2" s="21">
        <f>Pospago[[#This Row],[TARIFA_BASICA]]*1.5</f>
        <v>21.419999999999998</v>
      </c>
    </row>
    <row r="693" spans="1:63" x14ac:dyDescent="0.25">
      <c r="A693" s="18" t="s">
        <v>154</v>
      </c>
      <c r="B693" s="18" t="s">
        <v>4447</v>
      </c>
      <c r="C693" s="18" t="s">
        <v>4448</v>
      </c>
      <c r="D693" s="19">
        <v>44905</v>
      </c>
      <c r="E693" s="18" t="s">
        <v>67</v>
      </c>
      <c r="F693" s="18" t="s">
        <v>4449</v>
      </c>
      <c r="G693" s="18" t="s">
        <v>4450</v>
      </c>
      <c r="H693" s="18" t="s">
        <v>159</v>
      </c>
      <c r="I693" s="18" t="s">
        <v>2207</v>
      </c>
      <c r="J693" s="18" t="s">
        <v>2208</v>
      </c>
      <c r="K693" s="18" t="s">
        <v>132</v>
      </c>
      <c r="L693" s="20" t="s">
        <v>4451</v>
      </c>
      <c r="M693" s="18" t="s">
        <v>75</v>
      </c>
      <c r="N693" s="20" t="s">
        <v>4452</v>
      </c>
      <c r="O693" s="18" t="s">
        <v>4453</v>
      </c>
      <c r="P693" s="18" t="s">
        <v>78</v>
      </c>
      <c r="Q693" s="19">
        <v>44914</v>
      </c>
      <c r="R693" s="21">
        <v>15</v>
      </c>
      <c r="S693" s="18" t="s">
        <v>79</v>
      </c>
      <c r="T693" s="18" t="s">
        <v>174</v>
      </c>
      <c r="U693" s="18" t="s">
        <v>83</v>
      </c>
      <c r="V693" s="18" t="s">
        <v>95</v>
      </c>
      <c r="W693" s="18" t="s">
        <v>95</v>
      </c>
      <c r="X693" s="18" t="s">
        <v>84</v>
      </c>
      <c r="Y693" s="18" t="s">
        <v>85</v>
      </c>
      <c r="Z693" s="18" t="s">
        <v>86</v>
      </c>
      <c r="AA693" s="18" t="s">
        <v>87</v>
      </c>
      <c r="AB693" s="18" t="s">
        <v>822</v>
      </c>
      <c r="AC693" s="18" t="s">
        <v>823</v>
      </c>
      <c r="AD693" s="18" t="s">
        <v>85</v>
      </c>
      <c r="AE693" s="18" t="s">
        <v>90</v>
      </c>
      <c r="AF693" s="18" t="s">
        <v>177</v>
      </c>
      <c r="AG693" s="18" t="s">
        <v>139</v>
      </c>
      <c r="AH693" s="18" t="s">
        <v>165</v>
      </c>
      <c r="AI693" s="18" t="s">
        <v>94</v>
      </c>
      <c r="AJ693" s="19">
        <v>44905</v>
      </c>
      <c r="AK693" s="22" t="s">
        <v>95</v>
      </c>
      <c r="AL693" s="18" t="s">
        <v>95</v>
      </c>
      <c r="AM693" s="18" t="s">
        <v>95</v>
      </c>
      <c r="AN693" s="18" t="s">
        <v>95</v>
      </c>
      <c r="AO693" s="18" t="s">
        <v>95</v>
      </c>
      <c r="AP693" s="18" t="s">
        <v>95</v>
      </c>
      <c r="AQ693" s="18" t="s">
        <v>95</v>
      </c>
      <c r="AR693" s="18" t="s">
        <v>95</v>
      </c>
      <c r="AS693" s="18" t="s">
        <v>83</v>
      </c>
      <c r="AT693" s="18" t="s">
        <v>95</v>
      </c>
      <c r="AU693" s="18" t="s">
        <v>95</v>
      </c>
      <c r="AV693" s="18" t="s">
        <v>95</v>
      </c>
      <c r="AW693" s="18" t="s">
        <v>95</v>
      </c>
      <c r="AX693" s="18"/>
      <c r="AY693" s="18" t="str">
        <f>Pospago[[#This Row],[NUM_TELEFONICO]]&amp;"POSPAGOSI"</f>
        <v>992768759POSPAGOSI</v>
      </c>
      <c r="AZ693" s="18" t="str">
        <f>VLOOKUP(Pospago[[#This Row],[NOM_PLAZA_FINAL]],[1]!Locales[#Data],3,0)</f>
        <v>TIENDA RECREO</v>
      </c>
      <c r="BA693" s="18" t="str">
        <f>IFERROR(VLOOKUP(Pospago[[#This Row],[USUARIO]],[1]!Personal[#Data],6,0),"EJECUTIVO NO REGISTRADO")</f>
        <v>SALAS PARRA MARIA JOSE</v>
      </c>
      <c r="BB693" s="18" t="str">
        <f>Pospago[[#This Row],[TIPO_MOVIMIENTO]]&amp;" "&amp;Pospago[[#This Row],[FORMA_PAGO_FINAL]]</f>
        <v>TRANSFERENCIAS DOMICILIADO</v>
      </c>
      <c r="BC693" s="18">
        <f>DAY(Pospago[[#This Row],[FECHA_ALTA]])</f>
        <v>10</v>
      </c>
      <c r="BD693" s="18">
        <f>IF(Pospago[[#This Row],[TARIFA_BASICA]]=11.42,1,0)</f>
        <v>0</v>
      </c>
      <c r="BE693" s="18">
        <f>IF(Pospago[[#This Row],[PLANES TELEVENTAS]]="SI",1,0)</f>
        <v>0</v>
      </c>
      <c r="BF693" s="18">
        <f>1</f>
        <v>1</v>
      </c>
      <c r="BG693" s="18">
        <f>IF(OR(Pospago[[#This Row],[TARIFA_BASICA]]=11.42,Pospago[[#This Row],[PLANES TELEVENTAS]]="SI"),1,0)</f>
        <v>0</v>
      </c>
      <c r="BH693" s="18" t="str">
        <f>IF(MID(Pospago[[#This Row],[PlanDesc]],1,4) = "PLAN","POSPAGO",IF(MID(Pospago[[#This Row],[PlanDesc]],1,4)="FULL","FULL MEGAS","PREVIOPAGO"))</f>
        <v>FULL MEGAS</v>
      </c>
      <c r="BI6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6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3" s="21">
        <f>Pospago[[#This Row],[TARIFA_BASICA]]*1.5</f>
        <v>22.5</v>
      </c>
    </row>
    <row r="694" spans="1:63" x14ac:dyDescent="0.25">
      <c r="A694" s="18" t="s">
        <v>64</v>
      </c>
      <c r="B694" s="18" t="s">
        <v>4454</v>
      </c>
      <c r="C694" s="18" t="s">
        <v>4455</v>
      </c>
      <c r="D694" s="19">
        <v>44896</v>
      </c>
      <c r="E694" s="18" t="s">
        <v>67</v>
      </c>
      <c r="F694" s="18" t="s">
        <v>4456</v>
      </c>
      <c r="G694" s="18" t="s">
        <v>4457</v>
      </c>
      <c r="H694" s="18" t="s">
        <v>70</v>
      </c>
      <c r="I694" s="18" t="s">
        <v>160</v>
      </c>
      <c r="J694" s="18" t="s">
        <v>195</v>
      </c>
      <c r="K694" s="18" t="s">
        <v>114</v>
      </c>
      <c r="L694" s="20" t="s">
        <v>4458</v>
      </c>
      <c r="M694" s="18" t="s">
        <v>75</v>
      </c>
      <c r="N694" s="20" t="s">
        <v>4459</v>
      </c>
      <c r="O694" s="18" t="s">
        <v>77</v>
      </c>
      <c r="P694" s="18" t="s">
        <v>78</v>
      </c>
      <c r="Q694" s="19">
        <v>44914</v>
      </c>
      <c r="R694" s="21">
        <v>14.28</v>
      </c>
      <c r="S694" s="18" t="s">
        <v>79</v>
      </c>
      <c r="T694" s="18" t="s">
        <v>117</v>
      </c>
      <c r="U694" s="18" t="s">
        <v>83</v>
      </c>
      <c r="V694" s="18" t="s">
        <v>95</v>
      </c>
      <c r="W694" s="18" t="s">
        <v>83</v>
      </c>
      <c r="X694" s="18" t="s">
        <v>84</v>
      </c>
      <c r="Y694" s="18" t="s">
        <v>85</v>
      </c>
      <c r="Z694" s="18" t="s">
        <v>86</v>
      </c>
      <c r="AA694" s="18" t="s">
        <v>87</v>
      </c>
      <c r="AB694" s="18" t="s">
        <v>1043</v>
      </c>
      <c r="AC694" s="18" t="s">
        <v>1044</v>
      </c>
      <c r="AD694" s="18" t="s">
        <v>85</v>
      </c>
      <c r="AE694" s="18" t="s">
        <v>90</v>
      </c>
      <c r="AF694" s="18" t="s">
        <v>122</v>
      </c>
      <c r="AG694" s="18" t="s">
        <v>92</v>
      </c>
      <c r="AH694" s="18" t="s">
        <v>93</v>
      </c>
      <c r="AI694" s="18" t="s">
        <v>94</v>
      </c>
      <c r="AJ694" s="19">
        <v>44896</v>
      </c>
      <c r="AK694" s="22" t="s">
        <v>95</v>
      </c>
      <c r="AL694" s="18" t="s">
        <v>95</v>
      </c>
      <c r="AM694" s="18" t="s">
        <v>95</v>
      </c>
      <c r="AN694" s="18" t="s">
        <v>95</v>
      </c>
      <c r="AO694" s="18" t="s">
        <v>95</v>
      </c>
      <c r="AP694" s="18" t="s">
        <v>95</v>
      </c>
      <c r="AQ694" s="18" t="s">
        <v>95</v>
      </c>
      <c r="AR694" s="18" t="s">
        <v>95</v>
      </c>
      <c r="AS694" s="18" t="s">
        <v>83</v>
      </c>
      <c r="AT694" s="18" t="s">
        <v>83</v>
      </c>
      <c r="AU694" s="18" t="s">
        <v>81</v>
      </c>
      <c r="AV694" s="18" t="s">
        <v>95</v>
      </c>
      <c r="AW694" s="18" t="s">
        <v>95</v>
      </c>
      <c r="AX694" s="18"/>
      <c r="AY694" s="18" t="str">
        <f>Pospago[[#This Row],[NUM_TELEFONICO]]&amp;"POSPAGOSI"</f>
        <v>992771181POSPAGOSI</v>
      </c>
      <c r="AZ694" s="18" t="str">
        <f>VLOOKUP(Pospago[[#This Row],[NOM_PLAZA_FINAL]],[1]!Locales[#Data],3,0)</f>
        <v>TIENDA MACHALA</v>
      </c>
      <c r="BA694" s="18" t="str">
        <f>IFERROR(VLOOKUP(Pospago[[#This Row],[USUARIO]],[1]!Personal[#Data],6,0),"EJECUTIVO NO REGISTRADO")</f>
        <v>GONZAGA YUPANGUI LIZBETH KATHERINE</v>
      </c>
      <c r="BB694" s="18" t="str">
        <f>Pospago[[#This Row],[TIPO_MOVIMIENTO]]&amp;" "&amp;Pospago[[#This Row],[FORMA_PAGO_FINAL]]</f>
        <v>ALTAS DOMICILIADO</v>
      </c>
      <c r="BC694" s="18">
        <f>DAY(Pospago[[#This Row],[FECHA_ALTA]])</f>
        <v>1</v>
      </c>
      <c r="BD694" s="18">
        <f>IF(Pospago[[#This Row],[TARIFA_BASICA]]=11.42,1,0)</f>
        <v>0</v>
      </c>
      <c r="BE694" s="18">
        <f>IF(Pospago[[#This Row],[PLANES TELEVENTAS]]="SI",1,0)</f>
        <v>0</v>
      </c>
      <c r="BF694" s="18">
        <f>1</f>
        <v>1</v>
      </c>
      <c r="BG694" s="18">
        <f>IF(OR(Pospago[[#This Row],[TARIFA_BASICA]]=11.42,Pospago[[#This Row],[PLANES TELEVENTAS]]="SI"),1,0)</f>
        <v>0</v>
      </c>
      <c r="BH694" s="18" t="str">
        <f>IF(MID(Pospago[[#This Row],[PlanDesc]],1,4) = "PLAN","POSPAGO",IF(MID(Pospago[[#This Row],[PlanDesc]],1,4)="FULL","FULL MEGAS","PREVIOPAGO"))</f>
        <v>PREVIOPAGO</v>
      </c>
      <c r="BI6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6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4" s="21">
        <f>Pospago[[#This Row],[TARIFA_BASICA]]*1.5</f>
        <v>21.419999999999998</v>
      </c>
    </row>
    <row r="695" spans="1:63" x14ac:dyDescent="0.25">
      <c r="A695" s="18" t="s">
        <v>154</v>
      </c>
      <c r="B695" s="18" t="s">
        <v>4460</v>
      </c>
      <c r="C695" s="18" t="s">
        <v>4461</v>
      </c>
      <c r="D695" s="19">
        <v>44901</v>
      </c>
      <c r="E695" s="18" t="s">
        <v>67</v>
      </c>
      <c r="F695" s="18" t="s">
        <v>4462</v>
      </c>
      <c r="G695" s="18" t="s">
        <v>4463</v>
      </c>
      <c r="H695" s="18" t="s">
        <v>159</v>
      </c>
      <c r="I695" s="18" t="s">
        <v>130</v>
      </c>
      <c r="J695" s="18" t="s">
        <v>433</v>
      </c>
      <c r="K695" s="18" t="s">
        <v>132</v>
      </c>
      <c r="L695" s="20" t="s">
        <v>4464</v>
      </c>
      <c r="M695" s="18" t="s">
        <v>75</v>
      </c>
      <c r="N695" s="20" t="s">
        <v>4465</v>
      </c>
      <c r="O695" s="18" t="s">
        <v>2241</v>
      </c>
      <c r="P695" s="18" t="s">
        <v>78</v>
      </c>
      <c r="Q695" s="19">
        <v>44914</v>
      </c>
      <c r="R695" s="21">
        <v>15</v>
      </c>
      <c r="S695" s="18" t="s">
        <v>79</v>
      </c>
      <c r="T695" s="18" t="s">
        <v>174</v>
      </c>
      <c r="U695" s="18" t="s">
        <v>83</v>
      </c>
      <c r="V695" s="18" t="s">
        <v>95</v>
      </c>
      <c r="W695" s="18" t="s">
        <v>95</v>
      </c>
      <c r="X695" s="18" t="s">
        <v>84</v>
      </c>
      <c r="Y695" s="18" t="s">
        <v>85</v>
      </c>
      <c r="Z695" s="18" t="s">
        <v>86</v>
      </c>
      <c r="AA695" s="18" t="s">
        <v>87</v>
      </c>
      <c r="AB695" s="18" t="s">
        <v>369</v>
      </c>
      <c r="AC695" s="18" t="s">
        <v>370</v>
      </c>
      <c r="AD695" s="18" t="s">
        <v>85</v>
      </c>
      <c r="AE695" s="18" t="s">
        <v>90</v>
      </c>
      <c r="AF695" s="18" t="s">
        <v>177</v>
      </c>
      <c r="AG695" s="18" t="s">
        <v>139</v>
      </c>
      <c r="AH695" s="18" t="s">
        <v>165</v>
      </c>
      <c r="AI695" s="18" t="s">
        <v>94</v>
      </c>
      <c r="AJ695" s="19">
        <v>44901</v>
      </c>
      <c r="AK695" s="22" t="s">
        <v>95</v>
      </c>
      <c r="AL695" s="18" t="s">
        <v>95</v>
      </c>
      <c r="AM695" s="18" t="s">
        <v>95</v>
      </c>
      <c r="AN695" s="18" t="s">
        <v>95</v>
      </c>
      <c r="AO695" s="18" t="s">
        <v>95</v>
      </c>
      <c r="AP695" s="18" t="s">
        <v>95</v>
      </c>
      <c r="AQ695" s="18" t="s">
        <v>95</v>
      </c>
      <c r="AR695" s="18" t="s">
        <v>95</v>
      </c>
      <c r="AS695" s="18" t="s">
        <v>83</v>
      </c>
      <c r="AT695" s="18" t="s">
        <v>83</v>
      </c>
      <c r="AU695" s="18" t="s">
        <v>81</v>
      </c>
      <c r="AV695" s="18" t="s">
        <v>95</v>
      </c>
      <c r="AW695" s="18" t="s">
        <v>95</v>
      </c>
      <c r="AX695" s="18"/>
      <c r="AY695" s="18" t="str">
        <f>Pospago[[#This Row],[NUM_TELEFONICO]]&amp;"POSPAGOSI"</f>
        <v>992774560POSPAGOSI</v>
      </c>
      <c r="AZ695" s="18" t="str">
        <f>VLOOKUP(Pospago[[#This Row],[NOM_PLAZA_FINAL]],[1]!Locales[#Data],3,0)</f>
        <v>TIENDA RECREO</v>
      </c>
      <c r="BA695" s="18" t="str">
        <f>IFERROR(VLOOKUP(Pospago[[#This Row],[USUARIO]],[1]!Personal[#Data],6,0),"EJECUTIVO NO REGISTRADO")</f>
        <v>GUAIGUA REINOSO GENESIS CAROLINA</v>
      </c>
      <c r="BB695" s="18" t="str">
        <f>Pospago[[#This Row],[TIPO_MOVIMIENTO]]&amp;" "&amp;Pospago[[#This Row],[FORMA_PAGO_FINAL]]</f>
        <v>TRANSFERENCIAS DOMICILIADO</v>
      </c>
      <c r="BC695" s="18">
        <f>DAY(Pospago[[#This Row],[FECHA_ALTA]])</f>
        <v>6</v>
      </c>
      <c r="BD695" s="18">
        <f>IF(Pospago[[#This Row],[TARIFA_BASICA]]=11.42,1,0)</f>
        <v>0</v>
      </c>
      <c r="BE695" s="18">
        <f>IF(Pospago[[#This Row],[PLANES TELEVENTAS]]="SI",1,0)</f>
        <v>0</v>
      </c>
      <c r="BF695" s="18">
        <f>1</f>
        <v>1</v>
      </c>
      <c r="BG695" s="18">
        <f>IF(OR(Pospago[[#This Row],[TARIFA_BASICA]]=11.42,Pospago[[#This Row],[PLANES TELEVENTAS]]="SI"),1,0)</f>
        <v>0</v>
      </c>
      <c r="BH695" s="18" t="str">
        <f>IF(MID(Pospago[[#This Row],[PlanDesc]],1,4) = "PLAN","POSPAGO",IF(MID(Pospago[[#This Row],[PlanDesc]],1,4)="FULL","FULL MEGAS","PREVIOPAGO"))</f>
        <v>PREVIOPAGO</v>
      </c>
      <c r="BI6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6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5" s="21">
        <f>Pospago[[#This Row],[TARIFA_BASICA]]*1.5</f>
        <v>22.5</v>
      </c>
    </row>
    <row r="696" spans="1:63" x14ac:dyDescent="0.25">
      <c r="A696" s="18" t="s">
        <v>154</v>
      </c>
      <c r="B696" s="18" t="s">
        <v>4466</v>
      </c>
      <c r="C696" s="18" t="s">
        <v>4467</v>
      </c>
      <c r="D696" s="19">
        <v>44898</v>
      </c>
      <c r="E696" s="18" t="s">
        <v>67</v>
      </c>
      <c r="F696" s="18" t="s">
        <v>4468</v>
      </c>
      <c r="G696" s="18" t="s">
        <v>4469</v>
      </c>
      <c r="H696" s="18" t="s">
        <v>159</v>
      </c>
      <c r="I696" s="18" t="s">
        <v>160</v>
      </c>
      <c r="J696" s="18" t="s">
        <v>161</v>
      </c>
      <c r="K696" s="18" t="s">
        <v>132</v>
      </c>
      <c r="L696" s="20" t="s">
        <v>4470</v>
      </c>
      <c r="M696" s="18" t="s">
        <v>75</v>
      </c>
      <c r="N696" s="20" t="s">
        <v>4471</v>
      </c>
      <c r="O696" s="18" t="s">
        <v>164</v>
      </c>
      <c r="P696" s="18" t="s">
        <v>78</v>
      </c>
      <c r="Q696" s="19">
        <v>44914</v>
      </c>
      <c r="R696" s="21">
        <v>14.28</v>
      </c>
      <c r="S696" s="18" t="s">
        <v>79</v>
      </c>
      <c r="T696" s="18" t="s">
        <v>232</v>
      </c>
      <c r="U696" s="18" t="s">
        <v>83</v>
      </c>
      <c r="V696" s="18" t="s">
        <v>95</v>
      </c>
      <c r="W696" s="18" t="s">
        <v>95</v>
      </c>
      <c r="X696" s="18" t="s">
        <v>118</v>
      </c>
      <c r="Y696" s="18" t="s">
        <v>85</v>
      </c>
      <c r="Z696" s="18" t="s">
        <v>86</v>
      </c>
      <c r="AA696" s="18" t="s">
        <v>119</v>
      </c>
      <c r="AB696" s="18" t="s">
        <v>233</v>
      </c>
      <c r="AC696" s="18" t="s">
        <v>234</v>
      </c>
      <c r="AD696" s="18" t="s">
        <v>85</v>
      </c>
      <c r="AE696" s="18" t="s">
        <v>90</v>
      </c>
      <c r="AF696" s="18" t="s">
        <v>235</v>
      </c>
      <c r="AG696" s="18" t="s">
        <v>139</v>
      </c>
      <c r="AH696" s="18" t="s">
        <v>165</v>
      </c>
      <c r="AI696" s="18" t="s">
        <v>94</v>
      </c>
      <c r="AJ696" s="19">
        <v>44898</v>
      </c>
      <c r="AK696" s="22" t="s">
        <v>95</v>
      </c>
      <c r="AL696" s="18" t="s">
        <v>95</v>
      </c>
      <c r="AM696" s="18" t="s">
        <v>95</v>
      </c>
      <c r="AN696" s="18" t="s">
        <v>95</v>
      </c>
      <c r="AO696" s="18" t="s">
        <v>95</v>
      </c>
      <c r="AP696" s="18" t="s">
        <v>95</v>
      </c>
      <c r="AQ696" s="18" t="s">
        <v>95</v>
      </c>
      <c r="AR696" s="18" t="s">
        <v>95</v>
      </c>
      <c r="AS696" s="18" t="s">
        <v>83</v>
      </c>
      <c r="AT696" s="18" t="s">
        <v>83</v>
      </c>
      <c r="AU696" s="18" t="s">
        <v>81</v>
      </c>
      <c r="AV696" s="18" t="s">
        <v>95</v>
      </c>
      <c r="AW696" s="18" t="s">
        <v>95</v>
      </c>
      <c r="AX696" s="18"/>
      <c r="AY696" s="18" t="str">
        <f>Pospago[[#This Row],[NUM_TELEFONICO]]&amp;"POSPAGOSI"</f>
        <v>992779441POSPAGOSI</v>
      </c>
      <c r="AZ696" s="18" t="str">
        <f>VLOOKUP(Pospago[[#This Row],[NOM_PLAZA_FINAL]],[1]!Locales[#Data],3,0)</f>
        <v>TIENDA CONDADO</v>
      </c>
      <c r="BA696" s="18" t="str">
        <f>IFERROR(VLOOKUP(Pospago[[#This Row],[USUARIO]],[1]!Personal[#Data],6,0),"EJECUTIVO NO REGISTRADO")</f>
        <v>ROSALES MALDONADO JESSICA GABRIELA</v>
      </c>
      <c r="BB696" s="18" t="str">
        <f>Pospago[[#This Row],[TIPO_MOVIMIENTO]]&amp;" "&amp;Pospago[[#This Row],[FORMA_PAGO_FINAL]]</f>
        <v>TRANSFERENCIAS PAGO EN CAJA</v>
      </c>
      <c r="BC696" s="18">
        <f>DAY(Pospago[[#This Row],[FECHA_ALTA]])</f>
        <v>3</v>
      </c>
      <c r="BD696" s="18">
        <f>IF(Pospago[[#This Row],[TARIFA_BASICA]]=11.42,1,0)</f>
        <v>0</v>
      </c>
      <c r="BE696" s="18">
        <f>IF(Pospago[[#This Row],[PLANES TELEVENTAS]]="SI",1,0)</f>
        <v>0</v>
      </c>
      <c r="BF696" s="18">
        <f>1</f>
        <v>1</v>
      </c>
      <c r="BG696" s="18">
        <f>IF(OR(Pospago[[#This Row],[TARIFA_BASICA]]=11.42,Pospago[[#This Row],[PLANES TELEVENTAS]]="SI"),1,0)</f>
        <v>0</v>
      </c>
      <c r="BH696" s="18" t="str">
        <f>IF(MID(Pospago[[#This Row],[PlanDesc]],1,4) = "PLAN","POSPAGO",IF(MID(Pospago[[#This Row],[PlanDesc]],1,4)="FULL","FULL MEGAS","PREVIOPAGO"))</f>
        <v>PREVIOPAGO</v>
      </c>
      <c r="BI6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6" s="21">
        <f>Pospago[[#This Row],[TARIFA_BASICA]]*1.5</f>
        <v>21.419999999999998</v>
      </c>
    </row>
    <row r="697" spans="1:63" x14ac:dyDescent="0.25">
      <c r="A697" s="18" t="s">
        <v>64</v>
      </c>
      <c r="B697" s="18" t="s">
        <v>4472</v>
      </c>
      <c r="C697" s="18" t="s">
        <v>4473</v>
      </c>
      <c r="D697" s="19">
        <v>44911</v>
      </c>
      <c r="E697" s="18" t="s">
        <v>67</v>
      </c>
      <c r="F697" s="18" t="s">
        <v>4474</v>
      </c>
      <c r="G697" s="18" t="s">
        <v>4475</v>
      </c>
      <c r="H697" s="18" t="s">
        <v>70</v>
      </c>
      <c r="I697" s="18" t="s">
        <v>194</v>
      </c>
      <c r="J697" s="18" t="s">
        <v>195</v>
      </c>
      <c r="K697" s="18" t="s">
        <v>132</v>
      </c>
      <c r="L697" s="20" t="s">
        <v>4476</v>
      </c>
      <c r="M697" s="18" t="s">
        <v>75</v>
      </c>
      <c r="N697" s="20" t="s">
        <v>4477</v>
      </c>
      <c r="O697" s="18" t="s">
        <v>77</v>
      </c>
      <c r="P697" s="18" t="s">
        <v>78</v>
      </c>
      <c r="Q697" s="19">
        <v>44914</v>
      </c>
      <c r="R697" s="21">
        <v>14.28</v>
      </c>
      <c r="S697" s="18" t="s">
        <v>79</v>
      </c>
      <c r="T697" s="18" t="s">
        <v>232</v>
      </c>
      <c r="U697" s="18" t="s">
        <v>83</v>
      </c>
      <c r="V697" s="18" t="s">
        <v>95</v>
      </c>
      <c r="W697" s="18" t="s">
        <v>83</v>
      </c>
      <c r="X697" s="18" t="s">
        <v>118</v>
      </c>
      <c r="Y697" s="18" t="s">
        <v>85</v>
      </c>
      <c r="Z697" s="18" t="s">
        <v>86</v>
      </c>
      <c r="AA697" s="18" t="s">
        <v>119</v>
      </c>
      <c r="AB697" s="18" t="s">
        <v>280</v>
      </c>
      <c r="AC697" s="18" t="s">
        <v>281</v>
      </c>
      <c r="AD697" s="18" t="s">
        <v>85</v>
      </c>
      <c r="AE697" s="18" t="s">
        <v>90</v>
      </c>
      <c r="AF697" s="18" t="s">
        <v>235</v>
      </c>
      <c r="AG697" s="18" t="s">
        <v>139</v>
      </c>
      <c r="AH697" s="18" t="s">
        <v>93</v>
      </c>
      <c r="AI697" s="18" t="s">
        <v>94</v>
      </c>
      <c r="AJ697" s="19">
        <v>44911</v>
      </c>
      <c r="AK697" s="22" t="s">
        <v>95</v>
      </c>
      <c r="AL697" s="18" t="s">
        <v>95</v>
      </c>
      <c r="AM697" s="18" t="s">
        <v>95</v>
      </c>
      <c r="AN697" s="18" t="s">
        <v>95</v>
      </c>
      <c r="AO697" s="18" t="s">
        <v>95</v>
      </c>
      <c r="AP697" s="18" t="s">
        <v>95</v>
      </c>
      <c r="AQ697" s="18" t="s">
        <v>95</v>
      </c>
      <c r="AR697" s="18" t="s">
        <v>95</v>
      </c>
      <c r="AS697" s="18" t="s">
        <v>83</v>
      </c>
      <c r="AT697" s="18" t="s">
        <v>81</v>
      </c>
      <c r="AU697" s="18" t="s">
        <v>81</v>
      </c>
      <c r="AV697" s="18" t="s">
        <v>95</v>
      </c>
      <c r="AW697" s="18" t="s">
        <v>95</v>
      </c>
      <c r="AX697" s="18"/>
      <c r="AY697" s="18" t="str">
        <f>Pospago[[#This Row],[NUM_TELEFONICO]]&amp;"POSPAGOSI"</f>
        <v>992780305POSPAGOSI</v>
      </c>
      <c r="AZ697" s="18" t="str">
        <f>VLOOKUP(Pospago[[#This Row],[NOM_PLAZA_FINAL]],[1]!Locales[#Data],3,0)</f>
        <v>TIENDA CONDADO</v>
      </c>
      <c r="BA697" s="18" t="str">
        <f>IFERROR(VLOOKUP(Pospago[[#This Row],[USUARIO]],[1]!Personal[#Data],6,0),"EJECUTIVO NO REGISTRADO")</f>
        <v>GUACHAMIN CAZA HUGO ADRIAN</v>
      </c>
      <c r="BB697" s="18" t="str">
        <f>Pospago[[#This Row],[TIPO_MOVIMIENTO]]&amp;" "&amp;Pospago[[#This Row],[FORMA_PAGO_FINAL]]</f>
        <v>ALTAS PAGO EN CAJA</v>
      </c>
      <c r="BC697" s="18">
        <f>DAY(Pospago[[#This Row],[FECHA_ALTA]])</f>
        <v>16</v>
      </c>
      <c r="BD697" s="18">
        <f>IF(Pospago[[#This Row],[TARIFA_BASICA]]=11.42,1,0)</f>
        <v>0</v>
      </c>
      <c r="BE697" s="18">
        <f>IF(Pospago[[#This Row],[PLANES TELEVENTAS]]="SI",1,0)</f>
        <v>1</v>
      </c>
      <c r="BF697" s="18">
        <f>1</f>
        <v>1</v>
      </c>
      <c r="BG697" s="18">
        <f>IF(OR(Pospago[[#This Row],[TARIFA_BASICA]]=11.42,Pospago[[#This Row],[PLANES TELEVENTAS]]="SI"),1,0)</f>
        <v>1</v>
      </c>
      <c r="BH697" s="18" t="str">
        <f>IF(MID(Pospago[[#This Row],[PlanDesc]],1,4) = "PLAN","POSPAGO",IF(MID(Pospago[[#This Row],[PlanDesc]],1,4)="FULL","FULL MEGAS","PREVIOPAGO"))</f>
        <v>PREVIOPAGO</v>
      </c>
      <c r="BI6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6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7" s="21">
        <f>Pospago[[#This Row],[TARIFA_BASICA]]*1.5</f>
        <v>21.419999999999998</v>
      </c>
    </row>
    <row r="698" spans="1:63" x14ac:dyDescent="0.25">
      <c r="A698" s="18" t="s">
        <v>154</v>
      </c>
      <c r="B698" s="18" t="s">
        <v>4478</v>
      </c>
      <c r="C698" s="18" t="s">
        <v>4479</v>
      </c>
      <c r="D698" s="19">
        <v>44907</v>
      </c>
      <c r="E698" s="18" t="s">
        <v>67</v>
      </c>
      <c r="F698" s="18" t="s">
        <v>4480</v>
      </c>
      <c r="G698" s="18" t="s">
        <v>4481</v>
      </c>
      <c r="H698" s="18" t="s">
        <v>159</v>
      </c>
      <c r="I698" s="18" t="s">
        <v>160</v>
      </c>
      <c r="J698" s="18" t="s">
        <v>161</v>
      </c>
      <c r="K698" s="18" t="s">
        <v>73</v>
      </c>
      <c r="L698" s="20" t="s">
        <v>4482</v>
      </c>
      <c r="M698" s="18" t="s">
        <v>75</v>
      </c>
      <c r="N698" s="20" t="s">
        <v>4483</v>
      </c>
      <c r="O698" s="18" t="s">
        <v>164</v>
      </c>
      <c r="P698" s="18" t="s">
        <v>78</v>
      </c>
      <c r="Q698" s="19">
        <v>44914</v>
      </c>
      <c r="R698" s="21">
        <v>14.28</v>
      </c>
      <c r="S698" s="18" t="s">
        <v>79</v>
      </c>
      <c r="T698" s="18" t="s">
        <v>174</v>
      </c>
      <c r="U698" s="18" t="s">
        <v>83</v>
      </c>
      <c r="V698" s="18" t="s">
        <v>95</v>
      </c>
      <c r="W698" s="18" t="s">
        <v>95</v>
      </c>
      <c r="X698" s="18" t="s">
        <v>118</v>
      </c>
      <c r="Y698" s="18" t="s">
        <v>85</v>
      </c>
      <c r="Z698" s="18" t="s">
        <v>86</v>
      </c>
      <c r="AA698" s="18" t="s">
        <v>119</v>
      </c>
      <c r="AB698" s="18" t="s">
        <v>251</v>
      </c>
      <c r="AC698" s="18" t="s">
        <v>252</v>
      </c>
      <c r="AD698" s="18" t="s">
        <v>85</v>
      </c>
      <c r="AE698" s="18" t="s">
        <v>90</v>
      </c>
      <c r="AF698" s="18" t="s">
        <v>177</v>
      </c>
      <c r="AG698" s="18" t="s">
        <v>139</v>
      </c>
      <c r="AH698" s="18" t="s">
        <v>165</v>
      </c>
      <c r="AI698" s="18" t="s">
        <v>94</v>
      </c>
      <c r="AJ698" s="19">
        <v>44907</v>
      </c>
      <c r="AK698" s="22" t="s">
        <v>95</v>
      </c>
      <c r="AL698" s="18" t="s">
        <v>95</v>
      </c>
      <c r="AM698" s="18" t="s">
        <v>95</v>
      </c>
      <c r="AN698" s="18" t="s">
        <v>95</v>
      </c>
      <c r="AO698" s="18" t="s">
        <v>95</v>
      </c>
      <c r="AP698" s="18" t="s">
        <v>95</v>
      </c>
      <c r="AQ698" s="18" t="s">
        <v>95</v>
      </c>
      <c r="AR698" s="18" t="s">
        <v>95</v>
      </c>
      <c r="AS698" s="18" t="s">
        <v>83</v>
      </c>
      <c r="AT698" s="18" t="s">
        <v>83</v>
      </c>
      <c r="AU698" s="18" t="s">
        <v>81</v>
      </c>
      <c r="AV698" s="18" t="s">
        <v>95</v>
      </c>
      <c r="AW698" s="18" t="s">
        <v>95</v>
      </c>
      <c r="AX698" s="18"/>
      <c r="AY698" s="18" t="str">
        <f>Pospago[[#This Row],[NUM_TELEFONICO]]&amp;"POSPAGOSI"</f>
        <v>992795223POSPAGOSI</v>
      </c>
      <c r="AZ698" s="18" t="str">
        <f>VLOOKUP(Pospago[[#This Row],[NOM_PLAZA_FINAL]],[1]!Locales[#Data],3,0)</f>
        <v>TIENDA RECREO</v>
      </c>
      <c r="BA698" s="18" t="str">
        <f>IFERROR(VLOOKUP(Pospago[[#This Row],[USUARIO]],[1]!Personal[#Data],6,0),"EJECUTIVO NO REGISTRADO")</f>
        <v>CRUZ MONTUFAR KATHERINE ALEJANDRA</v>
      </c>
      <c r="BB698" s="18" t="str">
        <f>Pospago[[#This Row],[TIPO_MOVIMIENTO]]&amp;" "&amp;Pospago[[#This Row],[FORMA_PAGO_FINAL]]</f>
        <v>TRANSFERENCIAS PAGO EN CAJA</v>
      </c>
      <c r="BC698" s="18">
        <f>DAY(Pospago[[#This Row],[FECHA_ALTA]])</f>
        <v>12</v>
      </c>
      <c r="BD698" s="18">
        <f>IF(Pospago[[#This Row],[TARIFA_BASICA]]=11.42,1,0)</f>
        <v>0</v>
      </c>
      <c r="BE698" s="18">
        <f>IF(Pospago[[#This Row],[PLANES TELEVENTAS]]="SI",1,0)</f>
        <v>0</v>
      </c>
      <c r="BF698" s="18">
        <f>1</f>
        <v>1</v>
      </c>
      <c r="BG698" s="18">
        <f>IF(OR(Pospago[[#This Row],[TARIFA_BASICA]]=11.42,Pospago[[#This Row],[PLANES TELEVENTAS]]="SI"),1,0)</f>
        <v>0</v>
      </c>
      <c r="BH698" s="18" t="str">
        <f>IF(MID(Pospago[[#This Row],[PlanDesc]],1,4) = "PLAN","POSPAGO",IF(MID(Pospago[[#This Row],[PlanDesc]],1,4)="FULL","FULL MEGAS","PREVIOPAGO"))</f>
        <v>PREVIOPAGO</v>
      </c>
      <c r="BI6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6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8" s="21">
        <f>Pospago[[#This Row],[TARIFA_BASICA]]*1.5</f>
        <v>21.419999999999998</v>
      </c>
    </row>
    <row r="699" spans="1:63" x14ac:dyDescent="0.25">
      <c r="A699" s="18" t="s">
        <v>154</v>
      </c>
      <c r="B699" s="18" t="s">
        <v>4484</v>
      </c>
      <c r="C699" s="18" t="s">
        <v>4485</v>
      </c>
      <c r="D699" s="19">
        <v>44896</v>
      </c>
      <c r="E699" s="18" t="s">
        <v>67</v>
      </c>
      <c r="F699" s="18" t="s">
        <v>4486</v>
      </c>
      <c r="G699" s="18" t="s">
        <v>4487</v>
      </c>
      <c r="H699" s="18" t="s">
        <v>159</v>
      </c>
      <c r="I699" s="18" t="s">
        <v>130</v>
      </c>
      <c r="J699" s="18" t="s">
        <v>433</v>
      </c>
      <c r="K699" s="18" t="s">
        <v>132</v>
      </c>
      <c r="L699" s="20" t="s">
        <v>4488</v>
      </c>
      <c r="M699" s="18" t="s">
        <v>75</v>
      </c>
      <c r="N699" s="20" t="s">
        <v>4489</v>
      </c>
      <c r="O699" s="18" t="s">
        <v>164</v>
      </c>
      <c r="P699" s="18" t="s">
        <v>78</v>
      </c>
      <c r="Q699" s="19">
        <v>44914</v>
      </c>
      <c r="R699" s="21">
        <v>15</v>
      </c>
      <c r="S699" s="18" t="s">
        <v>79</v>
      </c>
      <c r="T699" s="18" t="s">
        <v>174</v>
      </c>
      <c r="U699" s="18" t="s">
        <v>83</v>
      </c>
      <c r="V699" s="18" t="s">
        <v>95</v>
      </c>
      <c r="W699" s="18" t="s">
        <v>95</v>
      </c>
      <c r="X699" s="18" t="s">
        <v>84</v>
      </c>
      <c r="Y699" s="18" t="s">
        <v>85</v>
      </c>
      <c r="Z699" s="18" t="s">
        <v>86</v>
      </c>
      <c r="AA699" s="18" t="s">
        <v>87</v>
      </c>
      <c r="AB699" s="18" t="s">
        <v>926</v>
      </c>
      <c r="AC699" s="18" t="s">
        <v>927</v>
      </c>
      <c r="AD699" s="18" t="s">
        <v>85</v>
      </c>
      <c r="AE699" s="18" t="s">
        <v>90</v>
      </c>
      <c r="AF699" s="18" t="s">
        <v>177</v>
      </c>
      <c r="AG699" s="18" t="s">
        <v>139</v>
      </c>
      <c r="AH699" s="18" t="s">
        <v>165</v>
      </c>
      <c r="AI699" s="18" t="s">
        <v>94</v>
      </c>
      <c r="AJ699" s="19">
        <v>44896</v>
      </c>
      <c r="AK699" s="22" t="s">
        <v>95</v>
      </c>
      <c r="AL699" s="18" t="s">
        <v>95</v>
      </c>
      <c r="AM699" s="18" t="s">
        <v>95</v>
      </c>
      <c r="AN699" s="18" t="s">
        <v>95</v>
      </c>
      <c r="AO699" s="18" t="s">
        <v>95</v>
      </c>
      <c r="AP699" s="18" t="s">
        <v>95</v>
      </c>
      <c r="AQ699" s="18" t="s">
        <v>95</v>
      </c>
      <c r="AR699" s="18" t="s">
        <v>95</v>
      </c>
      <c r="AS699" s="18" t="s">
        <v>83</v>
      </c>
      <c r="AT699" s="18" t="s">
        <v>83</v>
      </c>
      <c r="AU699" s="18" t="s">
        <v>81</v>
      </c>
      <c r="AV699" s="18" t="s">
        <v>95</v>
      </c>
      <c r="AW699" s="18" t="s">
        <v>95</v>
      </c>
      <c r="AX699" s="18"/>
      <c r="AY699" s="18" t="str">
        <f>Pospago[[#This Row],[NUM_TELEFONICO]]&amp;"POSPAGOSI"</f>
        <v>992797905POSPAGOSI</v>
      </c>
      <c r="AZ699" s="18" t="str">
        <f>VLOOKUP(Pospago[[#This Row],[NOM_PLAZA_FINAL]],[1]!Locales[#Data],3,0)</f>
        <v>TIENDA RECREO</v>
      </c>
      <c r="BA699" s="18" t="str">
        <f>IFERROR(VLOOKUP(Pospago[[#This Row],[USUARIO]],[1]!Personal[#Data],6,0),"EJECUTIVO NO REGISTRADO")</f>
        <v>CABEZAS LOPEZ ROBERTO ALEJANDRO</v>
      </c>
      <c r="BB699" s="18" t="str">
        <f>Pospago[[#This Row],[TIPO_MOVIMIENTO]]&amp;" "&amp;Pospago[[#This Row],[FORMA_PAGO_FINAL]]</f>
        <v>TRANSFERENCIAS DOMICILIADO</v>
      </c>
      <c r="BC699" s="18">
        <f>DAY(Pospago[[#This Row],[FECHA_ALTA]])</f>
        <v>1</v>
      </c>
      <c r="BD699" s="18">
        <f>IF(Pospago[[#This Row],[TARIFA_BASICA]]=11.42,1,0)</f>
        <v>0</v>
      </c>
      <c r="BE699" s="18">
        <f>IF(Pospago[[#This Row],[PLANES TELEVENTAS]]="SI",1,0)</f>
        <v>0</v>
      </c>
      <c r="BF699" s="18">
        <f>1</f>
        <v>1</v>
      </c>
      <c r="BG699" s="18">
        <f>IF(OR(Pospago[[#This Row],[TARIFA_BASICA]]=11.42,Pospago[[#This Row],[PLANES TELEVENTAS]]="SI"),1,0)</f>
        <v>0</v>
      </c>
      <c r="BH699" s="18" t="str">
        <f>IF(MID(Pospago[[#This Row],[PlanDesc]],1,4) = "PLAN","POSPAGO",IF(MID(Pospago[[#This Row],[PlanDesc]],1,4)="FULL","FULL MEGAS","PREVIOPAGO"))</f>
        <v>PREVIOPAGO</v>
      </c>
      <c r="BI6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6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699" s="21">
        <f>Pospago[[#This Row],[TARIFA_BASICA]]*1.5</f>
        <v>22.5</v>
      </c>
    </row>
    <row r="700" spans="1:63" x14ac:dyDescent="0.25">
      <c r="A700" s="18" t="s">
        <v>154</v>
      </c>
      <c r="B700" s="18" t="s">
        <v>4490</v>
      </c>
      <c r="C700" s="18" t="s">
        <v>4491</v>
      </c>
      <c r="D700" s="19">
        <v>44913</v>
      </c>
      <c r="E700" s="18" t="s">
        <v>67</v>
      </c>
      <c r="F700" s="18" t="s">
        <v>4492</v>
      </c>
      <c r="G700" s="18" t="s">
        <v>4493</v>
      </c>
      <c r="H700" s="18" t="s">
        <v>159</v>
      </c>
      <c r="I700" s="18" t="s">
        <v>1357</v>
      </c>
      <c r="J700" s="18" t="s">
        <v>2022</v>
      </c>
      <c r="K700" s="18" t="s">
        <v>132</v>
      </c>
      <c r="L700" s="20" t="s">
        <v>4494</v>
      </c>
      <c r="M700" s="18" t="s">
        <v>75</v>
      </c>
      <c r="N700" s="20" t="s">
        <v>4495</v>
      </c>
      <c r="O700" s="18" t="s">
        <v>164</v>
      </c>
      <c r="P700" s="18" t="s">
        <v>78</v>
      </c>
      <c r="Q700" s="19">
        <v>44914</v>
      </c>
      <c r="R700" s="21">
        <v>11.42</v>
      </c>
      <c r="S700" s="18" t="s">
        <v>79</v>
      </c>
      <c r="T700" s="18" t="s">
        <v>174</v>
      </c>
      <c r="U700" s="18" t="s">
        <v>83</v>
      </c>
      <c r="V700" s="18" t="s">
        <v>95</v>
      </c>
      <c r="W700" s="18" t="s">
        <v>95</v>
      </c>
      <c r="X700" s="18" t="s">
        <v>118</v>
      </c>
      <c r="Y700" s="18" t="s">
        <v>85</v>
      </c>
      <c r="Z700" s="18" t="s">
        <v>86</v>
      </c>
      <c r="AA700" s="18" t="s">
        <v>119</v>
      </c>
      <c r="AB700" s="18" t="s">
        <v>492</v>
      </c>
      <c r="AC700" s="18" t="s">
        <v>493</v>
      </c>
      <c r="AD700" s="18" t="s">
        <v>85</v>
      </c>
      <c r="AE700" s="18" t="s">
        <v>90</v>
      </c>
      <c r="AF700" s="18" t="s">
        <v>177</v>
      </c>
      <c r="AG700" s="18" t="s">
        <v>139</v>
      </c>
      <c r="AH700" s="18" t="s">
        <v>165</v>
      </c>
      <c r="AI700" s="18" t="s">
        <v>94</v>
      </c>
      <c r="AJ700" s="19">
        <v>44913</v>
      </c>
      <c r="AK700" s="22" t="s">
        <v>95</v>
      </c>
      <c r="AL700" s="18" t="s">
        <v>95</v>
      </c>
      <c r="AM700" s="18" t="s">
        <v>95</v>
      </c>
      <c r="AN700" s="18" t="s">
        <v>95</v>
      </c>
      <c r="AO700" s="18" t="s">
        <v>95</v>
      </c>
      <c r="AP700" s="18" t="s">
        <v>95</v>
      </c>
      <c r="AQ700" s="18" t="s">
        <v>95</v>
      </c>
      <c r="AR700" s="18" t="s">
        <v>95</v>
      </c>
      <c r="AS700" s="18" t="s">
        <v>83</v>
      </c>
      <c r="AT700" s="18" t="s">
        <v>81</v>
      </c>
      <c r="AU700" s="18" t="s">
        <v>81</v>
      </c>
      <c r="AV700" s="18" t="s">
        <v>95</v>
      </c>
      <c r="AW700" s="18" t="s">
        <v>95</v>
      </c>
      <c r="AX700" s="18"/>
      <c r="AY700" s="18" t="str">
        <f>Pospago[[#This Row],[NUM_TELEFONICO]]&amp;"POSPAGOSI"</f>
        <v>992804393POSPAGOSI</v>
      </c>
      <c r="AZ700" s="18" t="str">
        <f>VLOOKUP(Pospago[[#This Row],[NOM_PLAZA_FINAL]],[1]!Locales[#Data],3,0)</f>
        <v>TIENDA RECREO</v>
      </c>
      <c r="BA700" s="18" t="str">
        <f>IFERROR(VLOOKUP(Pospago[[#This Row],[USUARIO]],[1]!Personal[#Data],6,0),"EJECUTIVO NO REGISTRADO")</f>
        <v>CONDO GARCIA NICOLAS MATIAS</v>
      </c>
      <c r="BB700" s="18" t="str">
        <f>Pospago[[#This Row],[TIPO_MOVIMIENTO]]&amp;" "&amp;Pospago[[#This Row],[FORMA_PAGO_FINAL]]</f>
        <v>TRANSFERENCIAS PAGO EN CAJA</v>
      </c>
      <c r="BC700" s="18">
        <f>DAY(Pospago[[#This Row],[FECHA_ALTA]])</f>
        <v>18</v>
      </c>
      <c r="BD700" s="18">
        <f>IF(Pospago[[#This Row],[TARIFA_BASICA]]=11.42,1,0)</f>
        <v>1</v>
      </c>
      <c r="BE700" s="18">
        <f>IF(Pospago[[#This Row],[PLANES TELEVENTAS]]="SI",1,0)</f>
        <v>1</v>
      </c>
      <c r="BF700" s="18">
        <f>1</f>
        <v>1</v>
      </c>
      <c r="BG700" s="18">
        <f>IF(OR(Pospago[[#This Row],[TARIFA_BASICA]]=11.42,Pospago[[#This Row],[PLANES TELEVENTAS]]="SI"),1,0)</f>
        <v>1</v>
      </c>
      <c r="BH700" s="18" t="str">
        <f>IF(MID(Pospago[[#This Row],[PlanDesc]],1,4) = "PLAN","POSPAGO",IF(MID(Pospago[[#This Row],[PlanDesc]],1,4)="FULL","FULL MEGAS","PREVIOPAGO"))</f>
        <v>PREVIOPAGO</v>
      </c>
      <c r="BI7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7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00" s="21">
        <f>Pospago[[#This Row],[TARIFA_BASICA]]*1.5</f>
        <v>17.13</v>
      </c>
    </row>
    <row r="701" spans="1:63" x14ac:dyDescent="0.25">
      <c r="A701" s="18" t="s">
        <v>154</v>
      </c>
      <c r="B701" s="18" t="s">
        <v>4496</v>
      </c>
      <c r="C701" s="18" t="s">
        <v>4497</v>
      </c>
      <c r="D701" s="19">
        <v>44906</v>
      </c>
      <c r="E701" s="18" t="s">
        <v>67</v>
      </c>
      <c r="F701" s="18" t="s">
        <v>4498</v>
      </c>
      <c r="G701" s="18" t="s">
        <v>4499</v>
      </c>
      <c r="H701" s="18" t="s">
        <v>159</v>
      </c>
      <c r="I701" s="18" t="s">
        <v>160</v>
      </c>
      <c r="J701" s="18" t="s">
        <v>161</v>
      </c>
      <c r="K701" s="18" t="s">
        <v>95</v>
      </c>
      <c r="L701" s="20" t="s">
        <v>4500</v>
      </c>
      <c r="M701" s="18" t="s">
        <v>75</v>
      </c>
      <c r="N701" s="20" t="s">
        <v>4501</v>
      </c>
      <c r="O701" s="18" t="s">
        <v>164</v>
      </c>
      <c r="P701" s="18" t="s">
        <v>78</v>
      </c>
      <c r="Q701" s="19">
        <v>44914</v>
      </c>
      <c r="R701" s="21">
        <v>14.28</v>
      </c>
      <c r="S701" s="18" t="s">
        <v>79</v>
      </c>
      <c r="T701" s="18" t="s">
        <v>174</v>
      </c>
      <c r="U701" s="18" t="s">
        <v>83</v>
      </c>
      <c r="V701" s="18" t="s">
        <v>95</v>
      </c>
      <c r="W701" s="18" t="s">
        <v>95</v>
      </c>
      <c r="X701" s="18" t="s">
        <v>118</v>
      </c>
      <c r="Y701" s="18" t="s">
        <v>85</v>
      </c>
      <c r="Z701" s="18" t="s">
        <v>86</v>
      </c>
      <c r="AA701" s="18" t="s">
        <v>119</v>
      </c>
      <c r="AB701" s="18" t="s">
        <v>369</v>
      </c>
      <c r="AC701" s="18" t="s">
        <v>370</v>
      </c>
      <c r="AD701" s="18" t="s">
        <v>85</v>
      </c>
      <c r="AE701" s="18" t="s">
        <v>90</v>
      </c>
      <c r="AF701" s="18" t="s">
        <v>177</v>
      </c>
      <c r="AG701" s="18" t="s">
        <v>139</v>
      </c>
      <c r="AH701" s="18" t="s">
        <v>165</v>
      </c>
      <c r="AI701" s="18" t="s">
        <v>94</v>
      </c>
      <c r="AJ701" s="19">
        <v>44906</v>
      </c>
      <c r="AK701" s="22" t="s">
        <v>95</v>
      </c>
      <c r="AL701" s="18" t="s">
        <v>95</v>
      </c>
      <c r="AM701" s="18" t="s">
        <v>95</v>
      </c>
      <c r="AN701" s="18" t="s">
        <v>95</v>
      </c>
      <c r="AO701" s="18" t="s">
        <v>95</v>
      </c>
      <c r="AP701" s="18" t="s">
        <v>95</v>
      </c>
      <c r="AQ701" s="18" t="s">
        <v>95</v>
      </c>
      <c r="AR701" s="18" t="s">
        <v>95</v>
      </c>
      <c r="AS701" s="18" t="s">
        <v>83</v>
      </c>
      <c r="AT701" s="18" t="s">
        <v>83</v>
      </c>
      <c r="AU701" s="18" t="s">
        <v>81</v>
      </c>
      <c r="AV701" s="18" t="s">
        <v>95</v>
      </c>
      <c r="AW701" s="18" t="s">
        <v>95</v>
      </c>
      <c r="AX701" s="18"/>
      <c r="AY701" s="18" t="str">
        <f>Pospago[[#This Row],[NUM_TELEFONICO]]&amp;"POSPAGOSI"</f>
        <v>992807224POSPAGOSI</v>
      </c>
      <c r="AZ701" s="18" t="str">
        <f>VLOOKUP(Pospago[[#This Row],[NOM_PLAZA_FINAL]],[1]!Locales[#Data],3,0)</f>
        <v>TIENDA RECREO</v>
      </c>
      <c r="BA701" s="18" t="str">
        <f>IFERROR(VLOOKUP(Pospago[[#This Row],[USUARIO]],[1]!Personal[#Data],6,0),"EJECUTIVO NO REGISTRADO")</f>
        <v>GUAIGUA REINOSO GENESIS CAROLINA</v>
      </c>
      <c r="BB701" s="18" t="str">
        <f>Pospago[[#This Row],[TIPO_MOVIMIENTO]]&amp;" "&amp;Pospago[[#This Row],[FORMA_PAGO_FINAL]]</f>
        <v>TRANSFERENCIAS PAGO EN CAJA</v>
      </c>
      <c r="BC701" s="18">
        <f>DAY(Pospago[[#This Row],[FECHA_ALTA]])</f>
        <v>11</v>
      </c>
      <c r="BD701" s="18">
        <f>IF(Pospago[[#This Row],[TARIFA_BASICA]]=11.42,1,0)</f>
        <v>0</v>
      </c>
      <c r="BE701" s="18">
        <f>IF(Pospago[[#This Row],[PLANES TELEVENTAS]]="SI",1,0)</f>
        <v>0</v>
      </c>
      <c r="BF701" s="18">
        <f>1</f>
        <v>1</v>
      </c>
      <c r="BG701" s="18">
        <f>IF(OR(Pospago[[#This Row],[TARIFA_BASICA]]=11.42,Pospago[[#This Row],[PLANES TELEVENTAS]]="SI"),1,0)</f>
        <v>0</v>
      </c>
      <c r="BH701" s="18" t="str">
        <f>IF(MID(Pospago[[#This Row],[PlanDesc]],1,4) = "PLAN","POSPAGO",IF(MID(Pospago[[#This Row],[PlanDesc]],1,4)="FULL","FULL MEGAS","PREVIOPAGO"))</f>
        <v>PREVIOPAGO</v>
      </c>
      <c r="BI7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01" s="21">
        <f>Pospago[[#This Row],[TARIFA_BASICA]]*1.5</f>
        <v>21.419999999999998</v>
      </c>
    </row>
    <row r="702" spans="1:63" x14ac:dyDescent="0.25">
      <c r="A702" s="18" t="s">
        <v>154</v>
      </c>
      <c r="B702" s="18" t="s">
        <v>4502</v>
      </c>
      <c r="C702" s="18" t="s">
        <v>4503</v>
      </c>
      <c r="D702" s="19">
        <v>44899</v>
      </c>
      <c r="E702" s="18" t="s">
        <v>67</v>
      </c>
      <c r="F702" s="18" t="s">
        <v>4504</v>
      </c>
      <c r="G702" s="18" t="s">
        <v>4505</v>
      </c>
      <c r="H702" s="18" t="s">
        <v>159</v>
      </c>
      <c r="I702" s="18" t="s">
        <v>160</v>
      </c>
      <c r="J702" s="18" t="s">
        <v>161</v>
      </c>
      <c r="K702" s="18" t="s">
        <v>73</v>
      </c>
      <c r="L702" s="20" t="s">
        <v>4506</v>
      </c>
      <c r="M702" s="18" t="s">
        <v>75</v>
      </c>
      <c r="N702" s="20" t="s">
        <v>4507</v>
      </c>
      <c r="O702" s="18" t="s">
        <v>164</v>
      </c>
      <c r="P702" s="18" t="s">
        <v>78</v>
      </c>
      <c r="Q702" s="19">
        <v>44914</v>
      </c>
      <c r="R702" s="21">
        <v>14.28</v>
      </c>
      <c r="S702" s="18" t="s">
        <v>79</v>
      </c>
      <c r="T702" s="18" t="s">
        <v>174</v>
      </c>
      <c r="U702" s="18" t="s">
        <v>83</v>
      </c>
      <c r="V702" s="18" t="s">
        <v>95</v>
      </c>
      <c r="W702" s="18" t="s">
        <v>95</v>
      </c>
      <c r="X702" s="18" t="s">
        <v>118</v>
      </c>
      <c r="Y702" s="18" t="s">
        <v>85</v>
      </c>
      <c r="Z702" s="18" t="s">
        <v>86</v>
      </c>
      <c r="AA702" s="18" t="s">
        <v>119</v>
      </c>
      <c r="AB702" s="18" t="s">
        <v>630</v>
      </c>
      <c r="AC702" s="18" t="s">
        <v>631</v>
      </c>
      <c r="AD702" s="18" t="s">
        <v>85</v>
      </c>
      <c r="AE702" s="18" t="s">
        <v>90</v>
      </c>
      <c r="AF702" s="18" t="s">
        <v>177</v>
      </c>
      <c r="AG702" s="18" t="s">
        <v>139</v>
      </c>
      <c r="AH702" s="18" t="s">
        <v>165</v>
      </c>
      <c r="AI702" s="18" t="s">
        <v>94</v>
      </c>
      <c r="AJ702" s="19">
        <v>44899</v>
      </c>
      <c r="AK702" s="22" t="s">
        <v>95</v>
      </c>
      <c r="AL702" s="18" t="s">
        <v>95</v>
      </c>
      <c r="AM702" s="18" t="s">
        <v>95</v>
      </c>
      <c r="AN702" s="18" t="s">
        <v>95</v>
      </c>
      <c r="AO702" s="18" t="s">
        <v>95</v>
      </c>
      <c r="AP702" s="18" t="s">
        <v>95</v>
      </c>
      <c r="AQ702" s="18" t="s">
        <v>95</v>
      </c>
      <c r="AR702" s="18" t="s">
        <v>95</v>
      </c>
      <c r="AS702" s="18" t="s">
        <v>83</v>
      </c>
      <c r="AT702" s="18" t="s">
        <v>83</v>
      </c>
      <c r="AU702" s="18" t="s">
        <v>81</v>
      </c>
      <c r="AV702" s="18" t="s">
        <v>95</v>
      </c>
      <c r="AW702" s="18" t="s">
        <v>95</v>
      </c>
      <c r="AX702" s="18"/>
      <c r="AY702" s="18" t="str">
        <f>Pospago[[#This Row],[NUM_TELEFONICO]]&amp;"POSPAGOSI"</f>
        <v>992815366POSPAGOSI</v>
      </c>
      <c r="AZ702" s="18" t="str">
        <f>VLOOKUP(Pospago[[#This Row],[NOM_PLAZA_FINAL]],[1]!Locales[#Data],3,0)</f>
        <v>TIENDA RECREO</v>
      </c>
      <c r="BA702" s="18" t="str">
        <f>IFERROR(VLOOKUP(Pospago[[#This Row],[USUARIO]],[1]!Personal[#Data],6,0),"EJECUTIVO NO REGISTRADO")</f>
        <v>LOAYZA AGUILAR JONATHAN FABIAN</v>
      </c>
      <c r="BB702" s="18" t="str">
        <f>Pospago[[#This Row],[TIPO_MOVIMIENTO]]&amp;" "&amp;Pospago[[#This Row],[FORMA_PAGO_FINAL]]</f>
        <v>TRANSFERENCIAS PAGO EN CAJA</v>
      </c>
      <c r="BC702" s="18">
        <f>DAY(Pospago[[#This Row],[FECHA_ALTA]])</f>
        <v>4</v>
      </c>
      <c r="BD702" s="18">
        <f>IF(Pospago[[#This Row],[TARIFA_BASICA]]=11.42,1,0)</f>
        <v>0</v>
      </c>
      <c r="BE702" s="18">
        <f>IF(Pospago[[#This Row],[PLANES TELEVENTAS]]="SI",1,0)</f>
        <v>0</v>
      </c>
      <c r="BF702" s="18">
        <f>1</f>
        <v>1</v>
      </c>
      <c r="BG702" s="18">
        <f>IF(OR(Pospago[[#This Row],[TARIFA_BASICA]]=11.42,Pospago[[#This Row],[PLANES TELEVENTAS]]="SI"),1,0)</f>
        <v>0</v>
      </c>
      <c r="BH702" s="18" t="str">
        <f>IF(MID(Pospago[[#This Row],[PlanDesc]],1,4) = "PLAN","POSPAGO",IF(MID(Pospago[[#This Row],[PlanDesc]],1,4)="FULL","FULL MEGAS","PREVIOPAGO"))</f>
        <v>PREVIOPAGO</v>
      </c>
      <c r="BI7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02" s="21">
        <f>Pospago[[#This Row],[TARIFA_BASICA]]*1.5</f>
        <v>21.419999999999998</v>
      </c>
    </row>
    <row r="703" spans="1:63" x14ac:dyDescent="0.25">
      <c r="A703" s="18" t="s">
        <v>154</v>
      </c>
      <c r="B703" s="18" t="s">
        <v>4508</v>
      </c>
      <c r="C703" s="18" t="s">
        <v>4509</v>
      </c>
      <c r="D703" s="19">
        <v>44896</v>
      </c>
      <c r="E703" s="18" t="s">
        <v>67</v>
      </c>
      <c r="F703" s="18" t="s">
        <v>4510</v>
      </c>
      <c r="G703" s="18" t="s">
        <v>4511</v>
      </c>
      <c r="H703" s="18" t="s">
        <v>159</v>
      </c>
      <c r="I703" s="18" t="s">
        <v>160</v>
      </c>
      <c r="J703" s="18" t="s">
        <v>161</v>
      </c>
      <c r="K703" s="18" t="s">
        <v>73</v>
      </c>
      <c r="L703" s="20" t="s">
        <v>4512</v>
      </c>
      <c r="M703" s="18" t="s">
        <v>75</v>
      </c>
      <c r="N703" s="20" t="s">
        <v>4513</v>
      </c>
      <c r="O703" s="18" t="s">
        <v>164</v>
      </c>
      <c r="P703" s="18" t="s">
        <v>78</v>
      </c>
      <c r="Q703" s="19">
        <v>44914</v>
      </c>
      <c r="R703" s="21">
        <v>14.28</v>
      </c>
      <c r="S703" s="18" t="s">
        <v>79</v>
      </c>
      <c r="T703" s="18" t="s">
        <v>80</v>
      </c>
      <c r="U703" s="18" t="s">
        <v>83</v>
      </c>
      <c r="V703" s="18" t="s">
        <v>95</v>
      </c>
      <c r="W703" s="18" t="s">
        <v>95</v>
      </c>
      <c r="X703" s="18" t="s">
        <v>84</v>
      </c>
      <c r="Y703" s="18" t="s">
        <v>85</v>
      </c>
      <c r="Z703" s="18" t="s">
        <v>86</v>
      </c>
      <c r="AA703" s="18" t="s">
        <v>87</v>
      </c>
      <c r="AB703" s="18" t="s">
        <v>880</v>
      </c>
      <c r="AC703" s="18" t="s">
        <v>881</v>
      </c>
      <c r="AD703" s="18" t="s">
        <v>85</v>
      </c>
      <c r="AE703" s="18" t="s">
        <v>90</v>
      </c>
      <c r="AF703" s="18" t="s">
        <v>91</v>
      </c>
      <c r="AG703" s="18" t="s">
        <v>92</v>
      </c>
      <c r="AH703" s="18" t="s">
        <v>165</v>
      </c>
      <c r="AI703" s="18" t="s">
        <v>94</v>
      </c>
      <c r="AJ703" s="19">
        <v>44896</v>
      </c>
      <c r="AK703" s="22" t="s">
        <v>95</v>
      </c>
      <c r="AL703" s="18" t="s">
        <v>95</v>
      </c>
      <c r="AM703" s="18" t="s">
        <v>95</v>
      </c>
      <c r="AN703" s="18" t="s">
        <v>95</v>
      </c>
      <c r="AO703" s="18" t="s">
        <v>95</v>
      </c>
      <c r="AP703" s="18" t="s">
        <v>95</v>
      </c>
      <c r="AQ703" s="18" t="s">
        <v>95</v>
      </c>
      <c r="AR703" s="18" t="s">
        <v>95</v>
      </c>
      <c r="AS703" s="18" t="s">
        <v>83</v>
      </c>
      <c r="AT703" s="18" t="s">
        <v>83</v>
      </c>
      <c r="AU703" s="18" t="s">
        <v>81</v>
      </c>
      <c r="AV703" s="18" t="s">
        <v>95</v>
      </c>
      <c r="AW703" s="18" t="s">
        <v>95</v>
      </c>
      <c r="AX703" s="18"/>
      <c r="AY703" s="18" t="str">
        <f>Pospago[[#This Row],[NUM_TELEFONICO]]&amp;"POSPAGOSI"</f>
        <v>992819789POSPAGOSI</v>
      </c>
      <c r="AZ703" s="18" t="str">
        <f>VLOOKUP(Pospago[[#This Row],[NOM_PLAZA_FINAL]],[1]!Locales[#Data],3,0)</f>
        <v>TIENDA CUENCA CENTRO</v>
      </c>
      <c r="BA703" s="18" t="str">
        <f>IFERROR(VLOOKUP(Pospago[[#This Row],[USUARIO]],[1]!Personal[#Data],6,0),"EJECUTIVO NO REGISTRADO")</f>
        <v>LUNA JACHO ANDREA GABRIELA</v>
      </c>
      <c r="BB703" s="18" t="str">
        <f>Pospago[[#This Row],[TIPO_MOVIMIENTO]]&amp;" "&amp;Pospago[[#This Row],[FORMA_PAGO_FINAL]]</f>
        <v>TRANSFERENCIAS DOMICILIADO</v>
      </c>
      <c r="BC703" s="18">
        <f>DAY(Pospago[[#This Row],[FECHA_ALTA]])</f>
        <v>1</v>
      </c>
      <c r="BD703" s="18">
        <f>IF(Pospago[[#This Row],[TARIFA_BASICA]]=11.42,1,0)</f>
        <v>0</v>
      </c>
      <c r="BE703" s="18">
        <f>IF(Pospago[[#This Row],[PLANES TELEVENTAS]]="SI",1,0)</f>
        <v>0</v>
      </c>
      <c r="BF703" s="18">
        <f>1</f>
        <v>1</v>
      </c>
      <c r="BG703" s="18">
        <f>IF(OR(Pospago[[#This Row],[TARIFA_BASICA]]=11.42,Pospago[[#This Row],[PLANES TELEVENTAS]]="SI"),1,0)</f>
        <v>0</v>
      </c>
      <c r="BH703" s="18" t="str">
        <f>IF(MID(Pospago[[#This Row],[PlanDesc]],1,4) = "PLAN","POSPAGO",IF(MID(Pospago[[#This Row],[PlanDesc]],1,4)="FULL","FULL MEGAS","PREVIOPAGO"))</f>
        <v>PREVIOPAGO</v>
      </c>
      <c r="BI7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03" s="21">
        <f>Pospago[[#This Row],[TARIFA_BASICA]]*1.5</f>
        <v>21.419999999999998</v>
      </c>
    </row>
    <row r="704" spans="1:63" x14ac:dyDescent="0.25">
      <c r="A704" s="18" t="s">
        <v>64</v>
      </c>
      <c r="B704" s="18" t="s">
        <v>4514</v>
      </c>
      <c r="C704" s="18" t="s">
        <v>4515</v>
      </c>
      <c r="D704" s="19">
        <v>44904</v>
      </c>
      <c r="E704" s="18" t="s">
        <v>67</v>
      </c>
      <c r="F704" s="18" t="s">
        <v>4516</v>
      </c>
      <c r="G704" s="18" t="s">
        <v>4517</v>
      </c>
      <c r="H704" s="18" t="s">
        <v>70</v>
      </c>
      <c r="I704" s="18" t="s">
        <v>194</v>
      </c>
      <c r="J704" s="18" t="s">
        <v>195</v>
      </c>
      <c r="K704" s="18" t="s">
        <v>95</v>
      </c>
      <c r="L704" s="20" t="s">
        <v>4518</v>
      </c>
      <c r="M704" s="18" t="s">
        <v>75</v>
      </c>
      <c r="N704" s="20" t="s">
        <v>4519</v>
      </c>
      <c r="O704" s="18" t="s">
        <v>77</v>
      </c>
      <c r="P704" s="18" t="s">
        <v>78</v>
      </c>
      <c r="Q704" s="19">
        <v>44914</v>
      </c>
      <c r="R704" s="21">
        <v>14.28</v>
      </c>
      <c r="S704" s="18" t="s">
        <v>79</v>
      </c>
      <c r="T704" s="18" t="s">
        <v>117</v>
      </c>
      <c r="U704" s="18" t="s">
        <v>83</v>
      </c>
      <c r="V704" s="18" t="s">
        <v>95</v>
      </c>
      <c r="W704" s="18" t="s">
        <v>83</v>
      </c>
      <c r="X704" s="18" t="s">
        <v>84</v>
      </c>
      <c r="Y704" s="18" t="s">
        <v>85</v>
      </c>
      <c r="Z704" s="18" t="s">
        <v>86</v>
      </c>
      <c r="AA704" s="18" t="s">
        <v>87</v>
      </c>
      <c r="AB704" s="18" t="s">
        <v>120</v>
      </c>
      <c r="AC704" s="18" t="s">
        <v>121</v>
      </c>
      <c r="AD704" s="18" t="s">
        <v>85</v>
      </c>
      <c r="AE704" s="18" t="s">
        <v>90</v>
      </c>
      <c r="AF704" s="18" t="s">
        <v>122</v>
      </c>
      <c r="AG704" s="18" t="s">
        <v>92</v>
      </c>
      <c r="AH704" s="18" t="s">
        <v>93</v>
      </c>
      <c r="AI704" s="18" t="s">
        <v>94</v>
      </c>
      <c r="AJ704" s="19">
        <v>44904</v>
      </c>
      <c r="AK704" s="22" t="s">
        <v>95</v>
      </c>
      <c r="AL704" s="18" t="s">
        <v>95</v>
      </c>
      <c r="AM704" s="18" t="s">
        <v>95</v>
      </c>
      <c r="AN704" s="18" t="s">
        <v>95</v>
      </c>
      <c r="AO704" s="18" t="s">
        <v>95</v>
      </c>
      <c r="AP704" s="18" t="s">
        <v>95</v>
      </c>
      <c r="AQ704" s="18" t="s">
        <v>95</v>
      </c>
      <c r="AR704" s="18" t="s">
        <v>95</v>
      </c>
      <c r="AS704" s="18" t="s">
        <v>83</v>
      </c>
      <c r="AT704" s="18" t="s">
        <v>81</v>
      </c>
      <c r="AU704" s="18" t="s">
        <v>81</v>
      </c>
      <c r="AV704" s="18" t="s">
        <v>95</v>
      </c>
      <c r="AW704" s="18" t="s">
        <v>95</v>
      </c>
      <c r="AX704" s="18"/>
      <c r="AY704" s="18" t="str">
        <f>Pospago[[#This Row],[NUM_TELEFONICO]]&amp;"POSPAGOSI"</f>
        <v>992822098POSPAGOSI</v>
      </c>
      <c r="AZ704" s="18" t="str">
        <f>VLOOKUP(Pospago[[#This Row],[NOM_PLAZA_FINAL]],[1]!Locales[#Data],3,0)</f>
        <v>TIENDA MACHALA</v>
      </c>
      <c r="BA704" s="18" t="str">
        <f>IFERROR(VLOOKUP(Pospago[[#This Row],[USUARIO]],[1]!Personal[#Data],6,0),"EJECUTIVO NO REGISTRADO")</f>
        <v>ARROBO VICENTE YADIRA ESPERANZA</v>
      </c>
      <c r="BB704" s="18" t="str">
        <f>Pospago[[#This Row],[TIPO_MOVIMIENTO]]&amp;" "&amp;Pospago[[#This Row],[FORMA_PAGO_FINAL]]</f>
        <v>ALTAS DOMICILIADO</v>
      </c>
      <c r="BC704" s="18">
        <f>DAY(Pospago[[#This Row],[FECHA_ALTA]])</f>
        <v>9</v>
      </c>
      <c r="BD704" s="18">
        <f>IF(Pospago[[#This Row],[TARIFA_BASICA]]=11.42,1,0)</f>
        <v>0</v>
      </c>
      <c r="BE704" s="18">
        <f>IF(Pospago[[#This Row],[PLANES TELEVENTAS]]="SI",1,0)</f>
        <v>1</v>
      </c>
      <c r="BF704" s="18">
        <f>1</f>
        <v>1</v>
      </c>
      <c r="BG704" s="18">
        <f>IF(OR(Pospago[[#This Row],[TARIFA_BASICA]]=11.42,Pospago[[#This Row],[PLANES TELEVENTAS]]="SI"),1,0)</f>
        <v>1</v>
      </c>
      <c r="BH704" s="18" t="str">
        <f>IF(MID(Pospago[[#This Row],[PlanDesc]],1,4) = "PLAN","POSPAGO",IF(MID(Pospago[[#This Row],[PlanDesc]],1,4)="FULL","FULL MEGAS","PREVIOPAGO"))</f>
        <v>PREVIOPAGO</v>
      </c>
      <c r="BI7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7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04" s="21">
        <f>Pospago[[#This Row],[TARIFA_BASICA]]*1.5</f>
        <v>21.419999999999998</v>
      </c>
    </row>
    <row r="705" spans="1:63" x14ac:dyDescent="0.25">
      <c r="A705" s="18" t="s">
        <v>154</v>
      </c>
      <c r="B705" s="18" t="s">
        <v>4520</v>
      </c>
      <c r="C705" s="18" t="s">
        <v>4521</v>
      </c>
      <c r="D705" s="19">
        <v>44897</v>
      </c>
      <c r="E705" s="18" t="s">
        <v>67</v>
      </c>
      <c r="F705" s="18" t="s">
        <v>4522</v>
      </c>
      <c r="G705" s="18" t="s">
        <v>4523</v>
      </c>
      <c r="H705" s="18" t="s">
        <v>159</v>
      </c>
      <c r="I705" s="18" t="s">
        <v>71</v>
      </c>
      <c r="J705" s="18" t="s">
        <v>258</v>
      </c>
      <c r="K705" s="18" t="s">
        <v>132</v>
      </c>
      <c r="L705" s="20" t="s">
        <v>4524</v>
      </c>
      <c r="M705" s="18" t="s">
        <v>75</v>
      </c>
      <c r="N705" s="20" t="s">
        <v>4525</v>
      </c>
      <c r="O705" s="18" t="s">
        <v>164</v>
      </c>
      <c r="P705" s="18" t="s">
        <v>78</v>
      </c>
      <c r="Q705" s="19">
        <v>44914</v>
      </c>
      <c r="R705" s="21">
        <v>11.42</v>
      </c>
      <c r="S705" s="18" t="s">
        <v>79</v>
      </c>
      <c r="T705" s="18" t="s">
        <v>174</v>
      </c>
      <c r="U705" s="18" t="s">
        <v>83</v>
      </c>
      <c r="V705" s="18" t="s">
        <v>95</v>
      </c>
      <c r="W705" s="18" t="s">
        <v>95</v>
      </c>
      <c r="X705" s="18" t="s">
        <v>118</v>
      </c>
      <c r="Y705" s="18" t="s">
        <v>85</v>
      </c>
      <c r="Z705" s="18" t="s">
        <v>86</v>
      </c>
      <c r="AA705" s="18" t="s">
        <v>119</v>
      </c>
      <c r="AB705" s="18" t="s">
        <v>760</v>
      </c>
      <c r="AC705" s="18" t="s">
        <v>761</v>
      </c>
      <c r="AD705" s="18" t="s">
        <v>85</v>
      </c>
      <c r="AE705" s="18" t="s">
        <v>90</v>
      </c>
      <c r="AF705" s="18" t="s">
        <v>177</v>
      </c>
      <c r="AG705" s="18" t="s">
        <v>139</v>
      </c>
      <c r="AH705" s="18" t="s">
        <v>165</v>
      </c>
      <c r="AI705" s="18" t="s">
        <v>94</v>
      </c>
      <c r="AJ705" s="19">
        <v>44897</v>
      </c>
      <c r="AK705" s="22" t="s">
        <v>95</v>
      </c>
      <c r="AL705" s="18" t="s">
        <v>95</v>
      </c>
      <c r="AM705" s="18" t="s">
        <v>95</v>
      </c>
      <c r="AN705" s="18" t="s">
        <v>95</v>
      </c>
      <c r="AO705" s="18" t="s">
        <v>95</v>
      </c>
      <c r="AP705" s="18" t="s">
        <v>95</v>
      </c>
      <c r="AQ705" s="18" t="s">
        <v>95</v>
      </c>
      <c r="AR705" s="18" t="s">
        <v>95</v>
      </c>
      <c r="AS705" s="18" t="s">
        <v>83</v>
      </c>
      <c r="AT705" s="18" t="s">
        <v>83</v>
      </c>
      <c r="AU705" s="18" t="s">
        <v>81</v>
      </c>
      <c r="AV705" s="18" t="s">
        <v>95</v>
      </c>
      <c r="AW705" s="18" t="s">
        <v>95</v>
      </c>
      <c r="AX705" s="18"/>
      <c r="AY705" s="18" t="str">
        <f>Pospago[[#This Row],[NUM_TELEFONICO]]&amp;"POSPAGOSI"</f>
        <v>992832444POSPAGOSI</v>
      </c>
      <c r="AZ705" s="18" t="str">
        <f>VLOOKUP(Pospago[[#This Row],[NOM_PLAZA_FINAL]],[1]!Locales[#Data],3,0)</f>
        <v>TIENDA RECREO</v>
      </c>
      <c r="BA705" s="18" t="str">
        <f>IFERROR(VLOOKUP(Pospago[[#This Row],[USUARIO]],[1]!Personal[#Data],6,0),"EJECUTIVO NO REGISTRADO")</f>
        <v>VALBUENA SANCHEZ ALBERT ANTHONY</v>
      </c>
      <c r="BB705" s="18" t="str">
        <f>Pospago[[#This Row],[TIPO_MOVIMIENTO]]&amp;" "&amp;Pospago[[#This Row],[FORMA_PAGO_FINAL]]</f>
        <v>TRANSFERENCIAS PAGO EN CAJA</v>
      </c>
      <c r="BC705" s="18">
        <f>DAY(Pospago[[#This Row],[FECHA_ALTA]])</f>
        <v>2</v>
      </c>
      <c r="BD705" s="18">
        <f>IF(Pospago[[#This Row],[TARIFA_BASICA]]=11.42,1,0)</f>
        <v>1</v>
      </c>
      <c r="BE705" s="18">
        <f>IF(Pospago[[#This Row],[PLANES TELEVENTAS]]="SI",1,0)</f>
        <v>0</v>
      </c>
      <c r="BF705" s="18">
        <f>1</f>
        <v>1</v>
      </c>
      <c r="BG705" s="18">
        <f>IF(OR(Pospago[[#This Row],[TARIFA_BASICA]]=11.42,Pospago[[#This Row],[PLANES TELEVENTAS]]="SI"),1,0)</f>
        <v>1</v>
      </c>
      <c r="BH705" s="18" t="str">
        <f>IF(MID(Pospago[[#This Row],[PlanDesc]],1,4) = "PLAN","POSPAGO",IF(MID(Pospago[[#This Row],[PlanDesc]],1,4)="FULL","FULL MEGAS","PREVIOPAGO"))</f>
        <v>PREVIOPAGO</v>
      </c>
      <c r="BI7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7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05" s="21">
        <f>Pospago[[#This Row],[TARIFA_BASICA]]*1.5</f>
        <v>17.13</v>
      </c>
    </row>
    <row r="706" spans="1:63" x14ac:dyDescent="0.25">
      <c r="A706" s="18" t="s">
        <v>64</v>
      </c>
      <c r="B706" s="18" t="s">
        <v>4526</v>
      </c>
      <c r="C706" s="18" t="s">
        <v>4527</v>
      </c>
      <c r="D706" s="19">
        <v>44901</v>
      </c>
      <c r="E706" s="18" t="s">
        <v>67</v>
      </c>
      <c r="F706" s="18" t="s">
        <v>4528</v>
      </c>
      <c r="G706" s="18" t="s">
        <v>4529</v>
      </c>
      <c r="H706" s="18" t="s">
        <v>70</v>
      </c>
      <c r="I706" s="18" t="s">
        <v>160</v>
      </c>
      <c r="J706" s="18" t="s">
        <v>195</v>
      </c>
      <c r="K706" s="18" t="s">
        <v>259</v>
      </c>
      <c r="L706" s="20" t="s">
        <v>4530</v>
      </c>
      <c r="M706" s="18" t="s">
        <v>75</v>
      </c>
      <c r="N706" s="20" t="s">
        <v>4531</v>
      </c>
      <c r="O706" s="18" t="s">
        <v>77</v>
      </c>
      <c r="P706" s="18" t="s">
        <v>78</v>
      </c>
      <c r="Q706" s="19">
        <v>44914</v>
      </c>
      <c r="R706" s="21">
        <v>14.28</v>
      </c>
      <c r="S706" s="18" t="s">
        <v>79</v>
      </c>
      <c r="T706" s="18" t="s">
        <v>232</v>
      </c>
      <c r="U706" s="18" t="s">
        <v>83</v>
      </c>
      <c r="V706" s="18" t="s">
        <v>95</v>
      </c>
      <c r="W706" s="18" t="s">
        <v>83</v>
      </c>
      <c r="X706" s="18" t="s">
        <v>84</v>
      </c>
      <c r="Y706" s="18" t="s">
        <v>85</v>
      </c>
      <c r="Z706" s="18" t="s">
        <v>86</v>
      </c>
      <c r="AA706" s="18" t="s">
        <v>87</v>
      </c>
      <c r="AB706" s="18" t="s">
        <v>443</v>
      </c>
      <c r="AC706" s="18" t="s">
        <v>444</v>
      </c>
      <c r="AD706" s="18" t="s">
        <v>85</v>
      </c>
      <c r="AE706" s="18" t="s">
        <v>90</v>
      </c>
      <c r="AF706" s="18" t="s">
        <v>235</v>
      </c>
      <c r="AG706" s="18" t="s">
        <v>139</v>
      </c>
      <c r="AH706" s="18" t="s">
        <v>93</v>
      </c>
      <c r="AI706" s="18" t="s">
        <v>94</v>
      </c>
      <c r="AJ706" s="19">
        <v>44901</v>
      </c>
      <c r="AK706" s="22" t="s">
        <v>95</v>
      </c>
      <c r="AL706" s="18" t="s">
        <v>95</v>
      </c>
      <c r="AM706" s="18" t="s">
        <v>95</v>
      </c>
      <c r="AN706" s="18" t="s">
        <v>95</v>
      </c>
      <c r="AO706" s="18" t="s">
        <v>95</v>
      </c>
      <c r="AP706" s="18" t="s">
        <v>95</v>
      </c>
      <c r="AQ706" s="18" t="s">
        <v>95</v>
      </c>
      <c r="AR706" s="18" t="s">
        <v>95</v>
      </c>
      <c r="AS706" s="18" t="s">
        <v>83</v>
      </c>
      <c r="AT706" s="18" t="s">
        <v>83</v>
      </c>
      <c r="AU706" s="18" t="s">
        <v>81</v>
      </c>
      <c r="AV706" s="18" t="s">
        <v>95</v>
      </c>
      <c r="AW706" s="18" t="s">
        <v>95</v>
      </c>
      <c r="AX706" s="18"/>
      <c r="AY706" s="18" t="str">
        <f>Pospago[[#This Row],[NUM_TELEFONICO]]&amp;"POSPAGOSI"</f>
        <v>992837912POSPAGOSI</v>
      </c>
      <c r="AZ706" s="18" t="str">
        <f>VLOOKUP(Pospago[[#This Row],[NOM_PLAZA_FINAL]],[1]!Locales[#Data],3,0)</f>
        <v>TIENDA CONDADO</v>
      </c>
      <c r="BA706" s="18" t="str">
        <f>IFERROR(VLOOKUP(Pospago[[#This Row],[USUARIO]],[1]!Personal[#Data],6,0),"EJECUTIVO NO REGISTRADO")</f>
        <v>JARAMILLO ESPINOZA KENIA KATRINA</v>
      </c>
      <c r="BB706" s="18" t="str">
        <f>Pospago[[#This Row],[TIPO_MOVIMIENTO]]&amp;" "&amp;Pospago[[#This Row],[FORMA_PAGO_FINAL]]</f>
        <v>ALTAS DOMICILIADO</v>
      </c>
      <c r="BC706" s="18">
        <f>DAY(Pospago[[#This Row],[FECHA_ALTA]])</f>
        <v>6</v>
      </c>
      <c r="BD706" s="18">
        <f>IF(Pospago[[#This Row],[TARIFA_BASICA]]=11.42,1,0)</f>
        <v>0</v>
      </c>
      <c r="BE706" s="18">
        <f>IF(Pospago[[#This Row],[PLANES TELEVENTAS]]="SI",1,0)</f>
        <v>0</v>
      </c>
      <c r="BF706" s="18">
        <f>1</f>
        <v>1</v>
      </c>
      <c r="BG706" s="18">
        <f>IF(OR(Pospago[[#This Row],[TARIFA_BASICA]]=11.42,Pospago[[#This Row],[PLANES TELEVENTAS]]="SI"),1,0)</f>
        <v>0</v>
      </c>
      <c r="BH706" s="18" t="str">
        <f>IF(MID(Pospago[[#This Row],[PlanDesc]],1,4) = "PLAN","POSPAGO",IF(MID(Pospago[[#This Row],[PlanDesc]],1,4)="FULL","FULL MEGAS","PREVIOPAGO"))</f>
        <v>PREVIOPAGO</v>
      </c>
      <c r="BI7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06" s="21">
        <f>Pospago[[#This Row],[TARIFA_BASICA]]*1.5</f>
        <v>21.419999999999998</v>
      </c>
    </row>
    <row r="707" spans="1:63" x14ac:dyDescent="0.25">
      <c r="A707" s="18" t="s">
        <v>154</v>
      </c>
      <c r="B707" s="18" t="s">
        <v>4532</v>
      </c>
      <c r="C707" s="18" t="s">
        <v>4533</v>
      </c>
      <c r="D707" s="19">
        <v>44912</v>
      </c>
      <c r="E707" s="18" t="s">
        <v>67</v>
      </c>
      <c r="F707" s="18" t="s">
        <v>4534</v>
      </c>
      <c r="G707" s="18" t="s">
        <v>4535</v>
      </c>
      <c r="H707" s="18" t="s">
        <v>159</v>
      </c>
      <c r="I707" s="18" t="s">
        <v>160</v>
      </c>
      <c r="J707" s="18" t="s">
        <v>161</v>
      </c>
      <c r="K707" s="18" t="s">
        <v>132</v>
      </c>
      <c r="L707" s="20" t="s">
        <v>4536</v>
      </c>
      <c r="M707" s="18" t="s">
        <v>75</v>
      </c>
      <c r="N707" s="20" t="s">
        <v>4537</v>
      </c>
      <c r="O707" s="18" t="s">
        <v>164</v>
      </c>
      <c r="P707" s="18" t="s">
        <v>78</v>
      </c>
      <c r="Q707" s="19">
        <v>44914</v>
      </c>
      <c r="R707" s="21">
        <v>14.28</v>
      </c>
      <c r="S707" s="18" t="s">
        <v>79</v>
      </c>
      <c r="T707" s="18" t="s">
        <v>232</v>
      </c>
      <c r="U707" s="18" t="s">
        <v>83</v>
      </c>
      <c r="V707" s="18" t="s">
        <v>95</v>
      </c>
      <c r="W707" s="18" t="s">
        <v>95</v>
      </c>
      <c r="X707" s="18" t="s">
        <v>84</v>
      </c>
      <c r="Y707" s="18" t="s">
        <v>85</v>
      </c>
      <c r="Z707" s="18" t="s">
        <v>86</v>
      </c>
      <c r="AA707" s="18" t="s">
        <v>87</v>
      </c>
      <c r="AB707" s="18" t="s">
        <v>377</v>
      </c>
      <c r="AC707" s="18" t="s">
        <v>378</v>
      </c>
      <c r="AD707" s="18" t="s">
        <v>85</v>
      </c>
      <c r="AE707" s="18" t="s">
        <v>90</v>
      </c>
      <c r="AF707" s="18" t="s">
        <v>235</v>
      </c>
      <c r="AG707" s="18" t="s">
        <v>139</v>
      </c>
      <c r="AH707" s="18" t="s">
        <v>165</v>
      </c>
      <c r="AI707" s="18" t="s">
        <v>94</v>
      </c>
      <c r="AJ707" s="19">
        <v>44912</v>
      </c>
      <c r="AK707" s="22" t="s">
        <v>95</v>
      </c>
      <c r="AL707" s="18" t="s">
        <v>95</v>
      </c>
      <c r="AM707" s="18" t="s">
        <v>95</v>
      </c>
      <c r="AN707" s="18" t="s">
        <v>95</v>
      </c>
      <c r="AO707" s="18" t="s">
        <v>95</v>
      </c>
      <c r="AP707" s="18" t="s">
        <v>95</v>
      </c>
      <c r="AQ707" s="18" t="s">
        <v>95</v>
      </c>
      <c r="AR707" s="18" t="s">
        <v>95</v>
      </c>
      <c r="AS707" s="18" t="s">
        <v>83</v>
      </c>
      <c r="AT707" s="18" t="s">
        <v>83</v>
      </c>
      <c r="AU707" s="18" t="s">
        <v>81</v>
      </c>
      <c r="AV707" s="18" t="s">
        <v>95</v>
      </c>
      <c r="AW707" s="18" t="s">
        <v>95</v>
      </c>
      <c r="AX707" s="18"/>
      <c r="AY707" s="18" t="str">
        <f>Pospago[[#This Row],[NUM_TELEFONICO]]&amp;"POSPAGOSI"</f>
        <v>992846274POSPAGOSI</v>
      </c>
      <c r="AZ707" s="18" t="str">
        <f>VLOOKUP(Pospago[[#This Row],[NOM_PLAZA_FINAL]],[1]!Locales[#Data],3,0)</f>
        <v>TIENDA CONDADO</v>
      </c>
      <c r="BA707" s="18" t="str">
        <f>IFERROR(VLOOKUP(Pospago[[#This Row],[USUARIO]],[1]!Personal[#Data],6,0),"EJECUTIVO NO REGISTRADO")</f>
        <v>MELCHIADE ISAAC VALMORE</v>
      </c>
      <c r="BB707" s="18" t="str">
        <f>Pospago[[#This Row],[TIPO_MOVIMIENTO]]&amp;" "&amp;Pospago[[#This Row],[FORMA_PAGO_FINAL]]</f>
        <v>TRANSFERENCIAS DOMICILIADO</v>
      </c>
      <c r="BC707" s="18">
        <f>DAY(Pospago[[#This Row],[FECHA_ALTA]])</f>
        <v>17</v>
      </c>
      <c r="BD707" s="18">
        <f>IF(Pospago[[#This Row],[TARIFA_BASICA]]=11.42,1,0)</f>
        <v>0</v>
      </c>
      <c r="BE707" s="18">
        <f>IF(Pospago[[#This Row],[PLANES TELEVENTAS]]="SI",1,0)</f>
        <v>0</v>
      </c>
      <c r="BF707" s="18">
        <f>1</f>
        <v>1</v>
      </c>
      <c r="BG707" s="18">
        <f>IF(OR(Pospago[[#This Row],[TARIFA_BASICA]]=11.42,Pospago[[#This Row],[PLANES TELEVENTAS]]="SI"),1,0)</f>
        <v>0</v>
      </c>
      <c r="BH707" s="18" t="str">
        <f>IF(MID(Pospago[[#This Row],[PlanDesc]],1,4) = "PLAN","POSPAGO",IF(MID(Pospago[[#This Row],[PlanDesc]],1,4)="FULL","FULL MEGAS","PREVIOPAGO"))</f>
        <v>PREVIOPAGO</v>
      </c>
      <c r="BI7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07" s="21">
        <f>Pospago[[#This Row],[TARIFA_BASICA]]*1.5</f>
        <v>21.419999999999998</v>
      </c>
    </row>
    <row r="708" spans="1:63" x14ac:dyDescent="0.25">
      <c r="A708" s="18" t="s">
        <v>154</v>
      </c>
      <c r="B708" s="18" t="s">
        <v>4538</v>
      </c>
      <c r="C708" s="18" t="s">
        <v>4539</v>
      </c>
      <c r="D708" s="19">
        <v>44896</v>
      </c>
      <c r="E708" s="18" t="s">
        <v>67</v>
      </c>
      <c r="F708" s="18" t="s">
        <v>4540</v>
      </c>
      <c r="G708" s="18" t="s">
        <v>4541</v>
      </c>
      <c r="H708" s="18" t="s">
        <v>159</v>
      </c>
      <c r="I708" s="18" t="s">
        <v>71</v>
      </c>
      <c r="J708" s="18" t="s">
        <v>258</v>
      </c>
      <c r="K708" s="18" t="s">
        <v>132</v>
      </c>
      <c r="L708" s="20" t="s">
        <v>4542</v>
      </c>
      <c r="M708" s="18" t="s">
        <v>75</v>
      </c>
      <c r="N708" s="20" t="s">
        <v>4543</v>
      </c>
      <c r="O708" s="18" t="s">
        <v>164</v>
      </c>
      <c r="P708" s="18" t="s">
        <v>78</v>
      </c>
      <c r="Q708" s="19">
        <v>44914</v>
      </c>
      <c r="R708" s="21">
        <v>11.42</v>
      </c>
      <c r="S708" s="18" t="s">
        <v>79</v>
      </c>
      <c r="T708" s="18" t="s">
        <v>174</v>
      </c>
      <c r="U708" s="18" t="s">
        <v>83</v>
      </c>
      <c r="V708" s="18" t="s">
        <v>95</v>
      </c>
      <c r="W708" s="18" t="s">
        <v>95</v>
      </c>
      <c r="X708" s="18" t="s">
        <v>118</v>
      </c>
      <c r="Y708" s="18" t="s">
        <v>85</v>
      </c>
      <c r="Z708" s="18" t="s">
        <v>86</v>
      </c>
      <c r="AA708" s="18" t="s">
        <v>119</v>
      </c>
      <c r="AB708" s="18" t="s">
        <v>175</v>
      </c>
      <c r="AC708" s="18" t="s">
        <v>176</v>
      </c>
      <c r="AD708" s="18" t="s">
        <v>85</v>
      </c>
      <c r="AE708" s="18" t="s">
        <v>90</v>
      </c>
      <c r="AF708" s="18" t="s">
        <v>177</v>
      </c>
      <c r="AG708" s="18" t="s">
        <v>139</v>
      </c>
      <c r="AH708" s="18" t="s">
        <v>165</v>
      </c>
      <c r="AI708" s="18" t="s">
        <v>94</v>
      </c>
      <c r="AJ708" s="19">
        <v>44896</v>
      </c>
      <c r="AK708" s="22" t="s">
        <v>95</v>
      </c>
      <c r="AL708" s="18" t="s">
        <v>95</v>
      </c>
      <c r="AM708" s="18" t="s">
        <v>95</v>
      </c>
      <c r="AN708" s="18" t="s">
        <v>95</v>
      </c>
      <c r="AO708" s="18" t="s">
        <v>95</v>
      </c>
      <c r="AP708" s="18" t="s">
        <v>95</v>
      </c>
      <c r="AQ708" s="18" t="s">
        <v>95</v>
      </c>
      <c r="AR708" s="18" t="s">
        <v>95</v>
      </c>
      <c r="AS708" s="18" t="s">
        <v>83</v>
      </c>
      <c r="AT708" s="18" t="s">
        <v>83</v>
      </c>
      <c r="AU708" s="18" t="s">
        <v>81</v>
      </c>
      <c r="AV708" s="18" t="s">
        <v>95</v>
      </c>
      <c r="AW708" s="18" t="s">
        <v>95</v>
      </c>
      <c r="AX708" s="18"/>
      <c r="AY708" s="18" t="str">
        <f>Pospago[[#This Row],[NUM_TELEFONICO]]&amp;"POSPAGOSI"</f>
        <v>992846931POSPAGOSI</v>
      </c>
      <c r="AZ708" s="18" t="str">
        <f>VLOOKUP(Pospago[[#This Row],[NOM_PLAZA_FINAL]],[1]!Locales[#Data],3,0)</f>
        <v>TIENDA RECREO</v>
      </c>
      <c r="BA708" s="18" t="str">
        <f>IFERROR(VLOOKUP(Pospago[[#This Row],[USUARIO]],[1]!Personal[#Data],6,0),"EJECUTIVO NO REGISTRADO")</f>
        <v>VARGAS REYES LUIS EDUARDO</v>
      </c>
      <c r="BB708" s="18" t="str">
        <f>Pospago[[#This Row],[TIPO_MOVIMIENTO]]&amp;" "&amp;Pospago[[#This Row],[FORMA_PAGO_FINAL]]</f>
        <v>TRANSFERENCIAS PAGO EN CAJA</v>
      </c>
      <c r="BC708" s="18">
        <f>DAY(Pospago[[#This Row],[FECHA_ALTA]])</f>
        <v>1</v>
      </c>
      <c r="BD708" s="18">
        <f>IF(Pospago[[#This Row],[TARIFA_BASICA]]=11.42,1,0)</f>
        <v>1</v>
      </c>
      <c r="BE708" s="18">
        <f>IF(Pospago[[#This Row],[PLANES TELEVENTAS]]="SI",1,0)</f>
        <v>0</v>
      </c>
      <c r="BF708" s="18">
        <f>1</f>
        <v>1</v>
      </c>
      <c r="BG708" s="18">
        <f>IF(OR(Pospago[[#This Row],[TARIFA_BASICA]]=11.42,Pospago[[#This Row],[PLANES TELEVENTAS]]="SI"),1,0)</f>
        <v>1</v>
      </c>
      <c r="BH708" s="18" t="str">
        <f>IF(MID(Pospago[[#This Row],[PlanDesc]],1,4) = "PLAN","POSPAGO",IF(MID(Pospago[[#This Row],[PlanDesc]],1,4)="FULL","FULL MEGAS","PREVIOPAGO"))</f>
        <v>PREVIOPAGO</v>
      </c>
      <c r="BI7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7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08" s="21">
        <f>Pospago[[#This Row],[TARIFA_BASICA]]*1.5</f>
        <v>17.13</v>
      </c>
    </row>
    <row r="709" spans="1:63" x14ac:dyDescent="0.25">
      <c r="A709" s="18" t="s">
        <v>154</v>
      </c>
      <c r="B709" s="18" t="s">
        <v>4544</v>
      </c>
      <c r="C709" s="18" t="s">
        <v>4545</v>
      </c>
      <c r="D709" s="19">
        <v>44904</v>
      </c>
      <c r="E709" s="18" t="s">
        <v>67</v>
      </c>
      <c r="F709" s="18" t="s">
        <v>4546</v>
      </c>
      <c r="G709" s="18" t="s">
        <v>4547</v>
      </c>
      <c r="H709" s="18" t="s">
        <v>159</v>
      </c>
      <c r="I709" s="18" t="s">
        <v>160</v>
      </c>
      <c r="J709" s="18" t="s">
        <v>161</v>
      </c>
      <c r="K709" s="18" t="s">
        <v>73</v>
      </c>
      <c r="L709" s="20" t="s">
        <v>4548</v>
      </c>
      <c r="M709" s="18" t="s">
        <v>75</v>
      </c>
      <c r="N709" s="20" t="s">
        <v>4549</v>
      </c>
      <c r="O709" s="18" t="s">
        <v>164</v>
      </c>
      <c r="P709" s="18" t="s">
        <v>78</v>
      </c>
      <c r="Q709" s="19">
        <v>44914</v>
      </c>
      <c r="R709" s="21">
        <v>14.28</v>
      </c>
      <c r="S709" s="18" t="s">
        <v>79</v>
      </c>
      <c r="T709" s="18" t="s">
        <v>135</v>
      </c>
      <c r="U709" s="18" t="s">
        <v>83</v>
      </c>
      <c r="V709" s="18" t="s">
        <v>95</v>
      </c>
      <c r="W709" s="18" t="s">
        <v>95</v>
      </c>
      <c r="X709" s="18" t="s">
        <v>118</v>
      </c>
      <c r="Y709" s="18" t="s">
        <v>85</v>
      </c>
      <c r="Z709" s="18" t="s">
        <v>86</v>
      </c>
      <c r="AA709" s="18" t="s">
        <v>119</v>
      </c>
      <c r="AB709" s="18" t="s">
        <v>1545</v>
      </c>
      <c r="AC709" s="18" t="s">
        <v>1546</v>
      </c>
      <c r="AD709" s="18" t="s">
        <v>85</v>
      </c>
      <c r="AE709" s="18" t="s">
        <v>90</v>
      </c>
      <c r="AF709" s="18" t="s">
        <v>138</v>
      </c>
      <c r="AG709" s="18" t="s">
        <v>139</v>
      </c>
      <c r="AH709" s="18" t="s">
        <v>165</v>
      </c>
      <c r="AI709" s="18" t="s">
        <v>94</v>
      </c>
      <c r="AJ709" s="19">
        <v>44904</v>
      </c>
      <c r="AK709" s="22" t="s">
        <v>95</v>
      </c>
      <c r="AL709" s="18" t="s">
        <v>95</v>
      </c>
      <c r="AM709" s="18" t="s">
        <v>95</v>
      </c>
      <c r="AN709" s="18" t="s">
        <v>95</v>
      </c>
      <c r="AO709" s="18" t="s">
        <v>95</v>
      </c>
      <c r="AP709" s="18" t="s">
        <v>95</v>
      </c>
      <c r="AQ709" s="18" t="s">
        <v>95</v>
      </c>
      <c r="AR709" s="18" t="s">
        <v>95</v>
      </c>
      <c r="AS709" s="18" t="s">
        <v>83</v>
      </c>
      <c r="AT709" s="18" t="s">
        <v>83</v>
      </c>
      <c r="AU709" s="18" t="s">
        <v>81</v>
      </c>
      <c r="AV709" s="18" t="s">
        <v>95</v>
      </c>
      <c r="AW709" s="18" t="s">
        <v>95</v>
      </c>
      <c r="AX709" s="18"/>
      <c r="AY709" s="18" t="str">
        <f>Pospago[[#This Row],[NUM_TELEFONICO]]&amp;"POSPAGOSI"</f>
        <v>992848705POSPAGOSI</v>
      </c>
      <c r="AZ709" s="18" t="str">
        <f>VLOOKUP(Pospago[[#This Row],[NOM_PLAZA_FINAL]],[1]!Locales[#Data],3,0)</f>
        <v>TIENDA AMERICA</v>
      </c>
      <c r="BA709" s="18" t="str">
        <f>IFERROR(VLOOKUP(Pospago[[#This Row],[USUARIO]],[1]!Personal[#Data],6,0),"EJECUTIVO NO REGISTRADO")</f>
        <v>GRANDA ESPINOZA ANDRES SEBASTIAN</v>
      </c>
      <c r="BB709" s="18" t="str">
        <f>Pospago[[#This Row],[TIPO_MOVIMIENTO]]&amp;" "&amp;Pospago[[#This Row],[FORMA_PAGO_FINAL]]</f>
        <v>TRANSFERENCIAS PAGO EN CAJA</v>
      </c>
      <c r="BC709" s="18">
        <f>DAY(Pospago[[#This Row],[FECHA_ALTA]])</f>
        <v>9</v>
      </c>
      <c r="BD709" s="18">
        <f>IF(Pospago[[#This Row],[TARIFA_BASICA]]=11.42,1,0)</f>
        <v>0</v>
      </c>
      <c r="BE709" s="18">
        <f>IF(Pospago[[#This Row],[PLANES TELEVENTAS]]="SI",1,0)</f>
        <v>0</v>
      </c>
      <c r="BF709" s="18">
        <f>1</f>
        <v>1</v>
      </c>
      <c r="BG709" s="18">
        <f>IF(OR(Pospago[[#This Row],[TARIFA_BASICA]]=11.42,Pospago[[#This Row],[PLANES TELEVENTAS]]="SI"),1,0)</f>
        <v>0</v>
      </c>
      <c r="BH709" s="18" t="str">
        <f>IF(MID(Pospago[[#This Row],[PlanDesc]],1,4) = "PLAN","POSPAGO",IF(MID(Pospago[[#This Row],[PlanDesc]],1,4)="FULL","FULL MEGAS","PREVIOPAGO"))</f>
        <v>PREVIOPAGO</v>
      </c>
      <c r="BI7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09" s="21">
        <f>Pospago[[#This Row],[TARIFA_BASICA]]*1.5</f>
        <v>21.419999999999998</v>
      </c>
    </row>
    <row r="710" spans="1:63" x14ac:dyDescent="0.25">
      <c r="A710" s="18" t="s">
        <v>64</v>
      </c>
      <c r="B710" s="18" t="s">
        <v>4550</v>
      </c>
      <c r="C710" s="18" t="s">
        <v>4551</v>
      </c>
      <c r="D710" s="19">
        <v>44907</v>
      </c>
      <c r="E710" s="18" t="s">
        <v>67</v>
      </c>
      <c r="F710" s="18" t="s">
        <v>4552</v>
      </c>
      <c r="G710" s="18" t="s">
        <v>4553</v>
      </c>
      <c r="H710" s="18" t="s">
        <v>70</v>
      </c>
      <c r="I710" s="18" t="s">
        <v>130</v>
      </c>
      <c r="J710" s="18" t="s">
        <v>131</v>
      </c>
      <c r="K710" s="18" t="s">
        <v>132</v>
      </c>
      <c r="L710" s="20" t="s">
        <v>4554</v>
      </c>
      <c r="M710" s="18" t="s">
        <v>75</v>
      </c>
      <c r="N710" s="20" t="s">
        <v>4555</v>
      </c>
      <c r="O710" s="18" t="s">
        <v>77</v>
      </c>
      <c r="P710" s="18" t="s">
        <v>78</v>
      </c>
      <c r="Q710" s="19">
        <v>44914</v>
      </c>
      <c r="R710" s="21">
        <v>15</v>
      </c>
      <c r="S710" s="18" t="s">
        <v>79</v>
      </c>
      <c r="T710" s="18" t="s">
        <v>135</v>
      </c>
      <c r="U710" s="18" t="s">
        <v>81</v>
      </c>
      <c r="V710" s="18" t="s">
        <v>82</v>
      </c>
      <c r="W710" s="18" t="s">
        <v>83</v>
      </c>
      <c r="X710" s="18" t="s">
        <v>84</v>
      </c>
      <c r="Y710" s="18" t="s">
        <v>85</v>
      </c>
      <c r="Z710" s="18" t="s">
        <v>86</v>
      </c>
      <c r="AA710" s="18" t="s">
        <v>87</v>
      </c>
      <c r="AB710" s="18" t="s">
        <v>1545</v>
      </c>
      <c r="AC710" s="18" t="s">
        <v>1546</v>
      </c>
      <c r="AD710" s="18" t="s">
        <v>85</v>
      </c>
      <c r="AE710" s="18" t="s">
        <v>90</v>
      </c>
      <c r="AF710" s="18" t="s">
        <v>138</v>
      </c>
      <c r="AG710" s="18" t="s">
        <v>139</v>
      </c>
      <c r="AH710" s="18" t="s">
        <v>93</v>
      </c>
      <c r="AI710" s="18" t="s">
        <v>94</v>
      </c>
      <c r="AJ710" s="19">
        <v>44907</v>
      </c>
      <c r="AK710" s="22" t="s">
        <v>95</v>
      </c>
      <c r="AL710" s="18" t="s">
        <v>95</v>
      </c>
      <c r="AM710" s="18" t="s">
        <v>95</v>
      </c>
      <c r="AN710" s="18" t="s">
        <v>95</v>
      </c>
      <c r="AO710" s="18" t="s">
        <v>95</v>
      </c>
      <c r="AP710" s="18" t="s">
        <v>95</v>
      </c>
      <c r="AQ710" s="18" t="s">
        <v>95</v>
      </c>
      <c r="AR710" s="18" t="s">
        <v>95</v>
      </c>
      <c r="AS710" s="18" t="s">
        <v>83</v>
      </c>
      <c r="AT710" s="18" t="s">
        <v>83</v>
      </c>
      <c r="AU710" s="18" t="s">
        <v>81</v>
      </c>
      <c r="AV710" s="18" t="s">
        <v>95</v>
      </c>
      <c r="AW710" s="18" t="s">
        <v>95</v>
      </c>
      <c r="AX710" s="18"/>
      <c r="AY710" s="18" t="str">
        <f>Pospago[[#This Row],[NUM_TELEFONICO]]&amp;"POSPAGOSI"</f>
        <v>992851058POSPAGOSI</v>
      </c>
      <c r="AZ710" s="18" t="str">
        <f>VLOOKUP(Pospago[[#This Row],[NOM_PLAZA_FINAL]],[1]!Locales[#Data],3,0)</f>
        <v>TIENDA AMERICA</v>
      </c>
      <c r="BA710" s="18" t="str">
        <f>IFERROR(VLOOKUP(Pospago[[#This Row],[USUARIO]],[1]!Personal[#Data],6,0),"EJECUTIVO NO REGISTRADO")</f>
        <v>GRANDA ESPINOZA ANDRES SEBASTIAN</v>
      </c>
      <c r="BB710" s="18" t="str">
        <f>Pospago[[#This Row],[TIPO_MOVIMIENTO]]&amp;" "&amp;Pospago[[#This Row],[FORMA_PAGO_FINAL]]</f>
        <v>ALTAS DOMICILIADO</v>
      </c>
      <c r="BC710" s="18">
        <f>DAY(Pospago[[#This Row],[FECHA_ALTA]])</f>
        <v>12</v>
      </c>
      <c r="BD710" s="18">
        <f>IF(Pospago[[#This Row],[TARIFA_BASICA]]=11.42,1,0)</f>
        <v>0</v>
      </c>
      <c r="BE710" s="18">
        <f>IF(Pospago[[#This Row],[PLANES TELEVENTAS]]="SI",1,0)</f>
        <v>0</v>
      </c>
      <c r="BF710" s="18">
        <f>1</f>
        <v>1</v>
      </c>
      <c r="BG710" s="18">
        <f>IF(OR(Pospago[[#This Row],[TARIFA_BASICA]]=11.42,Pospago[[#This Row],[PLANES TELEVENTAS]]="SI"),1,0)</f>
        <v>0</v>
      </c>
      <c r="BH710" s="18" t="str">
        <f>IF(MID(Pospago[[#This Row],[PlanDesc]],1,4) = "PLAN","POSPAGO",IF(MID(Pospago[[#This Row],[PlanDesc]],1,4)="FULL","FULL MEGAS","PREVIOPAGO"))</f>
        <v>PREVIOPAGO</v>
      </c>
      <c r="BI7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7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0" s="21">
        <f>Pospago[[#This Row],[TARIFA_BASICA]]*1.5</f>
        <v>22.5</v>
      </c>
    </row>
    <row r="711" spans="1:63" x14ac:dyDescent="0.25">
      <c r="A711" s="18" t="s">
        <v>154</v>
      </c>
      <c r="B711" s="18" t="s">
        <v>4556</v>
      </c>
      <c r="C711" s="18" t="s">
        <v>4557</v>
      </c>
      <c r="D711" s="19">
        <v>44901</v>
      </c>
      <c r="E711" s="18" t="s">
        <v>67</v>
      </c>
      <c r="F711" s="18" t="s">
        <v>4558</v>
      </c>
      <c r="G711" s="18" t="s">
        <v>4559</v>
      </c>
      <c r="H711" s="18" t="s">
        <v>159</v>
      </c>
      <c r="I711" s="18" t="s">
        <v>160</v>
      </c>
      <c r="J711" s="18" t="s">
        <v>161</v>
      </c>
      <c r="K711" s="18" t="s">
        <v>95</v>
      </c>
      <c r="L711" s="20" t="s">
        <v>4560</v>
      </c>
      <c r="M711" s="18" t="s">
        <v>75</v>
      </c>
      <c r="N711" s="20" t="s">
        <v>4561</v>
      </c>
      <c r="O711" s="18" t="s">
        <v>164</v>
      </c>
      <c r="P711" s="18" t="s">
        <v>78</v>
      </c>
      <c r="Q711" s="19">
        <v>44914</v>
      </c>
      <c r="R711" s="21">
        <v>14.28</v>
      </c>
      <c r="S711" s="18" t="s">
        <v>79</v>
      </c>
      <c r="T711" s="18" t="s">
        <v>232</v>
      </c>
      <c r="U711" s="18" t="s">
        <v>83</v>
      </c>
      <c r="V711" s="18" t="s">
        <v>95</v>
      </c>
      <c r="W711" s="18" t="s">
        <v>95</v>
      </c>
      <c r="X711" s="18" t="s">
        <v>84</v>
      </c>
      <c r="Y711" s="18" t="s">
        <v>85</v>
      </c>
      <c r="Z711" s="18" t="s">
        <v>86</v>
      </c>
      <c r="AA711" s="18" t="s">
        <v>87</v>
      </c>
      <c r="AB711" s="18" t="s">
        <v>271</v>
      </c>
      <c r="AC711" s="18" t="s">
        <v>272</v>
      </c>
      <c r="AD711" s="18" t="s">
        <v>85</v>
      </c>
      <c r="AE711" s="18" t="s">
        <v>90</v>
      </c>
      <c r="AF711" s="18" t="s">
        <v>235</v>
      </c>
      <c r="AG711" s="18" t="s">
        <v>139</v>
      </c>
      <c r="AH711" s="18" t="s">
        <v>165</v>
      </c>
      <c r="AI711" s="18" t="s">
        <v>94</v>
      </c>
      <c r="AJ711" s="19">
        <v>44901</v>
      </c>
      <c r="AK711" s="22" t="s">
        <v>95</v>
      </c>
      <c r="AL711" s="18" t="s">
        <v>95</v>
      </c>
      <c r="AM711" s="18" t="s">
        <v>95</v>
      </c>
      <c r="AN711" s="18" t="s">
        <v>95</v>
      </c>
      <c r="AO711" s="18" t="s">
        <v>95</v>
      </c>
      <c r="AP711" s="18" t="s">
        <v>95</v>
      </c>
      <c r="AQ711" s="18" t="s">
        <v>95</v>
      </c>
      <c r="AR711" s="18" t="s">
        <v>95</v>
      </c>
      <c r="AS711" s="18" t="s">
        <v>83</v>
      </c>
      <c r="AT711" s="18" t="s">
        <v>83</v>
      </c>
      <c r="AU711" s="18" t="s">
        <v>81</v>
      </c>
      <c r="AV711" s="18" t="s">
        <v>95</v>
      </c>
      <c r="AW711" s="18" t="s">
        <v>95</v>
      </c>
      <c r="AX711" s="18"/>
      <c r="AY711" s="18" t="str">
        <f>Pospago[[#This Row],[NUM_TELEFONICO]]&amp;"POSPAGOSI"</f>
        <v>992851488POSPAGOSI</v>
      </c>
      <c r="AZ711" s="18" t="str">
        <f>VLOOKUP(Pospago[[#This Row],[NOM_PLAZA_FINAL]],[1]!Locales[#Data],3,0)</f>
        <v>TIENDA CONDADO</v>
      </c>
      <c r="BA711" s="18" t="str">
        <f>IFERROR(VLOOKUP(Pospago[[#This Row],[USUARIO]],[1]!Personal[#Data],6,0),"EJECUTIVO NO REGISTRADO")</f>
        <v>CASTILLO AGUIRRE EDWIN MODESTO</v>
      </c>
      <c r="BB711" s="18" t="str">
        <f>Pospago[[#This Row],[TIPO_MOVIMIENTO]]&amp;" "&amp;Pospago[[#This Row],[FORMA_PAGO_FINAL]]</f>
        <v>TRANSFERENCIAS DOMICILIADO</v>
      </c>
      <c r="BC711" s="18">
        <f>DAY(Pospago[[#This Row],[FECHA_ALTA]])</f>
        <v>6</v>
      </c>
      <c r="BD711" s="18">
        <f>IF(Pospago[[#This Row],[TARIFA_BASICA]]=11.42,1,0)</f>
        <v>0</v>
      </c>
      <c r="BE711" s="18">
        <f>IF(Pospago[[#This Row],[PLANES TELEVENTAS]]="SI",1,0)</f>
        <v>0</v>
      </c>
      <c r="BF711" s="18">
        <f>1</f>
        <v>1</v>
      </c>
      <c r="BG711" s="18">
        <f>IF(OR(Pospago[[#This Row],[TARIFA_BASICA]]=11.42,Pospago[[#This Row],[PLANES TELEVENTAS]]="SI"),1,0)</f>
        <v>0</v>
      </c>
      <c r="BH711" s="18" t="str">
        <f>IF(MID(Pospago[[#This Row],[PlanDesc]],1,4) = "PLAN","POSPAGO",IF(MID(Pospago[[#This Row],[PlanDesc]],1,4)="FULL","FULL MEGAS","PREVIOPAGO"))</f>
        <v>PREVIOPAGO</v>
      </c>
      <c r="BI7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1" s="21">
        <f>Pospago[[#This Row],[TARIFA_BASICA]]*1.5</f>
        <v>21.419999999999998</v>
      </c>
    </row>
    <row r="712" spans="1:63" x14ac:dyDescent="0.25">
      <c r="A712" s="18" t="s">
        <v>154</v>
      </c>
      <c r="B712" s="18" t="s">
        <v>4562</v>
      </c>
      <c r="C712" s="18" t="s">
        <v>4563</v>
      </c>
      <c r="D712" s="19">
        <v>44900</v>
      </c>
      <c r="E712" s="18" t="s">
        <v>67</v>
      </c>
      <c r="F712" s="18" t="s">
        <v>4564</v>
      </c>
      <c r="G712" s="18" t="s">
        <v>4565</v>
      </c>
      <c r="H712" s="18" t="s">
        <v>159</v>
      </c>
      <c r="I712" s="18" t="s">
        <v>130</v>
      </c>
      <c r="J712" s="18" t="s">
        <v>433</v>
      </c>
      <c r="K712" s="18" t="s">
        <v>4566</v>
      </c>
      <c r="L712" s="20" t="s">
        <v>4567</v>
      </c>
      <c r="M712" s="18" t="s">
        <v>75</v>
      </c>
      <c r="N712" s="20" t="s">
        <v>4568</v>
      </c>
      <c r="O712" s="18" t="s">
        <v>164</v>
      </c>
      <c r="P712" s="18" t="s">
        <v>78</v>
      </c>
      <c r="Q712" s="19">
        <v>44914</v>
      </c>
      <c r="R712" s="21">
        <v>15</v>
      </c>
      <c r="S712" s="18" t="s">
        <v>79</v>
      </c>
      <c r="T712" s="18" t="s">
        <v>117</v>
      </c>
      <c r="U712" s="18" t="s">
        <v>83</v>
      </c>
      <c r="V712" s="18" t="s">
        <v>95</v>
      </c>
      <c r="W712" s="18" t="s">
        <v>95</v>
      </c>
      <c r="X712" s="18" t="s">
        <v>84</v>
      </c>
      <c r="Y712" s="18" t="s">
        <v>85</v>
      </c>
      <c r="Z712" s="18" t="s">
        <v>86</v>
      </c>
      <c r="AA712" s="18" t="s">
        <v>87</v>
      </c>
      <c r="AB712" s="18" t="s">
        <v>1043</v>
      </c>
      <c r="AC712" s="18" t="s">
        <v>1044</v>
      </c>
      <c r="AD712" s="18" t="s">
        <v>85</v>
      </c>
      <c r="AE712" s="18" t="s">
        <v>90</v>
      </c>
      <c r="AF712" s="18" t="s">
        <v>122</v>
      </c>
      <c r="AG712" s="18" t="s">
        <v>92</v>
      </c>
      <c r="AH712" s="18" t="s">
        <v>165</v>
      </c>
      <c r="AI712" s="18" t="s">
        <v>94</v>
      </c>
      <c r="AJ712" s="19">
        <v>44900</v>
      </c>
      <c r="AK712" s="22" t="s">
        <v>95</v>
      </c>
      <c r="AL712" s="18" t="s">
        <v>95</v>
      </c>
      <c r="AM712" s="18" t="s">
        <v>95</v>
      </c>
      <c r="AN712" s="18" t="s">
        <v>95</v>
      </c>
      <c r="AO712" s="18" t="s">
        <v>95</v>
      </c>
      <c r="AP712" s="18" t="s">
        <v>95</v>
      </c>
      <c r="AQ712" s="18" t="s">
        <v>95</v>
      </c>
      <c r="AR712" s="18" t="s">
        <v>95</v>
      </c>
      <c r="AS712" s="18" t="s">
        <v>83</v>
      </c>
      <c r="AT712" s="18" t="s">
        <v>83</v>
      </c>
      <c r="AU712" s="18" t="s">
        <v>81</v>
      </c>
      <c r="AV712" s="18" t="s">
        <v>95</v>
      </c>
      <c r="AW712" s="18" t="s">
        <v>95</v>
      </c>
      <c r="AX712" s="18"/>
      <c r="AY712" s="18" t="str">
        <f>Pospago[[#This Row],[NUM_TELEFONICO]]&amp;"POSPAGOSI"</f>
        <v>992864514POSPAGOSI</v>
      </c>
      <c r="AZ712" s="18" t="str">
        <f>VLOOKUP(Pospago[[#This Row],[NOM_PLAZA_FINAL]],[1]!Locales[#Data],3,0)</f>
        <v>TIENDA MACHALA</v>
      </c>
      <c r="BA712" s="18" t="str">
        <f>IFERROR(VLOOKUP(Pospago[[#This Row],[USUARIO]],[1]!Personal[#Data],6,0),"EJECUTIVO NO REGISTRADO")</f>
        <v>GONZAGA YUPANGUI LIZBETH KATHERINE</v>
      </c>
      <c r="BB712" s="18" t="str">
        <f>Pospago[[#This Row],[TIPO_MOVIMIENTO]]&amp;" "&amp;Pospago[[#This Row],[FORMA_PAGO_FINAL]]</f>
        <v>TRANSFERENCIAS DOMICILIADO</v>
      </c>
      <c r="BC712" s="18">
        <f>DAY(Pospago[[#This Row],[FECHA_ALTA]])</f>
        <v>5</v>
      </c>
      <c r="BD712" s="18">
        <f>IF(Pospago[[#This Row],[TARIFA_BASICA]]=11.42,1,0)</f>
        <v>0</v>
      </c>
      <c r="BE712" s="18">
        <f>IF(Pospago[[#This Row],[PLANES TELEVENTAS]]="SI",1,0)</f>
        <v>0</v>
      </c>
      <c r="BF712" s="18">
        <f>1</f>
        <v>1</v>
      </c>
      <c r="BG712" s="18">
        <f>IF(OR(Pospago[[#This Row],[TARIFA_BASICA]]=11.42,Pospago[[#This Row],[PLANES TELEVENTAS]]="SI"),1,0)</f>
        <v>0</v>
      </c>
      <c r="BH712" s="18" t="str">
        <f>IF(MID(Pospago[[#This Row],[PlanDesc]],1,4) = "PLAN","POSPAGO",IF(MID(Pospago[[#This Row],[PlanDesc]],1,4)="FULL","FULL MEGAS","PREVIOPAGO"))</f>
        <v>PREVIOPAGO</v>
      </c>
      <c r="BI7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</v>
      </c>
      <c r="BJ7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2" s="21">
        <f>Pospago[[#This Row],[TARIFA_BASICA]]*1.5</f>
        <v>22.5</v>
      </c>
    </row>
    <row r="713" spans="1:63" x14ac:dyDescent="0.25">
      <c r="A713" s="18" t="s">
        <v>154</v>
      </c>
      <c r="B713" s="18" t="s">
        <v>4569</v>
      </c>
      <c r="C713" s="18" t="s">
        <v>4570</v>
      </c>
      <c r="D713" s="19">
        <v>44903</v>
      </c>
      <c r="E713" s="18" t="s">
        <v>67</v>
      </c>
      <c r="F713" s="18" t="s">
        <v>4571</v>
      </c>
      <c r="G713" s="18" t="s">
        <v>4572</v>
      </c>
      <c r="H713" s="18" t="s">
        <v>159</v>
      </c>
      <c r="I713" s="18" t="s">
        <v>160</v>
      </c>
      <c r="J713" s="18" t="s">
        <v>161</v>
      </c>
      <c r="K713" s="18" t="s">
        <v>95</v>
      </c>
      <c r="L713" s="20" t="s">
        <v>4573</v>
      </c>
      <c r="M713" s="18" t="s">
        <v>75</v>
      </c>
      <c r="N713" s="20" t="s">
        <v>4574</v>
      </c>
      <c r="O713" s="18" t="s">
        <v>164</v>
      </c>
      <c r="P713" s="18" t="s">
        <v>78</v>
      </c>
      <c r="Q713" s="19">
        <v>44914</v>
      </c>
      <c r="R713" s="21">
        <v>14.28</v>
      </c>
      <c r="S713" s="18" t="s">
        <v>79</v>
      </c>
      <c r="T713" s="18" t="s">
        <v>232</v>
      </c>
      <c r="U713" s="18" t="s">
        <v>83</v>
      </c>
      <c r="V713" s="18" t="s">
        <v>95</v>
      </c>
      <c r="W713" s="18" t="s">
        <v>95</v>
      </c>
      <c r="X713" s="18" t="s">
        <v>118</v>
      </c>
      <c r="Y713" s="18" t="s">
        <v>85</v>
      </c>
      <c r="Z713" s="18" t="s">
        <v>86</v>
      </c>
      <c r="AA713" s="18" t="s">
        <v>119</v>
      </c>
      <c r="AB713" s="18" t="s">
        <v>443</v>
      </c>
      <c r="AC713" s="18" t="s">
        <v>444</v>
      </c>
      <c r="AD713" s="18" t="s">
        <v>85</v>
      </c>
      <c r="AE713" s="18" t="s">
        <v>90</v>
      </c>
      <c r="AF713" s="18" t="s">
        <v>235</v>
      </c>
      <c r="AG713" s="18" t="s">
        <v>139</v>
      </c>
      <c r="AH713" s="18" t="s">
        <v>165</v>
      </c>
      <c r="AI713" s="18" t="s">
        <v>94</v>
      </c>
      <c r="AJ713" s="19">
        <v>44903</v>
      </c>
      <c r="AK713" s="22" t="s">
        <v>95</v>
      </c>
      <c r="AL713" s="18" t="s">
        <v>95</v>
      </c>
      <c r="AM713" s="18" t="s">
        <v>95</v>
      </c>
      <c r="AN713" s="18" t="s">
        <v>95</v>
      </c>
      <c r="AO713" s="18" t="s">
        <v>95</v>
      </c>
      <c r="AP713" s="18" t="s">
        <v>95</v>
      </c>
      <c r="AQ713" s="18" t="s">
        <v>95</v>
      </c>
      <c r="AR713" s="18" t="s">
        <v>95</v>
      </c>
      <c r="AS713" s="18" t="s">
        <v>83</v>
      </c>
      <c r="AT713" s="18" t="s">
        <v>83</v>
      </c>
      <c r="AU713" s="18" t="s">
        <v>81</v>
      </c>
      <c r="AV713" s="18" t="s">
        <v>95</v>
      </c>
      <c r="AW713" s="18" t="s">
        <v>95</v>
      </c>
      <c r="AX713" s="18"/>
      <c r="AY713" s="18" t="str">
        <f>Pospago[[#This Row],[NUM_TELEFONICO]]&amp;"POSPAGOSI"</f>
        <v>992873352POSPAGOSI</v>
      </c>
      <c r="AZ713" s="18" t="str">
        <f>VLOOKUP(Pospago[[#This Row],[NOM_PLAZA_FINAL]],[1]!Locales[#Data],3,0)</f>
        <v>TIENDA CONDADO</v>
      </c>
      <c r="BA713" s="18" t="str">
        <f>IFERROR(VLOOKUP(Pospago[[#This Row],[USUARIO]],[1]!Personal[#Data],6,0),"EJECUTIVO NO REGISTRADO")</f>
        <v>JARAMILLO ESPINOZA KENIA KATRINA</v>
      </c>
      <c r="BB713" s="18" t="str">
        <f>Pospago[[#This Row],[TIPO_MOVIMIENTO]]&amp;" "&amp;Pospago[[#This Row],[FORMA_PAGO_FINAL]]</f>
        <v>TRANSFERENCIAS PAGO EN CAJA</v>
      </c>
      <c r="BC713" s="18">
        <f>DAY(Pospago[[#This Row],[FECHA_ALTA]])</f>
        <v>8</v>
      </c>
      <c r="BD713" s="18">
        <f>IF(Pospago[[#This Row],[TARIFA_BASICA]]=11.42,1,0)</f>
        <v>0</v>
      </c>
      <c r="BE713" s="18">
        <f>IF(Pospago[[#This Row],[PLANES TELEVENTAS]]="SI",1,0)</f>
        <v>0</v>
      </c>
      <c r="BF713" s="18">
        <f>1</f>
        <v>1</v>
      </c>
      <c r="BG713" s="18">
        <f>IF(OR(Pospago[[#This Row],[TARIFA_BASICA]]=11.42,Pospago[[#This Row],[PLANES TELEVENTAS]]="SI"),1,0)</f>
        <v>0</v>
      </c>
      <c r="BH713" s="18" t="str">
        <f>IF(MID(Pospago[[#This Row],[PlanDesc]],1,4) = "PLAN","POSPAGO",IF(MID(Pospago[[#This Row],[PlanDesc]],1,4)="FULL","FULL MEGAS","PREVIOPAGO"))</f>
        <v>PREVIOPAGO</v>
      </c>
      <c r="BI7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3" s="21">
        <f>Pospago[[#This Row],[TARIFA_BASICA]]*1.5</f>
        <v>21.419999999999998</v>
      </c>
    </row>
    <row r="714" spans="1:63" x14ac:dyDescent="0.25">
      <c r="A714" s="18" t="s">
        <v>154</v>
      </c>
      <c r="B714" s="18" t="s">
        <v>4575</v>
      </c>
      <c r="C714" s="18" t="s">
        <v>4576</v>
      </c>
      <c r="D714" s="19">
        <v>44912</v>
      </c>
      <c r="E714" s="18" t="s">
        <v>67</v>
      </c>
      <c r="F714" s="18" t="s">
        <v>4577</v>
      </c>
      <c r="G714" s="18" t="s">
        <v>4578</v>
      </c>
      <c r="H714" s="18" t="s">
        <v>159</v>
      </c>
      <c r="I714" s="18" t="s">
        <v>130</v>
      </c>
      <c r="J714" s="18" t="s">
        <v>433</v>
      </c>
      <c r="K714" s="18" t="s">
        <v>132</v>
      </c>
      <c r="L714" s="20" t="s">
        <v>4579</v>
      </c>
      <c r="M714" s="18" t="s">
        <v>75</v>
      </c>
      <c r="N714" s="20" t="s">
        <v>4580</v>
      </c>
      <c r="O714" s="18" t="s">
        <v>164</v>
      </c>
      <c r="P714" s="18" t="s">
        <v>78</v>
      </c>
      <c r="Q714" s="19">
        <v>44914</v>
      </c>
      <c r="R714" s="21">
        <v>15</v>
      </c>
      <c r="S714" s="18" t="s">
        <v>79</v>
      </c>
      <c r="T714" s="18" t="s">
        <v>174</v>
      </c>
      <c r="U714" s="18" t="s">
        <v>83</v>
      </c>
      <c r="V714" s="18" t="s">
        <v>95</v>
      </c>
      <c r="W714" s="18" t="s">
        <v>95</v>
      </c>
      <c r="X714" s="18" t="s">
        <v>118</v>
      </c>
      <c r="Y714" s="18" t="s">
        <v>85</v>
      </c>
      <c r="Z714" s="18" t="s">
        <v>86</v>
      </c>
      <c r="AA714" s="18" t="s">
        <v>119</v>
      </c>
      <c r="AB714" s="18" t="s">
        <v>251</v>
      </c>
      <c r="AC714" s="18" t="s">
        <v>252</v>
      </c>
      <c r="AD714" s="18" t="s">
        <v>85</v>
      </c>
      <c r="AE714" s="18" t="s">
        <v>90</v>
      </c>
      <c r="AF714" s="18" t="s">
        <v>177</v>
      </c>
      <c r="AG714" s="18" t="s">
        <v>139</v>
      </c>
      <c r="AH714" s="18" t="s">
        <v>165</v>
      </c>
      <c r="AI714" s="18" t="s">
        <v>94</v>
      </c>
      <c r="AJ714" s="19">
        <v>44912</v>
      </c>
      <c r="AK714" s="22" t="s">
        <v>95</v>
      </c>
      <c r="AL714" s="18" t="s">
        <v>95</v>
      </c>
      <c r="AM714" s="18" t="s">
        <v>95</v>
      </c>
      <c r="AN714" s="18" t="s">
        <v>95</v>
      </c>
      <c r="AO714" s="18" t="s">
        <v>95</v>
      </c>
      <c r="AP714" s="18" t="s">
        <v>95</v>
      </c>
      <c r="AQ714" s="18" t="s">
        <v>95</v>
      </c>
      <c r="AR714" s="18" t="s">
        <v>95</v>
      </c>
      <c r="AS714" s="18" t="s">
        <v>83</v>
      </c>
      <c r="AT714" s="18" t="s">
        <v>83</v>
      </c>
      <c r="AU714" s="18" t="s">
        <v>81</v>
      </c>
      <c r="AV714" s="18" t="s">
        <v>95</v>
      </c>
      <c r="AW714" s="18" t="s">
        <v>95</v>
      </c>
      <c r="AX714" s="18"/>
      <c r="AY714" s="18" t="str">
        <f>Pospago[[#This Row],[NUM_TELEFONICO]]&amp;"POSPAGOSI"</f>
        <v>992882844POSPAGOSI</v>
      </c>
      <c r="AZ714" s="18" t="str">
        <f>VLOOKUP(Pospago[[#This Row],[NOM_PLAZA_FINAL]],[1]!Locales[#Data],3,0)</f>
        <v>TIENDA RECREO</v>
      </c>
      <c r="BA714" s="18" t="str">
        <f>IFERROR(VLOOKUP(Pospago[[#This Row],[USUARIO]],[1]!Personal[#Data],6,0),"EJECUTIVO NO REGISTRADO")</f>
        <v>CRUZ MONTUFAR KATHERINE ALEJANDRA</v>
      </c>
      <c r="BB714" s="18" t="str">
        <f>Pospago[[#This Row],[TIPO_MOVIMIENTO]]&amp;" "&amp;Pospago[[#This Row],[FORMA_PAGO_FINAL]]</f>
        <v>TRANSFERENCIAS PAGO EN CAJA</v>
      </c>
      <c r="BC714" s="18">
        <f>DAY(Pospago[[#This Row],[FECHA_ALTA]])</f>
        <v>17</v>
      </c>
      <c r="BD714" s="18">
        <f>IF(Pospago[[#This Row],[TARIFA_BASICA]]=11.42,1,0)</f>
        <v>0</v>
      </c>
      <c r="BE714" s="18">
        <f>IF(Pospago[[#This Row],[PLANES TELEVENTAS]]="SI",1,0)</f>
        <v>0</v>
      </c>
      <c r="BF714" s="18">
        <f>1</f>
        <v>1</v>
      </c>
      <c r="BG714" s="18">
        <f>IF(OR(Pospago[[#This Row],[TARIFA_BASICA]]=11.42,Pospago[[#This Row],[PLANES TELEVENTAS]]="SI"),1,0)</f>
        <v>0</v>
      </c>
      <c r="BH714" s="18" t="str">
        <f>IF(MID(Pospago[[#This Row],[PlanDesc]],1,4) = "PLAN","POSPAGO",IF(MID(Pospago[[#This Row],[PlanDesc]],1,4)="FULL","FULL MEGAS","PREVIOPAGO"))</f>
        <v>PREVIOPAGO</v>
      </c>
      <c r="BI7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7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4" s="21">
        <f>Pospago[[#This Row],[TARIFA_BASICA]]*1.5</f>
        <v>22.5</v>
      </c>
    </row>
    <row r="715" spans="1:63" x14ac:dyDescent="0.25">
      <c r="A715" s="18" t="s">
        <v>64</v>
      </c>
      <c r="B715" s="18" t="s">
        <v>4581</v>
      </c>
      <c r="C715" s="18" t="s">
        <v>4582</v>
      </c>
      <c r="D715" s="19">
        <v>44903</v>
      </c>
      <c r="E715" s="18" t="s">
        <v>67</v>
      </c>
      <c r="F715" s="18" t="s">
        <v>4583</v>
      </c>
      <c r="G715" s="18" t="s">
        <v>4584</v>
      </c>
      <c r="H715" s="18" t="s">
        <v>70</v>
      </c>
      <c r="I715" s="18" t="s">
        <v>160</v>
      </c>
      <c r="J715" s="18" t="s">
        <v>195</v>
      </c>
      <c r="K715" s="18" t="s">
        <v>132</v>
      </c>
      <c r="L715" s="20" t="s">
        <v>4585</v>
      </c>
      <c r="M715" s="18" t="s">
        <v>75</v>
      </c>
      <c r="N715" s="20" t="s">
        <v>4586</v>
      </c>
      <c r="O715" s="18" t="s">
        <v>77</v>
      </c>
      <c r="P715" s="18" t="s">
        <v>78</v>
      </c>
      <c r="Q715" s="19">
        <v>44914</v>
      </c>
      <c r="R715" s="21">
        <v>14.28</v>
      </c>
      <c r="S715" s="18" t="s">
        <v>79</v>
      </c>
      <c r="T715" s="18" t="s">
        <v>174</v>
      </c>
      <c r="U715" s="18" t="s">
        <v>83</v>
      </c>
      <c r="V715" s="18" t="s">
        <v>95</v>
      </c>
      <c r="W715" s="18" t="s">
        <v>83</v>
      </c>
      <c r="X715" s="18" t="s">
        <v>84</v>
      </c>
      <c r="Y715" s="18" t="s">
        <v>85</v>
      </c>
      <c r="Z715" s="18" t="s">
        <v>86</v>
      </c>
      <c r="AA715" s="18" t="s">
        <v>87</v>
      </c>
      <c r="AB715" s="18" t="s">
        <v>369</v>
      </c>
      <c r="AC715" s="18" t="s">
        <v>370</v>
      </c>
      <c r="AD715" s="18" t="s">
        <v>85</v>
      </c>
      <c r="AE715" s="18" t="s">
        <v>90</v>
      </c>
      <c r="AF715" s="18" t="s">
        <v>177</v>
      </c>
      <c r="AG715" s="18" t="s">
        <v>139</v>
      </c>
      <c r="AH715" s="18" t="s">
        <v>93</v>
      </c>
      <c r="AI715" s="18" t="s">
        <v>94</v>
      </c>
      <c r="AJ715" s="19">
        <v>44903</v>
      </c>
      <c r="AK715" s="22" t="s">
        <v>95</v>
      </c>
      <c r="AL715" s="18" t="s">
        <v>95</v>
      </c>
      <c r="AM715" s="18" t="s">
        <v>95</v>
      </c>
      <c r="AN715" s="18" t="s">
        <v>95</v>
      </c>
      <c r="AO715" s="18" t="s">
        <v>95</v>
      </c>
      <c r="AP715" s="18" t="s">
        <v>95</v>
      </c>
      <c r="AQ715" s="18" t="s">
        <v>95</v>
      </c>
      <c r="AR715" s="18" t="s">
        <v>95</v>
      </c>
      <c r="AS715" s="18" t="s">
        <v>83</v>
      </c>
      <c r="AT715" s="18" t="s">
        <v>83</v>
      </c>
      <c r="AU715" s="18" t="s">
        <v>81</v>
      </c>
      <c r="AV715" s="18" t="s">
        <v>95</v>
      </c>
      <c r="AW715" s="18" t="s">
        <v>95</v>
      </c>
      <c r="AX715" s="18"/>
      <c r="AY715" s="18" t="str">
        <f>Pospago[[#This Row],[NUM_TELEFONICO]]&amp;"POSPAGOSI"</f>
        <v>992891011POSPAGOSI</v>
      </c>
      <c r="AZ715" s="18" t="str">
        <f>VLOOKUP(Pospago[[#This Row],[NOM_PLAZA_FINAL]],[1]!Locales[#Data],3,0)</f>
        <v>TIENDA RECREO</v>
      </c>
      <c r="BA715" s="18" t="str">
        <f>IFERROR(VLOOKUP(Pospago[[#This Row],[USUARIO]],[1]!Personal[#Data],6,0),"EJECUTIVO NO REGISTRADO")</f>
        <v>GUAIGUA REINOSO GENESIS CAROLINA</v>
      </c>
      <c r="BB715" s="18" t="str">
        <f>Pospago[[#This Row],[TIPO_MOVIMIENTO]]&amp;" "&amp;Pospago[[#This Row],[FORMA_PAGO_FINAL]]</f>
        <v>ALTAS DOMICILIADO</v>
      </c>
      <c r="BC715" s="18">
        <f>DAY(Pospago[[#This Row],[FECHA_ALTA]])</f>
        <v>8</v>
      </c>
      <c r="BD715" s="18">
        <f>IF(Pospago[[#This Row],[TARIFA_BASICA]]=11.42,1,0)</f>
        <v>0</v>
      </c>
      <c r="BE715" s="18">
        <f>IF(Pospago[[#This Row],[PLANES TELEVENTAS]]="SI",1,0)</f>
        <v>0</v>
      </c>
      <c r="BF715" s="18">
        <f>1</f>
        <v>1</v>
      </c>
      <c r="BG715" s="18">
        <f>IF(OR(Pospago[[#This Row],[TARIFA_BASICA]]=11.42,Pospago[[#This Row],[PLANES TELEVENTAS]]="SI"),1,0)</f>
        <v>0</v>
      </c>
      <c r="BH715" s="18" t="str">
        <f>IF(MID(Pospago[[#This Row],[PlanDesc]],1,4) = "PLAN","POSPAGO",IF(MID(Pospago[[#This Row],[PlanDesc]],1,4)="FULL","FULL MEGAS","PREVIOPAGO"))</f>
        <v>PREVIOPAGO</v>
      </c>
      <c r="BI7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5" s="21">
        <f>Pospago[[#This Row],[TARIFA_BASICA]]*1.5</f>
        <v>21.419999999999998</v>
      </c>
    </row>
    <row r="716" spans="1:63" x14ac:dyDescent="0.25">
      <c r="A716" s="18" t="s">
        <v>64</v>
      </c>
      <c r="B716" s="18" t="s">
        <v>4587</v>
      </c>
      <c r="C716" s="18" t="s">
        <v>4588</v>
      </c>
      <c r="D716" s="19">
        <v>44908</v>
      </c>
      <c r="E716" s="18" t="s">
        <v>67</v>
      </c>
      <c r="F716" s="18" t="s">
        <v>4589</v>
      </c>
      <c r="G716" s="18" t="s">
        <v>4590</v>
      </c>
      <c r="H716" s="18" t="s">
        <v>70</v>
      </c>
      <c r="I716" s="18" t="s">
        <v>160</v>
      </c>
      <c r="J716" s="18" t="s">
        <v>195</v>
      </c>
      <c r="K716" s="18" t="s">
        <v>132</v>
      </c>
      <c r="L716" s="20" t="s">
        <v>4591</v>
      </c>
      <c r="M716" s="18" t="s">
        <v>75</v>
      </c>
      <c r="N716" s="20" t="s">
        <v>4592</v>
      </c>
      <c r="O716" s="18" t="s">
        <v>77</v>
      </c>
      <c r="P716" s="18" t="s">
        <v>78</v>
      </c>
      <c r="Q716" s="19">
        <v>44914</v>
      </c>
      <c r="R716" s="21">
        <v>14.28</v>
      </c>
      <c r="S716" s="18" t="s">
        <v>79</v>
      </c>
      <c r="T716" s="18" t="s">
        <v>174</v>
      </c>
      <c r="U716" s="18" t="s">
        <v>83</v>
      </c>
      <c r="V716" s="18" t="s">
        <v>95</v>
      </c>
      <c r="W716" s="18" t="s">
        <v>83</v>
      </c>
      <c r="X716" s="18" t="s">
        <v>84</v>
      </c>
      <c r="Y716" s="18" t="s">
        <v>85</v>
      </c>
      <c r="Z716" s="18" t="s">
        <v>86</v>
      </c>
      <c r="AA716" s="18" t="s">
        <v>87</v>
      </c>
      <c r="AB716" s="18" t="s">
        <v>740</v>
      </c>
      <c r="AC716" s="18" t="s">
        <v>741</v>
      </c>
      <c r="AD716" s="18" t="s">
        <v>85</v>
      </c>
      <c r="AE716" s="18" t="s">
        <v>90</v>
      </c>
      <c r="AF716" s="18" t="s">
        <v>177</v>
      </c>
      <c r="AG716" s="18" t="s">
        <v>139</v>
      </c>
      <c r="AH716" s="18" t="s">
        <v>93</v>
      </c>
      <c r="AI716" s="18" t="s">
        <v>94</v>
      </c>
      <c r="AJ716" s="19">
        <v>44908</v>
      </c>
      <c r="AK716" s="22" t="s">
        <v>95</v>
      </c>
      <c r="AL716" s="18" t="s">
        <v>95</v>
      </c>
      <c r="AM716" s="18" t="s">
        <v>95</v>
      </c>
      <c r="AN716" s="18" t="s">
        <v>95</v>
      </c>
      <c r="AO716" s="18" t="s">
        <v>95</v>
      </c>
      <c r="AP716" s="18" t="s">
        <v>95</v>
      </c>
      <c r="AQ716" s="18" t="s">
        <v>95</v>
      </c>
      <c r="AR716" s="18" t="s">
        <v>95</v>
      </c>
      <c r="AS716" s="18" t="s">
        <v>83</v>
      </c>
      <c r="AT716" s="18" t="s">
        <v>83</v>
      </c>
      <c r="AU716" s="18" t="s">
        <v>81</v>
      </c>
      <c r="AV716" s="18" t="s">
        <v>95</v>
      </c>
      <c r="AW716" s="18" t="s">
        <v>95</v>
      </c>
      <c r="AX716" s="18"/>
      <c r="AY716" s="18" t="str">
        <f>Pospago[[#This Row],[NUM_TELEFONICO]]&amp;"POSPAGOSI"</f>
        <v>992897516POSPAGOSI</v>
      </c>
      <c r="AZ716" s="18" t="str">
        <f>VLOOKUP(Pospago[[#This Row],[NOM_PLAZA_FINAL]],[1]!Locales[#Data],3,0)</f>
        <v>TIENDA RECREO</v>
      </c>
      <c r="BA716" s="18" t="str">
        <f>IFERROR(VLOOKUP(Pospago[[#This Row],[USUARIO]],[1]!Personal[#Data],6,0),"EJECUTIVO NO REGISTRADO")</f>
        <v>CHAVEZ VASQUEZ YESSENIA KATHERINE</v>
      </c>
      <c r="BB716" s="18" t="str">
        <f>Pospago[[#This Row],[TIPO_MOVIMIENTO]]&amp;" "&amp;Pospago[[#This Row],[FORMA_PAGO_FINAL]]</f>
        <v>ALTAS DOMICILIADO</v>
      </c>
      <c r="BC716" s="18">
        <f>DAY(Pospago[[#This Row],[FECHA_ALTA]])</f>
        <v>13</v>
      </c>
      <c r="BD716" s="18">
        <f>IF(Pospago[[#This Row],[TARIFA_BASICA]]=11.42,1,0)</f>
        <v>0</v>
      </c>
      <c r="BE716" s="18">
        <f>IF(Pospago[[#This Row],[PLANES TELEVENTAS]]="SI",1,0)</f>
        <v>0</v>
      </c>
      <c r="BF716" s="18">
        <f>1</f>
        <v>1</v>
      </c>
      <c r="BG716" s="18">
        <f>IF(OR(Pospago[[#This Row],[TARIFA_BASICA]]=11.42,Pospago[[#This Row],[PLANES TELEVENTAS]]="SI"),1,0)</f>
        <v>0</v>
      </c>
      <c r="BH716" s="18" t="str">
        <f>IF(MID(Pospago[[#This Row],[PlanDesc]],1,4) = "PLAN","POSPAGO",IF(MID(Pospago[[#This Row],[PlanDesc]],1,4)="FULL","FULL MEGAS","PREVIOPAGO"))</f>
        <v>PREVIOPAGO</v>
      </c>
      <c r="BI7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6" s="21">
        <f>Pospago[[#This Row],[TARIFA_BASICA]]*1.5</f>
        <v>21.419999999999998</v>
      </c>
    </row>
    <row r="717" spans="1:63" x14ac:dyDescent="0.25">
      <c r="A717" s="18" t="s">
        <v>154</v>
      </c>
      <c r="B717" s="18" t="s">
        <v>4593</v>
      </c>
      <c r="C717" s="18" t="s">
        <v>4594</v>
      </c>
      <c r="D717" s="19">
        <v>44898</v>
      </c>
      <c r="E717" s="18" t="s">
        <v>67</v>
      </c>
      <c r="F717" s="18" t="s">
        <v>4595</v>
      </c>
      <c r="G717" s="18" t="s">
        <v>4596</v>
      </c>
      <c r="H717" s="18" t="s">
        <v>159</v>
      </c>
      <c r="I717" s="18" t="s">
        <v>160</v>
      </c>
      <c r="J717" s="18" t="s">
        <v>161</v>
      </c>
      <c r="K717" s="18" t="s">
        <v>73</v>
      </c>
      <c r="L717" s="20" t="s">
        <v>4597</v>
      </c>
      <c r="M717" s="18" t="s">
        <v>75</v>
      </c>
      <c r="N717" s="20" t="s">
        <v>4598</v>
      </c>
      <c r="O717" s="18" t="s">
        <v>164</v>
      </c>
      <c r="P717" s="18" t="s">
        <v>78</v>
      </c>
      <c r="Q717" s="19">
        <v>44914</v>
      </c>
      <c r="R717" s="21">
        <v>14.28</v>
      </c>
      <c r="S717" s="18" t="s">
        <v>79</v>
      </c>
      <c r="T717" s="18" t="s">
        <v>135</v>
      </c>
      <c r="U717" s="18" t="s">
        <v>83</v>
      </c>
      <c r="V717" s="18" t="s">
        <v>95</v>
      </c>
      <c r="W717" s="18" t="s">
        <v>95</v>
      </c>
      <c r="X717" s="18" t="s">
        <v>118</v>
      </c>
      <c r="Y717" s="18" t="s">
        <v>85</v>
      </c>
      <c r="Z717" s="18" t="s">
        <v>86</v>
      </c>
      <c r="AA717" s="18" t="s">
        <v>119</v>
      </c>
      <c r="AB717" s="18" t="s">
        <v>866</v>
      </c>
      <c r="AC717" s="18" t="s">
        <v>867</v>
      </c>
      <c r="AD717" s="18" t="s">
        <v>85</v>
      </c>
      <c r="AE717" s="18" t="s">
        <v>90</v>
      </c>
      <c r="AF717" s="18" t="s">
        <v>138</v>
      </c>
      <c r="AG717" s="18" t="s">
        <v>139</v>
      </c>
      <c r="AH717" s="18" t="s">
        <v>165</v>
      </c>
      <c r="AI717" s="18" t="s">
        <v>94</v>
      </c>
      <c r="AJ717" s="19">
        <v>44898</v>
      </c>
      <c r="AK717" s="22" t="s">
        <v>95</v>
      </c>
      <c r="AL717" s="18" t="s">
        <v>95</v>
      </c>
      <c r="AM717" s="18" t="s">
        <v>95</v>
      </c>
      <c r="AN717" s="18" t="s">
        <v>95</v>
      </c>
      <c r="AO717" s="18" t="s">
        <v>95</v>
      </c>
      <c r="AP717" s="18" t="s">
        <v>95</v>
      </c>
      <c r="AQ717" s="18" t="s">
        <v>95</v>
      </c>
      <c r="AR717" s="18" t="s">
        <v>95</v>
      </c>
      <c r="AS717" s="18" t="s">
        <v>83</v>
      </c>
      <c r="AT717" s="18" t="s">
        <v>83</v>
      </c>
      <c r="AU717" s="18" t="s">
        <v>81</v>
      </c>
      <c r="AV717" s="18" t="s">
        <v>95</v>
      </c>
      <c r="AW717" s="18" t="s">
        <v>95</v>
      </c>
      <c r="AX717" s="18"/>
      <c r="AY717" s="18" t="str">
        <f>Pospago[[#This Row],[NUM_TELEFONICO]]&amp;"POSPAGOSI"</f>
        <v>992910886POSPAGOSI</v>
      </c>
      <c r="AZ717" s="18" t="str">
        <f>VLOOKUP(Pospago[[#This Row],[NOM_PLAZA_FINAL]],[1]!Locales[#Data],3,0)</f>
        <v>TIENDA AMERICA</v>
      </c>
      <c r="BA717" s="18" t="str">
        <f>IFERROR(VLOOKUP(Pospago[[#This Row],[USUARIO]],[1]!Personal[#Data],6,0),"EJECUTIVO NO REGISTRADO")</f>
        <v>ORTEGA RUIZ GABRIEL ANTONIO</v>
      </c>
      <c r="BB717" s="18" t="str">
        <f>Pospago[[#This Row],[TIPO_MOVIMIENTO]]&amp;" "&amp;Pospago[[#This Row],[FORMA_PAGO_FINAL]]</f>
        <v>TRANSFERENCIAS PAGO EN CAJA</v>
      </c>
      <c r="BC717" s="18">
        <f>DAY(Pospago[[#This Row],[FECHA_ALTA]])</f>
        <v>3</v>
      </c>
      <c r="BD717" s="18">
        <f>IF(Pospago[[#This Row],[TARIFA_BASICA]]=11.42,1,0)</f>
        <v>0</v>
      </c>
      <c r="BE717" s="18">
        <f>IF(Pospago[[#This Row],[PLANES TELEVENTAS]]="SI",1,0)</f>
        <v>0</v>
      </c>
      <c r="BF717" s="18">
        <f>1</f>
        <v>1</v>
      </c>
      <c r="BG717" s="18">
        <f>IF(OR(Pospago[[#This Row],[TARIFA_BASICA]]=11.42,Pospago[[#This Row],[PLANES TELEVENTAS]]="SI"),1,0)</f>
        <v>0</v>
      </c>
      <c r="BH717" s="18" t="str">
        <f>IF(MID(Pospago[[#This Row],[PlanDesc]],1,4) = "PLAN","POSPAGO",IF(MID(Pospago[[#This Row],[PlanDesc]],1,4)="FULL","FULL MEGAS","PREVIOPAGO"))</f>
        <v>PREVIOPAGO</v>
      </c>
      <c r="BI7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7" s="21">
        <f>Pospago[[#This Row],[TARIFA_BASICA]]*1.5</f>
        <v>21.419999999999998</v>
      </c>
    </row>
    <row r="718" spans="1:63" x14ac:dyDescent="0.25">
      <c r="A718" s="18" t="s">
        <v>64</v>
      </c>
      <c r="B718" s="18" t="s">
        <v>4599</v>
      </c>
      <c r="C718" s="18" t="s">
        <v>4600</v>
      </c>
      <c r="D718" s="19">
        <v>44907</v>
      </c>
      <c r="E718" s="18" t="s">
        <v>67</v>
      </c>
      <c r="F718" s="18" t="s">
        <v>4601</v>
      </c>
      <c r="G718" s="18" t="s">
        <v>4602</v>
      </c>
      <c r="H718" s="18" t="s">
        <v>70</v>
      </c>
      <c r="I718" s="18" t="s">
        <v>698</v>
      </c>
      <c r="J718" s="18" t="s">
        <v>607</v>
      </c>
      <c r="K718" s="18" t="s">
        <v>73</v>
      </c>
      <c r="L718" s="20" t="s">
        <v>4603</v>
      </c>
      <c r="M718" s="18" t="s">
        <v>75</v>
      </c>
      <c r="N718" s="20" t="s">
        <v>4604</v>
      </c>
      <c r="O718" s="18" t="s">
        <v>77</v>
      </c>
      <c r="P718" s="18" t="s">
        <v>78</v>
      </c>
      <c r="Q718" s="19">
        <v>44914</v>
      </c>
      <c r="R718" s="21">
        <v>26.78</v>
      </c>
      <c r="S718" s="18" t="s">
        <v>79</v>
      </c>
      <c r="T718" s="18" t="s">
        <v>232</v>
      </c>
      <c r="U718" s="18" t="s">
        <v>83</v>
      </c>
      <c r="V718" s="18" t="s">
        <v>95</v>
      </c>
      <c r="W718" s="18" t="s">
        <v>83</v>
      </c>
      <c r="X718" s="18" t="s">
        <v>84</v>
      </c>
      <c r="Y718" s="18" t="s">
        <v>85</v>
      </c>
      <c r="Z718" s="18" t="s">
        <v>86</v>
      </c>
      <c r="AA718" s="18" t="s">
        <v>87</v>
      </c>
      <c r="AB718" s="18" t="s">
        <v>280</v>
      </c>
      <c r="AC718" s="18" t="s">
        <v>281</v>
      </c>
      <c r="AD718" s="18" t="s">
        <v>85</v>
      </c>
      <c r="AE718" s="18" t="s">
        <v>90</v>
      </c>
      <c r="AF718" s="18" t="s">
        <v>235</v>
      </c>
      <c r="AG718" s="18" t="s">
        <v>139</v>
      </c>
      <c r="AH718" s="18" t="s">
        <v>93</v>
      </c>
      <c r="AI718" s="18" t="s">
        <v>94</v>
      </c>
      <c r="AJ718" s="19">
        <v>44907</v>
      </c>
      <c r="AK718" s="22" t="s">
        <v>95</v>
      </c>
      <c r="AL718" s="18" t="s">
        <v>95</v>
      </c>
      <c r="AM718" s="18" t="s">
        <v>95</v>
      </c>
      <c r="AN718" s="18" t="s">
        <v>95</v>
      </c>
      <c r="AO718" s="18" t="s">
        <v>95</v>
      </c>
      <c r="AP718" s="18" t="s">
        <v>95</v>
      </c>
      <c r="AQ718" s="18" t="s">
        <v>95</v>
      </c>
      <c r="AR718" s="18" t="s">
        <v>95</v>
      </c>
      <c r="AS718" s="18" t="s">
        <v>83</v>
      </c>
      <c r="AT718" s="18" t="s">
        <v>81</v>
      </c>
      <c r="AU718" s="18" t="s">
        <v>81</v>
      </c>
      <c r="AV718" s="18" t="s">
        <v>95</v>
      </c>
      <c r="AW718" s="18" t="s">
        <v>95</v>
      </c>
      <c r="AX718" s="18"/>
      <c r="AY718" s="18" t="str">
        <f>Pospago[[#This Row],[NUM_TELEFONICO]]&amp;"POSPAGOSI"</f>
        <v>992917266POSPAGOSI</v>
      </c>
      <c r="AZ718" s="18" t="str">
        <f>VLOOKUP(Pospago[[#This Row],[NOM_PLAZA_FINAL]],[1]!Locales[#Data],3,0)</f>
        <v>TIENDA CONDADO</v>
      </c>
      <c r="BA718" s="18" t="str">
        <f>IFERROR(VLOOKUP(Pospago[[#This Row],[USUARIO]],[1]!Personal[#Data],6,0),"EJECUTIVO NO REGISTRADO")</f>
        <v>GUACHAMIN CAZA HUGO ADRIAN</v>
      </c>
      <c r="BB718" s="18" t="str">
        <f>Pospago[[#This Row],[TIPO_MOVIMIENTO]]&amp;" "&amp;Pospago[[#This Row],[FORMA_PAGO_FINAL]]</f>
        <v>ALTAS DOMICILIADO</v>
      </c>
      <c r="BC718" s="18">
        <f>DAY(Pospago[[#This Row],[FECHA_ALTA]])</f>
        <v>12</v>
      </c>
      <c r="BD718" s="18">
        <f>IF(Pospago[[#This Row],[TARIFA_BASICA]]=11.42,1,0)</f>
        <v>0</v>
      </c>
      <c r="BE718" s="18">
        <f>IF(Pospago[[#This Row],[PLANES TELEVENTAS]]="SI",1,0)</f>
        <v>1</v>
      </c>
      <c r="BF718" s="18">
        <f>1</f>
        <v>1</v>
      </c>
      <c r="BG718" s="18">
        <f>IF(OR(Pospago[[#This Row],[TARIFA_BASICA]]=11.42,Pospago[[#This Row],[PLANES TELEVENTAS]]="SI"),1,0)</f>
        <v>1</v>
      </c>
      <c r="BH718" s="18" t="str">
        <f>IF(MID(Pospago[[#This Row],[PlanDesc]],1,4) = "PLAN","POSPAGO",IF(MID(Pospago[[#This Row],[PlanDesc]],1,4)="FULL","FULL MEGAS","PREVIOPAGO"))</f>
        <v>PREVIOPAGO</v>
      </c>
      <c r="BI7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7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8" s="21">
        <f>Pospago[[#This Row],[TARIFA_BASICA]]*1.5</f>
        <v>40.17</v>
      </c>
    </row>
    <row r="719" spans="1:63" x14ac:dyDescent="0.25">
      <c r="A719" s="18" t="s">
        <v>64</v>
      </c>
      <c r="B719" s="18" t="s">
        <v>4605</v>
      </c>
      <c r="C719" s="18" t="s">
        <v>1342</v>
      </c>
      <c r="D719" s="19">
        <v>44912</v>
      </c>
      <c r="E719" s="18" t="s">
        <v>67</v>
      </c>
      <c r="F719" s="18" t="s">
        <v>1343</v>
      </c>
      <c r="G719" s="18" t="s">
        <v>1344</v>
      </c>
      <c r="H719" s="18" t="s">
        <v>70</v>
      </c>
      <c r="I719" s="18" t="s">
        <v>160</v>
      </c>
      <c r="J719" s="18" t="s">
        <v>195</v>
      </c>
      <c r="K719" s="18" t="s">
        <v>95</v>
      </c>
      <c r="L719" s="20" t="s">
        <v>4606</v>
      </c>
      <c r="M719" s="18" t="s">
        <v>75</v>
      </c>
      <c r="N719" s="20" t="s">
        <v>4607</v>
      </c>
      <c r="O719" s="18" t="s">
        <v>77</v>
      </c>
      <c r="P719" s="18" t="s">
        <v>78</v>
      </c>
      <c r="Q719" s="19">
        <v>44914</v>
      </c>
      <c r="R719" s="21">
        <v>14.28</v>
      </c>
      <c r="S719" s="18" t="s">
        <v>79</v>
      </c>
      <c r="T719" s="18" t="s">
        <v>232</v>
      </c>
      <c r="U719" s="18" t="s">
        <v>83</v>
      </c>
      <c r="V719" s="18" t="s">
        <v>95</v>
      </c>
      <c r="W719" s="18" t="s">
        <v>83</v>
      </c>
      <c r="X719" s="18" t="s">
        <v>84</v>
      </c>
      <c r="Y719" s="18" t="s">
        <v>85</v>
      </c>
      <c r="Z719" s="18" t="s">
        <v>86</v>
      </c>
      <c r="AA719" s="18" t="s">
        <v>87</v>
      </c>
      <c r="AB719" s="18" t="s">
        <v>233</v>
      </c>
      <c r="AC719" s="18" t="s">
        <v>234</v>
      </c>
      <c r="AD719" s="18" t="s">
        <v>85</v>
      </c>
      <c r="AE719" s="18" t="s">
        <v>90</v>
      </c>
      <c r="AF719" s="18" t="s">
        <v>235</v>
      </c>
      <c r="AG719" s="18" t="s">
        <v>139</v>
      </c>
      <c r="AH719" s="18" t="s">
        <v>93</v>
      </c>
      <c r="AI719" s="18" t="s">
        <v>94</v>
      </c>
      <c r="AJ719" s="19">
        <v>44912</v>
      </c>
      <c r="AK719" s="22" t="s">
        <v>95</v>
      </c>
      <c r="AL719" s="18" t="s">
        <v>95</v>
      </c>
      <c r="AM719" s="18" t="s">
        <v>95</v>
      </c>
      <c r="AN719" s="18" t="s">
        <v>95</v>
      </c>
      <c r="AO719" s="18" t="s">
        <v>95</v>
      </c>
      <c r="AP719" s="18" t="s">
        <v>95</v>
      </c>
      <c r="AQ719" s="18" t="s">
        <v>95</v>
      </c>
      <c r="AR719" s="18" t="s">
        <v>95</v>
      </c>
      <c r="AS719" s="18" t="s">
        <v>83</v>
      </c>
      <c r="AT719" s="18" t="s">
        <v>83</v>
      </c>
      <c r="AU719" s="18" t="s">
        <v>81</v>
      </c>
      <c r="AV719" s="18" t="s">
        <v>95</v>
      </c>
      <c r="AW719" s="18" t="s">
        <v>95</v>
      </c>
      <c r="AX719" s="18"/>
      <c r="AY719" s="18" t="str">
        <f>Pospago[[#This Row],[NUM_TELEFONICO]]&amp;"POSPAGOSI"</f>
        <v>992921808POSPAGOSI</v>
      </c>
      <c r="AZ719" s="18" t="str">
        <f>VLOOKUP(Pospago[[#This Row],[NOM_PLAZA_FINAL]],[1]!Locales[#Data],3,0)</f>
        <v>TIENDA CONDADO</v>
      </c>
      <c r="BA719" s="18" t="str">
        <f>IFERROR(VLOOKUP(Pospago[[#This Row],[USUARIO]],[1]!Personal[#Data],6,0),"EJECUTIVO NO REGISTRADO")</f>
        <v>ROSALES MALDONADO JESSICA GABRIELA</v>
      </c>
      <c r="BB719" s="18" t="str">
        <f>Pospago[[#This Row],[TIPO_MOVIMIENTO]]&amp;" "&amp;Pospago[[#This Row],[FORMA_PAGO_FINAL]]</f>
        <v>ALTAS DOMICILIADO</v>
      </c>
      <c r="BC719" s="18">
        <f>DAY(Pospago[[#This Row],[FECHA_ALTA]])</f>
        <v>17</v>
      </c>
      <c r="BD719" s="18">
        <f>IF(Pospago[[#This Row],[TARIFA_BASICA]]=11.42,1,0)</f>
        <v>0</v>
      </c>
      <c r="BE719" s="18">
        <f>IF(Pospago[[#This Row],[PLANES TELEVENTAS]]="SI",1,0)</f>
        <v>0</v>
      </c>
      <c r="BF719" s="18">
        <f>1</f>
        <v>1</v>
      </c>
      <c r="BG719" s="18">
        <f>IF(OR(Pospago[[#This Row],[TARIFA_BASICA]]=11.42,Pospago[[#This Row],[PLANES TELEVENTAS]]="SI"),1,0)</f>
        <v>0</v>
      </c>
      <c r="BH719" s="18" t="str">
        <f>IF(MID(Pospago[[#This Row],[PlanDesc]],1,4) = "PLAN","POSPAGO",IF(MID(Pospago[[#This Row],[PlanDesc]],1,4)="FULL","FULL MEGAS","PREVIOPAGO"))</f>
        <v>PREVIOPAGO</v>
      </c>
      <c r="BI7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19" s="21">
        <f>Pospago[[#This Row],[TARIFA_BASICA]]*1.5</f>
        <v>21.419999999999998</v>
      </c>
    </row>
    <row r="720" spans="1:63" x14ac:dyDescent="0.25">
      <c r="A720" s="18" t="s">
        <v>64</v>
      </c>
      <c r="B720" s="18" t="s">
        <v>4608</v>
      </c>
      <c r="C720" s="18" t="s">
        <v>4609</v>
      </c>
      <c r="D720" s="19">
        <v>44902</v>
      </c>
      <c r="E720" s="18" t="s">
        <v>67</v>
      </c>
      <c r="F720" s="18" t="s">
        <v>4610</v>
      </c>
      <c r="G720" s="18" t="s">
        <v>4611</v>
      </c>
      <c r="H720" s="18" t="s">
        <v>70</v>
      </c>
      <c r="I720" s="18" t="s">
        <v>194</v>
      </c>
      <c r="J720" s="18" t="s">
        <v>195</v>
      </c>
      <c r="K720" s="18" t="s">
        <v>73</v>
      </c>
      <c r="L720" s="20" t="s">
        <v>4612</v>
      </c>
      <c r="M720" s="18" t="s">
        <v>75</v>
      </c>
      <c r="N720" s="20" t="s">
        <v>4613</v>
      </c>
      <c r="O720" s="18" t="s">
        <v>77</v>
      </c>
      <c r="P720" s="18" t="s">
        <v>78</v>
      </c>
      <c r="Q720" s="19">
        <v>44914</v>
      </c>
      <c r="R720" s="21">
        <v>14.28</v>
      </c>
      <c r="S720" s="18" t="s">
        <v>79</v>
      </c>
      <c r="T720" s="18" t="s">
        <v>80</v>
      </c>
      <c r="U720" s="18" t="s">
        <v>83</v>
      </c>
      <c r="V720" s="18" t="s">
        <v>95</v>
      </c>
      <c r="W720" s="18" t="s">
        <v>83</v>
      </c>
      <c r="X720" s="18" t="s">
        <v>84</v>
      </c>
      <c r="Y720" s="18" t="s">
        <v>85</v>
      </c>
      <c r="Z720" s="18" t="s">
        <v>86</v>
      </c>
      <c r="AA720" s="18" t="s">
        <v>87</v>
      </c>
      <c r="AB720" s="18" t="s">
        <v>880</v>
      </c>
      <c r="AC720" s="18" t="s">
        <v>881</v>
      </c>
      <c r="AD720" s="18" t="s">
        <v>85</v>
      </c>
      <c r="AE720" s="18" t="s">
        <v>90</v>
      </c>
      <c r="AF720" s="18" t="s">
        <v>91</v>
      </c>
      <c r="AG720" s="18" t="s">
        <v>92</v>
      </c>
      <c r="AH720" s="18" t="s">
        <v>93</v>
      </c>
      <c r="AI720" s="18" t="s">
        <v>94</v>
      </c>
      <c r="AJ720" s="19">
        <v>44902</v>
      </c>
      <c r="AK720" s="22" t="s">
        <v>95</v>
      </c>
      <c r="AL720" s="18" t="s">
        <v>95</v>
      </c>
      <c r="AM720" s="18" t="s">
        <v>95</v>
      </c>
      <c r="AN720" s="18" t="s">
        <v>95</v>
      </c>
      <c r="AO720" s="18" t="s">
        <v>95</v>
      </c>
      <c r="AP720" s="18" t="s">
        <v>95</v>
      </c>
      <c r="AQ720" s="18" t="s">
        <v>95</v>
      </c>
      <c r="AR720" s="18" t="s">
        <v>95</v>
      </c>
      <c r="AS720" s="18" t="s">
        <v>83</v>
      </c>
      <c r="AT720" s="18" t="s">
        <v>81</v>
      </c>
      <c r="AU720" s="18" t="s">
        <v>81</v>
      </c>
      <c r="AV720" s="18" t="s">
        <v>95</v>
      </c>
      <c r="AW720" s="18" t="s">
        <v>95</v>
      </c>
      <c r="AX720" s="18"/>
      <c r="AY720" s="18" t="str">
        <f>Pospago[[#This Row],[NUM_TELEFONICO]]&amp;"POSPAGOSI"</f>
        <v>992923377POSPAGOSI</v>
      </c>
      <c r="AZ720" s="18" t="str">
        <f>VLOOKUP(Pospago[[#This Row],[NOM_PLAZA_FINAL]],[1]!Locales[#Data],3,0)</f>
        <v>TIENDA CUENCA CENTRO</v>
      </c>
      <c r="BA720" s="18" t="str">
        <f>IFERROR(VLOOKUP(Pospago[[#This Row],[USUARIO]],[1]!Personal[#Data],6,0),"EJECUTIVO NO REGISTRADO")</f>
        <v>LUNA JACHO ANDREA GABRIELA</v>
      </c>
      <c r="BB720" s="18" t="str">
        <f>Pospago[[#This Row],[TIPO_MOVIMIENTO]]&amp;" "&amp;Pospago[[#This Row],[FORMA_PAGO_FINAL]]</f>
        <v>ALTAS DOMICILIADO</v>
      </c>
      <c r="BC720" s="18">
        <f>DAY(Pospago[[#This Row],[FECHA_ALTA]])</f>
        <v>7</v>
      </c>
      <c r="BD720" s="18">
        <f>IF(Pospago[[#This Row],[TARIFA_BASICA]]=11.42,1,0)</f>
        <v>0</v>
      </c>
      <c r="BE720" s="18">
        <f>IF(Pospago[[#This Row],[PLANES TELEVENTAS]]="SI",1,0)</f>
        <v>1</v>
      </c>
      <c r="BF720" s="18">
        <f>1</f>
        <v>1</v>
      </c>
      <c r="BG720" s="18">
        <f>IF(OR(Pospago[[#This Row],[TARIFA_BASICA]]=11.42,Pospago[[#This Row],[PLANES TELEVENTAS]]="SI"),1,0)</f>
        <v>1</v>
      </c>
      <c r="BH720" s="18" t="str">
        <f>IF(MID(Pospago[[#This Row],[PlanDesc]],1,4) = "PLAN","POSPAGO",IF(MID(Pospago[[#This Row],[PlanDesc]],1,4)="FULL","FULL MEGAS","PREVIOPAGO"))</f>
        <v>PREVIOPAGO</v>
      </c>
      <c r="BI7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20" s="21">
        <f>Pospago[[#This Row],[TARIFA_BASICA]]*1.5</f>
        <v>21.419999999999998</v>
      </c>
    </row>
    <row r="721" spans="1:63" x14ac:dyDescent="0.25">
      <c r="A721" s="18" t="s">
        <v>154</v>
      </c>
      <c r="B721" s="18" t="s">
        <v>4614</v>
      </c>
      <c r="C721" s="18" t="s">
        <v>4615</v>
      </c>
      <c r="D721" s="19">
        <v>44909</v>
      </c>
      <c r="E721" s="18" t="s">
        <v>67</v>
      </c>
      <c r="F721" s="18" t="s">
        <v>4616</v>
      </c>
      <c r="G721" s="18" t="s">
        <v>4617</v>
      </c>
      <c r="H721" s="18" t="s">
        <v>159</v>
      </c>
      <c r="I721" s="18" t="s">
        <v>194</v>
      </c>
      <c r="J721" s="18" t="s">
        <v>268</v>
      </c>
      <c r="K721" s="18" t="s">
        <v>73</v>
      </c>
      <c r="L721" s="20" t="s">
        <v>4618</v>
      </c>
      <c r="M721" s="18" t="s">
        <v>75</v>
      </c>
      <c r="N721" s="20" t="s">
        <v>4619</v>
      </c>
      <c r="O721" s="18" t="s">
        <v>164</v>
      </c>
      <c r="P721" s="18" t="s">
        <v>78</v>
      </c>
      <c r="Q721" s="19">
        <v>44914</v>
      </c>
      <c r="R721" s="21">
        <v>14.28</v>
      </c>
      <c r="S721" s="18" t="s">
        <v>79</v>
      </c>
      <c r="T721" s="18" t="s">
        <v>232</v>
      </c>
      <c r="U721" s="18" t="s">
        <v>83</v>
      </c>
      <c r="V721" s="18" t="s">
        <v>95</v>
      </c>
      <c r="W721" s="18" t="s">
        <v>95</v>
      </c>
      <c r="X721" s="18" t="s">
        <v>118</v>
      </c>
      <c r="Y721" s="18" t="s">
        <v>85</v>
      </c>
      <c r="Z721" s="18" t="s">
        <v>86</v>
      </c>
      <c r="AA721" s="18" t="s">
        <v>119</v>
      </c>
      <c r="AB721" s="18" t="s">
        <v>280</v>
      </c>
      <c r="AC721" s="18" t="s">
        <v>281</v>
      </c>
      <c r="AD721" s="18" t="s">
        <v>85</v>
      </c>
      <c r="AE721" s="18" t="s">
        <v>90</v>
      </c>
      <c r="AF721" s="18" t="s">
        <v>235</v>
      </c>
      <c r="AG721" s="18" t="s">
        <v>139</v>
      </c>
      <c r="AH721" s="18" t="s">
        <v>165</v>
      </c>
      <c r="AI721" s="18" t="s">
        <v>94</v>
      </c>
      <c r="AJ721" s="19">
        <v>44909</v>
      </c>
      <c r="AK721" s="22" t="s">
        <v>95</v>
      </c>
      <c r="AL721" s="18" t="s">
        <v>95</v>
      </c>
      <c r="AM721" s="18" t="s">
        <v>95</v>
      </c>
      <c r="AN721" s="18" t="s">
        <v>95</v>
      </c>
      <c r="AO721" s="18" t="s">
        <v>95</v>
      </c>
      <c r="AP721" s="18" t="s">
        <v>95</v>
      </c>
      <c r="AQ721" s="18" t="s">
        <v>95</v>
      </c>
      <c r="AR721" s="18" t="s">
        <v>95</v>
      </c>
      <c r="AS721" s="18" t="s">
        <v>83</v>
      </c>
      <c r="AT721" s="18" t="s">
        <v>81</v>
      </c>
      <c r="AU721" s="18" t="s">
        <v>81</v>
      </c>
      <c r="AV721" s="18" t="s">
        <v>95</v>
      </c>
      <c r="AW721" s="18" t="s">
        <v>95</v>
      </c>
      <c r="AX721" s="18"/>
      <c r="AY721" s="18" t="str">
        <f>Pospago[[#This Row],[NUM_TELEFONICO]]&amp;"POSPAGOSI"</f>
        <v>992939525POSPAGOSI</v>
      </c>
      <c r="AZ721" s="18" t="str">
        <f>VLOOKUP(Pospago[[#This Row],[NOM_PLAZA_FINAL]],[1]!Locales[#Data],3,0)</f>
        <v>TIENDA CONDADO</v>
      </c>
      <c r="BA721" s="18" t="str">
        <f>IFERROR(VLOOKUP(Pospago[[#This Row],[USUARIO]],[1]!Personal[#Data],6,0),"EJECUTIVO NO REGISTRADO")</f>
        <v>GUACHAMIN CAZA HUGO ADRIAN</v>
      </c>
      <c r="BB721" s="18" t="str">
        <f>Pospago[[#This Row],[TIPO_MOVIMIENTO]]&amp;" "&amp;Pospago[[#This Row],[FORMA_PAGO_FINAL]]</f>
        <v>TRANSFERENCIAS PAGO EN CAJA</v>
      </c>
      <c r="BC721" s="18">
        <f>DAY(Pospago[[#This Row],[FECHA_ALTA]])</f>
        <v>14</v>
      </c>
      <c r="BD721" s="18">
        <f>IF(Pospago[[#This Row],[TARIFA_BASICA]]=11.42,1,0)</f>
        <v>0</v>
      </c>
      <c r="BE721" s="18">
        <f>IF(Pospago[[#This Row],[PLANES TELEVENTAS]]="SI",1,0)</f>
        <v>1</v>
      </c>
      <c r="BF721" s="18">
        <f>1</f>
        <v>1</v>
      </c>
      <c r="BG721" s="18">
        <f>IF(OR(Pospago[[#This Row],[TARIFA_BASICA]]=11.42,Pospago[[#This Row],[PLANES TELEVENTAS]]="SI"),1,0)</f>
        <v>1</v>
      </c>
      <c r="BH721" s="18" t="str">
        <f>IF(MID(Pospago[[#This Row],[PlanDesc]],1,4) = "PLAN","POSPAGO",IF(MID(Pospago[[#This Row],[PlanDesc]],1,4)="FULL","FULL MEGAS","PREVIOPAGO"))</f>
        <v>PREVIOPAGO</v>
      </c>
      <c r="BI7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21" s="21">
        <f>Pospago[[#This Row],[TARIFA_BASICA]]*1.5</f>
        <v>21.419999999999998</v>
      </c>
    </row>
    <row r="722" spans="1:63" x14ac:dyDescent="0.25">
      <c r="A722" s="18" t="s">
        <v>154</v>
      </c>
      <c r="B722" s="18" t="s">
        <v>4620</v>
      </c>
      <c r="C722" s="18" t="s">
        <v>4621</v>
      </c>
      <c r="D722" s="19">
        <v>44900</v>
      </c>
      <c r="E722" s="18" t="s">
        <v>67</v>
      </c>
      <c r="F722" s="18" t="s">
        <v>4622</v>
      </c>
      <c r="G722" s="18" t="s">
        <v>4623</v>
      </c>
      <c r="H722" s="18" t="s">
        <v>159</v>
      </c>
      <c r="I722" s="18" t="s">
        <v>160</v>
      </c>
      <c r="J722" s="18" t="s">
        <v>161</v>
      </c>
      <c r="K722" s="18" t="s">
        <v>132</v>
      </c>
      <c r="L722" s="20" t="s">
        <v>4624</v>
      </c>
      <c r="M722" s="18" t="s">
        <v>287</v>
      </c>
      <c r="N722" s="20" t="s">
        <v>4625</v>
      </c>
      <c r="O722" s="18" t="s">
        <v>164</v>
      </c>
      <c r="P722" s="18" t="s">
        <v>78</v>
      </c>
      <c r="Q722" s="19">
        <v>44914</v>
      </c>
      <c r="R722" s="21">
        <v>14.28</v>
      </c>
      <c r="S722" s="18" t="s">
        <v>79</v>
      </c>
      <c r="T722" s="18" t="s">
        <v>232</v>
      </c>
      <c r="U722" s="18" t="s">
        <v>83</v>
      </c>
      <c r="V722" s="18" t="s">
        <v>95</v>
      </c>
      <c r="W722" s="18" t="s">
        <v>95</v>
      </c>
      <c r="X722" s="18" t="s">
        <v>118</v>
      </c>
      <c r="Y722" s="18" t="s">
        <v>85</v>
      </c>
      <c r="Z722" s="18" t="s">
        <v>86</v>
      </c>
      <c r="AA722" s="18" t="s">
        <v>119</v>
      </c>
      <c r="AB722" s="18" t="s">
        <v>280</v>
      </c>
      <c r="AC722" s="18" t="s">
        <v>281</v>
      </c>
      <c r="AD722" s="18" t="s">
        <v>85</v>
      </c>
      <c r="AE722" s="18" t="s">
        <v>90</v>
      </c>
      <c r="AF722" s="18" t="s">
        <v>235</v>
      </c>
      <c r="AG722" s="18" t="s">
        <v>139</v>
      </c>
      <c r="AH722" s="18" t="s">
        <v>165</v>
      </c>
      <c r="AI722" s="18" t="s">
        <v>94</v>
      </c>
      <c r="AJ722" s="19">
        <v>44900</v>
      </c>
      <c r="AK722" s="22">
        <v>44900</v>
      </c>
      <c r="AL722" s="18" t="s">
        <v>291</v>
      </c>
      <c r="AM722" s="18" t="s">
        <v>292</v>
      </c>
      <c r="AN722" s="18" t="s">
        <v>494</v>
      </c>
      <c r="AO722" s="18" t="s">
        <v>4380</v>
      </c>
      <c r="AP722" s="18">
        <v>1</v>
      </c>
      <c r="AQ722" s="18">
        <v>125</v>
      </c>
      <c r="AR722" s="18" t="s">
        <v>496</v>
      </c>
      <c r="AS722" s="18" t="s">
        <v>81</v>
      </c>
      <c r="AT722" s="18" t="s">
        <v>83</v>
      </c>
      <c r="AU722" s="18" t="s">
        <v>81</v>
      </c>
      <c r="AV722" s="18" t="s">
        <v>95</v>
      </c>
      <c r="AW722" s="18" t="s">
        <v>95</v>
      </c>
      <c r="AX722" s="18"/>
      <c r="AY722" s="18" t="str">
        <f>Pospago[[#This Row],[NUM_TELEFONICO]]&amp;"POSPAGOSI"</f>
        <v>992947958POSPAGOSI</v>
      </c>
      <c r="AZ722" s="18" t="str">
        <f>VLOOKUP(Pospago[[#This Row],[NOM_PLAZA_FINAL]],[1]!Locales[#Data],3,0)</f>
        <v>TIENDA CONDADO</v>
      </c>
      <c r="BA722" s="18" t="str">
        <f>IFERROR(VLOOKUP(Pospago[[#This Row],[USUARIO]],[1]!Personal[#Data],6,0),"EJECUTIVO NO REGISTRADO")</f>
        <v>GUACHAMIN CAZA HUGO ADRIAN</v>
      </c>
      <c r="BB722" s="18" t="str">
        <f>Pospago[[#This Row],[TIPO_MOVIMIENTO]]&amp;" "&amp;Pospago[[#This Row],[FORMA_PAGO_FINAL]]</f>
        <v>TRANSFERENCIAS PAGO EN CAJA</v>
      </c>
      <c r="BC722" s="18">
        <f>DAY(Pospago[[#This Row],[FECHA_ALTA]])</f>
        <v>5</v>
      </c>
      <c r="BD722" s="18">
        <f>IF(Pospago[[#This Row],[TARIFA_BASICA]]=11.42,1,0)</f>
        <v>0</v>
      </c>
      <c r="BE722" s="18">
        <f>IF(Pospago[[#This Row],[PLANES TELEVENTAS]]="SI",1,0)</f>
        <v>0</v>
      </c>
      <c r="BF722" s="18">
        <f>1</f>
        <v>1</v>
      </c>
      <c r="BG722" s="18">
        <f>IF(OR(Pospago[[#This Row],[TARIFA_BASICA]]=11.42,Pospago[[#This Row],[PLANES TELEVENTAS]]="SI"),1,0)</f>
        <v>0</v>
      </c>
      <c r="BH722" s="18" t="str">
        <f>IF(MID(Pospago[[#This Row],[PlanDesc]],1,4) = "PLAN","POSPAGO",IF(MID(Pospago[[#This Row],[PlanDesc]],1,4)="FULL","FULL MEGAS","PREVIOPAGO"))</f>
        <v>PREVIOPAGO</v>
      </c>
      <c r="BI7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22" s="21">
        <f>Pospago[[#This Row],[TARIFA_BASICA]]*1.5</f>
        <v>21.419999999999998</v>
      </c>
    </row>
    <row r="723" spans="1:63" x14ac:dyDescent="0.25">
      <c r="A723" s="18" t="s">
        <v>154</v>
      </c>
      <c r="B723" s="18" t="s">
        <v>4626</v>
      </c>
      <c r="C723" s="18" t="s">
        <v>4627</v>
      </c>
      <c r="D723" s="19">
        <v>44900</v>
      </c>
      <c r="E723" s="18" t="s">
        <v>67</v>
      </c>
      <c r="F723" s="18" t="s">
        <v>4628</v>
      </c>
      <c r="G723" s="18" t="s">
        <v>4629</v>
      </c>
      <c r="H723" s="18" t="s">
        <v>159</v>
      </c>
      <c r="I723" s="18" t="s">
        <v>71</v>
      </c>
      <c r="J723" s="18" t="s">
        <v>258</v>
      </c>
      <c r="K723" s="18" t="s">
        <v>132</v>
      </c>
      <c r="L723" s="20" t="s">
        <v>4630</v>
      </c>
      <c r="M723" s="18" t="s">
        <v>75</v>
      </c>
      <c r="N723" s="20" t="s">
        <v>4631</v>
      </c>
      <c r="O723" s="18" t="s">
        <v>164</v>
      </c>
      <c r="P723" s="18" t="s">
        <v>78</v>
      </c>
      <c r="Q723" s="19">
        <v>44914</v>
      </c>
      <c r="R723" s="21">
        <v>11.42</v>
      </c>
      <c r="S723" s="18" t="s">
        <v>79</v>
      </c>
      <c r="T723" s="18" t="s">
        <v>174</v>
      </c>
      <c r="U723" s="18" t="s">
        <v>83</v>
      </c>
      <c r="V723" s="18" t="s">
        <v>95</v>
      </c>
      <c r="W723" s="18" t="s">
        <v>95</v>
      </c>
      <c r="X723" s="18" t="s">
        <v>84</v>
      </c>
      <c r="Y723" s="18" t="s">
        <v>85</v>
      </c>
      <c r="Z723" s="18" t="s">
        <v>86</v>
      </c>
      <c r="AA723" s="18" t="s">
        <v>87</v>
      </c>
      <c r="AB723" s="18" t="s">
        <v>187</v>
      </c>
      <c r="AC723" s="18" t="s">
        <v>188</v>
      </c>
      <c r="AD723" s="18" t="s">
        <v>85</v>
      </c>
      <c r="AE723" s="18" t="s">
        <v>90</v>
      </c>
      <c r="AF723" s="18" t="s">
        <v>177</v>
      </c>
      <c r="AG723" s="18" t="s">
        <v>139</v>
      </c>
      <c r="AH723" s="18" t="s">
        <v>165</v>
      </c>
      <c r="AI723" s="18" t="s">
        <v>94</v>
      </c>
      <c r="AJ723" s="19">
        <v>44900</v>
      </c>
      <c r="AK723" s="22" t="s">
        <v>95</v>
      </c>
      <c r="AL723" s="18" t="s">
        <v>95</v>
      </c>
      <c r="AM723" s="18" t="s">
        <v>95</v>
      </c>
      <c r="AN723" s="18" t="s">
        <v>95</v>
      </c>
      <c r="AO723" s="18" t="s">
        <v>95</v>
      </c>
      <c r="AP723" s="18" t="s">
        <v>95</v>
      </c>
      <c r="AQ723" s="18" t="s">
        <v>95</v>
      </c>
      <c r="AR723" s="18" t="s">
        <v>95</v>
      </c>
      <c r="AS723" s="18" t="s">
        <v>83</v>
      </c>
      <c r="AT723" s="18" t="s">
        <v>83</v>
      </c>
      <c r="AU723" s="18" t="s">
        <v>81</v>
      </c>
      <c r="AV723" s="18" t="s">
        <v>95</v>
      </c>
      <c r="AW723" s="18" t="s">
        <v>95</v>
      </c>
      <c r="AX723" s="18"/>
      <c r="AY723" s="18" t="str">
        <f>Pospago[[#This Row],[NUM_TELEFONICO]]&amp;"POSPAGOSI"</f>
        <v>992957694POSPAGOSI</v>
      </c>
      <c r="AZ723" s="18" t="str">
        <f>VLOOKUP(Pospago[[#This Row],[NOM_PLAZA_FINAL]],[1]!Locales[#Data],3,0)</f>
        <v>TIENDA RECREO</v>
      </c>
      <c r="BA723" s="18" t="str">
        <f>IFERROR(VLOOKUP(Pospago[[#This Row],[USUARIO]],[1]!Personal[#Data],6,0),"EJECUTIVO NO REGISTRADO")</f>
        <v>ESPINOZA MARTINES LAURA XIOMARA</v>
      </c>
      <c r="BB723" s="18" t="str">
        <f>Pospago[[#This Row],[TIPO_MOVIMIENTO]]&amp;" "&amp;Pospago[[#This Row],[FORMA_PAGO_FINAL]]</f>
        <v>TRANSFERENCIAS DOMICILIADO</v>
      </c>
      <c r="BC723" s="18">
        <f>DAY(Pospago[[#This Row],[FECHA_ALTA]])</f>
        <v>5</v>
      </c>
      <c r="BD723" s="18">
        <f>IF(Pospago[[#This Row],[TARIFA_BASICA]]=11.42,1,0)</f>
        <v>1</v>
      </c>
      <c r="BE723" s="18">
        <f>IF(Pospago[[#This Row],[PLANES TELEVENTAS]]="SI",1,0)</f>
        <v>0</v>
      </c>
      <c r="BF723" s="18">
        <f>1</f>
        <v>1</v>
      </c>
      <c r="BG723" s="18">
        <f>IF(OR(Pospago[[#This Row],[TARIFA_BASICA]]=11.42,Pospago[[#This Row],[PLANES TELEVENTAS]]="SI"),1,0)</f>
        <v>1</v>
      </c>
      <c r="BH723" s="18" t="str">
        <f>IF(MID(Pospago[[#This Row],[PlanDesc]],1,4) = "PLAN","POSPAGO",IF(MID(Pospago[[#This Row],[PlanDesc]],1,4)="FULL","FULL MEGAS","PREVIOPAGO"))</f>
        <v>PREVIOPAGO</v>
      </c>
      <c r="BI7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7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23" s="21">
        <f>Pospago[[#This Row],[TARIFA_BASICA]]*1.5</f>
        <v>17.13</v>
      </c>
    </row>
    <row r="724" spans="1:63" x14ac:dyDescent="0.25">
      <c r="A724" s="18" t="s">
        <v>64</v>
      </c>
      <c r="B724" s="18" t="s">
        <v>4632</v>
      </c>
      <c r="C724" s="18" t="s">
        <v>4633</v>
      </c>
      <c r="D724" s="19">
        <v>44912</v>
      </c>
      <c r="E724" s="18" t="s">
        <v>67</v>
      </c>
      <c r="F724" s="18" t="s">
        <v>4634</v>
      </c>
      <c r="G724" s="18" t="s">
        <v>4635</v>
      </c>
      <c r="H724" s="18" t="s">
        <v>70</v>
      </c>
      <c r="I724" s="18" t="s">
        <v>227</v>
      </c>
      <c r="J724" s="18" t="s">
        <v>228</v>
      </c>
      <c r="K724" s="18" t="s">
        <v>132</v>
      </c>
      <c r="L724" s="20" t="s">
        <v>4636</v>
      </c>
      <c r="M724" s="18" t="s">
        <v>75</v>
      </c>
      <c r="N724" s="20" t="s">
        <v>4637</v>
      </c>
      <c r="O724" s="18" t="s">
        <v>77</v>
      </c>
      <c r="P724" s="18" t="s">
        <v>78</v>
      </c>
      <c r="Q724" s="19">
        <v>44914</v>
      </c>
      <c r="R724" s="21">
        <v>21.42</v>
      </c>
      <c r="S724" s="18" t="s">
        <v>79</v>
      </c>
      <c r="T724" s="18" t="s">
        <v>148</v>
      </c>
      <c r="U724" s="18" t="s">
        <v>83</v>
      </c>
      <c r="V724" s="18" t="s">
        <v>95</v>
      </c>
      <c r="W724" s="18" t="s">
        <v>83</v>
      </c>
      <c r="X724" s="18" t="s">
        <v>118</v>
      </c>
      <c r="Y724" s="18" t="s">
        <v>85</v>
      </c>
      <c r="Z724" s="18" t="s">
        <v>86</v>
      </c>
      <c r="AA724" s="18" t="s">
        <v>119</v>
      </c>
      <c r="AB724" s="18" t="s">
        <v>149</v>
      </c>
      <c r="AC724" s="18" t="s">
        <v>150</v>
      </c>
      <c r="AD724" s="18" t="s">
        <v>85</v>
      </c>
      <c r="AE724" s="18" t="s">
        <v>90</v>
      </c>
      <c r="AF724" s="18" t="s">
        <v>151</v>
      </c>
      <c r="AG724" s="18" t="s">
        <v>92</v>
      </c>
      <c r="AH724" s="18" t="s">
        <v>93</v>
      </c>
      <c r="AI724" s="18" t="s">
        <v>94</v>
      </c>
      <c r="AJ724" s="19">
        <v>44912</v>
      </c>
      <c r="AK724" s="22" t="s">
        <v>95</v>
      </c>
      <c r="AL724" s="18" t="s">
        <v>95</v>
      </c>
      <c r="AM724" s="18" t="s">
        <v>95</v>
      </c>
      <c r="AN724" s="18" t="s">
        <v>95</v>
      </c>
      <c r="AO724" s="18" t="s">
        <v>95</v>
      </c>
      <c r="AP724" s="18" t="s">
        <v>95</v>
      </c>
      <c r="AQ724" s="18" t="s">
        <v>95</v>
      </c>
      <c r="AR724" s="18" t="s">
        <v>95</v>
      </c>
      <c r="AS724" s="18" t="s">
        <v>83</v>
      </c>
      <c r="AT724" s="18" t="s">
        <v>83</v>
      </c>
      <c r="AU724" s="18" t="s">
        <v>81</v>
      </c>
      <c r="AV724" s="18" t="s">
        <v>95</v>
      </c>
      <c r="AW724" s="18" t="s">
        <v>95</v>
      </c>
      <c r="AX724" s="18"/>
      <c r="AY724" s="18" t="str">
        <f>Pospago[[#This Row],[NUM_TELEFONICO]]&amp;"POSPAGOSI"</f>
        <v>992958839POSPAGOSI</v>
      </c>
      <c r="AZ724" s="18" t="str">
        <f>VLOOKUP(Pospago[[#This Row],[NOM_PLAZA_FINAL]],[1]!Locales[#Data],3,0)</f>
        <v>TIENDA CUENCA REMIGIO</v>
      </c>
      <c r="BA724" s="18" t="str">
        <f>IFERROR(VLOOKUP(Pospago[[#This Row],[USUARIO]],[1]!Personal[#Data],6,0),"EJECUTIVO NO REGISTRADO")</f>
        <v>OSORIO TEJADA ANA ESTEFANIA</v>
      </c>
      <c r="BB724" s="18" t="str">
        <f>Pospago[[#This Row],[TIPO_MOVIMIENTO]]&amp;" "&amp;Pospago[[#This Row],[FORMA_PAGO_FINAL]]</f>
        <v>ALTAS PAGO EN CAJA</v>
      </c>
      <c r="BC724" s="18">
        <f>DAY(Pospago[[#This Row],[FECHA_ALTA]])</f>
        <v>17</v>
      </c>
      <c r="BD724" s="18">
        <f>IF(Pospago[[#This Row],[TARIFA_BASICA]]=11.42,1,0)</f>
        <v>0</v>
      </c>
      <c r="BE724" s="18">
        <f>IF(Pospago[[#This Row],[PLANES TELEVENTAS]]="SI",1,0)</f>
        <v>0</v>
      </c>
      <c r="BF724" s="18">
        <f>1</f>
        <v>1</v>
      </c>
      <c r="BG724" s="18">
        <f>IF(OR(Pospago[[#This Row],[TARIFA_BASICA]]=11.42,Pospago[[#This Row],[PLANES TELEVENTAS]]="SI"),1,0)</f>
        <v>0</v>
      </c>
      <c r="BH724" s="18" t="str">
        <f>IF(MID(Pospago[[#This Row],[PlanDesc]],1,4) = "PLAN","POSPAGO",IF(MID(Pospago[[#This Row],[PlanDesc]],1,4)="FULL","FULL MEGAS","PREVIOPAGO"))</f>
        <v>PREVIOPAGO</v>
      </c>
      <c r="BI7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22.5</v>
      </c>
      <c r="BJ7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24" s="21">
        <f>Pospago[[#This Row],[TARIFA_BASICA]]*1.5</f>
        <v>32.130000000000003</v>
      </c>
    </row>
    <row r="725" spans="1:63" x14ac:dyDescent="0.25">
      <c r="A725" s="18" t="s">
        <v>64</v>
      </c>
      <c r="B725" s="18" t="s">
        <v>4638</v>
      </c>
      <c r="C725" s="18" t="s">
        <v>4639</v>
      </c>
      <c r="D725" s="19">
        <v>44902</v>
      </c>
      <c r="E725" s="18" t="s">
        <v>67</v>
      </c>
      <c r="F725" s="18" t="s">
        <v>4640</v>
      </c>
      <c r="G725" s="18" t="s">
        <v>4641</v>
      </c>
      <c r="H725" s="18" t="s">
        <v>70</v>
      </c>
      <c r="I725" s="18" t="s">
        <v>160</v>
      </c>
      <c r="J725" s="18" t="s">
        <v>195</v>
      </c>
      <c r="K725" s="18" t="s">
        <v>132</v>
      </c>
      <c r="L725" s="20" t="s">
        <v>4642</v>
      </c>
      <c r="M725" s="18" t="s">
        <v>75</v>
      </c>
      <c r="N725" s="20" t="s">
        <v>4643</v>
      </c>
      <c r="O725" s="18" t="s">
        <v>77</v>
      </c>
      <c r="P725" s="18" t="s">
        <v>78</v>
      </c>
      <c r="Q725" s="19">
        <v>44914</v>
      </c>
      <c r="R725" s="21">
        <v>14.28</v>
      </c>
      <c r="S725" s="18" t="s">
        <v>79</v>
      </c>
      <c r="T725" s="18" t="s">
        <v>135</v>
      </c>
      <c r="U725" s="18" t="s">
        <v>83</v>
      </c>
      <c r="V725" s="18" t="s">
        <v>95</v>
      </c>
      <c r="W725" s="18" t="s">
        <v>83</v>
      </c>
      <c r="X725" s="18" t="s">
        <v>118</v>
      </c>
      <c r="Y725" s="18" t="s">
        <v>85</v>
      </c>
      <c r="Z725" s="18" t="s">
        <v>86</v>
      </c>
      <c r="AA725" s="18" t="s">
        <v>119</v>
      </c>
      <c r="AB725" s="18" t="s">
        <v>136</v>
      </c>
      <c r="AC725" s="18" t="s">
        <v>137</v>
      </c>
      <c r="AD725" s="18" t="s">
        <v>85</v>
      </c>
      <c r="AE725" s="18" t="s">
        <v>90</v>
      </c>
      <c r="AF725" s="18" t="s">
        <v>138</v>
      </c>
      <c r="AG725" s="18" t="s">
        <v>139</v>
      </c>
      <c r="AH725" s="18" t="s">
        <v>93</v>
      </c>
      <c r="AI725" s="18" t="s">
        <v>94</v>
      </c>
      <c r="AJ725" s="19">
        <v>44902</v>
      </c>
      <c r="AK725" s="22" t="s">
        <v>95</v>
      </c>
      <c r="AL725" s="18" t="s">
        <v>95</v>
      </c>
      <c r="AM725" s="18" t="s">
        <v>95</v>
      </c>
      <c r="AN725" s="18" t="s">
        <v>95</v>
      </c>
      <c r="AO725" s="18" t="s">
        <v>95</v>
      </c>
      <c r="AP725" s="18" t="s">
        <v>95</v>
      </c>
      <c r="AQ725" s="18" t="s">
        <v>95</v>
      </c>
      <c r="AR725" s="18" t="s">
        <v>95</v>
      </c>
      <c r="AS725" s="18" t="s">
        <v>83</v>
      </c>
      <c r="AT725" s="18" t="s">
        <v>83</v>
      </c>
      <c r="AU725" s="18" t="s">
        <v>81</v>
      </c>
      <c r="AV725" s="18" t="s">
        <v>95</v>
      </c>
      <c r="AW725" s="18" t="s">
        <v>95</v>
      </c>
      <c r="AX725" s="18"/>
      <c r="AY725" s="18" t="str">
        <f>Pospago[[#This Row],[NUM_TELEFONICO]]&amp;"POSPAGOSI"</f>
        <v>992972528POSPAGOSI</v>
      </c>
      <c r="AZ725" s="18" t="str">
        <f>VLOOKUP(Pospago[[#This Row],[NOM_PLAZA_FINAL]],[1]!Locales[#Data],3,0)</f>
        <v>TIENDA AMERICA</v>
      </c>
      <c r="BA725" s="18" t="str">
        <f>IFERROR(VLOOKUP(Pospago[[#This Row],[USUARIO]],[1]!Personal[#Data],6,0),"EJECUTIVO NO REGISTRADO")</f>
        <v>SALVATIERRA GUERRA JULIAN ENRIQUE</v>
      </c>
      <c r="BB725" s="18" t="str">
        <f>Pospago[[#This Row],[TIPO_MOVIMIENTO]]&amp;" "&amp;Pospago[[#This Row],[FORMA_PAGO_FINAL]]</f>
        <v>ALTAS PAGO EN CAJA</v>
      </c>
      <c r="BC725" s="18">
        <f>DAY(Pospago[[#This Row],[FECHA_ALTA]])</f>
        <v>7</v>
      </c>
      <c r="BD725" s="18">
        <f>IF(Pospago[[#This Row],[TARIFA_BASICA]]=11.42,1,0)</f>
        <v>0</v>
      </c>
      <c r="BE725" s="18">
        <f>IF(Pospago[[#This Row],[PLANES TELEVENTAS]]="SI",1,0)</f>
        <v>0</v>
      </c>
      <c r="BF725" s="18">
        <f>1</f>
        <v>1</v>
      </c>
      <c r="BG725" s="18">
        <f>IF(OR(Pospago[[#This Row],[TARIFA_BASICA]]=11.42,Pospago[[#This Row],[PLANES TELEVENTAS]]="SI"),1,0)</f>
        <v>0</v>
      </c>
      <c r="BH725" s="18" t="str">
        <f>IF(MID(Pospago[[#This Row],[PlanDesc]],1,4) = "PLAN","POSPAGO",IF(MID(Pospago[[#This Row],[PlanDesc]],1,4)="FULL","FULL MEGAS","PREVIOPAGO"))</f>
        <v>PREVIOPAGO</v>
      </c>
      <c r="BI7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7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25" s="21">
        <f>Pospago[[#This Row],[TARIFA_BASICA]]*1.5</f>
        <v>21.419999999999998</v>
      </c>
    </row>
    <row r="726" spans="1:63" x14ac:dyDescent="0.25">
      <c r="A726" s="18" t="s">
        <v>154</v>
      </c>
      <c r="B726" s="18" t="s">
        <v>4644</v>
      </c>
      <c r="C726" s="18" t="s">
        <v>4645</v>
      </c>
      <c r="D726" s="19">
        <v>44900</v>
      </c>
      <c r="E726" s="18" t="s">
        <v>67</v>
      </c>
      <c r="F726" s="18" t="s">
        <v>4646</v>
      </c>
      <c r="G726" s="18" t="s">
        <v>4647</v>
      </c>
      <c r="H726" s="18" t="s">
        <v>159</v>
      </c>
      <c r="I726" s="18" t="s">
        <v>160</v>
      </c>
      <c r="J726" s="18" t="s">
        <v>161</v>
      </c>
      <c r="K726" s="18" t="s">
        <v>507</v>
      </c>
      <c r="L726" s="20" t="s">
        <v>4648</v>
      </c>
      <c r="M726" s="18" t="s">
        <v>75</v>
      </c>
      <c r="N726" s="20" t="s">
        <v>4649</v>
      </c>
      <c r="O726" s="18" t="s">
        <v>164</v>
      </c>
      <c r="P726" s="18" t="s">
        <v>78</v>
      </c>
      <c r="Q726" s="19">
        <v>44914</v>
      </c>
      <c r="R726" s="21">
        <v>14.28</v>
      </c>
      <c r="S726" s="18" t="s">
        <v>79</v>
      </c>
      <c r="T726" s="18" t="s">
        <v>174</v>
      </c>
      <c r="U726" s="18" t="s">
        <v>83</v>
      </c>
      <c r="V726" s="18" t="s">
        <v>95</v>
      </c>
      <c r="W726" s="18" t="s">
        <v>95</v>
      </c>
      <c r="X726" s="18" t="s">
        <v>118</v>
      </c>
      <c r="Y726" s="18" t="s">
        <v>85</v>
      </c>
      <c r="Z726" s="18" t="s">
        <v>86</v>
      </c>
      <c r="AA726" s="18" t="s">
        <v>119</v>
      </c>
      <c r="AB726" s="18" t="s">
        <v>303</v>
      </c>
      <c r="AC726" s="18" t="s">
        <v>304</v>
      </c>
      <c r="AD726" s="18" t="s">
        <v>85</v>
      </c>
      <c r="AE726" s="18" t="s">
        <v>90</v>
      </c>
      <c r="AF726" s="18" t="s">
        <v>177</v>
      </c>
      <c r="AG726" s="18" t="s">
        <v>139</v>
      </c>
      <c r="AH726" s="18" t="s">
        <v>165</v>
      </c>
      <c r="AI726" s="18" t="s">
        <v>94</v>
      </c>
      <c r="AJ726" s="19">
        <v>44900</v>
      </c>
      <c r="AK726" s="22" t="s">
        <v>95</v>
      </c>
      <c r="AL726" s="18" t="s">
        <v>95</v>
      </c>
      <c r="AM726" s="18" t="s">
        <v>95</v>
      </c>
      <c r="AN726" s="18" t="s">
        <v>95</v>
      </c>
      <c r="AO726" s="18" t="s">
        <v>95</v>
      </c>
      <c r="AP726" s="18" t="s">
        <v>95</v>
      </c>
      <c r="AQ726" s="18" t="s">
        <v>95</v>
      </c>
      <c r="AR726" s="18" t="s">
        <v>95</v>
      </c>
      <c r="AS726" s="18" t="s">
        <v>83</v>
      </c>
      <c r="AT726" s="18" t="s">
        <v>83</v>
      </c>
      <c r="AU726" s="18" t="s">
        <v>81</v>
      </c>
      <c r="AV726" s="18" t="s">
        <v>95</v>
      </c>
      <c r="AW726" s="18" t="s">
        <v>95</v>
      </c>
      <c r="AX726" s="18"/>
      <c r="AY726" s="18" t="str">
        <f>Pospago[[#This Row],[NUM_TELEFONICO]]&amp;"POSPAGOSI"</f>
        <v>992972947POSPAGOSI</v>
      </c>
      <c r="AZ726" s="18" t="str">
        <f>VLOOKUP(Pospago[[#This Row],[NOM_PLAZA_FINAL]],[1]!Locales[#Data],3,0)</f>
        <v>TIENDA RECREO</v>
      </c>
      <c r="BA726" s="18" t="str">
        <f>IFERROR(VLOOKUP(Pospago[[#This Row],[USUARIO]],[1]!Personal[#Data],6,0),"EJECUTIVO NO REGISTRADO")</f>
        <v>CORDOVA GAIBOR JONATHAN HERNAN</v>
      </c>
      <c r="BB726" s="18" t="str">
        <f>Pospago[[#This Row],[TIPO_MOVIMIENTO]]&amp;" "&amp;Pospago[[#This Row],[FORMA_PAGO_FINAL]]</f>
        <v>TRANSFERENCIAS PAGO EN CAJA</v>
      </c>
      <c r="BC726" s="18">
        <f>DAY(Pospago[[#This Row],[FECHA_ALTA]])</f>
        <v>5</v>
      </c>
      <c r="BD726" s="18">
        <f>IF(Pospago[[#This Row],[TARIFA_BASICA]]=11.42,1,0)</f>
        <v>0</v>
      </c>
      <c r="BE726" s="18">
        <f>IF(Pospago[[#This Row],[PLANES TELEVENTAS]]="SI",1,0)</f>
        <v>0</v>
      </c>
      <c r="BF726" s="18">
        <f>1</f>
        <v>1</v>
      </c>
      <c r="BG726" s="18">
        <f>IF(OR(Pospago[[#This Row],[TARIFA_BASICA]]=11.42,Pospago[[#This Row],[PLANES TELEVENTAS]]="SI"),1,0)</f>
        <v>0</v>
      </c>
      <c r="BH726" s="18" t="str">
        <f>IF(MID(Pospago[[#This Row],[PlanDesc]],1,4) = "PLAN","POSPAGO",IF(MID(Pospago[[#This Row],[PlanDesc]],1,4)="FULL","FULL MEGAS","PREVIOPAGO"))</f>
        <v>PREVIOPAGO</v>
      </c>
      <c r="BI7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26" s="21">
        <f>Pospago[[#This Row],[TARIFA_BASICA]]*1.5</f>
        <v>21.419999999999998</v>
      </c>
    </row>
    <row r="727" spans="1:63" x14ac:dyDescent="0.25">
      <c r="A727" s="18" t="s">
        <v>154</v>
      </c>
      <c r="B727" s="18" t="s">
        <v>4650</v>
      </c>
      <c r="C727" s="18" t="s">
        <v>4651</v>
      </c>
      <c r="D727" s="19">
        <v>44909</v>
      </c>
      <c r="E727" s="18" t="s">
        <v>67</v>
      </c>
      <c r="F727" s="18" t="s">
        <v>4652</v>
      </c>
      <c r="G727" s="18" t="s">
        <v>4653</v>
      </c>
      <c r="H727" s="18" t="s">
        <v>159</v>
      </c>
      <c r="I727" s="18" t="s">
        <v>160</v>
      </c>
      <c r="J727" s="18" t="s">
        <v>161</v>
      </c>
      <c r="K727" s="18" t="s">
        <v>132</v>
      </c>
      <c r="L727" s="20" t="s">
        <v>4654</v>
      </c>
      <c r="M727" s="18" t="s">
        <v>75</v>
      </c>
      <c r="N727" s="20" t="s">
        <v>4655</v>
      </c>
      <c r="O727" s="18" t="s">
        <v>164</v>
      </c>
      <c r="P727" s="18" t="s">
        <v>78</v>
      </c>
      <c r="Q727" s="19">
        <v>44914</v>
      </c>
      <c r="R727" s="21">
        <v>14.28</v>
      </c>
      <c r="S727" s="18" t="s">
        <v>79</v>
      </c>
      <c r="T727" s="18" t="s">
        <v>174</v>
      </c>
      <c r="U727" s="18" t="s">
        <v>83</v>
      </c>
      <c r="V727" s="18" t="s">
        <v>95</v>
      </c>
      <c r="W727" s="18" t="s">
        <v>95</v>
      </c>
      <c r="X727" s="18" t="s">
        <v>118</v>
      </c>
      <c r="Y727" s="18" t="s">
        <v>85</v>
      </c>
      <c r="Z727" s="18" t="s">
        <v>86</v>
      </c>
      <c r="AA727" s="18" t="s">
        <v>119</v>
      </c>
      <c r="AB727" s="18" t="s">
        <v>303</v>
      </c>
      <c r="AC727" s="18" t="s">
        <v>304</v>
      </c>
      <c r="AD727" s="18" t="s">
        <v>85</v>
      </c>
      <c r="AE727" s="18" t="s">
        <v>90</v>
      </c>
      <c r="AF727" s="18" t="s">
        <v>177</v>
      </c>
      <c r="AG727" s="18" t="s">
        <v>139</v>
      </c>
      <c r="AH727" s="18" t="s">
        <v>165</v>
      </c>
      <c r="AI727" s="18" t="s">
        <v>94</v>
      </c>
      <c r="AJ727" s="19">
        <v>44909</v>
      </c>
      <c r="AK727" s="22" t="s">
        <v>95</v>
      </c>
      <c r="AL727" s="18" t="s">
        <v>95</v>
      </c>
      <c r="AM727" s="18" t="s">
        <v>95</v>
      </c>
      <c r="AN727" s="18" t="s">
        <v>95</v>
      </c>
      <c r="AO727" s="18" t="s">
        <v>95</v>
      </c>
      <c r="AP727" s="18" t="s">
        <v>95</v>
      </c>
      <c r="AQ727" s="18" t="s">
        <v>95</v>
      </c>
      <c r="AR727" s="18" t="s">
        <v>95</v>
      </c>
      <c r="AS727" s="18" t="s">
        <v>83</v>
      </c>
      <c r="AT727" s="18" t="s">
        <v>83</v>
      </c>
      <c r="AU727" s="18" t="s">
        <v>81</v>
      </c>
      <c r="AV727" s="18" t="s">
        <v>95</v>
      </c>
      <c r="AW727" s="18" t="s">
        <v>95</v>
      </c>
      <c r="AX727" s="18"/>
      <c r="AY727" s="18" t="str">
        <f>Pospago[[#This Row],[NUM_TELEFONICO]]&amp;"POSPAGOSI"</f>
        <v>992988533POSPAGOSI</v>
      </c>
      <c r="AZ727" s="18" t="str">
        <f>VLOOKUP(Pospago[[#This Row],[NOM_PLAZA_FINAL]],[1]!Locales[#Data],3,0)</f>
        <v>TIENDA RECREO</v>
      </c>
      <c r="BA727" s="18" t="str">
        <f>IFERROR(VLOOKUP(Pospago[[#This Row],[USUARIO]],[1]!Personal[#Data],6,0),"EJECUTIVO NO REGISTRADO")</f>
        <v>CORDOVA GAIBOR JONATHAN HERNAN</v>
      </c>
      <c r="BB727" s="18" t="str">
        <f>Pospago[[#This Row],[TIPO_MOVIMIENTO]]&amp;" "&amp;Pospago[[#This Row],[FORMA_PAGO_FINAL]]</f>
        <v>TRANSFERENCIAS PAGO EN CAJA</v>
      </c>
      <c r="BC727" s="18">
        <f>DAY(Pospago[[#This Row],[FECHA_ALTA]])</f>
        <v>14</v>
      </c>
      <c r="BD727" s="18">
        <f>IF(Pospago[[#This Row],[TARIFA_BASICA]]=11.42,1,0)</f>
        <v>0</v>
      </c>
      <c r="BE727" s="18">
        <f>IF(Pospago[[#This Row],[PLANES TELEVENTAS]]="SI",1,0)</f>
        <v>0</v>
      </c>
      <c r="BF727" s="18">
        <f>1</f>
        <v>1</v>
      </c>
      <c r="BG727" s="18">
        <f>IF(OR(Pospago[[#This Row],[TARIFA_BASICA]]=11.42,Pospago[[#This Row],[PLANES TELEVENTAS]]="SI"),1,0)</f>
        <v>0</v>
      </c>
      <c r="BH727" s="18" t="str">
        <f>IF(MID(Pospago[[#This Row],[PlanDesc]],1,4) = "PLAN","POSPAGO",IF(MID(Pospago[[#This Row],[PlanDesc]],1,4)="FULL","FULL MEGAS","PREVIOPAGO"))</f>
        <v>PREVIOPAGO</v>
      </c>
      <c r="BI7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27" s="21">
        <f>Pospago[[#This Row],[TARIFA_BASICA]]*1.5</f>
        <v>21.419999999999998</v>
      </c>
    </row>
    <row r="728" spans="1:63" x14ac:dyDescent="0.25">
      <c r="A728" s="18" t="s">
        <v>154</v>
      </c>
      <c r="B728" s="18" t="s">
        <v>4656</v>
      </c>
      <c r="C728" s="18" t="s">
        <v>4657</v>
      </c>
      <c r="D728" s="19">
        <v>44909</v>
      </c>
      <c r="E728" s="18" t="s">
        <v>67</v>
      </c>
      <c r="F728" s="18" t="s">
        <v>4658</v>
      </c>
      <c r="G728" s="18" t="s">
        <v>4659</v>
      </c>
      <c r="H728" s="18" t="s">
        <v>159</v>
      </c>
      <c r="I728" s="18" t="s">
        <v>359</v>
      </c>
      <c r="J728" s="18" t="s">
        <v>360</v>
      </c>
      <c r="K728" s="18" t="s">
        <v>132</v>
      </c>
      <c r="L728" s="20" t="s">
        <v>4660</v>
      </c>
      <c r="M728" s="18" t="s">
        <v>75</v>
      </c>
      <c r="N728" s="20" t="s">
        <v>4661</v>
      </c>
      <c r="O728" s="18" t="s">
        <v>311</v>
      </c>
      <c r="P728" s="18" t="s">
        <v>78</v>
      </c>
      <c r="Q728" s="19">
        <v>44914</v>
      </c>
      <c r="R728" s="21">
        <v>14.28</v>
      </c>
      <c r="S728" s="18" t="s">
        <v>79</v>
      </c>
      <c r="T728" s="18" t="s">
        <v>174</v>
      </c>
      <c r="U728" s="18" t="s">
        <v>83</v>
      </c>
      <c r="V728" s="18" t="s">
        <v>95</v>
      </c>
      <c r="W728" s="18" t="s">
        <v>95</v>
      </c>
      <c r="X728" s="18" t="s">
        <v>215</v>
      </c>
      <c r="Y728" s="18" t="s">
        <v>85</v>
      </c>
      <c r="Z728" s="18" t="s">
        <v>86</v>
      </c>
      <c r="AA728" s="18" t="s">
        <v>87</v>
      </c>
      <c r="AB728" s="18" t="s">
        <v>396</v>
      </c>
      <c r="AC728" s="18" t="s">
        <v>397</v>
      </c>
      <c r="AD728" s="18" t="s">
        <v>85</v>
      </c>
      <c r="AE728" s="18" t="s">
        <v>90</v>
      </c>
      <c r="AF728" s="18" t="s">
        <v>177</v>
      </c>
      <c r="AG728" s="18" t="s">
        <v>139</v>
      </c>
      <c r="AH728" s="18" t="s">
        <v>165</v>
      </c>
      <c r="AI728" s="18" t="s">
        <v>94</v>
      </c>
      <c r="AJ728" s="19">
        <v>44909</v>
      </c>
      <c r="AK728" s="22" t="s">
        <v>95</v>
      </c>
      <c r="AL728" s="18" t="s">
        <v>95</v>
      </c>
      <c r="AM728" s="18" t="s">
        <v>95</v>
      </c>
      <c r="AN728" s="18" t="s">
        <v>95</v>
      </c>
      <c r="AO728" s="18" t="s">
        <v>95</v>
      </c>
      <c r="AP728" s="18" t="s">
        <v>95</v>
      </c>
      <c r="AQ728" s="18" t="s">
        <v>95</v>
      </c>
      <c r="AR728" s="18" t="s">
        <v>95</v>
      </c>
      <c r="AS728" s="18" t="s">
        <v>83</v>
      </c>
      <c r="AT728" s="18" t="s">
        <v>83</v>
      </c>
      <c r="AU728" s="18" t="s">
        <v>83</v>
      </c>
      <c r="AV728" s="18" t="s">
        <v>95</v>
      </c>
      <c r="AW728" s="18" t="s">
        <v>95</v>
      </c>
      <c r="AX728" s="18"/>
      <c r="AY728" s="18" t="str">
        <f>Pospago[[#This Row],[NUM_TELEFONICO]]&amp;"POSPAGOSI"</f>
        <v>993018533POSPAGOSI</v>
      </c>
      <c r="AZ728" s="18" t="str">
        <f>VLOOKUP(Pospago[[#This Row],[NOM_PLAZA_FINAL]],[1]!Locales[#Data],3,0)</f>
        <v>TIENDA RECREO</v>
      </c>
      <c r="BA728" s="18" t="str">
        <f>IFERROR(VLOOKUP(Pospago[[#This Row],[USUARIO]],[1]!Personal[#Data],6,0),"EJECUTIVO NO REGISTRADO")</f>
        <v>VINUEZA VELASCO ANGY DAYANA</v>
      </c>
      <c r="BB728" s="18" t="str">
        <f>Pospago[[#This Row],[TIPO_MOVIMIENTO]]&amp;" "&amp;Pospago[[#This Row],[FORMA_PAGO_FINAL]]</f>
        <v>TRANSFERENCIAS DOMICILIADO</v>
      </c>
      <c r="BC728" s="18">
        <f>DAY(Pospago[[#This Row],[FECHA_ALTA]])</f>
        <v>14</v>
      </c>
      <c r="BD728" s="18">
        <f>IF(Pospago[[#This Row],[TARIFA_BASICA]]=11.42,1,0)</f>
        <v>0</v>
      </c>
      <c r="BE728" s="18">
        <f>IF(Pospago[[#This Row],[PLANES TELEVENTAS]]="SI",1,0)</f>
        <v>0</v>
      </c>
      <c r="BF728" s="18">
        <f>1</f>
        <v>1</v>
      </c>
      <c r="BG728" s="18">
        <f>IF(OR(Pospago[[#This Row],[TARIFA_BASICA]]=11.42,Pospago[[#This Row],[PLANES TELEVENTAS]]="SI"),1,0)</f>
        <v>0</v>
      </c>
      <c r="BH728" s="18" t="str">
        <f>IF(MID(Pospago[[#This Row],[PlanDesc]],1,4) = "PLAN","POSPAGO",IF(MID(Pospago[[#This Row],[PlanDesc]],1,4)="FULL","FULL MEGAS","PREVIOPAGO"))</f>
        <v>POSPAGO</v>
      </c>
      <c r="BI7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28" s="21">
        <f>Pospago[[#This Row],[TARIFA_BASICA]]*1.5</f>
        <v>21.419999999999998</v>
      </c>
    </row>
    <row r="729" spans="1:63" x14ac:dyDescent="0.25">
      <c r="A729" s="18" t="s">
        <v>64</v>
      </c>
      <c r="B729" s="18" t="s">
        <v>4662</v>
      </c>
      <c r="C729" s="18" t="s">
        <v>4663</v>
      </c>
      <c r="D729" s="19">
        <v>44897</v>
      </c>
      <c r="E729" s="18" t="s">
        <v>67</v>
      </c>
      <c r="F729" s="18" t="s">
        <v>4664</v>
      </c>
      <c r="G729" s="18" t="s">
        <v>4665</v>
      </c>
      <c r="H729" s="18" t="s">
        <v>70</v>
      </c>
      <c r="I729" s="18" t="s">
        <v>71</v>
      </c>
      <c r="J729" s="18" t="s">
        <v>72</v>
      </c>
      <c r="K729" s="18" t="s">
        <v>4666</v>
      </c>
      <c r="L729" s="20" t="s">
        <v>4667</v>
      </c>
      <c r="M729" s="18" t="s">
        <v>75</v>
      </c>
      <c r="N729" s="20" t="s">
        <v>4668</v>
      </c>
      <c r="O729" s="18" t="s">
        <v>77</v>
      </c>
      <c r="P729" s="18" t="s">
        <v>78</v>
      </c>
      <c r="Q729" s="19">
        <v>44914</v>
      </c>
      <c r="R729" s="21">
        <v>11.42</v>
      </c>
      <c r="S729" s="18" t="s">
        <v>79</v>
      </c>
      <c r="T729" s="18" t="s">
        <v>80</v>
      </c>
      <c r="U729" s="18" t="s">
        <v>81</v>
      </c>
      <c r="V729" s="18" t="s">
        <v>82</v>
      </c>
      <c r="W729" s="18" t="s">
        <v>83</v>
      </c>
      <c r="X729" s="18" t="s">
        <v>118</v>
      </c>
      <c r="Y729" s="18" t="s">
        <v>85</v>
      </c>
      <c r="Z729" s="18" t="s">
        <v>86</v>
      </c>
      <c r="AA729" s="18" t="s">
        <v>119</v>
      </c>
      <c r="AB729" s="18" t="s">
        <v>1020</v>
      </c>
      <c r="AC729" s="18" t="s">
        <v>1021</v>
      </c>
      <c r="AD729" s="18" t="s">
        <v>85</v>
      </c>
      <c r="AE729" s="18" t="s">
        <v>90</v>
      </c>
      <c r="AF729" s="18" t="s">
        <v>91</v>
      </c>
      <c r="AG729" s="18" t="s">
        <v>92</v>
      </c>
      <c r="AH729" s="18" t="s">
        <v>93</v>
      </c>
      <c r="AI729" s="18" t="s">
        <v>94</v>
      </c>
      <c r="AJ729" s="19">
        <v>44897</v>
      </c>
      <c r="AK729" s="22" t="s">
        <v>95</v>
      </c>
      <c r="AL729" s="18" t="s">
        <v>95</v>
      </c>
      <c r="AM729" s="18" t="s">
        <v>95</v>
      </c>
      <c r="AN729" s="18" t="s">
        <v>95</v>
      </c>
      <c r="AO729" s="18" t="s">
        <v>95</v>
      </c>
      <c r="AP729" s="18" t="s">
        <v>95</v>
      </c>
      <c r="AQ729" s="18" t="s">
        <v>95</v>
      </c>
      <c r="AR729" s="18" t="s">
        <v>95</v>
      </c>
      <c r="AS729" s="18" t="s">
        <v>83</v>
      </c>
      <c r="AT729" s="18" t="s">
        <v>83</v>
      </c>
      <c r="AU729" s="18" t="s">
        <v>81</v>
      </c>
      <c r="AV729" s="18" t="s">
        <v>95</v>
      </c>
      <c r="AW729" s="18" t="s">
        <v>95</v>
      </c>
      <c r="AX729" s="18"/>
      <c r="AY729" s="18" t="str">
        <f>Pospago[[#This Row],[NUM_TELEFONICO]]&amp;"POSPAGOSI"</f>
        <v>993080987POSPAGOSI</v>
      </c>
      <c r="AZ729" s="18" t="str">
        <f>VLOOKUP(Pospago[[#This Row],[NOM_PLAZA_FINAL]],[1]!Locales[#Data],3,0)</f>
        <v>TIENDA CUENCA CENTRO</v>
      </c>
      <c r="BA729" s="18" t="str">
        <f>IFERROR(VLOOKUP(Pospago[[#This Row],[USUARIO]],[1]!Personal[#Data],6,0),"EJECUTIVO NO REGISTRADO")</f>
        <v>GONZALES ALVARRACIN PAOLA YESSENIA</v>
      </c>
      <c r="BB729" s="18" t="str">
        <f>Pospago[[#This Row],[TIPO_MOVIMIENTO]]&amp;" "&amp;Pospago[[#This Row],[FORMA_PAGO_FINAL]]</f>
        <v>ALTAS PAGO EN CAJA</v>
      </c>
      <c r="BC729" s="18">
        <f>DAY(Pospago[[#This Row],[FECHA_ALTA]])</f>
        <v>2</v>
      </c>
      <c r="BD729" s="18">
        <f>IF(Pospago[[#This Row],[TARIFA_BASICA]]=11.42,1,0)</f>
        <v>1</v>
      </c>
      <c r="BE729" s="18">
        <f>IF(Pospago[[#This Row],[PLANES TELEVENTAS]]="SI",1,0)</f>
        <v>0</v>
      </c>
      <c r="BF729" s="18">
        <f>1</f>
        <v>1</v>
      </c>
      <c r="BG729" s="18">
        <f>IF(OR(Pospago[[#This Row],[TARIFA_BASICA]]=11.42,Pospago[[#This Row],[PLANES TELEVENTAS]]="SI"),1,0)</f>
        <v>1</v>
      </c>
      <c r="BH729" s="18" t="str">
        <f>IF(MID(Pospago[[#This Row],[PlanDesc]],1,4) = "PLAN","POSPAGO",IF(MID(Pospago[[#This Row],[PlanDesc]],1,4)="FULL","FULL MEGAS","PREVIOPAGO"))</f>
        <v>PREVIOPAGO</v>
      </c>
      <c r="BI7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7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29" s="21">
        <f>Pospago[[#This Row],[TARIFA_BASICA]]*1.5</f>
        <v>17.13</v>
      </c>
    </row>
    <row r="730" spans="1:63" x14ac:dyDescent="0.25">
      <c r="A730" s="18" t="s">
        <v>64</v>
      </c>
      <c r="B730" s="18" t="s">
        <v>4669</v>
      </c>
      <c r="C730" s="18" t="s">
        <v>3249</v>
      </c>
      <c r="D730" s="19">
        <v>44908</v>
      </c>
      <c r="E730" s="18" t="s">
        <v>67</v>
      </c>
      <c r="F730" s="18" t="s">
        <v>3250</v>
      </c>
      <c r="G730" s="18" t="s">
        <v>3251</v>
      </c>
      <c r="H730" s="18" t="s">
        <v>70</v>
      </c>
      <c r="I730" s="18" t="s">
        <v>227</v>
      </c>
      <c r="J730" s="18" t="s">
        <v>228</v>
      </c>
      <c r="K730" s="18" t="s">
        <v>73</v>
      </c>
      <c r="L730" s="20" t="s">
        <v>4670</v>
      </c>
      <c r="M730" s="18" t="s">
        <v>75</v>
      </c>
      <c r="N730" s="20" t="s">
        <v>4671</v>
      </c>
      <c r="O730" s="18" t="s">
        <v>77</v>
      </c>
      <c r="P730" s="18" t="s">
        <v>78</v>
      </c>
      <c r="Q730" s="19">
        <v>44914</v>
      </c>
      <c r="R730" s="21">
        <v>21.42</v>
      </c>
      <c r="S730" s="18" t="s">
        <v>79</v>
      </c>
      <c r="T730" s="18" t="s">
        <v>148</v>
      </c>
      <c r="U730" s="18" t="s">
        <v>81</v>
      </c>
      <c r="V730" s="18" t="s">
        <v>82</v>
      </c>
      <c r="W730" s="18" t="s">
        <v>83</v>
      </c>
      <c r="X730" s="18" t="s">
        <v>84</v>
      </c>
      <c r="Y730" s="18" t="s">
        <v>85</v>
      </c>
      <c r="Z730" s="18" t="s">
        <v>86</v>
      </c>
      <c r="AA730" s="18" t="s">
        <v>87</v>
      </c>
      <c r="AB730" s="18" t="s">
        <v>420</v>
      </c>
      <c r="AC730" s="18" t="s">
        <v>421</v>
      </c>
      <c r="AD730" s="18" t="s">
        <v>85</v>
      </c>
      <c r="AE730" s="18" t="s">
        <v>90</v>
      </c>
      <c r="AF730" s="18" t="s">
        <v>151</v>
      </c>
      <c r="AG730" s="18" t="s">
        <v>92</v>
      </c>
      <c r="AH730" s="18" t="s">
        <v>93</v>
      </c>
      <c r="AI730" s="18" t="s">
        <v>94</v>
      </c>
      <c r="AJ730" s="19">
        <v>44908</v>
      </c>
      <c r="AK730" s="22" t="s">
        <v>95</v>
      </c>
      <c r="AL730" s="18" t="s">
        <v>95</v>
      </c>
      <c r="AM730" s="18" t="s">
        <v>95</v>
      </c>
      <c r="AN730" s="18" t="s">
        <v>95</v>
      </c>
      <c r="AO730" s="18" t="s">
        <v>95</v>
      </c>
      <c r="AP730" s="18" t="s">
        <v>95</v>
      </c>
      <c r="AQ730" s="18" t="s">
        <v>95</v>
      </c>
      <c r="AR730" s="18" t="s">
        <v>95</v>
      </c>
      <c r="AS730" s="18" t="s">
        <v>83</v>
      </c>
      <c r="AT730" s="18" t="s">
        <v>83</v>
      </c>
      <c r="AU730" s="18" t="s">
        <v>81</v>
      </c>
      <c r="AV730" s="18" t="s">
        <v>95</v>
      </c>
      <c r="AW730" s="18" t="s">
        <v>95</v>
      </c>
      <c r="AX730" s="18"/>
      <c r="AY730" s="18" t="str">
        <f>Pospago[[#This Row],[NUM_TELEFONICO]]&amp;"POSPAGOSI"</f>
        <v>993437021POSPAGOSI</v>
      </c>
      <c r="AZ730" s="18" t="str">
        <f>VLOOKUP(Pospago[[#This Row],[NOM_PLAZA_FINAL]],[1]!Locales[#Data],3,0)</f>
        <v>TIENDA CUENCA REMIGIO</v>
      </c>
      <c r="BA730" s="18" t="str">
        <f>IFERROR(VLOOKUP(Pospago[[#This Row],[USUARIO]],[1]!Personal[#Data],6,0),"EJECUTIVO NO REGISTRADO")</f>
        <v>YEPEZ PALOMEQUE DIANA PATRICIA</v>
      </c>
      <c r="BB730" s="18" t="str">
        <f>Pospago[[#This Row],[TIPO_MOVIMIENTO]]&amp;" "&amp;Pospago[[#This Row],[FORMA_PAGO_FINAL]]</f>
        <v>ALTAS DOMICILIADO</v>
      </c>
      <c r="BC730" s="18">
        <f>DAY(Pospago[[#This Row],[FECHA_ALTA]])</f>
        <v>13</v>
      </c>
      <c r="BD730" s="18">
        <f>IF(Pospago[[#This Row],[TARIFA_BASICA]]=11.42,1,0)</f>
        <v>0</v>
      </c>
      <c r="BE730" s="18">
        <f>IF(Pospago[[#This Row],[PLANES TELEVENTAS]]="SI",1,0)</f>
        <v>0</v>
      </c>
      <c r="BF730" s="18">
        <f>1</f>
        <v>1</v>
      </c>
      <c r="BG730" s="18">
        <f>IF(OR(Pospago[[#This Row],[TARIFA_BASICA]]=11.42,Pospago[[#This Row],[PLANES TELEVENTAS]]="SI"),1,0)</f>
        <v>0</v>
      </c>
      <c r="BH730" s="18" t="str">
        <f>IF(MID(Pospago[[#This Row],[PlanDesc]],1,4) = "PLAN","POSPAGO",IF(MID(Pospago[[#This Row],[PlanDesc]],1,4)="FULL","FULL MEGAS","PREVIOPAGO"))</f>
        <v>PREVIOPAGO</v>
      </c>
      <c r="BI7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7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30" s="21">
        <f>Pospago[[#This Row],[TARIFA_BASICA]]*1.5</f>
        <v>32.130000000000003</v>
      </c>
    </row>
    <row r="731" spans="1:63" x14ac:dyDescent="0.25">
      <c r="A731" s="18" t="s">
        <v>64</v>
      </c>
      <c r="B731" s="18" t="s">
        <v>4672</v>
      </c>
      <c r="C731" s="18" t="s">
        <v>4673</v>
      </c>
      <c r="D731" s="19">
        <v>44909</v>
      </c>
      <c r="E731" s="18" t="s">
        <v>67</v>
      </c>
      <c r="F731" s="18" t="s">
        <v>4674</v>
      </c>
      <c r="G731" s="18" t="s">
        <v>4675</v>
      </c>
      <c r="H731" s="18" t="s">
        <v>70</v>
      </c>
      <c r="I731" s="18" t="s">
        <v>359</v>
      </c>
      <c r="J731" s="18" t="s">
        <v>360</v>
      </c>
      <c r="K731" s="18" t="s">
        <v>132</v>
      </c>
      <c r="L731" s="20" t="s">
        <v>4676</v>
      </c>
      <c r="M731" s="18" t="s">
        <v>75</v>
      </c>
      <c r="N731" s="20" t="s">
        <v>4677</v>
      </c>
      <c r="O731" s="18" t="s">
        <v>311</v>
      </c>
      <c r="P731" s="18" t="s">
        <v>78</v>
      </c>
      <c r="Q731" s="19">
        <v>44914</v>
      </c>
      <c r="R731" s="21">
        <v>14.28</v>
      </c>
      <c r="S731" s="18" t="s">
        <v>79</v>
      </c>
      <c r="T731" s="18" t="s">
        <v>174</v>
      </c>
      <c r="U731" s="18" t="s">
        <v>81</v>
      </c>
      <c r="V731" s="18" t="s">
        <v>82</v>
      </c>
      <c r="W731" s="18" t="s">
        <v>83</v>
      </c>
      <c r="X731" s="18" t="s">
        <v>215</v>
      </c>
      <c r="Y731" s="18" t="s">
        <v>85</v>
      </c>
      <c r="Z731" s="18" t="s">
        <v>86</v>
      </c>
      <c r="AA731" s="18" t="s">
        <v>87</v>
      </c>
      <c r="AB731" s="18" t="s">
        <v>457</v>
      </c>
      <c r="AC731" s="18" t="s">
        <v>458</v>
      </c>
      <c r="AD731" s="18" t="s">
        <v>85</v>
      </c>
      <c r="AE731" s="18" t="s">
        <v>90</v>
      </c>
      <c r="AF731" s="18" t="s">
        <v>177</v>
      </c>
      <c r="AG731" s="18" t="s">
        <v>139</v>
      </c>
      <c r="AH731" s="18" t="s">
        <v>93</v>
      </c>
      <c r="AI731" s="18" t="s">
        <v>94</v>
      </c>
      <c r="AJ731" s="19">
        <v>44909</v>
      </c>
      <c r="AK731" s="22" t="s">
        <v>95</v>
      </c>
      <c r="AL731" s="18" t="s">
        <v>95</v>
      </c>
      <c r="AM731" s="18" t="s">
        <v>95</v>
      </c>
      <c r="AN731" s="18" t="s">
        <v>95</v>
      </c>
      <c r="AO731" s="18" t="s">
        <v>95</v>
      </c>
      <c r="AP731" s="18" t="s">
        <v>95</v>
      </c>
      <c r="AQ731" s="18" t="s">
        <v>95</v>
      </c>
      <c r="AR731" s="18" t="s">
        <v>95</v>
      </c>
      <c r="AS731" s="18" t="s">
        <v>83</v>
      </c>
      <c r="AT731" s="18" t="s">
        <v>83</v>
      </c>
      <c r="AU731" s="18" t="s">
        <v>83</v>
      </c>
      <c r="AV731" s="18" t="s">
        <v>95</v>
      </c>
      <c r="AW731" s="18" t="s">
        <v>95</v>
      </c>
      <c r="AX731" s="18"/>
      <c r="AY731" s="18" t="str">
        <f>Pospago[[#This Row],[NUM_TELEFONICO]]&amp;"POSPAGOSI"</f>
        <v>993769789POSPAGOSI</v>
      </c>
      <c r="AZ731" s="18" t="str">
        <f>VLOOKUP(Pospago[[#This Row],[NOM_PLAZA_FINAL]],[1]!Locales[#Data],3,0)</f>
        <v>TIENDA RECREO</v>
      </c>
      <c r="BA731" s="18" t="str">
        <f>IFERROR(VLOOKUP(Pospago[[#This Row],[USUARIO]],[1]!Personal[#Data],6,0),"EJECUTIVO NO REGISTRADO")</f>
        <v>LOZADA REYES BERTHA MARIBEL</v>
      </c>
      <c r="BB731" s="18" t="str">
        <f>Pospago[[#This Row],[TIPO_MOVIMIENTO]]&amp;" "&amp;Pospago[[#This Row],[FORMA_PAGO_FINAL]]</f>
        <v>ALTAS DOMICILIADO</v>
      </c>
      <c r="BC731" s="18">
        <f>DAY(Pospago[[#This Row],[FECHA_ALTA]])</f>
        <v>14</v>
      </c>
      <c r="BD731" s="18">
        <f>IF(Pospago[[#This Row],[TARIFA_BASICA]]=11.42,1,0)</f>
        <v>0</v>
      </c>
      <c r="BE731" s="18">
        <f>IF(Pospago[[#This Row],[PLANES TELEVENTAS]]="SI",1,0)</f>
        <v>0</v>
      </c>
      <c r="BF731" s="18">
        <f>1</f>
        <v>1</v>
      </c>
      <c r="BG731" s="18">
        <f>IF(OR(Pospago[[#This Row],[TARIFA_BASICA]]=11.42,Pospago[[#This Row],[PLANES TELEVENTAS]]="SI"),1,0)</f>
        <v>0</v>
      </c>
      <c r="BH731" s="18" t="str">
        <f>IF(MID(Pospago[[#This Row],[PlanDesc]],1,4) = "PLAN","POSPAGO",IF(MID(Pospago[[#This Row],[PlanDesc]],1,4)="FULL","FULL MEGAS","PREVIOPAGO"))</f>
        <v>POSPAGO</v>
      </c>
      <c r="BI7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31" s="21">
        <f>Pospago[[#This Row],[TARIFA_BASICA]]*1.5</f>
        <v>21.419999999999998</v>
      </c>
    </row>
    <row r="732" spans="1:63" x14ac:dyDescent="0.25">
      <c r="A732" s="18" t="s">
        <v>154</v>
      </c>
      <c r="B732" s="18" t="s">
        <v>4678</v>
      </c>
      <c r="C732" s="18" t="s">
        <v>4679</v>
      </c>
      <c r="D732" s="19">
        <v>44909</v>
      </c>
      <c r="E732" s="18" t="s">
        <v>67</v>
      </c>
      <c r="F732" s="18" t="s">
        <v>4680</v>
      </c>
      <c r="G732" s="18" t="s">
        <v>4681</v>
      </c>
      <c r="H732" s="18" t="s">
        <v>159</v>
      </c>
      <c r="I732" s="18" t="s">
        <v>160</v>
      </c>
      <c r="J732" s="18" t="s">
        <v>161</v>
      </c>
      <c r="K732" s="18" t="s">
        <v>132</v>
      </c>
      <c r="L732" s="20" t="s">
        <v>4682</v>
      </c>
      <c r="M732" s="18" t="s">
        <v>75</v>
      </c>
      <c r="N732" s="20" t="s">
        <v>4683</v>
      </c>
      <c r="O732" s="18" t="s">
        <v>164</v>
      </c>
      <c r="P732" s="18" t="s">
        <v>78</v>
      </c>
      <c r="Q732" s="19">
        <v>44914</v>
      </c>
      <c r="R732" s="21">
        <v>14.28</v>
      </c>
      <c r="S732" s="18" t="s">
        <v>79</v>
      </c>
      <c r="T732" s="18" t="s">
        <v>80</v>
      </c>
      <c r="U732" s="18" t="s">
        <v>83</v>
      </c>
      <c r="V732" s="18" t="s">
        <v>95</v>
      </c>
      <c r="W732" s="18" t="s">
        <v>95</v>
      </c>
      <c r="X732" s="18" t="s">
        <v>118</v>
      </c>
      <c r="Y732" s="18" t="s">
        <v>85</v>
      </c>
      <c r="Z732" s="18" t="s">
        <v>86</v>
      </c>
      <c r="AA732" s="18" t="s">
        <v>119</v>
      </c>
      <c r="AB732" s="18" t="s">
        <v>289</v>
      </c>
      <c r="AC732" s="18" t="s">
        <v>290</v>
      </c>
      <c r="AD732" s="18" t="s">
        <v>85</v>
      </c>
      <c r="AE732" s="18" t="s">
        <v>90</v>
      </c>
      <c r="AF732" s="18" t="s">
        <v>91</v>
      </c>
      <c r="AG732" s="18" t="s">
        <v>92</v>
      </c>
      <c r="AH732" s="18" t="s">
        <v>165</v>
      </c>
      <c r="AI732" s="18" t="s">
        <v>94</v>
      </c>
      <c r="AJ732" s="19">
        <v>44909</v>
      </c>
      <c r="AK732" s="22" t="s">
        <v>95</v>
      </c>
      <c r="AL732" s="18" t="s">
        <v>95</v>
      </c>
      <c r="AM732" s="18" t="s">
        <v>95</v>
      </c>
      <c r="AN732" s="18" t="s">
        <v>95</v>
      </c>
      <c r="AO732" s="18" t="s">
        <v>95</v>
      </c>
      <c r="AP732" s="18" t="s">
        <v>95</v>
      </c>
      <c r="AQ732" s="18" t="s">
        <v>95</v>
      </c>
      <c r="AR732" s="18" t="s">
        <v>95</v>
      </c>
      <c r="AS732" s="18" t="s">
        <v>83</v>
      </c>
      <c r="AT732" s="18" t="s">
        <v>83</v>
      </c>
      <c r="AU732" s="18" t="s">
        <v>81</v>
      </c>
      <c r="AV732" s="18" t="s">
        <v>95</v>
      </c>
      <c r="AW732" s="18" t="s">
        <v>95</v>
      </c>
      <c r="AX732" s="18"/>
      <c r="AY732" s="18" t="str">
        <f>Pospago[[#This Row],[NUM_TELEFONICO]]&amp;"POSPAGOSI"</f>
        <v>994073017POSPAGOSI</v>
      </c>
      <c r="AZ732" s="18" t="str">
        <f>VLOOKUP(Pospago[[#This Row],[NOM_PLAZA_FINAL]],[1]!Locales[#Data],3,0)</f>
        <v>TIENDA CUENCA CENTRO</v>
      </c>
      <c r="BA732" s="18" t="str">
        <f>IFERROR(VLOOKUP(Pospago[[#This Row],[USUARIO]],[1]!Personal[#Data],6,0),"EJECUTIVO NO REGISTRADO")</f>
        <v>CALLE CHACA JORGE VINICIO</v>
      </c>
      <c r="BB732" s="18" t="str">
        <f>Pospago[[#This Row],[TIPO_MOVIMIENTO]]&amp;" "&amp;Pospago[[#This Row],[FORMA_PAGO_FINAL]]</f>
        <v>TRANSFERENCIAS PAGO EN CAJA</v>
      </c>
      <c r="BC732" s="18">
        <f>DAY(Pospago[[#This Row],[FECHA_ALTA]])</f>
        <v>14</v>
      </c>
      <c r="BD732" s="18">
        <f>IF(Pospago[[#This Row],[TARIFA_BASICA]]=11.42,1,0)</f>
        <v>0</v>
      </c>
      <c r="BE732" s="18">
        <f>IF(Pospago[[#This Row],[PLANES TELEVENTAS]]="SI",1,0)</f>
        <v>0</v>
      </c>
      <c r="BF732" s="18">
        <f>1</f>
        <v>1</v>
      </c>
      <c r="BG732" s="18">
        <f>IF(OR(Pospago[[#This Row],[TARIFA_BASICA]]=11.42,Pospago[[#This Row],[PLANES TELEVENTAS]]="SI"),1,0)</f>
        <v>0</v>
      </c>
      <c r="BH732" s="18" t="str">
        <f>IF(MID(Pospago[[#This Row],[PlanDesc]],1,4) = "PLAN","POSPAGO",IF(MID(Pospago[[#This Row],[PlanDesc]],1,4)="FULL","FULL MEGAS","PREVIOPAGO"))</f>
        <v>PREVIOPAGO</v>
      </c>
      <c r="BI7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32" s="21">
        <f>Pospago[[#This Row],[TARIFA_BASICA]]*1.5</f>
        <v>21.419999999999998</v>
      </c>
    </row>
    <row r="733" spans="1:63" x14ac:dyDescent="0.25">
      <c r="A733" s="18" t="s">
        <v>154</v>
      </c>
      <c r="B733" s="18" t="s">
        <v>4684</v>
      </c>
      <c r="C733" s="18" t="s">
        <v>4685</v>
      </c>
      <c r="D733" s="19">
        <v>44905</v>
      </c>
      <c r="E733" s="18" t="s">
        <v>67</v>
      </c>
      <c r="F733" s="18" t="s">
        <v>4686</v>
      </c>
      <c r="G733" s="18" t="s">
        <v>4687</v>
      </c>
      <c r="H733" s="18" t="s">
        <v>159</v>
      </c>
      <c r="I733" s="18" t="s">
        <v>130</v>
      </c>
      <c r="J733" s="18" t="s">
        <v>433</v>
      </c>
      <c r="K733" s="18" t="s">
        <v>95</v>
      </c>
      <c r="L733" s="20" t="s">
        <v>4688</v>
      </c>
      <c r="M733" s="18" t="s">
        <v>75</v>
      </c>
      <c r="N733" s="20" t="s">
        <v>4689</v>
      </c>
      <c r="O733" s="18" t="s">
        <v>164</v>
      </c>
      <c r="P733" s="18" t="s">
        <v>78</v>
      </c>
      <c r="Q733" s="19">
        <v>44914</v>
      </c>
      <c r="R733" s="21">
        <v>15</v>
      </c>
      <c r="S733" s="18" t="s">
        <v>79</v>
      </c>
      <c r="T733" s="18" t="s">
        <v>117</v>
      </c>
      <c r="U733" s="18" t="s">
        <v>83</v>
      </c>
      <c r="V733" s="18" t="s">
        <v>95</v>
      </c>
      <c r="W733" s="18" t="s">
        <v>95</v>
      </c>
      <c r="X733" s="18" t="s">
        <v>84</v>
      </c>
      <c r="Y733" s="18" t="s">
        <v>85</v>
      </c>
      <c r="Z733" s="18" t="s">
        <v>86</v>
      </c>
      <c r="AA733" s="18" t="s">
        <v>87</v>
      </c>
      <c r="AB733" s="18" t="s">
        <v>1043</v>
      </c>
      <c r="AC733" s="18" t="s">
        <v>1044</v>
      </c>
      <c r="AD733" s="18" t="s">
        <v>85</v>
      </c>
      <c r="AE733" s="18" t="s">
        <v>90</v>
      </c>
      <c r="AF733" s="18" t="s">
        <v>122</v>
      </c>
      <c r="AG733" s="18" t="s">
        <v>92</v>
      </c>
      <c r="AH733" s="18" t="s">
        <v>165</v>
      </c>
      <c r="AI733" s="18" t="s">
        <v>94</v>
      </c>
      <c r="AJ733" s="19">
        <v>44905</v>
      </c>
      <c r="AK733" s="22" t="s">
        <v>95</v>
      </c>
      <c r="AL733" s="18" t="s">
        <v>95</v>
      </c>
      <c r="AM733" s="18" t="s">
        <v>95</v>
      </c>
      <c r="AN733" s="18" t="s">
        <v>95</v>
      </c>
      <c r="AO733" s="18" t="s">
        <v>95</v>
      </c>
      <c r="AP733" s="18" t="s">
        <v>95</v>
      </c>
      <c r="AQ733" s="18" t="s">
        <v>95</v>
      </c>
      <c r="AR733" s="18" t="s">
        <v>95</v>
      </c>
      <c r="AS733" s="18" t="s">
        <v>83</v>
      </c>
      <c r="AT733" s="18" t="s">
        <v>83</v>
      </c>
      <c r="AU733" s="18" t="s">
        <v>81</v>
      </c>
      <c r="AV733" s="18" t="s">
        <v>95</v>
      </c>
      <c r="AW733" s="18" t="s">
        <v>95</v>
      </c>
      <c r="AX733" s="18"/>
      <c r="AY733" s="18" t="str">
        <f>Pospago[[#This Row],[NUM_TELEFONICO]]&amp;"POSPAGOSI"</f>
        <v>994142719POSPAGOSI</v>
      </c>
      <c r="AZ733" s="18" t="str">
        <f>VLOOKUP(Pospago[[#This Row],[NOM_PLAZA_FINAL]],[1]!Locales[#Data],3,0)</f>
        <v>TIENDA MACHALA</v>
      </c>
      <c r="BA733" s="18" t="str">
        <f>IFERROR(VLOOKUP(Pospago[[#This Row],[USUARIO]],[1]!Personal[#Data],6,0),"EJECUTIVO NO REGISTRADO")</f>
        <v>GONZAGA YUPANGUI LIZBETH KATHERINE</v>
      </c>
      <c r="BB733" s="18" t="str">
        <f>Pospago[[#This Row],[TIPO_MOVIMIENTO]]&amp;" "&amp;Pospago[[#This Row],[FORMA_PAGO_FINAL]]</f>
        <v>TRANSFERENCIAS DOMICILIADO</v>
      </c>
      <c r="BC733" s="18">
        <f>DAY(Pospago[[#This Row],[FECHA_ALTA]])</f>
        <v>10</v>
      </c>
      <c r="BD733" s="18">
        <f>IF(Pospago[[#This Row],[TARIFA_BASICA]]=11.42,1,0)</f>
        <v>0</v>
      </c>
      <c r="BE733" s="18">
        <f>IF(Pospago[[#This Row],[PLANES TELEVENTAS]]="SI",1,0)</f>
        <v>0</v>
      </c>
      <c r="BF733" s="18">
        <f>1</f>
        <v>1</v>
      </c>
      <c r="BG733" s="18">
        <f>IF(OR(Pospago[[#This Row],[TARIFA_BASICA]]=11.42,Pospago[[#This Row],[PLANES TELEVENTAS]]="SI"),1,0)</f>
        <v>0</v>
      </c>
      <c r="BH733" s="18" t="str">
        <f>IF(MID(Pospago[[#This Row],[PlanDesc]],1,4) = "PLAN","POSPAGO",IF(MID(Pospago[[#This Row],[PlanDesc]],1,4)="FULL","FULL MEGAS","PREVIOPAGO"))</f>
        <v>PREVIOPAGO</v>
      </c>
      <c r="BI7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</v>
      </c>
      <c r="BJ7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33" s="21">
        <f>Pospago[[#This Row],[TARIFA_BASICA]]*1.5</f>
        <v>22.5</v>
      </c>
    </row>
    <row r="734" spans="1:63" x14ac:dyDescent="0.25">
      <c r="A734" s="18" t="s">
        <v>154</v>
      </c>
      <c r="B734" s="18" t="s">
        <v>4690</v>
      </c>
      <c r="C734" s="18" t="s">
        <v>4691</v>
      </c>
      <c r="D734" s="19">
        <v>44905</v>
      </c>
      <c r="E734" s="18" t="s">
        <v>67</v>
      </c>
      <c r="F734" s="18" t="s">
        <v>4692</v>
      </c>
      <c r="G734" s="18" t="s">
        <v>4693</v>
      </c>
      <c r="H734" s="18" t="s">
        <v>159</v>
      </c>
      <c r="I734" s="18" t="s">
        <v>112</v>
      </c>
      <c r="J734" s="18" t="s">
        <v>781</v>
      </c>
      <c r="K734" s="18" t="s">
        <v>132</v>
      </c>
      <c r="L734" s="20" t="s">
        <v>4694</v>
      </c>
      <c r="M734" s="18" t="s">
        <v>287</v>
      </c>
      <c r="N734" s="20" t="s">
        <v>4695</v>
      </c>
      <c r="O734" s="18" t="s">
        <v>164</v>
      </c>
      <c r="P734" s="18" t="s">
        <v>78</v>
      </c>
      <c r="Q734" s="19">
        <v>44914</v>
      </c>
      <c r="R734" s="21">
        <v>17.850000000000001</v>
      </c>
      <c r="S734" s="18" t="s">
        <v>79</v>
      </c>
      <c r="T734" s="18" t="s">
        <v>135</v>
      </c>
      <c r="U734" s="18" t="s">
        <v>83</v>
      </c>
      <c r="V734" s="18" t="s">
        <v>95</v>
      </c>
      <c r="W734" s="18" t="s">
        <v>95</v>
      </c>
      <c r="X734" s="18" t="s">
        <v>118</v>
      </c>
      <c r="Y734" s="18" t="s">
        <v>85</v>
      </c>
      <c r="Z734" s="18" t="s">
        <v>86</v>
      </c>
      <c r="AA734" s="18" t="s">
        <v>119</v>
      </c>
      <c r="AB734" s="18" t="s">
        <v>136</v>
      </c>
      <c r="AC734" s="18" t="s">
        <v>137</v>
      </c>
      <c r="AD734" s="18" t="s">
        <v>85</v>
      </c>
      <c r="AE734" s="18" t="s">
        <v>90</v>
      </c>
      <c r="AF734" s="18" t="s">
        <v>138</v>
      </c>
      <c r="AG734" s="18" t="s">
        <v>139</v>
      </c>
      <c r="AH734" s="18" t="s">
        <v>165</v>
      </c>
      <c r="AI734" s="18" t="s">
        <v>94</v>
      </c>
      <c r="AJ734" s="19">
        <v>44905</v>
      </c>
      <c r="AK734" s="22" t="s">
        <v>95</v>
      </c>
      <c r="AL734" s="18" t="s">
        <v>95</v>
      </c>
      <c r="AM734" s="18" t="s">
        <v>95</v>
      </c>
      <c r="AN734" s="18" t="s">
        <v>95</v>
      </c>
      <c r="AO734" s="18" t="s">
        <v>95</v>
      </c>
      <c r="AP734" s="18" t="s">
        <v>95</v>
      </c>
      <c r="AQ734" s="18" t="s">
        <v>95</v>
      </c>
      <c r="AR734" s="18" t="s">
        <v>95</v>
      </c>
      <c r="AS734" s="18" t="s">
        <v>83</v>
      </c>
      <c r="AT734" s="18" t="s">
        <v>83</v>
      </c>
      <c r="AU734" s="18" t="s">
        <v>81</v>
      </c>
      <c r="AV734" s="18" t="s">
        <v>95</v>
      </c>
      <c r="AW734" s="18" t="s">
        <v>95</v>
      </c>
      <c r="AX734" s="18"/>
      <c r="AY734" s="18" t="str">
        <f>Pospago[[#This Row],[NUM_TELEFONICO]]&amp;"POSPAGOSI"</f>
        <v>994830424POSPAGOSI</v>
      </c>
      <c r="AZ734" s="18" t="str">
        <f>VLOOKUP(Pospago[[#This Row],[NOM_PLAZA_FINAL]],[1]!Locales[#Data],3,0)</f>
        <v>TIENDA AMERICA</v>
      </c>
      <c r="BA734" s="18" t="str">
        <f>IFERROR(VLOOKUP(Pospago[[#This Row],[USUARIO]],[1]!Personal[#Data],6,0),"EJECUTIVO NO REGISTRADO")</f>
        <v>SALVATIERRA GUERRA JULIAN ENRIQUE</v>
      </c>
      <c r="BB734" s="18" t="str">
        <f>Pospago[[#This Row],[TIPO_MOVIMIENTO]]&amp;" "&amp;Pospago[[#This Row],[FORMA_PAGO_FINAL]]</f>
        <v>TRANSFERENCIAS PAGO EN CAJA</v>
      </c>
      <c r="BC734" s="18">
        <f>DAY(Pospago[[#This Row],[FECHA_ALTA]])</f>
        <v>10</v>
      </c>
      <c r="BD734" s="18">
        <f>IF(Pospago[[#This Row],[TARIFA_BASICA]]=11.42,1,0)</f>
        <v>0</v>
      </c>
      <c r="BE734" s="18">
        <f>IF(Pospago[[#This Row],[PLANES TELEVENTAS]]="SI",1,0)</f>
        <v>0</v>
      </c>
      <c r="BF734" s="18">
        <f>1</f>
        <v>1</v>
      </c>
      <c r="BG734" s="18">
        <f>IF(OR(Pospago[[#This Row],[TARIFA_BASICA]]=11.42,Pospago[[#This Row],[PLANES TELEVENTAS]]="SI"),1,0)</f>
        <v>0</v>
      </c>
      <c r="BH734" s="18" t="str">
        <f>IF(MID(Pospago[[#This Row],[PlanDesc]],1,4) = "PLAN","POSPAGO",IF(MID(Pospago[[#This Row],[PlanDesc]],1,4)="FULL","FULL MEGAS","PREVIOPAGO"))</f>
        <v>PREVIOPAGO</v>
      </c>
      <c r="BI7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7.88</v>
      </c>
      <c r="BJ7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34" s="21">
        <f>Pospago[[#This Row],[TARIFA_BASICA]]*1.5</f>
        <v>26.775000000000002</v>
      </c>
    </row>
    <row r="735" spans="1:63" x14ac:dyDescent="0.25">
      <c r="A735" s="18" t="s">
        <v>64</v>
      </c>
      <c r="B735" s="18" t="s">
        <v>4696</v>
      </c>
      <c r="C735" s="18" t="s">
        <v>4697</v>
      </c>
      <c r="D735" s="19">
        <v>44897</v>
      </c>
      <c r="E735" s="18" t="s">
        <v>67</v>
      </c>
      <c r="F735" s="18" t="s">
        <v>4698</v>
      </c>
      <c r="G735" s="18" t="s">
        <v>4699</v>
      </c>
      <c r="H735" s="18" t="s">
        <v>70</v>
      </c>
      <c r="I735" s="18" t="s">
        <v>160</v>
      </c>
      <c r="J735" s="18" t="s">
        <v>195</v>
      </c>
      <c r="K735" s="18" t="s">
        <v>132</v>
      </c>
      <c r="L735" s="20" t="s">
        <v>4700</v>
      </c>
      <c r="M735" s="18" t="s">
        <v>287</v>
      </c>
      <c r="N735" s="20" t="s">
        <v>4701</v>
      </c>
      <c r="O735" s="18" t="s">
        <v>77</v>
      </c>
      <c r="P735" s="18" t="s">
        <v>78</v>
      </c>
      <c r="Q735" s="19">
        <v>44914</v>
      </c>
      <c r="R735" s="21">
        <v>14.28</v>
      </c>
      <c r="S735" s="18" t="s">
        <v>79</v>
      </c>
      <c r="T735" s="18" t="s">
        <v>174</v>
      </c>
      <c r="U735" s="18" t="s">
        <v>83</v>
      </c>
      <c r="V735" s="18" t="s">
        <v>95</v>
      </c>
      <c r="W735" s="18" t="s">
        <v>83</v>
      </c>
      <c r="X735" s="18" t="s">
        <v>84</v>
      </c>
      <c r="Y735" s="18" t="s">
        <v>85</v>
      </c>
      <c r="Z735" s="18" t="s">
        <v>86</v>
      </c>
      <c r="AA735" s="18" t="s">
        <v>87</v>
      </c>
      <c r="AB735" s="18" t="s">
        <v>262</v>
      </c>
      <c r="AC735" s="18" t="s">
        <v>263</v>
      </c>
      <c r="AD735" s="18" t="s">
        <v>85</v>
      </c>
      <c r="AE735" s="18" t="s">
        <v>90</v>
      </c>
      <c r="AF735" s="18" t="s">
        <v>177</v>
      </c>
      <c r="AG735" s="18" t="s">
        <v>139</v>
      </c>
      <c r="AH735" s="18" t="s">
        <v>93</v>
      </c>
      <c r="AI735" s="18" t="s">
        <v>94</v>
      </c>
      <c r="AJ735" s="19">
        <v>44897</v>
      </c>
      <c r="AK735" s="22">
        <v>44897</v>
      </c>
      <c r="AL735" s="18" t="s">
        <v>291</v>
      </c>
      <c r="AM735" s="18" t="s">
        <v>292</v>
      </c>
      <c r="AN735" s="18" t="s">
        <v>293</v>
      </c>
      <c r="AO735" s="18" t="s">
        <v>4702</v>
      </c>
      <c r="AP735" s="18">
        <v>1</v>
      </c>
      <c r="AQ735" s="18">
        <v>379.46429000000001</v>
      </c>
      <c r="AR735" s="18" t="s">
        <v>295</v>
      </c>
      <c r="AS735" s="18" t="s">
        <v>81</v>
      </c>
      <c r="AT735" s="18" t="s">
        <v>83</v>
      </c>
      <c r="AU735" s="18" t="s">
        <v>81</v>
      </c>
      <c r="AV735" s="18" t="s">
        <v>95</v>
      </c>
      <c r="AW735" s="18" t="s">
        <v>95</v>
      </c>
      <c r="AX735" s="18"/>
      <c r="AY735" s="18" t="str">
        <f>Pospago[[#This Row],[NUM_TELEFONICO]]&amp;"POSPAGOSI"</f>
        <v>995001147POSPAGOSI</v>
      </c>
      <c r="AZ735" s="18" t="str">
        <f>VLOOKUP(Pospago[[#This Row],[NOM_PLAZA_FINAL]],[1]!Locales[#Data],3,0)</f>
        <v>TIENDA RECREO</v>
      </c>
      <c r="BA735" s="18" t="str">
        <f>IFERROR(VLOOKUP(Pospago[[#This Row],[USUARIO]],[1]!Personal[#Data],6,0),"EJECUTIVO NO REGISTRADO")</f>
        <v>CHICAIZA TOAPANTA ALEX DANILO</v>
      </c>
      <c r="BB735" s="18" t="str">
        <f>Pospago[[#This Row],[TIPO_MOVIMIENTO]]&amp;" "&amp;Pospago[[#This Row],[FORMA_PAGO_FINAL]]</f>
        <v>ALTAS DOMICILIADO</v>
      </c>
      <c r="BC735" s="18">
        <f>DAY(Pospago[[#This Row],[FECHA_ALTA]])</f>
        <v>2</v>
      </c>
      <c r="BD735" s="18">
        <f>IF(Pospago[[#This Row],[TARIFA_BASICA]]=11.42,1,0)</f>
        <v>0</v>
      </c>
      <c r="BE735" s="18">
        <f>IF(Pospago[[#This Row],[PLANES TELEVENTAS]]="SI",1,0)</f>
        <v>0</v>
      </c>
      <c r="BF735" s="18">
        <f>1</f>
        <v>1</v>
      </c>
      <c r="BG735" s="18">
        <f>IF(OR(Pospago[[#This Row],[TARIFA_BASICA]]=11.42,Pospago[[#This Row],[PLANES TELEVENTAS]]="SI"),1,0)</f>
        <v>0</v>
      </c>
      <c r="BH735" s="18" t="str">
        <f>IF(MID(Pospago[[#This Row],[PlanDesc]],1,4) = "PLAN","POSPAGO",IF(MID(Pospago[[#This Row],[PlanDesc]],1,4)="FULL","FULL MEGAS","PREVIOPAGO"))</f>
        <v>PREVIOPAGO</v>
      </c>
      <c r="BI7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35" s="21">
        <f>Pospago[[#This Row],[TARIFA_BASICA]]*1.5</f>
        <v>21.419999999999998</v>
      </c>
    </row>
    <row r="736" spans="1:63" x14ac:dyDescent="0.25">
      <c r="A736" s="18" t="s">
        <v>154</v>
      </c>
      <c r="B736" s="18" t="s">
        <v>4703</v>
      </c>
      <c r="C736" s="18" t="s">
        <v>4704</v>
      </c>
      <c r="D736" s="19">
        <v>44896</v>
      </c>
      <c r="E736" s="18" t="s">
        <v>67</v>
      </c>
      <c r="F736" s="18" t="s">
        <v>4705</v>
      </c>
      <c r="G736" s="18" t="s">
        <v>4706</v>
      </c>
      <c r="H736" s="18" t="s">
        <v>159</v>
      </c>
      <c r="I736" s="18" t="s">
        <v>130</v>
      </c>
      <c r="J736" s="18" t="s">
        <v>433</v>
      </c>
      <c r="K736" s="18" t="s">
        <v>132</v>
      </c>
      <c r="L736" s="20" t="s">
        <v>4707</v>
      </c>
      <c r="M736" s="18" t="s">
        <v>75</v>
      </c>
      <c r="N736" s="20" t="s">
        <v>4708</v>
      </c>
      <c r="O736" s="18" t="s">
        <v>164</v>
      </c>
      <c r="P736" s="18" t="s">
        <v>78</v>
      </c>
      <c r="Q736" s="19">
        <v>44914</v>
      </c>
      <c r="R736" s="21">
        <v>15</v>
      </c>
      <c r="S736" s="18" t="s">
        <v>79</v>
      </c>
      <c r="T736" s="18" t="s">
        <v>232</v>
      </c>
      <c r="U736" s="18" t="s">
        <v>83</v>
      </c>
      <c r="V736" s="18" t="s">
        <v>95</v>
      </c>
      <c r="W736" s="18" t="s">
        <v>95</v>
      </c>
      <c r="X736" s="18" t="s">
        <v>118</v>
      </c>
      <c r="Y736" s="18" t="s">
        <v>85</v>
      </c>
      <c r="Z736" s="18" t="s">
        <v>86</v>
      </c>
      <c r="AA736" s="18" t="s">
        <v>119</v>
      </c>
      <c r="AB736" s="18" t="s">
        <v>271</v>
      </c>
      <c r="AC736" s="18" t="s">
        <v>272</v>
      </c>
      <c r="AD736" s="18" t="s">
        <v>85</v>
      </c>
      <c r="AE736" s="18" t="s">
        <v>90</v>
      </c>
      <c r="AF736" s="18" t="s">
        <v>235</v>
      </c>
      <c r="AG736" s="18" t="s">
        <v>139</v>
      </c>
      <c r="AH736" s="18" t="s">
        <v>165</v>
      </c>
      <c r="AI736" s="18" t="s">
        <v>94</v>
      </c>
      <c r="AJ736" s="19">
        <v>44896</v>
      </c>
      <c r="AK736" s="22" t="s">
        <v>95</v>
      </c>
      <c r="AL736" s="18" t="s">
        <v>95</v>
      </c>
      <c r="AM736" s="18" t="s">
        <v>95</v>
      </c>
      <c r="AN736" s="18" t="s">
        <v>95</v>
      </c>
      <c r="AO736" s="18" t="s">
        <v>95</v>
      </c>
      <c r="AP736" s="18" t="s">
        <v>95</v>
      </c>
      <c r="AQ736" s="18" t="s">
        <v>95</v>
      </c>
      <c r="AR736" s="18" t="s">
        <v>95</v>
      </c>
      <c r="AS736" s="18" t="s">
        <v>83</v>
      </c>
      <c r="AT736" s="18" t="s">
        <v>83</v>
      </c>
      <c r="AU736" s="18" t="s">
        <v>81</v>
      </c>
      <c r="AV736" s="18" t="s">
        <v>95</v>
      </c>
      <c r="AW736" s="18" t="s">
        <v>95</v>
      </c>
      <c r="AX736" s="18"/>
      <c r="AY736" s="18" t="str">
        <f>Pospago[[#This Row],[NUM_TELEFONICO]]&amp;"POSPAGOSI"</f>
        <v>995009146POSPAGOSI</v>
      </c>
      <c r="AZ736" s="18" t="str">
        <f>VLOOKUP(Pospago[[#This Row],[NOM_PLAZA_FINAL]],[1]!Locales[#Data],3,0)</f>
        <v>TIENDA CONDADO</v>
      </c>
      <c r="BA736" s="18" t="str">
        <f>IFERROR(VLOOKUP(Pospago[[#This Row],[USUARIO]],[1]!Personal[#Data],6,0),"EJECUTIVO NO REGISTRADO")</f>
        <v>CASTILLO AGUIRRE EDWIN MODESTO</v>
      </c>
      <c r="BB736" s="18" t="str">
        <f>Pospago[[#This Row],[TIPO_MOVIMIENTO]]&amp;" "&amp;Pospago[[#This Row],[FORMA_PAGO_FINAL]]</f>
        <v>TRANSFERENCIAS PAGO EN CAJA</v>
      </c>
      <c r="BC736" s="18">
        <f>DAY(Pospago[[#This Row],[FECHA_ALTA]])</f>
        <v>1</v>
      </c>
      <c r="BD736" s="18">
        <f>IF(Pospago[[#This Row],[TARIFA_BASICA]]=11.42,1,0)</f>
        <v>0</v>
      </c>
      <c r="BE736" s="18">
        <f>IF(Pospago[[#This Row],[PLANES TELEVENTAS]]="SI",1,0)</f>
        <v>0</v>
      </c>
      <c r="BF736" s="18">
        <f>1</f>
        <v>1</v>
      </c>
      <c r="BG736" s="18">
        <f>IF(OR(Pospago[[#This Row],[TARIFA_BASICA]]=11.42,Pospago[[#This Row],[PLANES TELEVENTAS]]="SI"),1,0)</f>
        <v>0</v>
      </c>
      <c r="BH736" s="18" t="str">
        <f>IF(MID(Pospago[[#This Row],[PlanDesc]],1,4) = "PLAN","POSPAGO",IF(MID(Pospago[[#This Row],[PlanDesc]],1,4)="FULL","FULL MEGAS","PREVIOPAGO"))</f>
        <v>PREVIOPAGO</v>
      </c>
      <c r="BI7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7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36" s="21">
        <f>Pospago[[#This Row],[TARIFA_BASICA]]*1.5</f>
        <v>22.5</v>
      </c>
    </row>
    <row r="737" spans="1:63" x14ac:dyDescent="0.25">
      <c r="A737" s="18" t="s">
        <v>154</v>
      </c>
      <c r="B737" s="18" t="s">
        <v>4709</v>
      </c>
      <c r="C737" s="18" t="s">
        <v>4223</v>
      </c>
      <c r="D737" s="19">
        <v>44896</v>
      </c>
      <c r="E737" s="18" t="s">
        <v>67</v>
      </c>
      <c r="F737" s="18" t="s">
        <v>4224</v>
      </c>
      <c r="G737" s="18" t="s">
        <v>4225</v>
      </c>
      <c r="H737" s="18" t="s">
        <v>159</v>
      </c>
      <c r="I737" s="18" t="s">
        <v>71</v>
      </c>
      <c r="J737" s="18" t="s">
        <v>258</v>
      </c>
      <c r="K737" s="18" t="s">
        <v>4226</v>
      </c>
      <c r="L737" s="20" t="s">
        <v>4710</v>
      </c>
      <c r="M737" s="18" t="s">
        <v>75</v>
      </c>
      <c r="N737" s="20" t="s">
        <v>4711</v>
      </c>
      <c r="O737" s="18" t="s">
        <v>164</v>
      </c>
      <c r="P737" s="18" t="s">
        <v>78</v>
      </c>
      <c r="Q737" s="19">
        <v>44914</v>
      </c>
      <c r="R737" s="21">
        <v>11.42</v>
      </c>
      <c r="S737" s="18" t="s">
        <v>79</v>
      </c>
      <c r="T737" s="18" t="s">
        <v>117</v>
      </c>
      <c r="U737" s="18" t="s">
        <v>83</v>
      </c>
      <c r="V737" s="18" t="s">
        <v>95</v>
      </c>
      <c r="W737" s="18" t="s">
        <v>95</v>
      </c>
      <c r="X737" s="18" t="s">
        <v>84</v>
      </c>
      <c r="Y737" s="18" t="s">
        <v>85</v>
      </c>
      <c r="Z737" s="18" t="s">
        <v>86</v>
      </c>
      <c r="AA737" s="18" t="s">
        <v>87</v>
      </c>
      <c r="AB737" s="18" t="s">
        <v>120</v>
      </c>
      <c r="AC737" s="18" t="s">
        <v>121</v>
      </c>
      <c r="AD737" s="18" t="s">
        <v>85</v>
      </c>
      <c r="AE737" s="18" t="s">
        <v>90</v>
      </c>
      <c r="AF737" s="18" t="s">
        <v>122</v>
      </c>
      <c r="AG737" s="18" t="s">
        <v>92</v>
      </c>
      <c r="AH737" s="18" t="s">
        <v>165</v>
      </c>
      <c r="AI737" s="18" t="s">
        <v>94</v>
      </c>
      <c r="AJ737" s="19">
        <v>44896</v>
      </c>
      <c r="AK737" s="22" t="s">
        <v>95</v>
      </c>
      <c r="AL737" s="18" t="s">
        <v>95</v>
      </c>
      <c r="AM737" s="18" t="s">
        <v>95</v>
      </c>
      <c r="AN737" s="18" t="s">
        <v>95</v>
      </c>
      <c r="AO737" s="18" t="s">
        <v>95</v>
      </c>
      <c r="AP737" s="18" t="s">
        <v>95</v>
      </c>
      <c r="AQ737" s="18" t="s">
        <v>95</v>
      </c>
      <c r="AR737" s="18" t="s">
        <v>95</v>
      </c>
      <c r="AS737" s="18" t="s">
        <v>83</v>
      </c>
      <c r="AT737" s="18" t="s">
        <v>83</v>
      </c>
      <c r="AU737" s="18" t="s">
        <v>81</v>
      </c>
      <c r="AV737" s="18" t="s">
        <v>95</v>
      </c>
      <c r="AW737" s="18" t="s">
        <v>95</v>
      </c>
      <c r="AX737" s="18"/>
      <c r="AY737" s="18" t="str">
        <f>Pospago[[#This Row],[NUM_TELEFONICO]]&amp;"POSPAGOSI"</f>
        <v>995020919POSPAGOSI</v>
      </c>
      <c r="AZ737" s="18" t="str">
        <f>VLOOKUP(Pospago[[#This Row],[NOM_PLAZA_FINAL]],[1]!Locales[#Data],3,0)</f>
        <v>TIENDA MACHALA</v>
      </c>
      <c r="BA737" s="18" t="str">
        <f>IFERROR(VLOOKUP(Pospago[[#This Row],[USUARIO]],[1]!Personal[#Data],6,0),"EJECUTIVO NO REGISTRADO")</f>
        <v>ARROBO VICENTE YADIRA ESPERANZA</v>
      </c>
      <c r="BB737" s="18" t="str">
        <f>Pospago[[#This Row],[TIPO_MOVIMIENTO]]&amp;" "&amp;Pospago[[#This Row],[FORMA_PAGO_FINAL]]</f>
        <v>TRANSFERENCIAS DOMICILIADO</v>
      </c>
      <c r="BC737" s="18">
        <f>DAY(Pospago[[#This Row],[FECHA_ALTA]])</f>
        <v>1</v>
      </c>
      <c r="BD737" s="18">
        <f>IF(Pospago[[#This Row],[TARIFA_BASICA]]=11.42,1,0)</f>
        <v>1</v>
      </c>
      <c r="BE737" s="18">
        <f>IF(Pospago[[#This Row],[PLANES TELEVENTAS]]="SI",1,0)</f>
        <v>0</v>
      </c>
      <c r="BF737" s="18">
        <f>1</f>
        <v>1</v>
      </c>
      <c r="BG737" s="18">
        <f>IF(OR(Pospago[[#This Row],[TARIFA_BASICA]]=11.42,Pospago[[#This Row],[PLANES TELEVENTAS]]="SI"),1,0)</f>
        <v>1</v>
      </c>
      <c r="BH737" s="18" t="str">
        <f>IF(MID(Pospago[[#This Row],[PlanDesc]],1,4) = "PLAN","POSPAGO",IF(MID(Pospago[[#This Row],[PlanDesc]],1,4)="FULL","FULL MEGAS","PREVIOPAGO"))</f>
        <v>PREVIOPAGO</v>
      </c>
      <c r="BI7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4.992</v>
      </c>
      <c r="BJ7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37" s="21">
        <f>Pospago[[#This Row],[TARIFA_BASICA]]*1.5</f>
        <v>17.13</v>
      </c>
    </row>
    <row r="738" spans="1:63" x14ac:dyDescent="0.25">
      <c r="A738" s="18" t="s">
        <v>64</v>
      </c>
      <c r="B738" s="18" t="s">
        <v>4712</v>
      </c>
      <c r="C738" s="18" t="s">
        <v>4713</v>
      </c>
      <c r="D738" s="19">
        <v>44912</v>
      </c>
      <c r="E738" s="18" t="s">
        <v>67</v>
      </c>
      <c r="F738" s="18" t="s">
        <v>4714</v>
      </c>
      <c r="G738" s="18" t="s">
        <v>4715</v>
      </c>
      <c r="H738" s="18" t="s">
        <v>70</v>
      </c>
      <c r="I738" s="18" t="s">
        <v>160</v>
      </c>
      <c r="J738" s="18" t="s">
        <v>195</v>
      </c>
      <c r="K738" s="18" t="s">
        <v>132</v>
      </c>
      <c r="L738" s="20" t="s">
        <v>4716</v>
      </c>
      <c r="M738" s="18" t="s">
        <v>75</v>
      </c>
      <c r="N738" s="20" t="s">
        <v>4717</v>
      </c>
      <c r="O738" s="18" t="s">
        <v>77</v>
      </c>
      <c r="P738" s="18" t="s">
        <v>78</v>
      </c>
      <c r="Q738" s="19">
        <v>44914</v>
      </c>
      <c r="R738" s="21">
        <v>14.28</v>
      </c>
      <c r="S738" s="18" t="s">
        <v>79</v>
      </c>
      <c r="T738" s="18" t="s">
        <v>174</v>
      </c>
      <c r="U738" s="18" t="s">
        <v>83</v>
      </c>
      <c r="V738" s="18" t="s">
        <v>95</v>
      </c>
      <c r="W738" s="18" t="s">
        <v>83</v>
      </c>
      <c r="X738" s="18" t="s">
        <v>84</v>
      </c>
      <c r="Y738" s="18" t="s">
        <v>85</v>
      </c>
      <c r="Z738" s="18" t="s">
        <v>86</v>
      </c>
      <c r="AA738" s="18" t="s">
        <v>87</v>
      </c>
      <c r="AB738" s="18" t="s">
        <v>199</v>
      </c>
      <c r="AC738" s="18" t="s">
        <v>200</v>
      </c>
      <c r="AD738" s="18" t="s">
        <v>85</v>
      </c>
      <c r="AE738" s="18" t="s">
        <v>90</v>
      </c>
      <c r="AF738" s="18" t="s">
        <v>177</v>
      </c>
      <c r="AG738" s="18" t="s">
        <v>139</v>
      </c>
      <c r="AH738" s="18" t="s">
        <v>93</v>
      </c>
      <c r="AI738" s="18" t="s">
        <v>94</v>
      </c>
      <c r="AJ738" s="19">
        <v>44912</v>
      </c>
      <c r="AK738" s="22" t="s">
        <v>95</v>
      </c>
      <c r="AL738" s="18" t="s">
        <v>95</v>
      </c>
      <c r="AM738" s="18" t="s">
        <v>95</v>
      </c>
      <c r="AN738" s="18" t="s">
        <v>95</v>
      </c>
      <c r="AO738" s="18" t="s">
        <v>95</v>
      </c>
      <c r="AP738" s="18" t="s">
        <v>95</v>
      </c>
      <c r="AQ738" s="18" t="s">
        <v>95</v>
      </c>
      <c r="AR738" s="18" t="s">
        <v>95</v>
      </c>
      <c r="AS738" s="18" t="s">
        <v>83</v>
      </c>
      <c r="AT738" s="18" t="s">
        <v>83</v>
      </c>
      <c r="AU738" s="18" t="s">
        <v>81</v>
      </c>
      <c r="AV738" s="18" t="s">
        <v>95</v>
      </c>
      <c r="AW738" s="18" t="s">
        <v>95</v>
      </c>
      <c r="AX738" s="18"/>
      <c r="AY738" s="18" t="str">
        <f>Pospago[[#This Row],[NUM_TELEFONICO]]&amp;"POSPAGOSI"</f>
        <v>995021204POSPAGOSI</v>
      </c>
      <c r="AZ738" s="18" t="str">
        <f>VLOOKUP(Pospago[[#This Row],[NOM_PLAZA_FINAL]],[1]!Locales[#Data],3,0)</f>
        <v>TIENDA RECREO</v>
      </c>
      <c r="BA738" s="18" t="str">
        <f>IFERROR(VLOOKUP(Pospago[[#This Row],[USUARIO]],[1]!Personal[#Data],6,0),"EJECUTIVO NO REGISTRADO")</f>
        <v>MEDINA LAPO DAYANNA CAROLINA</v>
      </c>
      <c r="BB738" s="18" t="str">
        <f>Pospago[[#This Row],[TIPO_MOVIMIENTO]]&amp;" "&amp;Pospago[[#This Row],[FORMA_PAGO_FINAL]]</f>
        <v>ALTAS DOMICILIADO</v>
      </c>
      <c r="BC738" s="18">
        <f>DAY(Pospago[[#This Row],[FECHA_ALTA]])</f>
        <v>17</v>
      </c>
      <c r="BD738" s="18">
        <f>IF(Pospago[[#This Row],[TARIFA_BASICA]]=11.42,1,0)</f>
        <v>0</v>
      </c>
      <c r="BE738" s="18">
        <f>IF(Pospago[[#This Row],[PLANES TELEVENTAS]]="SI",1,0)</f>
        <v>0</v>
      </c>
      <c r="BF738" s="18">
        <f>1</f>
        <v>1</v>
      </c>
      <c r="BG738" s="18">
        <f>IF(OR(Pospago[[#This Row],[TARIFA_BASICA]]=11.42,Pospago[[#This Row],[PLANES TELEVENTAS]]="SI"),1,0)</f>
        <v>0</v>
      </c>
      <c r="BH738" s="18" t="str">
        <f>IF(MID(Pospago[[#This Row],[PlanDesc]],1,4) = "PLAN","POSPAGO",IF(MID(Pospago[[#This Row],[PlanDesc]],1,4)="FULL","FULL MEGAS","PREVIOPAGO"))</f>
        <v>PREVIOPAGO</v>
      </c>
      <c r="BI7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38" s="21">
        <f>Pospago[[#This Row],[TARIFA_BASICA]]*1.5</f>
        <v>21.419999999999998</v>
      </c>
    </row>
    <row r="739" spans="1:63" x14ac:dyDescent="0.25">
      <c r="A739" s="18" t="s">
        <v>154</v>
      </c>
      <c r="B739" s="18" t="s">
        <v>4718</v>
      </c>
      <c r="C739" s="18" t="s">
        <v>4719</v>
      </c>
      <c r="D739" s="19">
        <v>44897</v>
      </c>
      <c r="E739" s="18" t="s">
        <v>67</v>
      </c>
      <c r="F739" s="18" t="s">
        <v>4720</v>
      </c>
      <c r="G739" s="18" t="s">
        <v>4721</v>
      </c>
      <c r="H739" s="18" t="s">
        <v>159</v>
      </c>
      <c r="I739" s="18" t="s">
        <v>71</v>
      </c>
      <c r="J739" s="18" t="s">
        <v>258</v>
      </c>
      <c r="K739" s="18" t="s">
        <v>114</v>
      </c>
      <c r="L739" s="20" t="s">
        <v>4722</v>
      </c>
      <c r="M739" s="18" t="s">
        <v>75</v>
      </c>
      <c r="N739" s="20" t="s">
        <v>4723</v>
      </c>
      <c r="O739" s="18" t="s">
        <v>164</v>
      </c>
      <c r="P739" s="18" t="s">
        <v>78</v>
      </c>
      <c r="Q739" s="19">
        <v>44914</v>
      </c>
      <c r="R739" s="21">
        <v>11.42</v>
      </c>
      <c r="S739" s="18" t="s">
        <v>79</v>
      </c>
      <c r="T739" s="18" t="s">
        <v>117</v>
      </c>
      <c r="U739" s="18" t="s">
        <v>83</v>
      </c>
      <c r="V739" s="18" t="s">
        <v>95</v>
      </c>
      <c r="W739" s="18" t="s">
        <v>95</v>
      </c>
      <c r="X739" s="18" t="s">
        <v>118</v>
      </c>
      <c r="Y739" s="18" t="s">
        <v>85</v>
      </c>
      <c r="Z739" s="18" t="s">
        <v>86</v>
      </c>
      <c r="AA739" s="18" t="s">
        <v>119</v>
      </c>
      <c r="AB739" s="18" t="s">
        <v>1043</v>
      </c>
      <c r="AC739" s="18" t="s">
        <v>1044</v>
      </c>
      <c r="AD739" s="18" t="s">
        <v>85</v>
      </c>
      <c r="AE739" s="18" t="s">
        <v>90</v>
      </c>
      <c r="AF739" s="18" t="s">
        <v>122</v>
      </c>
      <c r="AG739" s="18" t="s">
        <v>92</v>
      </c>
      <c r="AH739" s="18" t="s">
        <v>165</v>
      </c>
      <c r="AI739" s="18" t="s">
        <v>94</v>
      </c>
      <c r="AJ739" s="19">
        <v>44897</v>
      </c>
      <c r="AK739" s="22" t="s">
        <v>95</v>
      </c>
      <c r="AL739" s="18" t="s">
        <v>95</v>
      </c>
      <c r="AM739" s="18" t="s">
        <v>95</v>
      </c>
      <c r="AN739" s="18" t="s">
        <v>95</v>
      </c>
      <c r="AO739" s="18" t="s">
        <v>95</v>
      </c>
      <c r="AP739" s="18" t="s">
        <v>95</v>
      </c>
      <c r="AQ739" s="18" t="s">
        <v>95</v>
      </c>
      <c r="AR739" s="18" t="s">
        <v>95</v>
      </c>
      <c r="AS739" s="18" t="s">
        <v>83</v>
      </c>
      <c r="AT739" s="18" t="s">
        <v>83</v>
      </c>
      <c r="AU739" s="18" t="s">
        <v>81</v>
      </c>
      <c r="AV739" s="18" t="s">
        <v>95</v>
      </c>
      <c r="AW739" s="18" t="s">
        <v>95</v>
      </c>
      <c r="AX739" s="18"/>
      <c r="AY739" s="18" t="str">
        <f>Pospago[[#This Row],[NUM_TELEFONICO]]&amp;"POSPAGOSI"</f>
        <v>995033455POSPAGOSI</v>
      </c>
      <c r="AZ739" s="18" t="str">
        <f>VLOOKUP(Pospago[[#This Row],[NOM_PLAZA_FINAL]],[1]!Locales[#Data],3,0)</f>
        <v>TIENDA MACHALA</v>
      </c>
      <c r="BA739" s="18" t="str">
        <f>IFERROR(VLOOKUP(Pospago[[#This Row],[USUARIO]],[1]!Personal[#Data],6,0),"EJECUTIVO NO REGISTRADO")</f>
        <v>GONZAGA YUPANGUI LIZBETH KATHERINE</v>
      </c>
      <c r="BB739" s="18" t="str">
        <f>Pospago[[#This Row],[TIPO_MOVIMIENTO]]&amp;" "&amp;Pospago[[#This Row],[FORMA_PAGO_FINAL]]</f>
        <v>TRANSFERENCIAS PAGO EN CAJA</v>
      </c>
      <c r="BC739" s="18">
        <f>DAY(Pospago[[#This Row],[FECHA_ALTA]])</f>
        <v>2</v>
      </c>
      <c r="BD739" s="18">
        <f>IF(Pospago[[#This Row],[TARIFA_BASICA]]=11.42,1,0)</f>
        <v>1</v>
      </c>
      <c r="BE739" s="18">
        <f>IF(Pospago[[#This Row],[PLANES TELEVENTAS]]="SI",1,0)</f>
        <v>0</v>
      </c>
      <c r="BF739" s="18">
        <f>1</f>
        <v>1</v>
      </c>
      <c r="BG739" s="18">
        <f>IF(OR(Pospago[[#This Row],[TARIFA_BASICA]]=11.42,Pospago[[#This Row],[PLANES TELEVENTAS]]="SI"),1,0)</f>
        <v>1</v>
      </c>
      <c r="BH739" s="18" t="str">
        <f>IF(MID(Pospago[[#This Row],[PlanDesc]],1,4) = "PLAN","POSPAGO",IF(MID(Pospago[[#This Row],[PlanDesc]],1,4)="FULL","FULL MEGAS","PREVIOPAGO"))</f>
        <v>PREVIOPAGO</v>
      </c>
      <c r="BI7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3.7439999999999998</v>
      </c>
      <c r="BJ7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39" s="21">
        <f>Pospago[[#This Row],[TARIFA_BASICA]]*1.5</f>
        <v>17.13</v>
      </c>
    </row>
    <row r="740" spans="1:63" x14ac:dyDescent="0.25">
      <c r="A740" s="18" t="s">
        <v>154</v>
      </c>
      <c r="B740" s="18" t="s">
        <v>4724</v>
      </c>
      <c r="C740" s="18" t="s">
        <v>4725</v>
      </c>
      <c r="D740" s="19">
        <v>44897</v>
      </c>
      <c r="E740" s="18" t="s">
        <v>67</v>
      </c>
      <c r="F740" s="18" t="s">
        <v>4726</v>
      </c>
      <c r="G740" s="18" t="s">
        <v>4727</v>
      </c>
      <c r="H740" s="18" t="s">
        <v>159</v>
      </c>
      <c r="I740" s="18" t="s">
        <v>112</v>
      </c>
      <c r="J740" s="18" t="s">
        <v>781</v>
      </c>
      <c r="K740" s="18" t="s">
        <v>132</v>
      </c>
      <c r="L740" s="20" t="s">
        <v>4728</v>
      </c>
      <c r="M740" s="18" t="s">
        <v>75</v>
      </c>
      <c r="N740" s="20" t="s">
        <v>4729</v>
      </c>
      <c r="O740" s="18" t="s">
        <v>1532</v>
      </c>
      <c r="P740" s="18" t="s">
        <v>78</v>
      </c>
      <c r="Q740" s="19">
        <v>44914</v>
      </c>
      <c r="R740" s="21">
        <v>17.850000000000001</v>
      </c>
      <c r="S740" s="18" t="s">
        <v>79</v>
      </c>
      <c r="T740" s="18" t="s">
        <v>135</v>
      </c>
      <c r="U740" s="18" t="s">
        <v>83</v>
      </c>
      <c r="V740" s="18" t="s">
        <v>95</v>
      </c>
      <c r="W740" s="18" t="s">
        <v>95</v>
      </c>
      <c r="X740" s="18" t="s">
        <v>118</v>
      </c>
      <c r="Y740" s="18" t="s">
        <v>85</v>
      </c>
      <c r="Z740" s="18" t="s">
        <v>86</v>
      </c>
      <c r="AA740" s="18" t="s">
        <v>119</v>
      </c>
      <c r="AB740" s="18" t="s">
        <v>665</v>
      </c>
      <c r="AC740" s="18" t="s">
        <v>666</v>
      </c>
      <c r="AD740" s="18" t="s">
        <v>85</v>
      </c>
      <c r="AE740" s="18" t="s">
        <v>90</v>
      </c>
      <c r="AF740" s="18" t="s">
        <v>138</v>
      </c>
      <c r="AG740" s="18" t="s">
        <v>139</v>
      </c>
      <c r="AH740" s="18" t="s">
        <v>165</v>
      </c>
      <c r="AI740" s="18" t="s">
        <v>94</v>
      </c>
      <c r="AJ740" s="19">
        <v>44897</v>
      </c>
      <c r="AK740" s="22" t="s">
        <v>95</v>
      </c>
      <c r="AL740" s="18" t="s">
        <v>95</v>
      </c>
      <c r="AM740" s="18" t="s">
        <v>95</v>
      </c>
      <c r="AN740" s="18" t="s">
        <v>95</v>
      </c>
      <c r="AO740" s="18" t="s">
        <v>95</v>
      </c>
      <c r="AP740" s="18" t="s">
        <v>95</v>
      </c>
      <c r="AQ740" s="18" t="s">
        <v>95</v>
      </c>
      <c r="AR740" s="18" t="s">
        <v>95</v>
      </c>
      <c r="AS740" s="18" t="s">
        <v>83</v>
      </c>
      <c r="AT740" s="18" t="s">
        <v>83</v>
      </c>
      <c r="AU740" s="18" t="s">
        <v>81</v>
      </c>
      <c r="AV740" s="18" t="s">
        <v>95</v>
      </c>
      <c r="AW740" s="18" t="s">
        <v>291</v>
      </c>
      <c r="AX740" s="18"/>
      <c r="AY740" s="18" t="str">
        <f>Pospago[[#This Row],[NUM_TELEFONICO]]&amp;"POSPAGOSI"</f>
        <v>995041350POSPAGOSI</v>
      </c>
      <c r="AZ740" s="18" t="str">
        <f>VLOOKUP(Pospago[[#This Row],[NOM_PLAZA_FINAL]],[1]!Locales[#Data],3,0)</f>
        <v>TIENDA AMERICA</v>
      </c>
      <c r="BA740" s="18" t="str">
        <f>IFERROR(VLOOKUP(Pospago[[#This Row],[USUARIO]],[1]!Personal[#Data],6,0),"EJECUTIVO NO REGISTRADO")</f>
        <v>ROSERO CAICEDO JAIRO STEFANO</v>
      </c>
      <c r="BB740" s="18" t="str">
        <f>Pospago[[#This Row],[TIPO_MOVIMIENTO]]&amp;" "&amp;Pospago[[#This Row],[FORMA_PAGO_FINAL]]</f>
        <v>TRANSFERENCIAS PAGO EN CAJA</v>
      </c>
      <c r="BC740" s="18">
        <f>DAY(Pospago[[#This Row],[FECHA_ALTA]])</f>
        <v>2</v>
      </c>
      <c r="BD740" s="18">
        <f>IF(Pospago[[#This Row],[TARIFA_BASICA]]=11.42,1,0)</f>
        <v>0</v>
      </c>
      <c r="BE740" s="18">
        <f>IF(Pospago[[#This Row],[PLANES TELEVENTAS]]="SI",1,0)</f>
        <v>0</v>
      </c>
      <c r="BF740" s="18">
        <f>1</f>
        <v>1</v>
      </c>
      <c r="BG740" s="18">
        <f>IF(OR(Pospago[[#This Row],[TARIFA_BASICA]]=11.42,Pospago[[#This Row],[PLANES TELEVENTAS]]="SI"),1,0)</f>
        <v>0</v>
      </c>
      <c r="BH740" s="18" t="str">
        <f>IF(MID(Pospago[[#This Row],[PlanDesc]],1,4) = "PLAN","POSPAGO",IF(MID(Pospago[[#This Row],[PlanDesc]],1,4)="FULL","FULL MEGAS","PREVIOPAGO"))</f>
        <v>PREVIOPAGO</v>
      </c>
      <c r="BI7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7.88</v>
      </c>
      <c r="BJ7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40" s="21">
        <f>Pospago[[#This Row],[TARIFA_BASICA]]*1.5</f>
        <v>26.775000000000002</v>
      </c>
    </row>
    <row r="741" spans="1:63" x14ac:dyDescent="0.25">
      <c r="A741" s="18" t="s">
        <v>64</v>
      </c>
      <c r="B741" s="18" t="s">
        <v>4730</v>
      </c>
      <c r="C741" s="18" t="s">
        <v>4731</v>
      </c>
      <c r="D741" s="19">
        <v>44911</v>
      </c>
      <c r="E741" s="18" t="s">
        <v>67</v>
      </c>
      <c r="F741" s="18" t="s">
        <v>4732</v>
      </c>
      <c r="G741" s="18" t="s">
        <v>4733</v>
      </c>
      <c r="H741" s="18" t="s">
        <v>70</v>
      </c>
      <c r="I741" s="18" t="s">
        <v>2207</v>
      </c>
      <c r="J741" s="18" t="s">
        <v>2208</v>
      </c>
      <c r="K741" s="18" t="s">
        <v>73</v>
      </c>
      <c r="L741" s="20" t="s">
        <v>4734</v>
      </c>
      <c r="M741" s="18" t="s">
        <v>75</v>
      </c>
      <c r="N741" s="20" t="s">
        <v>4735</v>
      </c>
      <c r="O741" s="18" t="s">
        <v>77</v>
      </c>
      <c r="P741" s="18" t="s">
        <v>78</v>
      </c>
      <c r="Q741" s="19">
        <v>44914</v>
      </c>
      <c r="R741" s="21">
        <v>15</v>
      </c>
      <c r="S741" s="18" t="s">
        <v>79</v>
      </c>
      <c r="T741" s="18" t="s">
        <v>135</v>
      </c>
      <c r="U741" s="18" t="s">
        <v>83</v>
      </c>
      <c r="V741" s="18" t="s">
        <v>95</v>
      </c>
      <c r="W741" s="18" t="s">
        <v>83</v>
      </c>
      <c r="X741" s="18" t="s">
        <v>84</v>
      </c>
      <c r="Y741" s="18" t="s">
        <v>85</v>
      </c>
      <c r="Z741" s="18" t="s">
        <v>86</v>
      </c>
      <c r="AA741" s="18" t="s">
        <v>87</v>
      </c>
      <c r="AB741" s="18" t="s">
        <v>326</v>
      </c>
      <c r="AC741" s="18" t="s">
        <v>327</v>
      </c>
      <c r="AD741" s="18" t="s">
        <v>85</v>
      </c>
      <c r="AE741" s="18" t="s">
        <v>90</v>
      </c>
      <c r="AF741" s="18" t="s">
        <v>138</v>
      </c>
      <c r="AG741" s="18" t="s">
        <v>139</v>
      </c>
      <c r="AH741" s="18" t="s">
        <v>93</v>
      </c>
      <c r="AI741" s="18" t="s">
        <v>94</v>
      </c>
      <c r="AJ741" s="19">
        <v>44911</v>
      </c>
      <c r="AK741" s="22" t="s">
        <v>95</v>
      </c>
      <c r="AL741" s="18" t="s">
        <v>95</v>
      </c>
      <c r="AM741" s="18" t="s">
        <v>95</v>
      </c>
      <c r="AN741" s="18" t="s">
        <v>95</v>
      </c>
      <c r="AO741" s="18" t="s">
        <v>95</v>
      </c>
      <c r="AP741" s="18" t="s">
        <v>95</v>
      </c>
      <c r="AQ741" s="18" t="s">
        <v>95</v>
      </c>
      <c r="AR741" s="18" t="s">
        <v>95</v>
      </c>
      <c r="AS741" s="18" t="s">
        <v>83</v>
      </c>
      <c r="AT741" s="18" t="s">
        <v>95</v>
      </c>
      <c r="AU741" s="18" t="s">
        <v>95</v>
      </c>
      <c r="AV741" s="18" t="s">
        <v>95</v>
      </c>
      <c r="AW741" s="18" t="s">
        <v>95</v>
      </c>
      <c r="AX741" s="18"/>
      <c r="AY741" s="18" t="str">
        <f>Pospago[[#This Row],[NUM_TELEFONICO]]&amp;"POSPAGOSI"</f>
        <v>995049714POSPAGOSI</v>
      </c>
      <c r="AZ741" s="18" t="str">
        <f>VLOOKUP(Pospago[[#This Row],[NOM_PLAZA_FINAL]],[1]!Locales[#Data],3,0)</f>
        <v>TIENDA AMERICA</v>
      </c>
      <c r="BA741" s="18" t="str">
        <f>IFERROR(VLOOKUP(Pospago[[#This Row],[USUARIO]],[1]!Personal[#Data],6,0),"EJECUTIVO NO REGISTRADO")</f>
        <v>AMBULUDI ROLDAN GIANELLA GRIMANEZA</v>
      </c>
      <c r="BB741" s="18" t="str">
        <f>Pospago[[#This Row],[TIPO_MOVIMIENTO]]&amp;" "&amp;Pospago[[#This Row],[FORMA_PAGO_FINAL]]</f>
        <v>ALTAS DOMICILIADO</v>
      </c>
      <c r="BC741" s="18">
        <f>DAY(Pospago[[#This Row],[FECHA_ALTA]])</f>
        <v>16</v>
      </c>
      <c r="BD741" s="18">
        <f>IF(Pospago[[#This Row],[TARIFA_BASICA]]=11.42,1,0)</f>
        <v>0</v>
      </c>
      <c r="BE741" s="18">
        <f>IF(Pospago[[#This Row],[PLANES TELEVENTAS]]="SI",1,0)</f>
        <v>0</v>
      </c>
      <c r="BF741" s="18">
        <f>1</f>
        <v>1</v>
      </c>
      <c r="BG741" s="18">
        <f>IF(OR(Pospago[[#This Row],[TARIFA_BASICA]]=11.42,Pospago[[#This Row],[PLANES TELEVENTAS]]="SI"),1,0)</f>
        <v>0</v>
      </c>
      <c r="BH741" s="18" t="str">
        <f>IF(MID(Pospago[[#This Row],[PlanDesc]],1,4) = "PLAN","POSPAGO",IF(MID(Pospago[[#This Row],[PlanDesc]],1,4)="FULL","FULL MEGAS","PREVIOPAGO"))</f>
        <v>FULL MEGAS</v>
      </c>
      <c r="BI7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7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41" s="21">
        <f>Pospago[[#This Row],[TARIFA_BASICA]]*1.5</f>
        <v>22.5</v>
      </c>
    </row>
    <row r="742" spans="1:63" x14ac:dyDescent="0.25">
      <c r="A742" s="18" t="s">
        <v>64</v>
      </c>
      <c r="B742" s="18" t="s">
        <v>4736</v>
      </c>
      <c r="C742" s="18" t="s">
        <v>4737</v>
      </c>
      <c r="D742" s="19">
        <v>44897</v>
      </c>
      <c r="E742" s="18" t="s">
        <v>67</v>
      </c>
      <c r="F742" s="18" t="s">
        <v>4738</v>
      </c>
      <c r="G742" s="18" t="s">
        <v>4739</v>
      </c>
      <c r="H742" s="18" t="s">
        <v>70</v>
      </c>
      <c r="I742" s="18" t="s">
        <v>183</v>
      </c>
      <c r="J742" s="18" t="s">
        <v>184</v>
      </c>
      <c r="K742" s="18" t="s">
        <v>95</v>
      </c>
      <c r="L742" s="20" t="s">
        <v>4740</v>
      </c>
      <c r="M742" s="18" t="s">
        <v>75</v>
      </c>
      <c r="N742" s="20" t="s">
        <v>4741</v>
      </c>
      <c r="O742" s="18" t="s">
        <v>77</v>
      </c>
      <c r="P742" s="18" t="s">
        <v>78</v>
      </c>
      <c r="Q742" s="19">
        <v>44914</v>
      </c>
      <c r="R742" s="21">
        <v>11.42</v>
      </c>
      <c r="S742" s="18" t="s">
        <v>79</v>
      </c>
      <c r="T742" s="18" t="s">
        <v>117</v>
      </c>
      <c r="U742" s="18" t="s">
        <v>83</v>
      </c>
      <c r="V742" s="18" t="s">
        <v>95</v>
      </c>
      <c r="W742" s="18" t="s">
        <v>83</v>
      </c>
      <c r="X742" s="18" t="s">
        <v>84</v>
      </c>
      <c r="Y742" s="18" t="s">
        <v>85</v>
      </c>
      <c r="Z742" s="18" t="s">
        <v>86</v>
      </c>
      <c r="AA742" s="18" t="s">
        <v>87</v>
      </c>
      <c r="AB742" s="18" t="s">
        <v>120</v>
      </c>
      <c r="AC742" s="18" t="s">
        <v>121</v>
      </c>
      <c r="AD742" s="18" t="s">
        <v>85</v>
      </c>
      <c r="AE742" s="18" t="s">
        <v>90</v>
      </c>
      <c r="AF742" s="18" t="s">
        <v>122</v>
      </c>
      <c r="AG742" s="18" t="s">
        <v>92</v>
      </c>
      <c r="AH742" s="18" t="s">
        <v>93</v>
      </c>
      <c r="AI742" s="18" t="s">
        <v>94</v>
      </c>
      <c r="AJ742" s="19">
        <v>44897</v>
      </c>
      <c r="AK742" s="22" t="s">
        <v>95</v>
      </c>
      <c r="AL742" s="18" t="s">
        <v>95</v>
      </c>
      <c r="AM742" s="18" t="s">
        <v>95</v>
      </c>
      <c r="AN742" s="18" t="s">
        <v>95</v>
      </c>
      <c r="AO742" s="18" t="s">
        <v>95</v>
      </c>
      <c r="AP742" s="18" t="s">
        <v>95</v>
      </c>
      <c r="AQ742" s="18" t="s">
        <v>95</v>
      </c>
      <c r="AR742" s="18" t="s">
        <v>95</v>
      </c>
      <c r="AS742" s="18" t="s">
        <v>83</v>
      </c>
      <c r="AT742" s="18" t="s">
        <v>83</v>
      </c>
      <c r="AU742" s="18" t="s">
        <v>83</v>
      </c>
      <c r="AV742" s="18" t="s">
        <v>95</v>
      </c>
      <c r="AW742" s="18" t="s">
        <v>95</v>
      </c>
      <c r="AX742" s="18"/>
      <c r="AY742" s="18" t="str">
        <f>Pospago[[#This Row],[NUM_TELEFONICO]]&amp;"POSPAGOSI"</f>
        <v>995059124POSPAGOSI</v>
      </c>
      <c r="AZ742" s="18" t="str">
        <f>VLOOKUP(Pospago[[#This Row],[NOM_PLAZA_FINAL]],[1]!Locales[#Data],3,0)</f>
        <v>TIENDA MACHALA</v>
      </c>
      <c r="BA742" s="18" t="str">
        <f>IFERROR(VLOOKUP(Pospago[[#This Row],[USUARIO]],[1]!Personal[#Data],6,0),"EJECUTIVO NO REGISTRADO")</f>
        <v>ARROBO VICENTE YADIRA ESPERANZA</v>
      </c>
      <c r="BB742" s="18" t="str">
        <f>Pospago[[#This Row],[TIPO_MOVIMIENTO]]&amp;" "&amp;Pospago[[#This Row],[FORMA_PAGO_FINAL]]</f>
        <v>ALTAS DOMICILIADO</v>
      </c>
      <c r="BC742" s="18">
        <f>DAY(Pospago[[#This Row],[FECHA_ALTA]])</f>
        <v>2</v>
      </c>
      <c r="BD742" s="18">
        <f>IF(Pospago[[#This Row],[TARIFA_BASICA]]=11.42,1,0)</f>
        <v>1</v>
      </c>
      <c r="BE742" s="18">
        <f>IF(Pospago[[#This Row],[PLANES TELEVENTAS]]="SI",1,0)</f>
        <v>0</v>
      </c>
      <c r="BF742" s="18">
        <f>1</f>
        <v>1</v>
      </c>
      <c r="BG742" s="18">
        <f>IF(OR(Pospago[[#This Row],[TARIFA_BASICA]]=11.42,Pospago[[#This Row],[PLANES TELEVENTAS]]="SI"),1,0)</f>
        <v>1</v>
      </c>
      <c r="BH742" s="18" t="str">
        <f>IF(MID(Pospago[[#This Row],[PlanDesc]],1,4) = "PLAN","POSPAGO",IF(MID(Pospago[[#This Row],[PlanDesc]],1,4)="FULL","FULL MEGAS","PREVIOPAGO"))</f>
        <v>POSPAGO</v>
      </c>
      <c r="BI7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9.984</v>
      </c>
      <c r="BJ7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42" s="21">
        <f>Pospago[[#This Row],[TARIFA_BASICA]]*1.5</f>
        <v>17.13</v>
      </c>
    </row>
    <row r="743" spans="1:63" x14ac:dyDescent="0.25">
      <c r="A743" s="18" t="s">
        <v>64</v>
      </c>
      <c r="B743" s="18" t="s">
        <v>4742</v>
      </c>
      <c r="C743" s="18" t="s">
        <v>4743</v>
      </c>
      <c r="D743" s="19">
        <v>44904</v>
      </c>
      <c r="E743" s="18" t="s">
        <v>67</v>
      </c>
      <c r="F743" s="18" t="s">
        <v>4744</v>
      </c>
      <c r="G743" s="18" t="s">
        <v>4745</v>
      </c>
      <c r="H743" s="18" t="s">
        <v>70</v>
      </c>
      <c r="I743" s="18" t="s">
        <v>194</v>
      </c>
      <c r="J743" s="18" t="s">
        <v>195</v>
      </c>
      <c r="K743" s="18" t="s">
        <v>567</v>
      </c>
      <c r="L743" s="20" t="s">
        <v>4746</v>
      </c>
      <c r="M743" s="18" t="s">
        <v>75</v>
      </c>
      <c r="N743" s="20" t="s">
        <v>4747</v>
      </c>
      <c r="O743" s="18" t="s">
        <v>77</v>
      </c>
      <c r="P743" s="18" t="s">
        <v>78</v>
      </c>
      <c r="Q743" s="19">
        <v>44914</v>
      </c>
      <c r="R743" s="21">
        <v>14.28</v>
      </c>
      <c r="S743" s="18" t="s">
        <v>79</v>
      </c>
      <c r="T743" s="18" t="s">
        <v>174</v>
      </c>
      <c r="U743" s="18" t="s">
        <v>83</v>
      </c>
      <c r="V743" s="18" t="s">
        <v>95</v>
      </c>
      <c r="W743" s="18" t="s">
        <v>83</v>
      </c>
      <c r="X743" s="18" t="s">
        <v>84</v>
      </c>
      <c r="Y743" s="18" t="s">
        <v>85</v>
      </c>
      <c r="Z743" s="18" t="s">
        <v>86</v>
      </c>
      <c r="AA743" s="18" t="s">
        <v>87</v>
      </c>
      <c r="AB743" s="18" t="s">
        <v>404</v>
      </c>
      <c r="AC743" s="18" t="s">
        <v>405</v>
      </c>
      <c r="AD743" s="18" t="s">
        <v>85</v>
      </c>
      <c r="AE743" s="18" t="s">
        <v>90</v>
      </c>
      <c r="AF743" s="18" t="s">
        <v>177</v>
      </c>
      <c r="AG743" s="18" t="s">
        <v>139</v>
      </c>
      <c r="AH743" s="18" t="s">
        <v>93</v>
      </c>
      <c r="AI743" s="18" t="s">
        <v>94</v>
      </c>
      <c r="AJ743" s="19">
        <v>44904</v>
      </c>
      <c r="AK743" s="22" t="s">
        <v>95</v>
      </c>
      <c r="AL743" s="18" t="s">
        <v>95</v>
      </c>
      <c r="AM743" s="18" t="s">
        <v>95</v>
      </c>
      <c r="AN743" s="18" t="s">
        <v>95</v>
      </c>
      <c r="AO743" s="18" t="s">
        <v>95</v>
      </c>
      <c r="AP743" s="18" t="s">
        <v>95</v>
      </c>
      <c r="AQ743" s="18" t="s">
        <v>95</v>
      </c>
      <c r="AR743" s="18" t="s">
        <v>95</v>
      </c>
      <c r="AS743" s="18" t="s">
        <v>83</v>
      </c>
      <c r="AT743" s="18" t="s">
        <v>81</v>
      </c>
      <c r="AU743" s="18" t="s">
        <v>81</v>
      </c>
      <c r="AV743" s="18" t="s">
        <v>95</v>
      </c>
      <c r="AW743" s="18" t="s">
        <v>96</v>
      </c>
      <c r="AX743" s="18"/>
      <c r="AY743" s="18" t="str">
        <f>Pospago[[#This Row],[NUM_TELEFONICO]]&amp;"POSPAGOSI"</f>
        <v>995082390POSPAGOSI</v>
      </c>
      <c r="AZ743" s="18" t="str">
        <f>VLOOKUP(Pospago[[#This Row],[NOM_PLAZA_FINAL]],[1]!Locales[#Data],3,0)</f>
        <v>TIENDA RECREO</v>
      </c>
      <c r="BA743" s="18" t="str">
        <f>IFERROR(VLOOKUP(Pospago[[#This Row],[USUARIO]],[1]!Personal[#Data],6,0),"EJECUTIVO NO REGISTRADO")</f>
        <v>OTERO YEPEZ ANDREA SOLEDAD</v>
      </c>
      <c r="BB743" s="18" t="str">
        <f>Pospago[[#This Row],[TIPO_MOVIMIENTO]]&amp;" "&amp;Pospago[[#This Row],[FORMA_PAGO_FINAL]]</f>
        <v>ALTAS DOMICILIADO</v>
      </c>
      <c r="BC743" s="18">
        <f>DAY(Pospago[[#This Row],[FECHA_ALTA]])</f>
        <v>9</v>
      </c>
      <c r="BD743" s="18">
        <f>IF(Pospago[[#This Row],[TARIFA_BASICA]]=11.42,1,0)</f>
        <v>0</v>
      </c>
      <c r="BE743" s="18">
        <f>IF(Pospago[[#This Row],[PLANES TELEVENTAS]]="SI",1,0)</f>
        <v>1</v>
      </c>
      <c r="BF743" s="18">
        <f>1</f>
        <v>1</v>
      </c>
      <c r="BG743" s="18">
        <f>IF(OR(Pospago[[#This Row],[TARIFA_BASICA]]=11.42,Pospago[[#This Row],[PLANES TELEVENTAS]]="SI"),1,0)</f>
        <v>1</v>
      </c>
      <c r="BH743" s="18" t="str">
        <f>IF(MID(Pospago[[#This Row],[PlanDesc]],1,4) = "PLAN","POSPAGO",IF(MID(Pospago[[#This Row],[PlanDesc]],1,4)="FULL","FULL MEGAS","PREVIOPAGO"))</f>
        <v>PREVIOPAGO</v>
      </c>
      <c r="BI7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43" s="21">
        <f>Pospago[[#This Row],[TARIFA_BASICA]]*1.5</f>
        <v>21.419999999999998</v>
      </c>
    </row>
    <row r="744" spans="1:63" x14ac:dyDescent="0.25">
      <c r="A744" s="18" t="s">
        <v>64</v>
      </c>
      <c r="B744" s="18" t="s">
        <v>4748</v>
      </c>
      <c r="C744" s="18" t="s">
        <v>4749</v>
      </c>
      <c r="D744" s="19">
        <v>44901</v>
      </c>
      <c r="E744" s="18" t="s">
        <v>67</v>
      </c>
      <c r="F744" s="18" t="s">
        <v>4750</v>
      </c>
      <c r="G744" s="18" t="s">
        <v>4751</v>
      </c>
      <c r="H744" s="18" t="s">
        <v>70</v>
      </c>
      <c r="I744" s="18" t="s">
        <v>160</v>
      </c>
      <c r="J744" s="18" t="s">
        <v>195</v>
      </c>
      <c r="K744" s="18" t="s">
        <v>132</v>
      </c>
      <c r="L744" s="20" t="s">
        <v>4752</v>
      </c>
      <c r="M744" s="18" t="s">
        <v>75</v>
      </c>
      <c r="N744" s="20" t="s">
        <v>4753</v>
      </c>
      <c r="O744" s="18" t="s">
        <v>77</v>
      </c>
      <c r="P744" s="18" t="s">
        <v>78</v>
      </c>
      <c r="Q744" s="19">
        <v>44914</v>
      </c>
      <c r="R744" s="21">
        <v>14.28</v>
      </c>
      <c r="S744" s="18" t="s">
        <v>79</v>
      </c>
      <c r="T744" s="18" t="s">
        <v>174</v>
      </c>
      <c r="U744" s="18" t="s">
        <v>83</v>
      </c>
      <c r="V744" s="18" t="s">
        <v>95</v>
      </c>
      <c r="W744" s="18" t="s">
        <v>83</v>
      </c>
      <c r="X744" s="18" t="s">
        <v>215</v>
      </c>
      <c r="Y744" s="18" t="s">
        <v>85</v>
      </c>
      <c r="Z744" s="18" t="s">
        <v>86</v>
      </c>
      <c r="AA744" s="18" t="s">
        <v>87</v>
      </c>
      <c r="AB744" s="18" t="s">
        <v>303</v>
      </c>
      <c r="AC744" s="18" t="s">
        <v>304</v>
      </c>
      <c r="AD744" s="18" t="s">
        <v>85</v>
      </c>
      <c r="AE744" s="18" t="s">
        <v>90</v>
      </c>
      <c r="AF744" s="18" t="s">
        <v>177</v>
      </c>
      <c r="AG744" s="18" t="s">
        <v>139</v>
      </c>
      <c r="AH744" s="18" t="s">
        <v>93</v>
      </c>
      <c r="AI744" s="18" t="s">
        <v>94</v>
      </c>
      <c r="AJ744" s="19">
        <v>44901</v>
      </c>
      <c r="AK744" s="22" t="s">
        <v>95</v>
      </c>
      <c r="AL744" s="18" t="s">
        <v>95</v>
      </c>
      <c r="AM744" s="18" t="s">
        <v>95</v>
      </c>
      <c r="AN744" s="18" t="s">
        <v>95</v>
      </c>
      <c r="AO744" s="18" t="s">
        <v>95</v>
      </c>
      <c r="AP744" s="18" t="s">
        <v>95</v>
      </c>
      <c r="AQ744" s="18" t="s">
        <v>95</v>
      </c>
      <c r="AR744" s="18" t="s">
        <v>95</v>
      </c>
      <c r="AS744" s="18" t="s">
        <v>83</v>
      </c>
      <c r="AT744" s="18" t="s">
        <v>83</v>
      </c>
      <c r="AU744" s="18" t="s">
        <v>81</v>
      </c>
      <c r="AV744" s="18" t="s">
        <v>95</v>
      </c>
      <c r="AW744" s="18" t="s">
        <v>95</v>
      </c>
      <c r="AX744" s="18"/>
      <c r="AY744" s="18" t="str">
        <f>Pospago[[#This Row],[NUM_TELEFONICO]]&amp;"POSPAGOSI"</f>
        <v>995083060POSPAGOSI</v>
      </c>
      <c r="AZ744" s="18" t="str">
        <f>VLOOKUP(Pospago[[#This Row],[NOM_PLAZA_FINAL]],[1]!Locales[#Data],3,0)</f>
        <v>TIENDA RECREO</v>
      </c>
      <c r="BA744" s="18" t="str">
        <f>IFERROR(VLOOKUP(Pospago[[#This Row],[USUARIO]],[1]!Personal[#Data],6,0),"EJECUTIVO NO REGISTRADO")</f>
        <v>CORDOVA GAIBOR JONATHAN HERNAN</v>
      </c>
      <c r="BB744" s="18" t="str">
        <f>Pospago[[#This Row],[TIPO_MOVIMIENTO]]&amp;" "&amp;Pospago[[#This Row],[FORMA_PAGO_FINAL]]</f>
        <v>ALTAS DOMICILIADO</v>
      </c>
      <c r="BC744" s="18">
        <f>DAY(Pospago[[#This Row],[FECHA_ALTA]])</f>
        <v>6</v>
      </c>
      <c r="BD744" s="18">
        <f>IF(Pospago[[#This Row],[TARIFA_BASICA]]=11.42,1,0)</f>
        <v>0</v>
      </c>
      <c r="BE744" s="18">
        <f>IF(Pospago[[#This Row],[PLANES TELEVENTAS]]="SI",1,0)</f>
        <v>0</v>
      </c>
      <c r="BF744" s="18">
        <f>1</f>
        <v>1</v>
      </c>
      <c r="BG744" s="18">
        <f>IF(OR(Pospago[[#This Row],[TARIFA_BASICA]]=11.42,Pospago[[#This Row],[PLANES TELEVENTAS]]="SI"),1,0)</f>
        <v>0</v>
      </c>
      <c r="BH744" s="18" t="str">
        <f>IF(MID(Pospago[[#This Row],[PlanDesc]],1,4) = "PLAN","POSPAGO",IF(MID(Pospago[[#This Row],[PlanDesc]],1,4)="FULL","FULL MEGAS","PREVIOPAGO"))</f>
        <v>PREVIOPAGO</v>
      </c>
      <c r="BI7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44" s="21">
        <f>Pospago[[#This Row],[TARIFA_BASICA]]*1.5</f>
        <v>21.419999999999998</v>
      </c>
    </row>
    <row r="745" spans="1:63" x14ac:dyDescent="0.25">
      <c r="A745" s="18" t="s">
        <v>64</v>
      </c>
      <c r="B745" s="18" t="s">
        <v>4754</v>
      </c>
      <c r="C745" s="18" t="s">
        <v>4755</v>
      </c>
      <c r="D745" s="19">
        <v>44900</v>
      </c>
      <c r="E745" s="18" t="s">
        <v>67</v>
      </c>
      <c r="F745" s="18" t="s">
        <v>4756</v>
      </c>
      <c r="G745" s="18" t="s">
        <v>4757</v>
      </c>
      <c r="H745" s="18" t="s">
        <v>70</v>
      </c>
      <c r="I745" s="18" t="s">
        <v>112</v>
      </c>
      <c r="J745" s="18" t="s">
        <v>113</v>
      </c>
      <c r="K745" s="18" t="s">
        <v>73</v>
      </c>
      <c r="L745" s="20" t="s">
        <v>4758</v>
      </c>
      <c r="M745" s="18" t="s">
        <v>75</v>
      </c>
      <c r="N745" s="20" t="s">
        <v>4759</v>
      </c>
      <c r="O745" s="18" t="s">
        <v>77</v>
      </c>
      <c r="P745" s="18" t="s">
        <v>78</v>
      </c>
      <c r="Q745" s="19">
        <v>44914</v>
      </c>
      <c r="R745" s="21">
        <v>17.850000000000001</v>
      </c>
      <c r="S745" s="18" t="s">
        <v>79</v>
      </c>
      <c r="T745" s="18" t="s">
        <v>80</v>
      </c>
      <c r="U745" s="18" t="s">
        <v>83</v>
      </c>
      <c r="V745" s="18" t="s">
        <v>95</v>
      </c>
      <c r="W745" s="18" t="s">
        <v>83</v>
      </c>
      <c r="X745" s="18" t="s">
        <v>84</v>
      </c>
      <c r="Y745" s="18" t="s">
        <v>85</v>
      </c>
      <c r="Z745" s="18" t="s">
        <v>86</v>
      </c>
      <c r="AA745" s="18" t="s">
        <v>87</v>
      </c>
      <c r="AB745" s="18" t="s">
        <v>289</v>
      </c>
      <c r="AC745" s="18" t="s">
        <v>290</v>
      </c>
      <c r="AD745" s="18" t="s">
        <v>85</v>
      </c>
      <c r="AE745" s="18" t="s">
        <v>90</v>
      </c>
      <c r="AF745" s="18" t="s">
        <v>91</v>
      </c>
      <c r="AG745" s="18" t="s">
        <v>92</v>
      </c>
      <c r="AH745" s="18" t="s">
        <v>93</v>
      </c>
      <c r="AI745" s="18" t="s">
        <v>94</v>
      </c>
      <c r="AJ745" s="19">
        <v>44900</v>
      </c>
      <c r="AK745" s="22" t="s">
        <v>95</v>
      </c>
      <c r="AL745" s="18" t="s">
        <v>95</v>
      </c>
      <c r="AM745" s="18" t="s">
        <v>95</v>
      </c>
      <c r="AN745" s="18" t="s">
        <v>95</v>
      </c>
      <c r="AO745" s="18" t="s">
        <v>95</v>
      </c>
      <c r="AP745" s="18" t="s">
        <v>95</v>
      </c>
      <c r="AQ745" s="18" t="s">
        <v>95</v>
      </c>
      <c r="AR745" s="18" t="s">
        <v>95</v>
      </c>
      <c r="AS745" s="18" t="s">
        <v>83</v>
      </c>
      <c r="AT745" s="18" t="s">
        <v>83</v>
      </c>
      <c r="AU745" s="18" t="s">
        <v>81</v>
      </c>
      <c r="AV745" s="18" t="s">
        <v>95</v>
      </c>
      <c r="AW745" s="18" t="s">
        <v>291</v>
      </c>
      <c r="AX745" s="18"/>
      <c r="AY745" s="18" t="str">
        <f>Pospago[[#This Row],[NUM_TELEFONICO]]&amp;"POSPAGOSI"</f>
        <v>995083585POSPAGOSI</v>
      </c>
      <c r="AZ745" s="18" t="str">
        <f>VLOOKUP(Pospago[[#This Row],[NOM_PLAZA_FINAL]],[1]!Locales[#Data],3,0)</f>
        <v>TIENDA CUENCA CENTRO</v>
      </c>
      <c r="BA745" s="18" t="str">
        <f>IFERROR(VLOOKUP(Pospago[[#This Row],[USUARIO]],[1]!Personal[#Data],6,0),"EJECUTIVO NO REGISTRADO")</f>
        <v>CALLE CHACA JORGE VINICIO</v>
      </c>
      <c r="BB745" s="18" t="str">
        <f>Pospago[[#This Row],[TIPO_MOVIMIENTO]]&amp;" "&amp;Pospago[[#This Row],[FORMA_PAGO_FINAL]]</f>
        <v>ALTAS DOMICILIADO</v>
      </c>
      <c r="BC745" s="18">
        <f>DAY(Pospago[[#This Row],[FECHA_ALTA]])</f>
        <v>5</v>
      </c>
      <c r="BD745" s="18">
        <f>IF(Pospago[[#This Row],[TARIFA_BASICA]]=11.42,1,0)</f>
        <v>0</v>
      </c>
      <c r="BE745" s="18">
        <f>IF(Pospago[[#This Row],[PLANES TELEVENTAS]]="SI",1,0)</f>
        <v>0</v>
      </c>
      <c r="BF745" s="18">
        <f>1</f>
        <v>1</v>
      </c>
      <c r="BG745" s="18">
        <f>IF(OR(Pospago[[#This Row],[TARIFA_BASICA]]=11.42,Pospago[[#This Row],[PLANES TELEVENTAS]]="SI"),1,0)</f>
        <v>0</v>
      </c>
      <c r="BH745" s="18" t="str">
        <f>IF(MID(Pospago[[#This Row],[PlanDesc]],1,4) = "PLAN","POSPAGO",IF(MID(Pospago[[#This Row],[PlanDesc]],1,4)="FULL","FULL MEGAS","PREVIOPAGO"))</f>
        <v>PREVIOPAGO</v>
      </c>
      <c r="BI7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7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45" s="21">
        <f>Pospago[[#This Row],[TARIFA_BASICA]]*1.5</f>
        <v>26.775000000000002</v>
      </c>
    </row>
    <row r="746" spans="1:63" x14ac:dyDescent="0.25">
      <c r="A746" s="18" t="s">
        <v>154</v>
      </c>
      <c r="B746" s="18" t="s">
        <v>4760</v>
      </c>
      <c r="C746" s="18" t="s">
        <v>4761</v>
      </c>
      <c r="D746" s="19">
        <v>44907</v>
      </c>
      <c r="E746" s="18" t="s">
        <v>67</v>
      </c>
      <c r="F746" s="18" t="s">
        <v>4762</v>
      </c>
      <c r="G746" s="18" t="s">
        <v>4763</v>
      </c>
      <c r="H746" s="18" t="s">
        <v>159</v>
      </c>
      <c r="I746" s="18" t="s">
        <v>112</v>
      </c>
      <c r="J746" s="18" t="s">
        <v>781</v>
      </c>
      <c r="K746" s="18" t="s">
        <v>132</v>
      </c>
      <c r="L746" s="20" t="s">
        <v>4764</v>
      </c>
      <c r="M746" s="18" t="s">
        <v>75</v>
      </c>
      <c r="N746" s="20" t="s">
        <v>4765</v>
      </c>
      <c r="O746" s="18" t="s">
        <v>2241</v>
      </c>
      <c r="P746" s="18" t="s">
        <v>78</v>
      </c>
      <c r="Q746" s="19">
        <v>44914</v>
      </c>
      <c r="R746" s="21">
        <v>17.850000000000001</v>
      </c>
      <c r="S746" s="18" t="s">
        <v>79</v>
      </c>
      <c r="T746" s="18" t="s">
        <v>232</v>
      </c>
      <c r="U746" s="18" t="s">
        <v>83</v>
      </c>
      <c r="V746" s="18" t="s">
        <v>95</v>
      </c>
      <c r="W746" s="18" t="s">
        <v>95</v>
      </c>
      <c r="X746" s="18" t="s">
        <v>215</v>
      </c>
      <c r="Y746" s="18" t="s">
        <v>85</v>
      </c>
      <c r="Z746" s="18" t="s">
        <v>86</v>
      </c>
      <c r="AA746" s="18" t="s">
        <v>87</v>
      </c>
      <c r="AB746" s="18" t="s">
        <v>280</v>
      </c>
      <c r="AC746" s="18" t="s">
        <v>281</v>
      </c>
      <c r="AD746" s="18" t="s">
        <v>85</v>
      </c>
      <c r="AE746" s="18" t="s">
        <v>90</v>
      </c>
      <c r="AF746" s="18" t="s">
        <v>235</v>
      </c>
      <c r="AG746" s="18" t="s">
        <v>139</v>
      </c>
      <c r="AH746" s="18" t="s">
        <v>165</v>
      </c>
      <c r="AI746" s="18" t="s">
        <v>94</v>
      </c>
      <c r="AJ746" s="19">
        <v>44907</v>
      </c>
      <c r="AK746" s="22" t="s">
        <v>95</v>
      </c>
      <c r="AL746" s="18" t="s">
        <v>95</v>
      </c>
      <c r="AM746" s="18" t="s">
        <v>95</v>
      </c>
      <c r="AN746" s="18" t="s">
        <v>95</v>
      </c>
      <c r="AO746" s="18" t="s">
        <v>95</v>
      </c>
      <c r="AP746" s="18" t="s">
        <v>95</v>
      </c>
      <c r="AQ746" s="18" t="s">
        <v>95</v>
      </c>
      <c r="AR746" s="18" t="s">
        <v>95</v>
      </c>
      <c r="AS746" s="18" t="s">
        <v>83</v>
      </c>
      <c r="AT746" s="18" t="s">
        <v>83</v>
      </c>
      <c r="AU746" s="18" t="s">
        <v>81</v>
      </c>
      <c r="AV746" s="18" t="s">
        <v>95</v>
      </c>
      <c r="AW746" s="18" t="s">
        <v>95</v>
      </c>
      <c r="AX746" s="18"/>
      <c r="AY746" s="18" t="str">
        <f>Pospago[[#This Row],[NUM_TELEFONICO]]&amp;"POSPAGOSI"</f>
        <v>995084040POSPAGOSI</v>
      </c>
      <c r="AZ746" s="18" t="str">
        <f>VLOOKUP(Pospago[[#This Row],[NOM_PLAZA_FINAL]],[1]!Locales[#Data],3,0)</f>
        <v>TIENDA CONDADO</v>
      </c>
      <c r="BA746" s="18" t="str">
        <f>IFERROR(VLOOKUP(Pospago[[#This Row],[USUARIO]],[1]!Personal[#Data],6,0),"EJECUTIVO NO REGISTRADO")</f>
        <v>GUACHAMIN CAZA HUGO ADRIAN</v>
      </c>
      <c r="BB746" s="18" t="str">
        <f>Pospago[[#This Row],[TIPO_MOVIMIENTO]]&amp;" "&amp;Pospago[[#This Row],[FORMA_PAGO_FINAL]]</f>
        <v>TRANSFERENCIAS DOMICILIADO</v>
      </c>
      <c r="BC746" s="18">
        <f>DAY(Pospago[[#This Row],[FECHA_ALTA]])</f>
        <v>12</v>
      </c>
      <c r="BD746" s="18">
        <f>IF(Pospago[[#This Row],[TARIFA_BASICA]]=11.42,1,0)</f>
        <v>0</v>
      </c>
      <c r="BE746" s="18">
        <f>IF(Pospago[[#This Row],[PLANES TELEVENTAS]]="SI",1,0)</f>
        <v>0</v>
      </c>
      <c r="BF746" s="18">
        <f>1</f>
        <v>1</v>
      </c>
      <c r="BG746" s="18">
        <f>IF(OR(Pospago[[#This Row],[TARIFA_BASICA]]=11.42,Pospago[[#This Row],[PLANES TELEVENTAS]]="SI"),1,0)</f>
        <v>0</v>
      </c>
      <c r="BH746" s="18" t="str">
        <f>IF(MID(Pospago[[#This Row],[PlanDesc]],1,4) = "PLAN","POSPAGO",IF(MID(Pospago[[#This Row],[PlanDesc]],1,4)="FULL","FULL MEGAS","PREVIOPAGO"))</f>
        <v>PREVIOPAGO</v>
      </c>
      <c r="BI7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7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46" s="21">
        <f>Pospago[[#This Row],[TARIFA_BASICA]]*1.5</f>
        <v>26.775000000000002</v>
      </c>
    </row>
    <row r="747" spans="1:63" x14ac:dyDescent="0.25">
      <c r="A747" s="18" t="s">
        <v>154</v>
      </c>
      <c r="B747" s="18" t="s">
        <v>4766</v>
      </c>
      <c r="C747" s="18" t="s">
        <v>4767</v>
      </c>
      <c r="D747" s="19">
        <v>44908</v>
      </c>
      <c r="E747" s="18" t="s">
        <v>67</v>
      </c>
      <c r="F747" s="18" t="s">
        <v>4768</v>
      </c>
      <c r="G747" s="18" t="s">
        <v>4769</v>
      </c>
      <c r="H747" s="18" t="s">
        <v>159</v>
      </c>
      <c r="I747" s="18" t="s">
        <v>359</v>
      </c>
      <c r="J747" s="18" t="s">
        <v>360</v>
      </c>
      <c r="K747" s="18" t="s">
        <v>73</v>
      </c>
      <c r="L747" s="20" t="s">
        <v>4770</v>
      </c>
      <c r="M747" s="18" t="s">
        <v>75</v>
      </c>
      <c r="N747" s="20" t="s">
        <v>4771</v>
      </c>
      <c r="O747" s="18" t="s">
        <v>1532</v>
      </c>
      <c r="P747" s="18" t="s">
        <v>78</v>
      </c>
      <c r="Q747" s="19">
        <v>44914</v>
      </c>
      <c r="R747" s="21">
        <v>14.28</v>
      </c>
      <c r="S747" s="18" t="s">
        <v>79</v>
      </c>
      <c r="T747" s="18" t="s">
        <v>232</v>
      </c>
      <c r="U747" s="18" t="s">
        <v>83</v>
      </c>
      <c r="V747" s="18" t="s">
        <v>95</v>
      </c>
      <c r="W747" s="18" t="s">
        <v>95</v>
      </c>
      <c r="X747" s="18" t="s">
        <v>84</v>
      </c>
      <c r="Y747" s="18" t="s">
        <v>85</v>
      </c>
      <c r="Z747" s="18" t="s">
        <v>86</v>
      </c>
      <c r="AA747" s="18" t="s">
        <v>87</v>
      </c>
      <c r="AB747" s="18" t="s">
        <v>233</v>
      </c>
      <c r="AC747" s="18" t="s">
        <v>234</v>
      </c>
      <c r="AD747" s="18" t="s">
        <v>85</v>
      </c>
      <c r="AE747" s="18" t="s">
        <v>90</v>
      </c>
      <c r="AF747" s="18" t="s">
        <v>235</v>
      </c>
      <c r="AG747" s="18" t="s">
        <v>139</v>
      </c>
      <c r="AH747" s="18" t="s">
        <v>165</v>
      </c>
      <c r="AI747" s="18" t="s">
        <v>94</v>
      </c>
      <c r="AJ747" s="19">
        <v>44908</v>
      </c>
      <c r="AK747" s="22" t="s">
        <v>95</v>
      </c>
      <c r="AL747" s="18" t="s">
        <v>95</v>
      </c>
      <c r="AM747" s="18" t="s">
        <v>95</v>
      </c>
      <c r="AN747" s="18" t="s">
        <v>95</v>
      </c>
      <c r="AO747" s="18" t="s">
        <v>95</v>
      </c>
      <c r="AP747" s="18" t="s">
        <v>95</v>
      </c>
      <c r="AQ747" s="18" t="s">
        <v>95</v>
      </c>
      <c r="AR747" s="18" t="s">
        <v>95</v>
      </c>
      <c r="AS747" s="18" t="s">
        <v>83</v>
      </c>
      <c r="AT747" s="18" t="s">
        <v>83</v>
      </c>
      <c r="AU747" s="18" t="s">
        <v>83</v>
      </c>
      <c r="AV747" s="18" t="s">
        <v>95</v>
      </c>
      <c r="AW747" s="18" t="s">
        <v>95</v>
      </c>
      <c r="AX747" s="18"/>
      <c r="AY747" s="18" t="str">
        <f>Pospago[[#This Row],[NUM_TELEFONICO]]&amp;"POSPAGOSI"</f>
        <v>995094039POSPAGOSI</v>
      </c>
      <c r="AZ747" s="18" t="str">
        <f>VLOOKUP(Pospago[[#This Row],[NOM_PLAZA_FINAL]],[1]!Locales[#Data],3,0)</f>
        <v>TIENDA CONDADO</v>
      </c>
      <c r="BA747" s="18" t="str">
        <f>IFERROR(VLOOKUP(Pospago[[#This Row],[USUARIO]],[1]!Personal[#Data],6,0),"EJECUTIVO NO REGISTRADO")</f>
        <v>ROSALES MALDONADO JESSICA GABRIELA</v>
      </c>
      <c r="BB747" s="18" t="str">
        <f>Pospago[[#This Row],[TIPO_MOVIMIENTO]]&amp;" "&amp;Pospago[[#This Row],[FORMA_PAGO_FINAL]]</f>
        <v>TRANSFERENCIAS DOMICILIADO</v>
      </c>
      <c r="BC747" s="18">
        <f>DAY(Pospago[[#This Row],[FECHA_ALTA]])</f>
        <v>13</v>
      </c>
      <c r="BD747" s="18">
        <f>IF(Pospago[[#This Row],[TARIFA_BASICA]]=11.42,1,0)</f>
        <v>0</v>
      </c>
      <c r="BE747" s="18">
        <f>IF(Pospago[[#This Row],[PLANES TELEVENTAS]]="SI",1,0)</f>
        <v>0</v>
      </c>
      <c r="BF747" s="18">
        <f>1</f>
        <v>1</v>
      </c>
      <c r="BG747" s="18">
        <f>IF(OR(Pospago[[#This Row],[TARIFA_BASICA]]=11.42,Pospago[[#This Row],[PLANES TELEVENTAS]]="SI"),1,0)</f>
        <v>0</v>
      </c>
      <c r="BH747" s="18" t="str">
        <f>IF(MID(Pospago[[#This Row],[PlanDesc]],1,4) = "PLAN","POSPAGO",IF(MID(Pospago[[#This Row],[PlanDesc]],1,4)="FULL","FULL MEGAS","PREVIOPAGO"))</f>
        <v>POSPAGO</v>
      </c>
      <c r="BI7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47" s="21">
        <f>Pospago[[#This Row],[TARIFA_BASICA]]*1.5</f>
        <v>21.419999999999998</v>
      </c>
    </row>
    <row r="748" spans="1:63" x14ac:dyDescent="0.25">
      <c r="A748" s="18" t="s">
        <v>154</v>
      </c>
      <c r="B748" s="18" t="s">
        <v>4772</v>
      </c>
      <c r="C748" s="18" t="s">
        <v>4773</v>
      </c>
      <c r="D748" s="19">
        <v>44901</v>
      </c>
      <c r="E748" s="18" t="s">
        <v>67</v>
      </c>
      <c r="F748" s="18" t="s">
        <v>4774</v>
      </c>
      <c r="G748" s="18" t="s">
        <v>4775</v>
      </c>
      <c r="H748" s="18" t="s">
        <v>159</v>
      </c>
      <c r="I748" s="18" t="s">
        <v>183</v>
      </c>
      <c r="J748" s="18" t="s">
        <v>184</v>
      </c>
      <c r="K748" s="18" t="s">
        <v>132</v>
      </c>
      <c r="L748" s="20" t="s">
        <v>4776</v>
      </c>
      <c r="M748" s="18" t="s">
        <v>75</v>
      </c>
      <c r="N748" s="20" t="s">
        <v>4777</v>
      </c>
      <c r="O748" s="18" t="s">
        <v>768</v>
      </c>
      <c r="P748" s="18" t="s">
        <v>78</v>
      </c>
      <c r="Q748" s="19">
        <v>44914</v>
      </c>
      <c r="R748" s="21">
        <v>11.42</v>
      </c>
      <c r="S748" s="18" t="s">
        <v>79</v>
      </c>
      <c r="T748" s="18" t="s">
        <v>80</v>
      </c>
      <c r="U748" s="18" t="s">
        <v>83</v>
      </c>
      <c r="V748" s="18" t="s">
        <v>95</v>
      </c>
      <c r="W748" s="18" t="s">
        <v>95</v>
      </c>
      <c r="X748" s="18" t="s">
        <v>84</v>
      </c>
      <c r="Y748" s="18" t="s">
        <v>85</v>
      </c>
      <c r="Z748" s="18" t="s">
        <v>86</v>
      </c>
      <c r="AA748" s="18" t="s">
        <v>87</v>
      </c>
      <c r="AB748" s="18" t="s">
        <v>289</v>
      </c>
      <c r="AC748" s="18" t="s">
        <v>290</v>
      </c>
      <c r="AD748" s="18" t="s">
        <v>85</v>
      </c>
      <c r="AE748" s="18" t="s">
        <v>90</v>
      </c>
      <c r="AF748" s="18" t="s">
        <v>91</v>
      </c>
      <c r="AG748" s="18" t="s">
        <v>92</v>
      </c>
      <c r="AH748" s="18" t="s">
        <v>165</v>
      </c>
      <c r="AI748" s="18" t="s">
        <v>94</v>
      </c>
      <c r="AJ748" s="19">
        <v>44901</v>
      </c>
      <c r="AK748" s="22" t="s">
        <v>95</v>
      </c>
      <c r="AL748" s="18" t="s">
        <v>95</v>
      </c>
      <c r="AM748" s="18" t="s">
        <v>95</v>
      </c>
      <c r="AN748" s="18" t="s">
        <v>95</v>
      </c>
      <c r="AO748" s="18" t="s">
        <v>95</v>
      </c>
      <c r="AP748" s="18" t="s">
        <v>95</v>
      </c>
      <c r="AQ748" s="18" t="s">
        <v>95</v>
      </c>
      <c r="AR748" s="18" t="s">
        <v>95</v>
      </c>
      <c r="AS748" s="18" t="s">
        <v>83</v>
      </c>
      <c r="AT748" s="18" t="s">
        <v>83</v>
      </c>
      <c r="AU748" s="18" t="s">
        <v>83</v>
      </c>
      <c r="AV748" s="18" t="s">
        <v>95</v>
      </c>
      <c r="AW748" s="18" t="s">
        <v>95</v>
      </c>
      <c r="AX748" s="18"/>
      <c r="AY748" s="18" t="str">
        <f>Pospago[[#This Row],[NUM_TELEFONICO]]&amp;"POSPAGOSI"</f>
        <v>995098665POSPAGOSI</v>
      </c>
      <c r="AZ748" s="18" t="str">
        <f>VLOOKUP(Pospago[[#This Row],[NOM_PLAZA_FINAL]],[1]!Locales[#Data],3,0)</f>
        <v>TIENDA CUENCA CENTRO</v>
      </c>
      <c r="BA748" s="18" t="str">
        <f>IFERROR(VLOOKUP(Pospago[[#This Row],[USUARIO]],[1]!Personal[#Data],6,0),"EJECUTIVO NO REGISTRADO")</f>
        <v>CALLE CHACA JORGE VINICIO</v>
      </c>
      <c r="BB748" s="18" t="str">
        <f>Pospago[[#This Row],[TIPO_MOVIMIENTO]]&amp;" "&amp;Pospago[[#This Row],[FORMA_PAGO_FINAL]]</f>
        <v>TRANSFERENCIAS DOMICILIADO</v>
      </c>
      <c r="BC748" s="18">
        <f>DAY(Pospago[[#This Row],[FECHA_ALTA]])</f>
        <v>6</v>
      </c>
      <c r="BD748" s="18">
        <f>IF(Pospago[[#This Row],[TARIFA_BASICA]]=11.42,1,0)</f>
        <v>1</v>
      </c>
      <c r="BE748" s="18">
        <f>IF(Pospago[[#This Row],[PLANES TELEVENTAS]]="SI",1,0)</f>
        <v>0</v>
      </c>
      <c r="BF748" s="18">
        <f>1</f>
        <v>1</v>
      </c>
      <c r="BG748" s="18">
        <f>IF(OR(Pospago[[#This Row],[TARIFA_BASICA]]=11.42,Pospago[[#This Row],[PLANES TELEVENTAS]]="SI"),1,0)</f>
        <v>1</v>
      </c>
      <c r="BH748" s="18" t="str">
        <f>IF(MID(Pospago[[#This Row],[PlanDesc]],1,4) = "PLAN","POSPAGO",IF(MID(Pospago[[#This Row],[PlanDesc]],1,4)="FULL","FULL MEGAS","PREVIOPAGO"))</f>
        <v>POSPAGO</v>
      </c>
      <c r="BI7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7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48" s="21">
        <f>Pospago[[#This Row],[TARIFA_BASICA]]*1.5</f>
        <v>17.13</v>
      </c>
    </row>
    <row r="749" spans="1:63" x14ac:dyDescent="0.25">
      <c r="A749" s="18" t="s">
        <v>154</v>
      </c>
      <c r="B749" s="18" t="s">
        <v>4778</v>
      </c>
      <c r="C749" s="18" t="s">
        <v>4779</v>
      </c>
      <c r="D749" s="19">
        <v>44896</v>
      </c>
      <c r="E749" s="18" t="s">
        <v>67</v>
      </c>
      <c r="F749" s="18" t="s">
        <v>4780</v>
      </c>
      <c r="G749" s="18" t="s">
        <v>4781</v>
      </c>
      <c r="H749" s="18" t="s">
        <v>159</v>
      </c>
      <c r="I749" s="18" t="s">
        <v>359</v>
      </c>
      <c r="J749" s="18" t="s">
        <v>360</v>
      </c>
      <c r="K749" s="18" t="s">
        <v>73</v>
      </c>
      <c r="L749" s="20" t="s">
        <v>4782</v>
      </c>
      <c r="M749" s="18" t="s">
        <v>75</v>
      </c>
      <c r="N749" s="20" t="s">
        <v>4783</v>
      </c>
      <c r="O749" s="18" t="s">
        <v>311</v>
      </c>
      <c r="P749" s="18" t="s">
        <v>78</v>
      </c>
      <c r="Q749" s="19">
        <v>44914</v>
      </c>
      <c r="R749" s="21">
        <v>14.28</v>
      </c>
      <c r="S749" s="18" t="s">
        <v>79</v>
      </c>
      <c r="T749" s="18" t="s">
        <v>148</v>
      </c>
      <c r="U749" s="18" t="s">
        <v>83</v>
      </c>
      <c r="V749" s="18" t="s">
        <v>95</v>
      </c>
      <c r="W749" s="18" t="s">
        <v>95</v>
      </c>
      <c r="X749" s="18" t="s">
        <v>215</v>
      </c>
      <c r="Y749" s="18" t="s">
        <v>85</v>
      </c>
      <c r="Z749" s="18" t="s">
        <v>86</v>
      </c>
      <c r="AA749" s="18" t="s">
        <v>87</v>
      </c>
      <c r="AB749" s="18" t="s">
        <v>149</v>
      </c>
      <c r="AC749" s="18" t="s">
        <v>150</v>
      </c>
      <c r="AD749" s="18" t="s">
        <v>85</v>
      </c>
      <c r="AE749" s="18" t="s">
        <v>90</v>
      </c>
      <c r="AF749" s="18" t="s">
        <v>151</v>
      </c>
      <c r="AG749" s="18" t="s">
        <v>92</v>
      </c>
      <c r="AH749" s="18" t="s">
        <v>165</v>
      </c>
      <c r="AI749" s="18" t="s">
        <v>94</v>
      </c>
      <c r="AJ749" s="19">
        <v>44896</v>
      </c>
      <c r="AK749" s="22" t="s">
        <v>95</v>
      </c>
      <c r="AL749" s="18" t="s">
        <v>95</v>
      </c>
      <c r="AM749" s="18" t="s">
        <v>95</v>
      </c>
      <c r="AN749" s="18" t="s">
        <v>95</v>
      </c>
      <c r="AO749" s="18" t="s">
        <v>95</v>
      </c>
      <c r="AP749" s="18" t="s">
        <v>95</v>
      </c>
      <c r="AQ749" s="18" t="s">
        <v>95</v>
      </c>
      <c r="AR749" s="18" t="s">
        <v>95</v>
      </c>
      <c r="AS749" s="18" t="s">
        <v>83</v>
      </c>
      <c r="AT749" s="18" t="s">
        <v>83</v>
      </c>
      <c r="AU749" s="18" t="s">
        <v>83</v>
      </c>
      <c r="AV749" s="18" t="s">
        <v>95</v>
      </c>
      <c r="AW749" s="18" t="s">
        <v>95</v>
      </c>
      <c r="AX749" s="18"/>
      <c r="AY749" s="18" t="str">
        <f>Pospago[[#This Row],[NUM_TELEFONICO]]&amp;"POSPAGOSI"</f>
        <v>995103157POSPAGOSI</v>
      </c>
      <c r="AZ749" s="18" t="str">
        <f>VLOOKUP(Pospago[[#This Row],[NOM_PLAZA_FINAL]],[1]!Locales[#Data],3,0)</f>
        <v>TIENDA CUENCA REMIGIO</v>
      </c>
      <c r="BA749" s="18" t="str">
        <f>IFERROR(VLOOKUP(Pospago[[#This Row],[USUARIO]],[1]!Personal[#Data],6,0),"EJECUTIVO NO REGISTRADO")</f>
        <v>OSORIO TEJADA ANA ESTEFANIA</v>
      </c>
      <c r="BB749" s="18" t="str">
        <f>Pospago[[#This Row],[TIPO_MOVIMIENTO]]&amp;" "&amp;Pospago[[#This Row],[FORMA_PAGO_FINAL]]</f>
        <v>TRANSFERENCIAS DOMICILIADO</v>
      </c>
      <c r="BC749" s="18">
        <f>DAY(Pospago[[#This Row],[FECHA_ALTA]])</f>
        <v>1</v>
      </c>
      <c r="BD749" s="18">
        <f>IF(Pospago[[#This Row],[TARIFA_BASICA]]=11.42,1,0)</f>
        <v>0</v>
      </c>
      <c r="BE749" s="18">
        <f>IF(Pospago[[#This Row],[PLANES TELEVENTAS]]="SI",1,0)</f>
        <v>0</v>
      </c>
      <c r="BF749" s="18">
        <f>1</f>
        <v>1</v>
      </c>
      <c r="BG749" s="18">
        <f>IF(OR(Pospago[[#This Row],[TARIFA_BASICA]]=11.42,Pospago[[#This Row],[PLANES TELEVENTAS]]="SI"),1,0)</f>
        <v>0</v>
      </c>
      <c r="BH749" s="18" t="str">
        <f>IF(MID(Pospago[[#This Row],[PlanDesc]],1,4) = "PLAN","POSPAGO",IF(MID(Pospago[[#This Row],[PlanDesc]],1,4)="FULL","FULL MEGAS","PREVIOPAGO"))</f>
        <v>POSPAGO</v>
      </c>
      <c r="BI7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49" s="21">
        <f>Pospago[[#This Row],[TARIFA_BASICA]]*1.5</f>
        <v>21.419999999999998</v>
      </c>
    </row>
    <row r="750" spans="1:63" x14ac:dyDescent="0.25">
      <c r="A750" s="18" t="s">
        <v>64</v>
      </c>
      <c r="B750" s="18" t="s">
        <v>4784</v>
      </c>
      <c r="C750" s="18" t="s">
        <v>4785</v>
      </c>
      <c r="D750" s="19">
        <v>44906</v>
      </c>
      <c r="E750" s="18" t="s">
        <v>67</v>
      </c>
      <c r="F750" s="18" t="s">
        <v>4786</v>
      </c>
      <c r="G750" s="18" t="s">
        <v>4787</v>
      </c>
      <c r="H750" s="18" t="s">
        <v>70</v>
      </c>
      <c r="I750" s="18" t="s">
        <v>71</v>
      </c>
      <c r="J750" s="18" t="s">
        <v>72</v>
      </c>
      <c r="K750" s="18" t="s">
        <v>73</v>
      </c>
      <c r="L750" s="20" t="s">
        <v>4788</v>
      </c>
      <c r="M750" s="18" t="s">
        <v>75</v>
      </c>
      <c r="N750" s="20" t="s">
        <v>4789</v>
      </c>
      <c r="O750" s="18" t="s">
        <v>77</v>
      </c>
      <c r="P750" s="18" t="s">
        <v>78</v>
      </c>
      <c r="Q750" s="19">
        <v>44914</v>
      </c>
      <c r="R750" s="21">
        <v>11.42</v>
      </c>
      <c r="S750" s="18" t="s">
        <v>79</v>
      </c>
      <c r="T750" s="18" t="s">
        <v>174</v>
      </c>
      <c r="U750" s="18" t="s">
        <v>83</v>
      </c>
      <c r="V750" s="18" t="s">
        <v>95</v>
      </c>
      <c r="W750" s="18" t="s">
        <v>83</v>
      </c>
      <c r="X750" s="18" t="s">
        <v>84</v>
      </c>
      <c r="Y750" s="18" t="s">
        <v>85</v>
      </c>
      <c r="Z750" s="18" t="s">
        <v>86</v>
      </c>
      <c r="AA750" s="18" t="s">
        <v>87</v>
      </c>
      <c r="AB750" s="18" t="s">
        <v>251</v>
      </c>
      <c r="AC750" s="18" t="s">
        <v>252</v>
      </c>
      <c r="AD750" s="18" t="s">
        <v>85</v>
      </c>
      <c r="AE750" s="18" t="s">
        <v>90</v>
      </c>
      <c r="AF750" s="18" t="s">
        <v>177</v>
      </c>
      <c r="AG750" s="18" t="s">
        <v>139</v>
      </c>
      <c r="AH750" s="18" t="s">
        <v>93</v>
      </c>
      <c r="AI750" s="18" t="s">
        <v>94</v>
      </c>
      <c r="AJ750" s="19">
        <v>44906</v>
      </c>
      <c r="AK750" s="22" t="s">
        <v>95</v>
      </c>
      <c r="AL750" s="18" t="s">
        <v>95</v>
      </c>
      <c r="AM750" s="18" t="s">
        <v>95</v>
      </c>
      <c r="AN750" s="18" t="s">
        <v>95</v>
      </c>
      <c r="AO750" s="18" t="s">
        <v>95</v>
      </c>
      <c r="AP750" s="18" t="s">
        <v>95</v>
      </c>
      <c r="AQ750" s="18" t="s">
        <v>95</v>
      </c>
      <c r="AR750" s="18" t="s">
        <v>95</v>
      </c>
      <c r="AS750" s="18" t="s">
        <v>83</v>
      </c>
      <c r="AT750" s="18" t="s">
        <v>83</v>
      </c>
      <c r="AU750" s="18" t="s">
        <v>81</v>
      </c>
      <c r="AV750" s="18" t="s">
        <v>95</v>
      </c>
      <c r="AW750" s="18" t="s">
        <v>95</v>
      </c>
      <c r="AX750" s="18"/>
      <c r="AY750" s="18" t="str">
        <f>Pospago[[#This Row],[NUM_TELEFONICO]]&amp;"POSPAGOSI"</f>
        <v>995107621POSPAGOSI</v>
      </c>
      <c r="AZ750" s="18" t="str">
        <f>VLOOKUP(Pospago[[#This Row],[NOM_PLAZA_FINAL]],[1]!Locales[#Data],3,0)</f>
        <v>TIENDA RECREO</v>
      </c>
      <c r="BA750" s="18" t="str">
        <f>IFERROR(VLOOKUP(Pospago[[#This Row],[USUARIO]],[1]!Personal[#Data],6,0),"EJECUTIVO NO REGISTRADO")</f>
        <v>CRUZ MONTUFAR KATHERINE ALEJANDRA</v>
      </c>
      <c r="BB750" s="18" t="str">
        <f>Pospago[[#This Row],[TIPO_MOVIMIENTO]]&amp;" "&amp;Pospago[[#This Row],[FORMA_PAGO_FINAL]]</f>
        <v>ALTAS DOMICILIADO</v>
      </c>
      <c r="BC750" s="18">
        <f>DAY(Pospago[[#This Row],[FECHA_ALTA]])</f>
        <v>11</v>
      </c>
      <c r="BD750" s="18">
        <f>IF(Pospago[[#This Row],[TARIFA_BASICA]]=11.42,1,0)</f>
        <v>1</v>
      </c>
      <c r="BE750" s="18">
        <f>IF(Pospago[[#This Row],[PLANES TELEVENTAS]]="SI",1,0)</f>
        <v>0</v>
      </c>
      <c r="BF750" s="18">
        <f>1</f>
        <v>1</v>
      </c>
      <c r="BG750" s="18">
        <f>IF(OR(Pospago[[#This Row],[TARIFA_BASICA]]=11.42,Pospago[[#This Row],[PLANES TELEVENTAS]]="SI"),1,0)</f>
        <v>1</v>
      </c>
      <c r="BH750" s="18" t="str">
        <f>IF(MID(Pospago[[#This Row],[PlanDesc]],1,4) = "PLAN","POSPAGO",IF(MID(Pospago[[#This Row],[PlanDesc]],1,4)="FULL","FULL MEGAS","PREVIOPAGO"))</f>
        <v>PREVIOPAGO</v>
      </c>
      <c r="BI7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7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50" s="21">
        <f>Pospago[[#This Row],[TARIFA_BASICA]]*1.5</f>
        <v>17.13</v>
      </c>
    </row>
    <row r="751" spans="1:63" x14ac:dyDescent="0.25">
      <c r="A751" s="18" t="s">
        <v>154</v>
      </c>
      <c r="B751" s="18" t="s">
        <v>4790</v>
      </c>
      <c r="C751" s="18" t="s">
        <v>4791</v>
      </c>
      <c r="D751" s="19">
        <v>44904</v>
      </c>
      <c r="E751" s="18" t="s">
        <v>67</v>
      </c>
      <c r="F751" s="18" t="s">
        <v>4792</v>
      </c>
      <c r="G751" s="18" t="s">
        <v>4793</v>
      </c>
      <c r="H751" s="18" t="s">
        <v>159</v>
      </c>
      <c r="I751" s="18" t="s">
        <v>227</v>
      </c>
      <c r="J751" s="18" t="s">
        <v>426</v>
      </c>
      <c r="K751" s="18" t="s">
        <v>132</v>
      </c>
      <c r="L751" s="20" t="s">
        <v>4794</v>
      </c>
      <c r="M751" s="18" t="s">
        <v>75</v>
      </c>
      <c r="N751" s="20" t="s">
        <v>4795</v>
      </c>
      <c r="O751" s="18" t="s">
        <v>164</v>
      </c>
      <c r="P751" s="18" t="s">
        <v>78</v>
      </c>
      <c r="Q751" s="19">
        <v>44914</v>
      </c>
      <c r="R751" s="21">
        <v>21.42</v>
      </c>
      <c r="S751" s="18" t="s">
        <v>79</v>
      </c>
      <c r="T751" s="18" t="s">
        <v>135</v>
      </c>
      <c r="U751" s="18" t="s">
        <v>83</v>
      </c>
      <c r="V751" s="18" t="s">
        <v>95</v>
      </c>
      <c r="W751" s="18" t="s">
        <v>95</v>
      </c>
      <c r="X751" s="18" t="s">
        <v>118</v>
      </c>
      <c r="Y751" s="18" t="s">
        <v>85</v>
      </c>
      <c r="Z751" s="18" t="s">
        <v>86</v>
      </c>
      <c r="AA751" s="18" t="s">
        <v>119</v>
      </c>
      <c r="AB751" s="18" t="s">
        <v>866</v>
      </c>
      <c r="AC751" s="18" t="s">
        <v>867</v>
      </c>
      <c r="AD751" s="18" t="s">
        <v>85</v>
      </c>
      <c r="AE751" s="18" t="s">
        <v>90</v>
      </c>
      <c r="AF751" s="18" t="s">
        <v>138</v>
      </c>
      <c r="AG751" s="18" t="s">
        <v>139</v>
      </c>
      <c r="AH751" s="18" t="s">
        <v>165</v>
      </c>
      <c r="AI751" s="18" t="s">
        <v>94</v>
      </c>
      <c r="AJ751" s="19">
        <v>44904</v>
      </c>
      <c r="AK751" s="22" t="s">
        <v>95</v>
      </c>
      <c r="AL751" s="18" t="s">
        <v>95</v>
      </c>
      <c r="AM751" s="18" t="s">
        <v>95</v>
      </c>
      <c r="AN751" s="18" t="s">
        <v>95</v>
      </c>
      <c r="AO751" s="18" t="s">
        <v>95</v>
      </c>
      <c r="AP751" s="18" t="s">
        <v>95</v>
      </c>
      <c r="AQ751" s="18" t="s">
        <v>95</v>
      </c>
      <c r="AR751" s="18" t="s">
        <v>95</v>
      </c>
      <c r="AS751" s="18" t="s">
        <v>83</v>
      </c>
      <c r="AT751" s="18" t="s">
        <v>83</v>
      </c>
      <c r="AU751" s="18" t="s">
        <v>81</v>
      </c>
      <c r="AV751" s="18" t="s">
        <v>95</v>
      </c>
      <c r="AW751" s="18" t="s">
        <v>95</v>
      </c>
      <c r="AX751" s="18"/>
      <c r="AY751" s="18" t="str">
        <f>Pospago[[#This Row],[NUM_TELEFONICO]]&amp;"POSPAGOSI"</f>
        <v>995130020POSPAGOSI</v>
      </c>
      <c r="AZ751" s="18" t="str">
        <f>VLOOKUP(Pospago[[#This Row],[NOM_PLAZA_FINAL]],[1]!Locales[#Data],3,0)</f>
        <v>TIENDA AMERICA</v>
      </c>
      <c r="BA751" s="18" t="str">
        <f>IFERROR(VLOOKUP(Pospago[[#This Row],[USUARIO]],[1]!Personal[#Data],6,0),"EJECUTIVO NO REGISTRADO")</f>
        <v>ORTEGA RUIZ GABRIEL ANTONIO</v>
      </c>
      <c r="BB751" s="18" t="str">
        <f>Pospago[[#This Row],[TIPO_MOVIMIENTO]]&amp;" "&amp;Pospago[[#This Row],[FORMA_PAGO_FINAL]]</f>
        <v>TRANSFERENCIAS PAGO EN CAJA</v>
      </c>
      <c r="BC751" s="18">
        <f>DAY(Pospago[[#This Row],[FECHA_ALTA]])</f>
        <v>9</v>
      </c>
      <c r="BD751" s="18">
        <f>IF(Pospago[[#This Row],[TARIFA_BASICA]]=11.42,1,0)</f>
        <v>0</v>
      </c>
      <c r="BE751" s="18">
        <f>IF(Pospago[[#This Row],[PLANES TELEVENTAS]]="SI",1,0)</f>
        <v>0</v>
      </c>
      <c r="BF751" s="18">
        <f>1</f>
        <v>1</v>
      </c>
      <c r="BG751" s="18">
        <f>IF(OR(Pospago[[#This Row],[TARIFA_BASICA]]=11.42,Pospago[[#This Row],[PLANES TELEVENTAS]]="SI"),1,0)</f>
        <v>0</v>
      </c>
      <c r="BH751" s="18" t="str">
        <f>IF(MID(Pospago[[#This Row],[PlanDesc]],1,4) = "PLAN","POSPAGO",IF(MID(Pospago[[#This Row],[PlanDesc]],1,4)="FULL","FULL MEGAS","PREVIOPAGO"))</f>
        <v>PREVIOPAGO</v>
      </c>
      <c r="BI7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11.25</v>
      </c>
      <c r="BJ7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51" s="21">
        <f>Pospago[[#This Row],[TARIFA_BASICA]]*1.5</f>
        <v>32.130000000000003</v>
      </c>
    </row>
    <row r="752" spans="1:63" x14ac:dyDescent="0.25">
      <c r="A752" s="18" t="s">
        <v>154</v>
      </c>
      <c r="B752" s="18" t="s">
        <v>4796</v>
      </c>
      <c r="C752" s="18" t="s">
        <v>4797</v>
      </c>
      <c r="D752" s="19">
        <v>44910</v>
      </c>
      <c r="E752" s="18" t="s">
        <v>67</v>
      </c>
      <c r="F752" s="18" t="s">
        <v>4798</v>
      </c>
      <c r="G752" s="18" t="s">
        <v>4799</v>
      </c>
      <c r="H752" s="18" t="s">
        <v>159</v>
      </c>
      <c r="I752" s="18" t="s">
        <v>160</v>
      </c>
      <c r="J752" s="18" t="s">
        <v>161</v>
      </c>
      <c r="K752" s="18" t="s">
        <v>95</v>
      </c>
      <c r="L752" s="20" t="s">
        <v>4800</v>
      </c>
      <c r="M752" s="18" t="s">
        <v>75</v>
      </c>
      <c r="N752" s="20" t="s">
        <v>4801</v>
      </c>
      <c r="O752" s="18" t="s">
        <v>164</v>
      </c>
      <c r="P752" s="18" t="s">
        <v>78</v>
      </c>
      <c r="Q752" s="19">
        <v>44914</v>
      </c>
      <c r="R752" s="21">
        <v>14.28</v>
      </c>
      <c r="S752" s="18" t="s">
        <v>79</v>
      </c>
      <c r="T752" s="18" t="s">
        <v>174</v>
      </c>
      <c r="U752" s="18" t="s">
        <v>83</v>
      </c>
      <c r="V752" s="18" t="s">
        <v>95</v>
      </c>
      <c r="W752" s="18" t="s">
        <v>95</v>
      </c>
      <c r="X752" s="18" t="s">
        <v>84</v>
      </c>
      <c r="Y752" s="18" t="s">
        <v>85</v>
      </c>
      <c r="Z752" s="18" t="s">
        <v>86</v>
      </c>
      <c r="AA752" s="18" t="s">
        <v>87</v>
      </c>
      <c r="AB752" s="18" t="s">
        <v>251</v>
      </c>
      <c r="AC752" s="18" t="s">
        <v>252</v>
      </c>
      <c r="AD752" s="18" t="s">
        <v>85</v>
      </c>
      <c r="AE752" s="18" t="s">
        <v>90</v>
      </c>
      <c r="AF752" s="18" t="s">
        <v>177</v>
      </c>
      <c r="AG752" s="18" t="s">
        <v>139</v>
      </c>
      <c r="AH752" s="18" t="s">
        <v>165</v>
      </c>
      <c r="AI752" s="18" t="s">
        <v>94</v>
      </c>
      <c r="AJ752" s="19">
        <v>44910</v>
      </c>
      <c r="AK752" s="22" t="s">
        <v>95</v>
      </c>
      <c r="AL752" s="18" t="s">
        <v>95</v>
      </c>
      <c r="AM752" s="18" t="s">
        <v>95</v>
      </c>
      <c r="AN752" s="18" t="s">
        <v>95</v>
      </c>
      <c r="AO752" s="18" t="s">
        <v>95</v>
      </c>
      <c r="AP752" s="18" t="s">
        <v>95</v>
      </c>
      <c r="AQ752" s="18" t="s">
        <v>95</v>
      </c>
      <c r="AR752" s="18" t="s">
        <v>95</v>
      </c>
      <c r="AS752" s="18" t="s">
        <v>83</v>
      </c>
      <c r="AT752" s="18" t="s">
        <v>83</v>
      </c>
      <c r="AU752" s="18" t="s">
        <v>81</v>
      </c>
      <c r="AV752" s="18" t="s">
        <v>95</v>
      </c>
      <c r="AW752" s="18" t="s">
        <v>95</v>
      </c>
      <c r="AX752" s="18"/>
      <c r="AY752" s="18" t="str">
        <f>Pospago[[#This Row],[NUM_TELEFONICO]]&amp;"POSPAGOSI"</f>
        <v>995131650POSPAGOSI</v>
      </c>
      <c r="AZ752" s="18" t="str">
        <f>VLOOKUP(Pospago[[#This Row],[NOM_PLAZA_FINAL]],[1]!Locales[#Data],3,0)</f>
        <v>TIENDA RECREO</v>
      </c>
      <c r="BA752" s="18" t="str">
        <f>IFERROR(VLOOKUP(Pospago[[#This Row],[USUARIO]],[1]!Personal[#Data],6,0),"EJECUTIVO NO REGISTRADO")</f>
        <v>CRUZ MONTUFAR KATHERINE ALEJANDRA</v>
      </c>
      <c r="BB752" s="18" t="str">
        <f>Pospago[[#This Row],[TIPO_MOVIMIENTO]]&amp;" "&amp;Pospago[[#This Row],[FORMA_PAGO_FINAL]]</f>
        <v>TRANSFERENCIAS DOMICILIADO</v>
      </c>
      <c r="BC752" s="18">
        <f>DAY(Pospago[[#This Row],[FECHA_ALTA]])</f>
        <v>15</v>
      </c>
      <c r="BD752" s="18">
        <f>IF(Pospago[[#This Row],[TARIFA_BASICA]]=11.42,1,0)</f>
        <v>0</v>
      </c>
      <c r="BE752" s="18">
        <f>IF(Pospago[[#This Row],[PLANES TELEVENTAS]]="SI",1,0)</f>
        <v>0</v>
      </c>
      <c r="BF752" s="18">
        <f>1</f>
        <v>1</v>
      </c>
      <c r="BG752" s="18">
        <f>IF(OR(Pospago[[#This Row],[TARIFA_BASICA]]=11.42,Pospago[[#This Row],[PLANES TELEVENTAS]]="SI"),1,0)</f>
        <v>0</v>
      </c>
      <c r="BH752" s="18" t="str">
        <f>IF(MID(Pospago[[#This Row],[PlanDesc]],1,4) = "PLAN","POSPAGO",IF(MID(Pospago[[#This Row],[PlanDesc]],1,4)="FULL","FULL MEGAS","PREVIOPAGO"))</f>
        <v>PREVIOPAGO</v>
      </c>
      <c r="BI7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52" s="21">
        <f>Pospago[[#This Row],[TARIFA_BASICA]]*1.5</f>
        <v>21.419999999999998</v>
      </c>
    </row>
    <row r="753" spans="1:63" x14ac:dyDescent="0.25">
      <c r="A753" s="18" t="s">
        <v>154</v>
      </c>
      <c r="B753" s="18" t="s">
        <v>4802</v>
      </c>
      <c r="C753" s="18" t="s">
        <v>4803</v>
      </c>
      <c r="D753" s="19">
        <v>44911</v>
      </c>
      <c r="E753" s="18" t="s">
        <v>67</v>
      </c>
      <c r="F753" s="18" t="s">
        <v>4804</v>
      </c>
      <c r="G753" s="18" t="s">
        <v>4805</v>
      </c>
      <c r="H753" s="18" t="s">
        <v>159</v>
      </c>
      <c r="I753" s="18" t="s">
        <v>130</v>
      </c>
      <c r="J753" s="18" t="s">
        <v>433</v>
      </c>
      <c r="K753" s="18" t="s">
        <v>132</v>
      </c>
      <c r="L753" s="20" t="s">
        <v>4806</v>
      </c>
      <c r="M753" s="18" t="s">
        <v>75</v>
      </c>
      <c r="N753" s="20" t="s">
        <v>4807</v>
      </c>
      <c r="O753" s="18" t="s">
        <v>164</v>
      </c>
      <c r="P753" s="18" t="s">
        <v>78</v>
      </c>
      <c r="Q753" s="19">
        <v>44914</v>
      </c>
      <c r="R753" s="21">
        <v>15</v>
      </c>
      <c r="S753" s="18" t="s">
        <v>79</v>
      </c>
      <c r="T753" s="18" t="s">
        <v>148</v>
      </c>
      <c r="U753" s="18" t="s">
        <v>83</v>
      </c>
      <c r="V753" s="18" t="s">
        <v>95</v>
      </c>
      <c r="W753" s="18" t="s">
        <v>95</v>
      </c>
      <c r="X753" s="18" t="s">
        <v>84</v>
      </c>
      <c r="Y753" s="18" t="s">
        <v>85</v>
      </c>
      <c r="Z753" s="18" t="s">
        <v>86</v>
      </c>
      <c r="AA753" s="18" t="s">
        <v>87</v>
      </c>
      <c r="AB753" s="18" t="s">
        <v>420</v>
      </c>
      <c r="AC753" s="18" t="s">
        <v>421</v>
      </c>
      <c r="AD753" s="18" t="s">
        <v>85</v>
      </c>
      <c r="AE753" s="18" t="s">
        <v>90</v>
      </c>
      <c r="AF753" s="18" t="s">
        <v>151</v>
      </c>
      <c r="AG753" s="18" t="s">
        <v>92</v>
      </c>
      <c r="AH753" s="18" t="s">
        <v>165</v>
      </c>
      <c r="AI753" s="18" t="s">
        <v>94</v>
      </c>
      <c r="AJ753" s="19">
        <v>44911</v>
      </c>
      <c r="AK753" s="22" t="s">
        <v>95</v>
      </c>
      <c r="AL753" s="18" t="s">
        <v>95</v>
      </c>
      <c r="AM753" s="18" t="s">
        <v>95</v>
      </c>
      <c r="AN753" s="18" t="s">
        <v>95</v>
      </c>
      <c r="AO753" s="18" t="s">
        <v>95</v>
      </c>
      <c r="AP753" s="18" t="s">
        <v>95</v>
      </c>
      <c r="AQ753" s="18" t="s">
        <v>95</v>
      </c>
      <c r="AR753" s="18" t="s">
        <v>95</v>
      </c>
      <c r="AS753" s="18" t="s">
        <v>83</v>
      </c>
      <c r="AT753" s="18" t="s">
        <v>83</v>
      </c>
      <c r="AU753" s="18" t="s">
        <v>81</v>
      </c>
      <c r="AV753" s="18" t="s">
        <v>95</v>
      </c>
      <c r="AW753" s="18" t="s">
        <v>95</v>
      </c>
      <c r="AX753" s="18"/>
      <c r="AY753" s="18" t="str">
        <f>Pospago[[#This Row],[NUM_TELEFONICO]]&amp;"POSPAGOSI"</f>
        <v>995152380POSPAGOSI</v>
      </c>
      <c r="AZ753" s="18" t="str">
        <f>VLOOKUP(Pospago[[#This Row],[NOM_PLAZA_FINAL]],[1]!Locales[#Data],3,0)</f>
        <v>TIENDA CUENCA REMIGIO</v>
      </c>
      <c r="BA753" s="18" t="str">
        <f>IFERROR(VLOOKUP(Pospago[[#This Row],[USUARIO]],[1]!Personal[#Data],6,0),"EJECUTIVO NO REGISTRADO")</f>
        <v>YEPEZ PALOMEQUE DIANA PATRICIA</v>
      </c>
      <c r="BB753" s="18" t="str">
        <f>Pospago[[#This Row],[TIPO_MOVIMIENTO]]&amp;" "&amp;Pospago[[#This Row],[FORMA_PAGO_FINAL]]</f>
        <v>TRANSFERENCIAS DOMICILIADO</v>
      </c>
      <c r="BC753" s="18">
        <f>DAY(Pospago[[#This Row],[FECHA_ALTA]])</f>
        <v>16</v>
      </c>
      <c r="BD753" s="18">
        <f>IF(Pospago[[#This Row],[TARIFA_BASICA]]=11.42,1,0)</f>
        <v>0</v>
      </c>
      <c r="BE753" s="18">
        <f>IF(Pospago[[#This Row],[PLANES TELEVENTAS]]="SI",1,0)</f>
        <v>0</v>
      </c>
      <c r="BF753" s="18">
        <f>1</f>
        <v>1</v>
      </c>
      <c r="BG753" s="18">
        <f>IF(OR(Pospago[[#This Row],[TARIFA_BASICA]]=11.42,Pospago[[#This Row],[PLANES TELEVENTAS]]="SI"),1,0)</f>
        <v>0</v>
      </c>
      <c r="BH753" s="18" t="str">
        <f>IF(MID(Pospago[[#This Row],[PlanDesc]],1,4) = "PLAN","POSPAGO",IF(MID(Pospago[[#This Row],[PlanDesc]],1,4)="FULL","FULL MEGAS","PREVIOPAGO"))</f>
        <v>PREVIOPAGO</v>
      </c>
      <c r="BI7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7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53" s="21">
        <f>Pospago[[#This Row],[TARIFA_BASICA]]*1.5</f>
        <v>22.5</v>
      </c>
    </row>
    <row r="754" spans="1:63" x14ac:dyDescent="0.25">
      <c r="A754" s="18" t="s">
        <v>154</v>
      </c>
      <c r="B754" s="18" t="s">
        <v>4808</v>
      </c>
      <c r="C754" s="18" t="s">
        <v>4809</v>
      </c>
      <c r="D754" s="19">
        <v>44896</v>
      </c>
      <c r="E754" s="18" t="s">
        <v>67</v>
      </c>
      <c r="F754" s="18" t="s">
        <v>4810</v>
      </c>
      <c r="G754" s="18" t="s">
        <v>4811</v>
      </c>
      <c r="H754" s="18" t="s">
        <v>159</v>
      </c>
      <c r="I754" s="18" t="s">
        <v>160</v>
      </c>
      <c r="J754" s="18" t="s">
        <v>161</v>
      </c>
      <c r="K754" s="18" t="s">
        <v>132</v>
      </c>
      <c r="L754" s="20" t="s">
        <v>4812</v>
      </c>
      <c r="M754" s="18" t="s">
        <v>75</v>
      </c>
      <c r="N754" s="20" t="s">
        <v>4813</v>
      </c>
      <c r="O754" s="18" t="s">
        <v>164</v>
      </c>
      <c r="P754" s="18" t="s">
        <v>78</v>
      </c>
      <c r="Q754" s="19">
        <v>44914</v>
      </c>
      <c r="R754" s="21">
        <v>14.28</v>
      </c>
      <c r="S754" s="18" t="s">
        <v>79</v>
      </c>
      <c r="T754" s="18" t="s">
        <v>174</v>
      </c>
      <c r="U754" s="18" t="s">
        <v>83</v>
      </c>
      <c r="V754" s="18" t="s">
        <v>95</v>
      </c>
      <c r="W754" s="18" t="s">
        <v>95</v>
      </c>
      <c r="X754" s="18" t="s">
        <v>84</v>
      </c>
      <c r="Y754" s="18" t="s">
        <v>85</v>
      </c>
      <c r="Z754" s="18" t="s">
        <v>86</v>
      </c>
      <c r="AA754" s="18" t="s">
        <v>87</v>
      </c>
      <c r="AB754" s="18" t="s">
        <v>251</v>
      </c>
      <c r="AC754" s="18" t="s">
        <v>252</v>
      </c>
      <c r="AD754" s="18" t="s">
        <v>85</v>
      </c>
      <c r="AE754" s="18" t="s">
        <v>90</v>
      </c>
      <c r="AF754" s="18" t="s">
        <v>177</v>
      </c>
      <c r="AG754" s="18" t="s">
        <v>139</v>
      </c>
      <c r="AH754" s="18" t="s">
        <v>165</v>
      </c>
      <c r="AI754" s="18" t="s">
        <v>94</v>
      </c>
      <c r="AJ754" s="19">
        <v>44896</v>
      </c>
      <c r="AK754" s="22" t="s">
        <v>95</v>
      </c>
      <c r="AL754" s="18" t="s">
        <v>95</v>
      </c>
      <c r="AM754" s="18" t="s">
        <v>95</v>
      </c>
      <c r="AN754" s="18" t="s">
        <v>95</v>
      </c>
      <c r="AO754" s="18" t="s">
        <v>95</v>
      </c>
      <c r="AP754" s="18" t="s">
        <v>95</v>
      </c>
      <c r="AQ754" s="18" t="s">
        <v>95</v>
      </c>
      <c r="AR754" s="18" t="s">
        <v>95</v>
      </c>
      <c r="AS754" s="18" t="s">
        <v>83</v>
      </c>
      <c r="AT754" s="18" t="s">
        <v>83</v>
      </c>
      <c r="AU754" s="18" t="s">
        <v>81</v>
      </c>
      <c r="AV754" s="18" t="s">
        <v>95</v>
      </c>
      <c r="AW754" s="18" t="s">
        <v>95</v>
      </c>
      <c r="AX754" s="18"/>
      <c r="AY754" s="18" t="str">
        <f>Pospago[[#This Row],[NUM_TELEFONICO]]&amp;"POSPAGOSI"</f>
        <v>995155907POSPAGOSI</v>
      </c>
      <c r="AZ754" s="18" t="str">
        <f>VLOOKUP(Pospago[[#This Row],[NOM_PLAZA_FINAL]],[1]!Locales[#Data],3,0)</f>
        <v>TIENDA RECREO</v>
      </c>
      <c r="BA754" s="18" t="str">
        <f>IFERROR(VLOOKUP(Pospago[[#This Row],[USUARIO]],[1]!Personal[#Data],6,0),"EJECUTIVO NO REGISTRADO")</f>
        <v>CRUZ MONTUFAR KATHERINE ALEJANDRA</v>
      </c>
      <c r="BB754" s="18" t="str">
        <f>Pospago[[#This Row],[TIPO_MOVIMIENTO]]&amp;" "&amp;Pospago[[#This Row],[FORMA_PAGO_FINAL]]</f>
        <v>TRANSFERENCIAS DOMICILIADO</v>
      </c>
      <c r="BC754" s="18">
        <f>DAY(Pospago[[#This Row],[FECHA_ALTA]])</f>
        <v>1</v>
      </c>
      <c r="BD754" s="18">
        <f>IF(Pospago[[#This Row],[TARIFA_BASICA]]=11.42,1,0)</f>
        <v>0</v>
      </c>
      <c r="BE754" s="18">
        <f>IF(Pospago[[#This Row],[PLANES TELEVENTAS]]="SI",1,0)</f>
        <v>0</v>
      </c>
      <c r="BF754" s="18">
        <f>1</f>
        <v>1</v>
      </c>
      <c r="BG754" s="18">
        <f>IF(OR(Pospago[[#This Row],[TARIFA_BASICA]]=11.42,Pospago[[#This Row],[PLANES TELEVENTAS]]="SI"),1,0)</f>
        <v>0</v>
      </c>
      <c r="BH754" s="18" t="str">
        <f>IF(MID(Pospago[[#This Row],[PlanDesc]],1,4) = "PLAN","POSPAGO",IF(MID(Pospago[[#This Row],[PlanDesc]],1,4)="FULL","FULL MEGAS","PREVIOPAGO"))</f>
        <v>PREVIOPAGO</v>
      </c>
      <c r="BI7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54" s="21">
        <f>Pospago[[#This Row],[TARIFA_BASICA]]*1.5</f>
        <v>21.419999999999998</v>
      </c>
    </row>
    <row r="755" spans="1:63" x14ac:dyDescent="0.25">
      <c r="A755" s="18" t="s">
        <v>64</v>
      </c>
      <c r="B755" s="18" t="s">
        <v>4814</v>
      </c>
      <c r="C755" s="18" t="s">
        <v>4815</v>
      </c>
      <c r="D755" s="19">
        <v>44903</v>
      </c>
      <c r="E755" s="18" t="s">
        <v>67</v>
      </c>
      <c r="F755" s="18" t="s">
        <v>4816</v>
      </c>
      <c r="G755" s="18" t="s">
        <v>4817</v>
      </c>
      <c r="H755" s="18" t="s">
        <v>70</v>
      </c>
      <c r="I755" s="18" t="s">
        <v>130</v>
      </c>
      <c r="J755" s="18" t="s">
        <v>131</v>
      </c>
      <c r="K755" s="18" t="s">
        <v>73</v>
      </c>
      <c r="L755" s="20" t="s">
        <v>4818</v>
      </c>
      <c r="M755" s="18" t="s">
        <v>75</v>
      </c>
      <c r="N755" s="20" t="s">
        <v>4819</v>
      </c>
      <c r="O755" s="18" t="s">
        <v>77</v>
      </c>
      <c r="P755" s="18" t="s">
        <v>78</v>
      </c>
      <c r="Q755" s="19">
        <v>44914</v>
      </c>
      <c r="R755" s="21">
        <v>15</v>
      </c>
      <c r="S755" s="18" t="s">
        <v>79</v>
      </c>
      <c r="T755" s="18" t="s">
        <v>174</v>
      </c>
      <c r="U755" s="18" t="s">
        <v>83</v>
      </c>
      <c r="V755" s="18" t="s">
        <v>95</v>
      </c>
      <c r="W755" s="18" t="s">
        <v>83</v>
      </c>
      <c r="X755" s="18" t="s">
        <v>118</v>
      </c>
      <c r="Y755" s="18" t="s">
        <v>85</v>
      </c>
      <c r="Z755" s="18" t="s">
        <v>86</v>
      </c>
      <c r="AA755" s="18" t="s">
        <v>119</v>
      </c>
      <c r="AB755" s="18" t="s">
        <v>262</v>
      </c>
      <c r="AC755" s="18" t="s">
        <v>263</v>
      </c>
      <c r="AD755" s="18" t="s">
        <v>85</v>
      </c>
      <c r="AE755" s="18" t="s">
        <v>90</v>
      </c>
      <c r="AF755" s="18" t="s">
        <v>177</v>
      </c>
      <c r="AG755" s="18" t="s">
        <v>139</v>
      </c>
      <c r="AH755" s="18" t="s">
        <v>93</v>
      </c>
      <c r="AI755" s="18" t="s">
        <v>94</v>
      </c>
      <c r="AJ755" s="19">
        <v>44903</v>
      </c>
      <c r="AK755" s="22" t="s">
        <v>95</v>
      </c>
      <c r="AL755" s="18" t="s">
        <v>95</v>
      </c>
      <c r="AM755" s="18" t="s">
        <v>95</v>
      </c>
      <c r="AN755" s="18" t="s">
        <v>95</v>
      </c>
      <c r="AO755" s="18" t="s">
        <v>95</v>
      </c>
      <c r="AP755" s="18" t="s">
        <v>95</v>
      </c>
      <c r="AQ755" s="18" t="s">
        <v>95</v>
      </c>
      <c r="AR755" s="18" t="s">
        <v>95</v>
      </c>
      <c r="AS755" s="18" t="s">
        <v>83</v>
      </c>
      <c r="AT755" s="18" t="s">
        <v>83</v>
      </c>
      <c r="AU755" s="18" t="s">
        <v>81</v>
      </c>
      <c r="AV755" s="18" t="s">
        <v>95</v>
      </c>
      <c r="AW755" s="18" t="s">
        <v>95</v>
      </c>
      <c r="AX755" s="18"/>
      <c r="AY755" s="18" t="str">
        <f>Pospago[[#This Row],[NUM_TELEFONICO]]&amp;"POSPAGOSI"</f>
        <v>995168033POSPAGOSI</v>
      </c>
      <c r="AZ755" s="18" t="str">
        <f>VLOOKUP(Pospago[[#This Row],[NOM_PLAZA_FINAL]],[1]!Locales[#Data],3,0)</f>
        <v>TIENDA RECREO</v>
      </c>
      <c r="BA755" s="18" t="str">
        <f>IFERROR(VLOOKUP(Pospago[[#This Row],[USUARIO]],[1]!Personal[#Data],6,0),"EJECUTIVO NO REGISTRADO")</f>
        <v>CHICAIZA TOAPANTA ALEX DANILO</v>
      </c>
      <c r="BB755" s="18" t="str">
        <f>Pospago[[#This Row],[TIPO_MOVIMIENTO]]&amp;" "&amp;Pospago[[#This Row],[FORMA_PAGO_FINAL]]</f>
        <v>ALTAS PAGO EN CAJA</v>
      </c>
      <c r="BC755" s="18">
        <f>DAY(Pospago[[#This Row],[FECHA_ALTA]])</f>
        <v>8</v>
      </c>
      <c r="BD755" s="18">
        <f>IF(Pospago[[#This Row],[TARIFA_BASICA]]=11.42,1,0)</f>
        <v>0</v>
      </c>
      <c r="BE755" s="18">
        <f>IF(Pospago[[#This Row],[PLANES TELEVENTAS]]="SI",1,0)</f>
        <v>0</v>
      </c>
      <c r="BF755" s="18">
        <f>1</f>
        <v>1</v>
      </c>
      <c r="BG755" s="18">
        <f>IF(OR(Pospago[[#This Row],[TARIFA_BASICA]]=11.42,Pospago[[#This Row],[PLANES TELEVENTAS]]="SI"),1,0)</f>
        <v>0</v>
      </c>
      <c r="BH755" s="18" t="str">
        <f>IF(MID(Pospago[[#This Row],[PlanDesc]],1,4) = "PLAN","POSPAGO",IF(MID(Pospago[[#This Row],[PlanDesc]],1,4)="FULL","FULL MEGAS","PREVIOPAGO"))</f>
        <v>PREVIOPAGO</v>
      </c>
      <c r="BI7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7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55" s="21">
        <f>Pospago[[#This Row],[TARIFA_BASICA]]*1.5</f>
        <v>22.5</v>
      </c>
    </row>
    <row r="756" spans="1:63" x14ac:dyDescent="0.25">
      <c r="A756" s="18" t="s">
        <v>154</v>
      </c>
      <c r="B756" s="18" t="s">
        <v>4820</v>
      </c>
      <c r="C756" s="18" t="s">
        <v>4821</v>
      </c>
      <c r="D756" s="19">
        <v>44901</v>
      </c>
      <c r="E756" s="18" t="s">
        <v>67</v>
      </c>
      <c r="F756" s="18" t="s">
        <v>4822</v>
      </c>
      <c r="G756" s="18" t="s">
        <v>4823</v>
      </c>
      <c r="H756" s="18" t="s">
        <v>159</v>
      </c>
      <c r="I756" s="18" t="s">
        <v>1357</v>
      </c>
      <c r="J756" s="18" t="s">
        <v>2022</v>
      </c>
      <c r="K756" s="18" t="s">
        <v>73</v>
      </c>
      <c r="L756" s="20" t="s">
        <v>4824</v>
      </c>
      <c r="M756" s="18" t="s">
        <v>75</v>
      </c>
      <c r="N756" s="20" t="s">
        <v>4825</v>
      </c>
      <c r="O756" s="18" t="s">
        <v>164</v>
      </c>
      <c r="P756" s="18" t="s">
        <v>78</v>
      </c>
      <c r="Q756" s="19">
        <v>44914</v>
      </c>
      <c r="R756" s="21">
        <v>11.42</v>
      </c>
      <c r="S756" s="18" t="s">
        <v>79</v>
      </c>
      <c r="T756" s="18" t="s">
        <v>174</v>
      </c>
      <c r="U756" s="18" t="s">
        <v>83</v>
      </c>
      <c r="V756" s="18" t="s">
        <v>95</v>
      </c>
      <c r="W756" s="18" t="s">
        <v>95</v>
      </c>
      <c r="X756" s="18" t="s">
        <v>118</v>
      </c>
      <c r="Y756" s="18" t="s">
        <v>85</v>
      </c>
      <c r="Z756" s="18" t="s">
        <v>86</v>
      </c>
      <c r="AA756" s="18" t="s">
        <v>119</v>
      </c>
      <c r="AB756" s="18" t="s">
        <v>187</v>
      </c>
      <c r="AC756" s="18" t="s">
        <v>188</v>
      </c>
      <c r="AD756" s="18" t="s">
        <v>85</v>
      </c>
      <c r="AE756" s="18" t="s">
        <v>90</v>
      </c>
      <c r="AF756" s="18" t="s">
        <v>177</v>
      </c>
      <c r="AG756" s="18" t="s">
        <v>139</v>
      </c>
      <c r="AH756" s="18" t="s">
        <v>165</v>
      </c>
      <c r="AI756" s="18" t="s">
        <v>94</v>
      </c>
      <c r="AJ756" s="19">
        <v>44901</v>
      </c>
      <c r="AK756" s="22" t="s">
        <v>95</v>
      </c>
      <c r="AL756" s="18" t="s">
        <v>95</v>
      </c>
      <c r="AM756" s="18" t="s">
        <v>95</v>
      </c>
      <c r="AN756" s="18" t="s">
        <v>95</v>
      </c>
      <c r="AO756" s="18" t="s">
        <v>95</v>
      </c>
      <c r="AP756" s="18" t="s">
        <v>95</v>
      </c>
      <c r="AQ756" s="18" t="s">
        <v>95</v>
      </c>
      <c r="AR756" s="18" t="s">
        <v>95</v>
      </c>
      <c r="AS756" s="18" t="s">
        <v>83</v>
      </c>
      <c r="AT756" s="18" t="s">
        <v>81</v>
      </c>
      <c r="AU756" s="18" t="s">
        <v>81</v>
      </c>
      <c r="AV756" s="18" t="s">
        <v>95</v>
      </c>
      <c r="AW756" s="18" t="s">
        <v>95</v>
      </c>
      <c r="AX756" s="18"/>
      <c r="AY756" s="18" t="str">
        <f>Pospago[[#This Row],[NUM_TELEFONICO]]&amp;"POSPAGOSI"</f>
        <v>995169430POSPAGOSI</v>
      </c>
      <c r="AZ756" s="18" t="str">
        <f>VLOOKUP(Pospago[[#This Row],[NOM_PLAZA_FINAL]],[1]!Locales[#Data],3,0)</f>
        <v>TIENDA RECREO</v>
      </c>
      <c r="BA756" s="18" t="str">
        <f>IFERROR(VLOOKUP(Pospago[[#This Row],[USUARIO]],[1]!Personal[#Data],6,0),"EJECUTIVO NO REGISTRADO")</f>
        <v>ESPINOZA MARTINES LAURA XIOMARA</v>
      </c>
      <c r="BB756" s="18" t="str">
        <f>Pospago[[#This Row],[TIPO_MOVIMIENTO]]&amp;" "&amp;Pospago[[#This Row],[FORMA_PAGO_FINAL]]</f>
        <v>TRANSFERENCIAS PAGO EN CAJA</v>
      </c>
      <c r="BC756" s="18">
        <f>DAY(Pospago[[#This Row],[FECHA_ALTA]])</f>
        <v>6</v>
      </c>
      <c r="BD756" s="18">
        <f>IF(Pospago[[#This Row],[TARIFA_BASICA]]=11.42,1,0)</f>
        <v>1</v>
      </c>
      <c r="BE756" s="18">
        <f>IF(Pospago[[#This Row],[PLANES TELEVENTAS]]="SI",1,0)</f>
        <v>1</v>
      </c>
      <c r="BF756" s="18">
        <f>1</f>
        <v>1</v>
      </c>
      <c r="BG756" s="18">
        <f>IF(OR(Pospago[[#This Row],[TARIFA_BASICA]]=11.42,Pospago[[#This Row],[PLANES TELEVENTAS]]="SI"),1,0)</f>
        <v>1</v>
      </c>
      <c r="BH756" s="18" t="str">
        <f>IF(MID(Pospago[[#This Row],[PlanDesc]],1,4) = "PLAN","POSPAGO",IF(MID(Pospago[[#This Row],[PlanDesc]],1,4)="FULL","FULL MEGAS","PREVIOPAGO"))</f>
        <v>PREVIOPAGO</v>
      </c>
      <c r="BI7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7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56" s="21">
        <f>Pospago[[#This Row],[TARIFA_BASICA]]*1.5</f>
        <v>17.13</v>
      </c>
    </row>
    <row r="757" spans="1:63" x14ac:dyDescent="0.25">
      <c r="A757" s="18" t="s">
        <v>154</v>
      </c>
      <c r="B757" s="18" t="s">
        <v>4826</v>
      </c>
      <c r="C757" s="18" t="s">
        <v>4827</v>
      </c>
      <c r="D757" s="19">
        <v>44900</v>
      </c>
      <c r="E757" s="18" t="s">
        <v>67</v>
      </c>
      <c r="F757" s="18" t="s">
        <v>4828</v>
      </c>
      <c r="G757" s="18" t="s">
        <v>4829</v>
      </c>
      <c r="H757" s="18" t="s">
        <v>159</v>
      </c>
      <c r="I757" s="18" t="s">
        <v>71</v>
      </c>
      <c r="J757" s="18" t="s">
        <v>258</v>
      </c>
      <c r="K757" s="18" t="s">
        <v>95</v>
      </c>
      <c r="L757" s="20" t="s">
        <v>4830</v>
      </c>
      <c r="M757" s="18" t="s">
        <v>75</v>
      </c>
      <c r="N757" s="20" t="s">
        <v>4831</v>
      </c>
      <c r="O757" s="18" t="s">
        <v>164</v>
      </c>
      <c r="P757" s="18" t="s">
        <v>78</v>
      </c>
      <c r="Q757" s="19">
        <v>44914</v>
      </c>
      <c r="R757" s="21">
        <v>11.42</v>
      </c>
      <c r="S757" s="18" t="s">
        <v>79</v>
      </c>
      <c r="T757" s="18" t="s">
        <v>174</v>
      </c>
      <c r="U757" s="18" t="s">
        <v>83</v>
      </c>
      <c r="V757" s="18" t="s">
        <v>95</v>
      </c>
      <c r="W757" s="18" t="s">
        <v>95</v>
      </c>
      <c r="X757" s="18" t="s">
        <v>118</v>
      </c>
      <c r="Y757" s="18" t="s">
        <v>85</v>
      </c>
      <c r="Z757" s="18" t="s">
        <v>86</v>
      </c>
      <c r="AA757" s="18" t="s">
        <v>119</v>
      </c>
      <c r="AB757" s="18" t="s">
        <v>2159</v>
      </c>
      <c r="AC757" s="18" t="s">
        <v>2160</v>
      </c>
      <c r="AD757" s="18" t="s">
        <v>85</v>
      </c>
      <c r="AE757" s="18" t="s">
        <v>90</v>
      </c>
      <c r="AF757" s="18" t="s">
        <v>177</v>
      </c>
      <c r="AG757" s="18" t="s">
        <v>139</v>
      </c>
      <c r="AH757" s="18" t="s">
        <v>165</v>
      </c>
      <c r="AI757" s="18" t="s">
        <v>94</v>
      </c>
      <c r="AJ757" s="19">
        <v>44900</v>
      </c>
      <c r="AK757" s="22" t="s">
        <v>95</v>
      </c>
      <c r="AL757" s="18" t="s">
        <v>95</v>
      </c>
      <c r="AM757" s="18" t="s">
        <v>95</v>
      </c>
      <c r="AN757" s="18" t="s">
        <v>95</v>
      </c>
      <c r="AO757" s="18" t="s">
        <v>95</v>
      </c>
      <c r="AP757" s="18" t="s">
        <v>95</v>
      </c>
      <c r="AQ757" s="18" t="s">
        <v>95</v>
      </c>
      <c r="AR757" s="18" t="s">
        <v>95</v>
      </c>
      <c r="AS757" s="18" t="s">
        <v>83</v>
      </c>
      <c r="AT757" s="18" t="s">
        <v>83</v>
      </c>
      <c r="AU757" s="18" t="s">
        <v>81</v>
      </c>
      <c r="AV757" s="18" t="s">
        <v>95</v>
      </c>
      <c r="AW757" s="18" t="s">
        <v>95</v>
      </c>
      <c r="AX757" s="18"/>
      <c r="AY757" s="18" t="str">
        <f>Pospago[[#This Row],[NUM_TELEFONICO]]&amp;"POSPAGOSI"</f>
        <v>995169444POSPAGOSI</v>
      </c>
      <c r="AZ757" s="18" t="str">
        <f>VLOOKUP(Pospago[[#This Row],[NOM_PLAZA_FINAL]],[1]!Locales[#Data],3,0)</f>
        <v>TIENDA RECREO</v>
      </c>
      <c r="BA757" s="18" t="str">
        <f>IFERROR(VLOOKUP(Pospago[[#This Row],[USUARIO]],[1]!Personal[#Data],6,0),"EJECUTIVO NO REGISTRADO")</f>
        <v>GUEVARA MAZA CRISTIAN FABIAN</v>
      </c>
      <c r="BB757" s="18" t="str">
        <f>Pospago[[#This Row],[TIPO_MOVIMIENTO]]&amp;" "&amp;Pospago[[#This Row],[FORMA_PAGO_FINAL]]</f>
        <v>TRANSFERENCIAS PAGO EN CAJA</v>
      </c>
      <c r="BC757" s="18">
        <f>DAY(Pospago[[#This Row],[FECHA_ALTA]])</f>
        <v>5</v>
      </c>
      <c r="BD757" s="18">
        <f>IF(Pospago[[#This Row],[TARIFA_BASICA]]=11.42,1,0)</f>
        <v>1</v>
      </c>
      <c r="BE757" s="18">
        <f>IF(Pospago[[#This Row],[PLANES TELEVENTAS]]="SI",1,0)</f>
        <v>0</v>
      </c>
      <c r="BF757" s="18">
        <f>1</f>
        <v>1</v>
      </c>
      <c r="BG757" s="18">
        <f>IF(OR(Pospago[[#This Row],[TARIFA_BASICA]]=11.42,Pospago[[#This Row],[PLANES TELEVENTAS]]="SI"),1,0)</f>
        <v>1</v>
      </c>
      <c r="BH757" s="18" t="str">
        <f>IF(MID(Pospago[[#This Row],[PlanDesc]],1,4) = "PLAN","POSPAGO",IF(MID(Pospago[[#This Row],[PlanDesc]],1,4)="FULL","FULL MEGAS","PREVIOPAGO"))</f>
        <v>PREVIOPAGO</v>
      </c>
      <c r="BI7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7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57" s="21">
        <f>Pospago[[#This Row],[TARIFA_BASICA]]*1.5</f>
        <v>17.13</v>
      </c>
    </row>
    <row r="758" spans="1:63" x14ac:dyDescent="0.25">
      <c r="A758" s="18" t="s">
        <v>154</v>
      </c>
      <c r="B758" s="18" t="s">
        <v>4832</v>
      </c>
      <c r="C758" s="18" t="s">
        <v>3060</v>
      </c>
      <c r="D758" s="19">
        <v>44909</v>
      </c>
      <c r="E758" s="18" t="s">
        <v>67</v>
      </c>
      <c r="F758" s="18" t="s">
        <v>3061</v>
      </c>
      <c r="G758" s="18" t="s">
        <v>3062</v>
      </c>
      <c r="H758" s="18" t="s">
        <v>159</v>
      </c>
      <c r="I758" s="18" t="s">
        <v>160</v>
      </c>
      <c r="J758" s="18" t="s">
        <v>161</v>
      </c>
      <c r="K758" s="18" t="s">
        <v>73</v>
      </c>
      <c r="L758" s="20" t="s">
        <v>4833</v>
      </c>
      <c r="M758" s="18" t="s">
        <v>75</v>
      </c>
      <c r="N758" s="20" t="s">
        <v>4834</v>
      </c>
      <c r="O758" s="18" t="s">
        <v>2241</v>
      </c>
      <c r="P758" s="18" t="s">
        <v>78</v>
      </c>
      <c r="Q758" s="19">
        <v>44914</v>
      </c>
      <c r="R758" s="21">
        <v>14.28</v>
      </c>
      <c r="S758" s="18" t="s">
        <v>79</v>
      </c>
      <c r="T758" s="18" t="s">
        <v>148</v>
      </c>
      <c r="U758" s="18" t="s">
        <v>83</v>
      </c>
      <c r="V758" s="18" t="s">
        <v>95</v>
      </c>
      <c r="W758" s="18" t="s">
        <v>95</v>
      </c>
      <c r="X758" s="18" t="s">
        <v>84</v>
      </c>
      <c r="Y758" s="18" t="s">
        <v>85</v>
      </c>
      <c r="Z758" s="18" t="s">
        <v>86</v>
      </c>
      <c r="AA758" s="18" t="s">
        <v>87</v>
      </c>
      <c r="AB758" s="18" t="s">
        <v>149</v>
      </c>
      <c r="AC758" s="18" t="s">
        <v>150</v>
      </c>
      <c r="AD758" s="18" t="s">
        <v>85</v>
      </c>
      <c r="AE758" s="18" t="s">
        <v>90</v>
      </c>
      <c r="AF758" s="18" t="s">
        <v>151</v>
      </c>
      <c r="AG758" s="18" t="s">
        <v>92</v>
      </c>
      <c r="AH758" s="18" t="s">
        <v>165</v>
      </c>
      <c r="AI758" s="18" t="s">
        <v>94</v>
      </c>
      <c r="AJ758" s="19">
        <v>44909</v>
      </c>
      <c r="AK758" s="22" t="s">
        <v>95</v>
      </c>
      <c r="AL758" s="18" t="s">
        <v>95</v>
      </c>
      <c r="AM758" s="18" t="s">
        <v>95</v>
      </c>
      <c r="AN758" s="18" t="s">
        <v>95</v>
      </c>
      <c r="AO758" s="18" t="s">
        <v>95</v>
      </c>
      <c r="AP758" s="18" t="s">
        <v>95</v>
      </c>
      <c r="AQ758" s="18" t="s">
        <v>95</v>
      </c>
      <c r="AR758" s="18" t="s">
        <v>95</v>
      </c>
      <c r="AS758" s="18" t="s">
        <v>83</v>
      </c>
      <c r="AT758" s="18" t="s">
        <v>83</v>
      </c>
      <c r="AU758" s="18" t="s">
        <v>81</v>
      </c>
      <c r="AV758" s="18" t="s">
        <v>95</v>
      </c>
      <c r="AW758" s="18" t="s">
        <v>95</v>
      </c>
      <c r="AX758" s="18"/>
      <c r="AY758" s="18" t="str">
        <f>Pospago[[#This Row],[NUM_TELEFONICO]]&amp;"POSPAGOSI"</f>
        <v>995170346POSPAGOSI</v>
      </c>
      <c r="AZ758" s="18" t="str">
        <f>VLOOKUP(Pospago[[#This Row],[NOM_PLAZA_FINAL]],[1]!Locales[#Data],3,0)</f>
        <v>TIENDA CUENCA REMIGIO</v>
      </c>
      <c r="BA758" s="18" t="str">
        <f>IFERROR(VLOOKUP(Pospago[[#This Row],[USUARIO]],[1]!Personal[#Data],6,0),"EJECUTIVO NO REGISTRADO")</f>
        <v>OSORIO TEJADA ANA ESTEFANIA</v>
      </c>
      <c r="BB758" s="18" t="str">
        <f>Pospago[[#This Row],[TIPO_MOVIMIENTO]]&amp;" "&amp;Pospago[[#This Row],[FORMA_PAGO_FINAL]]</f>
        <v>TRANSFERENCIAS DOMICILIADO</v>
      </c>
      <c r="BC758" s="18">
        <f>DAY(Pospago[[#This Row],[FECHA_ALTA]])</f>
        <v>14</v>
      </c>
      <c r="BD758" s="18">
        <f>IF(Pospago[[#This Row],[TARIFA_BASICA]]=11.42,1,0)</f>
        <v>0</v>
      </c>
      <c r="BE758" s="18">
        <f>IF(Pospago[[#This Row],[PLANES TELEVENTAS]]="SI",1,0)</f>
        <v>0</v>
      </c>
      <c r="BF758" s="18">
        <f>1</f>
        <v>1</v>
      </c>
      <c r="BG758" s="18">
        <f>IF(OR(Pospago[[#This Row],[TARIFA_BASICA]]=11.42,Pospago[[#This Row],[PLANES TELEVENTAS]]="SI"),1,0)</f>
        <v>0</v>
      </c>
      <c r="BH758" s="18" t="str">
        <f>IF(MID(Pospago[[#This Row],[PlanDesc]],1,4) = "PLAN","POSPAGO",IF(MID(Pospago[[#This Row],[PlanDesc]],1,4)="FULL","FULL MEGAS","PREVIOPAGO"))</f>
        <v>PREVIOPAGO</v>
      </c>
      <c r="BI7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58" s="21">
        <f>Pospago[[#This Row],[TARIFA_BASICA]]*1.5</f>
        <v>21.419999999999998</v>
      </c>
    </row>
    <row r="759" spans="1:63" x14ac:dyDescent="0.25">
      <c r="A759" s="18" t="s">
        <v>154</v>
      </c>
      <c r="B759" s="18" t="s">
        <v>4835</v>
      </c>
      <c r="C759" s="18" t="s">
        <v>4836</v>
      </c>
      <c r="D759" s="19">
        <v>44896</v>
      </c>
      <c r="E759" s="18" t="s">
        <v>67</v>
      </c>
      <c r="F759" s="18" t="s">
        <v>4837</v>
      </c>
      <c r="G759" s="18" t="s">
        <v>4838</v>
      </c>
      <c r="H759" s="18" t="s">
        <v>159</v>
      </c>
      <c r="I759" s="18" t="s">
        <v>71</v>
      </c>
      <c r="J759" s="18" t="s">
        <v>258</v>
      </c>
      <c r="K759" s="18" t="s">
        <v>73</v>
      </c>
      <c r="L759" s="20" t="s">
        <v>4839</v>
      </c>
      <c r="M759" s="18" t="s">
        <v>75</v>
      </c>
      <c r="N759" s="20" t="s">
        <v>4840</v>
      </c>
      <c r="O759" s="18" t="s">
        <v>164</v>
      </c>
      <c r="P759" s="18" t="s">
        <v>78</v>
      </c>
      <c r="Q759" s="19">
        <v>44914</v>
      </c>
      <c r="R759" s="21">
        <v>11.42</v>
      </c>
      <c r="S759" s="18" t="s">
        <v>79</v>
      </c>
      <c r="T759" s="18" t="s">
        <v>174</v>
      </c>
      <c r="U759" s="18" t="s">
        <v>83</v>
      </c>
      <c r="V759" s="18" t="s">
        <v>95</v>
      </c>
      <c r="W759" s="18" t="s">
        <v>95</v>
      </c>
      <c r="X759" s="18" t="s">
        <v>118</v>
      </c>
      <c r="Y759" s="18" t="s">
        <v>85</v>
      </c>
      <c r="Z759" s="18" t="s">
        <v>86</v>
      </c>
      <c r="AA759" s="18" t="s">
        <v>119</v>
      </c>
      <c r="AB759" s="18" t="s">
        <v>822</v>
      </c>
      <c r="AC759" s="18" t="s">
        <v>823</v>
      </c>
      <c r="AD759" s="18" t="s">
        <v>85</v>
      </c>
      <c r="AE759" s="18" t="s">
        <v>90</v>
      </c>
      <c r="AF759" s="18" t="s">
        <v>177</v>
      </c>
      <c r="AG759" s="18" t="s">
        <v>139</v>
      </c>
      <c r="AH759" s="18" t="s">
        <v>165</v>
      </c>
      <c r="AI759" s="18" t="s">
        <v>94</v>
      </c>
      <c r="AJ759" s="19">
        <v>44896</v>
      </c>
      <c r="AK759" s="22" t="s">
        <v>95</v>
      </c>
      <c r="AL759" s="18" t="s">
        <v>95</v>
      </c>
      <c r="AM759" s="18" t="s">
        <v>95</v>
      </c>
      <c r="AN759" s="18" t="s">
        <v>95</v>
      </c>
      <c r="AO759" s="18" t="s">
        <v>95</v>
      </c>
      <c r="AP759" s="18" t="s">
        <v>95</v>
      </c>
      <c r="AQ759" s="18" t="s">
        <v>95</v>
      </c>
      <c r="AR759" s="18" t="s">
        <v>95</v>
      </c>
      <c r="AS759" s="18" t="s">
        <v>83</v>
      </c>
      <c r="AT759" s="18" t="s">
        <v>83</v>
      </c>
      <c r="AU759" s="18" t="s">
        <v>81</v>
      </c>
      <c r="AV759" s="18" t="s">
        <v>95</v>
      </c>
      <c r="AW759" s="18" t="s">
        <v>95</v>
      </c>
      <c r="AX759" s="18"/>
      <c r="AY759" s="18" t="str">
        <f>Pospago[[#This Row],[NUM_TELEFONICO]]&amp;"POSPAGOSI"</f>
        <v>995171469POSPAGOSI</v>
      </c>
      <c r="AZ759" s="18" t="str">
        <f>VLOOKUP(Pospago[[#This Row],[NOM_PLAZA_FINAL]],[1]!Locales[#Data],3,0)</f>
        <v>TIENDA RECREO</v>
      </c>
      <c r="BA759" s="18" t="str">
        <f>IFERROR(VLOOKUP(Pospago[[#This Row],[USUARIO]],[1]!Personal[#Data],6,0),"EJECUTIVO NO REGISTRADO")</f>
        <v>SALAS PARRA MARIA JOSE</v>
      </c>
      <c r="BB759" s="18" t="str">
        <f>Pospago[[#This Row],[TIPO_MOVIMIENTO]]&amp;" "&amp;Pospago[[#This Row],[FORMA_PAGO_FINAL]]</f>
        <v>TRANSFERENCIAS PAGO EN CAJA</v>
      </c>
      <c r="BC759" s="18">
        <f>DAY(Pospago[[#This Row],[FECHA_ALTA]])</f>
        <v>1</v>
      </c>
      <c r="BD759" s="18">
        <f>IF(Pospago[[#This Row],[TARIFA_BASICA]]=11.42,1,0)</f>
        <v>1</v>
      </c>
      <c r="BE759" s="18">
        <f>IF(Pospago[[#This Row],[PLANES TELEVENTAS]]="SI",1,0)</f>
        <v>0</v>
      </c>
      <c r="BF759" s="18">
        <f>1</f>
        <v>1</v>
      </c>
      <c r="BG759" s="18">
        <f>IF(OR(Pospago[[#This Row],[TARIFA_BASICA]]=11.42,Pospago[[#This Row],[PLANES TELEVENTAS]]="SI"),1,0)</f>
        <v>1</v>
      </c>
      <c r="BH759" s="18" t="str">
        <f>IF(MID(Pospago[[#This Row],[PlanDesc]],1,4) = "PLAN","POSPAGO",IF(MID(Pospago[[#This Row],[PlanDesc]],1,4)="FULL","FULL MEGAS","PREVIOPAGO"))</f>
        <v>PREVIOPAGO</v>
      </c>
      <c r="BI7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7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59" s="21">
        <f>Pospago[[#This Row],[TARIFA_BASICA]]*1.5</f>
        <v>17.13</v>
      </c>
    </row>
    <row r="760" spans="1:63" x14ac:dyDescent="0.25">
      <c r="A760" s="18" t="s">
        <v>154</v>
      </c>
      <c r="B760" s="18" t="s">
        <v>4841</v>
      </c>
      <c r="C760" s="18" t="s">
        <v>4842</v>
      </c>
      <c r="D760" s="19">
        <v>44898</v>
      </c>
      <c r="E760" s="18" t="s">
        <v>67</v>
      </c>
      <c r="F760" s="18" t="s">
        <v>4843</v>
      </c>
      <c r="G760" s="18" t="s">
        <v>4844</v>
      </c>
      <c r="H760" s="18" t="s">
        <v>159</v>
      </c>
      <c r="I760" s="18" t="s">
        <v>160</v>
      </c>
      <c r="J760" s="18" t="s">
        <v>161</v>
      </c>
      <c r="K760" s="18" t="s">
        <v>95</v>
      </c>
      <c r="L760" s="20" t="s">
        <v>4845</v>
      </c>
      <c r="M760" s="18" t="s">
        <v>75</v>
      </c>
      <c r="N760" s="20" t="s">
        <v>4846</v>
      </c>
      <c r="O760" s="18" t="s">
        <v>164</v>
      </c>
      <c r="P760" s="18" t="s">
        <v>78</v>
      </c>
      <c r="Q760" s="19">
        <v>44914</v>
      </c>
      <c r="R760" s="21">
        <v>14.28</v>
      </c>
      <c r="S760" s="18" t="s">
        <v>79</v>
      </c>
      <c r="T760" s="18" t="s">
        <v>174</v>
      </c>
      <c r="U760" s="18" t="s">
        <v>83</v>
      </c>
      <c r="V760" s="18" t="s">
        <v>95</v>
      </c>
      <c r="W760" s="18" t="s">
        <v>95</v>
      </c>
      <c r="X760" s="18" t="s">
        <v>84</v>
      </c>
      <c r="Y760" s="18" t="s">
        <v>85</v>
      </c>
      <c r="Z760" s="18" t="s">
        <v>86</v>
      </c>
      <c r="AA760" s="18" t="s">
        <v>87</v>
      </c>
      <c r="AB760" s="18" t="s">
        <v>822</v>
      </c>
      <c r="AC760" s="18" t="s">
        <v>823</v>
      </c>
      <c r="AD760" s="18" t="s">
        <v>85</v>
      </c>
      <c r="AE760" s="18" t="s">
        <v>90</v>
      </c>
      <c r="AF760" s="18" t="s">
        <v>177</v>
      </c>
      <c r="AG760" s="18" t="s">
        <v>139</v>
      </c>
      <c r="AH760" s="18" t="s">
        <v>165</v>
      </c>
      <c r="AI760" s="18" t="s">
        <v>94</v>
      </c>
      <c r="AJ760" s="19">
        <v>44898</v>
      </c>
      <c r="AK760" s="22" t="s">
        <v>95</v>
      </c>
      <c r="AL760" s="18" t="s">
        <v>95</v>
      </c>
      <c r="AM760" s="18" t="s">
        <v>95</v>
      </c>
      <c r="AN760" s="18" t="s">
        <v>95</v>
      </c>
      <c r="AO760" s="18" t="s">
        <v>95</v>
      </c>
      <c r="AP760" s="18" t="s">
        <v>95</v>
      </c>
      <c r="AQ760" s="18" t="s">
        <v>95</v>
      </c>
      <c r="AR760" s="18" t="s">
        <v>95</v>
      </c>
      <c r="AS760" s="18" t="s">
        <v>83</v>
      </c>
      <c r="AT760" s="18" t="s">
        <v>83</v>
      </c>
      <c r="AU760" s="18" t="s">
        <v>81</v>
      </c>
      <c r="AV760" s="18" t="s">
        <v>95</v>
      </c>
      <c r="AW760" s="18" t="s">
        <v>95</v>
      </c>
      <c r="AX760" s="18"/>
      <c r="AY760" s="18" t="str">
        <f>Pospago[[#This Row],[NUM_TELEFONICO]]&amp;"POSPAGOSI"</f>
        <v>995171612POSPAGOSI</v>
      </c>
      <c r="AZ760" s="18" t="str">
        <f>VLOOKUP(Pospago[[#This Row],[NOM_PLAZA_FINAL]],[1]!Locales[#Data],3,0)</f>
        <v>TIENDA RECREO</v>
      </c>
      <c r="BA760" s="18" t="str">
        <f>IFERROR(VLOOKUP(Pospago[[#This Row],[USUARIO]],[1]!Personal[#Data],6,0),"EJECUTIVO NO REGISTRADO")</f>
        <v>SALAS PARRA MARIA JOSE</v>
      </c>
      <c r="BB760" s="18" t="str">
        <f>Pospago[[#This Row],[TIPO_MOVIMIENTO]]&amp;" "&amp;Pospago[[#This Row],[FORMA_PAGO_FINAL]]</f>
        <v>TRANSFERENCIAS DOMICILIADO</v>
      </c>
      <c r="BC760" s="18">
        <f>DAY(Pospago[[#This Row],[FECHA_ALTA]])</f>
        <v>3</v>
      </c>
      <c r="BD760" s="18">
        <f>IF(Pospago[[#This Row],[TARIFA_BASICA]]=11.42,1,0)</f>
        <v>0</v>
      </c>
      <c r="BE760" s="18">
        <f>IF(Pospago[[#This Row],[PLANES TELEVENTAS]]="SI",1,0)</f>
        <v>0</v>
      </c>
      <c r="BF760" s="18">
        <f>1</f>
        <v>1</v>
      </c>
      <c r="BG760" s="18">
        <f>IF(OR(Pospago[[#This Row],[TARIFA_BASICA]]=11.42,Pospago[[#This Row],[PLANES TELEVENTAS]]="SI"),1,0)</f>
        <v>0</v>
      </c>
      <c r="BH760" s="18" t="str">
        <f>IF(MID(Pospago[[#This Row],[PlanDesc]],1,4) = "PLAN","POSPAGO",IF(MID(Pospago[[#This Row],[PlanDesc]],1,4)="FULL","FULL MEGAS","PREVIOPAGO"))</f>
        <v>PREVIOPAGO</v>
      </c>
      <c r="BI7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60" s="21">
        <f>Pospago[[#This Row],[TARIFA_BASICA]]*1.5</f>
        <v>21.419999999999998</v>
      </c>
    </row>
    <row r="761" spans="1:63" x14ac:dyDescent="0.25">
      <c r="A761" s="18" t="s">
        <v>154</v>
      </c>
      <c r="B761" s="18" t="s">
        <v>4847</v>
      </c>
      <c r="C761" s="18" t="s">
        <v>4848</v>
      </c>
      <c r="D761" s="19">
        <v>44896</v>
      </c>
      <c r="E761" s="18" t="s">
        <v>67</v>
      </c>
      <c r="F761" s="18" t="s">
        <v>4849</v>
      </c>
      <c r="G761" s="18" t="s">
        <v>4850</v>
      </c>
      <c r="H761" s="18" t="s">
        <v>159</v>
      </c>
      <c r="I761" s="18" t="s">
        <v>183</v>
      </c>
      <c r="J761" s="18" t="s">
        <v>184</v>
      </c>
      <c r="K761" s="18" t="s">
        <v>73</v>
      </c>
      <c r="L761" s="20" t="s">
        <v>4851</v>
      </c>
      <c r="M761" s="18" t="s">
        <v>75</v>
      </c>
      <c r="N761" s="20" t="s">
        <v>4852</v>
      </c>
      <c r="O761" s="18" t="s">
        <v>1532</v>
      </c>
      <c r="P761" s="18" t="s">
        <v>78</v>
      </c>
      <c r="Q761" s="19">
        <v>44914</v>
      </c>
      <c r="R761" s="21">
        <v>11.42</v>
      </c>
      <c r="S761" s="18" t="s">
        <v>79</v>
      </c>
      <c r="T761" s="18" t="s">
        <v>80</v>
      </c>
      <c r="U761" s="18" t="s">
        <v>83</v>
      </c>
      <c r="V761" s="18" t="s">
        <v>95</v>
      </c>
      <c r="W761" s="18" t="s">
        <v>95</v>
      </c>
      <c r="X761" s="18" t="s">
        <v>84</v>
      </c>
      <c r="Y761" s="18" t="s">
        <v>85</v>
      </c>
      <c r="Z761" s="18" t="s">
        <v>86</v>
      </c>
      <c r="AA761" s="18" t="s">
        <v>87</v>
      </c>
      <c r="AB761" s="18" t="s">
        <v>88</v>
      </c>
      <c r="AC761" s="18" t="s">
        <v>89</v>
      </c>
      <c r="AD761" s="18" t="s">
        <v>85</v>
      </c>
      <c r="AE761" s="18" t="s">
        <v>90</v>
      </c>
      <c r="AF761" s="18" t="s">
        <v>91</v>
      </c>
      <c r="AG761" s="18" t="s">
        <v>92</v>
      </c>
      <c r="AH761" s="18" t="s">
        <v>165</v>
      </c>
      <c r="AI761" s="18" t="s">
        <v>94</v>
      </c>
      <c r="AJ761" s="19">
        <v>44896</v>
      </c>
      <c r="AK761" s="22" t="s">
        <v>95</v>
      </c>
      <c r="AL761" s="18" t="s">
        <v>95</v>
      </c>
      <c r="AM761" s="18" t="s">
        <v>95</v>
      </c>
      <c r="AN761" s="18" t="s">
        <v>95</v>
      </c>
      <c r="AO761" s="18" t="s">
        <v>95</v>
      </c>
      <c r="AP761" s="18" t="s">
        <v>95</v>
      </c>
      <c r="AQ761" s="18" t="s">
        <v>95</v>
      </c>
      <c r="AR761" s="18" t="s">
        <v>95</v>
      </c>
      <c r="AS761" s="18" t="s">
        <v>83</v>
      </c>
      <c r="AT761" s="18" t="s">
        <v>83</v>
      </c>
      <c r="AU761" s="18" t="s">
        <v>83</v>
      </c>
      <c r="AV761" s="18" t="s">
        <v>95</v>
      </c>
      <c r="AW761" s="18" t="s">
        <v>95</v>
      </c>
      <c r="AX761" s="18"/>
      <c r="AY761" s="18" t="str">
        <f>Pospago[[#This Row],[NUM_TELEFONICO]]&amp;"POSPAGOSI"</f>
        <v>995176339POSPAGOSI</v>
      </c>
      <c r="AZ761" s="18" t="str">
        <f>VLOOKUP(Pospago[[#This Row],[NOM_PLAZA_FINAL]],[1]!Locales[#Data],3,0)</f>
        <v>TIENDA CUENCA CENTRO</v>
      </c>
      <c r="BA761" s="18" t="str">
        <f>IFERROR(VLOOKUP(Pospago[[#This Row],[USUARIO]],[1]!Personal[#Data],6,0),"EJECUTIVO NO REGISTRADO")</f>
        <v>ANDRADE CONDO CHRISTIAN EDUARDO</v>
      </c>
      <c r="BB761" s="18" t="str">
        <f>Pospago[[#This Row],[TIPO_MOVIMIENTO]]&amp;" "&amp;Pospago[[#This Row],[FORMA_PAGO_FINAL]]</f>
        <v>TRANSFERENCIAS DOMICILIADO</v>
      </c>
      <c r="BC761" s="18">
        <f>DAY(Pospago[[#This Row],[FECHA_ALTA]])</f>
        <v>1</v>
      </c>
      <c r="BD761" s="18">
        <f>IF(Pospago[[#This Row],[TARIFA_BASICA]]=11.42,1,0)</f>
        <v>1</v>
      </c>
      <c r="BE761" s="18">
        <f>IF(Pospago[[#This Row],[PLANES TELEVENTAS]]="SI",1,0)</f>
        <v>0</v>
      </c>
      <c r="BF761" s="18">
        <f>1</f>
        <v>1</v>
      </c>
      <c r="BG761" s="18">
        <f>IF(OR(Pospago[[#This Row],[TARIFA_BASICA]]=11.42,Pospago[[#This Row],[PLANES TELEVENTAS]]="SI"),1,0)</f>
        <v>1</v>
      </c>
      <c r="BH761" s="18" t="str">
        <f>IF(MID(Pospago[[#This Row],[PlanDesc]],1,4) = "PLAN","POSPAGO",IF(MID(Pospago[[#This Row],[PlanDesc]],1,4)="FULL","FULL MEGAS","PREVIOPAGO"))</f>
        <v>POSPAGO</v>
      </c>
      <c r="BI7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7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61" s="21">
        <f>Pospago[[#This Row],[TARIFA_BASICA]]*1.5</f>
        <v>17.13</v>
      </c>
    </row>
    <row r="762" spans="1:63" x14ac:dyDescent="0.25">
      <c r="A762" s="18" t="s">
        <v>64</v>
      </c>
      <c r="B762" s="18" t="s">
        <v>4853</v>
      </c>
      <c r="C762" s="18" t="s">
        <v>4854</v>
      </c>
      <c r="D762" s="19">
        <v>44908</v>
      </c>
      <c r="E762" s="18" t="s">
        <v>67</v>
      </c>
      <c r="F762" s="18" t="s">
        <v>4855</v>
      </c>
      <c r="G762" s="18" t="s">
        <v>4856</v>
      </c>
      <c r="H762" s="18" t="s">
        <v>193</v>
      </c>
      <c r="I762" s="18" t="s">
        <v>2207</v>
      </c>
      <c r="J762" s="18" t="s">
        <v>2208</v>
      </c>
      <c r="K762" s="18" t="s">
        <v>132</v>
      </c>
      <c r="L762" s="20" t="s">
        <v>4857</v>
      </c>
      <c r="M762" s="18" t="s">
        <v>75</v>
      </c>
      <c r="N762" s="20" t="s">
        <v>4858</v>
      </c>
      <c r="O762" s="18" t="s">
        <v>77</v>
      </c>
      <c r="P762" s="18" t="s">
        <v>78</v>
      </c>
      <c r="Q762" s="19">
        <v>44914</v>
      </c>
      <c r="R762" s="21">
        <v>15</v>
      </c>
      <c r="S762" s="18" t="s">
        <v>79</v>
      </c>
      <c r="T762" s="18" t="s">
        <v>135</v>
      </c>
      <c r="U762" s="18" t="s">
        <v>83</v>
      </c>
      <c r="V762" s="18" t="s">
        <v>95</v>
      </c>
      <c r="W762" s="18" t="s">
        <v>83</v>
      </c>
      <c r="X762" s="18" t="s">
        <v>118</v>
      </c>
      <c r="Y762" s="18" t="s">
        <v>85</v>
      </c>
      <c r="Z762" s="18" t="s">
        <v>86</v>
      </c>
      <c r="AA762" s="18" t="s">
        <v>119</v>
      </c>
      <c r="AB762" s="18" t="s">
        <v>866</v>
      </c>
      <c r="AC762" s="18" t="s">
        <v>867</v>
      </c>
      <c r="AD762" s="18" t="s">
        <v>85</v>
      </c>
      <c r="AE762" s="18" t="s">
        <v>90</v>
      </c>
      <c r="AF762" s="18" t="s">
        <v>138</v>
      </c>
      <c r="AG762" s="18" t="s">
        <v>139</v>
      </c>
      <c r="AH762" s="18" t="s">
        <v>93</v>
      </c>
      <c r="AI762" s="18" t="s">
        <v>94</v>
      </c>
      <c r="AJ762" s="19">
        <v>44908</v>
      </c>
      <c r="AK762" s="22" t="s">
        <v>95</v>
      </c>
      <c r="AL762" s="18" t="s">
        <v>95</v>
      </c>
      <c r="AM762" s="18" t="s">
        <v>95</v>
      </c>
      <c r="AN762" s="18" t="s">
        <v>95</v>
      </c>
      <c r="AO762" s="18" t="s">
        <v>95</v>
      </c>
      <c r="AP762" s="18" t="s">
        <v>95</v>
      </c>
      <c r="AQ762" s="18" t="s">
        <v>95</v>
      </c>
      <c r="AR762" s="18" t="s">
        <v>95</v>
      </c>
      <c r="AS762" s="18" t="s">
        <v>83</v>
      </c>
      <c r="AT762" s="18" t="s">
        <v>95</v>
      </c>
      <c r="AU762" s="18" t="s">
        <v>95</v>
      </c>
      <c r="AV762" s="18" t="s">
        <v>95</v>
      </c>
      <c r="AW762" s="18" t="s">
        <v>95</v>
      </c>
      <c r="AX762" s="18"/>
      <c r="AY762" s="18" t="str">
        <f>Pospago[[#This Row],[NUM_TELEFONICO]]&amp;"POSPAGOSI"</f>
        <v>995176631POSPAGOSI</v>
      </c>
      <c r="AZ762" s="18" t="str">
        <f>VLOOKUP(Pospago[[#This Row],[NOM_PLAZA_FINAL]],[1]!Locales[#Data],3,0)</f>
        <v>TIENDA AMERICA</v>
      </c>
      <c r="BA762" s="18" t="str">
        <f>IFERROR(VLOOKUP(Pospago[[#This Row],[USUARIO]],[1]!Personal[#Data],6,0),"EJECUTIVO NO REGISTRADO")</f>
        <v>ORTEGA RUIZ GABRIEL ANTONIO</v>
      </c>
      <c r="BB762" s="18" t="str">
        <f>Pospago[[#This Row],[TIPO_MOVIMIENTO]]&amp;" "&amp;Pospago[[#This Row],[FORMA_PAGO_FINAL]]</f>
        <v>ALTAS PAGO EN CAJA</v>
      </c>
      <c r="BC762" s="18">
        <f>DAY(Pospago[[#This Row],[FECHA_ALTA]])</f>
        <v>13</v>
      </c>
      <c r="BD762" s="18">
        <f>IF(Pospago[[#This Row],[TARIFA_BASICA]]=11.42,1,0)</f>
        <v>0</v>
      </c>
      <c r="BE762" s="18">
        <f>IF(Pospago[[#This Row],[PLANES TELEVENTAS]]="SI",1,0)</f>
        <v>0</v>
      </c>
      <c r="BF762" s="18">
        <f>1</f>
        <v>1</v>
      </c>
      <c r="BG762" s="18">
        <f>IF(OR(Pospago[[#This Row],[TARIFA_BASICA]]=11.42,Pospago[[#This Row],[PLANES TELEVENTAS]]="SI"),1,0)</f>
        <v>0</v>
      </c>
      <c r="BH762" s="18" t="str">
        <f>IF(MID(Pospago[[#This Row],[PlanDesc]],1,4) = "PLAN","POSPAGO",IF(MID(Pospago[[#This Row],[PlanDesc]],1,4)="FULL","FULL MEGAS","PREVIOPAGO"))</f>
        <v>FULL MEGAS</v>
      </c>
      <c r="BI7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7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62" s="21">
        <f>Pospago[[#This Row],[TARIFA_BASICA]]*1.5</f>
        <v>22.5</v>
      </c>
    </row>
    <row r="763" spans="1:63" x14ac:dyDescent="0.25">
      <c r="A763" s="18" t="s">
        <v>64</v>
      </c>
      <c r="B763" s="18" t="s">
        <v>4859</v>
      </c>
      <c r="C763" s="18" t="s">
        <v>4860</v>
      </c>
      <c r="D763" s="19">
        <v>44900</v>
      </c>
      <c r="E763" s="18" t="s">
        <v>67</v>
      </c>
      <c r="F763" s="18" t="s">
        <v>4861</v>
      </c>
      <c r="G763" s="18" t="s">
        <v>4862</v>
      </c>
      <c r="H763" s="18" t="s">
        <v>70</v>
      </c>
      <c r="I763" s="18" t="s">
        <v>71</v>
      </c>
      <c r="J763" s="18" t="s">
        <v>72</v>
      </c>
      <c r="K763" s="18" t="s">
        <v>132</v>
      </c>
      <c r="L763" s="20" t="s">
        <v>4863</v>
      </c>
      <c r="M763" s="18" t="s">
        <v>75</v>
      </c>
      <c r="N763" s="20" t="s">
        <v>4864</v>
      </c>
      <c r="O763" s="18" t="s">
        <v>77</v>
      </c>
      <c r="P763" s="18" t="s">
        <v>78</v>
      </c>
      <c r="Q763" s="19">
        <v>44914</v>
      </c>
      <c r="R763" s="21">
        <v>11.42</v>
      </c>
      <c r="S763" s="18" t="s">
        <v>79</v>
      </c>
      <c r="T763" s="18" t="s">
        <v>174</v>
      </c>
      <c r="U763" s="18" t="s">
        <v>83</v>
      </c>
      <c r="V763" s="18" t="s">
        <v>95</v>
      </c>
      <c r="W763" s="18" t="s">
        <v>83</v>
      </c>
      <c r="X763" s="18" t="s">
        <v>84</v>
      </c>
      <c r="Y763" s="18" t="s">
        <v>85</v>
      </c>
      <c r="Z763" s="18" t="s">
        <v>86</v>
      </c>
      <c r="AA763" s="18" t="s">
        <v>87</v>
      </c>
      <c r="AB763" s="18" t="s">
        <v>760</v>
      </c>
      <c r="AC763" s="18" t="s">
        <v>761</v>
      </c>
      <c r="AD763" s="18" t="s">
        <v>85</v>
      </c>
      <c r="AE763" s="18" t="s">
        <v>90</v>
      </c>
      <c r="AF763" s="18" t="s">
        <v>177</v>
      </c>
      <c r="AG763" s="18" t="s">
        <v>139</v>
      </c>
      <c r="AH763" s="18" t="s">
        <v>93</v>
      </c>
      <c r="AI763" s="18" t="s">
        <v>94</v>
      </c>
      <c r="AJ763" s="19">
        <v>44900</v>
      </c>
      <c r="AK763" s="22" t="s">
        <v>95</v>
      </c>
      <c r="AL763" s="18" t="s">
        <v>95</v>
      </c>
      <c r="AM763" s="18" t="s">
        <v>95</v>
      </c>
      <c r="AN763" s="18" t="s">
        <v>95</v>
      </c>
      <c r="AO763" s="18" t="s">
        <v>95</v>
      </c>
      <c r="AP763" s="18" t="s">
        <v>95</v>
      </c>
      <c r="AQ763" s="18" t="s">
        <v>95</v>
      </c>
      <c r="AR763" s="18" t="s">
        <v>95</v>
      </c>
      <c r="AS763" s="18" t="s">
        <v>83</v>
      </c>
      <c r="AT763" s="18" t="s">
        <v>83</v>
      </c>
      <c r="AU763" s="18" t="s">
        <v>81</v>
      </c>
      <c r="AV763" s="18" t="s">
        <v>95</v>
      </c>
      <c r="AW763" s="18" t="s">
        <v>95</v>
      </c>
      <c r="AX763" s="18"/>
      <c r="AY763" s="18" t="str">
        <f>Pospago[[#This Row],[NUM_TELEFONICO]]&amp;"POSPAGOSI"</f>
        <v>995178815POSPAGOSI</v>
      </c>
      <c r="AZ763" s="18" t="str">
        <f>VLOOKUP(Pospago[[#This Row],[NOM_PLAZA_FINAL]],[1]!Locales[#Data],3,0)</f>
        <v>TIENDA RECREO</v>
      </c>
      <c r="BA763" s="18" t="str">
        <f>IFERROR(VLOOKUP(Pospago[[#This Row],[USUARIO]],[1]!Personal[#Data],6,0),"EJECUTIVO NO REGISTRADO")</f>
        <v>VALBUENA SANCHEZ ALBERT ANTHONY</v>
      </c>
      <c r="BB763" s="18" t="str">
        <f>Pospago[[#This Row],[TIPO_MOVIMIENTO]]&amp;" "&amp;Pospago[[#This Row],[FORMA_PAGO_FINAL]]</f>
        <v>ALTAS DOMICILIADO</v>
      </c>
      <c r="BC763" s="18">
        <f>DAY(Pospago[[#This Row],[FECHA_ALTA]])</f>
        <v>5</v>
      </c>
      <c r="BD763" s="18">
        <f>IF(Pospago[[#This Row],[TARIFA_BASICA]]=11.42,1,0)</f>
        <v>1</v>
      </c>
      <c r="BE763" s="18">
        <f>IF(Pospago[[#This Row],[PLANES TELEVENTAS]]="SI",1,0)</f>
        <v>0</v>
      </c>
      <c r="BF763" s="18">
        <f>1</f>
        <v>1</v>
      </c>
      <c r="BG763" s="18">
        <f>IF(OR(Pospago[[#This Row],[TARIFA_BASICA]]=11.42,Pospago[[#This Row],[PLANES TELEVENTAS]]="SI"),1,0)</f>
        <v>1</v>
      </c>
      <c r="BH763" s="18" t="str">
        <f>IF(MID(Pospago[[#This Row],[PlanDesc]],1,4) = "PLAN","POSPAGO",IF(MID(Pospago[[#This Row],[PlanDesc]],1,4)="FULL","FULL MEGAS","PREVIOPAGO"))</f>
        <v>PREVIOPAGO</v>
      </c>
      <c r="BI7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7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63" s="21">
        <f>Pospago[[#This Row],[TARIFA_BASICA]]*1.5</f>
        <v>17.13</v>
      </c>
    </row>
    <row r="764" spans="1:63" x14ac:dyDescent="0.25">
      <c r="A764" s="18" t="s">
        <v>154</v>
      </c>
      <c r="B764" s="18" t="s">
        <v>4865</v>
      </c>
      <c r="C764" s="18" t="s">
        <v>4866</v>
      </c>
      <c r="D764" s="19">
        <v>44911</v>
      </c>
      <c r="E764" s="18" t="s">
        <v>67</v>
      </c>
      <c r="F764" s="18" t="s">
        <v>4867</v>
      </c>
      <c r="G764" s="18" t="s">
        <v>4868</v>
      </c>
      <c r="H764" s="18" t="s">
        <v>159</v>
      </c>
      <c r="I764" s="18" t="s">
        <v>160</v>
      </c>
      <c r="J764" s="18" t="s">
        <v>161</v>
      </c>
      <c r="K764" s="18" t="s">
        <v>73</v>
      </c>
      <c r="L764" s="20" t="s">
        <v>4869</v>
      </c>
      <c r="M764" s="18" t="s">
        <v>75</v>
      </c>
      <c r="N764" s="20" t="s">
        <v>4870</v>
      </c>
      <c r="O764" s="18" t="s">
        <v>164</v>
      </c>
      <c r="P764" s="18" t="s">
        <v>78</v>
      </c>
      <c r="Q764" s="19">
        <v>44914</v>
      </c>
      <c r="R764" s="21">
        <v>14.28</v>
      </c>
      <c r="S764" s="18" t="s">
        <v>79</v>
      </c>
      <c r="T764" s="18" t="s">
        <v>174</v>
      </c>
      <c r="U764" s="18" t="s">
        <v>83</v>
      </c>
      <c r="V764" s="18" t="s">
        <v>95</v>
      </c>
      <c r="W764" s="18" t="s">
        <v>95</v>
      </c>
      <c r="X764" s="18" t="s">
        <v>118</v>
      </c>
      <c r="Y764" s="18" t="s">
        <v>85</v>
      </c>
      <c r="Z764" s="18" t="s">
        <v>86</v>
      </c>
      <c r="AA764" s="18" t="s">
        <v>119</v>
      </c>
      <c r="AB764" s="18" t="s">
        <v>760</v>
      </c>
      <c r="AC764" s="18" t="s">
        <v>761</v>
      </c>
      <c r="AD764" s="18" t="s">
        <v>85</v>
      </c>
      <c r="AE764" s="18" t="s">
        <v>90</v>
      </c>
      <c r="AF764" s="18" t="s">
        <v>177</v>
      </c>
      <c r="AG764" s="18" t="s">
        <v>139</v>
      </c>
      <c r="AH764" s="18" t="s">
        <v>165</v>
      </c>
      <c r="AI764" s="18" t="s">
        <v>94</v>
      </c>
      <c r="AJ764" s="19">
        <v>44911</v>
      </c>
      <c r="AK764" s="22" t="s">
        <v>95</v>
      </c>
      <c r="AL764" s="18" t="s">
        <v>95</v>
      </c>
      <c r="AM764" s="18" t="s">
        <v>95</v>
      </c>
      <c r="AN764" s="18" t="s">
        <v>95</v>
      </c>
      <c r="AO764" s="18" t="s">
        <v>95</v>
      </c>
      <c r="AP764" s="18" t="s">
        <v>95</v>
      </c>
      <c r="AQ764" s="18" t="s">
        <v>95</v>
      </c>
      <c r="AR764" s="18" t="s">
        <v>95</v>
      </c>
      <c r="AS764" s="18" t="s">
        <v>83</v>
      </c>
      <c r="AT764" s="18" t="s">
        <v>83</v>
      </c>
      <c r="AU764" s="18" t="s">
        <v>81</v>
      </c>
      <c r="AV764" s="18" t="s">
        <v>95</v>
      </c>
      <c r="AW764" s="18" t="s">
        <v>95</v>
      </c>
      <c r="AX764" s="18"/>
      <c r="AY764" s="18" t="str">
        <f>Pospago[[#This Row],[NUM_TELEFONICO]]&amp;"POSPAGOSI"</f>
        <v>995181043POSPAGOSI</v>
      </c>
      <c r="AZ764" s="18" t="str">
        <f>VLOOKUP(Pospago[[#This Row],[NOM_PLAZA_FINAL]],[1]!Locales[#Data],3,0)</f>
        <v>TIENDA RECREO</v>
      </c>
      <c r="BA764" s="18" t="str">
        <f>IFERROR(VLOOKUP(Pospago[[#This Row],[USUARIO]],[1]!Personal[#Data],6,0),"EJECUTIVO NO REGISTRADO")</f>
        <v>VALBUENA SANCHEZ ALBERT ANTHONY</v>
      </c>
      <c r="BB764" s="18" t="str">
        <f>Pospago[[#This Row],[TIPO_MOVIMIENTO]]&amp;" "&amp;Pospago[[#This Row],[FORMA_PAGO_FINAL]]</f>
        <v>TRANSFERENCIAS PAGO EN CAJA</v>
      </c>
      <c r="BC764" s="18">
        <f>DAY(Pospago[[#This Row],[FECHA_ALTA]])</f>
        <v>16</v>
      </c>
      <c r="BD764" s="18">
        <f>IF(Pospago[[#This Row],[TARIFA_BASICA]]=11.42,1,0)</f>
        <v>0</v>
      </c>
      <c r="BE764" s="18">
        <f>IF(Pospago[[#This Row],[PLANES TELEVENTAS]]="SI",1,0)</f>
        <v>0</v>
      </c>
      <c r="BF764" s="18">
        <f>1</f>
        <v>1</v>
      </c>
      <c r="BG764" s="18">
        <f>IF(OR(Pospago[[#This Row],[TARIFA_BASICA]]=11.42,Pospago[[#This Row],[PLANES TELEVENTAS]]="SI"),1,0)</f>
        <v>0</v>
      </c>
      <c r="BH764" s="18" t="str">
        <f>IF(MID(Pospago[[#This Row],[PlanDesc]],1,4) = "PLAN","POSPAGO",IF(MID(Pospago[[#This Row],[PlanDesc]],1,4)="FULL","FULL MEGAS","PREVIOPAGO"))</f>
        <v>PREVIOPAGO</v>
      </c>
      <c r="BI7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64" s="21">
        <f>Pospago[[#This Row],[TARIFA_BASICA]]*1.5</f>
        <v>21.419999999999998</v>
      </c>
    </row>
    <row r="765" spans="1:63" x14ac:dyDescent="0.25">
      <c r="A765" s="18" t="s">
        <v>154</v>
      </c>
      <c r="B765" s="18" t="s">
        <v>4871</v>
      </c>
      <c r="C765" s="18" t="s">
        <v>4872</v>
      </c>
      <c r="D765" s="19">
        <v>44898</v>
      </c>
      <c r="E765" s="18" t="s">
        <v>67</v>
      </c>
      <c r="F765" s="18" t="s">
        <v>4873</v>
      </c>
      <c r="G765" s="18" t="s">
        <v>4874</v>
      </c>
      <c r="H765" s="18" t="s">
        <v>159</v>
      </c>
      <c r="I765" s="18" t="s">
        <v>160</v>
      </c>
      <c r="J765" s="18" t="s">
        <v>161</v>
      </c>
      <c r="K765" s="18" t="s">
        <v>132</v>
      </c>
      <c r="L765" s="20" t="s">
        <v>4875</v>
      </c>
      <c r="M765" s="18" t="s">
        <v>75</v>
      </c>
      <c r="N765" s="20" t="s">
        <v>4876</v>
      </c>
      <c r="O765" s="18" t="s">
        <v>164</v>
      </c>
      <c r="P765" s="18" t="s">
        <v>78</v>
      </c>
      <c r="Q765" s="19">
        <v>44914</v>
      </c>
      <c r="R765" s="21">
        <v>14.28</v>
      </c>
      <c r="S765" s="18" t="s">
        <v>79</v>
      </c>
      <c r="T765" s="18" t="s">
        <v>135</v>
      </c>
      <c r="U765" s="18" t="s">
        <v>83</v>
      </c>
      <c r="V765" s="18" t="s">
        <v>95</v>
      </c>
      <c r="W765" s="18" t="s">
        <v>95</v>
      </c>
      <c r="X765" s="18" t="s">
        <v>84</v>
      </c>
      <c r="Y765" s="18" t="s">
        <v>85</v>
      </c>
      <c r="Z765" s="18" t="s">
        <v>86</v>
      </c>
      <c r="AA765" s="18" t="s">
        <v>87</v>
      </c>
      <c r="AB765" s="18" t="s">
        <v>136</v>
      </c>
      <c r="AC765" s="18" t="s">
        <v>137</v>
      </c>
      <c r="AD765" s="18" t="s">
        <v>85</v>
      </c>
      <c r="AE765" s="18" t="s">
        <v>90</v>
      </c>
      <c r="AF765" s="18" t="s">
        <v>138</v>
      </c>
      <c r="AG765" s="18" t="s">
        <v>139</v>
      </c>
      <c r="AH765" s="18" t="s">
        <v>165</v>
      </c>
      <c r="AI765" s="18" t="s">
        <v>94</v>
      </c>
      <c r="AJ765" s="19">
        <v>44898</v>
      </c>
      <c r="AK765" s="22" t="s">
        <v>95</v>
      </c>
      <c r="AL765" s="18" t="s">
        <v>95</v>
      </c>
      <c r="AM765" s="18" t="s">
        <v>95</v>
      </c>
      <c r="AN765" s="18" t="s">
        <v>95</v>
      </c>
      <c r="AO765" s="18" t="s">
        <v>95</v>
      </c>
      <c r="AP765" s="18" t="s">
        <v>95</v>
      </c>
      <c r="AQ765" s="18" t="s">
        <v>95</v>
      </c>
      <c r="AR765" s="18" t="s">
        <v>95</v>
      </c>
      <c r="AS765" s="18" t="s">
        <v>83</v>
      </c>
      <c r="AT765" s="18" t="s">
        <v>83</v>
      </c>
      <c r="AU765" s="18" t="s">
        <v>81</v>
      </c>
      <c r="AV765" s="18" t="s">
        <v>95</v>
      </c>
      <c r="AW765" s="18" t="s">
        <v>95</v>
      </c>
      <c r="AX765" s="18"/>
      <c r="AY765" s="18" t="str">
        <f>Pospago[[#This Row],[NUM_TELEFONICO]]&amp;"POSPAGOSI"</f>
        <v>995186497POSPAGOSI</v>
      </c>
      <c r="AZ765" s="18" t="str">
        <f>VLOOKUP(Pospago[[#This Row],[NOM_PLAZA_FINAL]],[1]!Locales[#Data],3,0)</f>
        <v>TIENDA AMERICA</v>
      </c>
      <c r="BA765" s="18" t="str">
        <f>IFERROR(VLOOKUP(Pospago[[#This Row],[USUARIO]],[1]!Personal[#Data],6,0),"EJECUTIVO NO REGISTRADO")</f>
        <v>SALVATIERRA GUERRA JULIAN ENRIQUE</v>
      </c>
      <c r="BB765" s="18" t="str">
        <f>Pospago[[#This Row],[TIPO_MOVIMIENTO]]&amp;" "&amp;Pospago[[#This Row],[FORMA_PAGO_FINAL]]</f>
        <v>TRANSFERENCIAS DOMICILIADO</v>
      </c>
      <c r="BC765" s="18">
        <f>DAY(Pospago[[#This Row],[FECHA_ALTA]])</f>
        <v>3</v>
      </c>
      <c r="BD765" s="18">
        <f>IF(Pospago[[#This Row],[TARIFA_BASICA]]=11.42,1,0)</f>
        <v>0</v>
      </c>
      <c r="BE765" s="18">
        <f>IF(Pospago[[#This Row],[PLANES TELEVENTAS]]="SI",1,0)</f>
        <v>0</v>
      </c>
      <c r="BF765" s="18">
        <f>1</f>
        <v>1</v>
      </c>
      <c r="BG765" s="18">
        <f>IF(OR(Pospago[[#This Row],[TARIFA_BASICA]]=11.42,Pospago[[#This Row],[PLANES TELEVENTAS]]="SI"),1,0)</f>
        <v>0</v>
      </c>
      <c r="BH765" s="18" t="str">
        <f>IF(MID(Pospago[[#This Row],[PlanDesc]],1,4) = "PLAN","POSPAGO",IF(MID(Pospago[[#This Row],[PlanDesc]],1,4)="FULL","FULL MEGAS","PREVIOPAGO"))</f>
        <v>PREVIOPAGO</v>
      </c>
      <c r="BI7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65" s="21">
        <f>Pospago[[#This Row],[TARIFA_BASICA]]*1.5</f>
        <v>21.419999999999998</v>
      </c>
    </row>
    <row r="766" spans="1:63" x14ac:dyDescent="0.25">
      <c r="A766" s="18" t="s">
        <v>154</v>
      </c>
      <c r="B766" s="18" t="s">
        <v>4877</v>
      </c>
      <c r="C766" s="18" t="s">
        <v>4878</v>
      </c>
      <c r="D766" s="19">
        <v>44903</v>
      </c>
      <c r="E766" s="18" t="s">
        <v>67</v>
      </c>
      <c r="F766" s="18" t="s">
        <v>4879</v>
      </c>
      <c r="G766" s="18" t="s">
        <v>4880</v>
      </c>
      <c r="H766" s="18" t="s">
        <v>159</v>
      </c>
      <c r="I766" s="18" t="s">
        <v>160</v>
      </c>
      <c r="J766" s="18" t="s">
        <v>161</v>
      </c>
      <c r="K766" s="18" t="s">
        <v>132</v>
      </c>
      <c r="L766" s="20" t="s">
        <v>4881</v>
      </c>
      <c r="M766" s="18" t="s">
        <v>75</v>
      </c>
      <c r="N766" s="20" t="s">
        <v>4882</v>
      </c>
      <c r="O766" s="18" t="s">
        <v>164</v>
      </c>
      <c r="P766" s="18" t="s">
        <v>78</v>
      </c>
      <c r="Q766" s="19">
        <v>44914</v>
      </c>
      <c r="R766" s="21">
        <v>14.28</v>
      </c>
      <c r="S766" s="18" t="s">
        <v>79</v>
      </c>
      <c r="T766" s="18" t="s">
        <v>135</v>
      </c>
      <c r="U766" s="18" t="s">
        <v>83</v>
      </c>
      <c r="V766" s="18" t="s">
        <v>95</v>
      </c>
      <c r="W766" s="18" t="s">
        <v>95</v>
      </c>
      <c r="X766" s="18" t="s">
        <v>84</v>
      </c>
      <c r="Y766" s="18" t="s">
        <v>85</v>
      </c>
      <c r="Z766" s="18" t="s">
        <v>86</v>
      </c>
      <c r="AA766" s="18" t="s">
        <v>87</v>
      </c>
      <c r="AB766" s="18" t="s">
        <v>326</v>
      </c>
      <c r="AC766" s="18" t="s">
        <v>327</v>
      </c>
      <c r="AD766" s="18" t="s">
        <v>85</v>
      </c>
      <c r="AE766" s="18" t="s">
        <v>90</v>
      </c>
      <c r="AF766" s="18" t="s">
        <v>138</v>
      </c>
      <c r="AG766" s="18" t="s">
        <v>139</v>
      </c>
      <c r="AH766" s="18" t="s">
        <v>165</v>
      </c>
      <c r="AI766" s="18" t="s">
        <v>94</v>
      </c>
      <c r="AJ766" s="19">
        <v>44903</v>
      </c>
      <c r="AK766" s="22" t="s">
        <v>95</v>
      </c>
      <c r="AL766" s="18" t="s">
        <v>95</v>
      </c>
      <c r="AM766" s="18" t="s">
        <v>95</v>
      </c>
      <c r="AN766" s="18" t="s">
        <v>95</v>
      </c>
      <c r="AO766" s="18" t="s">
        <v>95</v>
      </c>
      <c r="AP766" s="18" t="s">
        <v>95</v>
      </c>
      <c r="AQ766" s="18" t="s">
        <v>95</v>
      </c>
      <c r="AR766" s="18" t="s">
        <v>95</v>
      </c>
      <c r="AS766" s="18" t="s">
        <v>83</v>
      </c>
      <c r="AT766" s="18" t="s">
        <v>83</v>
      </c>
      <c r="AU766" s="18" t="s">
        <v>81</v>
      </c>
      <c r="AV766" s="18" t="s">
        <v>95</v>
      </c>
      <c r="AW766" s="18" t="s">
        <v>95</v>
      </c>
      <c r="AX766" s="18"/>
      <c r="AY766" s="18" t="str">
        <f>Pospago[[#This Row],[NUM_TELEFONICO]]&amp;"POSPAGOSI"</f>
        <v>995186973POSPAGOSI</v>
      </c>
      <c r="AZ766" s="18" t="str">
        <f>VLOOKUP(Pospago[[#This Row],[NOM_PLAZA_FINAL]],[1]!Locales[#Data],3,0)</f>
        <v>TIENDA AMERICA</v>
      </c>
      <c r="BA766" s="18" t="str">
        <f>IFERROR(VLOOKUP(Pospago[[#This Row],[USUARIO]],[1]!Personal[#Data],6,0),"EJECUTIVO NO REGISTRADO")</f>
        <v>AMBULUDI ROLDAN GIANELLA GRIMANEZA</v>
      </c>
      <c r="BB766" s="18" t="str">
        <f>Pospago[[#This Row],[TIPO_MOVIMIENTO]]&amp;" "&amp;Pospago[[#This Row],[FORMA_PAGO_FINAL]]</f>
        <v>TRANSFERENCIAS DOMICILIADO</v>
      </c>
      <c r="BC766" s="18">
        <f>DAY(Pospago[[#This Row],[FECHA_ALTA]])</f>
        <v>8</v>
      </c>
      <c r="BD766" s="18">
        <f>IF(Pospago[[#This Row],[TARIFA_BASICA]]=11.42,1,0)</f>
        <v>0</v>
      </c>
      <c r="BE766" s="18">
        <f>IF(Pospago[[#This Row],[PLANES TELEVENTAS]]="SI",1,0)</f>
        <v>0</v>
      </c>
      <c r="BF766" s="18">
        <f>1</f>
        <v>1</v>
      </c>
      <c r="BG766" s="18">
        <f>IF(OR(Pospago[[#This Row],[TARIFA_BASICA]]=11.42,Pospago[[#This Row],[PLANES TELEVENTAS]]="SI"),1,0)</f>
        <v>0</v>
      </c>
      <c r="BH766" s="18" t="str">
        <f>IF(MID(Pospago[[#This Row],[PlanDesc]],1,4) = "PLAN","POSPAGO",IF(MID(Pospago[[#This Row],[PlanDesc]],1,4)="FULL","FULL MEGAS","PREVIOPAGO"))</f>
        <v>PREVIOPAGO</v>
      </c>
      <c r="BI7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66" s="21">
        <f>Pospago[[#This Row],[TARIFA_BASICA]]*1.5</f>
        <v>21.419999999999998</v>
      </c>
    </row>
    <row r="767" spans="1:63" x14ac:dyDescent="0.25">
      <c r="A767" s="18" t="s">
        <v>154</v>
      </c>
      <c r="B767" s="18" t="s">
        <v>4883</v>
      </c>
      <c r="C767" s="18" t="s">
        <v>4884</v>
      </c>
      <c r="D767" s="19">
        <v>44908</v>
      </c>
      <c r="E767" s="18" t="s">
        <v>67</v>
      </c>
      <c r="F767" s="18" t="s">
        <v>4885</v>
      </c>
      <c r="G767" s="18" t="s">
        <v>4886</v>
      </c>
      <c r="H767" s="18" t="s">
        <v>159</v>
      </c>
      <c r="I767" s="18" t="s">
        <v>160</v>
      </c>
      <c r="J767" s="18" t="s">
        <v>161</v>
      </c>
      <c r="K767" s="18" t="s">
        <v>73</v>
      </c>
      <c r="L767" s="20" t="s">
        <v>4887</v>
      </c>
      <c r="M767" s="18" t="s">
        <v>75</v>
      </c>
      <c r="N767" s="20" t="s">
        <v>4888</v>
      </c>
      <c r="O767" s="18" t="s">
        <v>164</v>
      </c>
      <c r="P767" s="18" t="s">
        <v>78</v>
      </c>
      <c r="Q767" s="19">
        <v>44914</v>
      </c>
      <c r="R767" s="21">
        <v>14.28</v>
      </c>
      <c r="S767" s="18" t="s">
        <v>79</v>
      </c>
      <c r="T767" s="18" t="s">
        <v>135</v>
      </c>
      <c r="U767" s="18" t="s">
        <v>83</v>
      </c>
      <c r="V767" s="18" t="s">
        <v>95</v>
      </c>
      <c r="W767" s="18" t="s">
        <v>95</v>
      </c>
      <c r="X767" s="18" t="s">
        <v>118</v>
      </c>
      <c r="Y767" s="18" t="s">
        <v>85</v>
      </c>
      <c r="Z767" s="18" t="s">
        <v>86</v>
      </c>
      <c r="AA767" s="18" t="s">
        <v>119</v>
      </c>
      <c r="AB767" s="18" t="s">
        <v>541</v>
      </c>
      <c r="AC767" s="18" t="s">
        <v>542</v>
      </c>
      <c r="AD767" s="18" t="s">
        <v>85</v>
      </c>
      <c r="AE767" s="18" t="s">
        <v>90</v>
      </c>
      <c r="AF767" s="18" t="s">
        <v>138</v>
      </c>
      <c r="AG767" s="18" t="s">
        <v>139</v>
      </c>
      <c r="AH767" s="18" t="s">
        <v>165</v>
      </c>
      <c r="AI767" s="18" t="s">
        <v>94</v>
      </c>
      <c r="AJ767" s="19">
        <v>44908</v>
      </c>
      <c r="AK767" s="22" t="s">
        <v>95</v>
      </c>
      <c r="AL767" s="18" t="s">
        <v>95</v>
      </c>
      <c r="AM767" s="18" t="s">
        <v>95</v>
      </c>
      <c r="AN767" s="18" t="s">
        <v>95</v>
      </c>
      <c r="AO767" s="18" t="s">
        <v>95</v>
      </c>
      <c r="AP767" s="18" t="s">
        <v>95</v>
      </c>
      <c r="AQ767" s="18" t="s">
        <v>95</v>
      </c>
      <c r="AR767" s="18" t="s">
        <v>95</v>
      </c>
      <c r="AS767" s="18" t="s">
        <v>83</v>
      </c>
      <c r="AT767" s="18" t="s">
        <v>83</v>
      </c>
      <c r="AU767" s="18" t="s">
        <v>81</v>
      </c>
      <c r="AV767" s="18" t="s">
        <v>95</v>
      </c>
      <c r="AW767" s="18" t="s">
        <v>95</v>
      </c>
      <c r="AX767" s="18"/>
      <c r="AY767" s="18" t="str">
        <f>Pospago[[#This Row],[NUM_TELEFONICO]]&amp;"POSPAGOSI"</f>
        <v>995188563POSPAGOSI</v>
      </c>
      <c r="AZ767" s="18" t="str">
        <f>VLOOKUP(Pospago[[#This Row],[NOM_PLAZA_FINAL]],[1]!Locales[#Data],3,0)</f>
        <v>TIENDA AMERICA</v>
      </c>
      <c r="BA767" s="18" t="str">
        <f>IFERROR(VLOOKUP(Pospago[[#This Row],[USUARIO]],[1]!Personal[#Data],6,0),"EJECUTIVO NO REGISTRADO")</f>
        <v>CEVALLOS PONCE DIANA CAROLINA</v>
      </c>
      <c r="BB767" s="18" t="str">
        <f>Pospago[[#This Row],[TIPO_MOVIMIENTO]]&amp;" "&amp;Pospago[[#This Row],[FORMA_PAGO_FINAL]]</f>
        <v>TRANSFERENCIAS PAGO EN CAJA</v>
      </c>
      <c r="BC767" s="18">
        <f>DAY(Pospago[[#This Row],[FECHA_ALTA]])</f>
        <v>13</v>
      </c>
      <c r="BD767" s="18">
        <f>IF(Pospago[[#This Row],[TARIFA_BASICA]]=11.42,1,0)</f>
        <v>0</v>
      </c>
      <c r="BE767" s="18">
        <f>IF(Pospago[[#This Row],[PLANES TELEVENTAS]]="SI",1,0)</f>
        <v>0</v>
      </c>
      <c r="BF767" s="18">
        <f>1</f>
        <v>1</v>
      </c>
      <c r="BG767" s="18">
        <f>IF(OR(Pospago[[#This Row],[TARIFA_BASICA]]=11.42,Pospago[[#This Row],[PLANES TELEVENTAS]]="SI"),1,0)</f>
        <v>0</v>
      </c>
      <c r="BH767" s="18" t="str">
        <f>IF(MID(Pospago[[#This Row],[PlanDesc]],1,4) = "PLAN","POSPAGO",IF(MID(Pospago[[#This Row],[PlanDesc]],1,4)="FULL","FULL MEGAS","PREVIOPAGO"))</f>
        <v>PREVIOPAGO</v>
      </c>
      <c r="BI7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67" s="21">
        <f>Pospago[[#This Row],[TARIFA_BASICA]]*1.5</f>
        <v>21.419999999999998</v>
      </c>
    </row>
    <row r="768" spans="1:63" x14ac:dyDescent="0.25">
      <c r="A768" s="18" t="s">
        <v>64</v>
      </c>
      <c r="B768" s="18" t="s">
        <v>4889</v>
      </c>
      <c r="C768" s="18" t="s">
        <v>4890</v>
      </c>
      <c r="D768" s="19">
        <v>44903</v>
      </c>
      <c r="E768" s="18" t="s">
        <v>67</v>
      </c>
      <c r="F768" s="18" t="s">
        <v>4891</v>
      </c>
      <c r="G768" s="18" t="s">
        <v>4892</v>
      </c>
      <c r="H768" s="18" t="s">
        <v>70</v>
      </c>
      <c r="I768" s="18" t="s">
        <v>160</v>
      </c>
      <c r="J768" s="18" t="s">
        <v>195</v>
      </c>
      <c r="K768" s="18" t="s">
        <v>73</v>
      </c>
      <c r="L768" s="20" t="s">
        <v>4893</v>
      </c>
      <c r="M768" s="18" t="s">
        <v>75</v>
      </c>
      <c r="N768" s="20" t="s">
        <v>4894</v>
      </c>
      <c r="O768" s="18" t="s">
        <v>77</v>
      </c>
      <c r="P768" s="18" t="s">
        <v>78</v>
      </c>
      <c r="Q768" s="19">
        <v>44914</v>
      </c>
      <c r="R768" s="21">
        <v>14.28</v>
      </c>
      <c r="S768" s="18" t="s">
        <v>79</v>
      </c>
      <c r="T768" s="18" t="s">
        <v>148</v>
      </c>
      <c r="U768" s="18" t="s">
        <v>83</v>
      </c>
      <c r="V768" s="18" t="s">
        <v>95</v>
      </c>
      <c r="W768" s="18" t="s">
        <v>83</v>
      </c>
      <c r="X768" s="18" t="s">
        <v>84</v>
      </c>
      <c r="Y768" s="18" t="s">
        <v>85</v>
      </c>
      <c r="Z768" s="18" t="s">
        <v>86</v>
      </c>
      <c r="AA768" s="18" t="s">
        <v>87</v>
      </c>
      <c r="AB768" s="18" t="s">
        <v>318</v>
      </c>
      <c r="AC768" s="18" t="s">
        <v>319</v>
      </c>
      <c r="AD768" s="18" t="s">
        <v>85</v>
      </c>
      <c r="AE768" s="18" t="s">
        <v>90</v>
      </c>
      <c r="AF768" s="18" t="s">
        <v>151</v>
      </c>
      <c r="AG768" s="18" t="s">
        <v>92</v>
      </c>
      <c r="AH768" s="18" t="s">
        <v>93</v>
      </c>
      <c r="AI768" s="18" t="s">
        <v>94</v>
      </c>
      <c r="AJ768" s="19">
        <v>44903</v>
      </c>
      <c r="AK768" s="22" t="s">
        <v>95</v>
      </c>
      <c r="AL768" s="18" t="s">
        <v>95</v>
      </c>
      <c r="AM768" s="18" t="s">
        <v>95</v>
      </c>
      <c r="AN768" s="18" t="s">
        <v>95</v>
      </c>
      <c r="AO768" s="18" t="s">
        <v>95</v>
      </c>
      <c r="AP768" s="18" t="s">
        <v>95</v>
      </c>
      <c r="AQ768" s="18" t="s">
        <v>95</v>
      </c>
      <c r="AR768" s="18" t="s">
        <v>95</v>
      </c>
      <c r="AS768" s="18" t="s">
        <v>83</v>
      </c>
      <c r="AT768" s="18" t="s">
        <v>83</v>
      </c>
      <c r="AU768" s="18" t="s">
        <v>81</v>
      </c>
      <c r="AV768" s="18" t="s">
        <v>95</v>
      </c>
      <c r="AW768" s="18" t="s">
        <v>95</v>
      </c>
      <c r="AX768" s="18"/>
      <c r="AY768" s="18" t="str">
        <f>Pospago[[#This Row],[NUM_TELEFONICO]]&amp;"POSPAGOSI"</f>
        <v>995189474POSPAGOSI</v>
      </c>
      <c r="AZ768" s="18" t="str">
        <f>VLOOKUP(Pospago[[#This Row],[NOM_PLAZA_FINAL]],[1]!Locales[#Data],3,0)</f>
        <v>TIENDA CUENCA REMIGIO</v>
      </c>
      <c r="BA768" s="18" t="str">
        <f>IFERROR(VLOOKUP(Pospago[[#This Row],[USUARIO]],[1]!Personal[#Data],6,0),"EJECUTIVO NO REGISTRADO")</f>
        <v>RODRIGUEZ QUITO JESSICA GABRIELA</v>
      </c>
      <c r="BB768" s="18" t="str">
        <f>Pospago[[#This Row],[TIPO_MOVIMIENTO]]&amp;" "&amp;Pospago[[#This Row],[FORMA_PAGO_FINAL]]</f>
        <v>ALTAS DOMICILIADO</v>
      </c>
      <c r="BC768" s="18">
        <f>DAY(Pospago[[#This Row],[FECHA_ALTA]])</f>
        <v>8</v>
      </c>
      <c r="BD768" s="18">
        <f>IF(Pospago[[#This Row],[TARIFA_BASICA]]=11.42,1,0)</f>
        <v>0</v>
      </c>
      <c r="BE768" s="18">
        <f>IF(Pospago[[#This Row],[PLANES TELEVENTAS]]="SI",1,0)</f>
        <v>0</v>
      </c>
      <c r="BF768" s="18">
        <f>1</f>
        <v>1</v>
      </c>
      <c r="BG768" s="18">
        <f>IF(OR(Pospago[[#This Row],[TARIFA_BASICA]]=11.42,Pospago[[#This Row],[PLANES TELEVENTAS]]="SI"),1,0)</f>
        <v>0</v>
      </c>
      <c r="BH768" s="18" t="str">
        <f>IF(MID(Pospago[[#This Row],[PlanDesc]],1,4) = "PLAN","POSPAGO",IF(MID(Pospago[[#This Row],[PlanDesc]],1,4)="FULL","FULL MEGAS","PREVIOPAGO"))</f>
        <v>PREVIOPAGO</v>
      </c>
      <c r="BI7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68" s="21">
        <f>Pospago[[#This Row],[TARIFA_BASICA]]*1.5</f>
        <v>21.419999999999998</v>
      </c>
    </row>
    <row r="769" spans="1:63" x14ac:dyDescent="0.25">
      <c r="A769" s="18" t="s">
        <v>64</v>
      </c>
      <c r="B769" s="18" t="s">
        <v>4895</v>
      </c>
      <c r="C769" s="18" t="s">
        <v>4896</v>
      </c>
      <c r="D769" s="19">
        <v>44897</v>
      </c>
      <c r="E769" s="18" t="s">
        <v>67</v>
      </c>
      <c r="F769" s="18" t="s">
        <v>4897</v>
      </c>
      <c r="G769" s="18" t="s">
        <v>4898</v>
      </c>
      <c r="H769" s="18" t="s">
        <v>70</v>
      </c>
      <c r="I769" s="18" t="s">
        <v>112</v>
      </c>
      <c r="J769" s="18" t="s">
        <v>113</v>
      </c>
      <c r="K769" s="18" t="s">
        <v>132</v>
      </c>
      <c r="L769" s="20" t="s">
        <v>4899</v>
      </c>
      <c r="M769" s="18" t="s">
        <v>75</v>
      </c>
      <c r="N769" s="20" t="s">
        <v>4900</v>
      </c>
      <c r="O769" s="18" t="s">
        <v>77</v>
      </c>
      <c r="P769" s="18" t="s">
        <v>78</v>
      </c>
      <c r="Q769" s="19">
        <v>44914</v>
      </c>
      <c r="R769" s="21">
        <v>17.850000000000001</v>
      </c>
      <c r="S769" s="18" t="s">
        <v>79</v>
      </c>
      <c r="T769" s="18" t="s">
        <v>135</v>
      </c>
      <c r="U769" s="18" t="s">
        <v>83</v>
      </c>
      <c r="V769" s="18" t="s">
        <v>95</v>
      </c>
      <c r="W769" s="18" t="s">
        <v>83</v>
      </c>
      <c r="X769" s="18" t="s">
        <v>84</v>
      </c>
      <c r="Y769" s="18" t="s">
        <v>85</v>
      </c>
      <c r="Z769" s="18" t="s">
        <v>86</v>
      </c>
      <c r="AA769" s="18" t="s">
        <v>87</v>
      </c>
      <c r="AB769" s="18" t="s">
        <v>136</v>
      </c>
      <c r="AC769" s="18" t="s">
        <v>137</v>
      </c>
      <c r="AD769" s="18" t="s">
        <v>85</v>
      </c>
      <c r="AE769" s="18" t="s">
        <v>90</v>
      </c>
      <c r="AF769" s="18" t="s">
        <v>138</v>
      </c>
      <c r="AG769" s="18" t="s">
        <v>139</v>
      </c>
      <c r="AH769" s="18" t="s">
        <v>93</v>
      </c>
      <c r="AI769" s="18" t="s">
        <v>94</v>
      </c>
      <c r="AJ769" s="19">
        <v>44897</v>
      </c>
      <c r="AK769" s="22" t="s">
        <v>95</v>
      </c>
      <c r="AL769" s="18" t="s">
        <v>95</v>
      </c>
      <c r="AM769" s="18" t="s">
        <v>95</v>
      </c>
      <c r="AN769" s="18" t="s">
        <v>95</v>
      </c>
      <c r="AO769" s="18" t="s">
        <v>95</v>
      </c>
      <c r="AP769" s="18" t="s">
        <v>95</v>
      </c>
      <c r="AQ769" s="18" t="s">
        <v>95</v>
      </c>
      <c r="AR769" s="18" t="s">
        <v>95</v>
      </c>
      <c r="AS769" s="18" t="s">
        <v>83</v>
      </c>
      <c r="AT769" s="18" t="s">
        <v>83</v>
      </c>
      <c r="AU769" s="18" t="s">
        <v>81</v>
      </c>
      <c r="AV769" s="18" t="s">
        <v>95</v>
      </c>
      <c r="AW769" s="18" t="s">
        <v>95</v>
      </c>
      <c r="AX769" s="18"/>
      <c r="AY769" s="18" t="str">
        <f>Pospago[[#This Row],[NUM_TELEFONICO]]&amp;"POSPAGOSI"</f>
        <v>995189938POSPAGOSI</v>
      </c>
      <c r="AZ769" s="18" t="str">
        <f>VLOOKUP(Pospago[[#This Row],[NOM_PLAZA_FINAL]],[1]!Locales[#Data],3,0)</f>
        <v>TIENDA AMERICA</v>
      </c>
      <c r="BA769" s="18" t="str">
        <f>IFERROR(VLOOKUP(Pospago[[#This Row],[USUARIO]],[1]!Personal[#Data],6,0),"EJECUTIVO NO REGISTRADO")</f>
        <v>SALVATIERRA GUERRA JULIAN ENRIQUE</v>
      </c>
      <c r="BB769" s="18" t="str">
        <f>Pospago[[#This Row],[TIPO_MOVIMIENTO]]&amp;" "&amp;Pospago[[#This Row],[FORMA_PAGO_FINAL]]</f>
        <v>ALTAS DOMICILIADO</v>
      </c>
      <c r="BC769" s="18">
        <f>DAY(Pospago[[#This Row],[FECHA_ALTA]])</f>
        <v>2</v>
      </c>
      <c r="BD769" s="18">
        <f>IF(Pospago[[#This Row],[TARIFA_BASICA]]=11.42,1,0)</f>
        <v>0</v>
      </c>
      <c r="BE769" s="18">
        <f>IF(Pospago[[#This Row],[PLANES TELEVENTAS]]="SI",1,0)</f>
        <v>0</v>
      </c>
      <c r="BF769" s="18">
        <f>1</f>
        <v>1</v>
      </c>
      <c r="BG769" s="18">
        <f>IF(OR(Pospago[[#This Row],[TARIFA_BASICA]]=11.42,Pospago[[#This Row],[PLANES TELEVENTAS]]="SI"),1,0)</f>
        <v>0</v>
      </c>
      <c r="BH769" s="18" t="str">
        <f>IF(MID(Pospago[[#This Row],[PlanDesc]],1,4) = "PLAN","POSPAGO",IF(MID(Pospago[[#This Row],[PlanDesc]],1,4)="FULL","FULL MEGAS","PREVIOPAGO"))</f>
        <v>PREVIOPAGO</v>
      </c>
      <c r="BI7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7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69" s="21">
        <f>Pospago[[#This Row],[TARIFA_BASICA]]*1.5</f>
        <v>26.775000000000002</v>
      </c>
    </row>
    <row r="770" spans="1:63" x14ac:dyDescent="0.25">
      <c r="A770" s="18" t="s">
        <v>64</v>
      </c>
      <c r="B770" s="18" t="s">
        <v>4901</v>
      </c>
      <c r="C770" s="18" t="s">
        <v>4902</v>
      </c>
      <c r="D770" s="19">
        <v>44911</v>
      </c>
      <c r="E770" s="18" t="s">
        <v>67</v>
      </c>
      <c r="F770" s="18" t="s">
        <v>4903</v>
      </c>
      <c r="G770" s="18" t="s">
        <v>4904</v>
      </c>
      <c r="H770" s="18" t="s">
        <v>70</v>
      </c>
      <c r="I770" s="18" t="s">
        <v>160</v>
      </c>
      <c r="J770" s="18" t="s">
        <v>195</v>
      </c>
      <c r="K770" s="18" t="s">
        <v>73</v>
      </c>
      <c r="L770" s="20" t="s">
        <v>4905</v>
      </c>
      <c r="M770" s="18" t="s">
        <v>287</v>
      </c>
      <c r="N770" s="20" t="s">
        <v>4906</v>
      </c>
      <c r="O770" s="18" t="s">
        <v>77</v>
      </c>
      <c r="P770" s="18" t="s">
        <v>78</v>
      </c>
      <c r="Q770" s="19">
        <v>44914</v>
      </c>
      <c r="R770" s="21">
        <v>14.28</v>
      </c>
      <c r="S770" s="18" t="s">
        <v>79</v>
      </c>
      <c r="T770" s="18" t="s">
        <v>174</v>
      </c>
      <c r="U770" s="18" t="s">
        <v>83</v>
      </c>
      <c r="V770" s="18" t="s">
        <v>95</v>
      </c>
      <c r="W770" s="18" t="s">
        <v>83</v>
      </c>
      <c r="X770" s="18" t="s">
        <v>84</v>
      </c>
      <c r="Y770" s="18" t="s">
        <v>85</v>
      </c>
      <c r="Z770" s="18" t="s">
        <v>86</v>
      </c>
      <c r="AA770" s="18" t="s">
        <v>87</v>
      </c>
      <c r="AB770" s="18" t="s">
        <v>251</v>
      </c>
      <c r="AC770" s="18" t="s">
        <v>252</v>
      </c>
      <c r="AD770" s="18" t="s">
        <v>85</v>
      </c>
      <c r="AE770" s="18" t="s">
        <v>90</v>
      </c>
      <c r="AF770" s="18" t="s">
        <v>177</v>
      </c>
      <c r="AG770" s="18" t="s">
        <v>139</v>
      </c>
      <c r="AH770" s="18" t="s">
        <v>93</v>
      </c>
      <c r="AI770" s="18" t="s">
        <v>94</v>
      </c>
      <c r="AJ770" s="19">
        <v>44911</v>
      </c>
      <c r="AK770" s="22">
        <v>44911</v>
      </c>
      <c r="AL770" s="18" t="s">
        <v>291</v>
      </c>
      <c r="AM770" s="18" t="s">
        <v>292</v>
      </c>
      <c r="AN770" s="18" t="s">
        <v>293</v>
      </c>
      <c r="AO770" s="18" t="s">
        <v>4907</v>
      </c>
      <c r="AP770" s="18">
        <v>1</v>
      </c>
      <c r="AQ770" s="18">
        <v>553.57142999999996</v>
      </c>
      <c r="AR770" s="18" t="s">
        <v>295</v>
      </c>
      <c r="AS770" s="18" t="s">
        <v>81</v>
      </c>
      <c r="AT770" s="18" t="s">
        <v>83</v>
      </c>
      <c r="AU770" s="18" t="s">
        <v>81</v>
      </c>
      <c r="AV770" s="18" t="s">
        <v>95</v>
      </c>
      <c r="AW770" s="18" t="s">
        <v>95</v>
      </c>
      <c r="AX770" s="18"/>
      <c r="AY770" s="18" t="str">
        <f>Pospago[[#This Row],[NUM_TELEFONICO]]&amp;"POSPAGOSI"</f>
        <v>995196769POSPAGOSI</v>
      </c>
      <c r="AZ770" s="18" t="str">
        <f>VLOOKUP(Pospago[[#This Row],[NOM_PLAZA_FINAL]],[1]!Locales[#Data],3,0)</f>
        <v>TIENDA RECREO</v>
      </c>
      <c r="BA770" s="18" t="str">
        <f>IFERROR(VLOOKUP(Pospago[[#This Row],[USUARIO]],[1]!Personal[#Data],6,0),"EJECUTIVO NO REGISTRADO")</f>
        <v>CRUZ MONTUFAR KATHERINE ALEJANDRA</v>
      </c>
      <c r="BB770" s="18" t="str">
        <f>Pospago[[#This Row],[TIPO_MOVIMIENTO]]&amp;" "&amp;Pospago[[#This Row],[FORMA_PAGO_FINAL]]</f>
        <v>ALTAS DOMICILIADO</v>
      </c>
      <c r="BC770" s="18">
        <f>DAY(Pospago[[#This Row],[FECHA_ALTA]])</f>
        <v>16</v>
      </c>
      <c r="BD770" s="18">
        <f>IF(Pospago[[#This Row],[TARIFA_BASICA]]=11.42,1,0)</f>
        <v>0</v>
      </c>
      <c r="BE770" s="18">
        <f>IF(Pospago[[#This Row],[PLANES TELEVENTAS]]="SI",1,0)</f>
        <v>0</v>
      </c>
      <c r="BF770" s="18">
        <f>1</f>
        <v>1</v>
      </c>
      <c r="BG770" s="18">
        <f>IF(OR(Pospago[[#This Row],[TARIFA_BASICA]]=11.42,Pospago[[#This Row],[PLANES TELEVENTAS]]="SI"),1,0)</f>
        <v>0</v>
      </c>
      <c r="BH770" s="18" t="str">
        <f>IF(MID(Pospago[[#This Row],[PlanDesc]],1,4) = "PLAN","POSPAGO",IF(MID(Pospago[[#This Row],[PlanDesc]],1,4)="FULL","FULL MEGAS","PREVIOPAGO"))</f>
        <v>PREVIOPAGO</v>
      </c>
      <c r="BI7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0" s="21">
        <f>Pospago[[#This Row],[TARIFA_BASICA]]*1.5</f>
        <v>21.419999999999998</v>
      </c>
    </row>
    <row r="771" spans="1:63" x14ac:dyDescent="0.25">
      <c r="A771" s="18" t="s">
        <v>154</v>
      </c>
      <c r="B771" s="18" t="s">
        <v>4908</v>
      </c>
      <c r="C771" s="18" t="s">
        <v>4909</v>
      </c>
      <c r="D771" s="19">
        <v>44898</v>
      </c>
      <c r="E771" s="18" t="s">
        <v>67</v>
      </c>
      <c r="F771" s="18" t="s">
        <v>4910</v>
      </c>
      <c r="G771" s="18" t="s">
        <v>4911</v>
      </c>
      <c r="H771" s="18" t="s">
        <v>159</v>
      </c>
      <c r="I771" s="18" t="s">
        <v>160</v>
      </c>
      <c r="J771" s="18" t="s">
        <v>161</v>
      </c>
      <c r="K771" s="18" t="s">
        <v>132</v>
      </c>
      <c r="L771" s="20" t="s">
        <v>4912</v>
      </c>
      <c r="M771" s="18" t="s">
        <v>75</v>
      </c>
      <c r="N771" s="20" t="s">
        <v>4913</v>
      </c>
      <c r="O771" s="18" t="s">
        <v>164</v>
      </c>
      <c r="P771" s="18" t="s">
        <v>78</v>
      </c>
      <c r="Q771" s="19">
        <v>44914</v>
      </c>
      <c r="R771" s="21">
        <v>14.28</v>
      </c>
      <c r="S771" s="18" t="s">
        <v>79</v>
      </c>
      <c r="T771" s="18" t="s">
        <v>174</v>
      </c>
      <c r="U771" s="18" t="s">
        <v>83</v>
      </c>
      <c r="V771" s="18" t="s">
        <v>95</v>
      </c>
      <c r="W771" s="18" t="s">
        <v>95</v>
      </c>
      <c r="X771" s="18" t="s">
        <v>84</v>
      </c>
      <c r="Y771" s="18" t="s">
        <v>85</v>
      </c>
      <c r="Z771" s="18" t="s">
        <v>86</v>
      </c>
      <c r="AA771" s="18" t="s">
        <v>87</v>
      </c>
      <c r="AB771" s="18" t="s">
        <v>251</v>
      </c>
      <c r="AC771" s="18" t="s">
        <v>252</v>
      </c>
      <c r="AD771" s="18" t="s">
        <v>85</v>
      </c>
      <c r="AE771" s="18" t="s">
        <v>90</v>
      </c>
      <c r="AF771" s="18" t="s">
        <v>177</v>
      </c>
      <c r="AG771" s="18" t="s">
        <v>139</v>
      </c>
      <c r="AH771" s="18" t="s">
        <v>165</v>
      </c>
      <c r="AI771" s="18" t="s">
        <v>94</v>
      </c>
      <c r="AJ771" s="19">
        <v>44898</v>
      </c>
      <c r="AK771" s="22" t="s">
        <v>95</v>
      </c>
      <c r="AL771" s="18" t="s">
        <v>95</v>
      </c>
      <c r="AM771" s="18" t="s">
        <v>95</v>
      </c>
      <c r="AN771" s="18" t="s">
        <v>95</v>
      </c>
      <c r="AO771" s="18" t="s">
        <v>95</v>
      </c>
      <c r="AP771" s="18" t="s">
        <v>95</v>
      </c>
      <c r="AQ771" s="18" t="s">
        <v>95</v>
      </c>
      <c r="AR771" s="18" t="s">
        <v>95</v>
      </c>
      <c r="AS771" s="18" t="s">
        <v>83</v>
      </c>
      <c r="AT771" s="18" t="s">
        <v>83</v>
      </c>
      <c r="AU771" s="18" t="s">
        <v>81</v>
      </c>
      <c r="AV771" s="18" t="s">
        <v>95</v>
      </c>
      <c r="AW771" s="18" t="s">
        <v>95</v>
      </c>
      <c r="AX771" s="18"/>
      <c r="AY771" s="18" t="str">
        <f>Pospago[[#This Row],[NUM_TELEFONICO]]&amp;"POSPAGOSI"</f>
        <v>995205897POSPAGOSI</v>
      </c>
      <c r="AZ771" s="18" t="str">
        <f>VLOOKUP(Pospago[[#This Row],[NOM_PLAZA_FINAL]],[1]!Locales[#Data],3,0)</f>
        <v>TIENDA RECREO</v>
      </c>
      <c r="BA771" s="18" t="str">
        <f>IFERROR(VLOOKUP(Pospago[[#This Row],[USUARIO]],[1]!Personal[#Data],6,0),"EJECUTIVO NO REGISTRADO")</f>
        <v>CRUZ MONTUFAR KATHERINE ALEJANDRA</v>
      </c>
      <c r="BB771" s="18" t="str">
        <f>Pospago[[#This Row],[TIPO_MOVIMIENTO]]&amp;" "&amp;Pospago[[#This Row],[FORMA_PAGO_FINAL]]</f>
        <v>TRANSFERENCIAS DOMICILIADO</v>
      </c>
      <c r="BC771" s="18">
        <f>DAY(Pospago[[#This Row],[FECHA_ALTA]])</f>
        <v>3</v>
      </c>
      <c r="BD771" s="18">
        <f>IF(Pospago[[#This Row],[TARIFA_BASICA]]=11.42,1,0)</f>
        <v>0</v>
      </c>
      <c r="BE771" s="18">
        <f>IF(Pospago[[#This Row],[PLANES TELEVENTAS]]="SI",1,0)</f>
        <v>0</v>
      </c>
      <c r="BF771" s="18">
        <f>1</f>
        <v>1</v>
      </c>
      <c r="BG771" s="18">
        <f>IF(OR(Pospago[[#This Row],[TARIFA_BASICA]]=11.42,Pospago[[#This Row],[PLANES TELEVENTAS]]="SI"),1,0)</f>
        <v>0</v>
      </c>
      <c r="BH771" s="18" t="str">
        <f>IF(MID(Pospago[[#This Row],[PlanDesc]],1,4) = "PLAN","POSPAGO",IF(MID(Pospago[[#This Row],[PlanDesc]],1,4)="FULL","FULL MEGAS","PREVIOPAGO"))</f>
        <v>PREVIOPAGO</v>
      </c>
      <c r="BI7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1" s="21">
        <f>Pospago[[#This Row],[TARIFA_BASICA]]*1.5</f>
        <v>21.419999999999998</v>
      </c>
    </row>
    <row r="772" spans="1:63" x14ac:dyDescent="0.25">
      <c r="A772" s="18" t="s">
        <v>154</v>
      </c>
      <c r="B772" s="18" t="s">
        <v>4914</v>
      </c>
      <c r="C772" s="18" t="s">
        <v>4915</v>
      </c>
      <c r="D772" s="19">
        <v>44904</v>
      </c>
      <c r="E772" s="18" t="s">
        <v>67</v>
      </c>
      <c r="F772" s="18" t="s">
        <v>4916</v>
      </c>
      <c r="G772" s="18" t="s">
        <v>4917</v>
      </c>
      <c r="H772" s="18" t="s">
        <v>159</v>
      </c>
      <c r="I772" s="18" t="s">
        <v>160</v>
      </c>
      <c r="J772" s="18" t="s">
        <v>161</v>
      </c>
      <c r="K772" s="18" t="s">
        <v>132</v>
      </c>
      <c r="L772" s="20" t="s">
        <v>4918</v>
      </c>
      <c r="M772" s="18" t="s">
        <v>75</v>
      </c>
      <c r="N772" s="20" t="s">
        <v>4919</v>
      </c>
      <c r="O772" s="18" t="s">
        <v>2241</v>
      </c>
      <c r="P772" s="18" t="s">
        <v>78</v>
      </c>
      <c r="Q772" s="19">
        <v>44914</v>
      </c>
      <c r="R772" s="21">
        <v>14.28</v>
      </c>
      <c r="S772" s="18" t="s">
        <v>79</v>
      </c>
      <c r="T772" s="18" t="s">
        <v>135</v>
      </c>
      <c r="U772" s="18" t="s">
        <v>83</v>
      </c>
      <c r="V772" s="18" t="s">
        <v>95</v>
      </c>
      <c r="W772" s="18" t="s">
        <v>95</v>
      </c>
      <c r="X772" s="18" t="s">
        <v>215</v>
      </c>
      <c r="Y772" s="18" t="s">
        <v>85</v>
      </c>
      <c r="Z772" s="18" t="s">
        <v>86</v>
      </c>
      <c r="AA772" s="18" t="s">
        <v>87</v>
      </c>
      <c r="AB772" s="18" t="s">
        <v>478</v>
      </c>
      <c r="AC772" s="18" t="s">
        <v>479</v>
      </c>
      <c r="AD772" s="18" t="s">
        <v>85</v>
      </c>
      <c r="AE772" s="18" t="s">
        <v>90</v>
      </c>
      <c r="AF772" s="18" t="s">
        <v>138</v>
      </c>
      <c r="AG772" s="18" t="s">
        <v>139</v>
      </c>
      <c r="AH772" s="18" t="s">
        <v>165</v>
      </c>
      <c r="AI772" s="18" t="s">
        <v>94</v>
      </c>
      <c r="AJ772" s="19">
        <v>44904</v>
      </c>
      <c r="AK772" s="22" t="s">
        <v>95</v>
      </c>
      <c r="AL772" s="18" t="s">
        <v>95</v>
      </c>
      <c r="AM772" s="18" t="s">
        <v>95</v>
      </c>
      <c r="AN772" s="18" t="s">
        <v>95</v>
      </c>
      <c r="AO772" s="18" t="s">
        <v>95</v>
      </c>
      <c r="AP772" s="18" t="s">
        <v>95</v>
      </c>
      <c r="AQ772" s="18" t="s">
        <v>95</v>
      </c>
      <c r="AR772" s="18" t="s">
        <v>95</v>
      </c>
      <c r="AS772" s="18" t="s">
        <v>83</v>
      </c>
      <c r="AT772" s="18" t="s">
        <v>83</v>
      </c>
      <c r="AU772" s="18" t="s">
        <v>81</v>
      </c>
      <c r="AV772" s="18" t="s">
        <v>95</v>
      </c>
      <c r="AW772" s="18" t="s">
        <v>95</v>
      </c>
      <c r="AX772" s="18"/>
      <c r="AY772" s="18" t="str">
        <f>Pospago[[#This Row],[NUM_TELEFONICO]]&amp;"POSPAGOSI"</f>
        <v>995222903POSPAGOSI</v>
      </c>
      <c r="AZ772" s="18" t="str">
        <f>VLOOKUP(Pospago[[#This Row],[NOM_PLAZA_FINAL]],[1]!Locales[#Data],3,0)</f>
        <v>TIENDA AMERICA</v>
      </c>
      <c r="BA772" s="18" t="str">
        <f>IFERROR(VLOOKUP(Pospago[[#This Row],[USUARIO]],[1]!Personal[#Data],6,0),"EJECUTIVO NO REGISTRADO")</f>
        <v>REINO TUFINO PAULTEH KATHERINE</v>
      </c>
      <c r="BB772" s="18" t="str">
        <f>Pospago[[#This Row],[TIPO_MOVIMIENTO]]&amp;" "&amp;Pospago[[#This Row],[FORMA_PAGO_FINAL]]</f>
        <v>TRANSFERENCIAS DOMICILIADO</v>
      </c>
      <c r="BC772" s="18">
        <f>DAY(Pospago[[#This Row],[FECHA_ALTA]])</f>
        <v>9</v>
      </c>
      <c r="BD772" s="18">
        <f>IF(Pospago[[#This Row],[TARIFA_BASICA]]=11.42,1,0)</f>
        <v>0</v>
      </c>
      <c r="BE772" s="18">
        <f>IF(Pospago[[#This Row],[PLANES TELEVENTAS]]="SI",1,0)</f>
        <v>0</v>
      </c>
      <c r="BF772" s="18">
        <f>1</f>
        <v>1</v>
      </c>
      <c r="BG772" s="18">
        <f>IF(OR(Pospago[[#This Row],[TARIFA_BASICA]]=11.42,Pospago[[#This Row],[PLANES TELEVENTAS]]="SI"),1,0)</f>
        <v>0</v>
      </c>
      <c r="BH772" s="18" t="str">
        <f>IF(MID(Pospago[[#This Row],[PlanDesc]],1,4) = "PLAN","POSPAGO",IF(MID(Pospago[[#This Row],[PlanDesc]],1,4)="FULL","FULL MEGAS","PREVIOPAGO"))</f>
        <v>PREVIOPAGO</v>
      </c>
      <c r="BI7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2" s="21">
        <f>Pospago[[#This Row],[TARIFA_BASICA]]*1.5</f>
        <v>21.419999999999998</v>
      </c>
    </row>
    <row r="773" spans="1:63" x14ac:dyDescent="0.25">
      <c r="A773" s="18" t="s">
        <v>64</v>
      </c>
      <c r="B773" s="18" t="s">
        <v>4920</v>
      </c>
      <c r="C773" s="18" t="s">
        <v>4921</v>
      </c>
      <c r="D773" s="19">
        <v>44901</v>
      </c>
      <c r="E773" s="18" t="s">
        <v>67</v>
      </c>
      <c r="F773" s="18" t="s">
        <v>4922</v>
      </c>
      <c r="G773" s="18" t="s">
        <v>4923</v>
      </c>
      <c r="H773" s="18" t="s">
        <v>70</v>
      </c>
      <c r="I773" s="18" t="s">
        <v>194</v>
      </c>
      <c r="J773" s="18" t="s">
        <v>195</v>
      </c>
      <c r="K773" s="18" t="s">
        <v>73</v>
      </c>
      <c r="L773" s="20" t="s">
        <v>4924</v>
      </c>
      <c r="M773" s="18" t="s">
        <v>75</v>
      </c>
      <c r="N773" s="20" t="s">
        <v>4925</v>
      </c>
      <c r="O773" s="18" t="s">
        <v>77</v>
      </c>
      <c r="P773" s="18" t="s">
        <v>78</v>
      </c>
      <c r="Q773" s="19">
        <v>44914</v>
      </c>
      <c r="R773" s="21">
        <v>14.28</v>
      </c>
      <c r="S773" s="18" t="s">
        <v>79</v>
      </c>
      <c r="T773" s="18" t="s">
        <v>174</v>
      </c>
      <c r="U773" s="18" t="s">
        <v>83</v>
      </c>
      <c r="V773" s="18" t="s">
        <v>95</v>
      </c>
      <c r="W773" s="18" t="s">
        <v>83</v>
      </c>
      <c r="X773" s="18" t="s">
        <v>118</v>
      </c>
      <c r="Y773" s="18" t="s">
        <v>85</v>
      </c>
      <c r="Z773" s="18" t="s">
        <v>86</v>
      </c>
      <c r="AA773" s="18" t="s">
        <v>119</v>
      </c>
      <c r="AB773" s="18" t="s">
        <v>303</v>
      </c>
      <c r="AC773" s="18" t="s">
        <v>304</v>
      </c>
      <c r="AD773" s="18" t="s">
        <v>85</v>
      </c>
      <c r="AE773" s="18" t="s">
        <v>90</v>
      </c>
      <c r="AF773" s="18" t="s">
        <v>177</v>
      </c>
      <c r="AG773" s="18" t="s">
        <v>139</v>
      </c>
      <c r="AH773" s="18" t="s">
        <v>93</v>
      </c>
      <c r="AI773" s="18" t="s">
        <v>94</v>
      </c>
      <c r="AJ773" s="19">
        <v>44901</v>
      </c>
      <c r="AK773" s="22" t="s">
        <v>95</v>
      </c>
      <c r="AL773" s="18" t="s">
        <v>95</v>
      </c>
      <c r="AM773" s="18" t="s">
        <v>95</v>
      </c>
      <c r="AN773" s="18" t="s">
        <v>95</v>
      </c>
      <c r="AO773" s="18" t="s">
        <v>95</v>
      </c>
      <c r="AP773" s="18" t="s">
        <v>95</v>
      </c>
      <c r="AQ773" s="18" t="s">
        <v>95</v>
      </c>
      <c r="AR773" s="18" t="s">
        <v>95</v>
      </c>
      <c r="AS773" s="18" t="s">
        <v>83</v>
      </c>
      <c r="AT773" s="18" t="s">
        <v>81</v>
      </c>
      <c r="AU773" s="18" t="s">
        <v>81</v>
      </c>
      <c r="AV773" s="18" t="s">
        <v>95</v>
      </c>
      <c r="AW773" s="18" t="s">
        <v>95</v>
      </c>
      <c r="AX773" s="18"/>
      <c r="AY773" s="18" t="str">
        <f>Pospago[[#This Row],[NUM_TELEFONICO]]&amp;"POSPAGOSI"</f>
        <v>995223505POSPAGOSI</v>
      </c>
      <c r="AZ773" s="18" t="str">
        <f>VLOOKUP(Pospago[[#This Row],[NOM_PLAZA_FINAL]],[1]!Locales[#Data],3,0)</f>
        <v>TIENDA RECREO</v>
      </c>
      <c r="BA773" s="18" t="str">
        <f>IFERROR(VLOOKUP(Pospago[[#This Row],[USUARIO]],[1]!Personal[#Data],6,0),"EJECUTIVO NO REGISTRADO")</f>
        <v>CORDOVA GAIBOR JONATHAN HERNAN</v>
      </c>
      <c r="BB773" s="18" t="str">
        <f>Pospago[[#This Row],[TIPO_MOVIMIENTO]]&amp;" "&amp;Pospago[[#This Row],[FORMA_PAGO_FINAL]]</f>
        <v>ALTAS PAGO EN CAJA</v>
      </c>
      <c r="BC773" s="18">
        <f>DAY(Pospago[[#This Row],[FECHA_ALTA]])</f>
        <v>6</v>
      </c>
      <c r="BD773" s="18">
        <f>IF(Pospago[[#This Row],[TARIFA_BASICA]]=11.42,1,0)</f>
        <v>0</v>
      </c>
      <c r="BE773" s="18">
        <f>IF(Pospago[[#This Row],[PLANES TELEVENTAS]]="SI",1,0)</f>
        <v>1</v>
      </c>
      <c r="BF773" s="18">
        <f>1</f>
        <v>1</v>
      </c>
      <c r="BG773" s="18">
        <f>IF(OR(Pospago[[#This Row],[TARIFA_BASICA]]=11.42,Pospago[[#This Row],[PLANES TELEVENTAS]]="SI"),1,0)</f>
        <v>1</v>
      </c>
      <c r="BH773" s="18" t="str">
        <f>IF(MID(Pospago[[#This Row],[PlanDesc]],1,4) = "PLAN","POSPAGO",IF(MID(Pospago[[#This Row],[PlanDesc]],1,4)="FULL","FULL MEGAS","PREVIOPAGO"))</f>
        <v>PREVIOPAGO</v>
      </c>
      <c r="BI7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7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3" s="21">
        <f>Pospago[[#This Row],[TARIFA_BASICA]]*1.5</f>
        <v>21.419999999999998</v>
      </c>
    </row>
    <row r="774" spans="1:63" x14ac:dyDescent="0.25">
      <c r="A774" s="18" t="s">
        <v>64</v>
      </c>
      <c r="B774" s="18" t="s">
        <v>4926</v>
      </c>
      <c r="C774" s="18" t="s">
        <v>4927</v>
      </c>
      <c r="D774" s="19">
        <v>44908</v>
      </c>
      <c r="E774" s="18" t="s">
        <v>67</v>
      </c>
      <c r="F774" s="18" t="s">
        <v>4928</v>
      </c>
      <c r="G774" s="18" t="s">
        <v>4929</v>
      </c>
      <c r="H774" s="18" t="s">
        <v>70</v>
      </c>
      <c r="I774" s="18" t="s">
        <v>160</v>
      </c>
      <c r="J774" s="18" t="s">
        <v>195</v>
      </c>
      <c r="K774" s="18" t="s">
        <v>132</v>
      </c>
      <c r="L774" s="20" t="s">
        <v>4930</v>
      </c>
      <c r="M774" s="18" t="s">
        <v>75</v>
      </c>
      <c r="N774" s="20" t="s">
        <v>4931</v>
      </c>
      <c r="O774" s="18" t="s">
        <v>77</v>
      </c>
      <c r="P774" s="18" t="s">
        <v>78</v>
      </c>
      <c r="Q774" s="19">
        <v>44914</v>
      </c>
      <c r="R774" s="21">
        <v>14.28</v>
      </c>
      <c r="S774" s="18" t="s">
        <v>79</v>
      </c>
      <c r="T774" s="18" t="s">
        <v>174</v>
      </c>
      <c r="U774" s="18" t="s">
        <v>83</v>
      </c>
      <c r="V774" s="18" t="s">
        <v>95</v>
      </c>
      <c r="W774" s="18" t="s">
        <v>83</v>
      </c>
      <c r="X774" s="18" t="s">
        <v>118</v>
      </c>
      <c r="Y774" s="18" t="s">
        <v>85</v>
      </c>
      <c r="Z774" s="18" t="s">
        <v>86</v>
      </c>
      <c r="AA774" s="18" t="s">
        <v>119</v>
      </c>
      <c r="AB774" s="18" t="s">
        <v>175</v>
      </c>
      <c r="AC774" s="18" t="s">
        <v>176</v>
      </c>
      <c r="AD774" s="18" t="s">
        <v>85</v>
      </c>
      <c r="AE774" s="18" t="s">
        <v>90</v>
      </c>
      <c r="AF774" s="18" t="s">
        <v>177</v>
      </c>
      <c r="AG774" s="18" t="s">
        <v>139</v>
      </c>
      <c r="AH774" s="18" t="s">
        <v>93</v>
      </c>
      <c r="AI774" s="18" t="s">
        <v>94</v>
      </c>
      <c r="AJ774" s="19">
        <v>44908</v>
      </c>
      <c r="AK774" s="22" t="s">
        <v>95</v>
      </c>
      <c r="AL774" s="18" t="s">
        <v>95</v>
      </c>
      <c r="AM774" s="18" t="s">
        <v>95</v>
      </c>
      <c r="AN774" s="18" t="s">
        <v>95</v>
      </c>
      <c r="AO774" s="18" t="s">
        <v>95</v>
      </c>
      <c r="AP774" s="18" t="s">
        <v>95</v>
      </c>
      <c r="AQ774" s="18" t="s">
        <v>95</v>
      </c>
      <c r="AR774" s="18" t="s">
        <v>95</v>
      </c>
      <c r="AS774" s="18" t="s">
        <v>83</v>
      </c>
      <c r="AT774" s="18" t="s">
        <v>83</v>
      </c>
      <c r="AU774" s="18" t="s">
        <v>81</v>
      </c>
      <c r="AV774" s="18" t="s">
        <v>95</v>
      </c>
      <c r="AW774" s="18" t="s">
        <v>95</v>
      </c>
      <c r="AX774" s="18"/>
      <c r="AY774" s="18" t="str">
        <f>Pospago[[#This Row],[NUM_TELEFONICO]]&amp;"POSPAGOSI"</f>
        <v>995226897POSPAGOSI</v>
      </c>
      <c r="AZ774" s="18" t="str">
        <f>VLOOKUP(Pospago[[#This Row],[NOM_PLAZA_FINAL]],[1]!Locales[#Data],3,0)</f>
        <v>TIENDA RECREO</v>
      </c>
      <c r="BA774" s="18" t="str">
        <f>IFERROR(VLOOKUP(Pospago[[#This Row],[USUARIO]],[1]!Personal[#Data],6,0),"EJECUTIVO NO REGISTRADO")</f>
        <v>VARGAS REYES LUIS EDUARDO</v>
      </c>
      <c r="BB774" s="18" t="str">
        <f>Pospago[[#This Row],[TIPO_MOVIMIENTO]]&amp;" "&amp;Pospago[[#This Row],[FORMA_PAGO_FINAL]]</f>
        <v>ALTAS PAGO EN CAJA</v>
      </c>
      <c r="BC774" s="18">
        <f>DAY(Pospago[[#This Row],[FECHA_ALTA]])</f>
        <v>13</v>
      </c>
      <c r="BD774" s="18">
        <f>IF(Pospago[[#This Row],[TARIFA_BASICA]]=11.42,1,0)</f>
        <v>0</v>
      </c>
      <c r="BE774" s="18">
        <f>IF(Pospago[[#This Row],[PLANES TELEVENTAS]]="SI",1,0)</f>
        <v>0</v>
      </c>
      <c r="BF774" s="18">
        <f>1</f>
        <v>1</v>
      </c>
      <c r="BG774" s="18">
        <f>IF(OR(Pospago[[#This Row],[TARIFA_BASICA]]=11.42,Pospago[[#This Row],[PLANES TELEVENTAS]]="SI"),1,0)</f>
        <v>0</v>
      </c>
      <c r="BH774" s="18" t="str">
        <f>IF(MID(Pospago[[#This Row],[PlanDesc]],1,4) = "PLAN","POSPAGO",IF(MID(Pospago[[#This Row],[PlanDesc]],1,4)="FULL","FULL MEGAS","PREVIOPAGO"))</f>
        <v>PREVIOPAGO</v>
      </c>
      <c r="BI7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7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4" s="21">
        <f>Pospago[[#This Row],[TARIFA_BASICA]]*1.5</f>
        <v>21.419999999999998</v>
      </c>
    </row>
    <row r="775" spans="1:63" x14ac:dyDescent="0.25">
      <c r="A775" s="18" t="s">
        <v>154</v>
      </c>
      <c r="B775" s="18" t="s">
        <v>4932</v>
      </c>
      <c r="C775" s="18" t="s">
        <v>4933</v>
      </c>
      <c r="D775" s="19">
        <v>44907</v>
      </c>
      <c r="E775" s="18" t="s">
        <v>67</v>
      </c>
      <c r="F775" s="18" t="s">
        <v>4934</v>
      </c>
      <c r="G775" s="18" t="s">
        <v>4935</v>
      </c>
      <c r="H775" s="18" t="s">
        <v>159</v>
      </c>
      <c r="I775" s="18" t="s">
        <v>227</v>
      </c>
      <c r="J775" s="18" t="s">
        <v>426</v>
      </c>
      <c r="K775" s="18" t="s">
        <v>73</v>
      </c>
      <c r="L775" s="20" t="s">
        <v>4936</v>
      </c>
      <c r="M775" s="18" t="s">
        <v>75</v>
      </c>
      <c r="N775" s="20" t="s">
        <v>4937</v>
      </c>
      <c r="O775" s="18" t="s">
        <v>164</v>
      </c>
      <c r="P775" s="18" t="s">
        <v>78</v>
      </c>
      <c r="Q775" s="19">
        <v>44914</v>
      </c>
      <c r="R775" s="21">
        <v>21.42</v>
      </c>
      <c r="S775" s="18" t="s">
        <v>79</v>
      </c>
      <c r="T775" s="18" t="s">
        <v>135</v>
      </c>
      <c r="U775" s="18" t="s">
        <v>83</v>
      </c>
      <c r="V775" s="18" t="s">
        <v>95</v>
      </c>
      <c r="W775" s="18" t="s">
        <v>95</v>
      </c>
      <c r="X775" s="18" t="s">
        <v>84</v>
      </c>
      <c r="Y775" s="18" t="s">
        <v>85</v>
      </c>
      <c r="Z775" s="18" t="s">
        <v>86</v>
      </c>
      <c r="AA775" s="18" t="s">
        <v>87</v>
      </c>
      <c r="AB775" s="18" t="s">
        <v>136</v>
      </c>
      <c r="AC775" s="18" t="s">
        <v>137</v>
      </c>
      <c r="AD775" s="18" t="s">
        <v>85</v>
      </c>
      <c r="AE775" s="18" t="s">
        <v>90</v>
      </c>
      <c r="AF775" s="18" t="s">
        <v>138</v>
      </c>
      <c r="AG775" s="18" t="s">
        <v>139</v>
      </c>
      <c r="AH775" s="18" t="s">
        <v>165</v>
      </c>
      <c r="AI775" s="18" t="s">
        <v>94</v>
      </c>
      <c r="AJ775" s="19">
        <v>44907</v>
      </c>
      <c r="AK775" s="22" t="s">
        <v>95</v>
      </c>
      <c r="AL775" s="18" t="s">
        <v>95</v>
      </c>
      <c r="AM775" s="18" t="s">
        <v>95</v>
      </c>
      <c r="AN775" s="18" t="s">
        <v>95</v>
      </c>
      <c r="AO775" s="18" t="s">
        <v>95</v>
      </c>
      <c r="AP775" s="18" t="s">
        <v>95</v>
      </c>
      <c r="AQ775" s="18" t="s">
        <v>95</v>
      </c>
      <c r="AR775" s="18" t="s">
        <v>95</v>
      </c>
      <c r="AS775" s="18" t="s">
        <v>83</v>
      </c>
      <c r="AT775" s="18" t="s">
        <v>83</v>
      </c>
      <c r="AU775" s="18" t="s">
        <v>81</v>
      </c>
      <c r="AV775" s="18" t="s">
        <v>95</v>
      </c>
      <c r="AW775" s="18" t="s">
        <v>95</v>
      </c>
      <c r="AX775" s="18"/>
      <c r="AY775" s="18" t="str">
        <f>Pospago[[#This Row],[NUM_TELEFONICO]]&amp;"POSPAGOSI"</f>
        <v>995228934POSPAGOSI</v>
      </c>
      <c r="AZ775" s="18" t="str">
        <f>VLOOKUP(Pospago[[#This Row],[NOM_PLAZA_FINAL]],[1]!Locales[#Data],3,0)</f>
        <v>TIENDA AMERICA</v>
      </c>
      <c r="BA775" s="18" t="str">
        <f>IFERROR(VLOOKUP(Pospago[[#This Row],[USUARIO]],[1]!Personal[#Data],6,0),"EJECUTIVO NO REGISTRADO")</f>
        <v>SALVATIERRA GUERRA JULIAN ENRIQUE</v>
      </c>
      <c r="BB775" s="18" t="str">
        <f>Pospago[[#This Row],[TIPO_MOVIMIENTO]]&amp;" "&amp;Pospago[[#This Row],[FORMA_PAGO_FINAL]]</f>
        <v>TRANSFERENCIAS DOMICILIADO</v>
      </c>
      <c r="BC775" s="18">
        <f>DAY(Pospago[[#This Row],[FECHA_ALTA]])</f>
        <v>12</v>
      </c>
      <c r="BD775" s="18">
        <f>IF(Pospago[[#This Row],[TARIFA_BASICA]]=11.42,1,0)</f>
        <v>0</v>
      </c>
      <c r="BE775" s="18">
        <f>IF(Pospago[[#This Row],[PLANES TELEVENTAS]]="SI",1,0)</f>
        <v>0</v>
      </c>
      <c r="BF775" s="18">
        <f>1</f>
        <v>1</v>
      </c>
      <c r="BG775" s="18">
        <f>IF(OR(Pospago[[#This Row],[TARIFA_BASICA]]=11.42,Pospago[[#This Row],[PLANES TELEVENTAS]]="SI"),1,0)</f>
        <v>0</v>
      </c>
      <c r="BH775" s="18" t="str">
        <f>IF(MID(Pospago[[#This Row],[PlanDesc]],1,4) = "PLAN","POSPAGO",IF(MID(Pospago[[#This Row],[PlanDesc]],1,4)="FULL","FULL MEGAS","PREVIOPAGO"))</f>
        <v>PREVIOPAGO</v>
      </c>
      <c r="BI7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</v>
      </c>
      <c r="BJ7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5" s="21">
        <f>Pospago[[#This Row],[TARIFA_BASICA]]*1.5</f>
        <v>32.130000000000003</v>
      </c>
    </row>
    <row r="776" spans="1:63" x14ac:dyDescent="0.25">
      <c r="A776" s="18" t="s">
        <v>64</v>
      </c>
      <c r="B776" s="18" t="s">
        <v>4938</v>
      </c>
      <c r="C776" s="18" t="s">
        <v>2689</v>
      </c>
      <c r="D776" s="19">
        <v>44908</v>
      </c>
      <c r="E776" s="18" t="s">
        <v>67</v>
      </c>
      <c r="F776" s="18" t="s">
        <v>2690</v>
      </c>
      <c r="G776" s="18" t="s">
        <v>2691</v>
      </c>
      <c r="H776" s="18" t="s">
        <v>70</v>
      </c>
      <c r="I776" s="18" t="s">
        <v>160</v>
      </c>
      <c r="J776" s="18" t="s">
        <v>195</v>
      </c>
      <c r="K776" s="18" t="s">
        <v>73</v>
      </c>
      <c r="L776" s="20" t="s">
        <v>4939</v>
      </c>
      <c r="M776" s="18" t="s">
        <v>75</v>
      </c>
      <c r="N776" s="20" t="s">
        <v>4940</v>
      </c>
      <c r="O776" s="18" t="s">
        <v>77</v>
      </c>
      <c r="P776" s="18" t="s">
        <v>78</v>
      </c>
      <c r="Q776" s="19">
        <v>44914</v>
      </c>
      <c r="R776" s="21">
        <v>14.28</v>
      </c>
      <c r="S776" s="18" t="s">
        <v>79</v>
      </c>
      <c r="T776" s="18" t="s">
        <v>148</v>
      </c>
      <c r="U776" s="18" t="s">
        <v>83</v>
      </c>
      <c r="V776" s="18" t="s">
        <v>693</v>
      </c>
      <c r="W776" s="18" t="s">
        <v>83</v>
      </c>
      <c r="X776" s="18" t="s">
        <v>84</v>
      </c>
      <c r="Y776" s="18" t="s">
        <v>85</v>
      </c>
      <c r="Z776" s="18" t="s">
        <v>86</v>
      </c>
      <c r="AA776" s="18" t="s">
        <v>87</v>
      </c>
      <c r="AB776" s="18" t="s">
        <v>318</v>
      </c>
      <c r="AC776" s="18" t="s">
        <v>319</v>
      </c>
      <c r="AD776" s="18" t="s">
        <v>85</v>
      </c>
      <c r="AE776" s="18" t="s">
        <v>90</v>
      </c>
      <c r="AF776" s="18" t="s">
        <v>151</v>
      </c>
      <c r="AG776" s="18" t="s">
        <v>92</v>
      </c>
      <c r="AH776" s="18" t="s">
        <v>93</v>
      </c>
      <c r="AI776" s="18" t="s">
        <v>94</v>
      </c>
      <c r="AJ776" s="19">
        <v>44908</v>
      </c>
      <c r="AK776" s="22" t="s">
        <v>95</v>
      </c>
      <c r="AL776" s="18" t="s">
        <v>95</v>
      </c>
      <c r="AM776" s="18" t="s">
        <v>95</v>
      </c>
      <c r="AN776" s="18" t="s">
        <v>95</v>
      </c>
      <c r="AO776" s="18" t="s">
        <v>95</v>
      </c>
      <c r="AP776" s="18" t="s">
        <v>95</v>
      </c>
      <c r="AQ776" s="18" t="s">
        <v>95</v>
      </c>
      <c r="AR776" s="18" t="s">
        <v>95</v>
      </c>
      <c r="AS776" s="18" t="s">
        <v>83</v>
      </c>
      <c r="AT776" s="18" t="s">
        <v>83</v>
      </c>
      <c r="AU776" s="18" t="s">
        <v>81</v>
      </c>
      <c r="AV776" s="18" t="s">
        <v>95</v>
      </c>
      <c r="AW776" s="18" t="s">
        <v>95</v>
      </c>
      <c r="AX776" s="18"/>
      <c r="AY776" s="18" t="str">
        <f>Pospago[[#This Row],[NUM_TELEFONICO]]&amp;"POSPAGOSI"</f>
        <v>995230519POSPAGOSI</v>
      </c>
      <c r="AZ776" s="18" t="str">
        <f>VLOOKUP(Pospago[[#This Row],[NOM_PLAZA_FINAL]],[1]!Locales[#Data],3,0)</f>
        <v>TIENDA CUENCA REMIGIO</v>
      </c>
      <c r="BA776" s="18" t="str">
        <f>IFERROR(VLOOKUP(Pospago[[#This Row],[USUARIO]],[1]!Personal[#Data],6,0),"EJECUTIVO NO REGISTRADO")</f>
        <v>RODRIGUEZ QUITO JESSICA GABRIELA</v>
      </c>
      <c r="BB776" s="18" t="str">
        <f>Pospago[[#This Row],[TIPO_MOVIMIENTO]]&amp;" "&amp;Pospago[[#This Row],[FORMA_PAGO_FINAL]]</f>
        <v>ALTAS DOMICILIADO</v>
      </c>
      <c r="BC776" s="18">
        <f>DAY(Pospago[[#This Row],[FECHA_ALTA]])</f>
        <v>13</v>
      </c>
      <c r="BD776" s="18">
        <f>IF(Pospago[[#This Row],[TARIFA_BASICA]]=11.42,1,0)</f>
        <v>0</v>
      </c>
      <c r="BE776" s="18">
        <f>IF(Pospago[[#This Row],[PLANES TELEVENTAS]]="SI",1,0)</f>
        <v>0</v>
      </c>
      <c r="BF776" s="18">
        <f>1</f>
        <v>1</v>
      </c>
      <c r="BG776" s="18">
        <f>IF(OR(Pospago[[#This Row],[TARIFA_BASICA]]=11.42,Pospago[[#This Row],[PLANES TELEVENTAS]]="SI"),1,0)</f>
        <v>0</v>
      </c>
      <c r="BH776" s="18" t="str">
        <f>IF(MID(Pospago[[#This Row],[PlanDesc]],1,4) = "PLAN","POSPAGO",IF(MID(Pospago[[#This Row],[PlanDesc]],1,4)="FULL","FULL MEGAS","PREVIOPAGO"))</f>
        <v>PREVIOPAGO</v>
      </c>
      <c r="BI7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6" s="21">
        <f>Pospago[[#This Row],[TARIFA_BASICA]]*1.5</f>
        <v>21.419999999999998</v>
      </c>
    </row>
    <row r="777" spans="1:63" x14ac:dyDescent="0.25">
      <c r="A777" s="18" t="s">
        <v>154</v>
      </c>
      <c r="B777" s="18" t="s">
        <v>4941</v>
      </c>
      <c r="C777" s="18" t="s">
        <v>4942</v>
      </c>
      <c r="D777" s="19">
        <v>44905</v>
      </c>
      <c r="E777" s="18" t="s">
        <v>67</v>
      </c>
      <c r="F777" s="18" t="s">
        <v>4943</v>
      </c>
      <c r="G777" s="18" t="s">
        <v>4944</v>
      </c>
      <c r="H777" s="18" t="s">
        <v>159</v>
      </c>
      <c r="I777" s="18" t="s">
        <v>160</v>
      </c>
      <c r="J777" s="18" t="s">
        <v>161</v>
      </c>
      <c r="K777" s="18" t="s">
        <v>95</v>
      </c>
      <c r="L777" s="20" t="s">
        <v>4945</v>
      </c>
      <c r="M777" s="18" t="s">
        <v>75</v>
      </c>
      <c r="N777" s="20" t="s">
        <v>4946</v>
      </c>
      <c r="O777" s="18" t="s">
        <v>164</v>
      </c>
      <c r="P777" s="18" t="s">
        <v>78</v>
      </c>
      <c r="Q777" s="19">
        <v>44914</v>
      </c>
      <c r="R777" s="21">
        <v>14.28</v>
      </c>
      <c r="S777" s="18" t="s">
        <v>79</v>
      </c>
      <c r="T777" s="18" t="s">
        <v>232</v>
      </c>
      <c r="U777" s="18" t="s">
        <v>83</v>
      </c>
      <c r="V777" s="18" t="s">
        <v>95</v>
      </c>
      <c r="W777" s="18" t="s">
        <v>95</v>
      </c>
      <c r="X777" s="18" t="s">
        <v>118</v>
      </c>
      <c r="Y777" s="18" t="s">
        <v>85</v>
      </c>
      <c r="Z777" s="18" t="s">
        <v>86</v>
      </c>
      <c r="AA777" s="18" t="s">
        <v>119</v>
      </c>
      <c r="AB777" s="18" t="s">
        <v>280</v>
      </c>
      <c r="AC777" s="18" t="s">
        <v>281</v>
      </c>
      <c r="AD777" s="18" t="s">
        <v>85</v>
      </c>
      <c r="AE777" s="18" t="s">
        <v>90</v>
      </c>
      <c r="AF777" s="18" t="s">
        <v>235</v>
      </c>
      <c r="AG777" s="18" t="s">
        <v>139</v>
      </c>
      <c r="AH777" s="18" t="s">
        <v>165</v>
      </c>
      <c r="AI777" s="18" t="s">
        <v>94</v>
      </c>
      <c r="AJ777" s="19">
        <v>44905</v>
      </c>
      <c r="AK777" s="22" t="s">
        <v>95</v>
      </c>
      <c r="AL777" s="18" t="s">
        <v>95</v>
      </c>
      <c r="AM777" s="18" t="s">
        <v>95</v>
      </c>
      <c r="AN777" s="18" t="s">
        <v>95</v>
      </c>
      <c r="AO777" s="18" t="s">
        <v>95</v>
      </c>
      <c r="AP777" s="18" t="s">
        <v>95</v>
      </c>
      <c r="AQ777" s="18" t="s">
        <v>95</v>
      </c>
      <c r="AR777" s="18" t="s">
        <v>95</v>
      </c>
      <c r="AS777" s="18" t="s">
        <v>83</v>
      </c>
      <c r="AT777" s="18" t="s">
        <v>83</v>
      </c>
      <c r="AU777" s="18" t="s">
        <v>81</v>
      </c>
      <c r="AV777" s="18" t="s">
        <v>95</v>
      </c>
      <c r="AW777" s="18" t="s">
        <v>95</v>
      </c>
      <c r="AX777" s="18"/>
      <c r="AY777" s="18" t="str">
        <f>Pospago[[#This Row],[NUM_TELEFONICO]]&amp;"POSPAGOSI"</f>
        <v>995236292POSPAGOSI</v>
      </c>
      <c r="AZ777" s="18" t="str">
        <f>VLOOKUP(Pospago[[#This Row],[NOM_PLAZA_FINAL]],[1]!Locales[#Data],3,0)</f>
        <v>TIENDA CONDADO</v>
      </c>
      <c r="BA777" s="18" t="str">
        <f>IFERROR(VLOOKUP(Pospago[[#This Row],[USUARIO]],[1]!Personal[#Data],6,0),"EJECUTIVO NO REGISTRADO")</f>
        <v>GUACHAMIN CAZA HUGO ADRIAN</v>
      </c>
      <c r="BB777" s="18" t="str">
        <f>Pospago[[#This Row],[TIPO_MOVIMIENTO]]&amp;" "&amp;Pospago[[#This Row],[FORMA_PAGO_FINAL]]</f>
        <v>TRANSFERENCIAS PAGO EN CAJA</v>
      </c>
      <c r="BC777" s="18">
        <f>DAY(Pospago[[#This Row],[FECHA_ALTA]])</f>
        <v>10</v>
      </c>
      <c r="BD777" s="18">
        <f>IF(Pospago[[#This Row],[TARIFA_BASICA]]=11.42,1,0)</f>
        <v>0</v>
      </c>
      <c r="BE777" s="18">
        <f>IF(Pospago[[#This Row],[PLANES TELEVENTAS]]="SI",1,0)</f>
        <v>0</v>
      </c>
      <c r="BF777" s="18">
        <f>1</f>
        <v>1</v>
      </c>
      <c r="BG777" s="18">
        <f>IF(OR(Pospago[[#This Row],[TARIFA_BASICA]]=11.42,Pospago[[#This Row],[PLANES TELEVENTAS]]="SI"),1,0)</f>
        <v>0</v>
      </c>
      <c r="BH777" s="18" t="str">
        <f>IF(MID(Pospago[[#This Row],[PlanDesc]],1,4) = "PLAN","POSPAGO",IF(MID(Pospago[[#This Row],[PlanDesc]],1,4)="FULL","FULL MEGAS","PREVIOPAGO"))</f>
        <v>PREVIOPAGO</v>
      </c>
      <c r="BI7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7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7" s="21">
        <f>Pospago[[#This Row],[TARIFA_BASICA]]*1.5</f>
        <v>21.419999999999998</v>
      </c>
    </row>
    <row r="778" spans="1:63" x14ac:dyDescent="0.25">
      <c r="A778" s="18" t="s">
        <v>154</v>
      </c>
      <c r="B778" s="18" t="s">
        <v>4947</v>
      </c>
      <c r="C778" s="18" t="s">
        <v>4948</v>
      </c>
      <c r="D778" s="19">
        <v>44900</v>
      </c>
      <c r="E778" s="18" t="s">
        <v>67</v>
      </c>
      <c r="F778" s="18" t="s">
        <v>4949</v>
      </c>
      <c r="G778" s="18" t="s">
        <v>4950</v>
      </c>
      <c r="H778" s="18" t="s">
        <v>159</v>
      </c>
      <c r="I778" s="18" t="s">
        <v>130</v>
      </c>
      <c r="J778" s="18" t="s">
        <v>433</v>
      </c>
      <c r="K778" s="18" t="s">
        <v>95</v>
      </c>
      <c r="L778" s="20" t="s">
        <v>4951</v>
      </c>
      <c r="M778" s="18" t="s">
        <v>75</v>
      </c>
      <c r="N778" s="20" t="s">
        <v>4952</v>
      </c>
      <c r="O778" s="18" t="s">
        <v>164</v>
      </c>
      <c r="P778" s="18" t="s">
        <v>78</v>
      </c>
      <c r="Q778" s="19">
        <v>44914</v>
      </c>
      <c r="R778" s="21">
        <v>15</v>
      </c>
      <c r="S778" s="18" t="s">
        <v>79</v>
      </c>
      <c r="T778" s="18" t="s">
        <v>117</v>
      </c>
      <c r="U778" s="18" t="s">
        <v>83</v>
      </c>
      <c r="V778" s="18" t="s">
        <v>95</v>
      </c>
      <c r="W778" s="18" t="s">
        <v>95</v>
      </c>
      <c r="X778" s="18" t="s">
        <v>118</v>
      </c>
      <c r="Y778" s="18" t="s">
        <v>85</v>
      </c>
      <c r="Z778" s="18" t="s">
        <v>86</v>
      </c>
      <c r="AA778" s="18" t="s">
        <v>119</v>
      </c>
      <c r="AB778" s="18" t="s">
        <v>352</v>
      </c>
      <c r="AC778" s="18" t="s">
        <v>353</v>
      </c>
      <c r="AD778" s="18" t="s">
        <v>85</v>
      </c>
      <c r="AE778" s="18" t="s">
        <v>90</v>
      </c>
      <c r="AF778" s="18" t="s">
        <v>122</v>
      </c>
      <c r="AG778" s="18" t="s">
        <v>92</v>
      </c>
      <c r="AH778" s="18" t="s">
        <v>165</v>
      </c>
      <c r="AI778" s="18" t="s">
        <v>94</v>
      </c>
      <c r="AJ778" s="19">
        <v>44900</v>
      </c>
      <c r="AK778" s="22" t="s">
        <v>95</v>
      </c>
      <c r="AL778" s="18" t="s">
        <v>95</v>
      </c>
      <c r="AM778" s="18" t="s">
        <v>95</v>
      </c>
      <c r="AN778" s="18" t="s">
        <v>95</v>
      </c>
      <c r="AO778" s="18" t="s">
        <v>95</v>
      </c>
      <c r="AP778" s="18" t="s">
        <v>95</v>
      </c>
      <c r="AQ778" s="18" t="s">
        <v>95</v>
      </c>
      <c r="AR778" s="18" t="s">
        <v>95</v>
      </c>
      <c r="AS778" s="18" t="s">
        <v>83</v>
      </c>
      <c r="AT778" s="18" t="s">
        <v>83</v>
      </c>
      <c r="AU778" s="18" t="s">
        <v>81</v>
      </c>
      <c r="AV778" s="18" t="s">
        <v>95</v>
      </c>
      <c r="AW778" s="18" t="s">
        <v>95</v>
      </c>
      <c r="AX778" s="18"/>
      <c r="AY778" s="18" t="str">
        <f>Pospago[[#This Row],[NUM_TELEFONICO]]&amp;"POSPAGOSI"</f>
        <v>995242832POSPAGOSI</v>
      </c>
      <c r="AZ778" s="18" t="str">
        <f>VLOOKUP(Pospago[[#This Row],[NOM_PLAZA_FINAL]],[1]!Locales[#Data],3,0)</f>
        <v>TIENDA MACHALA</v>
      </c>
      <c r="BA778" s="18" t="str">
        <f>IFERROR(VLOOKUP(Pospago[[#This Row],[USUARIO]],[1]!Personal[#Data],6,0),"EJECUTIVO NO REGISTRADO")</f>
        <v>TENORIO MARIA DEL PILAR</v>
      </c>
      <c r="BB778" s="18" t="str">
        <f>Pospago[[#This Row],[TIPO_MOVIMIENTO]]&amp;" "&amp;Pospago[[#This Row],[FORMA_PAGO_FINAL]]</f>
        <v>TRANSFERENCIAS PAGO EN CAJA</v>
      </c>
      <c r="BC778" s="18">
        <f>DAY(Pospago[[#This Row],[FECHA_ALTA]])</f>
        <v>5</v>
      </c>
      <c r="BD778" s="18">
        <f>IF(Pospago[[#This Row],[TARIFA_BASICA]]=11.42,1,0)</f>
        <v>0</v>
      </c>
      <c r="BE778" s="18">
        <f>IF(Pospago[[#This Row],[PLANES TELEVENTAS]]="SI",1,0)</f>
        <v>0</v>
      </c>
      <c r="BF778" s="18">
        <f>1</f>
        <v>1</v>
      </c>
      <c r="BG778" s="18">
        <f>IF(OR(Pospago[[#This Row],[TARIFA_BASICA]]=11.42,Pospago[[#This Row],[PLANES TELEVENTAS]]="SI"),1,0)</f>
        <v>0</v>
      </c>
      <c r="BH778" s="18" t="str">
        <f>IF(MID(Pospago[[#This Row],[PlanDesc]],1,4) = "PLAN","POSPAGO",IF(MID(Pospago[[#This Row],[PlanDesc]],1,4)="FULL","FULL MEGAS","PREVIOPAGO"))</f>
        <v>PREVIOPAGO</v>
      </c>
      <c r="BI7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7.4279999999999999</v>
      </c>
      <c r="BJ7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8" s="21">
        <f>Pospago[[#This Row],[TARIFA_BASICA]]*1.5</f>
        <v>22.5</v>
      </c>
    </row>
    <row r="779" spans="1:63" x14ac:dyDescent="0.25">
      <c r="A779" s="18" t="s">
        <v>64</v>
      </c>
      <c r="B779" s="18" t="s">
        <v>4953</v>
      </c>
      <c r="C779" s="18" t="s">
        <v>4954</v>
      </c>
      <c r="D779" s="19">
        <v>44913</v>
      </c>
      <c r="E779" s="18" t="s">
        <v>67</v>
      </c>
      <c r="F779" s="18" t="s">
        <v>4955</v>
      </c>
      <c r="G779" s="18" t="s">
        <v>4956</v>
      </c>
      <c r="H779" s="18" t="s">
        <v>70</v>
      </c>
      <c r="I779" s="18" t="s">
        <v>160</v>
      </c>
      <c r="J779" s="18" t="s">
        <v>195</v>
      </c>
      <c r="K779" s="18" t="s">
        <v>132</v>
      </c>
      <c r="L779" s="20" t="s">
        <v>4957</v>
      </c>
      <c r="M779" s="18" t="s">
        <v>75</v>
      </c>
      <c r="N779" s="20" t="s">
        <v>4958</v>
      </c>
      <c r="O779" s="18" t="s">
        <v>77</v>
      </c>
      <c r="P779" s="18" t="s">
        <v>78</v>
      </c>
      <c r="Q779" s="19">
        <v>44914</v>
      </c>
      <c r="R779" s="21">
        <v>14.28</v>
      </c>
      <c r="S779" s="18" t="s">
        <v>79</v>
      </c>
      <c r="T779" s="18" t="s">
        <v>174</v>
      </c>
      <c r="U779" s="18" t="s">
        <v>83</v>
      </c>
      <c r="V779" s="18" t="s">
        <v>95</v>
      </c>
      <c r="W779" s="18" t="s">
        <v>83</v>
      </c>
      <c r="X779" s="18" t="s">
        <v>118</v>
      </c>
      <c r="Y779" s="18" t="s">
        <v>85</v>
      </c>
      <c r="Z779" s="18" t="s">
        <v>86</v>
      </c>
      <c r="AA779" s="18" t="s">
        <v>119</v>
      </c>
      <c r="AB779" s="18" t="s">
        <v>492</v>
      </c>
      <c r="AC779" s="18" t="s">
        <v>493</v>
      </c>
      <c r="AD779" s="18" t="s">
        <v>85</v>
      </c>
      <c r="AE779" s="18" t="s">
        <v>90</v>
      </c>
      <c r="AF779" s="18" t="s">
        <v>177</v>
      </c>
      <c r="AG779" s="18" t="s">
        <v>139</v>
      </c>
      <c r="AH779" s="18" t="s">
        <v>93</v>
      </c>
      <c r="AI779" s="18" t="s">
        <v>94</v>
      </c>
      <c r="AJ779" s="19">
        <v>44913</v>
      </c>
      <c r="AK779" s="22" t="s">
        <v>95</v>
      </c>
      <c r="AL779" s="18" t="s">
        <v>95</v>
      </c>
      <c r="AM779" s="18" t="s">
        <v>95</v>
      </c>
      <c r="AN779" s="18" t="s">
        <v>95</v>
      </c>
      <c r="AO779" s="18" t="s">
        <v>95</v>
      </c>
      <c r="AP779" s="18" t="s">
        <v>95</v>
      </c>
      <c r="AQ779" s="18" t="s">
        <v>95</v>
      </c>
      <c r="AR779" s="18" t="s">
        <v>95</v>
      </c>
      <c r="AS779" s="18" t="s">
        <v>83</v>
      </c>
      <c r="AT779" s="18" t="s">
        <v>83</v>
      </c>
      <c r="AU779" s="18" t="s">
        <v>81</v>
      </c>
      <c r="AV779" s="18" t="s">
        <v>95</v>
      </c>
      <c r="AW779" s="18" t="s">
        <v>95</v>
      </c>
      <c r="AX779" s="18"/>
      <c r="AY779" s="18" t="str">
        <f>Pospago[[#This Row],[NUM_TELEFONICO]]&amp;"POSPAGOSI"</f>
        <v>995251196POSPAGOSI</v>
      </c>
      <c r="AZ779" s="18" t="str">
        <f>VLOOKUP(Pospago[[#This Row],[NOM_PLAZA_FINAL]],[1]!Locales[#Data],3,0)</f>
        <v>TIENDA RECREO</v>
      </c>
      <c r="BA779" s="18" t="str">
        <f>IFERROR(VLOOKUP(Pospago[[#This Row],[USUARIO]],[1]!Personal[#Data],6,0),"EJECUTIVO NO REGISTRADO")</f>
        <v>CONDO GARCIA NICOLAS MATIAS</v>
      </c>
      <c r="BB779" s="18" t="str">
        <f>Pospago[[#This Row],[TIPO_MOVIMIENTO]]&amp;" "&amp;Pospago[[#This Row],[FORMA_PAGO_FINAL]]</f>
        <v>ALTAS PAGO EN CAJA</v>
      </c>
      <c r="BC779" s="18">
        <f>DAY(Pospago[[#This Row],[FECHA_ALTA]])</f>
        <v>18</v>
      </c>
      <c r="BD779" s="18">
        <f>IF(Pospago[[#This Row],[TARIFA_BASICA]]=11.42,1,0)</f>
        <v>0</v>
      </c>
      <c r="BE779" s="18">
        <f>IF(Pospago[[#This Row],[PLANES TELEVENTAS]]="SI",1,0)</f>
        <v>0</v>
      </c>
      <c r="BF779" s="18">
        <f>1</f>
        <v>1</v>
      </c>
      <c r="BG779" s="18">
        <f>IF(OR(Pospago[[#This Row],[TARIFA_BASICA]]=11.42,Pospago[[#This Row],[PLANES TELEVENTAS]]="SI"),1,0)</f>
        <v>0</v>
      </c>
      <c r="BH779" s="18" t="str">
        <f>IF(MID(Pospago[[#This Row],[PlanDesc]],1,4) = "PLAN","POSPAGO",IF(MID(Pospago[[#This Row],[PlanDesc]],1,4)="FULL","FULL MEGAS","PREVIOPAGO"))</f>
        <v>PREVIOPAGO</v>
      </c>
      <c r="BI7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7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79" s="21">
        <f>Pospago[[#This Row],[TARIFA_BASICA]]*1.5</f>
        <v>21.419999999999998</v>
      </c>
    </row>
    <row r="780" spans="1:63" x14ac:dyDescent="0.25">
      <c r="A780" s="18" t="s">
        <v>64</v>
      </c>
      <c r="B780" s="18" t="s">
        <v>4959</v>
      </c>
      <c r="C780" s="18" t="s">
        <v>4960</v>
      </c>
      <c r="D780" s="19">
        <v>44906</v>
      </c>
      <c r="E780" s="18" t="s">
        <v>67</v>
      </c>
      <c r="F780" s="18" t="s">
        <v>4961</v>
      </c>
      <c r="G780" s="18" t="s">
        <v>4962</v>
      </c>
      <c r="H780" s="18" t="s">
        <v>70</v>
      </c>
      <c r="I780" s="18" t="s">
        <v>4963</v>
      </c>
      <c r="J780" s="18" t="s">
        <v>4964</v>
      </c>
      <c r="K780" s="18" t="s">
        <v>132</v>
      </c>
      <c r="L780" s="20" t="s">
        <v>4965</v>
      </c>
      <c r="M780" s="18" t="s">
        <v>75</v>
      </c>
      <c r="N780" s="20" t="s">
        <v>4966</v>
      </c>
      <c r="O780" s="18" t="s">
        <v>231</v>
      </c>
      <c r="P780" s="18" t="s">
        <v>78</v>
      </c>
      <c r="Q780" s="19">
        <v>44914</v>
      </c>
      <c r="R780" s="21">
        <v>32.130000000000003</v>
      </c>
      <c r="S780" s="18" t="s">
        <v>79</v>
      </c>
      <c r="T780" s="18" t="s">
        <v>232</v>
      </c>
      <c r="U780" s="18" t="s">
        <v>83</v>
      </c>
      <c r="V780" s="18" t="s">
        <v>95</v>
      </c>
      <c r="W780" s="18" t="s">
        <v>83</v>
      </c>
      <c r="X780" s="18" t="s">
        <v>215</v>
      </c>
      <c r="Y780" s="18" t="s">
        <v>85</v>
      </c>
      <c r="Z780" s="18" t="s">
        <v>86</v>
      </c>
      <c r="AA780" s="18" t="s">
        <v>87</v>
      </c>
      <c r="AB780" s="18" t="s">
        <v>233</v>
      </c>
      <c r="AC780" s="18" t="s">
        <v>234</v>
      </c>
      <c r="AD780" s="18" t="s">
        <v>85</v>
      </c>
      <c r="AE780" s="18" t="s">
        <v>90</v>
      </c>
      <c r="AF780" s="18" t="s">
        <v>235</v>
      </c>
      <c r="AG780" s="18" t="s">
        <v>139</v>
      </c>
      <c r="AH780" s="18" t="s">
        <v>93</v>
      </c>
      <c r="AI780" s="18" t="s">
        <v>94</v>
      </c>
      <c r="AJ780" s="19">
        <v>44906</v>
      </c>
      <c r="AK780" s="22" t="s">
        <v>95</v>
      </c>
      <c r="AL780" s="18" t="s">
        <v>95</v>
      </c>
      <c r="AM780" s="18" t="s">
        <v>95</v>
      </c>
      <c r="AN780" s="18" t="s">
        <v>95</v>
      </c>
      <c r="AO780" s="18" t="s">
        <v>95</v>
      </c>
      <c r="AP780" s="18" t="s">
        <v>95</v>
      </c>
      <c r="AQ780" s="18" t="s">
        <v>95</v>
      </c>
      <c r="AR780" s="18" t="s">
        <v>95</v>
      </c>
      <c r="AS780" s="18" t="s">
        <v>83</v>
      </c>
      <c r="AT780" s="18" t="s">
        <v>83</v>
      </c>
      <c r="AU780" s="18" t="s">
        <v>83</v>
      </c>
      <c r="AV780" s="18" t="s">
        <v>95</v>
      </c>
      <c r="AW780" s="18" t="s">
        <v>95</v>
      </c>
      <c r="AX780" s="18"/>
      <c r="AY780" s="18" t="str">
        <f>Pospago[[#This Row],[NUM_TELEFONICO]]&amp;"POSPAGOSI"</f>
        <v>995255134POSPAGOSI</v>
      </c>
      <c r="AZ780" s="18" t="str">
        <f>VLOOKUP(Pospago[[#This Row],[NOM_PLAZA_FINAL]],[1]!Locales[#Data],3,0)</f>
        <v>TIENDA CONDADO</v>
      </c>
      <c r="BA780" s="18" t="str">
        <f>IFERROR(VLOOKUP(Pospago[[#This Row],[USUARIO]],[1]!Personal[#Data],6,0),"EJECUTIVO NO REGISTRADO")</f>
        <v>ROSALES MALDONADO JESSICA GABRIELA</v>
      </c>
      <c r="BB780" s="18" t="str">
        <f>Pospago[[#This Row],[TIPO_MOVIMIENTO]]&amp;" "&amp;Pospago[[#This Row],[FORMA_PAGO_FINAL]]</f>
        <v>ALTAS DOMICILIADO</v>
      </c>
      <c r="BC780" s="18">
        <f>DAY(Pospago[[#This Row],[FECHA_ALTA]])</f>
        <v>11</v>
      </c>
      <c r="BD780" s="18">
        <f>IF(Pospago[[#This Row],[TARIFA_BASICA]]=11.42,1,0)</f>
        <v>0</v>
      </c>
      <c r="BE780" s="18">
        <f>IF(Pospago[[#This Row],[PLANES TELEVENTAS]]="SI",1,0)</f>
        <v>0</v>
      </c>
      <c r="BF780" s="18">
        <f>1</f>
        <v>1</v>
      </c>
      <c r="BG780" s="18">
        <f>IF(OR(Pospago[[#This Row],[TARIFA_BASICA]]=11.42,Pospago[[#This Row],[PLANES TELEVENTAS]]="SI"),1,0)</f>
        <v>0</v>
      </c>
      <c r="BH780" s="18" t="str">
        <f>IF(MID(Pospago[[#This Row],[PlanDesc]],1,4) = "PLAN","POSPAGO",IF(MID(Pospago[[#This Row],[PlanDesc]],1,4)="FULL","FULL MEGAS","PREVIOPAGO"))</f>
        <v>POSPAGO</v>
      </c>
      <c r="BI7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64.260000000000005</v>
      </c>
      <c r="BJ7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80" s="21">
        <f>Pospago[[#This Row],[TARIFA_BASICA]]*1.5</f>
        <v>48.195000000000007</v>
      </c>
    </row>
    <row r="781" spans="1:63" x14ac:dyDescent="0.25">
      <c r="A781" s="18" t="s">
        <v>154</v>
      </c>
      <c r="B781" s="18" t="s">
        <v>4967</v>
      </c>
      <c r="C781" s="18" t="s">
        <v>3249</v>
      </c>
      <c r="D781" s="19">
        <v>44903</v>
      </c>
      <c r="E781" s="18" t="s">
        <v>67</v>
      </c>
      <c r="F781" s="18" t="s">
        <v>3250</v>
      </c>
      <c r="G781" s="18" t="s">
        <v>3251</v>
      </c>
      <c r="H781" s="18" t="s">
        <v>159</v>
      </c>
      <c r="I781" s="18" t="s">
        <v>112</v>
      </c>
      <c r="J781" s="18" t="s">
        <v>781</v>
      </c>
      <c r="K781" s="18" t="s">
        <v>73</v>
      </c>
      <c r="L781" s="20" t="s">
        <v>4968</v>
      </c>
      <c r="M781" s="18" t="s">
        <v>75</v>
      </c>
      <c r="N781" s="20" t="s">
        <v>4969</v>
      </c>
      <c r="O781" s="18" t="s">
        <v>164</v>
      </c>
      <c r="P781" s="18" t="s">
        <v>78</v>
      </c>
      <c r="Q781" s="19">
        <v>44914</v>
      </c>
      <c r="R781" s="21">
        <v>17.850000000000001</v>
      </c>
      <c r="S781" s="18" t="s">
        <v>79</v>
      </c>
      <c r="T781" s="18" t="s">
        <v>148</v>
      </c>
      <c r="U781" s="18" t="s">
        <v>83</v>
      </c>
      <c r="V781" s="18" t="s">
        <v>95</v>
      </c>
      <c r="W781" s="18" t="s">
        <v>95</v>
      </c>
      <c r="X781" s="18" t="s">
        <v>84</v>
      </c>
      <c r="Y781" s="18" t="s">
        <v>85</v>
      </c>
      <c r="Z781" s="18" t="s">
        <v>86</v>
      </c>
      <c r="AA781" s="18" t="s">
        <v>87</v>
      </c>
      <c r="AB781" s="18" t="s">
        <v>420</v>
      </c>
      <c r="AC781" s="18" t="s">
        <v>421</v>
      </c>
      <c r="AD781" s="18" t="s">
        <v>85</v>
      </c>
      <c r="AE781" s="18" t="s">
        <v>90</v>
      </c>
      <c r="AF781" s="18" t="s">
        <v>151</v>
      </c>
      <c r="AG781" s="18" t="s">
        <v>92</v>
      </c>
      <c r="AH781" s="18" t="s">
        <v>165</v>
      </c>
      <c r="AI781" s="18" t="s">
        <v>94</v>
      </c>
      <c r="AJ781" s="19">
        <v>44903</v>
      </c>
      <c r="AK781" s="22" t="s">
        <v>95</v>
      </c>
      <c r="AL781" s="18" t="s">
        <v>95</v>
      </c>
      <c r="AM781" s="18" t="s">
        <v>95</v>
      </c>
      <c r="AN781" s="18" t="s">
        <v>95</v>
      </c>
      <c r="AO781" s="18" t="s">
        <v>95</v>
      </c>
      <c r="AP781" s="18" t="s">
        <v>95</v>
      </c>
      <c r="AQ781" s="18" t="s">
        <v>95</v>
      </c>
      <c r="AR781" s="18" t="s">
        <v>95</v>
      </c>
      <c r="AS781" s="18" t="s">
        <v>83</v>
      </c>
      <c r="AT781" s="18" t="s">
        <v>83</v>
      </c>
      <c r="AU781" s="18" t="s">
        <v>81</v>
      </c>
      <c r="AV781" s="18" t="s">
        <v>95</v>
      </c>
      <c r="AW781" s="18" t="s">
        <v>95</v>
      </c>
      <c r="AX781" s="18"/>
      <c r="AY781" s="18" t="str">
        <f>Pospago[[#This Row],[NUM_TELEFONICO]]&amp;"POSPAGOSI"</f>
        <v>995256985POSPAGOSI</v>
      </c>
      <c r="AZ781" s="18" t="str">
        <f>VLOOKUP(Pospago[[#This Row],[NOM_PLAZA_FINAL]],[1]!Locales[#Data],3,0)</f>
        <v>TIENDA CUENCA REMIGIO</v>
      </c>
      <c r="BA781" s="18" t="str">
        <f>IFERROR(VLOOKUP(Pospago[[#This Row],[USUARIO]],[1]!Personal[#Data],6,0),"EJECUTIVO NO REGISTRADO")</f>
        <v>YEPEZ PALOMEQUE DIANA PATRICIA</v>
      </c>
      <c r="BB781" s="18" t="str">
        <f>Pospago[[#This Row],[TIPO_MOVIMIENTO]]&amp;" "&amp;Pospago[[#This Row],[FORMA_PAGO_FINAL]]</f>
        <v>TRANSFERENCIAS DOMICILIADO</v>
      </c>
      <c r="BC781" s="18">
        <f>DAY(Pospago[[#This Row],[FECHA_ALTA]])</f>
        <v>8</v>
      </c>
      <c r="BD781" s="18">
        <f>IF(Pospago[[#This Row],[TARIFA_BASICA]]=11.42,1,0)</f>
        <v>0</v>
      </c>
      <c r="BE781" s="18">
        <f>IF(Pospago[[#This Row],[PLANES TELEVENTAS]]="SI",1,0)</f>
        <v>0</v>
      </c>
      <c r="BF781" s="18">
        <f>1</f>
        <v>1</v>
      </c>
      <c r="BG781" s="18">
        <f>IF(OR(Pospago[[#This Row],[TARIFA_BASICA]]=11.42,Pospago[[#This Row],[PLANES TELEVENTAS]]="SI"),1,0)</f>
        <v>0</v>
      </c>
      <c r="BH781" s="18" t="str">
        <f>IF(MID(Pospago[[#This Row],[PlanDesc]],1,4) = "PLAN","POSPAGO",IF(MID(Pospago[[#This Row],[PlanDesc]],1,4)="FULL","FULL MEGAS","PREVIOPAGO"))</f>
        <v>PREVIOPAGO</v>
      </c>
      <c r="BI7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7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81" s="21">
        <f>Pospago[[#This Row],[TARIFA_BASICA]]*1.5</f>
        <v>26.775000000000002</v>
      </c>
    </row>
    <row r="782" spans="1:63" x14ac:dyDescent="0.25">
      <c r="A782" s="18" t="s">
        <v>64</v>
      </c>
      <c r="B782" s="18" t="s">
        <v>4970</v>
      </c>
      <c r="C782" s="18" t="s">
        <v>4971</v>
      </c>
      <c r="D782" s="19">
        <v>44902</v>
      </c>
      <c r="E782" s="18" t="s">
        <v>67</v>
      </c>
      <c r="F782" s="18" t="s">
        <v>4972</v>
      </c>
      <c r="G782" s="18" t="s">
        <v>4973</v>
      </c>
      <c r="H782" s="18" t="s">
        <v>70</v>
      </c>
      <c r="I782" s="18" t="s">
        <v>2207</v>
      </c>
      <c r="J782" s="18" t="s">
        <v>2208</v>
      </c>
      <c r="K782" s="18" t="s">
        <v>3334</v>
      </c>
      <c r="L782" s="20" t="s">
        <v>4974</v>
      </c>
      <c r="M782" s="18" t="s">
        <v>75</v>
      </c>
      <c r="N782" s="20" t="s">
        <v>4975</v>
      </c>
      <c r="O782" s="18" t="s">
        <v>231</v>
      </c>
      <c r="P782" s="18" t="s">
        <v>78</v>
      </c>
      <c r="Q782" s="19">
        <v>44914</v>
      </c>
      <c r="R782" s="21">
        <v>15</v>
      </c>
      <c r="S782" s="18" t="s">
        <v>79</v>
      </c>
      <c r="T782" s="18" t="s">
        <v>174</v>
      </c>
      <c r="U782" s="18" t="s">
        <v>83</v>
      </c>
      <c r="V782" s="18" t="s">
        <v>95</v>
      </c>
      <c r="W782" s="18" t="s">
        <v>83</v>
      </c>
      <c r="X782" s="18" t="s">
        <v>84</v>
      </c>
      <c r="Y782" s="18" t="s">
        <v>85</v>
      </c>
      <c r="Z782" s="18" t="s">
        <v>86</v>
      </c>
      <c r="AA782" s="18" t="s">
        <v>87</v>
      </c>
      <c r="AB782" s="18" t="s">
        <v>262</v>
      </c>
      <c r="AC782" s="18" t="s">
        <v>263</v>
      </c>
      <c r="AD782" s="18" t="s">
        <v>85</v>
      </c>
      <c r="AE782" s="18" t="s">
        <v>90</v>
      </c>
      <c r="AF782" s="18" t="s">
        <v>177</v>
      </c>
      <c r="AG782" s="18" t="s">
        <v>139</v>
      </c>
      <c r="AH782" s="18" t="s">
        <v>93</v>
      </c>
      <c r="AI782" s="18" t="s">
        <v>94</v>
      </c>
      <c r="AJ782" s="19">
        <v>44902</v>
      </c>
      <c r="AK782" s="22" t="s">
        <v>95</v>
      </c>
      <c r="AL782" s="18" t="s">
        <v>95</v>
      </c>
      <c r="AM782" s="18" t="s">
        <v>95</v>
      </c>
      <c r="AN782" s="18" t="s">
        <v>95</v>
      </c>
      <c r="AO782" s="18" t="s">
        <v>95</v>
      </c>
      <c r="AP782" s="18" t="s">
        <v>95</v>
      </c>
      <c r="AQ782" s="18" t="s">
        <v>95</v>
      </c>
      <c r="AR782" s="18" t="s">
        <v>95</v>
      </c>
      <c r="AS782" s="18" t="s">
        <v>83</v>
      </c>
      <c r="AT782" s="18" t="s">
        <v>95</v>
      </c>
      <c r="AU782" s="18" t="s">
        <v>95</v>
      </c>
      <c r="AV782" s="18" t="s">
        <v>95</v>
      </c>
      <c r="AW782" s="18" t="s">
        <v>95</v>
      </c>
      <c r="AX782" s="18"/>
      <c r="AY782" s="18" t="str">
        <f>Pospago[[#This Row],[NUM_TELEFONICO]]&amp;"POSPAGOSI"</f>
        <v>995273571POSPAGOSI</v>
      </c>
      <c r="AZ782" s="18" t="str">
        <f>VLOOKUP(Pospago[[#This Row],[NOM_PLAZA_FINAL]],[1]!Locales[#Data],3,0)</f>
        <v>TIENDA RECREO</v>
      </c>
      <c r="BA782" s="18" t="str">
        <f>IFERROR(VLOOKUP(Pospago[[#This Row],[USUARIO]],[1]!Personal[#Data],6,0),"EJECUTIVO NO REGISTRADO")</f>
        <v>CHICAIZA TOAPANTA ALEX DANILO</v>
      </c>
      <c r="BB782" s="18" t="str">
        <f>Pospago[[#This Row],[TIPO_MOVIMIENTO]]&amp;" "&amp;Pospago[[#This Row],[FORMA_PAGO_FINAL]]</f>
        <v>ALTAS DOMICILIADO</v>
      </c>
      <c r="BC782" s="18">
        <f>DAY(Pospago[[#This Row],[FECHA_ALTA]])</f>
        <v>7</v>
      </c>
      <c r="BD782" s="18">
        <f>IF(Pospago[[#This Row],[TARIFA_BASICA]]=11.42,1,0)</f>
        <v>0</v>
      </c>
      <c r="BE782" s="18">
        <f>IF(Pospago[[#This Row],[PLANES TELEVENTAS]]="SI",1,0)</f>
        <v>0</v>
      </c>
      <c r="BF782" s="18">
        <f>1</f>
        <v>1</v>
      </c>
      <c r="BG782" s="18">
        <f>IF(OR(Pospago[[#This Row],[TARIFA_BASICA]]=11.42,Pospago[[#This Row],[PLANES TELEVENTAS]]="SI"),1,0)</f>
        <v>0</v>
      </c>
      <c r="BH782" s="18" t="str">
        <f>IF(MID(Pospago[[#This Row],[PlanDesc]],1,4) = "PLAN","POSPAGO",IF(MID(Pospago[[#This Row],[PlanDesc]],1,4)="FULL","FULL MEGAS","PREVIOPAGO"))</f>
        <v>FULL MEGAS</v>
      </c>
      <c r="BI7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7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82" s="21">
        <f>Pospago[[#This Row],[TARIFA_BASICA]]*1.5</f>
        <v>22.5</v>
      </c>
    </row>
    <row r="783" spans="1:63" x14ac:dyDescent="0.25">
      <c r="A783" s="18" t="s">
        <v>64</v>
      </c>
      <c r="B783" s="18" t="s">
        <v>4976</v>
      </c>
      <c r="C783" s="18" t="s">
        <v>4977</v>
      </c>
      <c r="D783" s="19">
        <v>44902</v>
      </c>
      <c r="E783" s="18" t="s">
        <v>67</v>
      </c>
      <c r="F783" s="18" t="s">
        <v>4978</v>
      </c>
      <c r="G783" s="18" t="s">
        <v>4979</v>
      </c>
      <c r="H783" s="18" t="s">
        <v>70</v>
      </c>
      <c r="I783" s="18" t="s">
        <v>183</v>
      </c>
      <c r="J783" s="18" t="s">
        <v>184</v>
      </c>
      <c r="K783" s="18" t="s">
        <v>73</v>
      </c>
      <c r="L783" s="20" t="s">
        <v>4980</v>
      </c>
      <c r="M783" s="18" t="s">
        <v>287</v>
      </c>
      <c r="N783" s="20" t="s">
        <v>4981</v>
      </c>
      <c r="O783" s="18" t="s">
        <v>768</v>
      </c>
      <c r="P783" s="18" t="s">
        <v>78</v>
      </c>
      <c r="Q783" s="19">
        <v>44914</v>
      </c>
      <c r="R783" s="21">
        <v>11.42</v>
      </c>
      <c r="S783" s="18" t="s">
        <v>79</v>
      </c>
      <c r="T783" s="18" t="s">
        <v>148</v>
      </c>
      <c r="U783" s="18" t="s">
        <v>83</v>
      </c>
      <c r="V783" s="18" t="s">
        <v>95</v>
      </c>
      <c r="W783" s="18" t="s">
        <v>83</v>
      </c>
      <c r="X783" s="18" t="s">
        <v>84</v>
      </c>
      <c r="Y783" s="18" t="s">
        <v>85</v>
      </c>
      <c r="Z783" s="18" t="s">
        <v>86</v>
      </c>
      <c r="AA783" s="18" t="s">
        <v>87</v>
      </c>
      <c r="AB783" s="18" t="s">
        <v>610</v>
      </c>
      <c r="AC783" s="18" t="s">
        <v>611</v>
      </c>
      <c r="AD783" s="18" t="s">
        <v>85</v>
      </c>
      <c r="AE783" s="18" t="s">
        <v>90</v>
      </c>
      <c r="AF783" s="18" t="s">
        <v>151</v>
      </c>
      <c r="AG783" s="18" t="s">
        <v>92</v>
      </c>
      <c r="AH783" s="18" t="s">
        <v>93</v>
      </c>
      <c r="AI783" s="18" t="s">
        <v>94</v>
      </c>
      <c r="AJ783" s="19">
        <v>44902</v>
      </c>
      <c r="AK783" s="22">
        <v>44902</v>
      </c>
      <c r="AL783" s="18" t="s">
        <v>291</v>
      </c>
      <c r="AM783" s="18" t="s">
        <v>292</v>
      </c>
      <c r="AN783" s="18" t="s">
        <v>494</v>
      </c>
      <c r="AO783" s="18" t="s">
        <v>543</v>
      </c>
      <c r="AP783" s="18">
        <v>1</v>
      </c>
      <c r="AQ783" s="18">
        <v>156.25</v>
      </c>
      <c r="AR783" s="18" t="s">
        <v>496</v>
      </c>
      <c r="AS783" s="18" t="s">
        <v>81</v>
      </c>
      <c r="AT783" s="18" t="s">
        <v>83</v>
      </c>
      <c r="AU783" s="18" t="s">
        <v>83</v>
      </c>
      <c r="AV783" s="18" t="s">
        <v>95</v>
      </c>
      <c r="AW783" s="18" t="s">
        <v>95</v>
      </c>
      <c r="AX783" s="18"/>
      <c r="AY783" s="18" t="str">
        <f>Pospago[[#This Row],[NUM_TELEFONICO]]&amp;"POSPAGOSI"</f>
        <v>995276844POSPAGOSI</v>
      </c>
      <c r="AZ783" s="18" t="str">
        <f>VLOOKUP(Pospago[[#This Row],[NOM_PLAZA_FINAL]],[1]!Locales[#Data],3,0)</f>
        <v>TIENDA CUENCA REMIGIO</v>
      </c>
      <c r="BA783" s="18" t="str">
        <f>IFERROR(VLOOKUP(Pospago[[#This Row],[USUARIO]],[1]!Personal[#Data],6,0),"EJECUTIVO NO REGISTRADO")</f>
        <v>PATIÑO TAPIA ANDRES SANTIAGO</v>
      </c>
      <c r="BB783" s="18" t="str">
        <f>Pospago[[#This Row],[TIPO_MOVIMIENTO]]&amp;" "&amp;Pospago[[#This Row],[FORMA_PAGO_FINAL]]</f>
        <v>ALTAS DOMICILIADO</v>
      </c>
      <c r="BC783" s="18">
        <f>DAY(Pospago[[#This Row],[FECHA_ALTA]])</f>
        <v>7</v>
      </c>
      <c r="BD783" s="18">
        <f>IF(Pospago[[#This Row],[TARIFA_BASICA]]=11.42,1,0)</f>
        <v>1</v>
      </c>
      <c r="BE783" s="18">
        <f>IF(Pospago[[#This Row],[PLANES TELEVENTAS]]="SI",1,0)</f>
        <v>0</v>
      </c>
      <c r="BF783" s="18">
        <f>1</f>
        <v>1</v>
      </c>
      <c r="BG783" s="18">
        <f>IF(OR(Pospago[[#This Row],[TARIFA_BASICA]]=11.42,Pospago[[#This Row],[PLANES TELEVENTAS]]="SI"),1,0)</f>
        <v>1</v>
      </c>
      <c r="BH783" s="18" t="str">
        <f>IF(MID(Pospago[[#This Row],[PlanDesc]],1,4) = "PLAN","POSPAGO",IF(MID(Pospago[[#This Row],[PlanDesc]],1,4)="FULL","FULL MEGAS","PREVIOPAGO"))</f>
        <v>POSPAGO</v>
      </c>
      <c r="BI7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7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83" s="21">
        <f>Pospago[[#This Row],[TARIFA_BASICA]]*1.5</f>
        <v>17.13</v>
      </c>
    </row>
    <row r="784" spans="1:63" x14ac:dyDescent="0.25">
      <c r="A784" s="18" t="s">
        <v>64</v>
      </c>
      <c r="B784" s="18" t="s">
        <v>4982</v>
      </c>
      <c r="C784" s="18" t="s">
        <v>4983</v>
      </c>
      <c r="D784" s="19">
        <v>44910</v>
      </c>
      <c r="E784" s="18" t="s">
        <v>67</v>
      </c>
      <c r="F784" s="18" t="s">
        <v>4984</v>
      </c>
      <c r="G784" s="18" t="s">
        <v>4985</v>
      </c>
      <c r="H784" s="18" t="s">
        <v>70</v>
      </c>
      <c r="I784" s="18" t="s">
        <v>160</v>
      </c>
      <c r="J784" s="18" t="s">
        <v>195</v>
      </c>
      <c r="K784" s="18" t="s">
        <v>4986</v>
      </c>
      <c r="L784" s="20" t="s">
        <v>4987</v>
      </c>
      <c r="M784" s="18" t="s">
        <v>75</v>
      </c>
      <c r="N784" s="20" t="s">
        <v>4988</v>
      </c>
      <c r="O784" s="18" t="s">
        <v>77</v>
      </c>
      <c r="P784" s="18" t="s">
        <v>78</v>
      </c>
      <c r="Q784" s="19">
        <v>44914</v>
      </c>
      <c r="R784" s="21">
        <v>14.28</v>
      </c>
      <c r="S784" s="18" t="s">
        <v>79</v>
      </c>
      <c r="T784" s="18" t="s">
        <v>232</v>
      </c>
      <c r="U784" s="18" t="s">
        <v>83</v>
      </c>
      <c r="V784" s="18" t="s">
        <v>95</v>
      </c>
      <c r="W784" s="18" t="s">
        <v>83</v>
      </c>
      <c r="X784" s="18" t="s">
        <v>84</v>
      </c>
      <c r="Y784" s="18" t="s">
        <v>85</v>
      </c>
      <c r="Z784" s="18" t="s">
        <v>86</v>
      </c>
      <c r="AA784" s="18" t="s">
        <v>87</v>
      </c>
      <c r="AB784" s="18" t="s">
        <v>412</v>
      </c>
      <c r="AC784" s="18" t="s">
        <v>413</v>
      </c>
      <c r="AD784" s="18" t="s">
        <v>85</v>
      </c>
      <c r="AE784" s="18" t="s">
        <v>90</v>
      </c>
      <c r="AF784" s="18" t="s">
        <v>235</v>
      </c>
      <c r="AG784" s="18" t="s">
        <v>139</v>
      </c>
      <c r="AH784" s="18" t="s">
        <v>93</v>
      </c>
      <c r="AI784" s="18" t="s">
        <v>94</v>
      </c>
      <c r="AJ784" s="19">
        <v>44910</v>
      </c>
      <c r="AK784" s="22" t="s">
        <v>95</v>
      </c>
      <c r="AL784" s="18" t="s">
        <v>95</v>
      </c>
      <c r="AM784" s="18" t="s">
        <v>95</v>
      </c>
      <c r="AN784" s="18" t="s">
        <v>95</v>
      </c>
      <c r="AO784" s="18" t="s">
        <v>95</v>
      </c>
      <c r="AP784" s="18" t="s">
        <v>95</v>
      </c>
      <c r="AQ784" s="18" t="s">
        <v>95</v>
      </c>
      <c r="AR784" s="18" t="s">
        <v>95</v>
      </c>
      <c r="AS784" s="18" t="s">
        <v>83</v>
      </c>
      <c r="AT784" s="18" t="s">
        <v>83</v>
      </c>
      <c r="AU784" s="18" t="s">
        <v>81</v>
      </c>
      <c r="AV784" s="18" t="s">
        <v>95</v>
      </c>
      <c r="AW784" s="18" t="s">
        <v>95</v>
      </c>
      <c r="AX784" s="18"/>
      <c r="AY784" s="18" t="str">
        <f>Pospago[[#This Row],[NUM_TELEFONICO]]&amp;"POSPAGOSI"</f>
        <v>995276856POSPAGOSI</v>
      </c>
      <c r="AZ784" s="18" t="str">
        <f>VLOOKUP(Pospago[[#This Row],[NOM_PLAZA_FINAL]],[1]!Locales[#Data],3,0)</f>
        <v>TIENDA CONDADO</v>
      </c>
      <c r="BA784" s="18" t="str">
        <f>IFERROR(VLOOKUP(Pospago[[#This Row],[USUARIO]],[1]!Personal[#Data],6,0),"EJECUTIVO NO REGISTRADO")</f>
        <v>PADILLA MALDONADO HENRY LEOPOLDO</v>
      </c>
      <c r="BB784" s="18" t="str">
        <f>Pospago[[#This Row],[TIPO_MOVIMIENTO]]&amp;" "&amp;Pospago[[#This Row],[FORMA_PAGO_FINAL]]</f>
        <v>ALTAS DOMICILIADO</v>
      </c>
      <c r="BC784" s="18">
        <f>DAY(Pospago[[#This Row],[FECHA_ALTA]])</f>
        <v>15</v>
      </c>
      <c r="BD784" s="18">
        <f>IF(Pospago[[#This Row],[TARIFA_BASICA]]=11.42,1,0)</f>
        <v>0</v>
      </c>
      <c r="BE784" s="18">
        <f>IF(Pospago[[#This Row],[PLANES TELEVENTAS]]="SI",1,0)</f>
        <v>0</v>
      </c>
      <c r="BF784" s="18">
        <f>1</f>
        <v>1</v>
      </c>
      <c r="BG784" s="18">
        <f>IF(OR(Pospago[[#This Row],[TARIFA_BASICA]]=11.42,Pospago[[#This Row],[PLANES TELEVENTAS]]="SI"),1,0)</f>
        <v>0</v>
      </c>
      <c r="BH784" s="18" t="str">
        <f>IF(MID(Pospago[[#This Row],[PlanDesc]],1,4) = "PLAN","POSPAGO",IF(MID(Pospago[[#This Row],[PlanDesc]],1,4)="FULL","FULL MEGAS","PREVIOPAGO"))</f>
        <v>PREVIOPAGO</v>
      </c>
      <c r="BI7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84" s="21">
        <f>Pospago[[#This Row],[TARIFA_BASICA]]*1.5</f>
        <v>21.419999999999998</v>
      </c>
    </row>
    <row r="785" spans="1:63" x14ac:dyDescent="0.25">
      <c r="A785" s="18" t="s">
        <v>154</v>
      </c>
      <c r="B785" s="18" t="s">
        <v>4989</v>
      </c>
      <c r="C785" s="18" t="s">
        <v>4990</v>
      </c>
      <c r="D785" s="19">
        <v>44908</v>
      </c>
      <c r="E785" s="18" t="s">
        <v>67</v>
      </c>
      <c r="F785" s="18" t="s">
        <v>4991</v>
      </c>
      <c r="G785" s="18" t="s">
        <v>4992</v>
      </c>
      <c r="H785" s="18" t="s">
        <v>159</v>
      </c>
      <c r="I785" s="18" t="s">
        <v>71</v>
      </c>
      <c r="J785" s="18" t="s">
        <v>258</v>
      </c>
      <c r="K785" s="18" t="s">
        <v>132</v>
      </c>
      <c r="L785" s="20" t="s">
        <v>4993</v>
      </c>
      <c r="M785" s="18" t="s">
        <v>75</v>
      </c>
      <c r="N785" s="20" t="s">
        <v>4994</v>
      </c>
      <c r="O785" s="18" t="s">
        <v>164</v>
      </c>
      <c r="P785" s="18" t="s">
        <v>78</v>
      </c>
      <c r="Q785" s="19">
        <v>44914</v>
      </c>
      <c r="R785" s="21">
        <v>11.42</v>
      </c>
      <c r="S785" s="18" t="s">
        <v>79</v>
      </c>
      <c r="T785" s="18" t="s">
        <v>174</v>
      </c>
      <c r="U785" s="18" t="s">
        <v>83</v>
      </c>
      <c r="V785" s="18" t="s">
        <v>95</v>
      </c>
      <c r="W785" s="18" t="s">
        <v>95</v>
      </c>
      <c r="X785" s="18" t="s">
        <v>118</v>
      </c>
      <c r="Y785" s="18" t="s">
        <v>85</v>
      </c>
      <c r="Z785" s="18" t="s">
        <v>86</v>
      </c>
      <c r="AA785" s="18" t="s">
        <v>119</v>
      </c>
      <c r="AB785" s="18" t="s">
        <v>187</v>
      </c>
      <c r="AC785" s="18" t="s">
        <v>188</v>
      </c>
      <c r="AD785" s="18" t="s">
        <v>85</v>
      </c>
      <c r="AE785" s="18" t="s">
        <v>90</v>
      </c>
      <c r="AF785" s="18" t="s">
        <v>177</v>
      </c>
      <c r="AG785" s="18" t="s">
        <v>139</v>
      </c>
      <c r="AH785" s="18" t="s">
        <v>165</v>
      </c>
      <c r="AI785" s="18" t="s">
        <v>94</v>
      </c>
      <c r="AJ785" s="19">
        <v>44908</v>
      </c>
      <c r="AK785" s="22" t="s">
        <v>95</v>
      </c>
      <c r="AL785" s="18" t="s">
        <v>95</v>
      </c>
      <c r="AM785" s="18" t="s">
        <v>95</v>
      </c>
      <c r="AN785" s="18" t="s">
        <v>95</v>
      </c>
      <c r="AO785" s="18" t="s">
        <v>95</v>
      </c>
      <c r="AP785" s="18" t="s">
        <v>95</v>
      </c>
      <c r="AQ785" s="18" t="s">
        <v>95</v>
      </c>
      <c r="AR785" s="18" t="s">
        <v>95</v>
      </c>
      <c r="AS785" s="18" t="s">
        <v>83</v>
      </c>
      <c r="AT785" s="18" t="s">
        <v>83</v>
      </c>
      <c r="AU785" s="18" t="s">
        <v>81</v>
      </c>
      <c r="AV785" s="18" t="s">
        <v>95</v>
      </c>
      <c r="AW785" s="18" t="s">
        <v>95</v>
      </c>
      <c r="AX785" s="18"/>
      <c r="AY785" s="18" t="str">
        <f>Pospago[[#This Row],[NUM_TELEFONICO]]&amp;"POSPAGOSI"</f>
        <v>995280258POSPAGOSI</v>
      </c>
      <c r="AZ785" s="18" t="str">
        <f>VLOOKUP(Pospago[[#This Row],[NOM_PLAZA_FINAL]],[1]!Locales[#Data],3,0)</f>
        <v>TIENDA RECREO</v>
      </c>
      <c r="BA785" s="18" t="str">
        <f>IFERROR(VLOOKUP(Pospago[[#This Row],[USUARIO]],[1]!Personal[#Data],6,0),"EJECUTIVO NO REGISTRADO")</f>
        <v>ESPINOZA MARTINES LAURA XIOMARA</v>
      </c>
      <c r="BB785" s="18" t="str">
        <f>Pospago[[#This Row],[TIPO_MOVIMIENTO]]&amp;" "&amp;Pospago[[#This Row],[FORMA_PAGO_FINAL]]</f>
        <v>TRANSFERENCIAS PAGO EN CAJA</v>
      </c>
      <c r="BC785" s="18">
        <f>DAY(Pospago[[#This Row],[FECHA_ALTA]])</f>
        <v>13</v>
      </c>
      <c r="BD785" s="18">
        <f>IF(Pospago[[#This Row],[TARIFA_BASICA]]=11.42,1,0)</f>
        <v>1</v>
      </c>
      <c r="BE785" s="18">
        <f>IF(Pospago[[#This Row],[PLANES TELEVENTAS]]="SI",1,0)</f>
        <v>0</v>
      </c>
      <c r="BF785" s="18">
        <f>1</f>
        <v>1</v>
      </c>
      <c r="BG785" s="18">
        <f>IF(OR(Pospago[[#This Row],[TARIFA_BASICA]]=11.42,Pospago[[#This Row],[PLANES TELEVENTAS]]="SI"),1,0)</f>
        <v>1</v>
      </c>
      <c r="BH785" s="18" t="str">
        <f>IF(MID(Pospago[[#This Row],[PlanDesc]],1,4) = "PLAN","POSPAGO",IF(MID(Pospago[[#This Row],[PlanDesc]],1,4)="FULL","FULL MEGAS","PREVIOPAGO"))</f>
        <v>PREVIOPAGO</v>
      </c>
      <c r="BI7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7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85" s="21">
        <f>Pospago[[#This Row],[TARIFA_BASICA]]*1.5</f>
        <v>17.13</v>
      </c>
    </row>
    <row r="786" spans="1:63" x14ac:dyDescent="0.25">
      <c r="A786" s="18" t="s">
        <v>64</v>
      </c>
      <c r="B786" s="18" t="s">
        <v>4995</v>
      </c>
      <c r="C786" s="18" t="s">
        <v>4996</v>
      </c>
      <c r="D786" s="19">
        <v>44909</v>
      </c>
      <c r="E786" s="18" t="s">
        <v>67</v>
      </c>
      <c r="F786" s="18" t="s">
        <v>4997</v>
      </c>
      <c r="G786" s="18" t="s">
        <v>4998</v>
      </c>
      <c r="H786" s="18" t="s">
        <v>70</v>
      </c>
      <c r="I786" s="18" t="s">
        <v>160</v>
      </c>
      <c r="J786" s="18" t="s">
        <v>195</v>
      </c>
      <c r="K786" s="18" t="s">
        <v>132</v>
      </c>
      <c r="L786" s="20" t="s">
        <v>4999</v>
      </c>
      <c r="M786" s="18" t="s">
        <v>75</v>
      </c>
      <c r="N786" s="20" t="s">
        <v>5000</v>
      </c>
      <c r="O786" s="18" t="s">
        <v>77</v>
      </c>
      <c r="P786" s="18" t="s">
        <v>78</v>
      </c>
      <c r="Q786" s="19">
        <v>44914</v>
      </c>
      <c r="R786" s="21">
        <v>14.28</v>
      </c>
      <c r="S786" s="18" t="s">
        <v>79</v>
      </c>
      <c r="T786" s="18" t="s">
        <v>135</v>
      </c>
      <c r="U786" s="18" t="s">
        <v>83</v>
      </c>
      <c r="V786" s="18" t="s">
        <v>95</v>
      </c>
      <c r="W786" s="18" t="s">
        <v>83</v>
      </c>
      <c r="X786" s="18" t="s">
        <v>84</v>
      </c>
      <c r="Y786" s="18" t="s">
        <v>85</v>
      </c>
      <c r="Z786" s="18" t="s">
        <v>86</v>
      </c>
      <c r="AA786" s="18" t="s">
        <v>87</v>
      </c>
      <c r="AB786" s="18" t="s">
        <v>326</v>
      </c>
      <c r="AC786" s="18" t="s">
        <v>327</v>
      </c>
      <c r="AD786" s="18" t="s">
        <v>85</v>
      </c>
      <c r="AE786" s="18" t="s">
        <v>90</v>
      </c>
      <c r="AF786" s="18" t="s">
        <v>138</v>
      </c>
      <c r="AG786" s="18" t="s">
        <v>139</v>
      </c>
      <c r="AH786" s="18" t="s">
        <v>93</v>
      </c>
      <c r="AI786" s="18" t="s">
        <v>94</v>
      </c>
      <c r="AJ786" s="19">
        <v>44909</v>
      </c>
      <c r="AK786" s="22" t="s">
        <v>95</v>
      </c>
      <c r="AL786" s="18" t="s">
        <v>95</v>
      </c>
      <c r="AM786" s="18" t="s">
        <v>95</v>
      </c>
      <c r="AN786" s="18" t="s">
        <v>95</v>
      </c>
      <c r="AO786" s="18" t="s">
        <v>95</v>
      </c>
      <c r="AP786" s="18" t="s">
        <v>95</v>
      </c>
      <c r="AQ786" s="18" t="s">
        <v>95</v>
      </c>
      <c r="AR786" s="18" t="s">
        <v>95</v>
      </c>
      <c r="AS786" s="18" t="s">
        <v>83</v>
      </c>
      <c r="AT786" s="18" t="s">
        <v>83</v>
      </c>
      <c r="AU786" s="18" t="s">
        <v>81</v>
      </c>
      <c r="AV786" s="18" t="s">
        <v>95</v>
      </c>
      <c r="AW786" s="18" t="s">
        <v>95</v>
      </c>
      <c r="AX786" s="18"/>
      <c r="AY786" s="18" t="str">
        <f>Pospago[[#This Row],[NUM_TELEFONICO]]&amp;"POSPAGOSI"</f>
        <v>995282694POSPAGOSI</v>
      </c>
      <c r="AZ786" s="18" t="str">
        <f>VLOOKUP(Pospago[[#This Row],[NOM_PLAZA_FINAL]],[1]!Locales[#Data],3,0)</f>
        <v>TIENDA AMERICA</v>
      </c>
      <c r="BA786" s="18" t="str">
        <f>IFERROR(VLOOKUP(Pospago[[#This Row],[USUARIO]],[1]!Personal[#Data],6,0),"EJECUTIVO NO REGISTRADO")</f>
        <v>AMBULUDI ROLDAN GIANELLA GRIMANEZA</v>
      </c>
      <c r="BB786" s="18" t="str">
        <f>Pospago[[#This Row],[TIPO_MOVIMIENTO]]&amp;" "&amp;Pospago[[#This Row],[FORMA_PAGO_FINAL]]</f>
        <v>ALTAS DOMICILIADO</v>
      </c>
      <c r="BC786" s="18">
        <f>DAY(Pospago[[#This Row],[FECHA_ALTA]])</f>
        <v>14</v>
      </c>
      <c r="BD786" s="18">
        <f>IF(Pospago[[#This Row],[TARIFA_BASICA]]=11.42,1,0)</f>
        <v>0</v>
      </c>
      <c r="BE786" s="18">
        <f>IF(Pospago[[#This Row],[PLANES TELEVENTAS]]="SI",1,0)</f>
        <v>0</v>
      </c>
      <c r="BF786" s="18">
        <f>1</f>
        <v>1</v>
      </c>
      <c r="BG786" s="18">
        <f>IF(OR(Pospago[[#This Row],[TARIFA_BASICA]]=11.42,Pospago[[#This Row],[PLANES TELEVENTAS]]="SI"),1,0)</f>
        <v>0</v>
      </c>
      <c r="BH786" s="18" t="str">
        <f>IF(MID(Pospago[[#This Row],[PlanDesc]],1,4) = "PLAN","POSPAGO",IF(MID(Pospago[[#This Row],[PlanDesc]],1,4)="FULL","FULL MEGAS","PREVIOPAGO"))</f>
        <v>PREVIOPAGO</v>
      </c>
      <c r="BI7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86" s="21">
        <f>Pospago[[#This Row],[TARIFA_BASICA]]*1.5</f>
        <v>21.419999999999998</v>
      </c>
    </row>
    <row r="787" spans="1:63" x14ac:dyDescent="0.25">
      <c r="A787" s="18" t="s">
        <v>64</v>
      </c>
      <c r="B787" s="18" t="s">
        <v>5001</v>
      </c>
      <c r="C787" s="18" t="s">
        <v>5002</v>
      </c>
      <c r="D787" s="19">
        <v>44896</v>
      </c>
      <c r="E787" s="18" t="s">
        <v>67</v>
      </c>
      <c r="F787" s="18" t="s">
        <v>5003</v>
      </c>
      <c r="G787" s="18" t="s">
        <v>5004</v>
      </c>
      <c r="H787" s="18" t="s">
        <v>70</v>
      </c>
      <c r="I787" s="18" t="s">
        <v>112</v>
      </c>
      <c r="J787" s="18" t="s">
        <v>113</v>
      </c>
      <c r="K787" s="18" t="s">
        <v>73</v>
      </c>
      <c r="L787" s="20" t="s">
        <v>5005</v>
      </c>
      <c r="M787" s="18" t="s">
        <v>75</v>
      </c>
      <c r="N787" s="20" t="s">
        <v>5006</v>
      </c>
      <c r="O787" s="18" t="s">
        <v>77</v>
      </c>
      <c r="P787" s="18" t="s">
        <v>78</v>
      </c>
      <c r="Q787" s="19">
        <v>44914</v>
      </c>
      <c r="R787" s="21">
        <v>17.850000000000001</v>
      </c>
      <c r="S787" s="18" t="s">
        <v>79</v>
      </c>
      <c r="T787" s="18" t="s">
        <v>174</v>
      </c>
      <c r="U787" s="18" t="s">
        <v>83</v>
      </c>
      <c r="V787" s="18" t="s">
        <v>95</v>
      </c>
      <c r="W787" s="18" t="s">
        <v>83</v>
      </c>
      <c r="X787" s="18" t="s">
        <v>84</v>
      </c>
      <c r="Y787" s="18" t="s">
        <v>85</v>
      </c>
      <c r="Z787" s="18" t="s">
        <v>86</v>
      </c>
      <c r="AA787" s="18" t="s">
        <v>87</v>
      </c>
      <c r="AB787" s="18" t="s">
        <v>808</v>
      </c>
      <c r="AC787" s="18" t="s">
        <v>809</v>
      </c>
      <c r="AD787" s="18" t="s">
        <v>85</v>
      </c>
      <c r="AE787" s="18" t="s">
        <v>90</v>
      </c>
      <c r="AF787" s="18" t="s">
        <v>122</v>
      </c>
      <c r="AG787" s="18" t="s">
        <v>92</v>
      </c>
      <c r="AH787" s="18" t="s">
        <v>93</v>
      </c>
      <c r="AI787" s="18" t="s">
        <v>94</v>
      </c>
      <c r="AJ787" s="19">
        <v>44896</v>
      </c>
      <c r="AK787" s="22" t="s">
        <v>95</v>
      </c>
      <c r="AL787" s="18" t="s">
        <v>95</v>
      </c>
      <c r="AM787" s="18" t="s">
        <v>95</v>
      </c>
      <c r="AN787" s="18" t="s">
        <v>95</v>
      </c>
      <c r="AO787" s="18" t="s">
        <v>95</v>
      </c>
      <c r="AP787" s="18" t="s">
        <v>95</v>
      </c>
      <c r="AQ787" s="18" t="s">
        <v>95</v>
      </c>
      <c r="AR787" s="18" t="s">
        <v>95</v>
      </c>
      <c r="AS787" s="18" t="s">
        <v>83</v>
      </c>
      <c r="AT787" s="18" t="s">
        <v>83</v>
      </c>
      <c r="AU787" s="18" t="s">
        <v>81</v>
      </c>
      <c r="AV787" s="18" t="s">
        <v>95</v>
      </c>
      <c r="AW787" s="18" t="s">
        <v>95</v>
      </c>
      <c r="AX787" s="18"/>
      <c r="AY787" s="18" t="str">
        <f>Pospago[[#This Row],[NUM_TELEFONICO]]&amp;"POSPAGOSI"</f>
        <v>995292631POSPAGOSI</v>
      </c>
      <c r="AZ787" s="18" t="str">
        <f>VLOOKUP(Pospago[[#This Row],[NOM_PLAZA_FINAL]],[1]!Locales[#Data],3,0)</f>
        <v>TIENDA MACHALA</v>
      </c>
      <c r="BA787" s="18" t="str">
        <f>IFERROR(VLOOKUP(Pospago[[#This Row],[USUARIO]],[1]!Personal[#Data],6,0),"EJECUTIVO NO REGISTRADO")</f>
        <v>ALICIA ROMINA GONZALEZ SANDOYA</v>
      </c>
      <c r="BB787" s="18" t="str">
        <f>Pospago[[#This Row],[TIPO_MOVIMIENTO]]&amp;" "&amp;Pospago[[#This Row],[FORMA_PAGO_FINAL]]</f>
        <v>ALTAS DOMICILIADO</v>
      </c>
      <c r="BC787" s="18">
        <f>DAY(Pospago[[#This Row],[FECHA_ALTA]])</f>
        <v>1</v>
      </c>
      <c r="BD787" s="18">
        <f>IF(Pospago[[#This Row],[TARIFA_BASICA]]=11.42,1,0)</f>
        <v>0</v>
      </c>
      <c r="BE787" s="18">
        <f>IF(Pospago[[#This Row],[PLANES TELEVENTAS]]="SI",1,0)</f>
        <v>0</v>
      </c>
      <c r="BF787" s="18">
        <f>1</f>
        <v>1</v>
      </c>
      <c r="BG787" s="18">
        <f>IF(OR(Pospago[[#This Row],[TARIFA_BASICA]]=11.42,Pospago[[#This Row],[PLANES TELEVENTAS]]="SI"),1,0)</f>
        <v>0</v>
      </c>
      <c r="BH787" s="18" t="str">
        <f>IF(MID(Pospago[[#This Row],[PlanDesc]],1,4) = "PLAN","POSPAGO",IF(MID(Pospago[[#This Row],[PlanDesc]],1,4)="FULL","FULL MEGAS","PREVIOPAGO"))</f>
        <v>PREVIOPAGO</v>
      </c>
      <c r="BI7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25.212</v>
      </c>
      <c r="BJ7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87" s="21">
        <f>Pospago[[#This Row],[TARIFA_BASICA]]*1.5</f>
        <v>26.775000000000002</v>
      </c>
    </row>
    <row r="788" spans="1:63" x14ac:dyDescent="0.25">
      <c r="A788" s="18" t="s">
        <v>64</v>
      </c>
      <c r="B788" s="18" t="s">
        <v>5007</v>
      </c>
      <c r="C788" s="18" t="s">
        <v>5008</v>
      </c>
      <c r="D788" s="19">
        <v>44901</v>
      </c>
      <c r="E788" s="18" t="s">
        <v>67</v>
      </c>
      <c r="F788" s="18" t="s">
        <v>5009</v>
      </c>
      <c r="G788" s="18" t="s">
        <v>5010</v>
      </c>
      <c r="H788" s="18" t="s">
        <v>70</v>
      </c>
      <c r="I788" s="18" t="s">
        <v>160</v>
      </c>
      <c r="J788" s="18" t="s">
        <v>195</v>
      </c>
      <c r="K788" s="18" t="s">
        <v>73</v>
      </c>
      <c r="L788" s="20" t="s">
        <v>5011</v>
      </c>
      <c r="M788" s="18" t="s">
        <v>75</v>
      </c>
      <c r="N788" s="20" t="s">
        <v>5012</v>
      </c>
      <c r="O788" s="18" t="s">
        <v>77</v>
      </c>
      <c r="P788" s="18" t="s">
        <v>78</v>
      </c>
      <c r="Q788" s="19">
        <v>44914</v>
      </c>
      <c r="R788" s="21">
        <v>14.28</v>
      </c>
      <c r="S788" s="18" t="s">
        <v>79</v>
      </c>
      <c r="T788" s="18" t="s">
        <v>232</v>
      </c>
      <c r="U788" s="18" t="s">
        <v>83</v>
      </c>
      <c r="V788" s="18" t="s">
        <v>95</v>
      </c>
      <c r="W788" s="18" t="s">
        <v>83</v>
      </c>
      <c r="X788" s="18" t="s">
        <v>84</v>
      </c>
      <c r="Y788" s="18" t="s">
        <v>85</v>
      </c>
      <c r="Z788" s="18" t="s">
        <v>86</v>
      </c>
      <c r="AA788" s="18" t="s">
        <v>87</v>
      </c>
      <c r="AB788" s="18" t="s">
        <v>443</v>
      </c>
      <c r="AC788" s="18" t="s">
        <v>444</v>
      </c>
      <c r="AD788" s="18" t="s">
        <v>85</v>
      </c>
      <c r="AE788" s="18" t="s">
        <v>90</v>
      </c>
      <c r="AF788" s="18" t="s">
        <v>235</v>
      </c>
      <c r="AG788" s="18" t="s">
        <v>139</v>
      </c>
      <c r="AH788" s="18" t="s">
        <v>93</v>
      </c>
      <c r="AI788" s="18" t="s">
        <v>94</v>
      </c>
      <c r="AJ788" s="19">
        <v>44901</v>
      </c>
      <c r="AK788" s="22" t="s">
        <v>95</v>
      </c>
      <c r="AL788" s="18" t="s">
        <v>95</v>
      </c>
      <c r="AM788" s="18" t="s">
        <v>95</v>
      </c>
      <c r="AN788" s="18" t="s">
        <v>95</v>
      </c>
      <c r="AO788" s="18" t="s">
        <v>95</v>
      </c>
      <c r="AP788" s="18" t="s">
        <v>95</v>
      </c>
      <c r="AQ788" s="18" t="s">
        <v>95</v>
      </c>
      <c r="AR788" s="18" t="s">
        <v>95</v>
      </c>
      <c r="AS788" s="18" t="s">
        <v>83</v>
      </c>
      <c r="AT788" s="18" t="s">
        <v>83</v>
      </c>
      <c r="AU788" s="18" t="s">
        <v>81</v>
      </c>
      <c r="AV788" s="18" t="s">
        <v>95</v>
      </c>
      <c r="AW788" s="18" t="s">
        <v>95</v>
      </c>
      <c r="AX788" s="18"/>
      <c r="AY788" s="18" t="str">
        <f>Pospago[[#This Row],[NUM_TELEFONICO]]&amp;"POSPAGOSI"</f>
        <v>995295225POSPAGOSI</v>
      </c>
      <c r="AZ788" s="18" t="str">
        <f>VLOOKUP(Pospago[[#This Row],[NOM_PLAZA_FINAL]],[1]!Locales[#Data],3,0)</f>
        <v>TIENDA CONDADO</v>
      </c>
      <c r="BA788" s="18" t="str">
        <f>IFERROR(VLOOKUP(Pospago[[#This Row],[USUARIO]],[1]!Personal[#Data],6,0),"EJECUTIVO NO REGISTRADO")</f>
        <v>JARAMILLO ESPINOZA KENIA KATRINA</v>
      </c>
      <c r="BB788" s="18" t="str">
        <f>Pospago[[#This Row],[TIPO_MOVIMIENTO]]&amp;" "&amp;Pospago[[#This Row],[FORMA_PAGO_FINAL]]</f>
        <v>ALTAS DOMICILIADO</v>
      </c>
      <c r="BC788" s="18">
        <f>DAY(Pospago[[#This Row],[FECHA_ALTA]])</f>
        <v>6</v>
      </c>
      <c r="BD788" s="18">
        <f>IF(Pospago[[#This Row],[TARIFA_BASICA]]=11.42,1,0)</f>
        <v>0</v>
      </c>
      <c r="BE788" s="18">
        <f>IF(Pospago[[#This Row],[PLANES TELEVENTAS]]="SI",1,0)</f>
        <v>0</v>
      </c>
      <c r="BF788" s="18">
        <f>1</f>
        <v>1</v>
      </c>
      <c r="BG788" s="18">
        <f>IF(OR(Pospago[[#This Row],[TARIFA_BASICA]]=11.42,Pospago[[#This Row],[PLANES TELEVENTAS]]="SI"),1,0)</f>
        <v>0</v>
      </c>
      <c r="BH788" s="18" t="str">
        <f>IF(MID(Pospago[[#This Row],[PlanDesc]],1,4) = "PLAN","POSPAGO",IF(MID(Pospago[[#This Row],[PlanDesc]],1,4)="FULL","FULL MEGAS","PREVIOPAGO"))</f>
        <v>PREVIOPAGO</v>
      </c>
      <c r="BI7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88" s="21">
        <f>Pospago[[#This Row],[TARIFA_BASICA]]*1.5</f>
        <v>21.419999999999998</v>
      </c>
    </row>
    <row r="789" spans="1:63" x14ac:dyDescent="0.25">
      <c r="A789" s="18" t="s">
        <v>64</v>
      </c>
      <c r="B789" s="18" t="s">
        <v>5013</v>
      </c>
      <c r="C789" s="18" t="s">
        <v>5014</v>
      </c>
      <c r="D789" s="19">
        <v>44900</v>
      </c>
      <c r="E789" s="18" t="s">
        <v>67</v>
      </c>
      <c r="F789" s="18" t="s">
        <v>5015</v>
      </c>
      <c r="G789" s="18" t="s">
        <v>5016</v>
      </c>
      <c r="H789" s="18" t="s">
        <v>70</v>
      </c>
      <c r="I789" s="18" t="s">
        <v>71</v>
      </c>
      <c r="J789" s="18" t="s">
        <v>72</v>
      </c>
      <c r="K789" s="18" t="s">
        <v>114</v>
      </c>
      <c r="L789" s="20" t="s">
        <v>5017</v>
      </c>
      <c r="M789" s="18" t="s">
        <v>287</v>
      </c>
      <c r="N789" s="20" t="s">
        <v>5018</v>
      </c>
      <c r="O789" s="18" t="s">
        <v>77</v>
      </c>
      <c r="P789" s="18" t="s">
        <v>78</v>
      </c>
      <c r="Q789" s="19">
        <v>44914</v>
      </c>
      <c r="R789" s="21">
        <v>11.42</v>
      </c>
      <c r="S789" s="18" t="s">
        <v>79</v>
      </c>
      <c r="T789" s="18" t="s">
        <v>117</v>
      </c>
      <c r="U789" s="18" t="s">
        <v>83</v>
      </c>
      <c r="V789" s="18" t="s">
        <v>95</v>
      </c>
      <c r="W789" s="18" t="s">
        <v>83</v>
      </c>
      <c r="X789" s="18" t="s">
        <v>118</v>
      </c>
      <c r="Y789" s="18" t="s">
        <v>85</v>
      </c>
      <c r="Z789" s="18" t="s">
        <v>86</v>
      </c>
      <c r="AA789" s="18" t="s">
        <v>119</v>
      </c>
      <c r="AB789" s="18" t="s">
        <v>651</v>
      </c>
      <c r="AC789" s="18" t="s">
        <v>652</v>
      </c>
      <c r="AD789" s="18" t="s">
        <v>85</v>
      </c>
      <c r="AE789" s="18" t="s">
        <v>90</v>
      </c>
      <c r="AF789" s="18" t="s">
        <v>122</v>
      </c>
      <c r="AG789" s="18" t="s">
        <v>92</v>
      </c>
      <c r="AH789" s="18" t="s">
        <v>93</v>
      </c>
      <c r="AI789" s="18" t="s">
        <v>94</v>
      </c>
      <c r="AJ789" s="19">
        <v>44900</v>
      </c>
      <c r="AK789" s="22">
        <v>44900</v>
      </c>
      <c r="AL789" s="18" t="s">
        <v>291</v>
      </c>
      <c r="AM789" s="18" t="s">
        <v>292</v>
      </c>
      <c r="AN789" s="18" t="s">
        <v>494</v>
      </c>
      <c r="AO789" s="18" t="s">
        <v>3770</v>
      </c>
      <c r="AP789" s="18">
        <v>1</v>
      </c>
      <c r="AQ789" s="18">
        <v>406.25</v>
      </c>
      <c r="AR789" s="18" t="s">
        <v>496</v>
      </c>
      <c r="AS789" s="18" t="s">
        <v>81</v>
      </c>
      <c r="AT789" s="18" t="s">
        <v>83</v>
      </c>
      <c r="AU789" s="18" t="s">
        <v>81</v>
      </c>
      <c r="AV789" s="18" t="s">
        <v>95</v>
      </c>
      <c r="AW789" s="18" t="s">
        <v>96</v>
      </c>
      <c r="AX789" s="18"/>
      <c r="AY789" s="18" t="str">
        <f>Pospago[[#This Row],[NUM_TELEFONICO]]&amp;"POSPAGOSI"</f>
        <v>995297108POSPAGOSI</v>
      </c>
      <c r="AZ789" s="18" t="str">
        <f>VLOOKUP(Pospago[[#This Row],[NOM_PLAZA_FINAL]],[1]!Locales[#Data],3,0)</f>
        <v>TIENDA MACHALA</v>
      </c>
      <c r="BA789" s="18" t="str">
        <f>IFERROR(VLOOKUP(Pospago[[#This Row],[USUARIO]],[1]!Personal[#Data],6,0),"EJECUTIVO NO REGISTRADO")</f>
        <v>SANCHEZ SARITAMA JOEL LUIS</v>
      </c>
      <c r="BB789" s="18" t="str">
        <f>Pospago[[#This Row],[TIPO_MOVIMIENTO]]&amp;" "&amp;Pospago[[#This Row],[FORMA_PAGO_FINAL]]</f>
        <v>ALTAS PAGO EN CAJA</v>
      </c>
      <c r="BC789" s="18">
        <f>DAY(Pospago[[#This Row],[FECHA_ALTA]])</f>
        <v>5</v>
      </c>
      <c r="BD789" s="18">
        <f>IF(Pospago[[#This Row],[TARIFA_BASICA]]=11.42,1,0)</f>
        <v>1</v>
      </c>
      <c r="BE789" s="18">
        <f>IF(Pospago[[#This Row],[PLANES TELEVENTAS]]="SI",1,0)</f>
        <v>0</v>
      </c>
      <c r="BF789" s="18">
        <f>1</f>
        <v>1</v>
      </c>
      <c r="BG789" s="18">
        <f>IF(OR(Pospago[[#This Row],[TARIFA_BASICA]]=11.42,Pospago[[#This Row],[PLANES TELEVENTAS]]="SI"),1,0)</f>
        <v>1</v>
      </c>
      <c r="BH789" s="18" t="str">
        <f>IF(MID(Pospago[[#This Row],[PlanDesc]],1,4) = "PLAN","POSPAGO",IF(MID(Pospago[[#This Row],[PlanDesc]],1,4)="FULL","FULL MEGAS","PREVIOPAGO"))</f>
        <v>PREVIOPAGO</v>
      </c>
      <c r="BI7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7.4879999999999995</v>
      </c>
      <c r="BJ7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89" s="21">
        <f>Pospago[[#This Row],[TARIFA_BASICA]]*1.5</f>
        <v>17.13</v>
      </c>
    </row>
    <row r="790" spans="1:63" x14ac:dyDescent="0.25">
      <c r="A790" s="18" t="s">
        <v>154</v>
      </c>
      <c r="B790" s="18" t="s">
        <v>5019</v>
      </c>
      <c r="C790" s="18" t="s">
        <v>5020</v>
      </c>
      <c r="D790" s="19">
        <v>44900</v>
      </c>
      <c r="E790" s="18" t="s">
        <v>67</v>
      </c>
      <c r="F790" s="18" t="s">
        <v>5021</v>
      </c>
      <c r="G790" s="18" t="s">
        <v>5022</v>
      </c>
      <c r="H790" s="18" t="s">
        <v>159</v>
      </c>
      <c r="I790" s="18" t="s">
        <v>71</v>
      </c>
      <c r="J790" s="18" t="s">
        <v>258</v>
      </c>
      <c r="K790" s="18" t="s">
        <v>132</v>
      </c>
      <c r="L790" s="20" t="s">
        <v>5023</v>
      </c>
      <c r="M790" s="18" t="s">
        <v>75</v>
      </c>
      <c r="N790" s="20" t="s">
        <v>5024</v>
      </c>
      <c r="O790" s="18" t="s">
        <v>164</v>
      </c>
      <c r="P790" s="18" t="s">
        <v>78</v>
      </c>
      <c r="Q790" s="19">
        <v>44914</v>
      </c>
      <c r="R790" s="21">
        <v>11.42</v>
      </c>
      <c r="S790" s="18" t="s">
        <v>79</v>
      </c>
      <c r="T790" s="18" t="s">
        <v>174</v>
      </c>
      <c r="U790" s="18" t="s">
        <v>83</v>
      </c>
      <c r="V790" s="18" t="s">
        <v>95</v>
      </c>
      <c r="W790" s="18" t="s">
        <v>95</v>
      </c>
      <c r="X790" s="18" t="s">
        <v>118</v>
      </c>
      <c r="Y790" s="18" t="s">
        <v>85</v>
      </c>
      <c r="Z790" s="18" t="s">
        <v>86</v>
      </c>
      <c r="AA790" s="18" t="s">
        <v>119</v>
      </c>
      <c r="AB790" s="18" t="s">
        <v>369</v>
      </c>
      <c r="AC790" s="18" t="s">
        <v>370</v>
      </c>
      <c r="AD790" s="18" t="s">
        <v>85</v>
      </c>
      <c r="AE790" s="18" t="s">
        <v>90</v>
      </c>
      <c r="AF790" s="18" t="s">
        <v>177</v>
      </c>
      <c r="AG790" s="18" t="s">
        <v>139</v>
      </c>
      <c r="AH790" s="18" t="s">
        <v>165</v>
      </c>
      <c r="AI790" s="18" t="s">
        <v>94</v>
      </c>
      <c r="AJ790" s="19">
        <v>44900</v>
      </c>
      <c r="AK790" s="22" t="s">
        <v>95</v>
      </c>
      <c r="AL790" s="18" t="s">
        <v>95</v>
      </c>
      <c r="AM790" s="18" t="s">
        <v>95</v>
      </c>
      <c r="AN790" s="18" t="s">
        <v>95</v>
      </c>
      <c r="AO790" s="18" t="s">
        <v>95</v>
      </c>
      <c r="AP790" s="18" t="s">
        <v>95</v>
      </c>
      <c r="AQ790" s="18" t="s">
        <v>95</v>
      </c>
      <c r="AR790" s="18" t="s">
        <v>95</v>
      </c>
      <c r="AS790" s="18" t="s">
        <v>83</v>
      </c>
      <c r="AT790" s="18" t="s">
        <v>83</v>
      </c>
      <c r="AU790" s="18" t="s">
        <v>81</v>
      </c>
      <c r="AV790" s="18" t="s">
        <v>95</v>
      </c>
      <c r="AW790" s="18" t="s">
        <v>95</v>
      </c>
      <c r="AX790" s="18"/>
      <c r="AY790" s="18" t="str">
        <f>Pospago[[#This Row],[NUM_TELEFONICO]]&amp;"POSPAGOSI"</f>
        <v>995299836POSPAGOSI</v>
      </c>
      <c r="AZ790" s="18" t="str">
        <f>VLOOKUP(Pospago[[#This Row],[NOM_PLAZA_FINAL]],[1]!Locales[#Data],3,0)</f>
        <v>TIENDA RECREO</v>
      </c>
      <c r="BA790" s="18" t="str">
        <f>IFERROR(VLOOKUP(Pospago[[#This Row],[USUARIO]],[1]!Personal[#Data],6,0),"EJECUTIVO NO REGISTRADO")</f>
        <v>GUAIGUA REINOSO GENESIS CAROLINA</v>
      </c>
      <c r="BB790" s="18" t="str">
        <f>Pospago[[#This Row],[TIPO_MOVIMIENTO]]&amp;" "&amp;Pospago[[#This Row],[FORMA_PAGO_FINAL]]</f>
        <v>TRANSFERENCIAS PAGO EN CAJA</v>
      </c>
      <c r="BC790" s="18">
        <f>DAY(Pospago[[#This Row],[FECHA_ALTA]])</f>
        <v>5</v>
      </c>
      <c r="BD790" s="18">
        <f>IF(Pospago[[#This Row],[TARIFA_BASICA]]=11.42,1,0)</f>
        <v>1</v>
      </c>
      <c r="BE790" s="18">
        <f>IF(Pospago[[#This Row],[PLANES TELEVENTAS]]="SI",1,0)</f>
        <v>0</v>
      </c>
      <c r="BF790" s="18">
        <f>1</f>
        <v>1</v>
      </c>
      <c r="BG790" s="18">
        <f>IF(OR(Pospago[[#This Row],[TARIFA_BASICA]]=11.42,Pospago[[#This Row],[PLANES TELEVENTAS]]="SI"),1,0)</f>
        <v>1</v>
      </c>
      <c r="BH790" s="18" t="str">
        <f>IF(MID(Pospago[[#This Row],[PlanDesc]],1,4) = "PLAN","POSPAGO",IF(MID(Pospago[[#This Row],[PlanDesc]],1,4)="FULL","FULL MEGAS","PREVIOPAGO"))</f>
        <v>PREVIOPAGO</v>
      </c>
      <c r="BI7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7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90" s="21">
        <f>Pospago[[#This Row],[TARIFA_BASICA]]*1.5</f>
        <v>17.13</v>
      </c>
    </row>
    <row r="791" spans="1:63" x14ac:dyDescent="0.25">
      <c r="A791" s="18" t="s">
        <v>154</v>
      </c>
      <c r="B791" s="18" t="s">
        <v>5025</v>
      </c>
      <c r="C791" s="18" t="s">
        <v>5026</v>
      </c>
      <c r="D791" s="19">
        <v>44912</v>
      </c>
      <c r="E791" s="18" t="s">
        <v>67</v>
      </c>
      <c r="F791" s="18" t="s">
        <v>5027</v>
      </c>
      <c r="G791" s="18" t="s">
        <v>5028</v>
      </c>
      <c r="H791" s="18" t="s">
        <v>159</v>
      </c>
      <c r="I791" s="18" t="s">
        <v>71</v>
      </c>
      <c r="J791" s="18" t="s">
        <v>258</v>
      </c>
      <c r="K791" s="18" t="s">
        <v>132</v>
      </c>
      <c r="L791" s="20" t="s">
        <v>5029</v>
      </c>
      <c r="M791" s="18" t="s">
        <v>75</v>
      </c>
      <c r="N791" s="20" t="s">
        <v>5030</v>
      </c>
      <c r="O791" s="18" t="s">
        <v>164</v>
      </c>
      <c r="P791" s="18" t="s">
        <v>78</v>
      </c>
      <c r="Q791" s="19">
        <v>44914</v>
      </c>
      <c r="R791" s="21">
        <v>11.42</v>
      </c>
      <c r="S791" s="18" t="s">
        <v>79</v>
      </c>
      <c r="T791" s="18" t="s">
        <v>174</v>
      </c>
      <c r="U791" s="18" t="s">
        <v>83</v>
      </c>
      <c r="V791" s="18" t="s">
        <v>95</v>
      </c>
      <c r="W791" s="18" t="s">
        <v>95</v>
      </c>
      <c r="X791" s="18" t="s">
        <v>118</v>
      </c>
      <c r="Y791" s="18" t="s">
        <v>85</v>
      </c>
      <c r="Z791" s="18" t="s">
        <v>86</v>
      </c>
      <c r="AA791" s="18" t="s">
        <v>119</v>
      </c>
      <c r="AB791" s="18" t="s">
        <v>822</v>
      </c>
      <c r="AC791" s="18" t="s">
        <v>823</v>
      </c>
      <c r="AD791" s="18" t="s">
        <v>85</v>
      </c>
      <c r="AE791" s="18" t="s">
        <v>90</v>
      </c>
      <c r="AF791" s="18" t="s">
        <v>177</v>
      </c>
      <c r="AG791" s="18" t="s">
        <v>139</v>
      </c>
      <c r="AH791" s="18" t="s">
        <v>165</v>
      </c>
      <c r="AI791" s="18" t="s">
        <v>94</v>
      </c>
      <c r="AJ791" s="19">
        <v>44912</v>
      </c>
      <c r="AK791" s="22" t="s">
        <v>95</v>
      </c>
      <c r="AL791" s="18" t="s">
        <v>95</v>
      </c>
      <c r="AM791" s="18" t="s">
        <v>95</v>
      </c>
      <c r="AN791" s="18" t="s">
        <v>95</v>
      </c>
      <c r="AO791" s="18" t="s">
        <v>95</v>
      </c>
      <c r="AP791" s="18" t="s">
        <v>95</v>
      </c>
      <c r="AQ791" s="18" t="s">
        <v>95</v>
      </c>
      <c r="AR791" s="18" t="s">
        <v>95</v>
      </c>
      <c r="AS791" s="18" t="s">
        <v>83</v>
      </c>
      <c r="AT791" s="18" t="s">
        <v>83</v>
      </c>
      <c r="AU791" s="18" t="s">
        <v>81</v>
      </c>
      <c r="AV791" s="18" t="s">
        <v>95</v>
      </c>
      <c r="AW791" s="18" t="s">
        <v>95</v>
      </c>
      <c r="AX791" s="18"/>
      <c r="AY791" s="18" t="str">
        <f>Pospago[[#This Row],[NUM_TELEFONICO]]&amp;"POSPAGOSI"</f>
        <v>995308585POSPAGOSI</v>
      </c>
      <c r="AZ791" s="18" t="str">
        <f>VLOOKUP(Pospago[[#This Row],[NOM_PLAZA_FINAL]],[1]!Locales[#Data],3,0)</f>
        <v>TIENDA RECREO</v>
      </c>
      <c r="BA791" s="18" t="str">
        <f>IFERROR(VLOOKUP(Pospago[[#This Row],[USUARIO]],[1]!Personal[#Data],6,0),"EJECUTIVO NO REGISTRADO")</f>
        <v>SALAS PARRA MARIA JOSE</v>
      </c>
      <c r="BB791" s="18" t="str">
        <f>Pospago[[#This Row],[TIPO_MOVIMIENTO]]&amp;" "&amp;Pospago[[#This Row],[FORMA_PAGO_FINAL]]</f>
        <v>TRANSFERENCIAS PAGO EN CAJA</v>
      </c>
      <c r="BC791" s="18">
        <f>DAY(Pospago[[#This Row],[FECHA_ALTA]])</f>
        <v>17</v>
      </c>
      <c r="BD791" s="18">
        <f>IF(Pospago[[#This Row],[TARIFA_BASICA]]=11.42,1,0)</f>
        <v>1</v>
      </c>
      <c r="BE791" s="18">
        <f>IF(Pospago[[#This Row],[PLANES TELEVENTAS]]="SI",1,0)</f>
        <v>0</v>
      </c>
      <c r="BF791" s="18">
        <f>1</f>
        <v>1</v>
      </c>
      <c r="BG791" s="18">
        <f>IF(OR(Pospago[[#This Row],[TARIFA_BASICA]]=11.42,Pospago[[#This Row],[PLANES TELEVENTAS]]="SI"),1,0)</f>
        <v>1</v>
      </c>
      <c r="BH791" s="18" t="str">
        <f>IF(MID(Pospago[[#This Row],[PlanDesc]],1,4) = "PLAN","POSPAGO",IF(MID(Pospago[[#This Row],[PlanDesc]],1,4)="FULL","FULL MEGAS","PREVIOPAGO"))</f>
        <v>PREVIOPAGO</v>
      </c>
      <c r="BI7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7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791" s="21">
        <f>Pospago[[#This Row],[TARIFA_BASICA]]*1.5</f>
        <v>17.13</v>
      </c>
    </row>
    <row r="792" spans="1:63" x14ac:dyDescent="0.25">
      <c r="A792" s="18" t="s">
        <v>64</v>
      </c>
      <c r="B792" s="18" t="s">
        <v>5031</v>
      </c>
      <c r="C792" s="18" t="s">
        <v>5032</v>
      </c>
      <c r="D792" s="19">
        <v>44906</v>
      </c>
      <c r="E792" s="18" t="s">
        <v>67</v>
      </c>
      <c r="F792" s="18" t="s">
        <v>5033</v>
      </c>
      <c r="G792" s="18" t="s">
        <v>5034</v>
      </c>
      <c r="H792" s="18" t="s">
        <v>70</v>
      </c>
      <c r="I792" s="18" t="s">
        <v>160</v>
      </c>
      <c r="J792" s="18" t="s">
        <v>195</v>
      </c>
      <c r="K792" s="18" t="s">
        <v>132</v>
      </c>
      <c r="L792" s="20" t="s">
        <v>5035</v>
      </c>
      <c r="M792" s="18" t="s">
        <v>287</v>
      </c>
      <c r="N792" s="20" t="s">
        <v>5036</v>
      </c>
      <c r="O792" s="18" t="s">
        <v>77</v>
      </c>
      <c r="P792" s="18" t="s">
        <v>78</v>
      </c>
      <c r="Q792" s="19">
        <v>44914</v>
      </c>
      <c r="R792" s="21">
        <v>14.28</v>
      </c>
      <c r="S792" s="18" t="s">
        <v>79</v>
      </c>
      <c r="T792" s="18" t="s">
        <v>232</v>
      </c>
      <c r="U792" s="18" t="s">
        <v>83</v>
      </c>
      <c r="V792" s="18" t="s">
        <v>95</v>
      </c>
      <c r="W792" s="18" t="s">
        <v>83</v>
      </c>
      <c r="X792" s="18" t="s">
        <v>84</v>
      </c>
      <c r="Y792" s="18" t="s">
        <v>85</v>
      </c>
      <c r="Z792" s="18" t="s">
        <v>86</v>
      </c>
      <c r="AA792" s="18" t="s">
        <v>87</v>
      </c>
      <c r="AB792" s="18" t="s">
        <v>271</v>
      </c>
      <c r="AC792" s="18" t="s">
        <v>272</v>
      </c>
      <c r="AD792" s="18" t="s">
        <v>85</v>
      </c>
      <c r="AE792" s="18" t="s">
        <v>90</v>
      </c>
      <c r="AF792" s="18" t="s">
        <v>235</v>
      </c>
      <c r="AG792" s="18" t="s">
        <v>139</v>
      </c>
      <c r="AH792" s="18" t="s">
        <v>93</v>
      </c>
      <c r="AI792" s="18" t="s">
        <v>94</v>
      </c>
      <c r="AJ792" s="19">
        <v>44906</v>
      </c>
      <c r="AK792" s="22">
        <v>44906</v>
      </c>
      <c r="AL792" s="18" t="s">
        <v>291</v>
      </c>
      <c r="AM792" s="18" t="s">
        <v>292</v>
      </c>
      <c r="AN792" s="18" t="s">
        <v>293</v>
      </c>
      <c r="AO792" s="18" t="s">
        <v>354</v>
      </c>
      <c r="AP792" s="18">
        <v>1</v>
      </c>
      <c r="AQ792" s="18">
        <v>285.71429000000001</v>
      </c>
      <c r="AR792" s="18" t="s">
        <v>295</v>
      </c>
      <c r="AS792" s="18" t="s">
        <v>81</v>
      </c>
      <c r="AT792" s="18" t="s">
        <v>83</v>
      </c>
      <c r="AU792" s="18" t="s">
        <v>81</v>
      </c>
      <c r="AV792" s="18" t="s">
        <v>95</v>
      </c>
      <c r="AW792" s="18" t="s">
        <v>95</v>
      </c>
      <c r="AX792" s="18"/>
      <c r="AY792" s="18" t="str">
        <f>Pospago[[#This Row],[NUM_TELEFONICO]]&amp;"POSPAGOSI"</f>
        <v>995311610POSPAGOSI</v>
      </c>
      <c r="AZ792" s="18" t="str">
        <f>VLOOKUP(Pospago[[#This Row],[NOM_PLAZA_FINAL]],[1]!Locales[#Data],3,0)</f>
        <v>TIENDA CONDADO</v>
      </c>
      <c r="BA792" s="18" t="str">
        <f>IFERROR(VLOOKUP(Pospago[[#This Row],[USUARIO]],[1]!Personal[#Data],6,0),"EJECUTIVO NO REGISTRADO")</f>
        <v>CASTILLO AGUIRRE EDWIN MODESTO</v>
      </c>
      <c r="BB792" s="18" t="str">
        <f>Pospago[[#This Row],[TIPO_MOVIMIENTO]]&amp;" "&amp;Pospago[[#This Row],[FORMA_PAGO_FINAL]]</f>
        <v>ALTAS DOMICILIADO</v>
      </c>
      <c r="BC792" s="18">
        <f>DAY(Pospago[[#This Row],[FECHA_ALTA]])</f>
        <v>11</v>
      </c>
      <c r="BD792" s="18">
        <f>IF(Pospago[[#This Row],[TARIFA_BASICA]]=11.42,1,0)</f>
        <v>0</v>
      </c>
      <c r="BE792" s="18">
        <f>IF(Pospago[[#This Row],[PLANES TELEVENTAS]]="SI",1,0)</f>
        <v>0</v>
      </c>
      <c r="BF792" s="18">
        <f>1</f>
        <v>1</v>
      </c>
      <c r="BG792" s="18">
        <f>IF(OR(Pospago[[#This Row],[TARIFA_BASICA]]=11.42,Pospago[[#This Row],[PLANES TELEVENTAS]]="SI"),1,0)</f>
        <v>0</v>
      </c>
      <c r="BH792" s="18" t="str">
        <f>IF(MID(Pospago[[#This Row],[PlanDesc]],1,4) = "PLAN","POSPAGO",IF(MID(Pospago[[#This Row],[PlanDesc]],1,4)="FULL","FULL MEGAS","PREVIOPAGO"))</f>
        <v>PREVIOPAGO</v>
      </c>
      <c r="BI7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92" s="21">
        <f>Pospago[[#This Row],[TARIFA_BASICA]]*1.5</f>
        <v>21.419999999999998</v>
      </c>
    </row>
    <row r="793" spans="1:63" x14ac:dyDescent="0.25">
      <c r="A793" s="18" t="s">
        <v>154</v>
      </c>
      <c r="B793" s="18" t="s">
        <v>5037</v>
      </c>
      <c r="C793" s="18" t="s">
        <v>5038</v>
      </c>
      <c r="D793" s="19">
        <v>44903</v>
      </c>
      <c r="E793" s="18" t="s">
        <v>67</v>
      </c>
      <c r="F793" s="18" t="s">
        <v>5039</v>
      </c>
      <c r="G793" s="18" t="s">
        <v>5040</v>
      </c>
      <c r="H793" s="18" t="s">
        <v>159</v>
      </c>
      <c r="I793" s="18" t="s">
        <v>160</v>
      </c>
      <c r="J793" s="18" t="s">
        <v>161</v>
      </c>
      <c r="K793" s="18" t="s">
        <v>132</v>
      </c>
      <c r="L793" s="20" t="s">
        <v>5041</v>
      </c>
      <c r="M793" s="18" t="s">
        <v>75</v>
      </c>
      <c r="N793" s="20" t="s">
        <v>5042</v>
      </c>
      <c r="O793" s="18" t="s">
        <v>1378</v>
      </c>
      <c r="P793" s="18" t="s">
        <v>78</v>
      </c>
      <c r="Q793" s="19">
        <v>44914</v>
      </c>
      <c r="R793" s="21">
        <v>14.28</v>
      </c>
      <c r="S793" s="18" t="s">
        <v>79</v>
      </c>
      <c r="T793" s="18" t="s">
        <v>174</v>
      </c>
      <c r="U793" s="18" t="s">
        <v>83</v>
      </c>
      <c r="V793" s="18" t="s">
        <v>95</v>
      </c>
      <c r="W793" s="18" t="s">
        <v>95</v>
      </c>
      <c r="X793" s="18" t="s">
        <v>84</v>
      </c>
      <c r="Y793" s="18" t="s">
        <v>85</v>
      </c>
      <c r="Z793" s="18" t="s">
        <v>86</v>
      </c>
      <c r="AA793" s="18" t="s">
        <v>87</v>
      </c>
      <c r="AB793" s="18" t="s">
        <v>175</v>
      </c>
      <c r="AC793" s="18" t="s">
        <v>176</v>
      </c>
      <c r="AD793" s="18" t="s">
        <v>85</v>
      </c>
      <c r="AE793" s="18" t="s">
        <v>90</v>
      </c>
      <c r="AF793" s="18" t="s">
        <v>177</v>
      </c>
      <c r="AG793" s="18" t="s">
        <v>139</v>
      </c>
      <c r="AH793" s="18" t="s">
        <v>165</v>
      </c>
      <c r="AI793" s="18" t="s">
        <v>94</v>
      </c>
      <c r="AJ793" s="19">
        <v>44903</v>
      </c>
      <c r="AK793" s="22" t="s">
        <v>95</v>
      </c>
      <c r="AL793" s="18" t="s">
        <v>95</v>
      </c>
      <c r="AM793" s="18" t="s">
        <v>95</v>
      </c>
      <c r="AN793" s="18" t="s">
        <v>95</v>
      </c>
      <c r="AO793" s="18" t="s">
        <v>95</v>
      </c>
      <c r="AP793" s="18" t="s">
        <v>95</v>
      </c>
      <c r="AQ793" s="18" t="s">
        <v>95</v>
      </c>
      <c r="AR793" s="18" t="s">
        <v>95</v>
      </c>
      <c r="AS793" s="18" t="s">
        <v>83</v>
      </c>
      <c r="AT793" s="18" t="s">
        <v>83</v>
      </c>
      <c r="AU793" s="18" t="s">
        <v>81</v>
      </c>
      <c r="AV793" s="18" t="s">
        <v>95</v>
      </c>
      <c r="AW793" s="18" t="s">
        <v>95</v>
      </c>
      <c r="AX793" s="18"/>
      <c r="AY793" s="18" t="str">
        <f>Pospago[[#This Row],[NUM_TELEFONICO]]&amp;"POSPAGOSI"</f>
        <v>995326108POSPAGOSI</v>
      </c>
      <c r="AZ793" s="18" t="str">
        <f>VLOOKUP(Pospago[[#This Row],[NOM_PLAZA_FINAL]],[1]!Locales[#Data],3,0)</f>
        <v>TIENDA RECREO</v>
      </c>
      <c r="BA793" s="18" t="str">
        <f>IFERROR(VLOOKUP(Pospago[[#This Row],[USUARIO]],[1]!Personal[#Data],6,0),"EJECUTIVO NO REGISTRADO")</f>
        <v>VARGAS REYES LUIS EDUARDO</v>
      </c>
      <c r="BB793" s="18" t="str">
        <f>Pospago[[#This Row],[TIPO_MOVIMIENTO]]&amp;" "&amp;Pospago[[#This Row],[FORMA_PAGO_FINAL]]</f>
        <v>TRANSFERENCIAS DOMICILIADO</v>
      </c>
      <c r="BC793" s="18">
        <f>DAY(Pospago[[#This Row],[FECHA_ALTA]])</f>
        <v>8</v>
      </c>
      <c r="BD793" s="18">
        <f>IF(Pospago[[#This Row],[TARIFA_BASICA]]=11.42,1,0)</f>
        <v>0</v>
      </c>
      <c r="BE793" s="18">
        <f>IF(Pospago[[#This Row],[PLANES TELEVENTAS]]="SI",1,0)</f>
        <v>0</v>
      </c>
      <c r="BF793" s="18">
        <f>1</f>
        <v>1</v>
      </c>
      <c r="BG793" s="18">
        <f>IF(OR(Pospago[[#This Row],[TARIFA_BASICA]]=11.42,Pospago[[#This Row],[PLANES TELEVENTAS]]="SI"),1,0)</f>
        <v>0</v>
      </c>
      <c r="BH793" s="18" t="str">
        <f>IF(MID(Pospago[[#This Row],[PlanDesc]],1,4) = "PLAN","POSPAGO",IF(MID(Pospago[[#This Row],[PlanDesc]],1,4)="FULL","FULL MEGAS","PREVIOPAGO"))</f>
        <v>PREVIOPAGO</v>
      </c>
      <c r="BI7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93" s="21">
        <f>Pospago[[#This Row],[TARIFA_BASICA]]*1.5</f>
        <v>21.419999999999998</v>
      </c>
    </row>
    <row r="794" spans="1:63" x14ac:dyDescent="0.25">
      <c r="A794" s="18" t="s">
        <v>64</v>
      </c>
      <c r="B794" s="18" t="s">
        <v>5043</v>
      </c>
      <c r="C794" s="18" t="s">
        <v>5044</v>
      </c>
      <c r="D794" s="19">
        <v>44902</v>
      </c>
      <c r="E794" s="18" t="s">
        <v>246</v>
      </c>
      <c r="F794" s="18" t="s">
        <v>5045</v>
      </c>
      <c r="G794" s="18" t="s">
        <v>5046</v>
      </c>
      <c r="H794" s="18" t="s">
        <v>70</v>
      </c>
      <c r="I794" s="18" t="s">
        <v>160</v>
      </c>
      <c r="J794" s="18" t="s">
        <v>195</v>
      </c>
      <c r="K794" s="18" t="s">
        <v>73</v>
      </c>
      <c r="L794" s="20" t="s">
        <v>5047</v>
      </c>
      <c r="M794" s="18" t="s">
        <v>75</v>
      </c>
      <c r="N794" s="20" t="s">
        <v>5048</v>
      </c>
      <c r="O794" s="18" t="s">
        <v>77</v>
      </c>
      <c r="P794" s="18" t="s">
        <v>78</v>
      </c>
      <c r="Q794" s="19">
        <v>44914</v>
      </c>
      <c r="R794" s="21">
        <v>14.28</v>
      </c>
      <c r="S794" s="18" t="s">
        <v>79</v>
      </c>
      <c r="T794" s="18" t="s">
        <v>80</v>
      </c>
      <c r="U794" s="18" t="s">
        <v>83</v>
      </c>
      <c r="V794" s="18" t="s">
        <v>95</v>
      </c>
      <c r="W794" s="18" t="s">
        <v>83</v>
      </c>
      <c r="X794" s="18" t="s">
        <v>118</v>
      </c>
      <c r="Y794" s="18" t="s">
        <v>85</v>
      </c>
      <c r="Z794" s="18" t="s">
        <v>86</v>
      </c>
      <c r="AA794" s="18" t="s">
        <v>119</v>
      </c>
      <c r="AB794" s="18" t="s">
        <v>1020</v>
      </c>
      <c r="AC794" s="18" t="s">
        <v>1021</v>
      </c>
      <c r="AD794" s="18" t="s">
        <v>85</v>
      </c>
      <c r="AE794" s="18" t="s">
        <v>90</v>
      </c>
      <c r="AF794" s="18" t="s">
        <v>91</v>
      </c>
      <c r="AG794" s="18" t="s">
        <v>92</v>
      </c>
      <c r="AH794" s="18" t="s">
        <v>93</v>
      </c>
      <c r="AI794" s="18" t="s">
        <v>94</v>
      </c>
      <c r="AJ794" s="19">
        <v>44902</v>
      </c>
      <c r="AK794" s="22" t="s">
        <v>95</v>
      </c>
      <c r="AL794" s="18" t="s">
        <v>95</v>
      </c>
      <c r="AM794" s="18" t="s">
        <v>95</v>
      </c>
      <c r="AN794" s="18" t="s">
        <v>95</v>
      </c>
      <c r="AO794" s="18" t="s">
        <v>95</v>
      </c>
      <c r="AP794" s="18" t="s">
        <v>95</v>
      </c>
      <c r="AQ794" s="18" t="s">
        <v>95</v>
      </c>
      <c r="AR794" s="18" t="s">
        <v>95</v>
      </c>
      <c r="AS794" s="18" t="s">
        <v>83</v>
      </c>
      <c r="AT794" s="18" t="s">
        <v>83</v>
      </c>
      <c r="AU794" s="18" t="s">
        <v>81</v>
      </c>
      <c r="AV794" s="18" t="s">
        <v>95</v>
      </c>
      <c r="AW794" s="18" t="s">
        <v>95</v>
      </c>
      <c r="AX794" s="18"/>
      <c r="AY794" s="18" t="str">
        <f>Pospago[[#This Row],[NUM_TELEFONICO]]&amp;"POSPAGOSI"</f>
        <v>995341806POSPAGOSI</v>
      </c>
      <c r="AZ794" s="18" t="str">
        <f>VLOOKUP(Pospago[[#This Row],[NOM_PLAZA_FINAL]],[1]!Locales[#Data],3,0)</f>
        <v>TIENDA CUENCA CENTRO</v>
      </c>
      <c r="BA794" s="18" t="str">
        <f>IFERROR(VLOOKUP(Pospago[[#This Row],[USUARIO]],[1]!Personal[#Data],6,0),"EJECUTIVO NO REGISTRADO")</f>
        <v>GONZALES ALVARRACIN PAOLA YESSENIA</v>
      </c>
      <c r="BB794" s="18" t="str">
        <f>Pospago[[#This Row],[TIPO_MOVIMIENTO]]&amp;" "&amp;Pospago[[#This Row],[FORMA_PAGO_FINAL]]</f>
        <v>ALTAS PAGO EN CAJA</v>
      </c>
      <c r="BC794" s="18">
        <f>DAY(Pospago[[#This Row],[FECHA_ALTA]])</f>
        <v>7</v>
      </c>
      <c r="BD794" s="18">
        <f>IF(Pospago[[#This Row],[TARIFA_BASICA]]=11.42,1,0)</f>
        <v>0</v>
      </c>
      <c r="BE794" s="18">
        <f>IF(Pospago[[#This Row],[PLANES TELEVENTAS]]="SI",1,0)</f>
        <v>0</v>
      </c>
      <c r="BF794" s="18">
        <f>1</f>
        <v>1</v>
      </c>
      <c r="BG794" s="18">
        <f>IF(OR(Pospago[[#This Row],[TARIFA_BASICA]]=11.42,Pospago[[#This Row],[PLANES TELEVENTAS]]="SI"),1,0)</f>
        <v>0</v>
      </c>
      <c r="BH794" s="18" t="str">
        <f>IF(MID(Pospago[[#This Row],[PlanDesc]],1,4) = "PLAN","POSPAGO",IF(MID(Pospago[[#This Row],[PlanDesc]],1,4)="FULL","FULL MEGAS","PREVIOPAGO"))</f>
        <v>PREVIOPAGO</v>
      </c>
      <c r="BI7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7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94" s="21">
        <f>Pospago[[#This Row],[TARIFA_BASICA]]*1.5</f>
        <v>21.419999999999998</v>
      </c>
    </row>
    <row r="795" spans="1:63" x14ac:dyDescent="0.25">
      <c r="A795" s="18" t="s">
        <v>154</v>
      </c>
      <c r="B795" s="18" t="s">
        <v>5049</v>
      </c>
      <c r="C795" s="18" t="s">
        <v>5050</v>
      </c>
      <c r="D795" s="19">
        <v>44909</v>
      </c>
      <c r="E795" s="18" t="s">
        <v>67</v>
      </c>
      <c r="F795" s="18" t="s">
        <v>5051</v>
      </c>
      <c r="G795" s="18" t="s">
        <v>5052</v>
      </c>
      <c r="H795" s="18" t="s">
        <v>159</v>
      </c>
      <c r="I795" s="18" t="s">
        <v>227</v>
      </c>
      <c r="J795" s="18" t="s">
        <v>426</v>
      </c>
      <c r="K795" s="18" t="s">
        <v>73</v>
      </c>
      <c r="L795" s="20" t="s">
        <v>5053</v>
      </c>
      <c r="M795" s="18" t="s">
        <v>75</v>
      </c>
      <c r="N795" s="20" t="s">
        <v>5054</v>
      </c>
      <c r="O795" s="18" t="s">
        <v>164</v>
      </c>
      <c r="P795" s="18" t="s">
        <v>78</v>
      </c>
      <c r="Q795" s="19">
        <v>44914</v>
      </c>
      <c r="R795" s="21">
        <v>21.42</v>
      </c>
      <c r="S795" s="18" t="s">
        <v>79</v>
      </c>
      <c r="T795" s="18" t="s">
        <v>80</v>
      </c>
      <c r="U795" s="18" t="s">
        <v>83</v>
      </c>
      <c r="V795" s="18" t="s">
        <v>95</v>
      </c>
      <c r="W795" s="18" t="s">
        <v>95</v>
      </c>
      <c r="X795" s="18" t="s">
        <v>84</v>
      </c>
      <c r="Y795" s="18" t="s">
        <v>85</v>
      </c>
      <c r="Z795" s="18" t="s">
        <v>86</v>
      </c>
      <c r="AA795" s="18" t="s">
        <v>87</v>
      </c>
      <c r="AB795" s="18" t="s">
        <v>88</v>
      </c>
      <c r="AC795" s="18" t="s">
        <v>89</v>
      </c>
      <c r="AD795" s="18" t="s">
        <v>85</v>
      </c>
      <c r="AE795" s="18" t="s">
        <v>90</v>
      </c>
      <c r="AF795" s="18" t="s">
        <v>91</v>
      </c>
      <c r="AG795" s="18" t="s">
        <v>92</v>
      </c>
      <c r="AH795" s="18" t="s">
        <v>165</v>
      </c>
      <c r="AI795" s="18" t="s">
        <v>94</v>
      </c>
      <c r="AJ795" s="19">
        <v>44909</v>
      </c>
      <c r="AK795" s="22" t="s">
        <v>95</v>
      </c>
      <c r="AL795" s="18" t="s">
        <v>95</v>
      </c>
      <c r="AM795" s="18" t="s">
        <v>95</v>
      </c>
      <c r="AN795" s="18" t="s">
        <v>95</v>
      </c>
      <c r="AO795" s="18" t="s">
        <v>95</v>
      </c>
      <c r="AP795" s="18" t="s">
        <v>95</v>
      </c>
      <c r="AQ795" s="18" t="s">
        <v>95</v>
      </c>
      <c r="AR795" s="18" t="s">
        <v>95</v>
      </c>
      <c r="AS795" s="18" t="s">
        <v>83</v>
      </c>
      <c r="AT795" s="18" t="s">
        <v>83</v>
      </c>
      <c r="AU795" s="18" t="s">
        <v>81</v>
      </c>
      <c r="AV795" s="18" t="s">
        <v>95</v>
      </c>
      <c r="AW795" s="18" t="s">
        <v>95</v>
      </c>
      <c r="AX795" s="18"/>
      <c r="AY795" s="18" t="str">
        <f>Pospago[[#This Row],[NUM_TELEFONICO]]&amp;"POSPAGOSI"</f>
        <v>995342016POSPAGOSI</v>
      </c>
      <c r="AZ795" s="18" t="str">
        <f>VLOOKUP(Pospago[[#This Row],[NOM_PLAZA_FINAL]],[1]!Locales[#Data],3,0)</f>
        <v>TIENDA CUENCA CENTRO</v>
      </c>
      <c r="BA795" s="18" t="str">
        <f>IFERROR(VLOOKUP(Pospago[[#This Row],[USUARIO]],[1]!Personal[#Data],6,0),"EJECUTIVO NO REGISTRADO")</f>
        <v>ANDRADE CONDO CHRISTIAN EDUARDO</v>
      </c>
      <c r="BB795" s="18" t="str">
        <f>Pospago[[#This Row],[TIPO_MOVIMIENTO]]&amp;" "&amp;Pospago[[#This Row],[FORMA_PAGO_FINAL]]</f>
        <v>TRANSFERENCIAS DOMICILIADO</v>
      </c>
      <c r="BC795" s="18">
        <f>DAY(Pospago[[#This Row],[FECHA_ALTA]])</f>
        <v>14</v>
      </c>
      <c r="BD795" s="18">
        <f>IF(Pospago[[#This Row],[TARIFA_BASICA]]=11.42,1,0)</f>
        <v>0</v>
      </c>
      <c r="BE795" s="18">
        <f>IF(Pospago[[#This Row],[PLANES TELEVENTAS]]="SI",1,0)</f>
        <v>0</v>
      </c>
      <c r="BF795" s="18">
        <f>1</f>
        <v>1</v>
      </c>
      <c r="BG795" s="18">
        <f>IF(OR(Pospago[[#This Row],[TARIFA_BASICA]]=11.42,Pospago[[#This Row],[PLANES TELEVENTAS]]="SI"),1,0)</f>
        <v>0</v>
      </c>
      <c r="BH795" s="18" t="str">
        <f>IF(MID(Pospago[[#This Row],[PlanDesc]],1,4) = "PLAN","POSPAGO",IF(MID(Pospago[[#This Row],[PlanDesc]],1,4)="FULL","FULL MEGAS","PREVIOPAGO"))</f>
        <v>PREVIOPAGO</v>
      </c>
      <c r="BI7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</v>
      </c>
      <c r="BJ7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95" s="21">
        <f>Pospago[[#This Row],[TARIFA_BASICA]]*1.5</f>
        <v>32.130000000000003</v>
      </c>
    </row>
    <row r="796" spans="1:63" x14ac:dyDescent="0.25">
      <c r="A796" s="18" t="s">
        <v>64</v>
      </c>
      <c r="B796" s="18" t="s">
        <v>5055</v>
      </c>
      <c r="C796" s="18" t="s">
        <v>5056</v>
      </c>
      <c r="D796" s="19">
        <v>44902</v>
      </c>
      <c r="E796" s="18" t="s">
        <v>67</v>
      </c>
      <c r="F796" s="18" t="s">
        <v>5057</v>
      </c>
      <c r="G796" s="18" t="s">
        <v>5058</v>
      </c>
      <c r="H796" s="18" t="s">
        <v>70</v>
      </c>
      <c r="I796" s="18" t="s">
        <v>160</v>
      </c>
      <c r="J796" s="18" t="s">
        <v>195</v>
      </c>
      <c r="K796" s="18" t="s">
        <v>132</v>
      </c>
      <c r="L796" s="20" t="s">
        <v>5059</v>
      </c>
      <c r="M796" s="18" t="s">
        <v>75</v>
      </c>
      <c r="N796" s="20" t="s">
        <v>5060</v>
      </c>
      <c r="O796" s="18" t="s">
        <v>77</v>
      </c>
      <c r="P796" s="18" t="s">
        <v>78</v>
      </c>
      <c r="Q796" s="19">
        <v>44914</v>
      </c>
      <c r="R796" s="21">
        <v>14.28</v>
      </c>
      <c r="S796" s="18" t="s">
        <v>79</v>
      </c>
      <c r="T796" s="18" t="s">
        <v>135</v>
      </c>
      <c r="U796" s="18" t="s">
        <v>83</v>
      </c>
      <c r="V796" s="18" t="s">
        <v>95</v>
      </c>
      <c r="W796" s="18" t="s">
        <v>83</v>
      </c>
      <c r="X796" s="18" t="s">
        <v>84</v>
      </c>
      <c r="Y796" s="18" t="s">
        <v>85</v>
      </c>
      <c r="Z796" s="18" t="s">
        <v>86</v>
      </c>
      <c r="AA796" s="18" t="s">
        <v>87</v>
      </c>
      <c r="AB796" s="18" t="s">
        <v>478</v>
      </c>
      <c r="AC796" s="18" t="s">
        <v>479</v>
      </c>
      <c r="AD796" s="18" t="s">
        <v>85</v>
      </c>
      <c r="AE796" s="18" t="s">
        <v>90</v>
      </c>
      <c r="AF796" s="18" t="s">
        <v>138</v>
      </c>
      <c r="AG796" s="18" t="s">
        <v>139</v>
      </c>
      <c r="AH796" s="18" t="s">
        <v>93</v>
      </c>
      <c r="AI796" s="18" t="s">
        <v>94</v>
      </c>
      <c r="AJ796" s="19">
        <v>44902</v>
      </c>
      <c r="AK796" s="22" t="s">
        <v>95</v>
      </c>
      <c r="AL796" s="18" t="s">
        <v>95</v>
      </c>
      <c r="AM796" s="18" t="s">
        <v>95</v>
      </c>
      <c r="AN796" s="18" t="s">
        <v>95</v>
      </c>
      <c r="AO796" s="18" t="s">
        <v>95</v>
      </c>
      <c r="AP796" s="18" t="s">
        <v>95</v>
      </c>
      <c r="AQ796" s="18" t="s">
        <v>95</v>
      </c>
      <c r="AR796" s="18" t="s">
        <v>95</v>
      </c>
      <c r="AS796" s="18" t="s">
        <v>83</v>
      </c>
      <c r="AT796" s="18" t="s">
        <v>83</v>
      </c>
      <c r="AU796" s="18" t="s">
        <v>81</v>
      </c>
      <c r="AV796" s="18" t="s">
        <v>95</v>
      </c>
      <c r="AW796" s="18" t="s">
        <v>95</v>
      </c>
      <c r="AX796" s="18"/>
      <c r="AY796" s="18" t="str">
        <f>Pospago[[#This Row],[NUM_TELEFONICO]]&amp;"POSPAGOSI"</f>
        <v>995344329POSPAGOSI</v>
      </c>
      <c r="AZ796" s="18" t="str">
        <f>VLOOKUP(Pospago[[#This Row],[NOM_PLAZA_FINAL]],[1]!Locales[#Data],3,0)</f>
        <v>TIENDA AMERICA</v>
      </c>
      <c r="BA796" s="18" t="str">
        <f>IFERROR(VLOOKUP(Pospago[[#This Row],[USUARIO]],[1]!Personal[#Data],6,0),"EJECUTIVO NO REGISTRADO")</f>
        <v>REINO TUFINO PAULTEH KATHERINE</v>
      </c>
      <c r="BB796" s="18" t="str">
        <f>Pospago[[#This Row],[TIPO_MOVIMIENTO]]&amp;" "&amp;Pospago[[#This Row],[FORMA_PAGO_FINAL]]</f>
        <v>ALTAS DOMICILIADO</v>
      </c>
      <c r="BC796" s="18">
        <f>DAY(Pospago[[#This Row],[FECHA_ALTA]])</f>
        <v>7</v>
      </c>
      <c r="BD796" s="18">
        <f>IF(Pospago[[#This Row],[TARIFA_BASICA]]=11.42,1,0)</f>
        <v>0</v>
      </c>
      <c r="BE796" s="18">
        <f>IF(Pospago[[#This Row],[PLANES TELEVENTAS]]="SI",1,0)</f>
        <v>0</v>
      </c>
      <c r="BF796" s="18">
        <f>1</f>
        <v>1</v>
      </c>
      <c r="BG796" s="18">
        <f>IF(OR(Pospago[[#This Row],[TARIFA_BASICA]]=11.42,Pospago[[#This Row],[PLANES TELEVENTAS]]="SI"),1,0)</f>
        <v>0</v>
      </c>
      <c r="BH796" s="18" t="str">
        <f>IF(MID(Pospago[[#This Row],[PlanDesc]],1,4) = "PLAN","POSPAGO",IF(MID(Pospago[[#This Row],[PlanDesc]],1,4)="FULL","FULL MEGAS","PREVIOPAGO"))</f>
        <v>PREVIOPAGO</v>
      </c>
      <c r="BI7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96" s="21">
        <f>Pospago[[#This Row],[TARIFA_BASICA]]*1.5</f>
        <v>21.419999999999998</v>
      </c>
    </row>
    <row r="797" spans="1:63" x14ac:dyDescent="0.25">
      <c r="A797" s="18" t="s">
        <v>154</v>
      </c>
      <c r="B797" s="18" t="s">
        <v>5061</v>
      </c>
      <c r="C797" s="18" t="s">
        <v>5062</v>
      </c>
      <c r="D797" s="19">
        <v>44906</v>
      </c>
      <c r="E797" s="18" t="s">
        <v>67</v>
      </c>
      <c r="F797" s="18" t="s">
        <v>5063</v>
      </c>
      <c r="G797" s="18" t="s">
        <v>5064</v>
      </c>
      <c r="H797" s="18" t="s">
        <v>159</v>
      </c>
      <c r="I797" s="18" t="s">
        <v>160</v>
      </c>
      <c r="J797" s="18" t="s">
        <v>161</v>
      </c>
      <c r="K797" s="18" t="s">
        <v>132</v>
      </c>
      <c r="L797" s="20" t="s">
        <v>5065</v>
      </c>
      <c r="M797" s="18" t="s">
        <v>75</v>
      </c>
      <c r="N797" s="20" t="s">
        <v>5066</v>
      </c>
      <c r="O797" s="18" t="s">
        <v>164</v>
      </c>
      <c r="P797" s="18" t="s">
        <v>78</v>
      </c>
      <c r="Q797" s="19">
        <v>44914</v>
      </c>
      <c r="R797" s="21">
        <v>14.28</v>
      </c>
      <c r="S797" s="18" t="s">
        <v>79</v>
      </c>
      <c r="T797" s="18" t="s">
        <v>174</v>
      </c>
      <c r="U797" s="18" t="s">
        <v>83</v>
      </c>
      <c r="V797" s="18" t="s">
        <v>95</v>
      </c>
      <c r="W797" s="18" t="s">
        <v>95</v>
      </c>
      <c r="X797" s="18" t="s">
        <v>84</v>
      </c>
      <c r="Y797" s="18" t="s">
        <v>85</v>
      </c>
      <c r="Z797" s="18" t="s">
        <v>86</v>
      </c>
      <c r="AA797" s="18" t="s">
        <v>87</v>
      </c>
      <c r="AB797" s="18" t="s">
        <v>303</v>
      </c>
      <c r="AC797" s="18" t="s">
        <v>304</v>
      </c>
      <c r="AD797" s="18" t="s">
        <v>85</v>
      </c>
      <c r="AE797" s="18" t="s">
        <v>90</v>
      </c>
      <c r="AF797" s="18" t="s">
        <v>177</v>
      </c>
      <c r="AG797" s="18" t="s">
        <v>139</v>
      </c>
      <c r="AH797" s="18" t="s">
        <v>165</v>
      </c>
      <c r="AI797" s="18" t="s">
        <v>94</v>
      </c>
      <c r="AJ797" s="19">
        <v>44906</v>
      </c>
      <c r="AK797" s="22" t="s">
        <v>95</v>
      </c>
      <c r="AL797" s="18" t="s">
        <v>95</v>
      </c>
      <c r="AM797" s="18" t="s">
        <v>95</v>
      </c>
      <c r="AN797" s="18" t="s">
        <v>95</v>
      </c>
      <c r="AO797" s="18" t="s">
        <v>95</v>
      </c>
      <c r="AP797" s="18" t="s">
        <v>95</v>
      </c>
      <c r="AQ797" s="18" t="s">
        <v>95</v>
      </c>
      <c r="AR797" s="18" t="s">
        <v>95</v>
      </c>
      <c r="AS797" s="18" t="s">
        <v>83</v>
      </c>
      <c r="AT797" s="18" t="s">
        <v>83</v>
      </c>
      <c r="AU797" s="18" t="s">
        <v>81</v>
      </c>
      <c r="AV797" s="18" t="s">
        <v>95</v>
      </c>
      <c r="AW797" s="18" t="s">
        <v>95</v>
      </c>
      <c r="AX797" s="18"/>
      <c r="AY797" s="18" t="str">
        <f>Pospago[[#This Row],[NUM_TELEFONICO]]&amp;"POSPAGOSI"</f>
        <v>995352210POSPAGOSI</v>
      </c>
      <c r="AZ797" s="18" t="str">
        <f>VLOOKUP(Pospago[[#This Row],[NOM_PLAZA_FINAL]],[1]!Locales[#Data],3,0)</f>
        <v>TIENDA RECREO</v>
      </c>
      <c r="BA797" s="18" t="str">
        <f>IFERROR(VLOOKUP(Pospago[[#This Row],[USUARIO]],[1]!Personal[#Data],6,0),"EJECUTIVO NO REGISTRADO")</f>
        <v>CORDOVA GAIBOR JONATHAN HERNAN</v>
      </c>
      <c r="BB797" s="18" t="str">
        <f>Pospago[[#This Row],[TIPO_MOVIMIENTO]]&amp;" "&amp;Pospago[[#This Row],[FORMA_PAGO_FINAL]]</f>
        <v>TRANSFERENCIAS DOMICILIADO</v>
      </c>
      <c r="BC797" s="18">
        <f>DAY(Pospago[[#This Row],[FECHA_ALTA]])</f>
        <v>11</v>
      </c>
      <c r="BD797" s="18">
        <f>IF(Pospago[[#This Row],[TARIFA_BASICA]]=11.42,1,0)</f>
        <v>0</v>
      </c>
      <c r="BE797" s="18">
        <f>IF(Pospago[[#This Row],[PLANES TELEVENTAS]]="SI",1,0)</f>
        <v>0</v>
      </c>
      <c r="BF797" s="18">
        <f>1</f>
        <v>1</v>
      </c>
      <c r="BG797" s="18">
        <f>IF(OR(Pospago[[#This Row],[TARIFA_BASICA]]=11.42,Pospago[[#This Row],[PLANES TELEVENTAS]]="SI"),1,0)</f>
        <v>0</v>
      </c>
      <c r="BH797" s="18" t="str">
        <f>IF(MID(Pospago[[#This Row],[PlanDesc]],1,4) = "PLAN","POSPAGO",IF(MID(Pospago[[#This Row],[PlanDesc]],1,4)="FULL","FULL MEGAS","PREVIOPAGO"))</f>
        <v>PREVIOPAGO</v>
      </c>
      <c r="BI7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7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97" s="21">
        <f>Pospago[[#This Row],[TARIFA_BASICA]]*1.5</f>
        <v>21.419999999999998</v>
      </c>
    </row>
    <row r="798" spans="1:63" x14ac:dyDescent="0.25">
      <c r="A798" s="18" t="s">
        <v>64</v>
      </c>
      <c r="B798" s="18" t="s">
        <v>5067</v>
      </c>
      <c r="C798" s="18" t="s">
        <v>5068</v>
      </c>
      <c r="D798" s="19">
        <v>44909</v>
      </c>
      <c r="E798" s="18" t="s">
        <v>67</v>
      </c>
      <c r="F798" s="18" t="s">
        <v>5069</v>
      </c>
      <c r="G798" s="18" t="s">
        <v>5070</v>
      </c>
      <c r="H798" s="18" t="s">
        <v>70</v>
      </c>
      <c r="I798" s="18" t="s">
        <v>194</v>
      </c>
      <c r="J798" s="18" t="s">
        <v>195</v>
      </c>
      <c r="K798" s="18" t="s">
        <v>132</v>
      </c>
      <c r="L798" s="20" t="s">
        <v>5071</v>
      </c>
      <c r="M798" s="18" t="s">
        <v>75</v>
      </c>
      <c r="N798" s="20" t="s">
        <v>5072</v>
      </c>
      <c r="O798" s="18" t="s">
        <v>77</v>
      </c>
      <c r="P798" s="18" t="s">
        <v>78</v>
      </c>
      <c r="Q798" s="19">
        <v>44914</v>
      </c>
      <c r="R798" s="21">
        <v>14.28</v>
      </c>
      <c r="S798" s="18" t="s">
        <v>79</v>
      </c>
      <c r="T798" s="18" t="s">
        <v>232</v>
      </c>
      <c r="U798" s="18" t="s">
        <v>83</v>
      </c>
      <c r="V798" s="18" t="s">
        <v>95</v>
      </c>
      <c r="W798" s="18" t="s">
        <v>83</v>
      </c>
      <c r="X798" s="18" t="s">
        <v>84</v>
      </c>
      <c r="Y798" s="18" t="s">
        <v>85</v>
      </c>
      <c r="Z798" s="18" t="s">
        <v>86</v>
      </c>
      <c r="AA798" s="18" t="s">
        <v>87</v>
      </c>
      <c r="AB798" s="18" t="s">
        <v>280</v>
      </c>
      <c r="AC798" s="18" t="s">
        <v>281</v>
      </c>
      <c r="AD798" s="18" t="s">
        <v>85</v>
      </c>
      <c r="AE798" s="18" t="s">
        <v>90</v>
      </c>
      <c r="AF798" s="18" t="s">
        <v>235</v>
      </c>
      <c r="AG798" s="18" t="s">
        <v>139</v>
      </c>
      <c r="AH798" s="18" t="s">
        <v>93</v>
      </c>
      <c r="AI798" s="18" t="s">
        <v>94</v>
      </c>
      <c r="AJ798" s="19">
        <v>44909</v>
      </c>
      <c r="AK798" s="22" t="s">
        <v>95</v>
      </c>
      <c r="AL798" s="18" t="s">
        <v>95</v>
      </c>
      <c r="AM798" s="18" t="s">
        <v>95</v>
      </c>
      <c r="AN798" s="18" t="s">
        <v>95</v>
      </c>
      <c r="AO798" s="18" t="s">
        <v>95</v>
      </c>
      <c r="AP798" s="18" t="s">
        <v>95</v>
      </c>
      <c r="AQ798" s="18" t="s">
        <v>95</v>
      </c>
      <c r="AR798" s="18" t="s">
        <v>95</v>
      </c>
      <c r="AS798" s="18" t="s">
        <v>83</v>
      </c>
      <c r="AT798" s="18" t="s">
        <v>81</v>
      </c>
      <c r="AU798" s="18" t="s">
        <v>81</v>
      </c>
      <c r="AV798" s="18" t="s">
        <v>95</v>
      </c>
      <c r="AW798" s="18" t="s">
        <v>95</v>
      </c>
      <c r="AX798" s="18"/>
      <c r="AY798" s="18" t="str">
        <f>Pospago[[#This Row],[NUM_TELEFONICO]]&amp;"POSPAGOSI"</f>
        <v>995365153POSPAGOSI</v>
      </c>
      <c r="AZ798" s="18" t="str">
        <f>VLOOKUP(Pospago[[#This Row],[NOM_PLAZA_FINAL]],[1]!Locales[#Data],3,0)</f>
        <v>TIENDA CONDADO</v>
      </c>
      <c r="BA798" s="18" t="str">
        <f>IFERROR(VLOOKUP(Pospago[[#This Row],[USUARIO]],[1]!Personal[#Data],6,0),"EJECUTIVO NO REGISTRADO")</f>
        <v>GUACHAMIN CAZA HUGO ADRIAN</v>
      </c>
      <c r="BB798" s="18" t="str">
        <f>Pospago[[#This Row],[TIPO_MOVIMIENTO]]&amp;" "&amp;Pospago[[#This Row],[FORMA_PAGO_FINAL]]</f>
        <v>ALTAS DOMICILIADO</v>
      </c>
      <c r="BC798" s="18">
        <f>DAY(Pospago[[#This Row],[FECHA_ALTA]])</f>
        <v>14</v>
      </c>
      <c r="BD798" s="18">
        <f>IF(Pospago[[#This Row],[TARIFA_BASICA]]=11.42,1,0)</f>
        <v>0</v>
      </c>
      <c r="BE798" s="18">
        <f>IF(Pospago[[#This Row],[PLANES TELEVENTAS]]="SI",1,0)</f>
        <v>1</v>
      </c>
      <c r="BF798" s="18">
        <f>1</f>
        <v>1</v>
      </c>
      <c r="BG798" s="18">
        <f>IF(OR(Pospago[[#This Row],[TARIFA_BASICA]]=11.42,Pospago[[#This Row],[PLANES TELEVENTAS]]="SI"),1,0)</f>
        <v>1</v>
      </c>
      <c r="BH798" s="18" t="str">
        <f>IF(MID(Pospago[[#This Row],[PlanDesc]],1,4) = "PLAN","POSPAGO",IF(MID(Pospago[[#This Row],[PlanDesc]],1,4)="FULL","FULL MEGAS","PREVIOPAGO"))</f>
        <v>PREVIOPAGO</v>
      </c>
      <c r="BI7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7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98" s="21">
        <f>Pospago[[#This Row],[TARIFA_BASICA]]*1.5</f>
        <v>21.419999999999998</v>
      </c>
    </row>
    <row r="799" spans="1:63" x14ac:dyDescent="0.25">
      <c r="A799" s="18" t="s">
        <v>154</v>
      </c>
      <c r="B799" s="18" t="s">
        <v>5073</v>
      </c>
      <c r="C799" s="18" t="s">
        <v>5074</v>
      </c>
      <c r="D799" s="19">
        <v>44913</v>
      </c>
      <c r="E799" s="18" t="s">
        <v>67</v>
      </c>
      <c r="F799" s="18" t="s">
        <v>5075</v>
      </c>
      <c r="G799" s="18" t="s">
        <v>5076</v>
      </c>
      <c r="H799" s="18" t="s">
        <v>159</v>
      </c>
      <c r="I799" s="18" t="s">
        <v>130</v>
      </c>
      <c r="J799" s="18" t="s">
        <v>433</v>
      </c>
      <c r="K799" s="18" t="s">
        <v>132</v>
      </c>
      <c r="L799" s="20" t="s">
        <v>5077</v>
      </c>
      <c r="M799" s="18" t="s">
        <v>75</v>
      </c>
      <c r="N799" s="20" t="s">
        <v>5078</v>
      </c>
      <c r="O799" s="18" t="s">
        <v>164</v>
      </c>
      <c r="P799" s="18" t="s">
        <v>78</v>
      </c>
      <c r="Q799" s="19">
        <v>44914</v>
      </c>
      <c r="R799" s="21">
        <v>15</v>
      </c>
      <c r="S799" s="18" t="s">
        <v>79</v>
      </c>
      <c r="T799" s="18" t="s">
        <v>174</v>
      </c>
      <c r="U799" s="18" t="s">
        <v>83</v>
      </c>
      <c r="V799" s="18" t="s">
        <v>95</v>
      </c>
      <c r="W799" s="18" t="s">
        <v>95</v>
      </c>
      <c r="X799" s="18" t="s">
        <v>118</v>
      </c>
      <c r="Y799" s="18" t="s">
        <v>85</v>
      </c>
      <c r="Z799" s="18" t="s">
        <v>86</v>
      </c>
      <c r="AA799" s="18" t="s">
        <v>119</v>
      </c>
      <c r="AB799" s="18" t="s">
        <v>369</v>
      </c>
      <c r="AC799" s="18" t="s">
        <v>370</v>
      </c>
      <c r="AD799" s="18" t="s">
        <v>85</v>
      </c>
      <c r="AE799" s="18" t="s">
        <v>90</v>
      </c>
      <c r="AF799" s="18" t="s">
        <v>177</v>
      </c>
      <c r="AG799" s="18" t="s">
        <v>139</v>
      </c>
      <c r="AH799" s="18" t="s">
        <v>165</v>
      </c>
      <c r="AI799" s="18" t="s">
        <v>94</v>
      </c>
      <c r="AJ799" s="19">
        <v>44913</v>
      </c>
      <c r="AK799" s="22" t="s">
        <v>95</v>
      </c>
      <c r="AL799" s="18" t="s">
        <v>95</v>
      </c>
      <c r="AM799" s="18" t="s">
        <v>95</v>
      </c>
      <c r="AN799" s="18" t="s">
        <v>95</v>
      </c>
      <c r="AO799" s="18" t="s">
        <v>95</v>
      </c>
      <c r="AP799" s="18" t="s">
        <v>95</v>
      </c>
      <c r="AQ799" s="18" t="s">
        <v>95</v>
      </c>
      <c r="AR799" s="18" t="s">
        <v>95</v>
      </c>
      <c r="AS799" s="18" t="s">
        <v>83</v>
      </c>
      <c r="AT799" s="18" t="s">
        <v>83</v>
      </c>
      <c r="AU799" s="18" t="s">
        <v>81</v>
      </c>
      <c r="AV799" s="18" t="s">
        <v>95</v>
      </c>
      <c r="AW799" s="18" t="s">
        <v>95</v>
      </c>
      <c r="AX799" s="18"/>
      <c r="AY799" s="18" t="str">
        <f>Pospago[[#This Row],[NUM_TELEFONICO]]&amp;"POSPAGOSI"</f>
        <v>995368310POSPAGOSI</v>
      </c>
      <c r="AZ799" s="18" t="str">
        <f>VLOOKUP(Pospago[[#This Row],[NOM_PLAZA_FINAL]],[1]!Locales[#Data],3,0)</f>
        <v>TIENDA RECREO</v>
      </c>
      <c r="BA799" s="18" t="str">
        <f>IFERROR(VLOOKUP(Pospago[[#This Row],[USUARIO]],[1]!Personal[#Data],6,0),"EJECUTIVO NO REGISTRADO")</f>
        <v>GUAIGUA REINOSO GENESIS CAROLINA</v>
      </c>
      <c r="BB799" s="18" t="str">
        <f>Pospago[[#This Row],[TIPO_MOVIMIENTO]]&amp;" "&amp;Pospago[[#This Row],[FORMA_PAGO_FINAL]]</f>
        <v>TRANSFERENCIAS PAGO EN CAJA</v>
      </c>
      <c r="BC799" s="18">
        <f>DAY(Pospago[[#This Row],[FECHA_ALTA]])</f>
        <v>18</v>
      </c>
      <c r="BD799" s="18">
        <f>IF(Pospago[[#This Row],[TARIFA_BASICA]]=11.42,1,0)</f>
        <v>0</v>
      </c>
      <c r="BE799" s="18">
        <f>IF(Pospago[[#This Row],[PLANES TELEVENTAS]]="SI",1,0)</f>
        <v>0</v>
      </c>
      <c r="BF799" s="18">
        <f>1</f>
        <v>1</v>
      </c>
      <c r="BG799" s="18">
        <f>IF(OR(Pospago[[#This Row],[TARIFA_BASICA]]=11.42,Pospago[[#This Row],[PLANES TELEVENTAS]]="SI"),1,0)</f>
        <v>0</v>
      </c>
      <c r="BH799" s="18" t="str">
        <f>IF(MID(Pospago[[#This Row],[PlanDesc]],1,4) = "PLAN","POSPAGO",IF(MID(Pospago[[#This Row],[PlanDesc]],1,4)="FULL","FULL MEGAS","PREVIOPAGO"))</f>
        <v>PREVIOPAGO</v>
      </c>
      <c r="BI7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7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799" s="21">
        <f>Pospago[[#This Row],[TARIFA_BASICA]]*1.5</f>
        <v>22.5</v>
      </c>
    </row>
    <row r="800" spans="1:63" x14ac:dyDescent="0.25">
      <c r="A800" s="18" t="s">
        <v>154</v>
      </c>
      <c r="B800" s="18" t="s">
        <v>5079</v>
      </c>
      <c r="C800" s="18" t="s">
        <v>5080</v>
      </c>
      <c r="D800" s="19">
        <v>44904</v>
      </c>
      <c r="E800" s="18" t="s">
        <v>67</v>
      </c>
      <c r="F800" s="18" t="s">
        <v>5081</v>
      </c>
      <c r="G800" s="18" t="s">
        <v>5082</v>
      </c>
      <c r="H800" s="18" t="s">
        <v>159</v>
      </c>
      <c r="I800" s="18" t="s">
        <v>160</v>
      </c>
      <c r="J800" s="18" t="s">
        <v>161</v>
      </c>
      <c r="K800" s="18" t="s">
        <v>95</v>
      </c>
      <c r="L800" s="20" t="s">
        <v>5083</v>
      </c>
      <c r="M800" s="18" t="s">
        <v>75</v>
      </c>
      <c r="N800" s="20" t="s">
        <v>5084</v>
      </c>
      <c r="O800" s="18" t="s">
        <v>164</v>
      </c>
      <c r="P800" s="18" t="s">
        <v>78</v>
      </c>
      <c r="Q800" s="19">
        <v>44914</v>
      </c>
      <c r="R800" s="21">
        <v>14.28</v>
      </c>
      <c r="S800" s="18" t="s">
        <v>79</v>
      </c>
      <c r="T800" s="18" t="s">
        <v>80</v>
      </c>
      <c r="U800" s="18" t="s">
        <v>83</v>
      </c>
      <c r="V800" s="18" t="s">
        <v>95</v>
      </c>
      <c r="W800" s="18" t="s">
        <v>95</v>
      </c>
      <c r="X800" s="18" t="s">
        <v>84</v>
      </c>
      <c r="Y800" s="18" t="s">
        <v>85</v>
      </c>
      <c r="Z800" s="18" t="s">
        <v>86</v>
      </c>
      <c r="AA800" s="18" t="s">
        <v>87</v>
      </c>
      <c r="AB800" s="18" t="s">
        <v>880</v>
      </c>
      <c r="AC800" s="18" t="s">
        <v>881</v>
      </c>
      <c r="AD800" s="18" t="s">
        <v>85</v>
      </c>
      <c r="AE800" s="18" t="s">
        <v>90</v>
      </c>
      <c r="AF800" s="18" t="s">
        <v>91</v>
      </c>
      <c r="AG800" s="18" t="s">
        <v>92</v>
      </c>
      <c r="AH800" s="18" t="s">
        <v>165</v>
      </c>
      <c r="AI800" s="18" t="s">
        <v>94</v>
      </c>
      <c r="AJ800" s="19">
        <v>44904</v>
      </c>
      <c r="AK800" s="22" t="s">
        <v>95</v>
      </c>
      <c r="AL800" s="18" t="s">
        <v>95</v>
      </c>
      <c r="AM800" s="18" t="s">
        <v>95</v>
      </c>
      <c r="AN800" s="18" t="s">
        <v>95</v>
      </c>
      <c r="AO800" s="18" t="s">
        <v>95</v>
      </c>
      <c r="AP800" s="18" t="s">
        <v>95</v>
      </c>
      <c r="AQ800" s="18" t="s">
        <v>95</v>
      </c>
      <c r="AR800" s="18" t="s">
        <v>95</v>
      </c>
      <c r="AS800" s="18" t="s">
        <v>83</v>
      </c>
      <c r="AT800" s="18" t="s">
        <v>83</v>
      </c>
      <c r="AU800" s="18" t="s">
        <v>81</v>
      </c>
      <c r="AV800" s="18" t="s">
        <v>95</v>
      </c>
      <c r="AW800" s="18" t="s">
        <v>95</v>
      </c>
      <c r="AX800" s="18"/>
      <c r="AY800" s="18" t="str">
        <f>Pospago[[#This Row],[NUM_TELEFONICO]]&amp;"POSPAGOSI"</f>
        <v>995368528POSPAGOSI</v>
      </c>
      <c r="AZ800" s="18" t="str">
        <f>VLOOKUP(Pospago[[#This Row],[NOM_PLAZA_FINAL]],[1]!Locales[#Data],3,0)</f>
        <v>TIENDA CUENCA CENTRO</v>
      </c>
      <c r="BA800" s="18" t="str">
        <f>IFERROR(VLOOKUP(Pospago[[#This Row],[USUARIO]],[1]!Personal[#Data],6,0),"EJECUTIVO NO REGISTRADO")</f>
        <v>LUNA JACHO ANDREA GABRIELA</v>
      </c>
      <c r="BB800" s="18" t="str">
        <f>Pospago[[#This Row],[TIPO_MOVIMIENTO]]&amp;" "&amp;Pospago[[#This Row],[FORMA_PAGO_FINAL]]</f>
        <v>TRANSFERENCIAS DOMICILIADO</v>
      </c>
      <c r="BC800" s="18">
        <f>DAY(Pospago[[#This Row],[FECHA_ALTA]])</f>
        <v>9</v>
      </c>
      <c r="BD800" s="18">
        <f>IF(Pospago[[#This Row],[TARIFA_BASICA]]=11.42,1,0)</f>
        <v>0</v>
      </c>
      <c r="BE800" s="18">
        <f>IF(Pospago[[#This Row],[PLANES TELEVENTAS]]="SI",1,0)</f>
        <v>0</v>
      </c>
      <c r="BF800" s="18">
        <f>1</f>
        <v>1</v>
      </c>
      <c r="BG800" s="18">
        <f>IF(OR(Pospago[[#This Row],[TARIFA_BASICA]]=11.42,Pospago[[#This Row],[PLANES TELEVENTAS]]="SI"),1,0)</f>
        <v>0</v>
      </c>
      <c r="BH800" s="18" t="str">
        <f>IF(MID(Pospago[[#This Row],[PlanDesc]],1,4) = "PLAN","POSPAGO",IF(MID(Pospago[[#This Row],[PlanDesc]],1,4)="FULL","FULL MEGAS","PREVIOPAGO"))</f>
        <v>PREVIOPAGO</v>
      </c>
      <c r="BI8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0" s="21">
        <f>Pospago[[#This Row],[TARIFA_BASICA]]*1.5</f>
        <v>21.419999999999998</v>
      </c>
    </row>
    <row r="801" spans="1:63" x14ac:dyDescent="0.25">
      <c r="A801" s="18" t="s">
        <v>154</v>
      </c>
      <c r="B801" s="18" t="s">
        <v>5085</v>
      </c>
      <c r="C801" s="18" t="s">
        <v>5086</v>
      </c>
      <c r="D801" s="19">
        <v>44901</v>
      </c>
      <c r="E801" s="18" t="s">
        <v>67</v>
      </c>
      <c r="F801" s="18" t="s">
        <v>5087</v>
      </c>
      <c r="G801" s="18" t="s">
        <v>5088</v>
      </c>
      <c r="H801" s="18" t="s">
        <v>159</v>
      </c>
      <c r="I801" s="18" t="s">
        <v>160</v>
      </c>
      <c r="J801" s="18" t="s">
        <v>161</v>
      </c>
      <c r="K801" s="18" t="s">
        <v>95</v>
      </c>
      <c r="L801" s="20" t="s">
        <v>5089</v>
      </c>
      <c r="M801" s="18" t="s">
        <v>75</v>
      </c>
      <c r="N801" s="20" t="s">
        <v>5090</v>
      </c>
      <c r="O801" s="18" t="s">
        <v>164</v>
      </c>
      <c r="P801" s="18" t="s">
        <v>78</v>
      </c>
      <c r="Q801" s="19">
        <v>44914</v>
      </c>
      <c r="R801" s="21">
        <v>14.28</v>
      </c>
      <c r="S801" s="18" t="s">
        <v>79</v>
      </c>
      <c r="T801" s="18" t="s">
        <v>135</v>
      </c>
      <c r="U801" s="18" t="s">
        <v>83</v>
      </c>
      <c r="V801" s="18" t="s">
        <v>95</v>
      </c>
      <c r="W801" s="18" t="s">
        <v>95</v>
      </c>
      <c r="X801" s="18" t="s">
        <v>84</v>
      </c>
      <c r="Y801" s="18" t="s">
        <v>85</v>
      </c>
      <c r="Z801" s="18" t="s">
        <v>86</v>
      </c>
      <c r="AA801" s="18" t="s">
        <v>87</v>
      </c>
      <c r="AB801" s="18" t="s">
        <v>136</v>
      </c>
      <c r="AC801" s="18" t="s">
        <v>137</v>
      </c>
      <c r="AD801" s="18" t="s">
        <v>85</v>
      </c>
      <c r="AE801" s="18" t="s">
        <v>90</v>
      </c>
      <c r="AF801" s="18" t="s">
        <v>138</v>
      </c>
      <c r="AG801" s="18" t="s">
        <v>139</v>
      </c>
      <c r="AH801" s="18" t="s">
        <v>165</v>
      </c>
      <c r="AI801" s="18" t="s">
        <v>94</v>
      </c>
      <c r="AJ801" s="19">
        <v>44901</v>
      </c>
      <c r="AK801" s="22" t="s">
        <v>95</v>
      </c>
      <c r="AL801" s="18" t="s">
        <v>95</v>
      </c>
      <c r="AM801" s="18" t="s">
        <v>95</v>
      </c>
      <c r="AN801" s="18" t="s">
        <v>95</v>
      </c>
      <c r="AO801" s="18" t="s">
        <v>95</v>
      </c>
      <c r="AP801" s="18" t="s">
        <v>95</v>
      </c>
      <c r="AQ801" s="18" t="s">
        <v>95</v>
      </c>
      <c r="AR801" s="18" t="s">
        <v>95</v>
      </c>
      <c r="AS801" s="18" t="s">
        <v>83</v>
      </c>
      <c r="AT801" s="18" t="s">
        <v>83</v>
      </c>
      <c r="AU801" s="18" t="s">
        <v>81</v>
      </c>
      <c r="AV801" s="18" t="s">
        <v>95</v>
      </c>
      <c r="AW801" s="18" t="s">
        <v>95</v>
      </c>
      <c r="AX801" s="18"/>
      <c r="AY801" s="18" t="str">
        <f>Pospago[[#This Row],[NUM_TELEFONICO]]&amp;"POSPAGOSI"</f>
        <v>995369421POSPAGOSI</v>
      </c>
      <c r="AZ801" s="18" t="str">
        <f>VLOOKUP(Pospago[[#This Row],[NOM_PLAZA_FINAL]],[1]!Locales[#Data],3,0)</f>
        <v>TIENDA AMERICA</v>
      </c>
      <c r="BA801" s="18" t="str">
        <f>IFERROR(VLOOKUP(Pospago[[#This Row],[USUARIO]],[1]!Personal[#Data],6,0),"EJECUTIVO NO REGISTRADO")</f>
        <v>SALVATIERRA GUERRA JULIAN ENRIQUE</v>
      </c>
      <c r="BB801" s="18" t="str">
        <f>Pospago[[#This Row],[TIPO_MOVIMIENTO]]&amp;" "&amp;Pospago[[#This Row],[FORMA_PAGO_FINAL]]</f>
        <v>TRANSFERENCIAS DOMICILIADO</v>
      </c>
      <c r="BC801" s="18">
        <f>DAY(Pospago[[#This Row],[FECHA_ALTA]])</f>
        <v>6</v>
      </c>
      <c r="BD801" s="18">
        <f>IF(Pospago[[#This Row],[TARIFA_BASICA]]=11.42,1,0)</f>
        <v>0</v>
      </c>
      <c r="BE801" s="18">
        <f>IF(Pospago[[#This Row],[PLANES TELEVENTAS]]="SI",1,0)</f>
        <v>0</v>
      </c>
      <c r="BF801" s="18">
        <f>1</f>
        <v>1</v>
      </c>
      <c r="BG801" s="18">
        <f>IF(OR(Pospago[[#This Row],[TARIFA_BASICA]]=11.42,Pospago[[#This Row],[PLANES TELEVENTAS]]="SI"),1,0)</f>
        <v>0</v>
      </c>
      <c r="BH801" s="18" t="str">
        <f>IF(MID(Pospago[[#This Row],[PlanDesc]],1,4) = "PLAN","POSPAGO",IF(MID(Pospago[[#This Row],[PlanDesc]],1,4)="FULL","FULL MEGAS","PREVIOPAGO"))</f>
        <v>PREVIOPAGO</v>
      </c>
      <c r="BI8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1" s="21">
        <f>Pospago[[#This Row],[TARIFA_BASICA]]*1.5</f>
        <v>21.419999999999998</v>
      </c>
    </row>
    <row r="802" spans="1:63" x14ac:dyDescent="0.25">
      <c r="A802" s="18" t="s">
        <v>64</v>
      </c>
      <c r="B802" s="18" t="s">
        <v>5091</v>
      </c>
      <c r="C802" s="18" t="s">
        <v>3470</v>
      </c>
      <c r="D802" s="19">
        <v>44898</v>
      </c>
      <c r="E802" s="18" t="s">
        <v>67</v>
      </c>
      <c r="F802" s="18" t="s">
        <v>3471</v>
      </c>
      <c r="G802" s="18" t="s">
        <v>3472</v>
      </c>
      <c r="H802" s="18" t="s">
        <v>193</v>
      </c>
      <c r="I802" s="18" t="s">
        <v>194</v>
      </c>
      <c r="J802" s="18" t="s">
        <v>195</v>
      </c>
      <c r="K802" s="18" t="s">
        <v>132</v>
      </c>
      <c r="L802" s="20" t="s">
        <v>5092</v>
      </c>
      <c r="M802" s="18" t="s">
        <v>75</v>
      </c>
      <c r="N802" s="20" t="s">
        <v>5093</v>
      </c>
      <c r="O802" s="18" t="s">
        <v>77</v>
      </c>
      <c r="P802" s="18" t="s">
        <v>78</v>
      </c>
      <c r="Q802" s="19">
        <v>44914</v>
      </c>
      <c r="R802" s="21">
        <v>14.28</v>
      </c>
      <c r="S802" s="18" t="s">
        <v>79</v>
      </c>
      <c r="T802" s="18" t="s">
        <v>232</v>
      </c>
      <c r="U802" s="18" t="s">
        <v>83</v>
      </c>
      <c r="V802" s="18" t="s">
        <v>95</v>
      </c>
      <c r="W802" s="18" t="s">
        <v>83</v>
      </c>
      <c r="X802" s="18" t="s">
        <v>118</v>
      </c>
      <c r="Y802" s="18" t="s">
        <v>85</v>
      </c>
      <c r="Z802" s="18" t="s">
        <v>86</v>
      </c>
      <c r="AA802" s="18" t="s">
        <v>119</v>
      </c>
      <c r="AB802" s="18" t="s">
        <v>769</v>
      </c>
      <c r="AC802" s="18" t="s">
        <v>770</v>
      </c>
      <c r="AD802" s="18" t="s">
        <v>85</v>
      </c>
      <c r="AE802" s="18" t="s">
        <v>90</v>
      </c>
      <c r="AF802" s="18" t="s">
        <v>235</v>
      </c>
      <c r="AG802" s="18" t="s">
        <v>139</v>
      </c>
      <c r="AH802" s="18" t="s">
        <v>93</v>
      </c>
      <c r="AI802" s="18" t="s">
        <v>94</v>
      </c>
      <c r="AJ802" s="19">
        <v>44898</v>
      </c>
      <c r="AK802" s="22" t="s">
        <v>95</v>
      </c>
      <c r="AL802" s="18" t="s">
        <v>95</v>
      </c>
      <c r="AM802" s="18" t="s">
        <v>95</v>
      </c>
      <c r="AN802" s="18" t="s">
        <v>95</v>
      </c>
      <c r="AO802" s="18" t="s">
        <v>95</v>
      </c>
      <c r="AP802" s="18" t="s">
        <v>95</v>
      </c>
      <c r="AQ802" s="18" t="s">
        <v>95</v>
      </c>
      <c r="AR802" s="18" t="s">
        <v>95</v>
      </c>
      <c r="AS802" s="18" t="s">
        <v>83</v>
      </c>
      <c r="AT802" s="18" t="s">
        <v>81</v>
      </c>
      <c r="AU802" s="18" t="s">
        <v>81</v>
      </c>
      <c r="AV802" s="18" t="s">
        <v>95</v>
      </c>
      <c r="AW802" s="18" t="s">
        <v>95</v>
      </c>
      <c r="AX802" s="18"/>
      <c r="AY802" s="18" t="str">
        <f>Pospago[[#This Row],[NUM_TELEFONICO]]&amp;"POSPAGOSI"</f>
        <v>995375356POSPAGOSI</v>
      </c>
      <c r="AZ802" s="18" t="str">
        <f>VLOOKUP(Pospago[[#This Row],[NOM_PLAZA_FINAL]],[1]!Locales[#Data],3,0)</f>
        <v>TIENDA CONDADO</v>
      </c>
      <c r="BA802" s="18" t="str">
        <f>IFERROR(VLOOKUP(Pospago[[#This Row],[USUARIO]],[1]!Personal[#Data],6,0),"EJECUTIVO NO REGISTRADO")</f>
        <v>ROJAS VEGA JHOSMERY MICHELE</v>
      </c>
      <c r="BB802" s="18" t="str">
        <f>Pospago[[#This Row],[TIPO_MOVIMIENTO]]&amp;" "&amp;Pospago[[#This Row],[FORMA_PAGO_FINAL]]</f>
        <v>ALTAS PAGO EN CAJA</v>
      </c>
      <c r="BC802" s="18">
        <f>DAY(Pospago[[#This Row],[FECHA_ALTA]])</f>
        <v>3</v>
      </c>
      <c r="BD802" s="18">
        <f>IF(Pospago[[#This Row],[TARIFA_BASICA]]=11.42,1,0)</f>
        <v>0</v>
      </c>
      <c r="BE802" s="18">
        <f>IF(Pospago[[#This Row],[PLANES TELEVENTAS]]="SI",1,0)</f>
        <v>1</v>
      </c>
      <c r="BF802" s="18">
        <f>1</f>
        <v>1</v>
      </c>
      <c r="BG802" s="18">
        <f>IF(OR(Pospago[[#This Row],[TARIFA_BASICA]]=11.42,Pospago[[#This Row],[PLANES TELEVENTAS]]="SI"),1,0)</f>
        <v>1</v>
      </c>
      <c r="BH802" s="18" t="str">
        <f>IF(MID(Pospago[[#This Row],[PlanDesc]],1,4) = "PLAN","POSPAGO",IF(MID(Pospago[[#This Row],[PlanDesc]],1,4)="FULL","FULL MEGAS","PREVIOPAGO"))</f>
        <v>PREVIOPAGO</v>
      </c>
      <c r="BI8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8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2" s="21">
        <f>Pospago[[#This Row],[TARIFA_BASICA]]*1.5</f>
        <v>21.419999999999998</v>
      </c>
    </row>
    <row r="803" spans="1:63" x14ac:dyDescent="0.25">
      <c r="A803" s="18" t="s">
        <v>64</v>
      </c>
      <c r="B803" s="18" t="s">
        <v>5094</v>
      </c>
      <c r="C803" s="18" t="s">
        <v>5095</v>
      </c>
      <c r="D803" s="19">
        <v>44903</v>
      </c>
      <c r="E803" s="18" t="s">
        <v>67</v>
      </c>
      <c r="F803" s="18" t="s">
        <v>5096</v>
      </c>
      <c r="G803" s="18" t="s">
        <v>5097</v>
      </c>
      <c r="H803" s="18" t="s">
        <v>193</v>
      </c>
      <c r="I803" s="18" t="s">
        <v>194</v>
      </c>
      <c r="J803" s="18" t="s">
        <v>195</v>
      </c>
      <c r="K803" s="18" t="s">
        <v>73</v>
      </c>
      <c r="L803" s="20" t="s">
        <v>5098</v>
      </c>
      <c r="M803" s="18" t="s">
        <v>75</v>
      </c>
      <c r="N803" s="20" t="s">
        <v>5099</v>
      </c>
      <c r="O803" s="18" t="s">
        <v>77</v>
      </c>
      <c r="P803" s="18" t="s">
        <v>78</v>
      </c>
      <c r="Q803" s="19">
        <v>44914</v>
      </c>
      <c r="R803" s="21">
        <v>14.28</v>
      </c>
      <c r="S803" s="18" t="s">
        <v>79</v>
      </c>
      <c r="T803" s="18" t="s">
        <v>148</v>
      </c>
      <c r="U803" s="18" t="s">
        <v>83</v>
      </c>
      <c r="V803" s="18" t="s">
        <v>95</v>
      </c>
      <c r="W803" s="18" t="s">
        <v>83</v>
      </c>
      <c r="X803" s="18" t="s">
        <v>215</v>
      </c>
      <c r="Y803" s="18" t="s">
        <v>85</v>
      </c>
      <c r="Z803" s="18" t="s">
        <v>86</v>
      </c>
      <c r="AA803" s="18" t="s">
        <v>87</v>
      </c>
      <c r="AB803" s="18" t="s">
        <v>385</v>
      </c>
      <c r="AC803" s="18" t="s">
        <v>386</v>
      </c>
      <c r="AD803" s="18" t="s">
        <v>85</v>
      </c>
      <c r="AE803" s="18" t="s">
        <v>90</v>
      </c>
      <c r="AF803" s="18" t="s">
        <v>151</v>
      </c>
      <c r="AG803" s="18" t="s">
        <v>92</v>
      </c>
      <c r="AH803" s="18" t="s">
        <v>93</v>
      </c>
      <c r="AI803" s="18" t="s">
        <v>94</v>
      </c>
      <c r="AJ803" s="19">
        <v>44903</v>
      </c>
      <c r="AK803" s="22" t="s">
        <v>95</v>
      </c>
      <c r="AL803" s="18" t="s">
        <v>95</v>
      </c>
      <c r="AM803" s="18" t="s">
        <v>95</v>
      </c>
      <c r="AN803" s="18" t="s">
        <v>95</v>
      </c>
      <c r="AO803" s="18" t="s">
        <v>95</v>
      </c>
      <c r="AP803" s="18" t="s">
        <v>95</v>
      </c>
      <c r="AQ803" s="18" t="s">
        <v>95</v>
      </c>
      <c r="AR803" s="18" t="s">
        <v>95</v>
      </c>
      <c r="AS803" s="18" t="s">
        <v>83</v>
      </c>
      <c r="AT803" s="18" t="s">
        <v>81</v>
      </c>
      <c r="AU803" s="18" t="s">
        <v>81</v>
      </c>
      <c r="AV803" s="18" t="s">
        <v>95</v>
      </c>
      <c r="AW803" s="18" t="s">
        <v>95</v>
      </c>
      <c r="AX803" s="18"/>
      <c r="AY803" s="18" t="str">
        <f>Pospago[[#This Row],[NUM_TELEFONICO]]&amp;"POSPAGOSI"</f>
        <v>995384899POSPAGOSI</v>
      </c>
      <c r="AZ803" s="18" t="str">
        <f>VLOOKUP(Pospago[[#This Row],[NOM_PLAZA_FINAL]],[1]!Locales[#Data],3,0)</f>
        <v>TIENDA CUENCA REMIGIO</v>
      </c>
      <c r="BA803" s="18" t="str">
        <f>IFERROR(VLOOKUP(Pospago[[#This Row],[USUARIO]],[1]!Personal[#Data],6,0),"EJECUTIVO NO REGISTRADO")</f>
        <v>RAMIREZ RUBIO NELLY LILIANA</v>
      </c>
      <c r="BB803" s="18" t="str">
        <f>Pospago[[#This Row],[TIPO_MOVIMIENTO]]&amp;" "&amp;Pospago[[#This Row],[FORMA_PAGO_FINAL]]</f>
        <v>ALTAS DOMICILIADO</v>
      </c>
      <c r="BC803" s="18">
        <f>DAY(Pospago[[#This Row],[FECHA_ALTA]])</f>
        <v>8</v>
      </c>
      <c r="BD803" s="18">
        <f>IF(Pospago[[#This Row],[TARIFA_BASICA]]=11.42,1,0)</f>
        <v>0</v>
      </c>
      <c r="BE803" s="18">
        <f>IF(Pospago[[#This Row],[PLANES TELEVENTAS]]="SI",1,0)</f>
        <v>1</v>
      </c>
      <c r="BF803" s="18">
        <f>1</f>
        <v>1</v>
      </c>
      <c r="BG803" s="18">
        <f>IF(OR(Pospago[[#This Row],[TARIFA_BASICA]]=11.42,Pospago[[#This Row],[PLANES TELEVENTAS]]="SI"),1,0)</f>
        <v>1</v>
      </c>
      <c r="BH803" s="18" t="str">
        <f>IF(MID(Pospago[[#This Row],[PlanDesc]],1,4) = "PLAN","POSPAGO",IF(MID(Pospago[[#This Row],[PlanDesc]],1,4)="FULL","FULL MEGAS","PREVIOPAGO"))</f>
        <v>PREVIOPAGO</v>
      </c>
      <c r="BI8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3" s="21">
        <f>Pospago[[#This Row],[TARIFA_BASICA]]*1.5</f>
        <v>21.419999999999998</v>
      </c>
    </row>
    <row r="804" spans="1:63" x14ac:dyDescent="0.25">
      <c r="A804" s="18" t="s">
        <v>154</v>
      </c>
      <c r="B804" s="18" t="s">
        <v>5100</v>
      </c>
      <c r="C804" s="18" t="s">
        <v>5101</v>
      </c>
      <c r="D804" s="19">
        <v>44905</v>
      </c>
      <c r="E804" s="18" t="s">
        <v>67</v>
      </c>
      <c r="F804" s="18" t="s">
        <v>5102</v>
      </c>
      <c r="G804" s="18" t="s">
        <v>5103</v>
      </c>
      <c r="H804" s="18" t="s">
        <v>159</v>
      </c>
      <c r="I804" s="18" t="s">
        <v>160</v>
      </c>
      <c r="J804" s="18" t="s">
        <v>161</v>
      </c>
      <c r="K804" s="18" t="s">
        <v>73</v>
      </c>
      <c r="L804" s="20" t="s">
        <v>5104</v>
      </c>
      <c r="M804" s="18" t="s">
        <v>75</v>
      </c>
      <c r="N804" s="20" t="s">
        <v>5105</v>
      </c>
      <c r="O804" s="18" t="s">
        <v>164</v>
      </c>
      <c r="P804" s="18" t="s">
        <v>78</v>
      </c>
      <c r="Q804" s="19">
        <v>44914</v>
      </c>
      <c r="R804" s="21">
        <v>14.28</v>
      </c>
      <c r="S804" s="18" t="s">
        <v>79</v>
      </c>
      <c r="T804" s="18" t="s">
        <v>135</v>
      </c>
      <c r="U804" s="18" t="s">
        <v>83</v>
      </c>
      <c r="V804" s="18" t="s">
        <v>95</v>
      </c>
      <c r="W804" s="18" t="s">
        <v>95</v>
      </c>
      <c r="X804" s="18" t="s">
        <v>215</v>
      </c>
      <c r="Y804" s="18" t="s">
        <v>85</v>
      </c>
      <c r="Z804" s="18" t="s">
        <v>86</v>
      </c>
      <c r="AA804" s="18" t="s">
        <v>87</v>
      </c>
      <c r="AB804" s="18" t="s">
        <v>866</v>
      </c>
      <c r="AC804" s="18" t="s">
        <v>867</v>
      </c>
      <c r="AD804" s="18" t="s">
        <v>85</v>
      </c>
      <c r="AE804" s="18" t="s">
        <v>90</v>
      </c>
      <c r="AF804" s="18" t="s">
        <v>138</v>
      </c>
      <c r="AG804" s="18" t="s">
        <v>139</v>
      </c>
      <c r="AH804" s="18" t="s">
        <v>165</v>
      </c>
      <c r="AI804" s="18" t="s">
        <v>94</v>
      </c>
      <c r="AJ804" s="19">
        <v>44905</v>
      </c>
      <c r="AK804" s="22" t="s">
        <v>95</v>
      </c>
      <c r="AL804" s="18" t="s">
        <v>95</v>
      </c>
      <c r="AM804" s="18" t="s">
        <v>95</v>
      </c>
      <c r="AN804" s="18" t="s">
        <v>95</v>
      </c>
      <c r="AO804" s="18" t="s">
        <v>95</v>
      </c>
      <c r="AP804" s="18" t="s">
        <v>95</v>
      </c>
      <c r="AQ804" s="18" t="s">
        <v>95</v>
      </c>
      <c r="AR804" s="18" t="s">
        <v>95</v>
      </c>
      <c r="AS804" s="18" t="s">
        <v>83</v>
      </c>
      <c r="AT804" s="18" t="s">
        <v>83</v>
      </c>
      <c r="AU804" s="18" t="s">
        <v>81</v>
      </c>
      <c r="AV804" s="18" t="s">
        <v>95</v>
      </c>
      <c r="AW804" s="18" t="s">
        <v>95</v>
      </c>
      <c r="AX804" s="18"/>
      <c r="AY804" s="18" t="str">
        <f>Pospago[[#This Row],[NUM_TELEFONICO]]&amp;"POSPAGOSI"</f>
        <v>995385122POSPAGOSI</v>
      </c>
      <c r="AZ804" s="18" t="str">
        <f>VLOOKUP(Pospago[[#This Row],[NOM_PLAZA_FINAL]],[1]!Locales[#Data],3,0)</f>
        <v>TIENDA AMERICA</v>
      </c>
      <c r="BA804" s="18" t="str">
        <f>IFERROR(VLOOKUP(Pospago[[#This Row],[USUARIO]],[1]!Personal[#Data],6,0),"EJECUTIVO NO REGISTRADO")</f>
        <v>ORTEGA RUIZ GABRIEL ANTONIO</v>
      </c>
      <c r="BB804" s="18" t="str">
        <f>Pospago[[#This Row],[TIPO_MOVIMIENTO]]&amp;" "&amp;Pospago[[#This Row],[FORMA_PAGO_FINAL]]</f>
        <v>TRANSFERENCIAS DOMICILIADO</v>
      </c>
      <c r="BC804" s="18">
        <f>DAY(Pospago[[#This Row],[FECHA_ALTA]])</f>
        <v>10</v>
      </c>
      <c r="BD804" s="18">
        <f>IF(Pospago[[#This Row],[TARIFA_BASICA]]=11.42,1,0)</f>
        <v>0</v>
      </c>
      <c r="BE804" s="18">
        <f>IF(Pospago[[#This Row],[PLANES TELEVENTAS]]="SI",1,0)</f>
        <v>0</v>
      </c>
      <c r="BF804" s="18">
        <f>1</f>
        <v>1</v>
      </c>
      <c r="BG804" s="18">
        <f>IF(OR(Pospago[[#This Row],[TARIFA_BASICA]]=11.42,Pospago[[#This Row],[PLANES TELEVENTAS]]="SI"),1,0)</f>
        <v>0</v>
      </c>
      <c r="BH804" s="18" t="str">
        <f>IF(MID(Pospago[[#This Row],[PlanDesc]],1,4) = "PLAN","POSPAGO",IF(MID(Pospago[[#This Row],[PlanDesc]],1,4)="FULL","FULL MEGAS","PREVIOPAGO"))</f>
        <v>PREVIOPAGO</v>
      </c>
      <c r="BI8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4" s="21">
        <f>Pospago[[#This Row],[TARIFA_BASICA]]*1.5</f>
        <v>21.419999999999998</v>
      </c>
    </row>
    <row r="805" spans="1:63" x14ac:dyDescent="0.25">
      <c r="A805" s="18" t="s">
        <v>154</v>
      </c>
      <c r="B805" s="18" t="s">
        <v>5106</v>
      </c>
      <c r="C805" s="18" t="s">
        <v>5107</v>
      </c>
      <c r="D805" s="19">
        <v>44901</v>
      </c>
      <c r="E805" s="18" t="s">
        <v>67</v>
      </c>
      <c r="F805" s="18" t="s">
        <v>5108</v>
      </c>
      <c r="G805" s="18" t="s">
        <v>5109</v>
      </c>
      <c r="H805" s="18" t="s">
        <v>159</v>
      </c>
      <c r="I805" s="18" t="s">
        <v>130</v>
      </c>
      <c r="J805" s="18" t="s">
        <v>433</v>
      </c>
      <c r="K805" s="18" t="s">
        <v>132</v>
      </c>
      <c r="L805" s="20" t="s">
        <v>5110</v>
      </c>
      <c r="M805" s="18" t="s">
        <v>75</v>
      </c>
      <c r="N805" s="20" t="s">
        <v>5111</v>
      </c>
      <c r="O805" s="18" t="s">
        <v>164</v>
      </c>
      <c r="P805" s="18" t="s">
        <v>78</v>
      </c>
      <c r="Q805" s="19">
        <v>44914</v>
      </c>
      <c r="R805" s="21">
        <v>15</v>
      </c>
      <c r="S805" s="18" t="s">
        <v>79</v>
      </c>
      <c r="T805" s="18" t="s">
        <v>174</v>
      </c>
      <c r="U805" s="18" t="s">
        <v>83</v>
      </c>
      <c r="V805" s="18" t="s">
        <v>95</v>
      </c>
      <c r="W805" s="18" t="s">
        <v>95</v>
      </c>
      <c r="X805" s="18" t="s">
        <v>118</v>
      </c>
      <c r="Y805" s="18" t="s">
        <v>85</v>
      </c>
      <c r="Z805" s="18" t="s">
        <v>86</v>
      </c>
      <c r="AA805" s="18" t="s">
        <v>119</v>
      </c>
      <c r="AB805" s="18" t="s">
        <v>251</v>
      </c>
      <c r="AC805" s="18" t="s">
        <v>252</v>
      </c>
      <c r="AD805" s="18" t="s">
        <v>85</v>
      </c>
      <c r="AE805" s="18" t="s">
        <v>90</v>
      </c>
      <c r="AF805" s="18" t="s">
        <v>177</v>
      </c>
      <c r="AG805" s="18" t="s">
        <v>139</v>
      </c>
      <c r="AH805" s="18" t="s">
        <v>165</v>
      </c>
      <c r="AI805" s="18" t="s">
        <v>94</v>
      </c>
      <c r="AJ805" s="19">
        <v>44901</v>
      </c>
      <c r="AK805" s="22" t="s">
        <v>95</v>
      </c>
      <c r="AL805" s="18" t="s">
        <v>95</v>
      </c>
      <c r="AM805" s="18" t="s">
        <v>95</v>
      </c>
      <c r="AN805" s="18" t="s">
        <v>95</v>
      </c>
      <c r="AO805" s="18" t="s">
        <v>95</v>
      </c>
      <c r="AP805" s="18" t="s">
        <v>95</v>
      </c>
      <c r="AQ805" s="18" t="s">
        <v>95</v>
      </c>
      <c r="AR805" s="18" t="s">
        <v>95</v>
      </c>
      <c r="AS805" s="18" t="s">
        <v>83</v>
      </c>
      <c r="AT805" s="18" t="s">
        <v>83</v>
      </c>
      <c r="AU805" s="18" t="s">
        <v>81</v>
      </c>
      <c r="AV805" s="18" t="s">
        <v>95</v>
      </c>
      <c r="AW805" s="18" t="s">
        <v>95</v>
      </c>
      <c r="AX805" s="18"/>
      <c r="AY805" s="18" t="str">
        <f>Pospago[[#This Row],[NUM_TELEFONICO]]&amp;"POSPAGOSI"</f>
        <v>995387221POSPAGOSI</v>
      </c>
      <c r="AZ805" s="18" t="str">
        <f>VLOOKUP(Pospago[[#This Row],[NOM_PLAZA_FINAL]],[1]!Locales[#Data],3,0)</f>
        <v>TIENDA RECREO</v>
      </c>
      <c r="BA805" s="18" t="str">
        <f>IFERROR(VLOOKUP(Pospago[[#This Row],[USUARIO]],[1]!Personal[#Data],6,0),"EJECUTIVO NO REGISTRADO")</f>
        <v>CRUZ MONTUFAR KATHERINE ALEJANDRA</v>
      </c>
      <c r="BB805" s="18" t="str">
        <f>Pospago[[#This Row],[TIPO_MOVIMIENTO]]&amp;" "&amp;Pospago[[#This Row],[FORMA_PAGO_FINAL]]</f>
        <v>TRANSFERENCIAS PAGO EN CAJA</v>
      </c>
      <c r="BC805" s="18">
        <f>DAY(Pospago[[#This Row],[FECHA_ALTA]])</f>
        <v>6</v>
      </c>
      <c r="BD805" s="18">
        <f>IF(Pospago[[#This Row],[TARIFA_BASICA]]=11.42,1,0)</f>
        <v>0</v>
      </c>
      <c r="BE805" s="18">
        <f>IF(Pospago[[#This Row],[PLANES TELEVENTAS]]="SI",1,0)</f>
        <v>0</v>
      </c>
      <c r="BF805" s="18">
        <f>1</f>
        <v>1</v>
      </c>
      <c r="BG805" s="18">
        <f>IF(OR(Pospago[[#This Row],[TARIFA_BASICA]]=11.42,Pospago[[#This Row],[PLANES TELEVENTAS]]="SI"),1,0)</f>
        <v>0</v>
      </c>
      <c r="BH805" s="18" t="str">
        <f>IF(MID(Pospago[[#This Row],[PlanDesc]],1,4) = "PLAN","POSPAGO",IF(MID(Pospago[[#This Row],[PlanDesc]],1,4)="FULL","FULL MEGAS","PREVIOPAGO"))</f>
        <v>PREVIOPAGO</v>
      </c>
      <c r="BI8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8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5" s="21">
        <f>Pospago[[#This Row],[TARIFA_BASICA]]*1.5</f>
        <v>22.5</v>
      </c>
    </row>
    <row r="806" spans="1:63" x14ac:dyDescent="0.25">
      <c r="A806" s="18" t="s">
        <v>154</v>
      </c>
      <c r="B806" s="18" t="s">
        <v>5112</v>
      </c>
      <c r="C806" s="18" t="s">
        <v>5113</v>
      </c>
      <c r="D806" s="19">
        <v>44907</v>
      </c>
      <c r="E806" s="18" t="s">
        <v>67</v>
      </c>
      <c r="F806" s="18" t="s">
        <v>5114</v>
      </c>
      <c r="G806" s="18" t="s">
        <v>5115</v>
      </c>
      <c r="H806" s="18" t="s">
        <v>159</v>
      </c>
      <c r="I806" s="18" t="s">
        <v>160</v>
      </c>
      <c r="J806" s="18" t="s">
        <v>161</v>
      </c>
      <c r="K806" s="18" t="s">
        <v>95</v>
      </c>
      <c r="L806" s="20" t="s">
        <v>5116</v>
      </c>
      <c r="M806" s="18" t="s">
        <v>75</v>
      </c>
      <c r="N806" s="20" t="s">
        <v>5117</v>
      </c>
      <c r="O806" s="18" t="s">
        <v>164</v>
      </c>
      <c r="P806" s="18" t="s">
        <v>78</v>
      </c>
      <c r="Q806" s="19">
        <v>44914</v>
      </c>
      <c r="R806" s="21">
        <v>14.28</v>
      </c>
      <c r="S806" s="18" t="s">
        <v>79</v>
      </c>
      <c r="T806" s="18" t="s">
        <v>232</v>
      </c>
      <c r="U806" s="18" t="s">
        <v>83</v>
      </c>
      <c r="V806" s="18" t="s">
        <v>95</v>
      </c>
      <c r="W806" s="18" t="s">
        <v>95</v>
      </c>
      <c r="X806" s="18" t="s">
        <v>84</v>
      </c>
      <c r="Y806" s="18" t="s">
        <v>85</v>
      </c>
      <c r="Z806" s="18" t="s">
        <v>86</v>
      </c>
      <c r="AA806" s="18" t="s">
        <v>87</v>
      </c>
      <c r="AB806" s="18" t="s">
        <v>271</v>
      </c>
      <c r="AC806" s="18" t="s">
        <v>272</v>
      </c>
      <c r="AD806" s="18" t="s">
        <v>85</v>
      </c>
      <c r="AE806" s="18" t="s">
        <v>90</v>
      </c>
      <c r="AF806" s="18" t="s">
        <v>235</v>
      </c>
      <c r="AG806" s="18" t="s">
        <v>139</v>
      </c>
      <c r="AH806" s="18" t="s">
        <v>165</v>
      </c>
      <c r="AI806" s="18" t="s">
        <v>94</v>
      </c>
      <c r="AJ806" s="19">
        <v>44907</v>
      </c>
      <c r="AK806" s="22" t="s">
        <v>95</v>
      </c>
      <c r="AL806" s="18" t="s">
        <v>95</v>
      </c>
      <c r="AM806" s="18" t="s">
        <v>95</v>
      </c>
      <c r="AN806" s="18" t="s">
        <v>95</v>
      </c>
      <c r="AO806" s="18" t="s">
        <v>95</v>
      </c>
      <c r="AP806" s="18" t="s">
        <v>95</v>
      </c>
      <c r="AQ806" s="18" t="s">
        <v>95</v>
      </c>
      <c r="AR806" s="18" t="s">
        <v>95</v>
      </c>
      <c r="AS806" s="18" t="s">
        <v>83</v>
      </c>
      <c r="AT806" s="18" t="s">
        <v>83</v>
      </c>
      <c r="AU806" s="18" t="s">
        <v>81</v>
      </c>
      <c r="AV806" s="18" t="s">
        <v>95</v>
      </c>
      <c r="AW806" s="18" t="s">
        <v>95</v>
      </c>
      <c r="AX806" s="18"/>
      <c r="AY806" s="18" t="str">
        <f>Pospago[[#This Row],[NUM_TELEFONICO]]&amp;"POSPAGOSI"</f>
        <v>995391840POSPAGOSI</v>
      </c>
      <c r="AZ806" s="18" t="str">
        <f>VLOOKUP(Pospago[[#This Row],[NOM_PLAZA_FINAL]],[1]!Locales[#Data],3,0)</f>
        <v>TIENDA CONDADO</v>
      </c>
      <c r="BA806" s="18" t="str">
        <f>IFERROR(VLOOKUP(Pospago[[#This Row],[USUARIO]],[1]!Personal[#Data],6,0),"EJECUTIVO NO REGISTRADO")</f>
        <v>CASTILLO AGUIRRE EDWIN MODESTO</v>
      </c>
      <c r="BB806" s="18" t="str">
        <f>Pospago[[#This Row],[TIPO_MOVIMIENTO]]&amp;" "&amp;Pospago[[#This Row],[FORMA_PAGO_FINAL]]</f>
        <v>TRANSFERENCIAS DOMICILIADO</v>
      </c>
      <c r="BC806" s="18">
        <f>DAY(Pospago[[#This Row],[FECHA_ALTA]])</f>
        <v>12</v>
      </c>
      <c r="BD806" s="18">
        <f>IF(Pospago[[#This Row],[TARIFA_BASICA]]=11.42,1,0)</f>
        <v>0</v>
      </c>
      <c r="BE806" s="18">
        <f>IF(Pospago[[#This Row],[PLANES TELEVENTAS]]="SI",1,0)</f>
        <v>0</v>
      </c>
      <c r="BF806" s="18">
        <f>1</f>
        <v>1</v>
      </c>
      <c r="BG806" s="18">
        <f>IF(OR(Pospago[[#This Row],[TARIFA_BASICA]]=11.42,Pospago[[#This Row],[PLANES TELEVENTAS]]="SI"),1,0)</f>
        <v>0</v>
      </c>
      <c r="BH806" s="18" t="str">
        <f>IF(MID(Pospago[[#This Row],[PlanDesc]],1,4) = "PLAN","POSPAGO",IF(MID(Pospago[[#This Row],[PlanDesc]],1,4)="FULL","FULL MEGAS","PREVIOPAGO"))</f>
        <v>PREVIOPAGO</v>
      </c>
      <c r="BI8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6" s="21">
        <f>Pospago[[#This Row],[TARIFA_BASICA]]*1.5</f>
        <v>21.419999999999998</v>
      </c>
    </row>
    <row r="807" spans="1:63" x14ac:dyDescent="0.25">
      <c r="A807" s="18" t="s">
        <v>154</v>
      </c>
      <c r="B807" s="18" t="s">
        <v>5118</v>
      </c>
      <c r="C807" s="18" t="s">
        <v>5119</v>
      </c>
      <c r="D807" s="19">
        <v>44902</v>
      </c>
      <c r="E807" s="18" t="s">
        <v>67</v>
      </c>
      <c r="F807" s="18" t="s">
        <v>5120</v>
      </c>
      <c r="G807" s="18" t="s">
        <v>5121</v>
      </c>
      <c r="H807" s="18" t="s">
        <v>159</v>
      </c>
      <c r="I807" s="18" t="s">
        <v>71</v>
      </c>
      <c r="J807" s="18" t="s">
        <v>258</v>
      </c>
      <c r="K807" s="18" t="s">
        <v>95</v>
      </c>
      <c r="L807" s="20" t="s">
        <v>5122</v>
      </c>
      <c r="M807" s="18" t="s">
        <v>75</v>
      </c>
      <c r="N807" s="20" t="s">
        <v>5123</v>
      </c>
      <c r="O807" s="18" t="s">
        <v>164</v>
      </c>
      <c r="P807" s="18" t="s">
        <v>78</v>
      </c>
      <c r="Q807" s="19">
        <v>44914</v>
      </c>
      <c r="R807" s="21">
        <v>11.42</v>
      </c>
      <c r="S807" s="18" t="s">
        <v>79</v>
      </c>
      <c r="T807" s="18" t="s">
        <v>174</v>
      </c>
      <c r="U807" s="18" t="s">
        <v>83</v>
      </c>
      <c r="V807" s="18" t="s">
        <v>95</v>
      </c>
      <c r="W807" s="18" t="s">
        <v>95</v>
      </c>
      <c r="X807" s="18" t="s">
        <v>118</v>
      </c>
      <c r="Y807" s="18" t="s">
        <v>85</v>
      </c>
      <c r="Z807" s="18" t="s">
        <v>86</v>
      </c>
      <c r="AA807" s="18" t="s">
        <v>119</v>
      </c>
      <c r="AB807" s="18" t="s">
        <v>187</v>
      </c>
      <c r="AC807" s="18" t="s">
        <v>188</v>
      </c>
      <c r="AD807" s="18" t="s">
        <v>85</v>
      </c>
      <c r="AE807" s="18" t="s">
        <v>90</v>
      </c>
      <c r="AF807" s="18" t="s">
        <v>177</v>
      </c>
      <c r="AG807" s="18" t="s">
        <v>139</v>
      </c>
      <c r="AH807" s="18" t="s">
        <v>165</v>
      </c>
      <c r="AI807" s="18" t="s">
        <v>94</v>
      </c>
      <c r="AJ807" s="19">
        <v>44902</v>
      </c>
      <c r="AK807" s="22" t="s">
        <v>95</v>
      </c>
      <c r="AL807" s="18" t="s">
        <v>95</v>
      </c>
      <c r="AM807" s="18" t="s">
        <v>95</v>
      </c>
      <c r="AN807" s="18" t="s">
        <v>95</v>
      </c>
      <c r="AO807" s="18" t="s">
        <v>95</v>
      </c>
      <c r="AP807" s="18" t="s">
        <v>95</v>
      </c>
      <c r="AQ807" s="18" t="s">
        <v>95</v>
      </c>
      <c r="AR807" s="18" t="s">
        <v>95</v>
      </c>
      <c r="AS807" s="18" t="s">
        <v>83</v>
      </c>
      <c r="AT807" s="18" t="s">
        <v>83</v>
      </c>
      <c r="AU807" s="18" t="s">
        <v>81</v>
      </c>
      <c r="AV807" s="18" t="s">
        <v>95</v>
      </c>
      <c r="AW807" s="18" t="s">
        <v>95</v>
      </c>
      <c r="AX807" s="18"/>
      <c r="AY807" s="18" t="str">
        <f>Pospago[[#This Row],[NUM_TELEFONICO]]&amp;"POSPAGOSI"</f>
        <v>995404800POSPAGOSI</v>
      </c>
      <c r="AZ807" s="18" t="str">
        <f>VLOOKUP(Pospago[[#This Row],[NOM_PLAZA_FINAL]],[1]!Locales[#Data],3,0)</f>
        <v>TIENDA RECREO</v>
      </c>
      <c r="BA807" s="18" t="str">
        <f>IFERROR(VLOOKUP(Pospago[[#This Row],[USUARIO]],[1]!Personal[#Data],6,0),"EJECUTIVO NO REGISTRADO")</f>
        <v>ESPINOZA MARTINES LAURA XIOMARA</v>
      </c>
      <c r="BB807" s="18" t="str">
        <f>Pospago[[#This Row],[TIPO_MOVIMIENTO]]&amp;" "&amp;Pospago[[#This Row],[FORMA_PAGO_FINAL]]</f>
        <v>TRANSFERENCIAS PAGO EN CAJA</v>
      </c>
      <c r="BC807" s="18">
        <f>DAY(Pospago[[#This Row],[FECHA_ALTA]])</f>
        <v>7</v>
      </c>
      <c r="BD807" s="18">
        <f>IF(Pospago[[#This Row],[TARIFA_BASICA]]=11.42,1,0)</f>
        <v>1</v>
      </c>
      <c r="BE807" s="18">
        <f>IF(Pospago[[#This Row],[PLANES TELEVENTAS]]="SI",1,0)</f>
        <v>0</v>
      </c>
      <c r="BF807" s="18">
        <f>1</f>
        <v>1</v>
      </c>
      <c r="BG807" s="18">
        <f>IF(OR(Pospago[[#This Row],[TARIFA_BASICA]]=11.42,Pospago[[#This Row],[PLANES TELEVENTAS]]="SI"),1,0)</f>
        <v>1</v>
      </c>
      <c r="BH807" s="18" t="str">
        <f>IF(MID(Pospago[[#This Row],[PlanDesc]],1,4) = "PLAN","POSPAGO",IF(MID(Pospago[[#This Row],[PlanDesc]],1,4)="FULL","FULL MEGAS","PREVIOPAGO"))</f>
        <v>PREVIOPAGO</v>
      </c>
      <c r="BI8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8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07" s="21">
        <f>Pospago[[#This Row],[TARIFA_BASICA]]*1.5</f>
        <v>17.13</v>
      </c>
    </row>
    <row r="808" spans="1:63" x14ac:dyDescent="0.25">
      <c r="A808" s="18" t="s">
        <v>154</v>
      </c>
      <c r="B808" s="18" t="s">
        <v>5124</v>
      </c>
      <c r="C808" s="18" t="s">
        <v>5125</v>
      </c>
      <c r="D808" s="19">
        <v>44909</v>
      </c>
      <c r="E808" s="18" t="s">
        <v>67</v>
      </c>
      <c r="F808" s="18" t="s">
        <v>5126</v>
      </c>
      <c r="G808" s="18" t="s">
        <v>5127</v>
      </c>
      <c r="H808" s="18" t="s">
        <v>159</v>
      </c>
      <c r="I808" s="18" t="s">
        <v>112</v>
      </c>
      <c r="J808" s="18" t="s">
        <v>781</v>
      </c>
      <c r="K808" s="18" t="s">
        <v>132</v>
      </c>
      <c r="L808" s="20" t="s">
        <v>5128</v>
      </c>
      <c r="M808" s="18" t="s">
        <v>75</v>
      </c>
      <c r="N808" s="20" t="s">
        <v>5129</v>
      </c>
      <c r="O808" s="18" t="s">
        <v>164</v>
      </c>
      <c r="P808" s="18" t="s">
        <v>78</v>
      </c>
      <c r="Q808" s="19">
        <v>44914</v>
      </c>
      <c r="R808" s="21">
        <v>17.850000000000001</v>
      </c>
      <c r="S808" s="18" t="s">
        <v>79</v>
      </c>
      <c r="T808" s="18" t="s">
        <v>135</v>
      </c>
      <c r="U808" s="18" t="s">
        <v>83</v>
      </c>
      <c r="V808" s="18" t="s">
        <v>95</v>
      </c>
      <c r="W808" s="18" t="s">
        <v>95</v>
      </c>
      <c r="X808" s="18" t="s">
        <v>84</v>
      </c>
      <c r="Y808" s="18" t="s">
        <v>85</v>
      </c>
      <c r="Z808" s="18" t="s">
        <v>86</v>
      </c>
      <c r="AA808" s="18" t="s">
        <v>87</v>
      </c>
      <c r="AB808" s="18" t="s">
        <v>866</v>
      </c>
      <c r="AC808" s="18" t="s">
        <v>867</v>
      </c>
      <c r="AD808" s="18" t="s">
        <v>85</v>
      </c>
      <c r="AE808" s="18" t="s">
        <v>90</v>
      </c>
      <c r="AF808" s="18" t="s">
        <v>138</v>
      </c>
      <c r="AG808" s="18" t="s">
        <v>139</v>
      </c>
      <c r="AH808" s="18" t="s">
        <v>165</v>
      </c>
      <c r="AI808" s="18" t="s">
        <v>94</v>
      </c>
      <c r="AJ808" s="19">
        <v>44909</v>
      </c>
      <c r="AK808" s="22" t="s">
        <v>95</v>
      </c>
      <c r="AL808" s="18" t="s">
        <v>95</v>
      </c>
      <c r="AM808" s="18" t="s">
        <v>95</v>
      </c>
      <c r="AN808" s="18" t="s">
        <v>95</v>
      </c>
      <c r="AO808" s="18" t="s">
        <v>95</v>
      </c>
      <c r="AP808" s="18" t="s">
        <v>95</v>
      </c>
      <c r="AQ808" s="18" t="s">
        <v>95</v>
      </c>
      <c r="AR808" s="18" t="s">
        <v>95</v>
      </c>
      <c r="AS808" s="18" t="s">
        <v>83</v>
      </c>
      <c r="AT808" s="18" t="s">
        <v>83</v>
      </c>
      <c r="AU808" s="18" t="s">
        <v>81</v>
      </c>
      <c r="AV808" s="18" t="s">
        <v>95</v>
      </c>
      <c r="AW808" s="18" t="s">
        <v>95</v>
      </c>
      <c r="AX808" s="18"/>
      <c r="AY808" s="18" t="str">
        <f>Pospago[[#This Row],[NUM_TELEFONICO]]&amp;"POSPAGOSI"</f>
        <v>995408825POSPAGOSI</v>
      </c>
      <c r="AZ808" s="18" t="str">
        <f>VLOOKUP(Pospago[[#This Row],[NOM_PLAZA_FINAL]],[1]!Locales[#Data],3,0)</f>
        <v>TIENDA AMERICA</v>
      </c>
      <c r="BA808" s="18" t="str">
        <f>IFERROR(VLOOKUP(Pospago[[#This Row],[USUARIO]],[1]!Personal[#Data],6,0),"EJECUTIVO NO REGISTRADO")</f>
        <v>ORTEGA RUIZ GABRIEL ANTONIO</v>
      </c>
      <c r="BB808" s="18" t="str">
        <f>Pospago[[#This Row],[TIPO_MOVIMIENTO]]&amp;" "&amp;Pospago[[#This Row],[FORMA_PAGO_FINAL]]</f>
        <v>TRANSFERENCIAS DOMICILIADO</v>
      </c>
      <c r="BC808" s="18">
        <f>DAY(Pospago[[#This Row],[FECHA_ALTA]])</f>
        <v>14</v>
      </c>
      <c r="BD808" s="18">
        <f>IF(Pospago[[#This Row],[TARIFA_BASICA]]=11.42,1,0)</f>
        <v>0</v>
      </c>
      <c r="BE808" s="18">
        <f>IF(Pospago[[#This Row],[PLANES TELEVENTAS]]="SI",1,0)</f>
        <v>0</v>
      </c>
      <c r="BF808" s="18">
        <f>1</f>
        <v>1</v>
      </c>
      <c r="BG808" s="18">
        <f>IF(OR(Pospago[[#This Row],[TARIFA_BASICA]]=11.42,Pospago[[#This Row],[PLANES TELEVENTAS]]="SI"),1,0)</f>
        <v>0</v>
      </c>
      <c r="BH808" s="18" t="str">
        <f>IF(MID(Pospago[[#This Row],[PlanDesc]],1,4) = "PLAN","POSPAGO",IF(MID(Pospago[[#This Row],[PlanDesc]],1,4)="FULL","FULL MEGAS","PREVIOPAGO"))</f>
        <v>PREVIOPAGO</v>
      </c>
      <c r="BI8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8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8" s="21">
        <f>Pospago[[#This Row],[TARIFA_BASICA]]*1.5</f>
        <v>26.775000000000002</v>
      </c>
    </row>
    <row r="809" spans="1:63" x14ac:dyDescent="0.25">
      <c r="A809" s="18" t="s">
        <v>154</v>
      </c>
      <c r="B809" s="18" t="s">
        <v>5130</v>
      </c>
      <c r="C809" s="18" t="s">
        <v>5131</v>
      </c>
      <c r="D809" s="19">
        <v>44910</v>
      </c>
      <c r="E809" s="18" t="s">
        <v>67</v>
      </c>
      <c r="F809" s="18" t="s">
        <v>5132</v>
      </c>
      <c r="G809" s="18" t="s">
        <v>5133</v>
      </c>
      <c r="H809" s="18" t="s">
        <v>159</v>
      </c>
      <c r="I809" s="18" t="s">
        <v>160</v>
      </c>
      <c r="J809" s="18" t="s">
        <v>161</v>
      </c>
      <c r="K809" s="18" t="s">
        <v>132</v>
      </c>
      <c r="L809" s="20" t="s">
        <v>5134</v>
      </c>
      <c r="M809" s="18" t="s">
        <v>75</v>
      </c>
      <c r="N809" s="20" t="s">
        <v>5135</v>
      </c>
      <c r="O809" s="18" t="s">
        <v>164</v>
      </c>
      <c r="P809" s="18" t="s">
        <v>78</v>
      </c>
      <c r="Q809" s="19">
        <v>44914</v>
      </c>
      <c r="R809" s="21">
        <v>14.28</v>
      </c>
      <c r="S809" s="18" t="s">
        <v>79</v>
      </c>
      <c r="T809" s="18" t="s">
        <v>232</v>
      </c>
      <c r="U809" s="18" t="s">
        <v>83</v>
      </c>
      <c r="V809" s="18" t="s">
        <v>95</v>
      </c>
      <c r="W809" s="18" t="s">
        <v>95</v>
      </c>
      <c r="X809" s="18" t="s">
        <v>84</v>
      </c>
      <c r="Y809" s="18" t="s">
        <v>85</v>
      </c>
      <c r="Z809" s="18" t="s">
        <v>86</v>
      </c>
      <c r="AA809" s="18" t="s">
        <v>87</v>
      </c>
      <c r="AB809" s="18" t="s">
        <v>271</v>
      </c>
      <c r="AC809" s="18" t="s">
        <v>272</v>
      </c>
      <c r="AD809" s="18" t="s">
        <v>85</v>
      </c>
      <c r="AE809" s="18" t="s">
        <v>90</v>
      </c>
      <c r="AF809" s="18" t="s">
        <v>235</v>
      </c>
      <c r="AG809" s="18" t="s">
        <v>139</v>
      </c>
      <c r="AH809" s="18" t="s">
        <v>165</v>
      </c>
      <c r="AI809" s="18" t="s">
        <v>94</v>
      </c>
      <c r="AJ809" s="19">
        <v>44910</v>
      </c>
      <c r="AK809" s="22" t="s">
        <v>95</v>
      </c>
      <c r="AL809" s="18" t="s">
        <v>95</v>
      </c>
      <c r="AM809" s="18" t="s">
        <v>95</v>
      </c>
      <c r="AN809" s="18" t="s">
        <v>95</v>
      </c>
      <c r="AO809" s="18" t="s">
        <v>95</v>
      </c>
      <c r="AP809" s="18" t="s">
        <v>95</v>
      </c>
      <c r="AQ809" s="18" t="s">
        <v>95</v>
      </c>
      <c r="AR809" s="18" t="s">
        <v>95</v>
      </c>
      <c r="AS809" s="18" t="s">
        <v>83</v>
      </c>
      <c r="AT809" s="18" t="s">
        <v>83</v>
      </c>
      <c r="AU809" s="18" t="s">
        <v>81</v>
      </c>
      <c r="AV809" s="18" t="s">
        <v>95</v>
      </c>
      <c r="AW809" s="18" t="s">
        <v>95</v>
      </c>
      <c r="AX809" s="18"/>
      <c r="AY809" s="18" t="str">
        <f>Pospago[[#This Row],[NUM_TELEFONICO]]&amp;"POSPAGOSI"</f>
        <v>995411452POSPAGOSI</v>
      </c>
      <c r="AZ809" s="18" t="str">
        <f>VLOOKUP(Pospago[[#This Row],[NOM_PLAZA_FINAL]],[1]!Locales[#Data],3,0)</f>
        <v>TIENDA CONDADO</v>
      </c>
      <c r="BA809" s="18" t="str">
        <f>IFERROR(VLOOKUP(Pospago[[#This Row],[USUARIO]],[1]!Personal[#Data],6,0),"EJECUTIVO NO REGISTRADO")</f>
        <v>CASTILLO AGUIRRE EDWIN MODESTO</v>
      </c>
      <c r="BB809" s="18" t="str">
        <f>Pospago[[#This Row],[TIPO_MOVIMIENTO]]&amp;" "&amp;Pospago[[#This Row],[FORMA_PAGO_FINAL]]</f>
        <v>TRANSFERENCIAS DOMICILIADO</v>
      </c>
      <c r="BC809" s="18">
        <f>DAY(Pospago[[#This Row],[FECHA_ALTA]])</f>
        <v>15</v>
      </c>
      <c r="BD809" s="18">
        <f>IF(Pospago[[#This Row],[TARIFA_BASICA]]=11.42,1,0)</f>
        <v>0</v>
      </c>
      <c r="BE809" s="18">
        <f>IF(Pospago[[#This Row],[PLANES TELEVENTAS]]="SI",1,0)</f>
        <v>0</v>
      </c>
      <c r="BF809" s="18">
        <f>1</f>
        <v>1</v>
      </c>
      <c r="BG809" s="18">
        <f>IF(OR(Pospago[[#This Row],[TARIFA_BASICA]]=11.42,Pospago[[#This Row],[PLANES TELEVENTAS]]="SI"),1,0)</f>
        <v>0</v>
      </c>
      <c r="BH809" s="18" t="str">
        <f>IF(MID(Pospago[[#This Row],[PlanDesc]],1,4) = "PLAN","POSPAGO",IF(MID(Pospago[[#This Row],[PlanDesc]],1,4)="FULL","FULL MEGAS","PREVIOPAGO"))</f>
        <v>PREVIOPAGO</v>
      </c>
      <c r="BI8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09" s="21">
        <f>Pospago[[#This Row],[TARIFA_BASICA]]*1.5</f>
        <v>21.419999999999998</v>
      </c>
    </row>
    <row r="810" spans="1:63" x14ac:dyDescent="0.25">
      <c r="A810" s="18" t="s">
        <v>64</v>
      </c>
      <c r="B810" s="18" t="s">
        <v>5136</v>
      </c>
      <c r="C810" s="18" t="s">
        <v>5137</v>
      </c>
      <c r="D810" s="19">
        <v>44897</v>
      </c>
      <c r="E810" s="18" t="s">
        <v>246</v>
      </c>
      <c r="F810" s="18" t="s">
        <v>5138</v>
      </c>
      <c r="G810" s="18" t="s">
        <v>5139</v>
      </c>
      <c r="H810" s="18" t="s">
        <v>70</v>
      </c>
      <c r="I810" s="18" t="s">
        <v>160</v>
      </c>
      <c r="J810" s="18" t="s">
        <v>195</v>
      </c>
      <c r="K810" s="18" t="s">
        <v>1949</v>
      </c>
      <c r="L810" s="20" t="s">
        <v>5140</v>
      </c>
      <c r="M810" s="18" t="s">
        <v>75</v>
      </c>
      <c r="N810" s="20" t="s">
        <v>5141</v>
      </c>
      <c r="O810" s="18" t="s">
        <v>77</v>
      </c>
      <c r="P810" s="18" t="s">
        <v>78</v>
      </c>
      <c r="Q810" s="19">
        <v>44914</v>
      </c>
      <c r="R810" s="21">
        <v>14.28</v>
      </c>
      <c r="S810" s="18" t="s">
        <v>79</v>
      </c>
      <c r="T810" s="18" t="s">
        <v>174</v>
      </c>
      <c r="U810" s="18" t="s">
        <v>83</v>
      </c>
      <c r="V810" s="18" t="s">
        <v>95</v>
      </c>
      <c r="W810" s="18" t="s">
        <v>83</v>
      </c>
      <c r="X810" s="18" t="s">
        <v>118</v>
      </c>
      <c r="Y810" s="18" t="s">
        <v>85</v>
      </c>
      <c r="Z810" s="18" t="s">
        <v>86</v>
      </c>
      <c r="AA810" s="18" t="s">
        <v>119</v>
      </c>
      <c r="AB810" s="18" t="s">
        <v>251</v>
      </c>
      <c r="AC810" s="18" t="s">
        <v>252</v>
      </c>
      <c r="AD810" s="18" t="s">
        <v>85</v>
      </c>
      <c r="AE810" s="18" t="s">
        <v>90</v>
      </c>
      <c r="AF810" s="18" t="s">
        <v>177</v>
      </c>
      <c r="AG810" s="18" t="s">
        <v>139</v>
      </c>
      <c r="AH810" s="18" t="s">
        <v>93</v>
      </c>
      <c r="AI810" s="18" t="s">
        <v>94</v>
      </c>
      <c r="AJ810" s="19">
        <v>44897</v>
      </c>
      <c r="AK810" s="22" t="s">
        <v>95</v>
      </c>
      <c r="AL810" s="18" t="s">
        <v>95</v>
      </c>
      <c r="AM810" s="18" t="s">
        <v>95</v>
      </c>
      <c r="AN810" s="18" t="s">
        <v>95</v>
      </c>
      <c r="AO810" s="18" t="s">
        <v>95</v>
      </c>
      <c r="AP810" s="18" t="s">
        <v>95</v>
      </c>
      <c r="AQ810" s="18" t="s">
        <v>95</v>
      </c>
      <c r="AR810" s="18" t="s">
        <v>95</v>
      </c>
      <c r="AS810" s="18" t="s">
        <v>83</v>
      </c>
      <c r="AT810" s="18" t="s">
        <v>83</v>
      </c>
      <c r="AU810" s="18" t="s">
        <v>81</v>
      </c>
      <c r="AV810" s="18" t="s">
        <v>95</v>
      </c>
      <c r="AW810" s="18" t="s">
        <v>95</v>
      </c>
      <c r="AX810" s="18"/>
      <c r="AY810" s="18" t="str">
        <f>Pospago[[#This Row],[NUM_TELEFONICO]]&amp;"POSPAGOSI"</f>
        <v>995424366POSPAGOSI</v>
      </c>
      <c r="AZ810" s="18" t="str">
        <f>VLOOKUP(Pospago[[#This Row],[NOM_PLAZA_FINAL]],[1]!Locales[#Data],3,0)</f>
        <v>TIENDA RECREO</v>
      </c>
      <c r="BA810" s="18" t="str">
        <f>IFERROR(VLOOKUP(Pospago[[#This Row],[USUARIO]],[1]!Personal[#Data],6,0),"EJECUTIVO NO REGISTRADO")</f>
        <v>CRUZ MONTUFAR KATHERINE ALEJANDRA</v>
      </c>
      <c r="BB810" s="18" t="str">
        <f>Pospago[[#This Row],[TIPO_MOVIMIENTO]]&amp;" "&amp;Pospago[[#This Row],[FORMA_PAGO_FINAL]]</f>
        <v>ALTAS PAGO EN CAJA</v>
      </c>
      <c r="BC810" s="18">
        <f>DAY(Pospago[[#This Row],[FECHA_ALTA]])</f>
        <v>2</v>
      </c>
      <c r="BD810" s="18">
        <f>IF(Pospago[[#This Row],[TARIFA_BASICA]]=11.42,1,0)</f>
        <v>0</v>
      </c>
      <c r="BE810" s="18">
        <f>IF(Pospago[[#This Row],[PLANES TELEVENTAS]]="SI",1,0)</f>
        <v>0</v>
      </c>
      <c r="BF810" s="18">
        <f>1</f>
        <v>1</v>
      </c>
      <c r="BG810" s="18">
        <f>IF(OR(Pospago[[#This Row],[TARIFA_BASICA]]=11.42,Pospago[[#This Row],[PLANES TELEVENTAS]]="SI"),1,0)</f>
        <v>0</v>
      </c>
      <c r="BH810" s="18" t="str">
        <f>IF(MID(Pospago[[#This Row],[PlanDesc]],1,4) = "PLAN","POSPAGO",IF(MID(Pospago[[#This Row],[PlanDesc]],1,4)="FULL","FULL MEGAS","PREVIOPAGO"))</f>
        <v>PREVIOPAGO</v>
      </c>
      <c r="BI8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8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10" s="21">
        <f>Pospago[[#This Row],[TARIFA_BASICA]]*1.5</f>
        <v>21.419999999999998</v>
      </c>
    </row>
    <row r="811" spans="1:63" x14ac:dyDescent="0.25">
      <c r="A811" s="18" t="s">
        <v>64</v>
      </c>
      <c r="B811" s="18" t="s">
        <v>5142</v>
      </c>
      <c r="C811" s="18" t="s">
        <v>5143</v>
      </c>
      <c r="D811" s="19">
        <v>44909</v>
      </c>
      <c r="E811" s="18" t="s">
        <v>67</v>
      </c>
      <c r="F811" s="18" t="s">
        <v>5144</v>
      </c>
      <c r="G811" s="18" t="s">
        <v>5145</v>
      </c>
      <c r="H811" s="18" t="s">
        <v>70</v>
      </c>
      <c r="I811" s="18" t="s">
        <v>1357</v>
      </c>
      <c r="J811" s="18" t="s">
        <v>72</v>
      </c>
      <c r="K811" s="18" t="s">
        <v>95</v>
      </c>
      <c r="L811" s="20" t="s">
        <v>5146</v>
      </c>
      <c r="M811" s="18" t="s">
        <v>75</v>
      </c>
      <c r="N811" s="20" t="s">
        <v>5147</v>
      </c>
      <c r="O811" s="18" t="s">
        <v>77</v>
      </c>
      <c r="P811" s="18" t="s">
        <v>78</v>
      </c>
      <c r="Q811" s="19">
        <v>44914</v>
      </c>
      <c r="R811" s="21">
        <v>11.42</v>
      </c>
      <c r="S811" s="18" t="s">
        <v>79</v>
      </c>
      <c r="T811" s="18" t="s">
        <v>174</v>
      </c>
      <c r="U811" s="18" t="s">
        <v>83</v>
      </c>
      <c r="V811" s="18" t="s">
        <v>95</v>
      </c>
      <c r="W811" s="18" t="s">
        <v>83</v>
      </c>
      <c r="X811" s="18" t="s">
        <v>84</v>
      </c>
      <c r="Y811" s="18" t="s">
        <v>85</v>
      </c>
      <c r="Z811" s="18" t="s">
        <v>86</v>
      </c>
      <c r="AA811" s="18" t="s">
        <v>87</v>
      </c>
      <c r="AB811" s="18" t="s">
        <v>926</v>
      </c>
      <c r="AC811" s="18" t="s">
        <v>927</v>
      </c>
      <c r="AD811" s="18" t="s">
        <v>85</v>
      </c>
      <c r="AE811" s="18" t="s">
        <v>90</v>
      </c>
      <c r="AF811" s="18" t="s">
        <v>177</v>
      </c>
      <c r="AG811" s="18" t="s">
        <v>139</v>
      </c>
      <c r="AH811" s="18" t="s">
        <v>93</v>
      </c>
      <c r="AI811" s="18" t="s">
        <v>94</v>
      </c>
      <c r="AJ811" s="19">
        <v>44909</v>
      </c>
      <c r="AK811" s="22" t="s">
        <v>95</v>
      </c>
      <c r="AL811" s="18" t="s">
        <v>95</v>
      </c>
      <c r="AM811" s="18" t="s">
        <v>95</v>
      </c>
      <c r="AN811" s="18" t="s">
        <v>95</v>
      </c>
      <c r="AO811" s="18" t="s">
        <v>95</v>
      </c>
      <c r="AP811" s="18" t="s">
        <v>95</v>
      </c>
      <c r="AQ811" s="18" t="s">
        <v>95</v>
      </c>
      <c r="AR811" s="18" t="s">
        <v>95</v>
      </c>
      <c r="AS811" s="18" t="s">
        <v>83</v>
      </c>
      <c r="AT811" s="18" t="s">
        <v>81</v>
      </c>
      <c r="AU811" s="18" t="s">
        <v>81</v>
      </c>
      <c r="AV811" s="18" t="s">
        <v>95</v>
      </c>
      <c r="AW811" s="18" t="s">
        <v>95</v>
      </c>
      <c r="AX811" s="18"/>
      <c r="AY811" s="18" t="str">
        <f>Pospago[[#This Row],[NUM_TELEFONICO]]&amp;"POSPAGOSI"</f>
        <v>995442641POSPAGOSI</v>
      </c>
      <c r="AZ811" s="18" t="str">
        <f>VLOOKUP(Pospago[[#This Row],[NOM_PLAZA_FINAL]],[1]!Locales[#Data],3,0)</f>
        <v>TIENDA RECREO</v>
      </c>
      <c r="BA811" s="18" t="str">
        <f>IFERROR(VLOOKUP(Pospago[[#This Row],[USUARIO]],[1]!Personal[#Data],6,0),"EJECUTIVO NO REGISTRADO")</f>
        <v>CABEZAS LOPEZ ROBERTO ALEJANDRO</v>
      </c>
      <c r="BB811" s="18" t="str">
        <f>Pospago[[#This Row],[TIPO_MOVIMIENTO]]&amp;" "&amp;Pospago[[#This Row],[FORMA_PAGO_FINAL]]</f>
        <v>ALTAS DOMICILIADO</v>
      </c>
      <c r="BC811" s="18">
        <f>DAY(Pospago[[#This Row],[FECHA_ALTA]])</f>
        <v>14</v>
      </c>
      <c r="BD811" s="18">
        <f>IF(Pospago[[#This Row],[TARIFA_BASICA]]=11.42,1,0)</f>
        <v>1</v>
      </c>
      <c r="BE811" s="18">
        <f>IF(Pospago[[#This Row],[PLANES TELEVENTAS]]="SI",1,0)</f>
        <v>1</v>
      </c>
      <c r="BF811" s="18">
        <f>1</f>
        <v>1</v>
      </c>
      <c r="BG811" s="18">
        <f>IF(OR(Pospago[[#This Row],[TARIFA_BASICA]]=11.42,Pospago[[#This Row],[PLANES TELEVENTAS]]="SI"),1,0)</f>
        <v>1</v>
      </c>
      <c r="BH811" s="18" t="str">
        <f>IF(MID(Pospago[[#This Row],[PlanDesc]],1,4) = "PLAN","POSPAGO",IF(MID(Pospago[[#This Row],[PlanDesc]],1,4)="FULL","FULL MEGAS","PREVIOPAGO"))</f>
        <v>PREVIOPAGO</v>
      </c>
      <c r="BI8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8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11" s="21">
        <f>Pospago[[#This Row],[TARIFA_BASICA]]*1.5</f>
        <v>17.13</v>
      </c>
    </row>
    <row r="812" spans="1:63" x14ac:dyDescent="0.25">
      <c r="A812" s="18" t="s">
        <v>64</v>
      </c>
      <c r="B812" s="18" t="s">
        <v>5148</v>
      </c>
      <c r="C812" s="18" t="s">
        <v>5149</v>
      </c>
      <c r="D812" s="19">
        <v>44903</v>
      </c>
      <c r="E812" s="18" t="s">
        <v>67</v>
      </c>
      <c r="F812" s="18" t="s">
        <v>5150</v>
      </c>
      <c r="G812" s="18" t="s">
        <v>5151</v>
      </c>
      <c r="H812" s="18" t="s">
        <v>70</v>
      </c>
      <c r="I812" s="18" t="s">
        <v>160</v>
      </c>
      <c r="J812" s="18" t="s">
        <v>195</v>
      </c>
      <c r="K812" s="18" t="s">
        <v>259</v>
      </c>
      <c r="L812" s="20" t="s">
        <v>5152</v>
      </c>
      <c r="M812" s="18" t="s">
        <v>75</v>
      </c>
      <c r="N812" s="20" t="s">
        <v>5153</v>
      </c>
      <c r="O812" s="18" t="s">
        <v>77</v>
      </c>
      <c r="P812" s="18" t="s">
        <v>78</v>
      </c>
      <c r="Q812" s="19">
        <v>44914</v>
      </c>
      <c r="R812" s="21">
        <v>14.28</v>
      </c>
      <c r="S812" s="18" t="s">
        <v>79</v>
      </c>
      <c r="T812" s="18" t="s">
        <v>232</v>
      </c>
      <c r="U812" s="18" t="s">
        <v>83</v>
      </c>
      <c r="V812" s="18" t="s">
        <v>95</v>
      </c>
      <c r="W812" s="18" t="s">
        <v>83</v>
      </c>
      <c r="X812" s="18" t="s">
        <v>215</v>
      </c>
      <c r="Y812" s="18" t="s">
        <v>85</v>
      </c>
      <c r="Z812" s="18" t="s">
        <v>86</v>
      </c>
      <c r="AA812" s="18" t="s">
        <v>87</v>
      </c>
      <c r="AB812" s="18" t="s">
        <v>769</v>
      </c>
      <c r="AC812" s="18" t="s">
        <v>770</v>
      </c>
      <c r="AD812" s="18" t="s">
        <v>85</v>
      </c>
      <c r="AE812" s="18" t="s">
        <v>90</v>
      </c>
      <c r="AF812" s="18" t="s">
        <v>235</v>
      </c>
      <c r="AG812" s="18" t="s">
        <v>139</v>
      </c>
      <c r="AH812" s="18" t="s">
        <v>93</v>
      </c>
      <c r="AI812" s="18" t="s">
        <v>94</v>
      </c>
      <c r="AJ812" s="19">
        <v>44903</v>
      </c>
      <c r="AK812" s="22" t="s">
        <v>95</v>
      </c>
      <c r="AL812" s="18" t="s">
        <v>95</v>
      </c>
      <c r="AM812" s="18" t="s">
        <v>95</v>
      </c>
      <c r="AN812" s="18" t="s">
        <v>95</v>
      </c>
      <c r="AO812" s="18" t="s">
        <v>95</v>
      </c>
      <c r="AP812" s="18" t="s">
        <v>95</v>
      </c>
      <c r="AQ812" s="18" t="s">
        <v>95</v>
      </c>
      <c r="AR812" s="18" t="s">
        <v>95</v>
      </c>
      <c r="AS812" s="18" t="s">
        <v>83</v>
      </c>
      <c r="AT812" s="18" t="s">
        <v>83</v>
      </c>
      <c r="AU812" s="18" t="s">
        <v>81</v>
      </c>
      <c r="AV812" s="18" t="s">
        <v>95</v>
      </c>
      <c r="AW812" s="18" t="s">
        <v>95</v>
      </c>
      <c r="AX812" s="18"/>
      <c r="AY812" s="18" t="str">
        <f>Pospago[[#This Row],[NUM_TELEFONICO]]&amp;"POSPAGOSI"</f>
        <v>995444063POSPAGOSI</v>
      </c>
      <c r="AZ812" s="18" t="str">
        <f>VLOOKUP(Pospago[[#This Row],[NOM_PLAZA_FINAL]],[1]!Locales[#Data],3,0)</f>
        <v>TIENDA CONDADO</v>
      </c>
      <c r="BA812" s="18" t="str">
        <f>IFERROR(VLOOKUP(Pospago[[#This Row],[USUARIO]],[1]!Personal[#Data],6,0),"EJECUTIVO NO REGISTRADO")</f>
        <v>ROJAS VEGA JHOSMERY MICHELE</v>
      </c>
      <c r="BB812" s="18" t="str">
        <f>Pospago[[#This Row],[TIPO_MOVIMIENTO]]&amp;" "&amp;Pospago[[#This Row],[FORMA_PAGO_FINAL]]</f>
        <v>ALTAS DOMICILIADO</v>
      </c>
      <c r="BC812" s="18">
        <f>DAY(Pospago[[#This Row],[FECHA_ALTA]])</f>
        <v>8</v>
      </c>
      <c r="BD812" s="18">
        <f>IF(Pospago[[#This Row],[TARIFA_BASICA]]=11.42,1,0)</f>
        <v>0</v>
      </c>
      <c r="BE812" s="18">
        <f>IF(Pospago[[#This Row],[PLANES TELEVENTAS]]="SI",1,0)</f>
        <v>0</v>
      </c>
      <c r="BF812" s="18">
        <f>1</f>
        <v>1</v>
      </c>
      <c r="BG812" s="18">
        <f>IF(OR(Pospago[[#This Row],[TARIFA_BASICA]]=11.42,Pospago[[#This Row],[PLANES TELEVENTAS]]="SI"),1,0)</f>
        <v>0</v>
      </c>
      <c r="BH812" s="18" t="str">
        <f>IF(MID(Pospago[[#This Row],[PlanDesc]],1,4) = "PLAN","POSPAGO",IF(MID(Pospago[[#This Row],[PlanDesc]],1,4)="FULL","FULL MEGAS","PREVIOPAGO"))</f>
        <v>PREVIOPAGO</v>
      </c>
      <c r="BI8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12" s="21">
        <f>Pospago[[#This Row],[TARIFA_BASICA]]*1.5</f>
        <v>21.419999999999998</v>
      </c>
    </row>
    <row r="813" spans="1:63" x14ac:dyDescent="0.25">
      <c r="A813" s="18" t="s">
        <v>154</v>
      </c>
      <c r="B813" s="18" t="s">
        <v>5154</v>
      </c>
      <c r="C813" s="18" t="s">
        <v>5155</v>
      </c>
      <c r="D813" s="19">
        <v>44911</v>
      </c>
      <c r="E813" s="18" t="s">
        <v>67</v>
      </c>
      <c r="F813" s="18" t="s">
        <v>5156</v>
      </c>
      <c r="G813" s="18" t="s">
        <v>5157</v>
      </c>
      <c r="H813" s="18" t="s">
        <v>159</v>
      </c>
      <c r="I813" s="18" t="s">
        <v>71</v>
      </c>
      <c r="J813" s="18" t="s">
        <v>258</v>
      </c>
      <c r="K813" s="18" t="s">
        <v>95</v>
      </c>
      <c r="L813" s="20" t="s">
        <v>5158</v>
      </c>
      <c r="M813" s="18" t="s">
        <v>75</v>
      </c>
      <c r="N813" s="20" t="s">
        <v>5159</v>
      </c>
      <c r="O813" s="18" t="s">
        <v>164</v>
      </c>
      <c r="P813" s="18" t="s">
        <v>78</v>
      </c>
      <c r="Q813" s="19">
        <v>44914</v>
      </c>
      <c r="R813" s="21">
        <v>11.42</v>
      </c>
      <c r="S813" s="18" t="s">
        <v>79</v>
      </c>
      <c r="T813" s="18" t="s">
        <v>80</v>
      </c>
      <c r="U813" s="18" t="s">
        <v>83</v>
      </c>
      <c r="V813" s="18" t="s">
        <v>95</v>
      </c>
      <c r="W813" s="18" t="s">
        <v>95</v>
      </c>
      <c r="X813" s="18" t="s">
        <v>118</v>
      </c>
      <c r="Y813" s="18" t="s">
        <v>85</v>
      </c>
      <c r="Z813" s="18" t="s">
        <v>86</v>
      </c>
      <c r="AA813" s="18" t="s">
        <v>119</v>
      </c>
      <c r="AB813" s="18" t="s">
        <v>88</v>
      </c>
      <c r="AC813" s="18" t="s">
        <v>89</v>
      </c>
      <c r="AD813" s="18" t="s">
        <v>85</v>
      </c>
      <c r="AE813" s="18" t="s">
        <v>90</v>
      </c>
      <c r="AF813" s="18" t="s">
        <v>91</v>
      </c>
      <c r="AG813" s="18" t="s">
        <v>92</v>
      </c>
      <c r="AH813" s="18" t="s">
        <v>165</v>
      </c>
      <c r="AI813" s="18" t="s">
        <v>94</v>
      </c>
      <c r="AJ813" s="19">
        <v>44911</v>
      </c>
      <c r="AK813" s="22" t="s">
        <v>95</v>
      </c>
      <c r="AL813" s="18" t="s">
        <v>95</v>
      </c>
      <c r="AM813" s="18" t="s">
        <v>95</v>
      </c>
      <c r="AN813" s="18" t="s">
        <v>95</v>
      </c>
      <c r="AO813" s="18" t="s">
        <v>95</v>
      </c>
      <c r="AP813" s="18" t="s">
        <v>95</v>
      </c>
      <c r="AQ813" s="18" t="s">
        <v>95</v>
      </c>
      <c r="AR813" s="18" t="s">
        <v>95</v>
      </c>
      <c r="AS813" s="18" t="s">
        <v>83</v>
      </c>
      <c r="AT813" s="18" t="s">
        <v>83</v>
      </c>
      <c r="AU813" s="18" t="s">
        <v>81</v>
      </c>
      <c r="AV813" s="18" t="s">
        <v>95</v>
      </c>
      <c r="AW813" s="18" t="s">
        <v>95</v>
      </c>
      <c r="AX813" s="18"/>
      <c r="AY813" s="18" t="str">
        <f>Pospago[[#This Row],[NUM_TELEFONICO]]&amp;"POSPAGOSI"</f>
        <v>995462984POSPAGOSI</v>
      </c>
      <c r="AZ813" s="18" t="str">
        <f>VLOOKUP(Pospago[[#This Row],[NOM_PLAZA_FINAL]],[1]!Locales[#Data],3,0)</f>
        <v>TIENDA CUENCA CENTRO</v>
      </c>
      <c r="BA813" s="18" t="str">
        <f>IFERROR(VLOOKUP(Pospago[[#This Row],[USUARIO]],[1]!Personal[#Data],6,0),"EJECUTIVO NO REGISTRADO")</f>
        <v>ANDRADE CONDO CHRISTIAN EDUARDO</v>
      </c>
      <c r="BB813" s="18" t="str">
        <f>Pospago[[#This Row],[TIPO_MOVIMIENTO]]&amp;" "&amp;Pospago[[#This Row],[FORMA_PAGO_FINAL]]</f>
        <v>TRANSFERENCIAS PAGO EN CAJA</v>
      </c>
      <c r="BC813" s="18">
        <f>DAY(Pospago[[#This Row],[FECHA_ALTA]])</f>
        <v>16</v>
      </c>
      <c r="BD813" s="18">
        <f>IF(Pospago[[#This Row],[TARIFA_BASICA]]=11.42,1,0)</f>
        <v>1</v>
      </c>
      <c r="BE813" s="18">
        <f>IF(Pospago[[#This Row],[PLANES TELEVENTAS]]="SI",1,0)</f>
        <v>0</v>
      </c>
      <c r="BF813" s="18">
        <f>1</f>
        <v>1</v>
      </c>
      <c r="BG813" s="18">
        <f>IF(OR(Pospago[[#This Row],[TARIFA_BASICA]]=11.42,Pospago[[#This Row],[PLANES TELEVENTAS]]="SI"),1,0)</f>
        <v>1</v>
      </c>
      <c r="BH813" s="18" t="str">
        <f>IF(MID(Pospago[[#This Row],[PlanDesc]],1,4) = "PLAN","POSPAGO",IF(MID(Pospago[[#This Row],[PlanDesc]],1,4)="FULL","FULL MEGAS","PREVIOPAGO"))</f>
        <v>PREVIOPAGO</v>
      </c>
      <c r="BI8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8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13" s="21">
        <f>Pospago[[#This Row],[TARIFA_BASICA]]*1.5</f>
        <v>17.13</v>
      </c>
    </row>
    <row r="814" spans="1:63" x14ac:dyDescent="0.25">
      <c r="A814" s="18" t="s">
        <v>154</v>
      </c>
      <c r="B814" s="18" t="s">
        <v>5160</v>
      </c>
      <c r="C814" s="18" t="s">
        <v>5161</v>
      </c>
      <c r="D814" s="19">
        <v>44901</v>
      </c>
      <c r="E814" s="18" t="s">
        <v>67</v>
      </c>
      <c r="F814" s="18" t="s">
        <v>5162</v>
      </c>
      <c r="G814" s="18" t="s">
        <v>5163</v>
      </c>
      <c r="H814" s="18" t="s">
        <v>159</v>
      </c>
      <c r="I814" s="18" t="s">
        <v>160</v>
      </c>
      <c r="J814" s="18" t="s">
        <v>161</v>
      </c>
      <c r="K814" s="18" t="s">
        <v>132</v>
      </c>
      <c r="L814" s="20" t="s">
        <v>5164</v>
      </c>
      <c r="M814" s="18" t="s">
        <v>75</v>
      </c>
      <c r="N814" s="20" t="s">
        <v>5165</v>
      </c>
      <c r="O814" s="18" t="s">
        <v>164</v>
      </c>
      <c r="P814" s="18" t="s">
        <v>78</v>
      </c>
      <c r="Q814" s="19">
        <v>44914</v>
      </c>
      <c r="R814" s="21">
        <v>14.28</v>
      </c>
      <c r="S814" s="18" t="s">
        <v>79</v>
      </c>
      <c r="T814" s="18" t="s">
        <v>232</v>
      </c>
      <c r="U814" s="18" t="s">
        <v>83</v>
      </c>
      <c r="V814" s="18" t="s">
        <v>95</v>
      </c>
      <c r="W814" s="18" t="s">
        <v>95</v>
      </c>
      <c r="X814" s="18" t="s">
        <v>118</v>
      </c>
      <c r="Y814" s="18" t="s">
        <v>85</v>
      </c>
      <c r="Z814" s="18" t="s">
        <v>86</v>
      </c>
      <c r="AA814" s="18" t="s">
        <v>119</v>
      </c>
      <c r="AB814" s="18" t="s">
        <v>271</v>
      </c>
      <c r="AC814" s="18" t="s">
        <v>272</v>
      </c>
      <c r="AD814" s="18" t="s">
        <v>85</v>
      </c>
      <c r="AE814" s="18" t="s">
        <v>90</v>
      </c>
      <c r="AF814" s="18" t="s">
        <v>235</v>
      </c>
      <c r="AG814" s="18" t="s">
        <v>139</v>
      </c>
      <c r="AH814" s="18" t="s">
        <v>165</v>
      </c>
      <c r="AI814" s="18" t="s">
        <v>94</v>
      </c>
      <c r="AJ814" s="19">
        <v>44901</v>
      </c>
      <c r="AK814" s="22" t="s">
        <v>95</v>
      </c>
      <c r="AL814" s="18" t="s">
        <v>95</v>
      </c>
      <c r="AM814" s="18" t="s">
        <v>95</v>
      </c>
      <c r="AN814" s="18" t="s">
        <v>95</v>
      </c>
      <c r="AO814" s="18" t="s">
        <v>95</v>
      </c>
      <c r="AP814" s="18" t="s">
        <v>95</v>
      </c>
      <c r="AQ814" s="18" t="s">
        <v>95</v>
      </c>
      <c r="AR814" s="18" t="s">
        <v>95</v>
      </c>
      <c r="AS814" s="18" t="s">
        <v>83</v>
      </c>
      <c r="AT814" s="18" t="s">
        <v>83</v>
      </c>
      <c r="AU814" s="18" t="s">
        <v>81</v>
      </c>
      <c r="AV814" s="18" t="s">
        <v>95</v>
      </c>
      <c r="AW814" s="18" t="s">
        <v>95</v>
      </c>
      <c r="AX814" s="18"/>
      <c r="AY814" s="18" t="str">
        <f>Pospago[[#This Row],[NUM_TELEFONICO]]&amp;"POSPAGOSI"</f>
        <v>995467965POSPAGOSI</v>
      </c>
      <c r="AZ814" s="18" t="str">
        <f>VLOOKUP(Pospago[[#This Row],[NOM_PLAZA_FINAL]],[1]!Locales[#Data],3,0)</f>
        <v>TIENDA CONDADO</v>
      </c>
      <c r="BA814" s="18" t="str">
        <f>IFERROR(VLOOKUP(Pospago[[#This Row],[USUARIO]],[1]!Personal[#Data],6,0),"EJECUTIVO NO REGISTRADO")</f>
        <v>CASTILLO AGUIRRE EDWIN MODESTO</v>
      </c>
      <c r="BB814" s="18" t="str">
        <f>Pospago[[#This Row],[TIPO_MOVIMIENTO]]&amp;" "&amp;Pospago[[#This Row],[FORMA_PAGO_FINAL]]</f>
        <v>TRANSFERENCIAS PAGO EN CAJA</v>
      </c>
      <c r="BC814" s="18">
        <f>DAY(Pospago[[#This Row],[FECHA_ALTA]])</f>
        <v>6</v>
      </c>
      <c r="BD814" s="18">
        <f>IF(Pospago[[#This Row],[TARIFA_BASICA]]=11.42,1,0)</f>
        <v>0</v>
      </c>
      <c r="BE814" s="18">
        <f>IF(Pospago[[#This Row],[PLANES TELEVENTAS]]="SI",1,0)</f>
        <v>0</v>
      </c>
      <c r="BF814" s="18">
        <f>1</f>
        <v>1</v>
      </c>
      <c r="BG814" s="18">
        <f>IF(OR(Pospago[[#This Row],[TARIFA_BASICA]]=11.42,Pospago[[#This Row],[PLANES TELEVENTAS]]="SI"),1,0)</f>
        <v>0</v>
      </c>
      <c r="BH814" s="18" t="str">
        <f>IF(MID(Pospago[[#This Row],[PlanDesc]],1,4) = "PLAN","POSPAGO",IF(MID(Pospago[[#This Row],[PlanDesc]],1,4)="FULL","FULL MEGAS","PREVIOPAGO"))</f>
        <v>PREVIOPAGO</v>
      </c>
      <c r="BI8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8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14" s="21">
        <f>Pospago[[#This Row],[TARIFA_BASICA]]*1.5</f>
        <v>21.419999999999998</v>
      </c>
    </row>
    <row r="815" spans="1:63" x14ac:dyDescent="0.25">
      <c r="A815" s="18" t="s">
        <v>154</v>
      </c>
      <c r="B815" s="18" t="s">
        <v>5166</v>
      </c>
      <c r="C815" s="18" t="s">
        <v>5167</v>
      </c>
      <c r="D815" s="19">
        <v>44908</v>
      </c>
      <c r="E815" s="18" t="s">
        <v>67</v>
      </c>
      <c r="F815" s="18" t="s">
        <v>5168</v>
      </c>
      <c r="G815" s="18" t="s">
        <v>5169</v>
      </c>
      <c r="H815" s="18" t="s">
        <v>159</v>
      </c>
      <c r="I815" s="18" t="s">
        <v>71</v>
      </c>
      <c r="J815" s="18" t="s">
        <v>258</v>
      </c>
      <c r="K815" s="18" t="s">
        <v>132</v>
      </c>
      <c r="L815" s="20" t="s">
        <v>5170</v>
      </c>
      <c r="M815" s="18" t="s">
        <v>75</v>
      </c>
      <c r="N815" s="20" t="s">
        <v>5171</v>
      </c>
      <c r="O815" s="18" t="s">
        <v>2241</v>
      </c>
      <c r="P815" s="18" t="s">
        <v>78</v>
      </c>
      <c r="Q815" s="19">
        <v>44914</v>
      </c>
      <c r="R815" s="21">
        <v>11.42</v>
      </c>
      <c r="S815" s="18" t="s">
        <v>79</v>
      </c>
      <c r="T815" s="18" t="s">
        <v>174</v>
      </c>
      <c r="U815" s="18" t="s">
        <v>83</v>
      </c>
      <c r="V815" s="18" t="s">
        <v>95</v>
      </c>
      <c r="W815" s="18" t="s">
        <v>95</v>
      </c>
      <c r="X815" s="18" t="s">
        <v>118</v>
      </c>
      <c r="Y815" s="18" t="s">
        <v>85</v>
      </c>
      <c r="Z815" s="18" t="s">
        <v>86</v>
      </c>
      <c r="AA815" s="18" t="s">
        <v>119</v>
      </c>
      <c r="AB815" s="18" t="s">
        <v>262</v>
      </c>
      <c r="AC815" s="18" t="s">
        <v>263</v>
      </c>
      <c r="AD815" s="18" t="s">
        <v>85</v>
      </c>
      <c r="AE815" s="18" t="s">
        <v>90</v>
      </c>
      <c r="AF815" s="18" t="s">
        <v>177</v>
      </c>
      <c r="AG815" s="18" t="s">
        <v>139</v>
      </c>
      <c r="AH815" s="18" t="s">
        <v>165</v>
      </c>
      <c r="AI815" s="18" t="s">
        <v>94</v>
      </c>
      <c r="AJ815" s="19">
        <v>44908</v>
      </c>
      <c r="AK815" s="22" t="s">
        <v>95</v>
      </c>
      <c r="AL815" s="18" t="s">
        <v>95</v>
      </c>
      <c r="AM815" s="18" t="s">
        <v>95</v>
      </c>
      <c r="AN815" s="18" t="s">
        <v>95</v>
      </c>
      <c r="AO815" s="18" t="s">
        <v>95</v>
      </c>
      <c r="AP815" s="18" t="s">
        <v>95</v>
      </c>
      <c r="AQ815" s="18" t="s">
        <v>95</v>
      </c>
      <c r="AR815" s="18" t="s">
        <v>95</v>
      </c>
      <c r="AS815" s="18" t="s">
        <v>83</v>
      </c>
      <c r="AT815" s="18" t="s">
        <v>83</v>
      </c>
      <c r="AU815" s="18" t="s">
        <v>81</v>
      </c>
      <c r="AV815" s="18" t="s">
        <v>95</v>
      </c>
      <c r="AW815" s="18" t="s">
        <v>95</v>
      </c>
      <c r="AX815" s="18"/>
      <c r="AY815" s="18" t="str">
        <f>Pospago[[#This Row],[NUM_TELEFONICO]]&amp;"POSPAGOSI"</f>
        <v>995471300POSPAGOSI</v>
      </c>
      <c r="AZ815" s="18" t="str">
        <f>VLOOKUP(Pospago[[#This Row],[NOM_PLAZA_FINAL]],[1]!Locales[#Data],3,0)</f>
        <v>TIENDA RECREO</v>
      </c>
      <c r="BA815" s="18" t="str">
        <f>IFERROR(VLOOKUP(Pospago[[#This Row],[USUARIO]],[1]!Personal[#Data],6,0),"EJECUTIVO NO REGISTRADO")</f>
        <v>CHICAIZA TOAPANTA ALEX DANILO</v>
      </c>
      <c r="BB815" s="18" t="str">
        <f>Pospago[[#This Row],[TIPO_MOVIMIENTO]]&amp;" "&amp;Pospago[[#This Row],[FORMA_PAGO_FINAL]]</f>
        <v>TRANSFERENCIAS PAGO EN CAJA</v>
      </c>
      <c r="BC815" s="18">
        <f>DAY(Pospago[[#This Row],[FECHA_ALTA]])</f>
        <v>13</v>
      </c>
      <c r="BD815" s="18">
        <f>IF(Pospago[[#This Row],[TARIFA_BASICA]]=11.42,1,0)</f>
        <v>1</v>
      </c>
      <c r="BE815" s="18">
        <f>IF(Pospago[[#This Row],[PLANES TELEVENTAS]]="SI",1,0)</f>
        <v>0</v>
      </c>
      <c r="BF815" s="18">
        <f>1</f>
        <v>1</v>
      </c>
      <c r="BG815" s="18">
        <f>IF(OR(Pospago[[#This Row],[TARIFA_BASICA]]=11.42,Pospago[[#This Row],[PLANES TELEVENTAS]]="SI"),1,0)</f>
        <v>1</v>
      </c>
      <c r="BH815" s="18" t="str">
        <f>IF(MID(Pospago[[#This Row],[PlanDesc]],1,4) = "PLAN","POSPAGO",IF(MID(Pospago[[#This Row],[PlanDesc]],1,4)="FULL","FULL MEGAS","PREVIOPAGO"))</f>
        <v>PREVIOPAGO</v>
      </c>
      <c r="BI8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8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15" s="21">
        <f>Pospago[[#This Row],[TARIFA_BASICA]]*1.5</f>
        <v>17.13</v>
      </c>
    </row>
    <row r="816" spans="1:63" x14ac:dyDescent="0.25">
      <c r="A816" s="18" t="s">
        <v>154</v>
      </c>
      <c r="B816" s="18" t="s">
        <v>5172</v>
      </c>
      <c r="C816" s="18" t="s">
        <v>5173</v>
      </c>
      <c r="D816" s="19">
        <v>44902</v>
      </c>
      <c r="E816" s="18" t="s">
        <v>67</v>
      </c>
      <c r="F816" s="18" t="s">
        <v>5174</v>
      </c>
      <c r="G816" s="18" t="s">
        <v>5175</v>
      </c>
      <c r="H816" s="18" t="s">
        <v>159</v>
      </c>
      <c r="I816" s="18" t="s">
        <v>130</v>
      </c>
      <c r="J816" s="18" t="s">
        <v>433</v>
      </c>
      <c r="K816" s="18" t="s">
        <v>95</v>
      </c>
      <c r="L816" s="20" t="s">
        <v>5176</v>
      </c>
      <c r="M816" s="18" t="s">
        <v>75</v>
      </c>
      <c r="N816" s="20" t="s">
        <v>5177</v>
      </c>
      <c r="O816" s="18" t="s">
        <v>164</v>
      </c>
      <c r="P816" s="18" t="s">
        <v>78</v>
      </c>
      <c r="Q816" s="19">
        <v>44914</v>
      </c>
      <c r="R816" s="21">
        <v>15</v>
      </c>
      <c r="S816" s="18" t="s">
        <v>79</v>
      </c>
      <c r="T816" s="18" t="s">
        <v>117</v>
      </c>
      <c r="U816" s="18" t="s">
        <v>83</v>
      </c>
      <c r="V816" s="18" t="s">
        <v>95</v>
      </c>
      <c r="W816" s="18" t="s">
        <v>95</v>
      </c>
      <c r="X816" s="18" t="s">
        <v>118</v>
      </c>
      <c r="Y816" s="18" t="s">
        <v>85</v>
      </c>
      <c r="Z816" s="18" t="s">
        <v>86</v>
      </c>
      <c r="AA816" s="18" t="s">
        <v>119</v>
      </c>
      <c r="AB816" s="18" t="s">
        <v>651</v>
      </c>
      <c r="AC816" s="18" t="s">
        <v>652</v>
      </c>
      <c r="AD816" s="18" t="s">
        <v>85</v>
      </c>
      <c r="AE816" s="18" t="s">
        <v>90</v>
      </c>
      <c r="AF816" s="18" t="s">
        <v>122</v>
      </c>
      <c r="AG816" s="18" t="s">
        <v>92</v>
      </c>
      <c r="AH816" s="18" t="s">
        <v>165</v>
      </c>
      <c r="AI816" s="18" t="s">
        <v>94</v>
      </c>
      <c r="AJ816" s="19">
        <v>44902</v>
      </c>
      <c r="AK816" s="22" t="s">
        <v>95</v>
      </c>
      <c r="AL816" s="18" t="s">
        <v>95</v>
      </c>
      <c r="AM816" s="18" t="s">
        <v>95</v>
      </c>
      <c r="AN816" s="18" t="s">
        <v>95</v>
      </c>
      <c r="AO816" s="18" t="s">
        <v>95</v>
      </c>
      <c r="AP816" s="18" t="s">
        <v>95</v>
      </c>
      <c r="AQ816" s="18" t="s">
        <v>95</v>
      </c>
      <c r="AR816" s="18" t="s">
        <v>95</v>
      </c>
      <c r="AS816" s="18" t="s">
        <v>83</v>
      </c>
      <c r="AT816" s="18" t="s">
        <v>83</v>
      </c>
      <c r="AU816" s="18" t="s">
        <v>81</v>
      </c>
      <c r="AV816" s="18" t="s">
        <v>95</v>
      </c>
      <c r="AW816" s="18" t="s">
        <v>95</v>
      </c>
      <c r="AX816" s="18"/>
      <c r="AY816" s="18" t="str">
        <f>Pospago[[#This Row],[NUM_TELEFONICO]]&amp;"POSPAGOSI"</f>
        <v>995473356POSPAGOSI</v>
      </c>
      <c r="AZ816" s="18" t="str">
        <f>VLOOKUP(Pospago[[#This Row],[NOM_PLAZA_FINAL]],[1]!Locales[#Data],3,0)</f>
        <v>TIENDA MACHALA</v>
      </c>
      <c r="BA816" s="18" t="str">
        <f>IFERROR(VLOOKUP(Pospago[[#This Row],[USUARIO]],[1]!Personal[#Data],6,0),"EJECUTIVO NO REGISTRADO")</f>
        <v>SANCHEZ SARITAMA JOEL LUIS</v>
      </c>
      <c r="BB816" s="18" t="str">
        <f>Pospago[[#This Row],[TIPO_MOVIMIENTO]]&amp;" "&amp;Pospago[[#This Row],[FORMA_PAGO_FINAL]]</f>
        <v>TRANSFERENCIAS PAGO EN CAJA</v>
      </c>
      <c r="BC816" s="18">
        <f>DAY(Pospago[[#This Row],[FECHA_ALTA]])</f>
        <v>7</v>
      </c>
      <c r="BD816" s="18">
        <f>IF(Pospago[[#This Row],[TARIFA_BASICA]]=11.42,1,0)</f>
        <v>0</v>
      </c>
      <c r="BE816" s="18">
        <f>IF(Pospago[[#This Row],[PLANES TELEVENTAS]]="SI",1,0)</f>
        <v>0</v>
      </c>
      <c r="BF816" s="18">
        <f>1</f>
        <v>1</v>
      </c>
      <c r="BG816" s="18">
        <f>IF(OR(Pospago[[#This Row],[TARIFA_BASICA]]=11.42,Pospago[[#This Row],[PLANES TELEVENTAS]]="SI"),1,0)</f>
        <v>0</v>
      </c>
      <c r="BH816" s="18" t="str">
        <f>IF(MID(Pospago[[#This Row],[PlanDesc]],1,4) = "PLAN","POSPAGO",IF(MID(Pospago[[#This Row],[PlanDesc]],1,4)="FULL","FULL MEGAS","PREVIOPAGO"))</f>
        <v>PREVIOPAGO</v>
      </c>
      <c r="BI8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7.4279999999999999</v>
      </c>
      <c r="BJ8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16" s="21">
        <f>Pospago[[#This Row],[TARIFA_BASICA]]*1.5</f>
        <v>22.5</v>
      </c>
    </row>
    <row r="817" spans="1:63" x14ac:dyDescent="0.25">
      <c r="A817" s="18" t="s">
        <v>154</v>
      </c>
      <c r="B817" s="18" t="s">
        <v>5178</v>
      </c>
      <c r="C817" s="18" t="s">
        <v>5179</v>
      </c>
      <c r="D817" s="19">
        <v>44908</v>
      </c>
      <c r="E817" s="18" t="s">
        <v>67</v>
      </c>
      <c r="F817" s="18" t="s">
        <v>5180</v>
      </c>
      <c r="G817" s="18" t="s">
        <v>5181</v>
      </c>
      <c r="H817" s="18" t="s">
        <v>159</v>
      </c>
      <c r="I817" s="18" t="s">
        <v>130</v>
      </c>
      <c r="J817" s="18" t="s">
        <v>433</v>
      </c>
      <c r="K817" s="18" t="s">
        <v>132</v>
      </c>
      <c r="L817" s="20" t="s">
        <v>5182</v>
      </c>
      <c r="M817" s="18" t="s">
        <v>75</v>
      </c>
      <c r="N817" s="20" t="s">
        <v>5183</v>
      </c>
      <c r="O817" s="18" t="s">
        <v>164</v>
      </c>
      <c r="P817" s="18" t="s">
        <v>78</v>
      </c>
      <c r="Q817" s="19">
        <v>44914</v>
      </c>
      <c r="R817" s="21">
        <v>15</v>
      </c>
      <c r="S817" s="18" t="s">
        <v>79</v>
      </c>
      <c r="T817" s="18" t="s">
        <v>174</v>
      </c>
      <c r="U817" s="18" t="s">
        <v>83</v>
      </c>
      <c r="V817" s="18" t="s">
        <v>95</v>
      </c>
      <c r="W817" s="18" t="s">
        <v>95</v>
      </c>
      <c r="X817" s="18" t="s">
        <v>118</v>
      </c>
      <c r="Y817" s="18" t="s">
        <v>85</v>
      </c>
      <c r="Z817" s="18" t="s">
        <v>86</v>
      </c>
      <c r="AA817" s="18" t="s">
        <v>119</v>
      </c>
      <c r="AB817" s="18" t="s">
        <v>262</v>
      </c>
      <c r="AC817" s="18" t="s">
        <v>263</v>
      </c>
      <c r="AD817" s="18" t="s">
        <v>85</v>
      </c>
      <c r="AE817" s="18" t="s">
        <v>90</v>
      </c>
      <c r="AF817" s="18" t="s">
        <v>177</v>
      </c>
      <c r="AG817" s="18" t="s">
        <v>139</v>
      </c>
      <c r="AH817" s="18" t="s">
        <v>165</v>
      </c>
      <c r="AI817" s="18" t="s">
        <v>94</v>
      </c>
      <c r="AJ817" s="19">
        <v>44908</v>
      </c>
      <c r="AK817" s="22" t="s">
        <v>95</v>
      </c>
      <c r="AL817" s="18" t="s">
        <v>95</v>
      </c>
      <c r="AM817" s="18" t="s">
        <v>95</v>
      </c>
      <c r="AN817" s="18" t="s">
        <v>95</v>
      </c>
      <c r="AO817" s="18" t="s">
        <v>95</v>
      </c>
      <c r="AP817" s="18" t="s">
        <v>95</v>
      </c>
      <c r="AQ817" s="18" t="s">
        <v>95</v>
      </c>
      <c r="AR817" s="18" t="s">
        <v>95</v>
      </c>
      <c r="AS817" s="18" t="s">
        <v>83</v>
      </c>
      <c r="AT817" s="18" t="s">
        <v>83</v>
      </c>
      <c r="AU817" s="18" t="s">
        <v>81</v>
      </c>
      <c r="AV817" s="18" t="s">
        <v>95</v>
      </c>
      <c r="AW817" s="18" t="s">
        <v>95</v>
      </c>
      <c r="AX817" s="18"/>
      <c r="AY817" s="18" t="str">
        <f>Pospago[[#This Row],[NUM_TELEFONICO]]&amp;"POSPAGOSI"</f>
        <v>995475527POSPAGOSI</v>
      </c>
      <c r="AZ817" s="18" t="str">
        <f>VLOOKUP(Pospago[[#This Row],[NOM_PLAZA_FINAL]],[1]!Locales[#Data],3,0)</f>
        <v>TIENDA RECREO</v>
      </c>
      <c r="BA817" s="18" t="str">
        <f>IFERROR(VLOOKUP(Pospago[[#This Row],[USUARIO]],[1]!Personal[#Data],6,0),"EJECUTIVO NO REGISTRADO")</f>
        <v>CHICAIZA TOAPANTA ALEX DANILO</v>
      </c>
      <c r="BB817" s="18" t="str">
        <f>Pospago[[#This Row],[TIPO_MOVIMIENTO]]&amp;" "&amp;Pospago[[#This Row],[FORMA_PAGO_FINAL]]</f>
        <v>TRANSFERENCIAS PAGO EN CAJA</v>
      </c>
      <c r="BC817" s="18">
        <f>DAY(Pospago[[#This Row],[FECHA_ALTA]])</f>
        <v>13</v>
      </c>
      <c r="BD817" s="18">
        <f>IF(Pospago[[#This Row],[TARIFA_BASICA]]=11.42,1,0)</f>
        <v>0</v>
      </c>
      <c r="BE817" s="18">
        <f>IF(Pospago[[#This Row],[PLANES TELEVENTAS]]="SI",1,0)</f>
        <v>0</v>
      </c>
      <c r="BF817" s="18">
        <f>1</f>
        <v>1</v>
      </c>
      <c r="BG817" s="18">
        <f>IF(OR(Pospago[[#This Row],[TARIFA_BASICA]]=11.42,Pospago[[#This Row],[PLANES TELEVENTAS]]="SI"),1,0)</f>
        <v>0</v>
      </c>
      <c r="BH817" s="18" t="str">
        <f>IF(MID(Pospago[[#This Row],[PlanDesc]],1,4) = "PLAN","POSPAGO",IF(MID(Pospago[[#This Row],[PlanDesc]],1,4)="FULL","FULL MEGAS","PREVIOPAGO"))</f>
        <v>PREVIOPAGO</v>
      </c>
      <c r="BI8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8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17" s="21">
        <f>Pospago[[#This Row],[TARIFA_BASICA]]*1.5</f>
        <v>22.5</v>
      </c>
    </row>
    <row r="818" spans="1:63" x14ac:dyDescent="0.25">
      <c r="A818" s="18" t="s">
        <v>64</v>
      </c>
      <c r="B818" s="18" t="s">
        <v>5184</v>
      </c>
      <c r="C818" s="18" t="s">
        <v>5185</v>
      </c>
      <c r="D818" s="19">
        <v>44901</v>
      </c>
      <c r="E818" s="18" t="s">
        <v>67</v>
      </c>
      <c r="F818" s="18" t="s">
        <v>5186</v>
      </c>
      <c r="G818" s="18" t="s">
        <v>5187</v>
      </c>
      <c r="H818" s="18" t="s">
        <v>70</v>
      </c>
      <c r="I818" s="18" t="s">
        <v>160</v>
      </c>
      <c r="J818" s="18" t="s">
        <v>195</v>
      </c>
      <c r="K818" s="18" t="s">
        <v>73</v>
      </c>
      <c r="L818" s="20" t="s">
        <v>5188</v>
      </c>
      <c r="M818" s="18" t="s">
        <v>75</v>
      </c>
      <c r="N818" s="20" t="s">
        <v>5189</v>
      </c>
      <c r="O818" s="18" t="s">
        <v>77</v>
      </c>
      <c r="P818" s="18" t="s">
        <v>78</v>
      </c>
      <c r="Q818" s="19">
        <v>44914</v>
      </c>
      <c r="R818" s="21">
        <v>14.28</v>
      </c>
      <c r="S818" s="18" t="s">
        <v>79</v>
      </c>
      <c r="T818" s="18" t="s">
        <v>232</v>
      </c>
      <c r="U818" s="18" t="s">
        <v>83</v>
      </c>
      <c r="V818" s="18" t="s">
        <v>95</v>
      </c>
      <c r="W818" s="18" t="s">
        <v>83</v>
      </c>
      <c r="X818" s="18" t="s">
        <v>84</v>
      </c>
      <c r="Y818" s="18" t="s">
        <v>85</v>
      </c>
      <c r="Z818" s="18" t="s">
        <v>86</v>
      </c>
      <c r="AA818" s="18" t="s">
        <v>87</v>
      </c>
      <c r="AB818" s="18" t="s">
        <v>412</v>
      </c>
      <c r="AC818" s="18" t="s">
        <v>413</v>
      </c>
      <c r="AD818" s="18" t="s">
        <v>85</v>
      </c>
      <c r="AE818" s="18" t="s">
        <v>90</v>
      </c>
      <c r="AF818" s="18" t="s">
        <v>235</v>
      </c>
      <c r="AG818" s="18" t="s">
        <v>139</v>
      </c>
      <c r="AH818" s="18" t="s">
        <v>93</v>
      </c>
      <c r="AI818" s="18" t="s">
        <v>94</v>
      </c>
      <c r="AJ818" s="19">
        <v>44901</v>
      </c>
      <c r="AK818" s="22" t="s">
        <v>95</v>
      </c>
      <c r="AL818" s="18" t="s">
        <v>95</v>
      </c>
      <c r="AM818" s="18" t="s">
        <v>95</v>
      </c>
      <c r="AN818" s="18" t="s">
        <v>95</v>
      </c>
      <c r="AO818" s="18" t="s">
        <v>95</v>
      </c>
      <c r="AP818" s="18" t="s">
        <v>95</v>
      </c>
      <c r="AQ818" s="18" t="s">
        <v>95</v>
      </c>
      <c r="AR818" s="18" t="s">
        <v>95</v>
      </c>
      <c r="AS818" s="18" t="s">
        <v>83</v>
      </c>
      <c r="AT818" s="18" t="s">
        <v>83</v>
      </c>
      <c r="AU818" s="18" t="s">
        <v>81</v>
      </c>
      <c r="AV818" s="18" t="s">
        <v>95</v>
      </c>
      <c r="AW818" s="18" t="s">
        <v>95</v>
      </c>
      <c r="AX818" s="18"/>
      <c r="AY818" s="18" t="str">
        <f>Pospago[[#This Row],[NUM_TELEFONICO]]&amp;"POSPAGOSI"</f>
        <v>995477990POSPAGOSI</v>
      </c>
      <c r="AZ818" s="18" t="str">
        <f>VLOOKUP(Pospago[[#This Row],[NOM_PLAZA_FINAL]],[1]!Locales[#Data],3,0)</f>
        <v>TIENDA CONDADO</v>
      </c>
      <c r="BA818" s="18" t="str">
        <f>IFERROR(VLOOKUP(Pospago[[#This Row],[USUARIO]],[1]!Personal[#Data],6,0),"EJECUTIVO NO REGISTRADO")</f>
        <v>PADILLA MALDONADO HENRY LEOPOLDO</v>
      </c>
      <c r="BB818" s="18" t="str">
        <f>Pospago[[#This Row],[TIPO_MOVIMIENTO]]&amp;" "&amp;Pospago[[#This Row],[FORMA_PAGO_FINAL]]</f>
        <v>ALTAS DOMICILIADO</v>
      </c>
      <c r="BC818" s="18">
        <f>DAY(Pospago[[#This Row],[FECHA_ALTA]])</f>
        <v>6</v>
      </c>
      <c r="BD818" s="18">
        <f>IF(Pospago[[#This Row],[TARIFA_BASICA]]=11.42,1,0)</f>
        <v>0</v>
      </c>
      <c r="BE818" s="18">
        <f>IF(Pospago[[#This Row],[PLANES TELEVENTAS]]="SI",1,0)</f>
        <v>0</v>
      </c>
      <c r="BF818" s="18">
        <f>1</f>
        <v>1</v>
      </c>
      <c r="BG818" s="18">
        <f>IF(OR(Pospago[[#This Row],[TARIFA_BASICA]]=11.42,Pospago[[#This Row],[PLANES TELEVENTAS]]="SI"),1,0)</f>
        <v>0</v>
      </c>
      <c r="BH818" s="18" t="str">
        <f>IF(MID(Pospago[[#This Row],[PlanDesc]],1,4) = "PLAN","POSPAGO",IF(MID(Pospago[[#This Row],[PlanDesc]],1,4)="FULL","FULL MEGAS","PREVIOPAGO"))</f>
        <v>PREVIOPAGO</v>
      </c>
      <c r="BI8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18" s="21">
        <f>Pospago[[#This Row],[TARIFA_BASICA]]*1.5</f>
        <v>21.419999999999998</v>
      </c>
    </row>
    <row r="819" spans="1:63" x14ac:dyDescent="0.25">
      <c r="A819" s="18" t="s">
        <v>64</v>
      </c>
      <c r="B819" s="18" t="s">
        <v>5190</v>
      </c>
      <c r="C819" s="18" t="s">
        <v>5191</v>
      </c>
      <c r="D819" s="19">
        <v>44910</v>
      </c>
      <c r="E819" s="18" t="s">
        <v>67</v>
      </c>
      <c r="F819" s="18" t="s">
        <v>400</v>
      </c>
      <c r="G819" s="18" t="s">
        <v>401</v>
      </c>
      <c r="H819" s="18" t="s">
        <v>70</v>
      </c>
      <c r="I819" s="18" t="s">
        <v>194</v>
      </c>
      <c r="J819" s="18" t="s">
        <v>195</v>
      </c>
      <c r="K819" s="18" t="s">
        <v>132</v>
      </c>
      <c r="L819" s="20" t="s">
        <v>5192</v>
      </c>
      <c r="M819" s="18" t="s">
        <v>75</v>
      </c>
      <c r="N819" s="20" t="s">
        <v>5193</v>
      </c>
      <c r="O819" s="18" t="s">
        <v>77</v>
      </c>
      <c r="P819" s="18" t="s">
        <v>78</v>
      </c>
      <c r="Q819" s="19">
        <v>44914</v>
      </c>
      <c r="R819" s="21">
        <v>14.28</v>
      </c>
      <c r="S819" s="18" t="s">
        <v>79</v>
      </c>
      <c r="T819" s="18" t="s">
        <v>174</v>
      </c>
      <c r="U819" s="18" t="s">
        <v>83</v>
      </c>
      <c r="V819" s="18" t="s">
        <v>95</v>
      </c>
      <c r="W819" s="18" t="s">
        <v>83</v>
      </c>
      <c r="X819" s="18" t="s">
        <v>84</v>
      </c>
      <c r="Y819" s="18" t="s">
        <v>85</v>
      </c>
      <c r="Z819" s="18" t="s">
        <v>86</v>
      </c>
      <c r="AA819" s="18" t="s">
        <v>87</v>
      </c>
      <c r="AB819" s="18" t="s">
        <v>404</v>
      </c>
      <c r="AC819" s="18" t="s">
        <v>405</v>
      </c>
      <c r="AD819" s="18" t="s">
        <v>85</v>
      </c>
      <c r="AE819" s="18" t="s">
        <v>90</v>
      </c>
      <c r="AF819" s="18" t="s">
        <v>177</v>
      </c>
      <c r="AG819" s="18" t="s">
        <v>139</v>
      </c>
      <c r="AH819" s="18" t="s">
        <v>93</v>
      </c>
      <c r="AI819" s="18" t="s">
        <v>94</v>
      </c>
      <c r="AJ819" s="19">
        <v>44910</v>
      </c>
      <c r="AK819" s="22" t="s">
        <v>95</v>
      </c>
      <c r="AL819" s="18" t="s">
        <v>95</v>
      </c>
      <c r="AM819" s="18" t="s">
        <v>95</v>
      </c>
      <c r="AN819" s="18" t="s">
        <v>95</v>
      </c>
      <c r="AO819" s="18" t="s">
        <v>95</v>
      </c>
      <c r="AP819" s="18" t="s">
        <v>95</v>
      </c>
      <c r="AQ819" s="18" t="s">
        <v>95</v>
      </c>
      <c r="AR819" s="18" t="s">
        <v>95</v>
      </c>
      <c r="AS819" s="18" t="s">
        <v>83</v>
      </c>
      <c r="AT819" s="18" t="s">
        <v>81</v>
      </c>
      <c r="AU819" s="18" t="s">
        <v>81</v>
      </c>
      <c r="AV819" s="18" t="s">
        <v>95</v>
      </c>
      <c r="AW819" s="18" t="s">
        <v>95</v>
      </c>
      <c r="AX819" s="18"/>
      <c r="AY819" s="18" t="str">
        <f>Pospago[[#This Row],[NUM_TELEFONICO]]&amp;"POSPAGOSI"</f>
        <v>995498601POSPAGOSI</v>
      </c>
      <c r="AZ819" s="18" t="str">
        <f>VLOOKUP(Pospago[[#This Row],[NOM_PLAZA_FINAL]],[1]!Locales[#Data],3,0)</f>
        <v>TIENDA RECREO</v>
      </c>
      <c r="BA819" s="18" t="str">
        <f>IFERROR(VLOOKUP(Pospago[[#This Row],[USUARIO]],[1]!Personal[#Data],6,0),"EJECUTIVO NO REGISTRADO")</f>
        <v>OTERO YEPEZ ANDREA SOLEDAD</v>
      </c>
      <c r="BB819" s="18" t="str">
        <f>Pospago[[#This Row],[TIPO_MOVIMIENTO]]&amp;" "&amp;Pospago[[#This Row],[FORMA_PAGO_FINAL]]</f>
        <v>ALTAS DOMICILIADO</v>
      </c>
      <c r="BC819" s="18">
        <f>DAY(Pospago[[#This Row],[FECHA_ALTA]])</f>
        <v>15</v>
      </c>
      <c r="BD819" s="18">
        <f>IF(Pospago[[#This Row],[TARIFA_BASICA]]=11.42,1,0)</f>
        <v>0</v>
      </c>
      <c r="BE819" s="18">
        <f>IF(Pospago[[#This Row],[PLANES TELEVENTAS]]="SI",1,0)</f>
        <v>1</v>
      </c>
      <c r="BF819" s="18">
        <f>1</f>
        <v>1</v>
      </c>
      <c r="BG819" s="18">
        <f>IF(OR(Pospago[[#This Row],[TARIFA_BASICA]]=11.42,Pospago[[#This Row],[PLANES TELEVENTAS]]="SI"),1,0)</f>
        <v>1</v>
      </c>
      <c r="BH819" s="18" t="str">
        <f>IF(MID(Pospago[[#This Row],[PlanDesc]],1,4) = "PLAN","POSPAGO",IF(MID(Pospago[[#This Row],[PlanDesc]],1,4)="FULL","FULL MEGAS","PREVIOPAGO"))</f>
        <v>PREVIOPAGO</v>
      </c>
      <c r="BI8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19" s="21">
        <f>Pospago[[#This Row],[TARIFA_BASICA]]*1.5</f>
        <v>21.419999999999998</v>
      </c>
    </row>
    <row r="820" spans="1:63" x14ac:dyDescent="0.25">
      <c r="A820" s="18" t="s">
        <v>154</v>
      </c>
      <c r="B820" s="18" t="s">
        <v>5194</v>
      </c>
      <c r="C820" s="18" t="s">
        <v>5195</v>
      </c>
      <c r="D820" s="19">
        <v>44898</v>
      </c>
      <c r="E820" s="18" t="s">
        <v>67</v>
      </c>
      <c r="F820" s="18" t="s">
        <v>5196</v>
      </c>
      <c r="G820" s="18" t="s">
        <v>5197</v>
      </c>
      <c r="H820" s="18" t="s">
        <v>159</v>
      </c>
      <c r="I820" s="18" t="s">
        <v>194</v>
      </c>
      <c r="J820" s="18" t="s">
        <v>268</v>
      </c>
      <c r="K820" s="18" t="s">
        <v>73</v>
      </c>
      <c r="L820" s="20" t="s">
        <v>5198</v>
      </c>
      <c r="M820" s="18" t="s">
        <v>75</v>
      </c>
      <c r="N820" s="20" t="s">
        <v>5199</v>
      </c>
      <c r="O820" s="18" t="s">
        <v>164</v>
      </c>
      <c r="P820" s="18" t="s">
        <v>78</v>
      </c>
      <c r="Q820" s="19">
        <v>44914</v>
      </c>
      <c r="R820" s="21">
        <v>14.28</v>
      </c>
      <c r="S820" s="18" t="s">
        <v>79</v>
      </c>
      <c r="T820" s="18" t="s">
        <v>232</v>
      </c>
      <c r="U820" s="18" t="s">
        <v>83</v>
      </c>
      <c r="V820" s="18" t="s">
        <v>95</v>
      </c>
      <c r="W820" s="18" t="s">
        <v>95</v>
      </c>
      <c r="X820" s="18" t="s">
        <v>84</v>
      </c>
      <c r="Y820" s="18" t="s">
        <v>85</v>
      </c>
      <c r="Z820" s="18" t="s">
        <v>86</v>
      </c>
      <c r="AA820" s="18" t="s">
        <v>87</v>
      </c>
      <c r="AB820" s="18" t="s">
        <v>280</v>
      </c>
      <c r="AC820" s="18" t="s">
        <v>281</v>
      </c>
      <c r="AD820" s="18" t="s">
        <v>85</v>
      </c>
      <c r="AE820" s="18" t="s">
        <v>90</v>
      </c>
      <c r="AF820" s="18" t="s">
        <v>235</v>
      </c>
      <c r="AG820" s="18" t="s">
        <v>139</v>
      </c>
      <c r="AH820" s="18" t="s">
        <v>165</v>
      </c>
      <c r="AI820" s="18" t="s">
        <v>94</v>
      </c>
      <c r="AJ820" s="19">
        <v>44898</v>
      </c>
      <c r="AK820" s="22" t="s">
        <v>95</v>
      </c>
      <c r="AL820" s="18" t="s">
        <v>95</v>
      </c>
      <c r="AM820" s="18" t="s">
        <v>95</v>
      </c>
      <c r="AN820" s="18" t="s">
        <v>95</v>
      </c>
      <c r="AO820" s="18" t="s">
        <v>95</v>
      </c>
      <c r="AP820" s="18" t="s">
        <v>95</v>
      </c>
      <c r="AQ820" s="18" t="s">
        <v>95</v>
      </c>
      <c r="AR820" s="18" t="s">
        <v>95</v>
      </c>
      <c r="AS820" s="18" t="s">
        <v>83</v>
      </c>
      <c r="AT820" s="18" t="s">
        <v>81</v>
      </c>
      <c r="AU820" s="18" t="s">
        <v>81</v>
      </c>
      <c r="AV820" s="18" t="s">
        <v>95</v>
      </c>
      <c r="AW820" s="18" t="s">
        <v>95</v>
      </c>
      <c r="AX820" s="18"/>
      <c r="AY820" s="18" t="str">
        <f>Pospago[[#This Row],[NUM_TELEFONICO]]&amp;"POSPAGOSI"</f>
        <v>995499282POSPAGOSI</v>
      </c>
      <c r="AZ820" s="18" t="str">
        <f>VLOOKUP(Pospago[[#This Row],[NOM_PLAZA_FINAL]],[1]!Locales[#Data],3,0)</f>
        <v>TIENDA CONDADO</v>
      </c>
      <c r="BA820" s="18" t="str">
        <f>IFERROR(VLOOKUP(Pospago[[#This Row],[USUARIO]],[1]!Personal[#Data],6,0),"EJECUTIVO NO REGISTRADO")</f>
        <v>GUACHAMIN CAZA HUGO ADRIAN</v>
      </c>
      <c r="BB820" s="18" t="str">
        <f>Pospago[[#This Row],[TIPO_MOVIMIENTO]]&amp;" "&amp;Pospago[[#This Row],[FORMA_PAGO_FINAL]]</f>
        <v>TRANSFERENCIAS DOMICILIADO</v>
      </c>
      <c r="BC820" s="18">
        <f>DAY(Pospago[[#This Row],[FECHA_ALTA]])</f>
        <v>3</v>
      </c>
      <c r="BD820" s="18">
        <f>IF(Pospago[[#This Row],[TARIFA_BASICA]]=11.42,1,0)</f>
        <v>0</v>
      </c>
      <c r="BE820" s="18">
        <f>IF(Pospago[[#This Row],[PLANES TELEVENTAS]]="SI",1,0)</f>
        <v>1</v>
      </c>
      <c r="BF820" s="18">
        <f>1</f>
        <v>1</v>
      </c>
      <c r="BG820" s="18">
        <f>IF(OR(Pospago[[#This Row],[TARIFA_BASICA]]=11.42,Pospago[[#This Row],[PLANES TELEVENTAS]]="SI"),1,0)</f>
        <v>1</v>
      </c>
      <c r="BH820" s="18" t="str">
        <f>IF(MID(Pospago[[#This Row],[PlanDesc]],1,4) = "PLAN","POSPAGO",IF(MID(Pospago[[#This Row],[PlanDesc]],1,4)="FULL","FULL MEGAS","PREVIOPAGO"))</f>
        <v>PREVIOPAGO</v>
      </c>
      <c r="BI8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0" s="21">
        <f>Pospago[[#This Row],[TARIFA_BASICA]]*1.5</f>
        <v>21.419999999999998</v>
      </c>
    </row>
    <row r="821" spans="1:63" x14ac:dyDescent="0.25">
      <c r="A821" s="18" t="s">
        <v>154</v>
      </c>
      <c r="B821" s="18" t="s">
        <v>5200</v>
      </c>
      <c r="C821" s="18" t="s">
        <v>5201</v>
      </c>
      <c r="D821" s="19">
        <v>44904</v>
      </c>
      <c r="E821" s="18" t="s">
        <v>67</v>
      </c>
      <c r="F821" s="18" t="s">
        <v>5202</v>
      </c>
      <c r="G821" s="18" t="s">
        <v>5203</v>
      </c>
      <c r="H821" s="18" t="s">
        <v>159</v>
      </c>
      <c r="I821" s="18" t="s">
        <v>160</v>
      </c>
      <c r="J821" s="18" t="s">
        <v>161</v>
      </c>
      <c r="K821" s="18" t="s">
        <v>95</v>
      </c>
      <c r="L821" s="20" t="s">
        <v>5204</v>
      </c>
      <c r="M821" s="18" t="s">
        <v>75</v>
      </c>
      <c r="N821" s="20" t="s">
        <v>5205</v>
      </c>
      <c r="O821" s="18" t="s">
        <v>164</v>
      </c>
      <c r="P821" s="18" t="s">
        <v>78</v>
      </c>
      <c r="Q821" s="19">
        <v>44914</v>
      </c>
      <c r="R821" s="21">
        <v>14.28</v>
      </c>
      <c r="S821" s="18" t="s">
        <v>79</v>
      </c>
      <c r="T821" s="18" t="s">
        <v>174</v>
      </c>
      <c r="U821" s="18" t="s">
        <v>83</v>
      </c>
      <c r="V821" s="18" t="s">
        <v>95</v>
      </c>
      <c r="W821" s="18" t="s">
        <v>95</v>
      </c>
      <c r="X821" s="18" t="s">
        <v>118</v>
      </c>
      <c r="Y821" s="18" t="s">
        <v>85</v>
      </c>
      <c r="Z821" s="18" t="s">
        <v>86</v>
      </c>
      <c r="AA821" s="18" t="s">
        <v>119</v>
      </c>
      <c r="AB821" s="18" t="s">
        <v>175</v>
      </c>
      <c r="AC821" s="18" t="s">
        <v>176</v>
      </c>
      <c r="AD821" s="18" t="s">
        <v>85</v>
      </c>
      <c r="AE821" s="18" t="s">
        <v>90</v>
      </c>
      <c r="AF821" s="18" t="s">
        <v>177</v>
      </c>
      <c r="AG821" s="18" t="s">
        <v>139</v>
      </c>
      <c r="AH821" s="18" t="s">
        <v>165</v>
      </c>
      <c r="AI821" s="18" t="s">
        <v>94</v>
      </c>
      <c r="AJ821" s="19">
        <v>44904</v>
      </c>
      <c r="AK821" s="22" t="s">
        <v>95</v>
      </c>
      <c r="AL821" s="18" t="s">
        <v>95</v>
      </c>
      <c r="AM821" s="18" t="s">
        <v>95</v>
      </c>
      <c r="AN821" s="18" t="s">
        <v>95</v>
      </c>
      <c r="AO821" s="18" t="s">
        <v>95</v>
      </c>
      <c r="AP821" s="18" t="s">
        <v>95</v>
      </c>
      <c r="AQ821" s="18" t="s">
        <v>95</v>
      </c>
      <c r="AR821" s="18" t="s">
        <v>95</v>
      </c>
      <c r="AS821" s="18" t="s">
        <v>83</v>
      </c>
      <c r="AT821" s="18" t="s">
        <v>83</v>
      </c>
      <c r="AU821" s="18" t="s">
        <v>81</v>
      </c>
      <c r="AV821" s="18" t="s">
        <v>95</v>
      </c>
      <c r="AW821" s="18" t="s">
        <v>95</v>
      </c>
      <c r="AX821" s="18"/>
      <c r="AY821" s="18" t="str">
        <f>Pospago[[#This Row],[NUM_TELEFONICO]]&amp;"POSPAGOSI"</f>
        <v>995503314POSPAGOSI</v>
      </c>
      <c r="AZ821" s="18" t="str">
        <f>VLOOKUP(Pospago[[#This Row],[NOM_PLAZA_FINAL]],[1]!Locales[#Data],3,0)</f>
        <v>TIENDA RECREO</v>
      </c>
      <c r="BA821" s="18" t="str">
        <f>IFERROR(VLOOKUP(Pospago[[#This Row],[USUARIO]],[1]!Personal[#Data],6,0),"EJECUTIVO NO REGISTRADO")</f>
        <v>VARGAS REYES LUIS EDUARDO</v>
      </c>
      <c r="BB821" s="18" t="str">
        <f>Pospago[[#This Row],[TIPO_MOVIMIENTO]]&amp;" "&amp;Pospago[[#This Row],[FORMA_PAGO_FINAL]]</f>
        <v>TRANSFERENCIAS PAGO EN CAJA</v>
      </c>
      <c r="BC821" s="18">
        <f>DAY(Pospago[[#This Row],[FECHA_ALTA]])</f>
        <v>9</v>
      </c>
      <c r="BD821" s="18">
        <f>IF(Pospago[[#This Row],[TARIFA_BASICA]]=11.42,1,0)</f>
        <v>0</v>
      </c>
      <c r="BE821" s="18">
        <f>IF(Pospago[[#This Row],[PLANES TELEVENTAS]]="SI",1,0)</f>
        <v>0</v>
      </c>
      <c r="BF821" s="18">
        <f>1</f>
        <v>1</v>
      </c>
      <c r="BG821" s="18">
        <f>IF(OR(Pospago[[#This Row],[TARIFA_BASICA]]=11.42,Pospago[[#This Row],[PLANES TELEVENTAS]]="SI"),1,0)</f>
        <v>0</v>
      </c>
      <c r="BH821" s="18" t="str">
        <f>IF(MID(Pospago[[#This Row],[PlanDesc]],1,4) = "PLAN","POSPAGO",IF(MID(Pospago[[#This Row],[PlanDesc]],1,4)="FULL","FULL MEGAS","PREVIOPAGO"))</f>
        <v>PREVIOPAGO</v>
      </c>
      <c r="BI8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8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1" s="21">
        <f>Pospago[[#This Row],[TARIFA_BASICA]]*1.5</f>
        <v>21.419999999999998</v>
      </c>
    </row>
    <row r="822" spans="1:63" x14ac:dyDescent="0.25">
      <c r="A822" s="18" t="s">
        <v>64</v>
      </c>
      <c r="B822" s="18" t="s">
        <v>5206</v>
      </c>
      <c r="C822" s="18" t="s">
        <v>5207</v>
      </c>
      <c r="D822" s="19">
        <v>44911</v>
      </c>
      <c r="E822" s="18" t="s">
        <v>67</v>
      </c>
      <c r="F822" s="18" t="s">
        <v>5208</v>
      </c>
      <c r="G822" s="18" t="s">
        <v>5209</v>
      </c>
      <c r="H822" s="18" t="s">
        <v>70</v>
      </c>
      <c r="I822" s="18" t="s">
        <v>160</v>
      </c>
      <c r="J822" s="18" t="s">
        <v>195</v>
      </c>
      <c r="K822" s="18" t="s">
        <v>5210</v>
      </c>
      <c r="L822" s="20" t="s">
        <v>5211</v>
      </c>
      <c r="M822" s="18" t="s">
        <v>75</v>
      </c>
      <c r="N822" s="20" t="s">
        <v>5212</v>
      </c>
      <c r="O822" s="18" t="s">
        <v>77</v>
      </c>
      <c r="P822" s="18" t="s">
        <v>78</v>
      </c>
      <c r="Q822" s="19">
        <v>44914</v>
      </c>
      <c r="R822" s="21">
        <v>14.28</v>
      </c>
      <c r="S822" s="18" t="s">
        <v>79</v>
      </c>
      <c r="T822" s="18" t="s">
        <v>135</v>
      </c>
      <c r="U822" s="18" t="s">
        <v>83</v>
      </c>
      <c r="V822" s="18" t="s">
        <v>95</v>
      </c>
      <c r="W822" s="18" t="s">
        <v>83</v>
      </c>
      <c r="X822" s="18" t="s">
        <v>84</v>
      </c>
      <c r="Y822" s="18" t="s">
        <v>85</v>
      </c>
      <c r="Z822" s="18" t="s">
        <v>86</v>
      </c>
      <c r="AA822" s="18" t="s">
        <v>87</v>
      </c>
      <c r="AB822" s="18" t="s">
        <v>1545</v>
      </c>
      <c r="AC822" s="18" t="s">
        <v>1546</v>
      </c>
      <c r="AD822" s="18" t="s">
        <v>85</v>
      </c>
      <c r="AE822" s="18" t="s">
        <v>90</v>
      </c>
      <c r="AF822" s="18" t="s">
        <v>138</v>
      </c>
      <c r="AG822" s="18" t="s">
        <v>139</v>
      </c>
      <c r="AH822" s="18" t="s">
        <v>93</v>
      </c>
      <c r="AI822" s="18" t="s">
        <v>94</v>
      </c>
      <c r="AJ822" s="19">
        <v>44911</v>
      </c>
      <c r="AK822" s="22" t="s">
        <v>95</v>
      </c>
      <c r="AL822" s="18" t="s">
        <v>95</v>
      </c>
      <c r="AM822" s="18" t="s">
        <v>95</v>
      </c>
      <c r="AN822" s="18" t="s">
        <v>95</v>
      </c>
      <c r="AO822" s="18" t="s">
        <v>95</v>
      </c>
      <c r="AP822" s="18" t="s">
        <v>95</v>
      </c>
      <c r="AQ822" s="18" t="s">
        <v>95</v>
      </c>
      <c r="AR822" s="18" t="s">
        <v>95</v>
      </c>
      <c r="AS822" s="18" t="s">
        <v>83</v>
      </c>
      <c r="AT822" s="18" t="s">
        <v>83</v>
      </c>
      <c r="AU822" s="18" t="s">
        <v>81</v>
      </c>
      <c r="AV822" s="18" t="s">
        <v>95</v>
      </c>
      <c r="AW822" s="18" t="s">
        <v>95</v>
      </c>
      <c r="AX822" s="18"/>
      <c r="AY822" s="18" t="str">
        <f>Pospago[[#This Row],[NUM_TELEFONICO]]&amp;"POSPAGOSI"</f>
        <v>995503564POSPAGOSI</v>
      </c>
      <c r="AZ822" s="18" t="str">
        <f>VLOOKUP(Pospago[[#This Row],[NOM_PLAZA_FINAL]],[1]!Locales[#Data],3,0)</f>
        <v>TIENDA AMERICA</v>
      </c>
      <c r="BA822" s="18" t="str">
        <f>IFERROR(VLOOKUP(Pospago[[#This Row],[USUARIO]],[1]!Personal[#Data],6,0),"EJECUTIVO NO REGISTRADO")</f>
        <v>GRANDA ESPINOZA ANDRES SEBASTIAN</v>
      </c>
      <c r="BB822" s="18" t="str">
        <f>Pospago[[#This Row],[TIPO_MOVIMIENTO]]&amp;" "&amp;Pospago[[#This Row],[FORMA_PAGO_FINAL]]</f>
        <v>ALTAS DOMICILIADO</v>
      </c>
      <c r="BC822" s="18">
        <f>DAY(Pospago[[#This Row],[FECHA_ALTA]])</f>
        <v>16</v>
      </c>
      <c r="BD822" s="18">
        <f>IF(Pospago[[#This Row],[TARIFA_BASICA]]=11.42,1,0)</f>
        <v>0</v>
      </c>
      <c r="BE822" s="18">
        <f>IF(Pospago[[#This Row],[PLANES TELEVENTAS]]="SI",1,0)</f>
        <v>0</v>
      </c>
      <c r="BF822" s="18">
        <f>1</f>
        <v>1</v>
      </c>
      <c r="BG822" s="18">
        <f>IF(OR(Pospago[[#This Row],[TARIFA_BASICA]]=11.42,Pospago[[#This Row],[PLANES TELEVENTAS]]="SI"),1,0)</f>
        <v>0</v>
      </c>
      <c r="BH822" s="18" t="str">
        <f>IF(MID(Pospago[[#This Row],[PlanDesc]],1,4) = "PLAN","POSPAGO",IF(MID(Pospago[[#This Row],[PlanDesc]],1,4)="FULL","FULL MEGAS","PREVIOPAGO"))</f>
        <v>PREVIOPAGO</v>
      </c>
      <c r="BI8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2" s="21">
        <f>Pospago[[#This Row],[TARIFA_BASICA]]*1.5</f>
        <v>21.419999999999998</v>
      </c>
    </row>
    <row r="823" spans="1:63" x14ac:dyDescent="0.25">
      <c r="A823" s="18" t="s">
        <v>64</v>
      </c>
      <c r="B823" s="18" t="s">
        <v>5213</v>
      </c>
      <c r="C823" s="18" t="s">
        <v>591</v>
      </c>
      <c r="D823" s="19">
        <v>44898</v>
      </c>
      <c r="E823" s="18" t="s">
        <v>246</v>
      </c>
      <c r="F823" s="18" t="s">
        <v>592</v>
      </c>
      <c r="G823" s="18" t="s">
        <v>593</v>
      </c>
      <c r="H823" s="18" t="s">
        <v>70</v>
      </c>
      <c r="I823" s="18" t="s">
        <v>160</v>
      </c>
      <c r="J823" s="18" t="s">
        <v>195</v>
      </c>
      <c r="K823" s="18" t="s">
        <v>95</v>
      </c>
      <c r="L823" s="20" t="s">
        <v>5214</v>
      </c>
      <c r="M823" s="18" t="s">
        <v>75</v>
      </c>
      <c r="N823" s="20" t="s">
        <v>5215</v>
      </c>
      <c r="O823" s="18" t="s">
        <v>77</v>
      </c>
      <c r="P823" s="18" t="s">
        <v>78</v>
      </c>
      <c r="Q823" s="19">
        <v>44914</v>
      </c>
      <c r="R823" s="21">
        <v>14.28</v>
      </c>
      <c r="S823" s="18" t="s">
        <v>79</v>
      </c>
      <c r="T823" s="18" t="s">
        <v>174</v>
      </c>
      <c r="U823" s="18" t="s">
        <v>83</v>
      </c>
      <c r="V823" s="18" t="s">
        <v>95</v>
      </c>
      <c r="W823" s="18" t="s">
        <v>83</v>
      </c>
      <c r="X823" s="18" t="s">
        <v>84</v>
      </c>
      <c r="Y823" s="18" t="s">
        <v>85</v>
      </c>
      <c r="Z823" s="18" t="s">
        <v>86</v>
      </c>
      <c r="AA823" s="18" t="s">
        <v>87</v>
      </c>
      <c r="AB823" s="18" t="s">
        <v>369</v>
      </c>
      <c r="AC823" s="18" t="s">
        <v>370</v>
      </c>
      <c r="AD823" s="18" t="s">
        <v>85</v>
      </c>
      <c r="AE823" s="18" t="s">
        <v>90</v>
      </c>
      <c r="AF823" s="18" t="s">
        <v>177</v>
      </c>
      <c r="AG823" s="18" t="s">
        <v>139</v>
      </c>
      <c r="AH823" s="18" t="s">
        <v>93</v>
      </c>
      <c r="AI823" s="18" t="s">
        <v>94</v>
      </c>
      <c r="AJ823" s="19">
        <v>44898</v>
      </c>
      <c r="AK823" s="22" t="s">
        <v>95</v>
      </c>
      <c r="AL823" s="18" t="s">
        <v>95</v>
      </c>
      <c r="AM823" s="18" t="s">
        <v>95</v>
      </c>
      <c r="AN823" s="18" t="s">
        <v>95</v>
      </c>
      <c r="AO823" s="18" t="s">
        <v>95</v>
      </c>
      <c r="AP823" s="18" t="s">
        <v>95</v>
      </c>
      <c r="AQ823" s="18" t="s">
        <v>95</v>
      </c>
      <c r="AR823" s="18" t="s">
        <v>95</v>
      </c>
      <c r="AS823" s="18" t="s">
        <v>83</v>
      </c>
      <c r="AT823" s="18" t="s">
        <v>83</v>
      </c>
      <c r="AU823" s="18" t="s">
        <v>81</v>
      </c>
      <c r="AV823" s="18" t="s">
        <v>95</v>
      </c>
      <c r="AW823" s="18" t="s">
        <v>95</v>
      </c>
      <c r="AX823" s="18"/>
      <c r="AY823" s="18" t="str">
        <f>Pospago[[#This Row],[NUM_TELEFONICO]]&amp;"POSPAGOSI"</f>
        <v>995503790POSPAGOSI</v>
      </c>
      <c r="AZ823" s="18" t="str">
        <f>VLOOKUP(Pospago[[#This Row],[NOM_PLAZA_FINAL]],[1]!Locales[#Data],3,0)</f>
        <v>TIENDA RECREO</v>
      </c>
      <c r="BA823" s="18" t="str">
        <f>IFERROR(VLOOKUP(Pospago[[#This Row],[USUARIO]],[1]!Personal[#Data],6,0),"EJECUTIVO NO REGISTRADO")</f>
        <v>GUAIGUA REINOSO GENESIS CAROLINA</v>
      </c>
      <c r="BB823" s="18" t="str">
        <f>Pospago[[#This Row],[TIPO_MOVIMIENTO]]&amp;" "&amp;Pospago[[#This Row],[FORMA_PAGO_FINAL]]</f>
        <v>ALTAS DOMICILIADO</v>
      </c>
      <c r="BC823" s="18">
        <f>DAY(Pospago[[#This Row],[FECHA_ALTA]])</f>
        <v>3</v>
      </c>
      <c r="BD823" s="18">
        <f>IF(Pospago[[#This Row],[TARIFA_BASICA]]=11.42,1,0)</f>
        <v>0</v>
      </c>
      <c r="BE823" s="18">
        <f>IF(Pospago[[#This Row],[PLANES TELEVENTAS]]="SI",1,0)</f>
        <v>0</v>
      </c>
      <c r="BF823" s="18">
        <f>1</f>
        <v>1</v>
      </c>
      <c r="BG823" s="18">
        <f>IF(OR(Pospago[[#This Row],[TARIFA_BASICA]]=11.42,Pospago[[#This Row],[PLANES TELEVENTAS]]="SI"),1,0)</f>
        <v>0</v>
      </c>
      <c r="BH823" s="18" t="str">
        <f>IF(MID(Pospago[[#This Row],[PlanDesc]],1,4) = "PLAN","POSPAGO",IF(MID(Pospago[[#This Row],[PlanDesc]],1,4)="FULL","FULL MEGAS","PREVIOPAGO"))</f>
        <v>PREVIOPAGO</v>
      </c>
      <c r="BI8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3" s="21">
        <f>Pospago[[#This Row],[TARIFA_BASICA]]*1.5</f>
        <v>21.419999999999998</v>
      </c>
    </row>
    <row r="824" spans="1:63" x14ac:dyDescent="0.25">
      <c r="A824" s="18" t="s">
        <v>154</v>
      </c>
      <c r="B824" s="18" t="s">
        <v>5216</v>
      </c>
      <c r="C824" s="18" t="s">
        <v>5217</v>
      </c>
      <c r="D824" s="19">
        <v>44912</v>
      </c>
      <c r="E824" s="18" t="s">
        <v>67</v>
      </c>
      <c r="F824" s="18" t="s">
        <v>5218</v>
      </c>
      <c r="G824" s="18" t="s">
        <v>5219</v>
      </c>
      <c r="H824" s="18" t="s">
        <v>159</v>
      </c>
      <c r="I824" s="18" t="s">
        <v>227</v>
      </c>
      <c r="J824" s="18" t="s">
        <v>426</v>
      </c>
      <c r="K824" s="18" t="s">
        <v>349</v>
      </c>
      <c r="L824" s="20" t="s">
        <v>5220</v>
      </c>
      <c r="M824" s="18" t="s">
        <v>75</v>
      </c>
      <c r="N824" s="20" t="s">
        <v>5221</v>
      </c>
      <c r="O824" s="18" t="s">
        <v>164</v>
      </c>
      <c r="P824" s="18" t="s">
        <v>78</v>
      </c>
      <c r="Q824" s="19">
        <v>44914</v>
      </c>
      <c r="R824" s="21">
        <v>21.42</v>
      </c>
      <c r="S824" s="18" t="s">
        <v>79</v>
      </c>
      <c r="T824" s="18" t="s">
        <v>232</v>
      </c>
      <c r="U824" s="18" t="s">
        <v>83</v>
      </c>
      <c r="V824" s="18" t="s">
        <v>95</v>
      </c>
      <c r="W824" s="18" t="s">
        <v>95</v>
      </c>
      <c r="X824" s="18" t="s">
        <v>118</v>
      </c>
      <c r="Y824" s="18" t="s">
        <v>85</v>
      </c>
      <c r="Z824" s="18" t="s">
        <v>86</v>
      </c>
      <c r="AA824" s="18" t="s">
        <v>119</v>
      </c>
      <c r="AB824" s="18" t="s">
        <v>769</v>
      </c>
      <c r="AC824" s="18" t="s">
        <v>770</v>
      </c>
      <c r="AD824" s="18" t="s">
        <v>85</v>
      </c>
      <c r="AE824" s="18" t="s">
        <v>90</v>
      </c>
      <c r="AF824" s="18" t="s">
        <v>235</v>
      </c>
      <c r="AG824" s="18" t="s">
        <v>139</v>
      </c>
      <c r="AH824" s="18" t="s">
        <v>165</v>
      </c>
      <c r="AI824" s="18" t="s">
        <v>94</v>
      </c>
      <c r="AJ824" s="19">
        <v>44912</v>
      </c>
      <c r="AK824" s="22" t="s">
        <v>95</v>
      </c>
      <c r="AL824" s="18" t="s">
        <v>95</v>
      </c>
      <c r="AM824" s="18" t="s">
        <v>95</v>
      </c>
      <c r="AN824" s="18" t="s">
        <v>95</v>
      </c>
      <c r="AO824" s="18" t="s">
        <v>95</v>
      </c>
      <c r="AP824" s="18" t="s">
        <v>95</v>
      </c>
      <c r="AQ824" s="18" t="s">
        <v>95</v>
      </c>
      <c r="AR824" s="18" t="s">
        <v>95</v>
      </c>
      <c r="AS824" s="18" t="s">
        <v>83</v>
      </c>
      <c r="AT824" s="18" t="s">
        <v>83</v>
      </c>
      <c r="AU824" s="18" t="s">
        <v>81</v>
      </c>
      <c r="AV824" s="18" t="s">
        <v>95</v>
      </c>
      <c r="AW824" s="18" t="s">
        <v>95</v>
      </c>
      <c r="AX824" s="18"/>
      <c r="AY824" s="18" t="str">
        <f>Pospago[[#This Row],[NUM_TELEFONICO]]&amp;"POSPAGOSI"</f>
        <v>995525708POSPAGOSI</v>
      </c>
      <c r="AZ824" s="18" t="str">
        <f>VLOOKUP(Pospago[[#This Row],[NOM_PLAZA_FINAL]],[1]!Locales[#Data],3,0)</f>
        <v>TIENDA CONDADO</v>
      </c>
      <c r="BA824" s="18" t="str">
        <f>IFERROR(VLOOKUP(Pospago[[#This Row],[USUARIO]],[1]!Personal[#Data],6,0),"EJECUTIVO NO REGISTRADO")</f>
        <v>ROJAS VEGA JHOSMERY MICHELE</v>
      </c>
      <c r="BB824" s="18" t="str">
        <f>Pospago[[#This Row],[TIPO_MOVIMIENTO]]&amp;" "&amp;Pospago[[#This Row],[FORMA_PAGO_FINAL]]</f>
        <v>TRANSFERENCIAS PAGO EN CAJA</v>
      </c>
      <c r="BC824" s="18">
        <f>DAY(Pospago[[#This Row],[FECHA_ALTA]])</f>
        <v>17</v>
      </c>
      <c r="BD824" s="18">
        <f>IF(Pospago[[#This Row],[TARIFA_BASICA]]=11.42,1,0)</f>
        <v>0</v>
      </c>
      <c r="BE824" s="18">
        <f>IF(Pospago[[#This Row],[PLANES TELEVENTAS]]="SI",1,0)</f>
        <v>0</v>
      </c>
      <c r="BF824" s="18">
        <f>1</f>
        <v>1</v>
      </c>
      <c r="BG824" s="18">
        <f>IF(OR(Pospago[[#This Row],[TARIFA_BASICA]]=11.42,Pospago[[#This Row],[PLANES TELEVENTAS]]="SI"),1,0)</f>
        <v>0</v>
      </c>
      <c r="BH824" s="18" t="str">
        <f>IF(MID(Pospago[[#This Row],[PlanDesc]],1,4) = "PLAN","POSPAGO",IF(MID(Pospago[[#This Row],[PlanDesc]],1,4)="FULL","FULL MEGAS","PREVIOPAGO"))</f>
        <v>PREVIOPAGO</v>
      </c>
      <c r="BI8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11.25</v>
      </c>
      <c r="BJ8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4" s="21">
        <f>Pospago[[#This Row],[TARIFA_BASICA]]*1.5</f>
        <v>32.130000000000003</v>
      </c>
    </row>
    <row r="825" spans="1:63" x14ac:dyDescent="0.25">
      <c r="A825" s="18" t="s">
        <v>64</v>
      </c>
      <c r="B825" s="18" t="s">
        <v>5222</v>
      </c>
      <c r="C825" s="18" t="s">
        <v>5223</v>
      </c>
      <c r="D825" s="19">
        <v>44905</v>
      </c>
      <c r="E825" s="18" t="s">
        <v>67</v>
      </c>
      <c r="F825" s="18" t="s">
        <v>5224</v>
      </c>
      <c r="G825" s="18" t="s">
        <v>5225</v>
      </c>
      <c r="H825" s="18" t="s">
        <v>70</v>
      </c>
      <c r="I825" s="18" t="s">
        <v>194</v>
      </c>
      <c r="J825" s="18" t="s">
        <v>195</v>
      </c>
      <c r="K825" s="18" t="s">
        <v>95</v>
      </c>
      <c r="L825" s="20" t="s">
        <v>5226</v>
      </c>
      <c r="M825" s="18" t="s">
        <v>75</v>
      </c>
      <c r="N825" s="20" t="s">
        <v>5227</v>
      </c>
      <c r="O825" s="18" t="s">
        <v>77</v>
      </c>
      <c r="P825" s="18" t="s">
        <v>1574</v>
      </c>
      <c r="Q825" s="19">
        <v>44914</v>
      </c>
      <c r="R825" s="21">
        <v>14.28</v>
      </c>
      <c r="S825" s="18" t="s">
        <v>79</v>
      </c>
      <c r="T825" s="18" t="s">
        <v>232</v>
      </c>
      <c r="U825" s="18" t="s">
        <v>83</v>
      </c>
      <c r="V825" s="18" t="s">
        <v>95</v>
      </c>
      <c r="W825" s="18" t="s">
        <v>83</v>
      </c>
      <c r="X825" s="18" t="s">
        <v>84</v>
      </c>
      <c r="Y825" s="18" t="s">
        <v>85</v>
      </c>
      <c r="Z825" s="18" t="s">
        <v>86</v>
      </c>
      <c r="AA825" s="18" t="s">
        <v>87</v>
      </c>
      <c r="AB825" s="18" t="s">
        <v>280</v>
      </c>
      <c r="AC825" s="18" t="s">
        <v>281</v>
      </c>
      <c r="AD825" s="18" t="s">
        <v>85</v>
      </c>
      <c r="AE825" s="18" t="s">
        <v>90</v>
      </c>
      <c r="AF825" s="18" t="s">
        <v>235</v>
      </c>
      <c r="AG825" s="18" t="s">
        <v>139</v>
      </c>
      <c r="AH825" s="18" t="s">
        <v>93</v>
      </c>
      <c r="AI825" s="18" t="s">
        <v>94</v>
      </c>
      <c r="AJ825" s="19">
        <v>44905</v>
      </c>
      <c r="AK825" s="22" t="s">
        <v>95</v>
      </c>
      <c r="AL825" s="18" t="s">
        <v>95</v>
      </c>
      <c r="AM825" s="18" t="s">
        <v>95</v>
      </c>
      <c r="AN825" s="18" t="s">
        <v>95</v>
      </c>
      <c r="AO825" s="18" t="s">
        <v>95</v>
      </c>
      <c r="AP825" s="18" t="s">
        <v>95</v>
      </c>
      <c r="AQ825" s="18" t="s">
        <v>95</v>
      </c>
      <c r="AR825" s="18" t="s">
        <v>95</v>
      </c>
      <c r="AS825" s="18" t="s">
        <v>83</v>
      </c>
      <c r="AT825" s="18" t="s">
        <v>81</v>
      </c>
      <c r="AU825" s="18" t="s">
        <v>81</v>
      </c>
      <c r="AV825" s="18" t="s">
        <v>95</v>
      </c>
      <c r="AW825" s="18" t="s">
        <v>95</v>
      </c>
      <c r="AX825" s="18"/>
      <c r="AY825" s="18" t="str">
        <f>Pospago[[#This Row],[NUM_TELEFONICO]]&amp;"POSPAGOSI"</f>
        <v>995542259POSPAGOSI</v>
      </c>
      <c r="AZ825" s="18" t="str">
        <f>VLOOKUP(Pospago[[#This Row],[NOM_PLAZA_FINAL]],[1]!Locales[#Data],3,0)</f>
        <v>TIENDA CONDADO</v>
      </c>
      <c r="BA825" s="18" t="str">
        <f>IFERROR(VLOOKUP(Pospago[[#This Row],[USUARIO]],[1]!Personal[#Data],6,0),"EJECUTIVO NO REGISTRADO")</f>
        <v>GUACHAMIN CAZA HUGO ADRIAN</v>
      </c>
      <c r="BB825" s="18" t="str">
        <f>Pospago[[#This Row],[TIPO_MOVIMIENTO]]&amp;" "&amp;Pospago[[#This Row],[FORMA_PAGO_FINAL]]</f>
        <v>ALTAS DOMICILIADO</v>
      </c>
      <c r="BC825" s="18">
        <f>DAY(Pospago[[#This Row],[FECHA_ALTA]])</f>
        <v>10</v>
      </c>
      <c r="BD825" s="18">
        <f>IF(Pospago[[#This Row],[TARIFA_BASICA]]=11.42,1,0)</f>
        <v>0</v>
      </c>
      <c r="BE825" s="18">
        <f>IF(Pospago[[#This Row],[PLANES TELEVENTAS]]="SI",1,0)</f>
        <v>1</v>
      </c>
      <c r="BF825" s="18">
        <f>1</f>
        <v>1</v>
      </c>
      <c r="BG825" s="18">
        <f>IF(OR(Pospago[[#This Row],[TARIFA_BASICA]]=11.42,Pospago[[#This Row],[PLANES TELEVENTAS]]="SI"),1,0)</f>
        <v>1</v>
      </c>
      <c r="BH825" s="18" t="str">
        <f>IF(MID(Pospago[[#This Row],[PlanDesc]],1,4) = "PLAN","POSPAGO",IF(MID(Pospago[[#This Row],[PlanDesc]],1,4)="FULL","FULL MEGAS","PREVIOPAGO"))</f>
        <v>PREVIOPAGO</v>
      </c>
      <c r="BI8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5" s="21">
        <f>Pospago[[#This Row],[TARIFA_BASICA]]*1.5</f>
        <v>21.419999999999998</v>
      </c>
    </row>
    <row r="826" spans="1:63" x14ac:dyDescent="0.25">
      <c r="A826" s="18" t="s">
        <v>64</v>
      </c>
      <c r="B826" s="18" t="s">
        <v>5228</v>
      </c>
      <c r="C826" s="18" t="s">
        <v>5229</v>
      </c>
      <c r="D826" s="19">
        <v>44902</v>
      </c>
      <c r="E826" s="18" t="s">
        <v>67</v>
      </c>
      <c r="F826" s="18" t="s">
        <v>5230</v>
      </c>
      <c r="G826" s="18" t="s">
        <v>5231</v>
      </c>
      <c r="H826" s="18" t="s">
        <v>70</v>
      </c>
      <c r="I826" s="18" t="s">
        <v>712</v>
      </c>
      <c r="J826" s="18" t="s">
        <v>113</v>
      </c>
      <c r="K826" s="18" t="s">
        <v>114</v>
      </c>
      <c r="L826" s="20" t="s">
        <v>5232</v>
      </c>
      <c r="M826" s="18" t="s">
        <v>75</v>
      </c>
      <c r="N826" s="20" t="s">
        <v>5233</v>
      </c>
      <c r="O826" s="18" t="s">
        <v>77</v>
      </c>
      <c r="P826" s="18" t="s">
        <v>78</v>
      </c>
      <c r="Q826" s="19">
        <v>44914</v>
      </c>
      <c r="R826" s="21">
        <v>17.850000000000001</v>
      </c>
      <c r="S826" s="18" t="s">
        <v>79</v>
      </c>
      <c r="T826" s="18" t="s">
        <v>117</v>
      </c>
      <c r="U826" s="18" t="s">
        <v>83</v>
      </c>
      <c r="V826" s="18" t="s">
        <v>95</v>
      </c>
      <c r="W826" s="18" t="s">
        <v>83</v>
      </c>
      <c r="X826" s="18" t="s">
        <v>84</v>
      </c>
      <c r="Y826" s="18" t="s">
        <v>85</v>
      </c>
      <c r="Z826" s="18" t="s">
        <v>86</v>
      </c>
      <c r="AA826" s="18" t="s">
        <v>87</v>
      </c>
      <c r="AB826" s="18" t="s">
        <v>120</v>
      </c>
      <c r="AC826" s="18" t="s">
        <v>121</v>
      </c>
      <c r="AD826" s="18" t="s">
        <v>85</v>
      </c>
      <c r="AE826" s="18" t="s">
        <v>90</v>
      </c>
      <c r="AF826" s="18" t="s">
        <v>122</v>
      </c>
      <c r="AG826" s="18" t="s">
        <v>92</v>
      </c>
      <c r="AH826" s="18" t="s">
        <v>93</v>
      </c>
      <c r="AI826" s="18" t="s">
        <v>94</v>
      </c>
      <c r="AJ826" s="19">
        <v>44902</v>
      </c>
      <c r="AK826" s="22" t="s">
        <v>95</v>
      </c>
      <c r="AL826" s="18" t="s">
        <v>95</v>
      </c>
      <c r="AM826" s="18" t="s">
        <v>95</v>
      </c>
      <c r="AN826" s="18" t="s">
        <v>95</v>
      </c>
      <c r="AO826" s="18" t="s">
        <v>95</v>
      </c>
      <c r="AP826" s="18" t="s">
        <v>95</v>
      </c>
      <c r="AQ826" s="18" t="s">
        <v>95</v>
      </c>
      <c r="AR826" s="18" t="s">
        <v>95</v>
      </c>
      <c r="AS826" s="18" t="s">
        <v>83</v>
      </c>
      <c r="AT826" s="18" t="s">
        <v>81</v>
      </c>
      <c r="AU826" s="18" t="s">
        <v>81</v>
      </c>
      <c r="AV826" s="18" t="s">
        <v>95</v>
      </c>
      <c r="AW826" s="18" t="s">
        <v>95</v>
      </c>
      <c r="AX826" s="18"/>
      <c r="AY826" s="18" t="str">
        <f>Pospago[[#This Row],[NUM_TELEFONICO]]&amp;"POSPAGOSI"</f>
        <v>995547102POSPAGOSI</v>
      </c>
      <c r="AZ826" s="18" t="str">
        <f>VLOOKUP(Pospago[[#This Row],[NOM_PLAZA_FINAL]],[1]!Locales[#Data],3,0)</f>
        <v>TIENDA MACHALA</v>
      </c>
      <c r="BA826" s="18" t="str">
        <f>IFERROR(VLOOKUP(Pospago[[#This Row],[USUARIO]],[1]!Personal[#Data],6,0),"EJECUTIVO NO REGISTRADO")</f>
        <v>ARROBO VICENTE YADIRA ESPERANZA</v>
      </c>
      <c r="BB826" s="18" t="str">
        <f>Pospago[[#This Row],[TIPO_MOVIMIENTO]]&amp;" "&amp;Pospago[[#This Row],[FORMA_PAGO_FINAL]]</f>
        <v>ALTAS DOMICILIADO</v>
      </c>
      <c r="BC826" s="18">
        <f>DAY(Pospago[[#This Row],[FECHA_ALTA]])</f>
        <v>7</v>
      </c>
      <c r="BD826" s="18">
        <f>IF(Pospago[[#This Row],[TARIFA_BASICA]]=11.42,1,0)</f>
        <v>0</v>
      </c>
      <c r="BE826" s="18">
        <f>IF(Pospago[[#This Row],[PLANES TELEVENTAS]]="SI",1,0)</f>
        <v>1</v>
      </c>
      <c r="BF826" s="18">
        <f>1</f>
        <v>1</v>
      </c>
      <c r="BG826" s="18">
        <f>IF(OR(Pospago[[#This Row],[TARIFA_BASICA]]=11.42,Pospago[[#This Row],[PLANES TELEVENTAS]]="SI"),1,0)</f>
        <v>1</v>
      </c>
      <c r="BH826" s="18" t="str">
        <f>IF(MID(Pospago[[#This Row],[PlanDesc]],1,4) = "PLAN","POSPAGO",IF(MID(Pospago[[#This Row],[PlanDesc]],1,4)="FULL","FULL MEGAS","PREVIOPAGO"))</f>
        <v>PREVIOPAGO</v>
      </c>
      <c r="BI8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25.212</v>
      </c>
      <c r="BJ8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6" s="21">
        <f>Pospago[[#This Row],[TARIFA_BASICA]]*1.5</f>
        <v>26.775000000000002</v>
      </c>
    </row>
    <row r="827" spans="1:63" x14ac:dyDescent="0.25">
      <c r="A827" s="18" t="s">
        <v>64</v>
      </c>
      <c r="B827" s="18" t="s">
        <v>5234</v>
      </c>
      <c r="C827" s="18" t="s">
        <v>5235</v>
      </c>
      <c r="D827" s="19">
        <v>44904</v>
      </c>
      <c r="E827" s="18" t="s">
        <v>67</v>
      </c>
      <c r="F827" s="18" t="s">
        <v>5236</v>
      </c>
      <c r="G827" s="18" t="s">
        <v>5237</v>
      </c>
      <c r="H827" s="18" t="s">
        <v>70</v>
      </c>
      <c r="I827" s="18" t="s">
        <v>130</v>
      </c>
      <c r="J827" s="18" t="s">
        <v>131</v>
      </c>
      <c r="K827" s="18" t="s">
        <v>73</v>
      </c>
      <c r="L827" s="20" t="s">
        <v>5238</v>
      </c>
      <c r="M827" s="18" t="s">
        <v>75</v>
      </c>
      <c r="N827" s="20" t="s">
        <v>5239</v>
      </c>
      <c r="O827" s="18" t="s">
        <v>77</v>
      </c>
      <c r="P827" s="18" t="s">
        <v>78</v>
      </c>
      <c r="Q827" s="19">
        <v>44914</v>
      </c>
      <c r="R827" s="21">
        <v>15</v>
      </c>
      <c r="S827" s="18" t="s">
        <v>79</v>
      </c>
      <c r="T827" s="18" t="s">
        <v>80</v>
      </c>
      <c r="U827" s="18" t="s">
        <v>81</v>
      </c>
      <c r="V827" s="18" t="s">
        <v>82</v>
      </c>
      <c r="W827" s="18" t="s">
        <v>83</v>
      </c>
      <c r="X827" s="18" t="s">
        <v>84</v>
      </c>
      <c r="Y827" s="18" t="s">
        <v>85</v>
      </c>
      <c r="Z827" s="18" t="s">
        <v>86</v>
      </c>
      <c r="AA827" s="18" t="s">
        <v>87</v>
      </c>
      <c r="AB827" s="18" t="s">
        <v>88</v>
      </c>
      <c r="AC827" s="18" t="s">
        <v>89</v>
      </c>
      <c r="AD827" s="18" t="s">
        <v>85</v>
      </c>
      <c r="AE827" s="18" t="s">
        <v>90</v>
      </c>
      <c r="AF827" s="18" t="s">
        <v>91</v>
      </c>
      <c r="AG827" s="18" t="s">
        <v>92</v>
      </c>
      <c r="AH827" s="18" t="s">
        <v>93</v>
      </c>
      <c r="AI827" s="18" t="s">
        <v>94</v>
      </c>
      <c r="AJ827" s="19">
        <v>44904</v>
      </c>
      <c r="AK827" s="22" t="s">
        <v>95</v>
      </c>
      <c r="AL827" s="18" t="s">
        <v>95</v>
      </c>
      <c r="AM827" s="18" t="s">
        <v>95</v>
      </c>
      <c r="AN827" s="18" t="s">
        <v>95</v>
      </c>
      <c r="AO827" s="18" t="s">
        <v>95</v>
      </c>
      <c r="AP827" s="18" t="s">
        <v>95</v>
      </c>
      <c r="AQ827" s="18" t="s">
        <v>95</v>
      </c>
      <c r="AR827" s="18" t="s">
        <v>95</v>
      </c>
      <c r="AS827" s="18" t="s">
        <v>83</v>
      </c>
      <c r="AT827" s="18" t="s">
        <v>83</v>
      </c>
      <c r="AU827" s="18" t="s">
        <v>81</v>
      </c>
      <c r="AV827" s="18" t="s">
        <v>95</v>
      </c>
      <c r="AW827" s="18" t="s">
        <v>95</v>
      </c>
      <c r="AX827" s="18"/>
      <c r="AY827" s="18" t="str">
        <f>Pospago[[#This Row],[NUM_TELEFONICO]]&amp;"POSPAGOSI"</f>
        <v>995550898POSPAGOSI</v>
      </c>
      <c r="AZ827" s="18" t="str">
        <f>VLOOKUP(Pospago[[#This Row],[NOM_PLAZA_FINAL]],[1]!Locales[#Data],3,0)</f>
        <v>TIENDA CUENCA CENTRO</v>
      </c>
      <c r="BA827" s="18" t="str">
        <f>IFERROR(VLOOKUP(Pospago[[#This Row],[USUARIO]],[1]!Personal[#Data],6,0),"EJECUTIVO NO REGISTRADO")</f>
        <v>ANDRADE CONDO CHRISTIAN EDUARDO</v>
      </c>
      <c r="BB827" s="18" t="str">
        <f>Pospago[[#This Row],[TIPO_MOVIMIENTO]]&amp;" "&amp;Pospago[[#This Row],[FORMA_PAGO_FINAL]]</f>
        <v>ALTAS DOMICILIADO</v>
      </c>
      <c r="BC827" s="18">
        <f>DAY(Pospago[[#This Row],[FECHA_ALTA]])</f>
        <v>9</v>
      </c>
      <c r="BD827" s="18">
        <f>IF(Pospago[[#This Row],[TARIFA_BASICA]]=11.42,1,0)</f>
        <v>0</v>
      </c>
      <c r="BE827" s="18">
        <f>IF(Pospago[[#This Row],[PLANES TELEVENTAS]]="SI",1,0)</f>
        <v>0</v>
      </c>
      <c r="BF827" s="18">
        <f>1</f>
        <v>1</v>
      </c>
      <c r="BG827" s="18">
        <f>IF(OR(Pospago[[#This Row],[TARIFA_BASICA]]=11.42,Pospago[[#This Row],[PLANES TELEVENTAS]]="SI"),1,0)</f>
        <v>0</v>
      </c>
      <c r="BH827" s="18" t="str">
        <f>IF(MID(Pospago[[#This Row],[PlanDesc]],1,4) = "PLAN","POSPAGO",IF(MID(Pospago[[#This Row],[PlanDesc]],1,4)="FULL","FULL MEGAS","PREVIOPAGO"))</f>
        <v>PREVIOPAGO</v>
      </c>
      <c r="BI8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8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7" s="21">
        <f>Pospago[[#This Row],[TARIFA_BASICA]]*1.5</f>
        <v>22.5</v>
      </c>
    </row>
    <row r="828" spans="1:63" x14ac:dyDescent="0.25">
      <c r="A828" s="18" t="s">
        <v>64</v>
      </c>
      <c r="B828" s="18" t="s">
        <v>5240</v>
      </c>
      <c r="C828" s="18" t="s">
        <v>5241</v>
      </c>
      <c r="D828" s="19">
        <v>44896</v>
      </c>
      <c r="E828" s="18" t="s">
        <v>67</v>
      </c>
      <c r="F828" s="18" t="s">
        <v>5242</v>
      </c>
      <c r="G828" s="18" t="s">
        <v>5243</v>
      </c>
      <c r="H828" s="18" t="s">
        <v>70</v>
      </c>
      <c r="I828" s="18" t="s">
        <v>130</v>
      </c>
      <c r="J828" s="18" t="s">
        <v>131</v>
      </c>
      <c r="K828" s="18" t="s">
        <v>132</v>
      </c>
      <c r="L828" s="20" t="s">
        <v>5244</v>
      </c>
      <c r="M828" s="18" t="s">
        <v>75</v>
      </c>
      <c r="N828" s="20" t="s">
        <v>5245</v>
      </c>
      <c r="O828" s="18" t="s">
        <v>77</v>
      </c>
      <c r="P828" s="18" t="s">
        <v>78</v>
      </c>
      <c r="Q828" s="19">
        <v>44914</v>
      </c>
      <c r="R828" s="21">
        <v>15</v>
      </c>
      <c r="S828" s="18" t="s">
        <v>79</v>
      </c>
      <c r="T828" s="18" t="s">
        <v>135</v>
      </c>
      <c r="U828" s="18" t="s">
        <v>83</v>
      </c>
      <c r="V828" s="18" t="s">
        <v>95</v>
      </c>
      <c r="W828" s="18" t="s">
        <v>83</v>
      </c>
      <c r="X828" s="18" t="s">
        <v>84</v>
      </c>
      <c r="Y828" s="18" t="s">
        <v>85</v>
      </c>
      <c r="Z828" s="18" t="s">
        <v>86</v>
      </c>
      <c r="AA828" s="18" t="s">
        <v>87</v>
      </c>
      <c r="AB828" s="18" t="s">
        <v>1545</v>
      </c>
      <c r="AC828" s="18" t="s">
        <v>1546</v>
      </c>
      <c r="AD828" s="18" t="s">
        <v>85</v>
      </c>
      <c r="AE828" s="18" t="s">
        <v>90</v>
      </c>
      <c r="AF828" s="18" t="s">
        <v>138</v>
      </c>
      <c r="AG828" s="18" t="s">
        <v>139</v>
      </c>
      <c r="AH828" s="18" t="s">
        <v>93</v>
      </c>
      <c r="AI828" s="18" t="s">
        <v>94</v>
      </c>
      <c r="AJ828" s="19">
        <v>44896</v>
      </c>
      <c r="AK828" s="22" t="s">
        <v>95</v>
      </c>
      <c r="AL828" s="18" t="s">
        <v>95</v>
      </c>
      <c r="AM828" s="18" t="s">
        <v>95</v>
      </c>
      <c r="AN828" s="18" t="s">
        <v>95</v>
      </c>
      <c r="AO828" s="18" t="s">
        <v>95</v>
      </c>
      <c r="AP828" s="18" t="s">
        <v>95</v>
      </c>
      <c r="AQ828" s="18" t="s">
        <v>95</v>
      </c>
      <c r="AR828" s="18" t="s">
        <v>95</v>
      </c>
      <c r="AS828" s="18" t="s">
        <v>83</v>
      </c>
      <c r="AT828" s="18" t="s">
        <v>83</v>
      </c>
      <c r="AU828" s="18" t="s">
        <v>81</v>
      </c>
      <c r="AV828" s="18" t="s">
        <v>95</v>
      </c>
      <c r="AW828" s="18" t="s">
        <v>95</v>
      </c>
      <c r="AX828" s="18"/>
      <c r="AY828" s="18" t="str">
        <f>Pospago[[#This Row],[NUM_TELEFONICO]]&amp;"POSPAGOSI"</f>
        <v>995552954POSPAGOSI</v>
      </c>
      <c r="AZ828" s="18" t="str">
        <f>VLOOKUP(Pospago[[#This Row],[NOM_PLAZA_FINAL]],[1]!Locales[#Data],3,0)</f>
        <v>TIENDA AMERICA</v>
      </c>
      <c r="BA828" s="18" t="str">
        <f>IFERROR(VLOOKUP(Pospago[[#This Row],[USUARIO]],[1]!Personal[#Data],6,0),"EJECUTIVO NO REGISTRADO")</f>
        <v>GRANDA ESPINOZA ANDRES SEBASTIAN</v>
      </c>
      <c r="BB828" s="18" t="str">
        <f>Pospago[[#This Row],[TIPO_MOVIMIENTO]]&amp;" "&amp;Pospago[[#This Row],[FORMA_PAGO_FINAL]]</f>
        <v>ALTAS DOMICILIADO</v>
      </c>
      <c r="BC828" s="18">
        <f>DAY(Pospago[[#This Row],[FECHA_ALTA]])</f>
        <v>1</v>
      </c>
      <c r="BD828" s="18">
        <f>IF(Pospago[[#This Row],[TARIFA_BASICA]]=11.42,1,0)</f>
        <v>0</v>
      </c>
      <c r="BE828" s="18">
        <f>IF(Pospago[[#This Row],[PLANES TELEVENTAS]]="SI",1,0)</f>
        <v>0</v>
      </c>
      <c r="BF828" s="18">
        <f>1</f>
        <v>1</v>
      </c>
      <c r="BG828" s="18">
        <f>IF(OR(Pospago[[#This Row],[TARIFA_BASICA]]=11.42,Pospago[[#This Row],[PLANES TELEVENTAS]]="SI"),1,0)</f>
        <v>0</v>
      </c>
      <c r="BH828" s="18" t="str">
        <f>IF(MID(Pospago[[#This Row],[PlanDesc]],1,4) = "PLAN","POSPAGO",IF(MID(Pospago[[#This Row],[PlanDesc]],1,4)="FULL","FULL MEGAS","PREVIOPAGO"))</f>
        <v>PREVIOPAGO</v>
      </c>
      <c r="BI8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8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8" s="21">
        <f>Pospago[[#This Row],[TARIFA_BASICA]]*1.5</f>
        <v>22.5</v>
      </c>
    </row>
    <row r="829" spans="1:63" x14ac:dyDescent="0.25">
      <c r="A829" s="18" t="s">
        <v>64</v>
      </c>
      <c r="B829" s="18" t="s">
        <v>5246</v>
      </c>
      <c r="C829" s="18" t="s">
        <v>5247</v>
      </c>
      <c r="D829" s="19">
        <v>44902</v>
      </c>
      <c r="E829" s="18" t="s">
        <v>67</v>
      </c>
      <c r="F829" s="18" t="s">
        <v>5248</v>
      </c>
      <c r="G829" s="18" t="s">
        <v>5249</v>
      </c>
      <c r="H829" s="18" t="s">
        <v>70</v>
      </c>
      <c r="I829" s="18" t="s">
        <v>359</v>
      </c>
      <c r="J829" s="18" t="s">
        <v>360</v>
      </c>
      <c r="K829" s="18" t="s">
        <v>132</v>
      </c>
      <c r="L829" s="20" t="s">
        <v>5250</v>
      </c>
      <c r="M829" s="18" t="s">
        <v>75</v>
      </c>
      <c r="N829" s="20" t="s">
        <v>5251</v>
      </c>
      <c r="O829" s="18" t="s">
        <v>77</v>
      </c>
      <c r="P829" s="18" t="s">
        <v>78</v>
      </c>
      <c r="Q829" s="19">
        <v>44914</v>
      </c>
      <c r="R829" s="21">
        <v>14.28</v>
      </c>
      <c r="S829" s="18" t="s">
        <v>79</v>
      </c>
      <c r="T829" s="18" t="s">
        <v>232</v>
      </c>
      <c r="U829" s="18" t="s">
        <v>81</v>
      </c>
      <c r="V829" s="18" t="s">
        <v>1029</v>
      </c>
      <c r="W829" s="18" t="s">
        <v>83</v>
      </c>
      <c r="X829" s="18" t="s">
        <v>215</v>
      </c>
      <c r="Y829" s="18" t="s">
        <v>85</v>
      </c>
      <c r="Z829" s="18" t="s">
        <v>86</v>
      </c>
      <c r="AA829" s="18" t="s">
        <v>87</v>
      </c>
      <c r="AB829" s="18" t="s">
        <v>271</v>
      </c>
      <c r="AC829" s="18" t="s">
        <v>272</v>
      </c>
      <c r="AD829" s="18" t="s">
        <v>85</v>
      </c>
      <c r="AE829" s="18" t="s">
        <v>90</v>
      </c>
      <c r="AF829" s="18" t="s">
        <v>235</v>
      </c>
      <c r="AG829" s="18" t="s">
        <v>139</v>
      </c>
      <c r="AH829" s="18" t="s">
        <v>93</v>
      </c>
      <c r="AI829" s="18" t="s">
        <v>94</v>
      </c>
      <c r="AJ829" s="19">
        <v>44902</v>
      </c>
      <c r="AK829" s="22" t="s">
        <v>95</v>
      </c>
      <c r="AL829" s="18" t="s">
        <v>95</v>
      </c>
      <c r="AM829" s="18" t="s">
        <v>95</v>
      </c>
      <c r="AN829" s="18" t="s">
        <v>95</v>
      </c>
      <c r="AO829" s="18" t="s">
        <v>95</v>
      </c>
      <c r="AP829" s="18" t="s">
        <v>95</v>
      </c>
      <c r="AQ829" s="18" t="s">
        <v>95</v>
      </c>
      <c r="AR829" s="18" t="s">
        <v>95</v>
      </c>
      <c r="AS829" s="18" t="s">
        <v>83</v>
      </c>
      <c r="AT829" s="18" t="s">
        <v>83</v>
      </c>
      <c r="AU829" s="18" t="s">
        <v>83</v>
      </c>
      <c r="AV829" s="18" t="s">
        <v>95</v>
      </c>
      <c r="AW829" s="18" t="s">
        <v>95</v>
      </c>
      <c r="AX829" s="18"/>
      <c r="AY829" s="18" t="str">
        <f>Pospago[[#This Row],[NUM_TELEFONICO]]&amp;"POSPAGOSI"</f>
        <v>995564370POSPAGOSI</v>
      </c>
      <c r="AZ829" s="18" t="str">
        <f>VLOOKUP(Pospago[[#This Row],[NOM_PLAZA_FINAL]],[1]!Locales[#Data],3,0)</f>
        <v>TIENDA CONDADO</v>
      </c>
      <c r="BA829" s="18" t="str">
        <f>IFERROR(VLOOKUP(Pospago[[#This Row],[USUARIO]],[1]!Personal[#Data],6,0),"EJECUTIVO NO REGISTRADO")</f>
        <v>CASTILLO AGUIRRE EDWIN MODESTO</v>
      </c>
      <c r="BB829" s="18" t="str">
        <f>Pospago[[#This Row],[TIPO_MOVIMIENTO]]&amp;" "&amp;Pospago[[#This Row],[FORMA_PAGO_FINAL]]</f>
        <v>ALTAS DOMICILIADO</v>
      </c>
      <c r="BC829" s="18">
        <f>DAY(Pospago[[#This Row],[FECHA_ALTA]])</f>
        <v>7</v>
      </c>
      <c r="BD829" s="18">
        <f>IF(Pospago[[#This Row],[TARIFA_BASICA]]=11.42,1,0)</f>
        <v>0</v>
      </c>
      <c r="BE829" s="18">
        <f>IF(Pospago[[#This Row],[PLANES TELEVENTAS]]="SI",1,0)</f>
        <v>0</v>
      </c>
      <c r="BF829" s="18">
        <f>1</f>
        <v>1</v>
      </c>
      <c r="BG829" s="18">
        <f>IF(OR(Pospago[[#This Row],[TARIFA_BASICA]]=11.42,Pospago[[#This Row],[PLANES TELEVENTAS]]="SI"),1,0)</f>
        <v>0</v>
      </c>
      <c r="BH829" s="18" t="str">
        <f>IF(MID(Pospago[[#This Row],[PlanDesc]],1,4) = "PLAN","POSPAGO",IF(MID(Pospago[[#This Row],[PlanDesc]],1,4)="FULL","FULL MEGAS","PREVIOPAGO"))</f>
        <v>POSPAGO</v>
      </c>
      <c r="BI8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29" s="21">
        <f>Pospago[[#This Row],[TARIFA_BASICA]]*1.5</f>
        <v>21.419999999999998</v>
      </c>
    </row>
    <row r="830" spans="1:63" x14ac:dyDescent="0.25">
      <c r="A830" s="18" t="s">
        <v>64</v>
      </c>
      <c r="B830" s="18" t="s">
        <v>5252</v>
      </c>
      <c r="C830" s="18" t="s">
        <v>5253</v>
      </c>
      <c r="D830" s="19">
        <v>44910</v>
      </c>
      <c r="E830" s="18" t="s">
        <v>67</v>
      </c>
      <c r="F830" s="18" t="s">
        <v>5254</v>
      </c>
      <c r="G830" s="18" t="s">
        <v>5255</v>
      </c>
      <c r="H830" s="18" t="s">
        <v>70</v>
      </c>
      <c r="I830" s="18" t="s">
        <v>160</v>
      </c>
      <c r="J830" s="18" t="s">
        <v>195</v>
      </c>
      <c r="K830" s="18" t="s">
        <v>73</v>
      </c>
      <c r="L830" s="20" t="s">
        <v>5256</v>
      </c>
      <c r="M830" s="18" t="s">
        <v>75</v>
      </c>
      <c r="N830" s="20" t="s">
        <v>5257</v>
      </c>
      <c r="O830" s="18" t="s">
        <v>77</v>
      </c>
      <c r="P830" s="18" t="s">
        <v>78</v>
      </c>
      <c r="Q830" s="19">
        <v>44914</v>
      </c>
      <c r="R830" s="21">
        <v>14.28</v>
      </c>
      <c r="S830" s="18" t="s">
        <v>79</v>
      </c>
      <c r="T830" s="18" t="s">
        <v>232</v>
      </c>
      <c r="U830" s="18" t="s">
        <v>83</v>
      </c>
      <c r="V830" s="18" t="s">
        <v>95</v>
      </c>
      <c r="W830" s="18" t="s">
        <v>83</v>
      </c>
      <c r="X830" s="18" t="s">
        <v>84</v>
      </c>
      <c r="Y830" s="18" t="s">
        <v>85</v>
      </c>
      <c r="Z830" s="18" t="s">
        <v>86</v>
      </c>
      <c r="AA830" s="18" t="s">
        <v>87</v>
      </c>
      <c r="AB830" s="18" t="s">
        <v>412</v>
      </c>
      <c r="AC830" s="18" t="s">
        <v>413</v>
      </c>
      <c r="AD830" s="18" t="s">
        <v>85</v>
      </c>
      <c r="AE830" s="18" t="s">
        <v>90</v>
      </c>
      <c r="AF830" s="18" t="s">
        <v>235</v>
      </c>
      <c r="AG830" s="18" t="s">
        <v>139</v>
      </c>
      <c r="AH830" s="18" t="s">
        <v>93</v>
      </c>
      <c r="AI830" s="18" t="s">
        <v>94</v>
      </c>
      <c r="AJ830" s="19">
        <v>44910</v>
      </c>
      <c r="AK830" s="22" t="s">
        <v>95</v>
      </c>
      <c r="AL830" s="18" t="s">
        <v>95</v>
      </c>
      <c r="AM830" s="18" t="s">
        <v>95</v>
      </c>
      <c r="AN830" s="18" t="s">
        <v>95</v>
      </c>
      <c r="AO830" s="18" t="s">
        <v>95</v>
      </c>
      <c r="AP830" s="18" t="s">
        <v>95</v>
      </c>
      <c r="AQ830" s="18" t="s">
        <v>95</v>
      </c>
      <c r="AR830" s="18" t="s">
        <v>95</v>
      </c>
      <c r="AS830" s="18" t="s">
        <v>83</v>
      </c>
      <c r="AT830" s="18" t="s">
        <v>83</v>
      </c>
      <c r="AU830" s="18" t="s">
        <v>81</v>
      </c>
      <c r="AV830" s="18" t="s">
        <v>95</v>
      </c>
      <c r="AW830" s="18" t="s">
        <v>95</v>
      </c>
      <c r="AX830" s="18"/>
      <c r="AY830" s="18" t="str">
        <f>Pospago[[#This Row],[NUM_TELEFONICO]]&amp;"POSPAGOSI"</f>
        <v>995570981POSPAGOSI</v>
      </c>
      <c r="AZ830" s="18" t="str">
        <f>VLOOKUP(Pospago[[#This Row],[NOM_PLAZA_FINAL]],[1]!Locales[#Data],3,0)</f>
        <v>TIENDA CONDADO</v>
      </c>
      <c r="BA830" s="18" t="str">
        <f>IFERROR(VLOOKUP(Pospago[[#This Row],[USUARIO]],[1]!Personal[#Data],6,0),"EJECUTIVO NO REGISTRADO")</f>
        <v>PADILLA MALDONADO HENRY LEOPOLDO</v>
      </c>
      <c r="BB830" s="18" t="str">
        <f>Pospago[[#This Row],[TIPO_MOVIMIENTO]]&amp;" "&amp;Pospago[[#This Row],[FORMA_PAGO_FINAL]]</f>
        <v>ALTAS DOMICILIADO</v>
      </c>
      <c r="BC830" s="18">
        <f>DAY(Pospago[[#This Row],[FECHA_ALTA]])</f>
        <v>15</v>
      </c>
      <c r="BD830" s="18">
        <f>IF(Pospago[[#This Row],[TARIFA_BASICA]]=11.42,1,0)</f>
        <v>0</v>
      </c>
      <c r="BE830" s="18">
        <f>IF(Pospago[[#This Row],[PLANES TELEVENTAS]]="SI",1,0)</f>
        <v>0</v>
      </c>
      <c r="BF830" s="18">
        <f>1</f>
        <v>1</v>
      </c>
      <c r="BG830" s="18">
        <f>IF(OR(Pospago[[#This Row],[TARIFA_BASICA]]=11.42,Pospago[[#This Row],[PLANES TELEVENTAS]]="SI"),1,0)</f>
        <v>0</v>
      </c>
      <c r="BH830" s="18" t="str">
        <f>IF(MID(Pospago[[#This Row],[PlanDesc]],1,4) = "PLAN","POSPAGO",IF(MID(Pospago[[#This Row],[PlanDesc]],1,4)="FULL","FULL MEGAS","PREVIOPAGO"))</f>
        <v>PREVIOPAGO</v>
      </c>
      <c r="BI8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30" s="21">
        <f>Pospago[[#This Row],[TARIFA_BASICA]]*1.5</f>
        <v>21.419999999999998</v>
      </c>
    </row>
    <row r="831" spans="1:63" x14ac:dyDescent="0.25">
      <c r="A831" s="18" t="s">
        <v>64</v>
      </c>
      <c r="B831" s="18" t="s">
        <v>5258</v>
      </c>
      <c r="C831" s="18" t="s">
        <v>5259</v>
      </c>
      <c r="D831" s="19">
        <v>44910</v>
      </c>
      <c r="E831" s="18" t="s">
        <v>67</v>
      </c>
      <c r="F831" s="18" t="s">
        <v>5260</v>
      </c>
      <c r="G831" s="18" t="s">
        <v>5261</v>
      </c>
      <c r="H831" s="18" t="s">
        <v>70</v>
      </c>
      <c r="I831" s="18" t="s">
        <v>160</v>
      </c>
      <c r="J831" s="18" t="s">
        <v>195</v>
      </c>
      <c r="K831" s="18" t="s">
        <v>132</v>
      </c>
      <c r="L831" s="20" t="s">
        <v>5262</v>
      </c>
      <c r="M831" s="18" t="s">
        <v>75</v>
      </c>
      <c r="N831" s="20" t="s">
        <v>5263</v>
      </c>
      <c r="O831" s="18" t="s">
        <v>77</v>
      </c>
      <c r="P831" s="18" t="s">
        <v>78</v>
      </c>
      <c r="Q831" s="19">
        <v>44914</v>
      </c>
      <c r="R831" s="21">
        <v>14.28</v>
      </c>
      <c r="S831" s="18" t="s">
        <v>79</v>
      </c>
      <c r="T831" s="18" t="s">
        <v>174</v>
      </c>
      <c r="U831" s="18" t="s">
        <v>83</v>
      </c>
      <c r="V831" s="18" t="s">
        <v>95</v>
      </c>
      <c r="W831" s="18" t="s">
        <v>83</v>
      </c>
      <c r="X831" s="18" t="s">
        <v>84</v>
      </c>
      <c r="Y831" s="18" t="s">
        <v>85</v>
      </c>
      <c r="Z831" s="18" t="s">
        <v>86</v>
      </c>
      <c r="AA831" s="18" t="s">
        <v>87</v>
      </c>
      <c r="AB831" s="18" t="s">
        <v>199</v>
      </c>
      <c r="AC831" s="18" t="s">
        <v>200</v>
      </c>
      <c r="AD831" s="18" t="s">
        <v>85</v>
      </c>
      <c r="AE831" s="18" t="s">
        <v>90</v>
      </c>
      <c r="AF831" s="18" t="s">
        <v>177</v>
      </c>
      <c r="AG831" s="18" t="s">
        <v>139</v>
      </c>
      <c r="AH831" s="18" t="s">
        <v>93</v>
      </c>
      <c r="AI831" s="18" t="s">
        <v>94</v>
      </c>
      <c r="AJ831" s="19">
        <v>44910</v>
      </c>
      <c r="AK831" s="22" t="s">
        <v>95</v>
      </c>
      <c r="AL831" s="18" t="s">
        <v>95</v>
      </c>
      <c r="AM831" s="18" t="s">
        <v>95</v>
      </c>
      <c r="AN831" s="18" t="s">
        <v>95</v>
      </c>
      <c r="AO831" s="18" t="s">
        <v>95</v>
      </c>
      <c r="AP831" s="18" t="s">
        <v>95</v>
      </c>
      <c r="AQ831" s="18" t="s">
        <v>95</v>
      </c>
      <c r="AR831" s="18" t="s">
        <v>95</v>
      </c>
      <c r="AS831" s="18" t="s">
        <v>83</v>
      </c>
      <c r="AT831" s="18" t="s">
        <v>83</v>
      </c>
      <c r="AU831" s="18" t="s">
        <v>81</v>
      </c>
      <c r="AV831" s="18" t="s">
        <v>95</v>
      </c>
      <c r="AW831" s="18" t="s">
        <v>95</v>
      </c>
      <c r="AX831" s="18"/>
      <c r="AY831" s="18" t="str">
        <f>Pospago[[#This Row],[NUM_TELEFONICO]]&amp;"POSPAGOSI"</f>
        <v>995574440POSPAGOSI</v>
      </c>
      <c r="AZ831" s="18" t="str">
        <f>VLOOKUP(Pospago[[#This Row],[NOM_PLAZA_FINAL]],[1]!Locales[#Data],3,0)</f>
        <v>TIENDA RECREO</v>
      </c>
      <c r="BA831" s="18" t="str">
        <f>IFERROR(VLOOKUP(Pospago[[#This Row],[USUARIO]],[1]!Personal[#Data],6,0),"EJECUTIVO NO REGISTRADO")</f>
        <v>MEDINA LAPO DAYANNA CAROLINA</v>
      </c>
      <c r="BB831" s="18" t="str">
        <f>Pospago[[#This Row],[TIPO_MOVIMIENTO]]&amp;" "&amp;Pospago[[#This Row],[FORMA_PAGO_FINAL]]</f>
        <v>ALTAS DOMICILIADO</v>
      </c>
      <c r="BC831" s="18">
        <f>DAY(Pospago[[#This Row],[FECHA_ALTA]])</f>
        <v>15</v>
      </c>
      <c r="BD831" s="18">
        <f>IF(Pospago[[#This Row],[TARIFA_BASICA]]=11.42,1,0)</f>
        <v>0</v>
      </c>
      <c r="BE831" s="18">
        <f>IF(Pospago[[#This Row],[PLANES TELEVENTAS]]="SI",1,0)</f>
        <v>0</v>
      </c>
      <c r="BF831" s="18">
        <f>1</f>
        <v>1</v>
      </c>
      <c r="BG831" s="18">
        <f>IF(OR(Pospago[[#This Row],[TARIFA_BASICA]]=11.42,Pospago[[#This Row],[PLANES TELEVENTAS]]="SI"),1,0)</f>
        <v>0</v>
      </c>
      <c r="BH831" s="18" t="str">
        <f>IF(MID(Pospago[[#This Row],[PlanDesc]],1,4) = "PLAN","POSPAGO",IF(MID(Pospago[[#This Row],[PlanDesc]],1,4)="FULL","FULL MEGAS","PREVIOPAGO"))</f>
        <v>PREVIOPAGO</v>
      </c>
      <c r="BI8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31" s="21">
        <f>Pospago[[#This Row],[TARIFA_BASICA]]*1.5</f>
        <v>21.419999999999998</v>
      </c>
    </row>
    <row r="832" spans="1:63" x14ac:dyDescent="0.25">
      <c r="A832" s="18" t="s">
        <v>64</v>
      </c>
      <c r="B832" s="18" t="s">
        <v>5264</v>
      </c>
      <c r="C832" s="18" t="s">
        <v>5265</v>
      </c>
      <c r="D832" s="19">
        <v>44909</v>
      </c>
      <c r="E832" s="18" t="s">
        <v>67</v>
      </c>
      <c r="F832" s="18" t="s">
        <v>5266</v>
      </c>
      <c r="G832" s="18" t="s">
        <v>5267</v>
      </c>
      <c r="H832" s="18" t="s">
        <v>70</v>
      </c>
      <c r="I832" s="18" t="s">
        <v>160</v>
      </c>
      <c r="J832" s="18" t="s">
        <v>195</v>
      </c>
      <c r="K832" s="18" t="s">
        <v>95</v>
      </c>
      <c r="L832" s="20" t="s">
        <v>5268</v>
      </c>
      <c r="M832" s="18" t="s">
        <v>75</v>
      </c>
      <c r="N832" s="20" t="s">
        <v>5269</v>
      </c>
      <c r="O832" s="18" t="s">
        <v>77</v>
      </c>
      <c r="P832" s="18" t="s">
        <v>78</v>
      </c>
      <c r="Q832" s="19">
        <v>44914</v>
      </c>
      <c r="R832" s="21">
        <v>14.28</v>
      </c>
      <c r="S832" s="18" t="s">
        <v>79</v>
      </c>
      <c r="T832" s="18" t="s">
        <v>232</v>
      </c>
      <c r="U832" s="18" t="s">
        <v>83</v>
      </c>
      <c r="V832" s="18" t="s">
        <v>95</v>
      </c>
      <c r="W832" s="18" t="s">
        <v>83</v>
      </c>
      <c r="X832" s="18" t="s">
        <v>84</v>
      </c>
      <c r="Y832" s="18" t="s">
        <v>85</v>
      </c>
      <c r="Z832" s="18" t="s">
        <v>86</v>
      </c>
      <c r="AA832" s="18" t="s">
        <v>87</v>
      </c>
      <c r="AB832" s="18" t="s">
        <v>412</v>
      </c>
      <c r="AC832" s="18" t="s">
        <v>413</v>
      </c>
      <c r="AD832" s="18" t="s">
        <v>85</v>
      </c>
      <c r="AE832" s="18" t="s">
        <v>90</v>
      </c>
      <c r="AF832" s="18" t="s">
        <v>235</v>
      </c>
      <c r="AG832" s="18" t="s">
        <v>139</v>
      </c>
      <c r="AH832" s="18" t="s">
        <v>93</v>
      </c>
      <c r="AI832" s="18" t="s">
        <v>94</v>
      </c>
      <c r="AJ832" s="19">
        <v>44909</v>
      </c>
      <c r="AK832" s="22" t="s">
        <v>95</v>
      </c>
      <c r="AL832" s="18" t="s">
        <v>95</v>
      </c>
      <c r="AM832" s="18" t="s">
        <v>95</v>
      </c>
      <c r="AN832" s="18" t="s">
        <v>95</v>
      </c>
      <c r="AO832" s="18" t="s">
        <v>95</v>
      </c>
      <c r="AP832" s="18" t="s">
        <v>95</v>
      </c>
      <c r="AQ832" s="18" t="s">
        <v>95</v>
      </c>
      <c r="AR832" s="18" t="s">
        <v>95</v>
      </c>
      <c r="AS832" s="18" t="s">
        <v>83</v>
      </c>
      <c r="AT832" s="18" t="s">
        <v>83</v>
      </c>
      <c r="AU832" s="18" t="s">
        <v>81</v>
      </c>
      <c r="AV832" s="18" t="s">
        <v>95</v>
      </c>
      <c r="AW832" s="18" t="s">
        <v>95</v>
      </c>
      <c r="AX832" s="18"/>
      <c r="AY832" s="18" t="str">
        <f>Pospago[[#This Row],[NUM_TELEFONICO]]&amp;"POSPAGOSI"</f>
        <v>995578706POSPAGOSI</v>
      </c>
      <c r="AZ832" s="18" t="str">
        <f>VLOOKUP(Pospago[[#This Row],[NOM_PLAZA_FINAL]],[1]!Locales[#Data],3,0)</f>
        <v>TIENDA CONDADO</v>
      </c>
      <c r="BA832" s="18" t="str">
        <f>IFERROR(VLOOKUP(Pospago[[#This Row],[USUARIO]],[1]!Personal[#Data],6,0),"EJECUTIVO NO REGISTRADO")</f>
        <v>PADILLA MALDONADO HENRY LEOPOLDO</v>
      </c>
      <c r="BB832" s="18" t="str">
        <f>Pospago[[#This Row],[TIPO_MOVIMIENTO]]&amp;" "&amp;Pospago[[#This Row],[FORMA_PAGO_FINAL]]</f>
        <v>ALTAS DOMICILIADO</v>
      </c>
      <c r="BC832" s="18">
        <f>DAY(Pospago[[#This Row],[FECHA_ALTA]])</f>
        <v>14</v>
      </c>
      <c r="BD832" s="18">
        <f>IF(Pospago[[#This Row],[TARIFA_BASICA]]=11.42,1,0)</f>
        <v>0</v>
      </c>
      <c r="BE832" s="18">
        <f>IF(Pospago[[#This Row],[PLANES TELEVENTAS]]="SI",1,0)</f>
        <v>0</v>
      </c>
      <c r="BF832" s="18">
        <f>1</f>
        <v>1</v>
      </c>
      <c r="BG832" s="18">
        <f>IF(OR(Pospago[[#This Row],[TARIFA_BASICA]]=11.42,Pospago[[#This Row],[PLANES TELEVENTAS]]="SI"),1,0)</f>
        <v>0</v>
      </c>
      <c r="BH832" s="18" t="str">
        <f>IF(MID(Pospago[[#This Row],[PlanDesc]],1,4) = "PLAN","POSPAGO",IF(MID(Pospago[[#This Row],[PlanDesc]],1,4)="FULL","FULL MEGAS","PREVIOPAGO"))</f>
        <v>PREVIOPAGO</v>
      </c>
      <c r="BI8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32" s="21">
        <f>Pospago[[#This Row],[TARIFA_BASICA]]*1.5</f>
        <v>21.419999999999998</v>
      </c>
    </row>
    <row r="833" spans="1:63" x14ac:dyDescent="0.25">
      <c r="A833" s="18" t="s">
        <v>64</v>
      </c>
      <c r="B833" s="18" t="s">
        <v>5270</v>
      </c>
      <c r="C833" s="18" t="s">
        <v>5271</v>
      </c>
      <c r="D833" s="19">
        <v>44905</v>
      </c>
      <c r="E833" s="18" t="s">
        <v>67</v>
      </c>
      <c r="F833" s="18" t="s">
        <v>5272</v>
      </c>
      <c r="G833" s="18" t="s">
        <v>5273</v>
      </c>
      <c r="H833" s="18" t="s">
        <v>70</v>
      </c>
      <c r="I833" s="18" t="s">
        <v>130</v>
      </c>
      <c r="J833" s="18" t="s">
        <v>131</v>
      </c>
      <c r="K833" s="18" t="s">
        <v>1727</v>
      </c>
      <c r="L833" s="20" t="s">
        <v>5274</v>
      </c>
      <c r="M833" s="18" t="s">
        <v>75</v>
      </c>
      <c r="N833" s="20" t="s">
        <v>5275</v>
      </c>
      <c r="O833" s="18" t="s">
        <v>77</v>
      </c>
      <c r="P833" s="18" t="s">
        <v>78</v>
      </c>
      <c r="Q833" s="19">
        <v>44914</v>
      </c>
      <c r="R833" s="21">
        <v>15</v>
      </c>
      <c r="S833" s="18" t="s">
        <v>79</v>
      </c>
      <c r="T833" s="18" t="s">
        <v>80</v>
      </c>
      <c r="U833" s="18" t="s">
        <v>83</v>
      </c>
      <c r="V833" s="18" t="s">
        <v>95</v>
      </c>
      <c r="W833" s="18" t="s">
        <v>83</v>
      </c>
      <c r="X833" s="18" t="s">
        <v>84</v>
      </c>
      <c r="Y833" s="18" t="s">
        <v>85</v>
      </c>
      <c r="Z833" s="18" t="s">
        <v>86</v>
      </c>
      <c r="AA833" s="18" t="s">
        <v>87</v>
      </c>
      <c r="AB833" s="18" t="s">
        <v>880</v>
      </c>
      <c r="AC833" s="18" t="s">
        <v>881</v>
      </c>
      <c r="AD833" s="18" t="s">
        <v>85</v>
      </c>
      <c r="AE833" s="18" t="s">
        <v>90</v>
      </c>
      <c r="AF833" s="18" t="s">
        <v>91</v>
      </c>
      <c r="AG833" s="18" t="s">
        <v>92</v>
      </c>
      <c r="AH833" s="18" t="s">
        <v>93</v>
      </c>
      <c r="AI833" s="18" t="s">
        <v>94</v>
      </c>
      <c r="AJ833" s="19">
        <v>44905</v>
      </c>
      <c r="AK833" s="22" t="s">
        <v>95</v>
      </c>
      <c r="AL833" s="18" t="s">
        <v>95</v>
      </c>
      <c r="AM833" s="18" t="s">
        <v>95</v>
      </c>
      <c r="AN833" s="18" t="s">
        <v>95</v>
      </c>
      <c r="AO833" s="18" t="s">
        <v>95</v>
      </c>
      <c r="AP833" s="18" t="s">
        <v>95</v>
      </c>
      <c r="AQ833" s="18" t="s">
        <v>95</v>
      </c>
      <c r="AR833" s="18" t="s">
        <v>95</v>
      </c>
      <c r="AS833" s="18" t="s">
        <v>83</v>
      </c>
      <c r="AT833" s="18" t="s">
        <v>83</v>
      </c>
      <c r="AU833" s="18" t="s">
        <v>81</v>
      </c>
      <c r="AV833" s="18" t="s">
        <v>95</v>
      </c>
      <c r="AW833" s="18" t="s">
        <v>95</v>
      </c>
      <c r="AX833" s="18"/>
      <c r="AY833" s="18" t="str">
        <f>Pospago[[#This Row],[NUM_TELEFONICO]]&amp;"POSPAGOSI"</f>
        <v>995585919POSPAGOSI</v>
      </c>
      <c r="AZ833" s="18" t="str">
        <f>VLOOKUP(Pospago[[#This Row],[NOM_PLAZA_FINAL]],[1]!Locales[#Data],3,0)</f>
        <v>TIENDA CUENCA CENTRO</v>
      </c>
      <c r="BA833" s="18" t="str">
        <f>IFERROR(VLOOKUP(Pospago[[#This Row],[USUARIO]],[1]!Personal[#Data],6,0),"EJECUTIVO NO REGISTRADO")</f>
        <v>LUNA JACHO ANDREA GABRIELA</v>
      </c>
      <c r="BB833" s="18" t="str">
        <f>Pospago[[#This Row],[TIPO_MOVIMIENTO]]&amp;" "&amp;Pospago[[#This Row],[FORMA_PAGO_FINAL]]</f>
        <v>ALTAS DOMICILIADO</v>
      </c>
      <c r="BC833" s="18">
        <f>DAY(Pospago[[#This Row],[FECHA_ALTA]])</f>
        <v>10</v>
      </c>
      <c r="BD833" s="18">
        <f>IF(Pospago[[#This Row],[TARIFA_BASICA]]=11.42,1,0)</f>
        <v>0</v>
      </c>
      <c r="BE833" s="18">
        <f>IF(Pospago[[#This Row],[PLANES TELEVENTAS]]="SI",1,0)</f>
        <v>0</v>
      </c>
      <c r="BF833" s="18">
        <f>1</f>
        <v>1</v>
      </c>
      <c r="BG833" s="18">
        <f>IF(OR(Pospago[[#This Row],[TARIFA_BASICA]]=11.42,Pospago[[#This Row],[PLANES TELEVENTAS]]="SI"),1,0)</f>
        <v>0</v>
      </c>
      <c r="BH833" s="18" t="str">
        <f>IF(MID(Pospago[[#This Row],[PlanDesc]],1,4) = "PLAN","POSPAGO",IF(MID(Pospago[[#This Row],[PlanDesc]],1,4)="FULL","FULL MEGAS","PREVIOPAGO"))</f>
        <v>PREVIOPAGO</v>
      </c>
      <c r="BI8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8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33" s="21">
        <f>Pospago[[#This Row],[TARIFA_BASICA]]*1.5</f>
        <v>22.5</v>
      </c>
    </row>
    <row r="834" spans="1:63" x14ac:dyDescent="0.25">
      <c r="A834" s="18" t="s">
        <v>154</v>
      </c>
      <c r="B834" s="18" t="s">
        <v>5276</v>
      </c>
      <c r="C834" s="18" t="s">
        <v>5277</v>
      </c>
      <c r="D834" s="19">
        <v>44908</v>
      </c>
      <c r="E834" s="18" t="s">
        <v>67</v>
      </c>
      <c r="F834" s="18" t="s">
        <v>5278</v>
      </c>
      <c r="G834" s="18" t="s">
        <v>5279</v>
      </c>
      <c r="H834" s="18" t="s">
        <v>159</v>
      </c>
      <c r="I834" s="18" t="s">
        <v>71</v>
      </c>
      <c r="J834" s="18" t="s">
        <v>258</v>
      </c>
      <c r="K834" s="18" t="s">
        <v>259</v>
      </c>
      <c r="L834" s="20" t="s">
        <v>5280</v>
      </c>
      <c r="M834" s="18" t="s">
        <v>75</v>
      </c>
      <c r="N834" s="20" t="s">
        <v>5281</v>
      </c>
      <c r="O834" s="18" t="s">
        <v>164</v>
      </c>
      <c r="P834" s="18" t="s">
        <v>78</v>
      </c>
      <c r="Q834" s="19">
        <v>44914</v>
      </c>
      <c r="R834" s="21">
        <v>11.42</v>
      </c>
      <c r="S834" s="18" t="s">
        <v>79</v>
      </c>
      <c r="T834" s="18" t="s">
        <v>117</v>
      </c>
      <c r="U834" s="18" t="s">
        <v>83</v>
      </c>
      <c r="V834" s="18" t="s">
        <v>95</v>
      </c>
      <c r="W834" s="18" t="s">
        <v>95</v>
      </c>
      <c r="X834" s="18" t="s">
        <v>84</v>
      </c>
      <c r="Y834" s="18" t="s">
        <v>85</v>
      </c>
      <c r="Z834" s="18" t="s">
        <v>86</v>
      </c>
      <c r="AA834" s="18" t="s">
        <v>87</v>
      </c>
      <c r="AB834" s="18" t="s">
        <v>352</v>
      </c>
      <c r="AC834" s="18" t="s">
        <v>353</v>
      </c>
      <c r="AD834" s="18" t="s">
        <v>85</v>
      </c>
      <c r="AE834" s="18" t="s">
        <v>90</v>
      </c>
      <c r="AF834" s="18" t="s">
        <v>122</v>
      </c>
      <c r="AG834" s="18" t="s">
        <v>92</v>
      </c>
      <c r="AH834" s="18" t="s">
        <v>165</v>
      </c>
      <c r="AI834" s="18" t="s">
        <v>94</v>
      </c>
      <c r="AJ834" s="19">
        <v>44908</v>
      </c>
      <c r="AK834" s="22" t="s">
        <v>95</v>
      </c>
      <c r="AL834" s="18" t="s">
        <v>95</v>
      </c>
      <c r="AM834" s="18" t="s">
        <v>95</v>
      </c>
      <c r="AN834" s="18" t="s">
        <v>95</v>
      </c>
      <c r="AO834" s="18" t="s">
        <v>95</v>
      </c>
      <c r="AP834" s="18" t="s">
        <v>95</v>
      </c>
      <c r="AQ834" s="18" t="s">
        <v>95</v>
      </c>
      <c r="AR834" s="18" t="s">
        <v>95</v>
      </c>
      <c r="AS834" s="18" t="s">
        <v>83</v>
      </c>
      <c r="AT834" s="18" t="s">
        <v>83</v>
      </c>
      <c r="AU834" s="18" t="s">
        <v>81</v>
      </c>
      <c r="AV834" s="18" t="s">
        <v>95</v>
      </c>
      <c r="AW834" s="18" t="s">
        <v>95</v>
      </c>
      <c r="AX834" s="18"/>
      <c r="AY834" s="18" t="str">
        <f>Pospago[[#This Row],[NUM_TELEFONICO]]&amp;"POSPAGOSI"</f>
        <v>995590827POSPAGOSI</v>
      </c>
      <c r="AZ834" s="18" t="str">
        <f>VLOOKUP(Pospago[[#This Row],[NOM_PLAZA_FINAL]],[1]!Locales[#Data],3,0)</f>
        <v>TIENDA MACHALA</v>
      </c>
      <c r="BA834" s="18" t="str">
        <f>IFERROR(VLOOKUP(Pospago[[#This Row],[USUARIO]],[1]!Personal[#Data],6,0),"EJECUTIVO NO REGISTRADO")</f>
        <v>TENORIO MARIA DEL PILAR</v>
      </c>
      <c r="BB834" s="18" t="str">
        <f>Pospago[[#This Row],[TIPO_MOVIMIENTO]]&amp;" "&amp;Pospago[[#This Row],[FORMA_PAGO_FINAL]]</f>
        <v>TRANSFERENCIAS DOMICILIADO</v>
      </c>
      <c r="BC834" s="18">
        <f>DAY(Pospago[[#This Row],[FECHA_ALTA]])</f>
        <v>13</v>
      </c>
      <c r="BD834" s="18">
        <f>IF(Pospago[[#This Row],[TARIFA_BASICA]]=11.42,1,0)</f>
        <v>1</v>
      </c>
      <c r="BE834" s="18">
        <f>IF(Pospago[[#This Row],[PLANES TELEVENTAS]]="SI",1,0)</f>
        <v>0</v>
      </c>
      <c r="BF834" s="18">
        <f>1</f>
        <v>1</v>
      </c>
      <c r="BG834" s="18">
        <f>IF(OR(Pospago[[#This Row],[TARIFA_BASICA]]=11.42,Pospago[[#This Row],[PLANES TELEVENTAS]]="SI"),1,0)</f>
        <v>1</v>
      </c>
      <c r="BH834" s="18" t="str">
        <f>IF(MID(Pospago[[#This Row],[PlanDesc]],1,4) = "PLAN","POSPAGO",IF(MID(Pospago[[#This Row],[PlanDesc]],1,4)="FULL","FULL MEGAS","PREVIOPAGO"))</f>
        <v>PREVIOPAGO</v>
      </c>
      <c r="BI8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4.992</v>
      </c>
      <c r="BJ8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34" s="21">
        <f>Pospago[[#This Row],[TARIFA_BASICA]]*1.5</f>
        <v>17.13</v>
      </c>
    </row>
    <row r="835" spans="1:63" x14ac:dyDescent="0.25">
      <c r="A835" s="18" t="s">
        <v>154</v>
      </c>
      <c r="B835" s="18" t="s">
        <v>5282</v>
      </c>
      <c r="C835" s="18" t="s">
        <v>4142</v>
      </c>
      <c r="D835" s="19">
        <v>44900</v>
      </c>
      <c r="E835" s="18" t="s">
        <v>67</v>
      </c>
      <c r="F835" s="18" t="s">
        <v>4143</v>
      </c>
      <c r="G835" s="18" t="s">
        <v>4144</v>
      </c>
      <c r="H835" s="18" t="s">
        <v>159</v>
      </c>
      <c r="I835" s="18" t="s">
        <v>1357</v>
      </c>
      <c r="J835" s="18" t="s">
        <v>2022</v>
      </c>
      <c r="K835" s="18" t="s">
        <v>73</v>
      </c>
      <c r="L835" s="20" t="s">
        <v>5283</v>
      </c>
      <c r="M835" s="18" t="s">
        <v>75</v>
      </c>
      <c r="N835" s="20" t="s">
        <v>5284</v>
      </c>
      <c r="O835" s="18" t="s">
        <v>164</v>
      </c>
      <c r="P835" s="18" t="s">
        <v>78</v>
      </c>
      <c r="Q835" s="19">
        <v>44914</v>
      </c>
      <c r="R835" s="21">
        <v>11.42</v>
      </c>
      <c r="S835" s="18" t="s">
        <v>79</v>
      </c>
      <c r="T835" s="18" t="s">
        <v>80</v>
      </c>
      <c r="U835" s="18" t="s">
        <v>83</v>
      </c>
      <c r="V835" s="18" t="s">
        <v>95</v>
      </c>
      <c r="W835" s="18" t="s">
        <v>95</v>
      </c>
      <c r="X835" s="18" t="s">
        <v>84</v>
      </c>
      <c r="Y835" s="18" t="s">
        <v>85</v>
      </c>
      <c r="Z835" s="18" t="s">
        <v>86</v>
      </c>
      <c r="AA835" s="18" t="s">
        <v>87</v>
      </c>
      <c r="AB835" s="18" t="s">
        <v>880</v>
      </c>
      <c r="AC835" s="18" t="s">
        <v>881</v>
      </c>
      <c r="AD835" s="18" t="s">
        <v>85</v>
      </c>
      <c r="AE835" s="18" t="s">
        <v>90</v>
      </c>
      <c r="AF835" s="18" t="s">
        <v>91</v>
      </c>
      <c r="AG835" s="18" t="s">
        <v>92</v>
      </c>
      <c r="AH835" s="18" t="s">
        <v>165</v>
      </c>
      <c r="AI835" s="18" t="s">
        <v>94</v>
      </c>
      <c r="AJ835" s="19">
        <v>44900</v>
      </c>
      <c r="AK835" s="22" t="s">
        <v>95</v>
      </c>
      <c r="AL835" s="18" t="s">
        <v>95</v>
      </c>
      <c r="AM835" s="18" t="s">
        <v>95</v>
      </c>
      <c r="AN835" s="18" t="s">
        <v>95</v>
      </c>
      <c r="AO835" s="18" t="s">
        <v>95</v>
      </c>
      <c r="AP835" s="18" t="s">
        <v>95</v>
      </c>
      <c r="AQ835" s="18" t="s">
        <v>95</v>
      </c>
      <c r="AR835" s="18" t="s">
        <v>95</v>
      </c>
      <c r="AS835" s="18" t="s">
        <v>83</v>
      </c>
      <c r="AT835" s="18" t="s">
        <v>81</v>
      </c>
      <c r="AU835" s="18" t="s">
        <v>81</v>
      </c>
      <c r="AV835" s="18" t="s">
        <v>95</v>
      </c>
      <c r="AW835" s="18" t="s">
        <v>95</v>
      </c>
      <c r="AX835" s="18"/>
      <c r="AY835" s="18" t="str">
        <f>Pospago[[#This Row],[NUM_TELEFONICO]]&amp;"POSPAGOSI"</f>
        <v>995595466POSPAGOSI</v>
      </c>
      <c r="AZ835" s="18" t="str">
        <f>VLOOKUP(Pospago[[#This Row],[NOM_PLAZA_FINAL]],[1]!Locales[#Data],3,0)</f>
        <v>TIENDA CUENCA CENTRO</v>
      </c>
      <c r="BA835" s="18" t="str">
        <f>IFERROR(VLOOKUP(Pospago[[#This Row],[USUARIO]],[1]!Personal[#Data],6,0),"EJECUTIVO NO REGISTRADO")</f>
        <v>LUNA JACHO ANDREA GABRIELA</v>
      </c>
      <c r="BB835" s="18" t="str">
        <f>Pospago[[#This Row],[TIPO_MOVIMIENTO]]&amp;" "&amp;Pospago[[#This Row],[FORMA_PAGO_FINAL]]</f>
        <v>TRANSFERENCIAS DOMICILIADO</v>
      </c>
      <c r="BC835" s="18">
        <f>DAY(Pospago[[#This Row],[FECHA_ALTA]])</f>
        <v>5</v>
      </c>
      <c r="BD835" s="18">
        <f>IF(Pospago[[#This Row],[TARIFA_BASICA]]=11.42,1,0)</f>
        <v>1</v>
      </c>
      <c r="BE835" s="18">
        <f>IF(Pospago[[#This Row],[PLANES TELEVENTAS]]="SI",1,0)</f>
        <v>1</v>
      </c>
      <c r="BF835" s="18">
        <f>1</f>
        <v>1</v>
      </c>
      <c r="BG835" s="18">
        <f>IF(OR(Pospago[[#This Row],[TARIFA_BASICA]]=11.42,Pospago[[#This Row],[PLANES TELEVENTAS]]="SI"),1,0)</f>
        <v>1</v>
      </c>
      <c r="BH835" s="18" t="str">
        <f>IF(MID(Pospago[[#This Row],[PlanDesc]],1,4) = "PLAN","POSPAGO",IF(MID(Pospago[[#This Row],[PlanDesc]],1,4)="FULL","FULL MEGAS","PREVIOPAGO"))</f>
        <v>PREVIOPAGO</v>
      </c>
      <c r="BI8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8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35" s="21">
        <f>Pospago[[#This Row],[TARIFA_BASICA]]*1.5</f>
        <v>17.13</v>
      </c>
    </row>
    <row r="836" spans="1:63" x14ac:dyDescent="0.25">
      <c r="A836" s="18" t="s">
        <v>154</v>
      </c>
      <c r="B836" s="18" t="s">
        <v>5285</v>
      </c>
      <c r="C836" s="18" t="s">
        <v>5286</v>
      </c>
      <c r="D836" s="19">
        <v>44906</v>
      </c>
      <c r="E836" s="18" t="s">
        <v>67</v>
      </c>
      <c r="F836" s="18" t="s">
        <v>5287</v>
      </c>
      <c r="G836" s="18" t="s">
        <v>5288</v>
      </c>
      <c r="H836" s="18" t="s">
        <v>159</v>
      </c>
      <c r="I836" s="18" t="s">
        <v>160</v>
      </c>
      <c r="J836" s="18" t="s">
        <v>161</v>
      </c>
      <c r="K836" s="18" t="s">
        <v>73</v>
      </c>
      <c r="L836" s="20" t="s">
        <v>5289</v>
      </c>
      <c r="M836" s="18" t="s">
        <v>75</v>
      </c>
      <c r="N836" s="20" t="s">
        <v>5290</v>
      </c>
      <c r="O836" s="18" t="s">
        <v>164</v>
      </c>
      <c r="P836" s="18" t="s">
        <v>78</v>
      </c>
      <c r="Q836" s="19">
        <v>44914</v>
      </c>
      <c r="R836" s="21">
        <v>14.28</v>
      </c>
      <c r="S836" s="18" t="s">
        <v>79</v>
      </c>
      <c r="T836" s="18" t="s">
        <v>232</v>
      </c>
      <c r="U836" s="18" t="s">
        <v>83</v>
      </c>
      <c r="V836" s="18" t="s">
        <v>95</v>
      </c>
      <c r="W836" s="18" t="s">
        <v>95</v>
      </c>
      <c r="X836" s="18" t="s">
        <v>84</v>
      </c>
      <c r="Y836" s="18" t="s">
        <v>85</v>
      </c>
      <c r="Z836" s="18" t="s">
        <v>86</v>
      </c>
      <c r="AA836" s="18" t="s">
        <v>87</v>
      </c>
      <c r="AB836" s="18" t="s">
        <v>271</v>
      </c>
      <c r="AC836" s="18" t="s">
        <v>272</v>
      </c>
      <c r="AD836" s="18" t="s">
        <v>85</v>
      </c>
      <c r="AE836" s="18" t="s">
        <v>90</v>
      </c>
      <c r="AF836" s="18" t="s">
        <v>235</v>
      </c>
      <c r="AG836" s="18" t="s">
        <v>139</v>
      </c>
      <c r="AH836" s="18" t="s">
        <v>165</v>
      </c>
      <c r="AI836" s="18" t="s">
        <v>94</v>
      </c>
      <c r="AJ836" s="19">
        <v>44906</v>
      </c>
      <c r="AK836" s="22" t="s">
        <v>95</v>
      </c>
      <c r="AL836" s="18" t="s">
        <v>95</v>
      </c>
      <c r="AM836" s="18" t="s">
        <v>95</v>
      </c>
      <c r="AN836" s="18" t="s">
        <v>95</v>
      </c>
      <c r="AO836" s="18" t="s">
        <v>95</v>
      </c>
      <c r="AP836" s="18" t="s">
        <v>95</v>
      </c>
      <c r="AQ836" s="18" t="s">
        <v>95</v>
      </c>
      <c r="AR836" s="18" t="s">
        <v>95</v>
      </c>
      <c r="AS836" s="18" t="s">
        <v>83</v>
      </c>
      <c r="AT836" s="18" t="s">
        <v>83</v>
      </c>
      <c r="AU836" s="18" t="s">
        <v>81</v>
      </c>
      <c r="AV836" s="18" t="s">
        <v>95</v>
      </c>
      <c r="AW836" s="18" t="s">
        <v>95</v>
      </c>
      <c r="AX836" s="18"/>
      <c r="AY836" s="18" t="str">
        <f>Pospago[[#This Row],[NUM_TELEFONICO]]&amp;"POSPAGOSI"</f>
        <v>995597124POSPAGOSI</v>
      </c>
      <c r="AZ836" s="18" t="str">
        <f>VLOOKUP(Pospago[[#This Row],[NOM_PLAZA_FINAL]],[1]!Locales[#Data],3,0)</f>
        <v>TIENDA CONDADO</v>
      </c>
      <c r="BA836" s="18" t="str">
        <f>IFERROR(VLOOKUP(Pospago[[#This Row],[USUARIO]],[1]!Personal[#Data],6,0),"EJECUTIVO NO REGISTRADO")</f>
        <v>CASTILLO AGUIRRE EDWIN MODESTO</v>
      </c>
      <c r="BB836" s="18" t="str">
        <f>Pospago[[#This Row],[TIPO_MOVIMIENTO]]&amp;" "&amp;Pospago[[#This Row],[FORMA_PAGO_FINAL]]</f>
        <v>TRANSFERENCIAS DOMICILIADO</v>
      </c>
      <c r="BC836" s="18">
        <f>DAY(Pospago[[#This Row],[FECHA_ALTA]])</f>
        <v>11</v>
      </c>
      <c r="BD836" s="18">
        <f>IF(Pospago[[#This Row],[TARIFA_BASICA]]=11.42,1,0)</f>
        <v>0</v>
      </c>
      <c r="BE836" s="18">
        <f>IF(Pospago[[#This Row],[PLANES TELEVENTAS]]="SI",1,0)</f>
        <v>0</v>
      </c>
      <c r="BF836" s="18">
        <f>1</f>
        <v>1</v>
      </c>
      <c r="BG836" s="18">
        <f>IF(OR(Pospago[[#This Row],[TARIFA_BASICA]]=11.42,Pospago[[#This Row],[PLANES TELEVENTAS]]="SI"),1,0)</f>
        <v>0</v>
      </c>
      <c r="BH836" s="18" t="str">
        <f>IF(MID(Pospago[[#This Row],[PlanDesc]],1,4) = "PLAN","POSPAGO",IF(MID(Pospago[[#This Row],[PlanDesc]],1,4)="FULL","FULL MEGAS","PREVIOPAGO"))</f>
        <v>PREVIOPAGO</v>
      </c>
      <c r="BI8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36" s="21">
        <f>Pospago[[#This Row],[TARIFA_BASICA]]*1.5</f>
        <v>21.419999999999998</v>
      </c>
    </row>
    <row r="837" spans="1:63" x14ac:dyDescent="0.25">
      <c r="A837" s="18" t="s">
        <v>154</v>
      </c>
      <c r="B837" s="18" t="s">
        <v>5291</v>
      </c>
      <c r="C837" s="18" t="s">
        <v>5292</v>
      </c>
      <c r="D837" s="19">
        <v>44897</v>
      </c>
      <c r="E837" s="18" t="s">
        <v>67</v>
      </c>
      <c r="F837" s="18" t="s">
        <v>5293</v>
      </c>
      <c r="G837" s="18" t="s">
        <v>5294</v>
      </c>
      <c r="H837" s="18" t="s">
        <v>159</v>
      </c>
      <c r="I837" s="18" t="s">
        <v>160</v>
      </c>
      <c r="J837" s="18" t="s">
        <v>161</v>
      </c>
      <c r="K837" s="18" t="s">
        <v>132</v>
      </c>
      <c r="L837" s="20" t="s">
        <v>5295</v>
      </c>
      <c r="M837" s="18" t="s">
        <v>287</v>
      </c>
      <c r="N837" s="20" t="s">
        <v>5296</v>
      </c>
      <c r="O837" s="18" t="s">
        <v>164</v>
      </c>
      <c r="P837" s="18" t="s">
        <v>78</v>
      </c>
      <c r="Q837" s="19">
        <v>44914</v>
      </c>
      <c r="R837" s="21">
        <v>14.28</v>
      </c>
      <c r="S837" s="18" t="s">
        <v>79</v>
      </c>
      <c r="T837" s="18" t="s">
        <v>174</v>
      </c>
      <c r="U837" s="18" t="s">
        <v>83</v>
      </c>
      <c r="V837" s="18" t="s">
        <v>95</v>
      </c>
      <c r="W837" s="18" t="s">
        <v>95</v>
      </c>
      <c r="X837" s="18" t="s">
        <v>84</v>
      </c>
      <c r="Y837" s="18" t="s">
        <v>85</v>
      </c>
      <c r="Z837" s="18" t="s">
        <v>86</v>
      </c>
      <c r="AA837" s="18" t="s">
        <v>87</v>
      </c>
      <c r="AB837" s="18" t="s">
        <v>262</v>
      </c>
      <c r="AC837" s="18" t="s">
        <v>263</v>
      </c>
      <c r="AD837" s="18" t="s">
        <v>85</v>
      </c>
      <c r="AE837" s="18" t="s">
        <v>90</v>
      </c>
      <c r="AF837" s="18" t="s">
        <v>177</v>
      </c>
      <c r="AG837" s="18" t="s">
        <v>139</v>
      </c>
      <c r="AH837" s="18" t="s">
        <v>165</v>
      </c>
      <c r="AI837" s="18" t="s">
        <v>94</v>
      </c>
      <c r="AJ837" s="19">
        <v>44897</v>
      </c>
      <c r="AK837" s="22" t="s">
        <v>95</v>
      </c>
      <c r="AL837" s="18" t="s">
        <v>95</v>
      </c>
      <c r="AM837" s="18" t="s">
        <v>95</v>
      </c>
      <c r="AN837" s="18" t="s">
        <v>95</v>
      </c>
      <c r="AO837" s="18" t="s">
        <v>95</v>
      </c>
      <c r="AP837" s="18" t="s">
        <v>95</v>
      </c>
      <c r="AQ837" s="18" t="s">
        <v>95</v>
      </c>
      <c r="AR837" s="18" t="s">
        <v>95</v>
      </c>
      <c r="AS837" s="18" t="s">
        <v>83</v>
      </c>
      <c r="AT837" s="18" t="s">
        <v>83</v>
      </c>
      <c r="AU837" s="18" t="s">
        <v>81</v>
      </c>
      <c r="AV837" s="18" t="s">
        <v>95</v>
      </c>
      <c r="AW837" s="18" t="s">
        <v>95</v>
      </c>
      <c r="AX837" s="18"/>
      <c r="AY837" s="18" t="str">
        <f>Pospago[[#This Row],[NUM_TELEFONICO]]&amp;"POSPAGOSI"</f>
        <v>995598012POSPAGOSI</v>
      </c>
      <c r="AZ837" s="18" t="str">
        <f>VLOOKUP(Pospago[[#This Row],[NOM_PLAZA_FINAL]],[1]!Locales[#Data],3,0)</f>
        <v>TIENDA RECREO</v>
      </c>
      <c r="BA837" s="18" t="str">
        <f>IFERROR(VLOOKUP(Pospago[[#This Row],[USUARIO]],[1]!Personal[#Data],6,0),"EJECUTIVO NO REGISTRADO")</f>
        <v>CHICAIZA TOAPANTA ALEX DANILO</v>
      </c>
      <c r="BB837" s="18" t="str">
        <f>Pospago[[#This Row],[TIPO_MOVIMIENTO]]&amp;" "&amp;Pospago[[#This Row],[FORMA_PAGO_FINAL]]</f>
        <v>TRANSFERENCIAS DOMICILIADO</v>
      </c>
      <c r="BC837" s="18">
        <f>DAY(Pospago[[#This Row],[FECHA_ALTA]])</f>
        <v>2</v>
      </c>
      <c r="BD837" s="18">
        <f>IF(Pospago[[#This Row],[TARIFA_BASICA]]=11.42,1,0)</f>
        <v>0</v>
      </c>
      <c r="BE837" s="18">
        <f>IF(Pospago[[#This Row],[PLANES TELEVENTAS]]="SI",1,0)</f>
        <v>0</v>
      </c>
      <c r="BF837" s="18">
        <f>1</f>
        <v>1</v>
      </c>
      <c r="BG837" s="18">
        <f>IF(OR(Pospago[[#This Row],[TARIFA_BASICA]]=11.42,Pospago[[#This Row],[PLANES TELEVENTAS]]="SI"),1,0)</f>
        <v>0</v>
      </c>
      <c r="BH837" s="18" t="str">
        <f>IF(MID(Pospago[[#This Row],[PlanDesc]],1,4) = "PLAN","POSPAGO",IF(MID(Pospago[[#This Row],[PlanDesc]],1,4)="FULL","FULL MEGAS","PREVIOPAGO"))</f>
        <v>PREVIOPAGO</v>
      </c>
      <c r="BI8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37" s="21">
        <f>Pospago[[#This Row],[TARIFA_BASICA]]*1.5</f>
        <v>21.419999999999998</v>
      </c>
    </row>
    <row r="838" spans="1:63" x14ac:dyDescent="0.25">
      <c r="A838" s="18" t="s">
        <v>154</v>
      </c>
      <c r="B838" s="18" t="s">
        <v>5297</v>
      </c>
      <c r="C838" s="18" t="s">
        <v>1354</v>
      </c>
      <c r="D838" s="19">
        <v>44897</v>
      </c>
      <c r="E838" s="18" t="s">
        <v>67</v>
      </c>
      <c r="F838" s="18" t="s">
        <v>1355</v>
      </c>
      <c r="G838" s="18" t="s">
        <v>1356</v>
      </c>
      <c r="H838" s="18" t="s">
        <v>159</v>
      </c>
      <c r="I838" s="18" t="s">
        <v>130</v>
      </c>
      <c r="J838" s="18" t="s">
        <v>433</v>
      </c>
      <c r="K838" s="18" t="s">
        <v>95</v>
      </c>
      <c r="L838" s="20" t="s">
        <v>5298</v>
      </c>
      <c r="M838" s="18" t="s">
        <v>75</v>
      </c>
      <c r="N838" s="20" t="s">
        <v>5299</v>
      </c>
      <c r="O838" s="18" t="s">
        <v>164</v>
      </c>
      <c r="P838" s="18" t="s">
        <v>78</v>
      </c>
      <c r="Q838" s="19">
        <v>44914</v>
      </c>
      <c r="R838" s="21">
        <v>15</v>
      </c>
      <c r="S838" s="18" t="s">
        <v>79</v>
      </c>
      <c r="T838" s="18" t="s">
        <v>232</v>
      </c>
      <c r="U838" s="18" t="s">
        <v>83</v>
      </c>
      <c r="V838" s="18" t="s">
        <v>95</v>
      </c>
      <c r="W838" s="18" t="s">
        <v>95</v>
      </c>
      <c r="X838" s="18" t="s">
        <v>118</v>
      </c>
      <c r="Y838" s="18" t="s">
        <v>85</v>
      </c>
      <c r="Z838" s="18" t="s">
        <v>86</v>
      </c>
      <c r="AA838" s="18" t="s">
        <v>119</v>
      </c>
      <c r="AB838" s="18" t="s">
        <v>233</v>
      </c>
      <c r="AC838" s="18" t="s">
        <v>234</v>
      </c>
      <c r="AD838" s="18" t="s">
        <v>85</v>
      </c>
      <c r="AE838" s="18" t="s">
        <v>90</v>
      </c>
      <c r="AF838" s="18" t="s">
        <v>235</v>
      </c>
      <c r="AG838" s="18" t="s">
        <v>139</v>
      </c>
      <c r="AH838" s="18" t="s">
        <v>165</v>
      </c>
      <c r="AI838" s="18" t="s">
        <v>94</v>
      </c>
      <c r="AJ838" s="19">
        <v>44897</v>
      </c>
      <c r="AK838" s="22" t="s">
        <v>95</v>
      </c>
      <c r="AL838" s="18" t="s">
        <v>95</v>
      </c>
      <c r="AM838" s="18" t="s">
        <v>95</v>
      </c>
      <c r="AN838" s="18" t="s">
        <v>95</v>
      </c>
      <c r="AO838" s="18" t="s">
        <v>95</v>
      </c>
      <c r="AP838" s="18" t="s">
        <v>95</v>
      </c>
      <c r="AQ838" s="18" t="s">
        <v>95</v>
      </c>
      <c r="AR838" s="18" t="s">
        <v>95</v>
      </c>
      <c r="AS838" s="18" t="s">
        <v>83</v>
      </c>
      <c r="AT838" s="18" t="s">
        <v>83</v>
      </c>
      <c r="AU838" s="18" t="s">
        <v>81</v>
      </c>
      <c r="AV838" s="18" t="s">
        <v>95</v>
      </c>
      <c r="AW838" s="18" t="s">
        <v>95</v>
      </c>
      <c r="AX838" s="18"/>
      <c r="AY838" s="18" t="str">
        <f>Pospago[[#This Row],[NUM_TELEFONICO]]&amp;"POSPAGOSI"</f>
        <v>995605181POSPAGOSI</v>
      </c>
      <c r="AZ838" s="18" t="str">
        <f>VLOOKUP(Pospago[[#This Row],[NOM_PLAZA_FINAL]],[1]!Locales[#Data],3,0)</f>
        <v>TIENDA CONDADO</v>
      </c>
      <c r="BA838" s="18" t="str">
        <f>IFERROR(VLOOKUP(Pospago[[#This Row],[USUARIO]],[1]!Personal[#Data],6,0),"EJECUTIVO NO REGISTRADO")</f>
        <v>ROSALES MALDONADO JESSICA GABRIELA</v>
      </c>
      <c r="BB838" s="18" t="str">
        <f>Pospago[[#This Row],[TIPO_MOVIMIENTO]]&amp;" "&amp;Pospago[[#This Row],[FORMA_PAGO_FINAL]]</f>
        <v>TRANSFERENCIAS PAGO EN CAJA</v>
      </c>
      <c r="BC838" s="18">
        <f>DAY(Pospago[[#This Row],[FECHA_ALTA]])</f>
        <v>2</v>
      </c>
      <c r="BD838" s="18">
        <f>IF(Pospago[[#This Row],[TARIFA_BASICA]]=11.42,1,0)</f>
        <v>0</v>
      </c>
      <c r="BE838" s="18">
        <f>IF(Pospago[[#This Row],[PLANES TELEVENTAS]]="SI",1,0)</f>
        <v>0</v>
      </c>
      <c r="BF838" s="18">
        <f>1</f>
        <v>1</v>
      </c>
      <c r="BG838" s="18">
        <f>IF(OR(Pospago[[#This Row],[TARIFA_BASICA]]=11.42,Pospago[[#This Row],[PLANES TELEVENTAS]]="SI"),1,0)</f>
        <v>0</v>
      </c>
      <c r="BH838" s="18" t="str">
        <f>IF(MID(Pospago[[#This Row],[PlanDesc]],1,4) = "PLAN","POSPAGO",IF(MID(Pospago[[#This Row],[PlanDesc]],1,4)="FULL","FULL MEGAS","PREVIOPAGO"))</f>
        <v>PREVIOPAGO</v>
      </c>
      <c r="BI8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8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38" s="21">
        <f>Pospago[[#This Row],[TARIFA_BASICA]]*1.5</f>
        <v>22.5</v>
      </c>
    </row>
    <row r="839" spans="1:63" x14ac:dyDescent="0.25">
      <c r="A839" s="18" t="s">
        <v>64</v>
      </c>
      <c r="B839" s="18" t="s">
        <v>5300</v>
      </c>
      <c r="C839" s="18" t="s">
        <v>5301</v>
      </c>
      <c r="D839" s="19">
        <v>44912</v>
      </c>
      <c r="E839" s="18" t="s">
        <v>67</v>
      </c>
      <c r="F839" s="18" t="s">
        <v>5302</v>
      </c>
      <c r="G839" s="18" t="s">
        <v>5303</v>
      </c>
      <c r="H839" s="18" t="s">
        <v>70</v>
      </c>
      <c r="I839" s="18" t="s">
        <v>227</v>
      </c>
      <c r="J839" s="18" t="s">
        <v>228</v>
      </c>
      <c r="K839" s="18" t="s">
        <v>1727</v>
      </c>
      <c r="L839" s="20" t="s">
        <v>5304</v>
      </c>
      <c r="M839" s="18" t="s">
        <v>75</v>
      </c>
      <c r="N839" s="20" t="s">
        <v>5305</v>
      </c>
      <c r="O839" s="18" t="s">
        <v>77</v>
      </c>
      <c r="P839" s="18" t="s">
        <v>78</v>
      </c>
      <c r="Q839" s="19">
        <v>44914</v>
      </c>
      <c r="R839" s="21">
        <v>21.42</v>
      </c>
      <c r="S839" s="18" t="s">
        <v>79</v>
      </c>
      <c r="T839" s="18" t="s">
        <v>232</v>
      </c>
      <c r="U839" s="18" t="s">
        <v>83</v>
      </c>
      <c r="V839" s="18" t="s">
        <v>95</v>
      </c>
      <c r="W839" s="18" t="s">
        <v>83</v>
      </c>
      <c r="X839" s="18" t="s">
        <v>118</v>
      </c>
      <c r="Y839" s="18" t="s">
        <v>85</v>
      </c>
      <c r="Z839" s="18" t="s">
        <v>86</v>
      </c>
      <c r="AA839" s="18" t="s">
        <v>119</v>
      </c>
      <c r="AB839" s="18" t="s">
        <v>769</v>
      </c>
      <c r="AC839" s="18" t="s">
        <v>770</v>
      </c>
      <c r="AD839" s="18" t="s">
        <v>85</v>
      </c>
      <c r="AE839" s="18" t="s">
        <v>90</v>
      </c>
      <c r="AF839" s="18" t="s">
        <v>235</v>
      </c>
      <c r="AG839" s="18" t="s">
        <v>139</v>
      </c>
      <c r="AH839" s="18" t="s">
        <v>93</v>
      </c>
      <c r="AI839" s="18" t="s">
        <v>94</v>
      </c>
      <c r="AJ839" s="19">
        <v>44912</v>
      </c>
      <c r="AK839" s="22" t="s">
        <v>95</v>
      </c>
      <c r="AL839" s="18" t="s">
        <v>95</v>
      </c>
      <c r="AM839" s="18" t="s">
        <v>95</v>
      </c>
      <c r="AN839" s="18" t="s">
        <v>95</v>
      </c>
      <c r="AO839" s="18" t="s">
        <v>95</v>
      </c>
      <c r="AP839" s="18" t="s">
        <v>95</v>
      </c>
      <c r="AQ839" s="18" t="s">
        <v>95</v>
      </c>
      <c r="AR839" s="18" t="s">
        <v>95</v>
      </c>
      <c r="AS839" s="18" t="s">
        <v>83</v>
      </c>
      <c r="AT839" s="18" t="s">
        <v>83</v>
      </c>
      <c r="AU839" s="18" t="s">
        <v>81</v>
      </c>
      <c r="AV839" s="18" t="s">
        <v>95</v>
      </c>
      <c r="AW839" s="18" t="s">
        <v>95</v>
      </c>
      <c r="AX839" s="18"/>
      <c r="AY839" s="18" t="str">
        <f>Pospago[[#This Row],[NUM_TELEFONICO]]&amp;"POSPAGOSI"</f>
        <v>995612056POSPAGOSI</v>
      </c>
      <c r="AZ839" s="18" t="str">
        <f>VLOOKUP(Pospago[[#This Row],[NOM_PLAZA_FINAL]],[1]!Locales[#Data],3,0)</f>
        <v>TIENDA CONDADO</v>
      </c>
      <c r="BA839" s="18" t="str">
        <f>IFERROR(VLOOKUP(Pospago[[#This Row],[USUARIO]],[1]!Personal[#Data],6,0),"EJECUTIVO NO REGISTRADO")</f>
        <v>ROJAS VEGA JHOSMERY MICHELE</v>
      </c>
      <c r="BB839" s="18" t="str">
        <f>Pospago[[#This Row],[TIPO_MOVIMIENTO]]&amp;" "&amp;Pospago[[#This Row],[FORMA_PAGO_FINAL]]</f>
        <v>ALTAS PAGO EN CAJA</v>
      </c>
      <c r="BC839" s="18">
        <f>DAY(Pospago[[#This Row],[FECHA_ALTA]])</f>
        <v>17</v>
      </c>
      <c r="BD839" s="18">
        <f>IF(Pospago[[#This Row],[TARIFA_BASICA]]=11.42,1,0)</f>
        <v>0</v>
      </c>
      <c r="BE839" s="18">
        <f>IF(Pospago[[#This Row],[PLANES TELEVENTAS]]="SI",1,0)</f>
        <v>0</v>
      </c>
      <c r="BF839" s="18">
        <f>1</f>
        <v>1</v>
      </c>
      <c r="BG839" s="18">
        <f>IF(OR(Pospago[[#This Row],[TARIFA_BASICA]]=11.42,Pospago[[#This Row],[PLANES TELEVENTAS]]="SI"),1,0)</f>
        <v>0</v>
      </c>
      <c r="BH839" s="18" t="str">
        <f>IF(MID(Pospago[[#This Row],[PlanDesc]],1,4) = "PLAN","POSPAGO",IF(MID(Pospago[[#This Row],[PlanDesc]],1,4)="FULL","FULL MEGAS","PREVIOPAGO"))</f>
        <v>PREVIOPAGO</v>
      </c>
      <c r="BI8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22.5</v>
      </c>
      <c r="BJ8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39" s="21">
        <f>Pospago[[#This Row],[TARIFA_BASICA]]*1.5</f>
        <v>32.130000000000003</v>
      </c>
    </row>
    <row r="840" spans="1:63" x14ac:dyDescent="0.25">
      <c r="A840" s="18" t="s">
        <v>154</v>
      </c>
      <c r="B840" s="18" t="s">
        <v>5306</v>
      </c>
      <c r="C840" s="18" t="s">
        <v>5307</v>
      </c>
      <c r="D840" s="19">
        <v>44900</v>
      </c>
      <c r="E840" s="18" t="s">
        <v>67</v>
      </c>
      <c r="F840" s="18" t="s">
        <v>5308</v>
      </c>
      <c r="G840" s="18" t="s">
        <v>5309</v>
      </c>
      <c r="H840" s="18" t="s">
        <v>159</v>
      </c>
      <c r="I840" s="18" t="s">
        <v>160</v>
      </c>
      <c r="J840" s="18" t="s">
        <v>161</v>
      </c>
      <c r="K840" s="18" t="s">
        <v>114</v>
      </c>
      <c r="L840" s="20" t="s">
        <v>5310</v>
      </c>
      <c r="M840" s="18" t="s">
        <v>75</v>
      </c>
      <c r="N840" s="20" t="s">
        <v>5311</v>
      </c>
      <c r="O840" s="18" t="s">
        <v>164</v>
      </c>
      <c r="P840" s="18" t="s">
        <v>78</v>
      </c>
      <c r="Q840" s="19">
        <v>44914</v>
      </c>
      <c r="R840" s="21">
        <v>14.28</v>
      </c>
      <c r="S840" s="18" t="s">
        <v>79</v>
      </c>
      <c r="T840" s="18" t="s">
        <v>117</v>
      </c>
      <c r="U840" s="18" t="s">
        <v>83</v>
      </c>
      <c r="V840" s="18" t="s">
        <v>95</v>
      </c>
      <c r="W840" s="18" t="s">
        <v>95</v>
      </c>
      <c r="X840" s="18" t="s">
        <v>84</v>
      </c>
      <c r="Y840" s="18" t="s">
        <v>85</v>
      </c>
      <c r="Z840" s="18" t="s">
        <v>86</v>
      </c>
      <c r="AA840" s="18" t="s">
        <v>87</v>
      </c>
      <c r="AB840" s="18" t="s">
        <v>120</v>
      </c>
      <c r="AC840" s="18" t="s">
        <v>121</v>
      </c>
      <c r="AD840" s="18" t="s">
        <v>85</v>
      </c>
      <c r="AE840" s="18" t="s">
        <v>90</v>
      </c>
      <c r="AF840" s="18" t="s">
        <v>122</v>
      </c>
      <c r="AG840" s="18" t="s">
        <v>92</v>
      </c>
      <c r="AH840" s="18" t="s">
        <v>165</v>
      </c>
      <c r="AI840" s="18" t="s">
        <v>94</v>
      </c>
      <c r="AJ840" s="19">
        <v>44900</v>
      </c>
      <c r="AK840" s="22" t="s">
        <v>95</v>
      </c>
      <c r="AL840" s="18" t="s">
        <v>95</v>
      </c>
      <c r="AM840" s="18" t="s">
        <v>95</v>
      </c>
      <c r="AN840" s="18" t="s">
        <v>95</v>
      </c>
      <c r="AO840" s="18" t="s">
        <v>95</v>
      </c>
      <c r="AP840" s="18" t="s">
        <v>95</v>
      </c>
      <c r="AQ840" s="18" t="s">
        <v>95</v>
      </c>
      <c r="AR840" s="18" t="s">
        <v>95</v>
      </c>
      <c r="AS840" s="18" t="s">
        <v>83</v>
      </c>
      <c r="AT840" s="18" t="s">
        <v>83</v>
      </c>
      <c r="AU840" s="18" t="s">
        <v>81</v>
      </c>
      <c r="AV840" s="18" t="s">
        <v>95</v>
      </c>
      <c r="AW840" s="18" t="s">
        <v>95</v>
      </c>
      <c r="AX840" s="18"/>
      <c r="AY840" s="18" t="str">
        <f>Pospago[[#This Row],[NUM_TELEFONICO]]&amp;"POSPAGOSI"</f>
        <v>995616877POSPAGOSI</v>
      </c>
      <c r="AZ840" s="18" t="str">
        <f>VLOOKUP(Pospago[[#This Row],[NOM_PLAZA_FINAL]],[1]!Locales[#Data],3,0)</f>
        <v>TIENDA MACHALA</v>
      </c>
      <c r="BA840" s="18" t="str">
        <f>IFERROR(VLOOKUP(Pospago[[#This Row],[USUARIO]],[1]!Personal[#Data],6,0),"EJECUTIVO NO REGISTRADO")</f>
        <v>ARROBO VICENTE YADIRA ESPERANZA</v>
      </c>
      <c r="BB840" s="18" t="str">
        <f>Pospago[[#This Row],[TIPO_MOVIMIENTO]]&amp;" "&amp;Pospago[[#This Row],[FORMA_PAGO_FINAL]]</f>
        <v>TRANSFERENCIAS DOMICILIADO</v>
      </c>
      <c r="BC840" s="18">
        <f>DAY(Pospago[[#This Row],[FECHA_ALTA]])</f>
        <v>5</v>
      </c>
      <c r="BD840" s="18">
        <f>IF(Pospago[[#This Row],[TARIFA_BASICA]]=11.42,1,0)</f>
        <v>0</v>
      </c>
      <c r="BE840" s="18">
        <f>IF(Pospago[[#This Row],[PLANES TELEVENTAS]]="SI",1,0)</f>
        <v>0</v>
      </c>
      <c r="BF840" s="18">
        <f>1</f>
        <v>1</v>
      </c>
      <c r="BG840" s="18">
        <f>IF(OR(Pospago[[#This Row],[TARIFA_BASICA]]=11.42,Pospago[[#This Row],[PLANES TELEVENTAS]]="SI"),1,0)</f>
        <v>0</v>
      </c>
      <c r="BH840" s="18" t="str">
        <f>IF(MID(Pospago[[#This Row],[PlanDesc]],1,4) = "PLAN","POSPAGO",IF(MID(Pospago[[#This Row],[PlanDesc]],1,4)="FULL","FULL MEGAS","PREVIOPAGO"))</f>
        <v>PREVIOPAGO</v>
      </c>
      <c r="BI8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7.26</v>
      </c>
      <c r="BJ8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40" s="21">
        <f>Pospago[[#This Row],[TARIFA_BASICA]]*1.5</f>
        <v>21.419999999999998</v>
      </c>
    </row>
    <row r="841" spans="1:63" x14ac:dyDescent="0.25">
      <c r="A841" s="18" t="s">
        <v>154</v>
      </c>
      <c r="B841" s="18" t="s">
        <v>5312</v>
      </c>
      <c r="C841" s="18" t="s">
        <v>5313</v>
      </c>
      <c r="D841" s="19">
        <v>44908</v>
      </c>
      <c r="E841" s="18" t="s">
        <v>67</v>
      </c>
      <c r="F841" s="18" t="s">
        <v>5314</v>
      </c>
      <c r="G841" s="18" t="s">
        <v>5315</v>
      </c>
      <c r="H841" s="18" t="s">
        <v>159</v>
      </c>
      <c r="I841" s="18" t="s">
        <v>160</v>
      </c>
      <c r="J841" s="18" t="s">
        <v>161</v>
      </c>
      <c r="K841" s="18" t="s">
        <v>95</v>
      </c>
      <c r="L841" s="20" t="s">
        <v>5316</v>
      </c>
      <c r="M841" s="18" t="s">
        <v>75</v>
      </c>
      <c r="N841" s="20" t="s">
        <v>5317</v>
      </c>
      <c r="O841" s="18" t="s">
        <v>164</v>
      </c>
      <c r="P841" s="18" t="s">
        <v>78</v>
      </c>
      <c r="Q841" s="19">
        <v>44914</v>
      </c>
      <c r="R841" s="21">
        <v>14.28</v>
      </c>
      <c r="S841" s="18" t="s">
        <v>79</v>
      </c>
      <c r="T841" s="18" t="s">
        <v>148</v>
      </c>
      <c r="U841" s="18" t="s">
        <v>83</v>
      </c>
      <c r="V841" s="18" t="s">
        <v>95</v>
      </c>
      <c r="W841" s="18" t="s">
        <v>95</v>
      </c>
      <c r="X841" s="18" t="s">
        <v>84</v>
      </c>
      <c r="Y841" s="18" t="s">
        <v>85</v>
      </c>
      <c r="Z841" s="18" t="s">
        <v>86</v>
      </c>
      <c r="AA841" s="18" t="s">
        <v>87</v>
      </c>
      <c r="AB841" s="18" t="s">
        <v>420</v>
      </c>
      <c r="AC841" s="18" t="s">
        <v>421</v>
      </c>
      <c r="AD841" s="18" t="s">
        <v>85</v>
      </c>
      <c r="AE841" s="18" t="s">
        <v>90</v>
      </c>
      <c r="AF841" s="18" t="s">
        <v>151</v>
      </c>
      <c r="AG841" s="18" t="s">
        <v>92</v>
      </c>
      <c r="AH841" s="18" t="s">
        <v>165</v>
      </c>
      <c r="AI841" s="18" t="s">
        <v>94</v>
      </c>
      <c r="AJ841" s="19">
        <v>44908</v>
      </c>
      <c r="AK841" s="22" t="s">
        <v>95</v>
      </c>
      <c r="AL841" s="18" t="s">
        <v>95</v>
      </c>
      <c r="AM841" s="18" t="s">
        <v>95</v>
      </c>
      <c r="AN841" s="18" t="s">
        <v>95</v>
      </c>
      <c r="AO841" s="18" t="s">
        <v>95</v>
      </c>
      <c r="AP841" s="18" t="s">
        <v>95</v>
      </c>
      <c r="AQ841" s="18" t="s">
        <v>95</v>
      </c>
      <c r="AR841" s="18" t="s">
        <v>95</v>
      </c>
      <c r="AS841" s="18" t="s">
        <v>83</v>
      </c>
      <c r="AT841" s="18" t="s">
        <v>83</v>
      </c>
      <c r="AU841" s="18" t="s">
        <v>81</v>
      </c>
      <c r="AV841" s="18" t="s">
        <v>95</v>
      </c>
      <c r="AW841" s="18" t="s">
        <v>95</v>
      </c>
      <c r="AX841" s="18"/>
      <c r="AY841" s="18" t="str">
        <f>Pospago[[#This Row],[NUM_TELEFONICO]]&amp;"POSPAGOSI"</f>
        <v>995623830POSPAGOSI</v>
      </c>
      <c r="AZ841" s="18" t="str">
        <f>VLOOKUP(Pospago[[#This Row],[NOM_PLAZA_FINAL]],[1]!Locales[#Data],3,0)</f>
        <v>TIENDA CUENCA REMIGIO</v>
      </c>
      <c r="BA841" s="18" t="str">
        <f>IFERROR(VLOOKUP(Pospago[[#This Row],[USUARIO]],[1]!Personal[#Data],6,0),"EJECUTIVO NO REGISTRADO")</f>
        <v>YEPEZ PALOMEQUE DIANA PATRICIA</v>
      </c>
      <c r="BB841" s="18" t="str">
        <f>Pospago[[#This Row],[TIPO_MOVIMIENTO]]&amp;" "&amp;Pospago[[#This Row],[FORMA_PAGO_FINAL]]</f>
        <v>TRANSFERENCIAS DOMICILIADO</v>
      </c>
      <c r="BC841" s="18">
        <f>DAY(Pospago[[#This Row],[FECHA_ALTA]])</f>
        <v>13</v>
      </c>
      <c r="BD841" s="18">
        <f>IF(Pospago[[#This Row],[TARIFA_BASICA]]=11.42,1,0)</f>
        <v>0</v>
      </c>
      <c r="BE841" s="18">
        <f>IF(Pospago[[#This Row],[PLANES TELEVENTAS]]="SI",1,0)</f>
        <v>0</v>
      </c>
      <c r="BF841" s="18">
        <f>1</f>
        <v>1</v>
      </c>
      <c r="BG841" s="18">
        <f>IF(OR(Pospago[[#This Row],[TARIFA_BASICA]]=11.42,Pospago[[#This Row],[PLANES TELEVENTAS]]="SI"),1,0)</f>
        <v>0</v>
      </c>
      <c r="BH841" s="18" t="str">
        <f>IF(MID(Pospago[[#This Row],[PlanDesc]],1,4) = "PLAN","POSPAGO",IF(MID(Pospago[[#This Row],[PlanDesc]],1,4)="FULL","FULL MEGAS","PREVIOPAGO"))</f>
        <v>PREVIOPAGO</v>
      </c>
      <c r="BI8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41" s="21">
        <f>Pospago[[#This Row],[TARIFA_BASICA]]*1.5</f>
        <v>21.419999999999998</v>
      </c>
    </row>
    <row r="842" spans="1:63" x14ac:dyDescent="0.25">
      <c r="A842" s="18" t="s">
        <v>64</v>
      </c>
      <c r="B842" s="18" t="s">
        <v>5318</v>
      </c>
      <c r="C842" s="18" t="s">
        <v>5319</v>
      </c>
      <c r="D842" s="19">
        <v>44898</v>
      </c>
      <c r="E842" s="18" t="s">
        <v>67</v>
      </c>
      <c r="F842" s="18" t="s">
        <v>5320</v>
      </c>
      <c r="G842" s="18" t="s">
        <v>5321</v>
      </c>
      <c r="H842" s="18" t="s">
        <v>70</v>
      </c>
      <c r="I842" s="18" t="s">
        <v>130</v>
      </c>
      <c r="J842" s="18" t="s">
        <v>131</v>
      </c>
      <c r="K842" s="18" t="s">
        <v>132</v>
      </c>
      <c r="L842" s="20" t="s">
        <v>5322</v>
      </c>
      <c r="M842" s="18" t="s">
        <v>75</v>
      </c>
      <c r="N842" s="20" t="s">
        <v>5323</v>
      </c>
      <c r="O842" s="18" t="s">
        <v>77</v>
      </c>
      <c r="P842" s="18" t="s">
        <v>78</v>
      </c>
      <c r="Q842" s="19">
        <v>44914</v>
      </c>
      <c r="R842" s="21">
        <v>15</v>
      </c>
      <c r="S842" s="18" t="s">
        <v>79</v>
      </c>
      <c r="T842" s="18" t="s">
        <v>232</v>
      </c>
      <c r="U842" s="18" t="s">
        <v>83</v>
      </c>
      <c r="V842" s="18" t="s">
        <v>95</v>
      </c>
      <c r="W842" s="18" t="s">
        <v>83</v>
      </c>
      <c r="X842" s="18" t="s">
        <v>84</v>
      </c>
      <c r="Y842" s="18" t="s">
        <v>85</v>
      </c>
      <c r="Z842" s="18" t="s">
        <v>86</v>
      </c>
      <c r="AA842" s="18" t="s">
        <v>87</v>
      </c>
      <c r="AB842" s="18" t="s">
        <v>769</v>
      </c>
      <c r="AC842" s="18" t="s">
        <v>770</v>
      </c>
      <c r="AD842" s="18" t="s">
        <v>85</v>
      </c>
      <c r="AE842" s="18" t="s">
        <v>90</v>
      </c>
      <c r="AF842" s="18" t="s">
        <v>235</v>
      </c>
      <c r="AG842" s="18" t="s">
        <v>139</v>
      </c>
      <c r="AH842" s="18" t="s">
        <v>93</v>
      </c>
      <c r="AI842" s="18" t="s">
        <v>94</v>
      </c>
      <c r="AJ842" s="19">
        <v>44898</v>
      </c>
      <c r="AK842" s="22" t="s">
        <v>95</v>
      </c>
      <c r="AL842" s="18" t="s">
        <v>95</v>
      </c>
      <c r="AM842" s="18" t="s">
        <v>95</v>
      </c>
      <c r="AN842" s="18" t="s">
        <v>95</v>
      </c>
      <c r="AO842" s="18" t="s">
        <v>95</v>
      </c>
      <c r="AP842" s="18" t="s">
        <v>95</v>
      </c>
      <c r="AQ842" s="18" t="s">
        <v>95</v>
      </c>
      <c r="AR842" s="18" t="s">
        <v>95</v>
      </c>
      <c r="AS842" s="18" t="s">
        <v>83</v>
      </c>
      <c r="AT842" s="18" t="s">
        <v>83</v>
      </c>
      <c r="AU842" s="18" t="s">
        <v>81</v>
      </c>
      <c r="AV842" s="18" t="s">
        <v>95</v>
      </c>
      <c r="AW842" s="18" t="s">
        <v>95</v>
      </c>
      <c r="AX842" s="18"/>
      <c r="AY842" s="18" t="str">
        <f>Pospago[[#This Row],[NUM_TELEFONICO]]&amp;"POSPAGOSI"</f>
        <v>995633493POSPAGOSI</v>
      </c>
      <c r="AZ842" s="18" t="str">
        <f>VLOOKUP(Pospago[[#This Row],[NOM_PLAZA_FINAL]],[1]!Locales[#Data],3,0)</f>
        <v>TIENDA CONDADO</v>
      </c>
      <c r="BA842" s="18" t="str">
        <f>IFERROR(VLOOKUP(Pospago[[#This Row],[USUARIO]],[1]!Personal[#Data],6,0),"EJECUTIVO NO REGISTRADO")</f>
        <v>ROJAS VEGA JHOSMERY MICHELE</v>
      </c>
      <c r="BB842" s="18" t="str">
        <f>Pospago[[#This Row],[TIPO_MOVIMIENTO]]&amp;" "&amp;Pospago[[#This Row],[FORMA_PAGO_FINAL]]</f>
        <v>ALTAS DOMICILIADO</v>
      </c>
      <c r="BC842" s="18">
        <f>DAY(Pospago[[#This Row],[FECHA_ALTA]])</f>
        <v>3</v>
      </c>
      <c r="BD842" s="18">
        <f>IF(Pospago[[#This Row],[TARIFA_BASICA]]=11.42,1,0)</f>
        <v>0</v>
      </c>
      <c r="BE842" s="18">
        <f>IF(Pospago[[#This Row],[PLANES TELEVENTAS]]="SI",1,0)</f>
        <v>0</v>
      </c>
      <c r="BF842" s="18">
        <f>1</f>
        <v>1</v>
      </c>
      <c r="BG842" s="18">
        <f>IF(OR(Pospago[[#This Row],[TARIFA_BASICA]]=11.42,Pospago[[#This Row],[PLANES TELEVENTAS]]="SI"),1,0)</f>
        <v>0</v>
      </c>
      <c r="BH842" s="18" t="str">
        <f>IF(MID(Pospago[[#This Row],[PlanDesc]],1,4) = "PLAN","POSPAGO",IF(MID(Pospago[[#This Row],[PlanDesc]],1,4)="FULL","FULL MEGAS","PREVIOPAGO"))</f>
        <v>PREVIOPAGO</v>
      </c>
      <c r="BI8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8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42" s="21">
        <f>Pospago[[#This Row],[TARIFA_BASICA]]*1.5</f>
        <v>22.5</v>
      </c>
    </row>
    <row r="843" spans="1:63" x14ac:dyDescent="0.25">
      <c r="A843" s="18" t="s">
        <v>64</v>
      </c>
      <c r="B843" s="18" t="s">
        <v>5324</v>
      </c>
      <c r="C843" s="18" t="s">
        <v>5325</v>
      </c>
      <c r="D843" s="19">
        <v>44903</v>
      </c>
      <c r="E843" s="18" t="s">
        <v>67</v>
      </c>
      <c r="F843" s="18" t="s">
        <v>5326</v>
      </c>
      <c r="G843" s="18" t="s">
        <v>5327</v>
      </c>
      <c r="H843" s="18" t="s">
        <v>70</v>
      </c>
      <c r="I843" s="18" t="s">
        <v>160</v>
      </c>
      <c r="J843" s="18" t="s">
        <v>195</v>
      </c>
      <c r="K843" s="18" t="s">
        <v>132</v>
      </c>
      <c r="L843" s="20" t="s">
        <v>5328</v>
      </c>
      <c r="M843" s="18" t="s">
        <v>75</v>
      </c>
      <c r="N843" s="20" t="s">
        <v>5329</v>
      </c>
      <c r="O843" s="18" t="s">
        <v>77</v>
      </c>
      <c r="P843" s="18" t="s">
        <v>78</v>
      </c>
      <c r="Q843" s="19">
        <v>44914</v>
      </c>
      <c r="R843" s="21">
        <v>14.28</v>
      </c>
      <c r="S843" s="18" t="s">
        <v>79</v>
      </c>
      <c r="T843" s="18" t="s">
        <v>174</v>
      </c>
      <c r="U843" s="18" t="s">
        <v>83</v>
      </c>
      <c r="V843" s="18" t="s">
        <v>95</v>
      </c>
      <c r="W843" s="18" t="s">
        <v>83</v>
      </c>
      <c r="X843" s="18" t="s">
        <v>118</v>
      </c>
      <c r="Y843" s="18" t="s">
        <v>85</v>
      </c>
      <c r="Z843" s="18" t="s">
        <v>86</v>
      </c>
      <c r="AA843" s="18" t="s">
        <v>119</v>
      </c>
      <c r="AB843" s="18" t="s">
        <v>262</v>
      </c>
      <c r="AC843" s="18" t="s">
        <v>263</v>
      </c>
      <c r="AD843" s="18" t="s">
        <v>85</v>
      </c>
      <c r="AE843" s="18" t="s">
        <v>90</v>
      </c>
      <c r="AF843" s="18" t="s">
        <v>177</v>
      </c>
      <c r="AG843" s="18" t="s">
        <v>139</v>
      </c>
      <c r="AH843" s="18" t="s">
        <v>93</v>
      </c>
      <c r="AI843" s="18" t="s">
        <v>94</v>
      </c>
      <c r="AJ843" s="19">
        <v>44903</v>
      </c>
      <c r="AK843" s="22" t="s">
        <v>95</v>
      </c>
      <c r="AL843" s="18" t="s">
        <v>95</v>
      </c>
      <c r="AM843" s="18" t="s">
        <v>95</v>
      </c>
      <c r="AN843" s="18" t="s">
        <v>95</v>
      </c>
      <c r="AO843" s="18" t="s">
        <v>95</v>
      </c>
      <c r="AP843" s="18" t="s">
        <v>95</v>
      </c>
      <c r="AQ843" s="18" t="s">
        <v>95</v>
      </c>
      <c r="AR843" s="18" t="s">
        <v>95</v>
      </c>
      <c r="AS843" s="18" t="s">
        <v>83</v>
      </c>
      <c r="AT843" s="18" t="s">
        <v>83</v>
      </c>
      <c r="AU843" s="18" t="s">
        <v>81</v>
      </c>
      <c r="AV843" s="18" t="s">
        <v>95</v>
      </c>
      <c r="AW843" s="18" t="s">
        <v>95</v>
      </c>
      <c r="AX843" s="18"/>
      <c r="AY843" s="18" t="str">
        <f>Pospago[[#This Row],[NUM_TELEFONICO]]&amp;"POSPAGOSI"</f>
        <v>995634373POSPAGOSI</v>
      </c>
      <c r="AZ843" s="18" t="str">
        <f>VLOOKUP(Pospago[[#This Row],[NOM_PLAZA_FINAL]],[1]!Locales[#Data],3,0)</f>
        <v>TIENDA RECREO</v>
      </c>
      <c r="BA843" s="18" t="str">
        <f>IFERROR(VLOOKUP(Pospago[[#This Row],[USUARIO]],[1]!Personal[#Data],6,0),"EJECUTIVO NO REGISTRADO")</f>
        <v>CHICAIZA TOAPANTA ALEX DANILO</v>
      </c>
      <c r="BB843" s="18" t="str">
        <f>Pospago[[#This Row],[TIPO_MOVIMIENTO]]&amp;" "&amp;Pospago[[#This Row],[FORMA_PAGO_FINAL]]</f>
        <v>ALTAS PAGO EN CAJA</v>
      </c>
      <c r="BC843" s="18">
        <f>DAY(Pospago[[#This Row],[FECHA_ALTA]])</f>
        <v>8</v>
      </c>
      <c r="BD843" s="18">
        <f>IF(Pospago[[#This Row],[TARIFA_BASICA]]=11.42,1,0)</f>
        <v>0</v>
      </c>
      <c r="BE843" s="18">
        <f>IF(Pospago[[#This Row],[PLANES TELEVENTAS]]="SI",1,0)</f>
        <v>0</v>
      </c>
      <c r="BF843" s="18">
        <f>1</f>
        <v>1</v>
      </c>
      <c r="BG843" s="18">
        <f>IF(OR(Pospago[[#This Row],[TARIFA_BASICA]]=11.42,Pospago[[#This Row],[PLANES TELEVENTAS]]="SI"),1,0)</f>
        <v>0</v>
      </c>
      <c r="BH843" s="18" t="str">
        <f>IF(MID(Pospago[[#This Row],[PlanDesc]],1,4) = "PLAN","POSPAGO",IF(MID(Pospago[[#This Row],[PlanDesc]],1,4)="FULL","FULL MEGAS","PREVIOPAGO"))</f>
        <v>PREVIOPAGO</v>
      </c>
      <c r="BI8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8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43" s="21">
        <f>Pospago[[#This Row],[TARIFA_BASICA]]*1.5</f>
        <v>21.419999999999998</v>
      </c>
    </row>
    <row r="844" spans="1:63" x14ac:dyDescent="0.25">
      <c r="A844" s="18" t="s">
        <v>154</v>
      </c>
      <c r="B844" s="18" t="s">
        <v>5330</v>
      </c>
      <c r="C844" s="18" t="s">
        <v>5331</v>
      </c>
      <c r="D844" s="19">
        <v>44909</v>
      </c>
      <c r="E844" s="18" t="s">
        <v>67</v>
      </c>
      <c r="F844" s="18" t="s">
        <v>5332</v>
      </c>
      <c r="G844" s="18" t="s">
        <v>5333</v>
      </c>
      <c r="H844" s="18" t="s">
        <v>159</v>
      </c>
      <c r="I844" s="18" t="s">
        <v>130</v>
      </c>
      <c r="J844" s="18" t="s">
        <v>433</v>
      </c>
      <c r="K844" s="18" t="s">
        <v>95</v>
      </c>
      <c r="L844" s="20" t="s">
        <v>5334</v>
      </c>
      <c r="M844" s="18" t="s">
        <v>75</v>
      </c>
      <c r="N844" s="20" t="s">
        <v>5335</v>
      </c>
      <c r="O844" s="18" t="s">
        <v>164</v>
      </c>
      <c r="P844" s="18" t="s">
        <v>78</v>
      </c>
      <c r="Q844" s="19">
        <v>44914</v>
      </c>
      <c r="R844" s="21">
        <v>15</v>
      </c>
      <c r="S844" s="18" t="s">
        <v>79</v>
      </c>
      <c r="T844" s="18" t="s">
        <v>174</v>
      </c>
      <c r="U844" s="18" t="s">
        <v>83</v>
      </c>
      <c r="V844" s="18" t="s">
        <v>95</v>
      </c>
      <c r="W844" s="18" t="s">
        <v>95</v>
      </c>
      <c r="X844" s="18" t="s">
        <v>118</v>
      </c>
      <c r="Y844" s="18" t="s">
        <v>85</v>
      </c>
      <c r="Z844" s="18" t="s">
        <v>86</v>
      </c>
      <c r="AA844" s="18" t="s">
        <v>119</v>
      </c>
      <c r="AB844" s="18" t="s">
        <v>175</v>
      </c>
      <c r="AC844" s="18" t="s">
        <v>176</v>
      </c>
      <c r="AD844" s="18" t="s">
        <v>85</v>
      </c>
      <c r="AE844" s="18" t="s">
        <v>90</v>
      </c>
      <c r="AF844" s="18" t="s">
        <v>177</v>
      </c>
      <c r="AG844" s="18" t="s">
        <v>139</v>
      </c>
      <c r="AH844" s="18" t="s">
        <v>165</v>
      </c>
      <c r="AI844" s="18" t="s">
        <v>94</v>
      </c>
      <c r="AJ844" s="19">
        <v>44909</v>
      </c>
      <c r="AK844" s="22" t="s">
        <v>95</v>
      </c>
      <c r="AL844" s="18" t="s">
        <v>95</v>
      </c>
      <c r="AM844" s="18" t="s">
        <v>95</v>
      </c>
      <c r="AN844" s="18" t="s">
        <v>95</v>
      </c>
      <c r="AO844" s="18" t="s">
        <v>95</v>
      </c>
      <c r="AP844" s="18" t="s">
        <v>95</v>
      </c>
      <c r="AQ844" s="18" t="s">
        <v>95</v>
      </c>
      <c r="AR844" s="18" t="s">
        <v>95</v>
      </c>
      <c r="AS844" s="18" t="s">
        <v>83</v>
      </c>
      <c r="AT844" s="18" t="s">
        <v>83</v>
      </c>
      <c r="AU844" s="18" t="s">
        <v>81</v>
      </c>
      <c r="AV844" s="18" t="s">
        <v>95</v>
      </c>
      <c r="AW844" s="18" t="s">
        <v>95</v>
      </c>
      <c r="AX844" s="18"/>
      <c r="AY844" s="18" t="str">
        <f>Pospago[[#This Row],[NUM_TELEFONICO]]&amp;"POSPAGOSI"</f>
        <v>995641984POSPAGOSI</v>
      </c>
      <c r="AZ844" s="18" t="str">
        <f>VLOOKUP(Pospago[[#This Row],[NOM_PLAZA_FINAL]],[1]!Locales[#Data],3,0)</f>
        <v>TIENDA RECREO</v>
      </c>
      <c r="BA844" s="18" t="str">
        <f>IFERROR(VLOOKUP(Pospago[[#This Row],[USUARIO]],[1]!Personal[#Data],6,0),"EJECUTIVO NO REGISTRADO")</f>
        <v>VARGAS REYES LUIS EDUARDO</v>
      </c>
      <c r="BB844" s="18" t="str">
        <f>Pospago[[#This Row],[TIPO_MOVIMIENTO]]&amp;" "&amp;Pospago[[#This Row],[FORMA_PAGO_FINAL]]</f>
        <v>TRANSFERENCIAS PAGO EN CAJA</v>
      </c>
      <c r="BC844" s="18">
        <f>DAY(Pospago[[#This Row],[FECHA_ALTA]])</f>
        <v>14</v>
      </c>
      <c r="BD844" s="18">
        <f>IF(Pospago[[#This Row],[TARIFA_BASICA]]=11.42,1,0)</f>
        <v>0</v>
      </c>
      <c r="BE844" s="18">
        <f>IF(Pospago[[#This Row],[PLANES TELEVENTAS]]="SI",1,0)</f>
        <v>0</v>
      </c>
      <c r="BF844" s="18">
        <f>1</f>
        <v>1</v>
      </c>
      <c r="BG844" s="18">
        <f>IF(OR(Pospago[[#This Row],[TARIFA_BASICA]]=11.42,Pospago[[#This Row],[PLANES TELEVENTAS]]="SI"),1,0)</f>
        <v>0</v>
      </c>
      <c r="BH844" s="18" t="str">
        <f>IF(MID(Pospago[[#This Row],[PlanDesc]],1,4) = "PLAN","POSPAGO",IF(MID(Pospago[[#This Row],[PlanDesc]],1,4)="FULL","FULL MEGAS","PREVIOPAGO"))</f>
        <v>PREVIOPAGO</v>
      </c>
      <c r="BI8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8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44" s="21">
        <f>Pospago[[#This Row],[TARIFA_BASICA]]*1.5</f>
        <v>22.5</v>
      </c>
    </row>
    <row r="845" spans="1:63" x14ac:dyDescent="0.25">
      <c r="A845" s="18" t="s">
        <v>154</v>
      </c>
      <c r="B845" s="18" t="s">
        <v>5336</v>
      </c>
      <c r="C845" s="18" t="s">
        <v>5337</v>
      </c>
      <c r="D845" s="19">
        <v>44907</v>
      </c>
      <c r="E845" s="18" t="s">
        <v>67</v>
      </c>
      <c r="F845" s="18" t="s">
        <v>5338</v>
      </c>
      <c r="G845" s="18" t="s">
        <v>5339</v>
      </c>
      <c r="H845" s="18" t="s">
        <v>159</v>
      </c>
      <c r="I845" s="18" t="s">
        <v>71</v>
      </c>
      <c r="J845" s="18" t="s">
        <v>258</v>
      </c>
      <c r="K845" s="18" t="s">
        <v>73</v>
      </c>
      <c r="L845" s="20" t="s">
        <v>5340</v>
      </c>
      <c r="M845" s="18" t="s">
        <v>75</v>
      </c>
      <c r="N845" s="20" t="s">
        <v>5341</v>
      </c>
      <c r="O845" s="18" t="s">
        <v>164</v>
      </c>
      <c r="P845" s="18" t="s">
        <v>78</v>
      </c>
      <c r="Q845" s="19">
        <v>44914</v>
      </c>
      <c r="R845" s="21">
        <v>11.42</v>
      </c>
      <c r="S845" s="18" t="s">
        <v>79</v>
      </c>
      <c r="T845" s="18" t="s">
        <v>80</v>
      </c>
      <c r="U845" s="18" t="s">
        <v>83</v>
      </c>
      <c r="V845" s="18" t="s">
        <v>95</v>
      </c>
      <c r="W845" s="18" t="s">
        <v>95</v>
      </c>
      <c r="X845" s="18" t="s">
        <v>215</v>
      </c>
      <c r="Y845" s="18" t="s">
        <v>85</v>
      </c>
      <c r="Z845" s="18" t="s">
        <v>86</v>
      </c>
      <c r="AA845" s="18" t="s">
        <v>87</v>
      </c>
      <c r="AB845" s="18" t="s">
        <v>1415</v>
      </c>
      <c r="AC845" s="18" t="s">
        <v>1416</v>
      </c>
      <c r="AD845" s="18" t="s">
        <v>85</v>
      </c>
      <c r="AE845" s="18" t="s">
        <v>90</v>
      </c>
      <c r="AF845" s="18" t="s">
        <v>91</v>
      </c>
      <c r="AG845" s="18" t="s">
        <v>92</v>
      </c>
      <c r="AH845" s="18" t="s">
        <v>165</v>
      </c>
      <c r="AI845" s="18" t="s">
        <v>94</v>
      </c>
      <c r="AJ845" s="19">
        <v>44907</v>
      </c>
      <c r="AK845" s="22" t="s">
        <v>95</v>
      </c>
      <c r="AL845" s="18" t="s">
        <v>95</v>
      </c>
      <c r="AM845" s="18" t="s">
        <v>95</v>
      </c>
      <c r="AN845" s="18" t="s">
        <v>95</v>
      </c>
      <c r="AO845" s="18" t="s">
        <v>95</v>
      </c>
      <c r="AP845" s="18" t="s">
        <v>95</v>
      </c>
      <c r="AQ845" s="18" t="s">
        <v>95</v>
      </c>
      <c r="AR845" s="18" t="s">
        <v>95</v>
      </c>
      <c r="AS845" s="18" t="s">
        <v>83</v>
      </c>
      <c r="AT845" s="18" t="s">
        <v>83</v>
      </c>
      <c r="AU845" s="18" t="s">
        <v>81</v>
      </c>
      <c r="AV845" s="18" t="s">
        <v>95</v>
      </c>
      <c r="AW845" s="18" t="s">
        <v>95</v>
      </c>
      <c r="AX845" s="18"/>
      <c r="AY845" s="18" t="str">
        <f>Pospago[[#This Row],[NUM_TELEFONICO]]&amp;"POSPAGOSI"</f>
        <v>995641993POSPAGOSI</v>
      </c>
      <c r="AZ845" s="18" t="str">
        <f>VLOOKUP(Pospago[[#This Row],[NOM_PLAZA_FINAL]],[1]!Locales[#Data],3,0)</f>
        <v>TIENDA CUENCA CENTRO</v>
      </c>
      <c r="BA845" s="18" t="str">
        <f>IFERROR(VLOOKUP(Pospago[[#This Row],[USUARIO]],[1]!Personal[#Data],6,0),"EJECUTIVO NO REGISTRADO")</f>
        <v>PATIÑO URGILES DIANA CATALINA</v>
      </c>
      <c r="BB845" s="18" t="str">
        <f>Pospago[[#This Row],[TIPO_MOVIMIENTO]]&amp;" "&amp;Pospago[[#This Row],[FORMA_PAGO_FINAL]]</f>
        <v>TRANSFERENCIAS DOMICILIADO</v>
      </c>
      <c r="BC845" s="18">
        <f>DAY(Pospago[[#This Row],[FECHA_ALTA]])</f>
        <v>12</v>
      </c>
      <c r="BD845" s="18">
        <f>IF(Pospago[[#This Row],[TARIFA_BASICA]]=11.42,1,0)</f>
        <v>1</v>
      </c>
      <c r="BE845" s="18">
        <f>IF(Pospago[[#This Row],[PLANES TELEVENTAS]]="SI",1,0)</f>
        <v>0</v>
      </c>
      <c r="BF845" s="18">
        <f>1</f>
        <v>1</v>
      </c>
      <c r="BG845" s="18">
        <f>IF(OR(Pospago[[#This Row],[TARIFA_BASICA]]=11.42,Pospago[[#This Row],[PLANES TELEVENTAS]]="SI"),1,0)</f>
        <v>1</v>
      </c>
      <c r="BH845" s="18" t="str">
        <f>IF(MID(Pospago[[#This Row],[PlanDesc]],1,4) = "PLAN","POSPAGO",IF(MID(Pospago[[#This Row],[PlanDesc]],1,4)="FULL","FULL MEGAS","PREVIOPAGO"))</f>
        <v>PREVIOPAGO</v>
      </c>
      <c r="BI8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8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45" s="21">
        <f>Pospago[[#This Row],[TARIFA_BASICA]]*1.5</f>
        <v>17.13</v>
      </c>
    </row>
    <row r="846" spans="1:63" x14ac:dyDescent="0.25">
      <c r="A846" s="18" t="s">
        <v>154</v>
      </c>
      <c r="B846" s="18" t="s">
        <v>5342</v>
      </c>
      <c r="C846" s="18" t="s">
        <v>5343</v>
      </c>
      <c r="D846" s="19">
        <v>44898</v>
      </c>
      <c r="E846" s="18" t="s">
        <v>67</v>
      </c>
      <c r="F846" s="18" t="s">
        <v>5344</v>
      </c>
      <c r="G846" s="18" t="s">
        <v>5345</v>
      </c>
      <c r="H846" s="18" t="s">
        <v>159</v>
      </c>
      <c r="I846" s="18" t="s">
        <v>183</v>
      </c>
      <c r="J846" s="18" t="s">
        <v>184</v>
      </c>
      <c r="K846" s="18" t="s">
        <v>114</v>
      </c>
      <c r="L846" s="20" t="s">
        <v>5346</v>
      </c>
      <c r="M846" s="18" t="s">
        <v>75</v>
      </c>
      <c r="N846" s="20" t="s">
        <v>5347</v>
      </c>
      <c r="O846" s="18" t="s">
        <v>1532</v>
      </c>
      <c r="P846" s="18" t="s">
        <v>78</v>
      </c>
      <c r="Q846" s="19">
        <v>44914</v>
      </c>
      <c r="R846" s="21">
        <v>11.42</v>
      </c>
      <c r="S846" s="18" t="s">
        <v>79</v>
      </c>
      <c r="T846" s="18" t="s">
        <v>117</v>
      </c>
      <c r="U846" s="18" t="s">
        <v>83</v>
      </c>
      <c r="V846" s="18" t="s">
        <v>95</v>
      </c>
      <c r="W846" s="18" t="s">
        <v>95</v>
      </c>
      <c r="X846" s="18" t="s">
        <v>84</v>
      </c>
      <c r="Y846" s="18" t="s">
        <v>85</v>
      </c>
      <c r="Z846" s="18" t="s">
        <v>86</v>
      </c>
      <c r="AA846" s="18" t="s">
        <v>87</v>
      </c>
      <c r="AB846" s="18" t="s">
        <v>651</v>
      </c>
      <c r="AC846" s="18" t="s">
        <v>652</v>
      </c>
      <c r="AD846" s="18" t="s">
        <v>85</v>
      </c>
      <c r="AE846" s="18" t="s">
        <v>90</v>
      </c>
      <c r="AF846" s="18" t="s">
        <v>122</v>
      </c>
      <c r="AG846" s="18" t="s">
        <v>92</v>
      </c>
      <c r="AH846" s="18" t="s">
        <v>165</v>
      </c>
      <c r="AI846" s="18" t="s">
        <v>94</v>
      </c>
      <c r="AJ846" s="19">
        <v>44898</v>
      </c>
      <c r="AK846" s="22" t="s">
        <v>95</v>
      </c>
      <c r="AL846" s="18" t="s">
        <v>95</v>
      </c>
      <c r="AM846" s="18" t="s">
        <v>95</v>
      </c>
      <c r="AN846" s="18" t="s">
        <v>95</v>
      </c>
      <c r="AO846" s="18" t="s">
        <v>95</v>
      </c>
      <c r="AP846" s="18" t="s">
        <v>95</v>
      </c>
      <c r="AQ846" s="18" t="s">
        <v>95</v>
      </c>
      <c r="AR846" s="18" t="s">
        <v>95</v>
      </c>
      <c r="AS846" s="18" t="s">
        <v>83</v>
      </c>
      <c r="AT846" s="18" t="s">
        <v>83</v>
      </c>
      <c r="AU846" s="18" t="s">
        <v>83</v>
      </c>
      <c r="AV846" s="18" t="s">
        <v>95</v>
      </c>
      <c r="AW846" s="18" t="s">
        <v>95</v>
      </c>
      <c r="AX846" s="18"/>
      <c r="AY846" s="18" t="str">
        <f>Pospago[[#This Row],[NUM_TELEFONICO]]&amp;"POSPAGOSI"</f>
        <v>995643990POSPAGOSI</v>
      </c>
      <c r="AZ846" s="18" t="str">
        <f>VLOOKUP(Pospago[[#This Row],[NOM_PLAZA_FINAL]],[1]!Locales[#Data],3,0)</f>
        <v>TIENDA MACHALA</v>
      </c>
      <c r="BA846" s="18" t="str">
        <f>IFERROR(VLOOKUP(Pospago[[#This Row],[USUARIO]],[1]!Personal[#Data],6,0),"EJECUTIVO NO REGISTRADO")</f>
        <v>SANCHEZ SARITAMA JOEL LUIS</v>
      </c>
      <c r="BB846" s="18" t="str">
        <f>Pospago[[#This Row],[TIPO_MOVIMIENTO]]&amp;" "&amp;Pospago[[#This Row],[FORMA_PAGO_FINAL]]</f>
        <v>TRANSFERENCIAS DOMICILIADO</v>
      </c>
      <c r="BC846" s="18">
        <f>DAY(Pospago[[#This Row],[FECHA_ALTA]])</f>
        <v>3</v>
      </c>
      <c r="BD846" s="18">
        <f>IF(Pospago[[#This Row],[TARIFA_BASICA]]=11.42,1,0)</f>
        <v>1</v>
      </c>
      <c r="BE846" s="18">
        <f>IF(Pospago[[#This Row],[PLANES TELEVENTAS]]="SI",1,0)</f>
        <v>0</v>
      </c>
      <c r="BF846" s="18">
        <f>1</f>
        <v>1</v>
      </c>
      <c r="BG846" s="18">
        <f>IF(OR(Pospago[[#This Row],[TARIFA_BASICA]]=11.42,Pospago[[#This Row],[PLANES TELEVENTAS]]="SI"),1,0)</f>
        <v>1</v>
      </c>
      <c r="BH846" s="18" t="str">
        <f>IF(MID(Pospago[[#This Row],[PlanDesc]],1,4) = "PLAN","POSPAGO",IF(MID(Pospago[[#This Row],[PlanDesc]],1,4)="FULL","FULL MEGAS","PREVIOPAGO"))</f>
        <v>POSPAGO</v>
      </c>
      <c r="BI8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4.992</v>
      </c>
      <c r="BJ8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46" s="21">
        <f>Pospago[[#This Row],[TARIFA_BASICA]]*1.5</f>
        <v>17.13</v>
      </c>
    </row>
    <row r="847" spans="1:63" x14ac:dyDescent="0.25">
      <c r="A847" s="18" t="s">
        <v>64</v>
      </c>
      <c r="B847" s="18" t="s">
        <v>5348</v>
      </c>
      <c r="C847" s="18" t="s">
        <v>5349</v>
      </c>
      <c r="D847" s="19">
        <v>44910</v>
      </c>
      <c r="E847" s="18" t="s">
        <v>67</v>
      </c>
      <c r="F847" s="18" t="s">
        <v>5350</v>
      </c>
      <c r="G847" s="18" t="s">
        <v>5351</v>
      </c>
      <c r="H847" s="18" t="s">
        <v>70</v>
      </c>
      <c r="I847" s="18" t="s">
        <v>211</v>
      </c>
      <c r="J847" s="18" t="s">
        <v>212</v>
      </c>
      <c r="K847" s="18" t="s">
        <v>132</v>
      </c>
      <c r="L847" s="20" t="s">
        <v>5352</v>
      </c>
      <c r="M847" s="18" t="s">
        <v>75</v>
      </c>
      <c r="N847" s="20" t="s">
        <v>5353</v>
      </c>
      <c r="O847" s="18" t="s">
        <v>77</v>
      </c>
      <c r="P847" s="18" t="s">
        <v>78</v>
      </c>
      <c r="Q847" s="19">
        <v>44914</v>
      </c>
      <c r="R847" s="21">
        <v>25</v>
      </c>
      <c r="S847" s="18" t="s">
        <v>79</v>
      </c>
      <c r="T847" s="18" t="s">
        <v>174</v>
      </c>
      <c r="U847" s="18" t="s">
        <v>83</v>
      </c>
      <c r="V847" s="18" t="s">
        <v>95</v>
      </c>
      <c r="W847" s="18" t="s">
        <v>83</v>
      </c>
      <c r="X847" s="18" t="s">
        <v>84</v>
      </c>
      <c r="Y847" s="18" t="s">
        <v>85</v>
      </c>
      <c r="Z847" s="18" t="s">
        <v>86</v>
      </c>
      <c r="AA847" s="18" t="s">
        <v>87</v>
      </c>
      <c r="AB847" s="18" t="s">
        <v>2159</v>
      </c>
      <c r="AC847" s="18" t="s">
        <v>2160</v>
      </c>
      <c r="AD847" s="18" t="s">
        <v>85</v>
      </c>
      <c r="AE847" s="18" t="s">
        <v>90</v>
      </c>
      <c r="AF847" s="18" t="s">
        <v>177</v>
      </c>
      <c r="AG847" s="18" t="s">
        <v>139</v>
      </c>
      <c r="AH847" s="18" t="s">
        <v>93</v>
      </c>
      <c r="AI847" s="18" t="s">
        <v>94</v>
      </c>
      <c r="AJ847" s="19">
        <v>44910</v>
      </c>
      <c r="AK847" s="22" t="s">
        <v>95</v>
      </c>
      <c r="AL847" s="18" t="s">
        <v>95</v>
      </c>
      <c r="AM847" s="18" t="s">
        <v>95</v>
      </c>
      <c r="AN847" s="18" t="s">
        <v>95</v>
      </c>
      <c r="AO847" s="18" t="s">
        <v>95</v>
      </c>
      <c r="AP847" s="18" t="s">
        <v>95</v>
      </c>
      <c r="AQ847" s="18" t="s">
        <v>95</v>
      </c>
      <c r="AR847" s="18" t="s">
        <v>95</v>
      </c>
      <c r="AS847" s="18" t="s">
        <v>83</v>
      </c>
      <c r="AT847" s="18" t="s">
        <v>95</v>
      </c>
      <c r="AU847" s="18" t="s">
        <v>95</v>
      </c>
      <c r="AV847" s="18" t="s">
        <v>95</v>
      </c>
      <c r="AW847" s="18" t="s">
        <v>95</v>
      </c>
      <c r="AX847" s="18"/>
      <c r="AY847" s="18" t="str">
        <f>Pospago[[#This Row],[NUM_TELEFONICO]]&amp;"POSPAGOSI"</f>
        <v>995646186POSPAGOSI</v>
      </c>
      <c r="AZ847" s="18" t="str">
        <f>VLOOKUP(Pospago[[#This Row],[NOM_PLAZA_FINAL]],[1]!Locales[#Data],3,0)</f>
        <v>TIENDA RECREO</v>
      </c>
      <c r="BA847" s="18" t="str">
        <f>IFERROR(VLOOKUP(Pospago[[#This Row],[USUARIO]],[1]!Personal[#Data],6,0),"EJECUTIVO NO REGISTRADO")</f>
        <v>GUEVARA MAZA CRISTIAN FABIAN</v>
      </c>
      <c r="BB847" s="18" t="str">
        <f>Pospago[[#This Row],[TIPO_MOVIMIENTO]]&amp;" "&amp;Pospago[[#This Row],[FORMA_PAGO_FINAL]]</f>
        <v>ALTAS DOMICILIADO</v>
      </c>
      <c r="BC847" s="18">
        <f>DAY(Pospago[[#This Row],[FECHA_ALTA]])</f>
        <v>15</v>
      </c>
      <c r="BD847" s="18">
        <f>IF(Pospago[[#This Row],[TARIFA_BASICA]]=11.42,1,0)</f>
        <v>0</v>
      </c>
      <c r="BE847" s="18">
        <f>IF(Pospago[[#This Row],[PLANES TELEVENTAS]]="SI",1,0)</f>
        <v>0</v>
      </c>
      <c r="BF847" s="18">
        <f>1</f>
        <v>1</v>
      </c>
      <c r="BG847" s="18">
        <f>IF(OR(Pospago[[#This Row],[TARIFA_BASICA]]=11.42,Pospago[[#This Row],[PLANES TELEVENTAS]]="SI"),1,0)</f>
        <v>0</v>
      </c>
      <c r="BH847" s="18" t="str">
        <f>IF(MID(Pospago[[#This Row],[PlanDesc]],1,4) = "PLAN","POSPAGO",IF(MID(Pospago[[#This Row],[PlanDesc]],1,4)="FULL","FULL MEGAS","PREVIOPAGO"))</f>
        <v>FULL MEGAS</v>
      </c>
      <c r="BI8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8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47" s="21">
        <f>Pospago[[#This Row],[TARIFA_BASICA]]*1.5</f>
        <v>37.5</v>
      </c>
    </row>
    <row r="848" spans="1:63" x14ac:dyDescent="0.25">
      <c r="A848" s="18" t="s">
        <v>64</v>
      </c>
      <c r="B848" s="18" t="s">
        <v>5354</v>
      </c>
      <c r="C848" s="18" t="s">
        <v>5143</v>
      </c>
      <c r="D848" s="19">
        <v>44909</v>
      </c>
      <c r="E848" s="18" t="s">
        <v>67</v>
      </c>
      <c r="F848" s="18" t="s">
        <v>5144</v>
      </c>
      <c r="G848" s="18" t="s">
        <v>5145</v>
      </c>
      <c r="H848" s="18" t="s">
        <v>70</v>
      </c>
      <c r="I848" s="18" t="s">
        <v>112</v>
      </c>
      <c r="J848" s="18" t="s">
        <v>113</v>
      </c>
      <c r="K848" s="18" t="s">
        <v>95</v>
      </c>
      <c r="L848" s="20" t="s">
        <v>5355</v>
      </c>
      <c r="M848" s="18" t="s">
        <v>75</v>
      </c>
      <c r="N848" s="20" t="s">
        <v>5356</v>
      </c>
      <c r="O848" s="18" t="s">
        <v>77</v>
      </c>
      <c r="P848" s="18" t="s">
        <v>78</v>
      </c>
      <c r="Q848" s="19">
        <v>44914</v>
      </c>
      <c r="R848" s="21">
        <v>17.850000000000001</v>
      </c>
      <c r="S848" s="18" t="s">
        <v>79</v>
      </c>
      <c r="T848" s="18" t="s">
        <v>135</v>
      </c>
      <c r="U848" s="18" t="s">
        <v>83</v>
      </c>
      <c r="V848" s="18" t="s">
        <v>95</v>
      </c>
      <c r="W848" s="18" t="s">
        <v>83</v>
      </c>
      <c r="X848" s="18" t="s">
        <v>84</v>
      </c>
      <c r="Y848" s="18" t="s">
        <v>85</v>
      </c>
      <c r="Z848" s="18" t="s">
        <v>86</v>
      </c>
      <c r="AA848" s="18" t="s">
        <v>87</v>
      </c>
      <c r="AB848" s="18" t="s">
        <v>326</v>
      </c>
      <c r="AC848" s="18" t="s">
        <v>327</v>
      </c>
      <c r="AD848" s="18" t="s">
        <v>85</v>
      </c>
      <c r="AE848" s="18" t="s">
        <v>90</v>
      </c>
      <c r="AF848" s="18" t="s">
        <v>138</v>
      </c>
      <c r="AG848" s="18" t="s">
        <v>139</v>
      </c>
      <c r="AH848" s="18" t="s">
        <v>93</v>
      </c>
      <c r="AI848" s="18" t="s">
        <v>94</v>
      </c>
      <c r="AJ848" s="19">
        <v>44909</v>
      </c>
      <c r="AK848" s="22" t="s">
        <v>95</v>
      </c>
      <c r="AL848" s="18" t="s">
        <v>95</v>
      </c>
      <c r="AM848" s="18" t="s">
        <v>95</v>
      </c>
      <c r="AN848" s="18" t="s">
        <v>95</v>
      </c>
      <c r="AO848" s="18" t="s">
        <v>95</v>
      </c>
      <c r="AP848" s="18" t="s">
        <v>95</v>
      </c>
      <c r="AQ848" s="18" t="s">
        <v>95</v>
      </c>
      <c r="AR848" s="18" t="s">
        <v>95</v>
      </c>
      <c r="AS848" s="18" t="s">
        <v>83</v>
      </c>
      <c r="AT848" s="18" t="s">
        <v>83</v>
      </c>
      <c r="AU848" s="18" t="s">
        <v>81</v>
      </c>
      <c r="AV848" s="18" t="s">
        <v>95</v>
      </c>
      <c r="AW848" s="18" t="s">
        <v>95</v>
      </c>
      <c r="AX848" s="18"/>
      <c r="AY848" s="18" t="str">
        <f>Pospago[[#This Row],[NUM_TELEFONICO]]&amp;"POSPAGOSI"</f>
        <v>995648819POSPAGOSI</v>
      </c>
      <c r="AZ848" s="18" t="str">
        <f>VLOOKUP(Pospago[[#This Row],[NOM_PLAZA_FINAL]],[1]!Locales[#Data],3,0)</f>
        <v>TIENDA AMERICA</v>
      </c>
      <c r="BA848" s="18" t="str">
        <f>IFERROR(VLOOKUP(Pospago[[#This Row],[USUARIO]],[1]!Personal[#Data],6,0),"EJECUTIVO NO REGISTRADO")</f>
        <v>AMBULUDI ROLDAN GIANELLA GRIMANEZA</v>
      </c>
      <c r="BB848" s="18" t="str">
        <f>Pospago[[#This Row],[TIPO_MOVIMIENTO]]&amp;" "&amp;Pospago[[#This Row],[FORMA_PAGO_FINAL]]</f>
        <v>ALTAS DOMICILIADO</v>
      </c>
      <c r="BC848" s="18">
        <f>DAY(Pospago[[#This Row],[FECHA_ALTA]])</f>
        <v>14</v>
      </c>
      <c r="BD848" s="18">
        <f>IF(Pospago[[#This Row],[TARIFA_BASICA]]=11.42,1,0)</f>
        <v>0</v>
      </c>
      <c r="BE848" s="18">
        <f>IF(Pospago[[#This Row],[PLANES TELEVENTAS]]="SI",1,0)</f>
        <v>0</v>
      </c>
      <c r="BF848" s="18">
        <f>1</f>
        <v>1</v>
      </c>
      <c r="BG848" s="18">
        <f>IF(OR(Pospago[[#This Row],[TARIFA_BASICA]]=11.42,Pospago[[#This Row],[PLANES TELEVENTAS]]="SI"),1,0)</f>
        <v>0</v>
      </c>
      <c r="BH848" s="18" t="str">
        <f>IF(MID(Pospago[[#This Row],[PlanDesc]],1,4) = "PLAN","POSPAGO",IF(MID(Pospago[[#This Row],[PlanDesc]],1,4)="FULL","FULL MEGAS","PREVIOPAGO"))</f>
        <v>PREVIOPAGO</v>
      </c>
      <c r="BI8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8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48" s="21">
        <f>Pospago[[#This Row],[TARIFA_BASICA]]*1.5</f>
        <v>26.775000000000002</v>
      </c>
    </row>
    <row r="849" spans="1:63" x14ac:dyDescent="0.25">
      <c r="A849" s="18" t="s">
        <v>154</v>
      </c>
      <c r="B849" s="18" t="s">
        <v>5357</v>
      </c>
      <c r="C849" s="18" t="s">
        <v>5358</v>
      </c>
      <c r="D849" s="19">
        <v>44911</v>
      </c>
      <c r="E849" s="18" t="s">
        <v>67</v>
      </c>
      <c r="F849" s="18" t="s">
        <v>5359</v>
      </c>
      <c r="G849" s="18" t="s">
        <v>5360</v>
      </c>
      <c r="H849" s="18" t="s">
        <v>159</v>
      </c>
      <c r="I849" s="18" t="s">
        <v>359</v>
      </c>
      <c r="J849" s="18" t="s">
        <v>360</v>
      </c>
      <c r="K849" s="18" t="s">
        <v>73</v>
      </c>
      <c r="L849" s="20" t="s">
        <v>5361</v>
      </c>
      <c r="M849" s="18" t="s">
        <v>75</v>
      </c>
      <c r="N849" s="20" t="s">
        <v>5362</v>
      </c>
      <c r="O849" s="18" t="s">
        <v>4453</v>
      </c>
      <c r="P849" s="18" t="s">
        <v>78</v>
      </c>
      <c r="Q849" s="19">
        <v>44914</v>
      </c>
      <c r="R849" s="21">
        <v>14.28</v>
      </c>
      <c r="S849" s="18" t="s">
        <v>79</v>
      </c>
      <c r="T849" s="18" t="s">
        <v>232</v>
      </c>
      <c r="U849" s="18" t="s">
        <v>83</v>
      </c>
      <c r="V849" s="18" t="s">
        <v>95</v>
      </c>
      <c r="W849" s="18" t="s">
        <v>95</v>
      </c>
      <c r="X849" s="18" t="s">
        <v>118</v>
      </c>
      <c r="Y849" s="18" t="s">
        <v>85</v>
      </c>
      <c r="Z849" s="18" t="s">
        <v>86</v>
      </c>
      <c r="AA849" s="18" t="s">
        <v>119</v>
      </c>
      <c r="AB849" s="18" t="s">
        <v>412</v>
      </c>
      <c r="AC849" s="18" t="s">
        <v>413</v>
      </c>
      <c r="AD849" s="18" t="s">
        <v>85</v>
      </c>
      <c r="AE849" s="18" t="s">
        <v>90</v>
      </c>
      <c r="AF849" s="18" t="s">
        <v>235</v>
      </c>
      <c r="AG849" s="18" t="s">
        <v>139</v>
      </c>
      <c r="AH849" s="18" t="s">
        <v>165</v>
      </c>
      <c r="AI849" s="18" t="s">
        <v>94</v>
      </c>
      <c r="AJ849" s="19">
        <v>44911</v>
      </c>
      <c r="AK849" s="22" t="s">
        <v>95</v>
      </c>
      <c r="AL849" s="18" t="s">
        <v>95</v>
      </c>
      <c r="AM849" s="18" t="s">
        <v>95</v>
      </c>
      <c r="AN849" s="18" t="s">
        <v>95</v>
      </c>
      <c r="AO849" s="18" t="s">
        <v>95</v>
      </c>
      <c r="AP849" s="18" t="s">
        <v>95</v>
      </c>
      <c r="AQ849" s="18" t="s">
        <v>95</v>
      </c>
      <c r="AR849" s="18" t="s">
        <v>95</v>
      </c>
      <c r="AS849" s="18" t="s">
        <v>83</v>
      </c>
      <c r="AT849" s="18" t="s">
        <v>83</v>
      </c>
      <c r="AU849" s="18" t="s">
        <v>83</v>
      </c>
      <c r="AV849" s="18" t="s">
        <v>95</v>
      </c>
      <c r="AW849" s="18" t="s">
        <v>95</v>
      </c>
      <c r="AX849" s="18"/>
      <c r="AY849" s="18" t="str">
        <f>Pospago[[#This Row],[NUM_TELEFONICO]]&amp;"POSPAGOSI"</f>
        <v>995660223POSPAGOSI</v>
      </c>
      <c r="AZ849" s="18" t="str">
        <f>VLOOKUP(Pospago[[#This Row],[NOM_PLAZA_FINAL]],[1]!Locales[#Data],3,0)</f>
        <v>TIENDA CONDADO</v>
      </c>
      <c r="BA849" s="18" t="str">
        <f>IFERROR(VLOOKUP(Pospago[[#This Row],[USUARIO]],[1]!Personal[#Data],6,0),"EJECUTIVO NO REGISTRADO")</f>
        <v>PADILLA MALDONADO HENRY LEOPOLDO</v>
      </c>
      <c r="BB849" s="18" t="str">
        <f>Pospago[[#This Row],[TIPO_MOVIMIENTO]]&amp;" "&amp;Pospago[[#This Row],[FORMA_PAGO_FINAL]]</f>
        <v>TRANSFERENCIAS PAGO EN CAJA</v>
      </c>
      <c r="BC849" s="18">
        <f>DAY(Pospago[[#This Row],[FECHA_ALTA]])</f>
        <v>16</v>
      </c>
      <c r="BD849" s="18">
        <f>IF(Pospago[[#This Row],[TARIFA_BASICA]]=11.42,1,0)</f>
        <v>0</v>
      </c>
      <c r="BE849" s="18">
        <f>IF(Pospago[[#This Row],[PLANES TELEVENTAS]]="SI",1,0)</f>
        <v>0</v>
      </c>
      <c r="BF849" s="18">
        <f>1</f>
        <v>1</v>
      </c>
      <c r="BG849" s="18">
        <f>IF(OR(Pospago[[#This Row],[TARIFA_BASICA]]=11.42,Pospago[[#This Row],[PLANES TELEVENTAS]]="SI"),1,0)</f>
        <v>0</v>
      </c>
      <c r="BH849" s="18" t="str">
        <f>IF(MID(Pospago[[#This Row],[PlanDesc]],1,4) = "PLAN","POSPAGO",IF(MID(Pospago[[#This Row],[PlanDesc]],1,4)="FULL","FULL MEGAS","PREVIOPAGO"))</f>
        <v>POSPAGO</v>
      </c>
      <c r="BI8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8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49" s="21">
        <f>Pospago[[#This Row],[TARIFA_BASICA]]*1.5</f>
        <v>21.419999999999998</v>
      </c>
    </row>
    <row r="850" spans="1:63" x14ac:dyDescent="0.25">
      <c r="A850" s="18" t="s">
        <v>154</v>
      </c>
      <c r="B850" s="18" t="s">
        <v>5363</v>
      </c>
      <c r="C850" s="18" t="s">
        <v>5364</v>
      </c>
      <c r="D850" s="19">
        <v>44905</v>
      </c>
      <c r="E850" s="18" t="s">
        <v>67</v>
      </c>
      <c r="F850" s="18" t="s">
        <v>5365</v>
      </c>
      <c r="G850" s="18" t="s">
        <v>5366</v>
      </c>
      <c r="H850" s="18" t="s">
        <v>159</v>
      </c>
      <c r="I850" s="18" t="s">
        <v>160</v>
      </c>
      <c r="J850" s="18" t="s">
        <v>161</v>
      </c>
      <c r="K850" s="18" t="s">
        <v>132</v>
      </c>
      <c r="L850" s="20" t="s">
        <v>5367</v>
      </c>
      <c r="M850" s="18" t="s">
        <v>75</v>
      </c>
      <c r="N850" s="20" t="s">
        <v>5368</v>
      </c>
      <c r="O850" s="18" t="s">
        <v>231</v>
      </c>
      <c r="P850" s="18" t="s">
        <v>78</v>
      </c>
      <c r="Q850" s="19">
        <v>44914</v>
      </c>
      <c r="R850" s="21">
        <v>14.28</v>
      </c>
      <c r="S850" s="18" t="s">
        <v>79</v>
      </c>
      <c r="T850" s="18" t="s">
        <v>174</v>
      </c>
      <c r="U850" s="18" t="s">
        <v>83</v>
      </c>
      <c r="V850" s="18" t="s">
        <v>95</v>
      </c>
      <c r="W850" s="18" t="s">
        <v>95</v>
      </c>
      <c r="X850" s="18" t="s">
        <v>84</v>
      </c>
      <c r="Y850" s="18" t="s">
        <v>85</v>
      </c>
      <c r="Z850" s="18" t="s">
        <v>86</v>
      </c>
      <c r="AA850" s="18" t="s">
        <v>87</v>
      </c>
      <c r="AB850" s="18" t="s">
        <v>303</v>
      </c>
      <c r="AC850" s="18" t="s">
        <v>304</v>
      </c>
      <c r="AD850" s="18" t="s">
        <v>85</v>
      </c>
      <c r="AE850" s="18" t="s">
        <v>90</v>
      </c>
      <c r="AF850" s="18" t="s">
        <v>177</v>
      </c>
      <c r="AG850" s="18" t="s">
        <v>139</v>
      </c>
      <c r="AH850" s="18" t="s">
        <v>165</v>
      </c>
      <c r="AI850" s="18" t="s">
        <v>94</v>
      </c>
      <c r="AJ850" s="19">
        <v>44905</v>
      </c>
      <c r="AK850" s="22" t="s">
        <v>95</v>
      </c>
      <c r="AL850" s="18" t="s">
        <v>95</v>
      </c>
      <c r="AM850" s="18" t="s">
        <v>95</v>
      </c>
      <c r="AN850" s="18" t="s">
        <v>95</v>
      </c>
      <c r="AO850" s="18" t="s">
        <v>95</v>
      </c>
      <c r="AP850" s="18" t="s">
        <v>95</v>
      </c>
      <c r="AQ850" s="18" t="s">
        <v>95</v>
      </c>
      <c r="AR850" s="18" t="s">
        <v>95</v>
      </c>
      <c r="AS850" s="18" t="s">
        <v>83</v>
      </c>
      <c r="AT850" s="18" t="s">
        <v>83</v>
      </c>
      <c r="AU850" s="18" t="s">
        <v>81</v>
      </c>
      <c r="AV850" s="18" t="s">
        <v>95</v>
      </c>
      <c r="AW850" s="18" t="s">
        <v>95</v>
      </c>
      <c r="AX850" s="18"/>
      <c r="AY850" s="18" t="str">
        <f>Pospago[[#This Row],[NUM_TELEFONICO]]&amp;"POSPAGOSI"</f>
        <v>995668219POSPAGOSI</v>
      </c>
      <c r="AZ850" s="18" t="str">
        <f>VLOOKUP(Pospago[[#This Row],[NOM_PLAZA_FINAL]],[1]!Locales[#Data],3,0)</f>
        <v>TIENDA RECREO</v>
      </c>
      <c r="BA850" s="18" t="str">
        <f>IFERROR(VLOOKUP(Pospago[[#This Row],[USUARIO]],[1]!Personal[#Data],6,0),"EJECUTIVO NO REGISTRADO")</f>
        <v>CORDOVA GAIBOR JONATHAN HERNAN</v>
      </c>
      <c r="BB850" s="18" t="str">
        <f>Pospago[[#This Row],[TIPO_MOVIMIENTO]]&amp;" "&amp;Pospago[[#This Row],[FORMA_PAGO_FINAL]]</f>
        <v>TRANSFERENCIAS DOMICILIADO</v>
      </c>
      <c r="BC850" s="18">
        <f>DAY(Pospago[[#This Row],[FECHA_ALTA]])</f>
        <v>10</v>
      </c>
      <c r="BD850" s="18">
        <f>IF(Pospago[[#This Row],[TARIFA_BASICA]]=11.42,1,0)</f>
        <v>0</v>
      </c>
      <c r="BE850" s="18">
        <f>IF(Pospago[[#This Row],[PLANES TELEVENTAS]]="SI",1,0)</f>
        <v>0</v>
      </c>
      <c r="BF850" s="18">
        <f>1</f>
        <v>1</v>
      </c>
      <c r="BG850" s="18">
        <f>IF(OR(Pospago[[#This Row],[TARIFA_BASICA]]=11.42,Pospago[[#This Row],[PLANES TELEVENTAS]]="SI"),1,0)</f>
        <v>0</v>
      </c>
      <c r="BH850" s="18" t="str">
        <f>IF(MID(Pospago[[#This Row],[PlanDesc]],1,4) = "PLAN","POSPAGO",IF(MID(Pospago[[#This Row],[PlanDesc]],1,4)="FULL","FULL MEGAS","PREVIOPAGO"))</f>
        <v>PREVIOPAGO</v>
      </c>
      <c r="BI8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50" s="21">
        <f>Pospago[[#This Row],[TARIFA_BASICA]]*1.5</f>
        <v>21.419999999999998</v>
      </c>
    </row>
    <row r="851" spans="1:63" x14ac:dyDescent="0.25">
      <c r="A851" s="18" t="s">
        <v>64</v>
      </c>
      <c r="B851" s="18" t="s">
        <v>5369</v>
      </c>
      <c r="C851" s="18" t="s">
        <v>5370</v>
      </c>
      <c r="D851" s="19">
        <v>44908</v>
      </c>
      <c r="E851" s="18" t="s">
        <v>67</v>
      </c>
      <c r="F851" s="18" t="s">
        <v>5371</v>
      </c>
      <c r="G851" s="18" t="s">
        <v>5372</v>
      </c>
      <c r="H851" s="18" t="s">
        <v>70</v>
      </c>
      <c r="I851" s="18" t="s">
        <v>160</v>
      </c>
      <c r="J851" s="18" t="s">
        <v>195</v>
      </c>
      <c r="K851" s="18" t="s">
        <v>3648</v>
      </c>
      <c r="L851" s="20" t="s">
        <v>5373</v>
      </c>
      <c r="M851" s="18" t="s">
        <v>75</v>
      </c>
      <c r="N851" s="20" t="s">
        <v>5374</v>
      </c>
      <c r="O851" s="18" t="s">
        <v>77</v>
      </c>
      <c r="P851" s="18" t="s">
        <v>78</v>
      </c>
      <c r="Q851" s="19">
        <v>44914</v>
      </c>
      <c r="R851" s="21">
        <v>14.28</v>
      </c>
      <c r="S851" s="18" t="s">
        <v>79</v>
      </c>
      <c r="T851" s="18" t="s">
        <v>232</v>
      </c>
      <c r="U851" s="18" t="s">
        <v>83</v>
      </c>
      <c r="V851" s="18" t="s">
        <v>95</v>
      </c>
      <c r="W851" s="18" t="s">
        <v>83</v>
      </c>
      <c r="X851" s="18" t="s">
        <v>84</v>
      </c>
      <c r="Y851" s="18" t="s">
        <v>85</v>
      </c>
      <c r="Z851" s="18" t="s">
        <v>86</v>
      </c>
      <c r="AA851" s="18" t="s">
        <v>87</v>
      </c>
      <c r="AB851" s="18" t="s">
        <v>412</v>
      </c>
      <c r="AC851" s="18" t="s">
        <v>413</v>
      </c>
      <c r="AD851" s="18" t="s">
        <v>85</v>
      </c>
      <c r="AE851" s="18" t="s">
        <v>90</v>
      </c>
      <c r="AF851" s="18" t="s">
        <v>235</v>
      </c>
      <c r="AG851" s="18" t="s">
        <v>139</v>
      </c>
      <c r="AH851" s="18" t="s">
        <v>93</v>
      </c>
      <c r="AI851" s="18" t="s">
        <v>94</v>
      </c>
      <c r="AJ851" s="19">
        <v>44908</v>
      </c>
      <c r="AK851" s="22" t="s">
        <v>95</v>
      </c>
      <c r="AL851" s="18" t="s">
        <v>95</v>
      </c>
      <c r="AM851" s="18" t="s">
        <v>95</v>
      </c>
      <c r="AN851" s="18" t="s">
        <v>95</v>
      </c>
      <c r="AO851" s="18" t="s">
        <v>95</v>
      </c>
      <c r="AP851" s="18" t="s">
        <v>95</v>
      </c>
      <c r="AQ851" s="18" t="s">
        <v>95</v>
      </c>
      <c r="AR851" s="18" t="s">
        <v>95</v>
      </c>
      <c r="AS851" s="18" t="s">
        <v>83</v>
      </c>
      <c r="AT851" s="18" t="s">
        <v>83</v>
      </c>
      <c r="AU851" s="18" t="s">
        <v>81</v>
      </c>
      <c r="AV851" s="18" t="s">
        <v>95</v>
      </c>
      <c r="AW851" s="18" t="s">
        <v>95</v>
      </c>
      <c r="AX851" s="18"/>
      <c r="AY851" s="18" t="str">
        <f>Pospago[[#This Row],[NUM_TELEFONICO]]&amp;"POSPAGOSI"</f>
        <v>995669617POSPAGOSI</v>
      </c>
      <c r="AZ851" s="18" t="str">
        <f>VLOOKUP(Pospago[[#This Row],[NOM_PLAZA_FINAL]],[1]!Locales[#Data],3,0)</f>
        <v>TIENDA CONDADO</v>
      </c>
      <c r="BA851" s="18" t="str">
        <f>IFERROR(VLOOKUP(Pospago[[#This Row],[USUARIO]],[1]!Personal[#Data],6,0),"EJECUTIVO NO REGISTRADO")</f>
        <v>PADILLA MALDONADO HENRY LEOPOLDO</v>
      </c>
      <c r="BB851" s="18" t="str">
        <f>Pospago[[#This Row],[TIPO_MOVIMIENTO]]&amp;" "&amp;Pospago[[#This Row],[FORMA_PAGO_FINAL]]</f>
        <v>ALTAS DOMICILIADO</v>
      </c>
      <c r="BC851" s="18">
        <f>DAY(Pospago[[#This Row],[FECHA_ALTA]])</f>
        <v>13</v>
      </c>
      <c r="BD851" s="18">
        <f>IF(Pospago[[#This Row],[TARIFA_BASICA]]=11.42,1,0)</f>
        <v>0</v>
      </c>
      <c r="BE851" s="18">
        <f>IF(Pospago[[#This Row],[PLANES TELEVENTAS]]="SI",1,0)</f>
        <v>0</v>
      </c>
      <c r="BF851" s="18">
        <f>1</f>
        <v>1</v>
      </c>
      <c r="BG851" s="18">
        <f>IF(OR(Pospago[[#This Row],[TARIFA_BASICA]]=11.42,Pospago[[#This Row],[PLANES TELEVENTAS]]="SI"),1,0)</f>
        <v>0</v>
      </c>
      <c r="BH851" s="18" t="str">
        <f>IF(MID(Pospago[[#This Row],[PlanDesc]],1,4) = "PLAN","POSPAGO",IF(MID(Pospago[[#This Row],[PlanDesc]],1,4)="FULL","FULL MEGAS","PREVIOPAGO"))</f>
        <v>PREVIOPAGO</v>
      </c>
      <c r="BI8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51" s="21">
        <f>Pospago[[#This Row],[TARIFA_BASICA]]*1.5</f>
        <v>21.419999999999998</v>
      </c>
    </row>
    <row r="852" spans="1:63" x14ac:dyDescent="0.25">
      <c r="A852" s="18" t="s">
        <v>154</v>
      </c>
      <c r="B852" s="18" t="s">
        <v>5375</v>
      </c>
      <c r="C852" s="18" t="s">
        <v>5376</v>
      </c>
      <c r="D852" s="19">
        <v>44905</v>
      </c>
      <c r="E852" s="18" t="s">
        <v>67</v>
      </c>
      <c r="F852" s="18" t="s">
        <v>5377</v>
      </c>
      <c r="G852" s="18" t="s">
        <v>5378</v>
      </c>
      <c r="H852" s="18" t="s">
        <v>159</v>
      </c>
      <c r="I852" s="18" t="s">
        <v>71</v>
      </c>
      <c r="J852" s="18" t="s">
        <v>258</v>
      </c>
      <c r="K852" s="18" t="s">
        <v>73</v>
      </c>
      <c r="L852" s="20" t="s">
        <v>5379</v>
      </c>
      <c r="M852" s="18" t="s">
        <v>287</v>
      </c>
      <c r="N852" s="20" t="s">
        <v>5380</v>
      </c>
      <c r="O852" s="18" t="s">
        <v>164</v>
      </c>
      <c r="P852" s="18" t="s">
        <v>78</v>
      </c>
      <c r="Q852" s="19">
        <v>44914</v>
      </c>
      <c r="R852" s="21">
        <v>11.42</v>
      </c>
      <c r="S852" s="18" t="s">
        <v>79</v>
      </c>
      <c r="T852" s="18" t="s">
        <v>232</v>
      </c>
      <c r="U852" s="18" t="s">
        <v>83</v>
      </c>
      <c r="V852" s="18" t="s">
        <v>95</v>
      </c>
      <c r="W852" s="18" t="s">
        <v>95</v>
      </c>
      <c r="X852" s="18" t="s">
        <v>84</v>
      </c>
      <c r="Y852" s="18" t="s">
        <v>85</v>
      </c>
      <c r="Z852" s="18" t="s">
        <v>86</v>
      </c>
      <c r="AA852" s="18" t="s">
        <v>87</v>
      </c>
      <c r="AB852" s="18" t="s">
        <v>233</v>
      </c>
      <c r="AC852" s="18" t="s">
        <v>234</v>
      </c>
      <c r="AD852" s="18" t="s">
        <v>85</v>
      </c>
      <c r="AE852" s="18" t="s">
        <v>90</v>
      </c>
      <c r="AF852" s="18" t="s">
        <v>235</v>
      </c>
      <c r="AG852" s="18" t="s">
        <v>139</v>
      </c>
      <c r="AH852" s="18" t="s">
        <v>165</v>
      </c>
      <c r="AI852" s="18" t="s">
        <v>94</v>
      </c>
      <c r="AJ852" s="19">
        <v>44905</v>
      </c>
      <c r="AK852" s="22" t="s">
        <v>95</v>
      </c>
      <c r="AL852" s="18" t="s">
        <v>95</v>
      </c>
      <c r="AM852" s="18" t="s">
        <v>95</v>
      </c>
      <c r="AN852" s="18" t="s">
        <v>95</v>
      </c>
      <c r="AO852" s="18" t="s">
        <v>95</v>
      </c>
      <c r="AP852" s="18" t="s">
        <v>95</v>
      </c>
      <c r="AQ852" s="18" t="s">
        <v>95</v>
      </c>
      <c r="AR852" s="18" t="s">
        <v>95</v>
      </c>
      <c r="AS852" s="18" t="s">
        <v>83</v>
      </c>
      <c r="AT852" s="18" t="s">
        <v>83</v>
      </c>
      <c r="AU852" s="18" t="s">
        <v>81</v>
      </c>
      <c r="AV852" s="18" t="s">
        <v>95</v>
      </c>
      <c r="AW852" s="18" t="s">
        <v>95</v>
      </c>
      <c r="AX852" s="18"/>
      <c r="AY852" s="18" t="str">
        <f>Pospago[[#This Row],[NUM_TELEFONICO]]&amp;"POSPAGOSI"</f>
        <v>995670737POSPAGOSI</v>
      </c>
      <c r="AZ852" s="18" t="str">
        <f>VLOOKUP(Pospago[[#This Row],[NOM_PLAZA_FINAL]],[1]!Locales[#Data],3,0)</f>
        <v>TIENDA CONDADO</v>
      </c>
      <c r="BA852" s="18" t="str">
        <f>IFERROR(VLOOKUP(Pospago[[#This Row],[USUARIO]],[1]!Personal[#Data],6,0),"EJECUTIVO NO REGISTRADO")</f>
        <v>ROSALES MALDONADO JESSICA GABRIELA</v>
      </c>
      <c r="BB852" s="18" t="str">
        <f>Pospago[[#This Row],[TIPO_MOVIMIENTO]]&amp;" "&amp;Pospago[[#This Row],[FORMA_PAGO_FINAL]]</f>
        <v>TRANSFERENCIAS DOMICILIADO</v>
      </c>
      <c r="BC852" s="18">
        <f>DAY(Pospago[[#This Row],[FECHA_ALTA]])</f>
        <v>10</v>
      </c>
      <c r="BD852" s="18">
        <f>IF(Pospago[[#This Row],[TARIFA_BASICA]]=11.42,1,0)</f>
        <v>1</v>
      </c>
      <c r="BE852" s="18">
        <f>IF(Pospago[[#This Row],[PLANES TELEVENTAS]]="SI",1,0)</f>
        <v>0</v>
      </c>
      <c r="BF852" s="18">
        <f>1</f>
        <v>1</v>
      </c>
      <c r="BG852" s="18">
        <f>IF(OR(Pospago[[#This Row],[TARIFA_BASICA]]=11.42,Pospago[[#This Row],[PLANES TELEVENTAS]]="SI"),1,0)</f>
        <v>1</v>
      </c>
      <c r="BH852" s="18" t="str">
        <f>IF(MID(Pospago[[#This Row],[PlanDesc]],1,4) = "PLAN","POSPAGO",IF(MID(Pospago[[#This Row],[PlanDesc]],1,4)="FULL","FULL MEGAS","PREVIOPAGO"))</f>
        <v>PREVIOPAGO</v>
      </c>
      <c r="BI8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8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52" s="21">
        <f>Pospago[[#This Row],[TARIFA_BASICA]]*1.5</f>
        <v>17.13</v>
      </c>
    </row>
    <row r="853" spans="1:63" x14ac:dyDescent="0.25">
      <c r="A853" s="18" t="s">
        <v>154</v>
      </c>
      <c r="B853" s="18" t="s">
        <v>5381</v>
      </c>
      <c r="C853" s="18" t="s">
        <v>5382</v>
      </c>
      <c r="D853" s="19">
        <v>44903</v>
      </c>
      <c r="E853" s="18" t="s">
        <v>67</v>
      </c>
      <c r="F853" s="18" t="s">
        <v>5383</v>
      </c>
      <c r="G853" s="18" t="s">
        <v>5384</v>
      </c>
      <c r="H853" s="18" t="s">
        <v>159</v>
      </c>
      <c r="I853" s="18" t="s">
        <v>112</v>
      </c>
      <c r="J853" s="18" t="s">
        <v>781</v>
      </c>
      <c r="K853" s="18" t="s">
        <v>132</v>
      </c>
      <c r="L853" s="20" t="s">
        <v>5385</v>
      </c>
      <c r="M853" s="18" t="s">
        <v>75</v>
      </c>
      <c r="N853" s="20" t="s">
        <v>5386</v>
      </c>
      <c r="O853" s="18" t="s">
        <v>2241</v>
      </c>
      <c r="P853" s="18" t="s">
        <v>78</v>
      </c>
      <c r="Q853" s="19">
        <v>44914</v>
      </c>
      <c r="R853" s="21">
        <v>17.850000000000001</v>
      </c>
      <c r="S853" s="18" t="s">
        <v>79</v>
      </c>
      <c r="T853" s="18" t="s">
        <v>232</v>
      </c>
      <c r="U853" s="18" t="s">
        <v>83</v>
      </c>
      <c r="V853" s="18" t="s">
        <v>95</v>
      </c>
      <c r="W853" s="18" t="s">
        <v>95</v>
      </c>
      <c r="X853" s="18" t="s">
        <v>118</v>
      </c>
      <c r="Y853" s="18" t="s">
        <v>85</v>
      </c>
      <c r="Z853" s="18" t="s">
        <v>86</v>
      </c>
      <c r="AA853" s="18" t="s">
        <v>119</v>
      </c>
      <c r="AB853" s="18" t="s">
        <v>280</v>
      </c>
      <c r="AC853" s="18" t="s">
        <v>281</v>
      </c>
      <c r="AD853" s="18" t="s">
        <v>85</v>
      </c>
      <c r="AE853" s="18" t="s">
        <v>90</v>
      </c>
      <c r="AF853" s="18" t="s">
        <v>235</v>
      </c>
      <c r="AG853" s="18" t="s">
        <v>139</v>
      </c>
      <c r="AH853" s="18" t="s">
        <v>165</v>
      </c>
      <c r="AI853" s="18" t="s">
        <v>94</v>
      </c>
      <c r="AJ853" s="19">
        <v>44903</v>
      </c>
      <c r="AK853" s="22" t="s">
        <v>95</v>
      </c>
      <c r="AL853" s="18" t="s">
        <v>95</v>
      </c>
      <c r="AM853" s="18" t="s">
        <v>95</v>
      </c>
      <c r="AN853" s="18" t="s">
        <v>95</v>
      </c>
      <c r="AO853" s="18" t="s">
        <v>95</v>
      </c>
      <c r="AP853" s="18" t="s">
        <v>95</v>
      </c>
      <c r="AQ853" s="18" t="s">
        <v>95</v>
      </c>
      <c r="AR853" s="18" t="s">
        <v>95</v>
      </c>
      <c r="AS853" s="18" t="s">
        <v>83</v>
      </c>
      <c r="AT853" s="18" t="s">
        <v>83</v>
      </c>
      <c r="AU853" s="18" t="s">
        <v>81</v>
      </c>
      <c r="AV853" s="18" t="s">
        <v>95</v>
      </c>
      <c r="AW853" s="18" t="s">
        <v>95</v>
      </c>
      <c r="AX853" s="18"/>
      <c r="AY853" s="18" t="str">
        <f>Pospago[[#This Row],[NUM_TELEFONICO]]&amp;"POSPAGOSI"</f>
        <v>995676441POSPAGOSI</v>
      </c>
      <c r="AZ853" s="18" t="str">
        <f>VLOOKUP(Pospago[[#This Row],[NOM_PLAZA_FINAL]],[1]!Locales[#Data],3,0)</f>
        <v>TIENDA CONDADO</v>
      </c>
      <c r="BA853" s="18" t="str">
        <f>IFERROR(VLOOKUP(Pospago[[#This Row],[USUARIO]],[1]!Personal[#Data],6,0),"EJECUTIVO NO REGISTRADO")</f>
        <v>GUACHAMIN CAZA HUGO ADRIAN</v>
      </c>
      <c r="BB853" s="18" t="str">
        <f>Pospago[[#This Row],[TIPO_MOVIMIENTO]]&amp;" "&amp;Pospago[[#This Row],[FORMA_PAGO_FINAL]]</f>
        <v>TRANSFERENCIAS PAGO EN CAJA</v>
      </c>
      <c r="BC853" s="18">
        <f>DAY(Pospago[[#This Row],[FECHA_ALTA]])</f>
        <v>8</v>
      </c>
      <c r="BD853" s="18">
        <f>IF(Pospago[[#This Row],[TARIFA_BASICA]]=11.42,1,0)</f>
        <v>0</v>
      </c>
      <c r="BE853" s="18">
        <f>IF(Pospago[[#This Row],[PLANES TELEVENTAS]]="SI",1,0)</f>
        <v>0</v>
      </c>
      <c r="BF853" s="18">
        <f>1</f>
        <v>1</v>
      </c>
      <c r="BG853" s="18">
        <f>IF(OR(Pospago[[#This Row],[TARIFA_BASICA]]=11.42,Pospago[[#This Row],[PLANES TELEVENTAS]]="SI"),1,0)</f>
        <v>0</v>
      </c>
      <c r="BH853" s="18" t="str">
        <f>IF(MID(Pospago[[#This Row],[PlanDesc]],1,4) = "PLAN","POSPAGO",IF(MID(Pospago[[#This Row],[PlanDesc]],1,4)="FULL","FULL MEGAS","PREVIOPAGO"))</f>
        <v>PREVIOPAGO</v>
      </c>
      <c r="BI8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7.88</v>
      </c>
      <c r="BJ8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53" s="21">
        <f>Pospago[[#This Row],[TARIFA_BASICA]]*1.5</f>
        <v>26.775000000000002</v>
      </c>
    </row>
    <row r="854" spans="1:63" x14ac:dyDescent="0.25">
      <c r="A854" s="18" t="s">
        <v>154</v>
      </c>
      <c r="B854" s="18" t="s">
        <v>5387</v>
      </c>
      <c r="C854" s="18" t="s">
        <v>3834</v>
      </c>
      <c r="D854" s="19">
        <v>44905</v>
      </c>
      <c r="E854" s="18" t="s">
        <v>67</v>
      </c>
      <c r="F854" s="18" t="s">
        <v>3835</v>
      </c>
      <c r="G854" s="18" t="s">
        <v>3836</v>
      </c>
      <c r="H854" s="18" t="s">
        <v>159</v>
      </c>
      <c r="I854" s="18" t="s">
        <v>194</v>
      </c>
      <c r="J854" s="18" t="s">
        <v>268</v>
      </c>
      <c r="K854" s="18" t="s">
        <v>95</v>
      </c>
      <c r="L854" s="20" t="s">
        <v>5388</v>
      </c>
      <c r="M854" s="18" t="s">
        <v>75</v>
      </c>
      <c r="N854" s="20" t="s">
        <v>5389</v>
      </c>
      <c r="O854" s="18" t="s">
        <v>164</v>
      </c>
      <c r="P854" s="18" t="s">
        <v>78</v>
      </c>
      <c r="Q854" s="19">
        <v>44914</v>
      </c>
      <c r="R854" s="21">
        <v>14.28</v>
      </c>
      <c r="S854" s="18" t="s">
        <v>79</v>
      </c>
      <c r="T854" s="18" t="s">
        <v>232</v>
      </c>
      <c r="U854" s="18" t="s">
        <v>83</v>
      </c>
      <c r="V854" s="18" t="s">
        <v>95</v>
      </c>
      <c r="W854" s="18" t="s">
        <v>95</v>
      </c>
      <c r="X854" s="18" t="s">
        <v>118</v>
      </c>
      <c r="Y854" s="18" t="s">
        <v>85</v>
      </c>
      <c r="Z854" s="18" t="s">
        <v>86</v>
      </c>
      <c r="AA854" s="18" t="s">
        <v>119</v>
      </c>
      <c r="AB854" s="18" t="s">
        <v>280</v>
      </c>
      <c r="AC854" s="18" t="s">
        <v>281</v>
      </c>
      <c r="AD854" s="18" t="s">
        <v>85</v>
      </c>
      <c r="AE854" s="18" t="s">
        <v>90</v>
      </c>
      <c r="AF854" s="18" t="s">
        <v>235</v>
      </c>
      <c r="AG854" s="18" t="s">
        <v>139</v>
      </c>
      <c r="AH854" s="18" t="s">
        <v>165</v>
      </c>
      <c r="AI854" s="18" t="s">
        <v>94</v>
      </c>
      <c r="AJ854" s="19">
        <v>44905</v>
      </c>
      <c r="AK854" s="22" t="s">
        <v>95</v>
      </c>
      <c r="AL854" s="18" t="s">
        <v>95</v>
      </c>
      <c r="AM854" s="18" t="s">
        <v>95</v>
      </c>
      <c r="AN854" s="18" t="s">
        <v>95</v>
      </c>
      <c r="AO854" s="18" t="s">
        <v>95</v>
      </c>
      <c r="AP854" s="18" t="s">
        <v>95</v>
      </c>
      <c r="AQ854" s="18" t="s">
        <v>95</v>
      </c>
      <c r="AR854" s="18" t="s">
        <v>95</v>
      </c>
      <c r="AS854" s="18" t="s">
        <v>83</v>
      </c>
      <c r="AT854" s="18" t="s">
        <v>81</v>
      </c>
      <c r="AU854" s="18" t="s">
        <v>81</v>
      </c>
      <c r="AV854" s="18" t="s">
        <v>95</v>
      </c>
      <c r="AW854" s="18" t="s">
        <v>95</v>
      </c>
      <c r="AX854" s="18"/>
      <c r="AY854" s="18" t="str">
        <f>Pospago[[#This Row],[NUM_TELEFONICO]]&amp;"POSPAGOSI"</f>
        <v>995714170POSPAGOSI</v>
      </c>
      <c r="AZ854" s="18" t="str">
        <f>VLOOKUP(Pospago[[#This Row],[NOM_PLAZA_FINAL]],[1]!Locales[#Data],3,0)</f>
        <v>TIENDA CONDADO</v>
      </c>
      <c r="BA854" s="18" t="str">
        <f>IFERROR(VLOOKUP(Pospago[[#This Row],[USUARIO]],[1]!Personal[#Data],6,0),"EJECUTIVO NO REGISTRADO")</f>
        <v>GUACHAMIN CAZA HUGO ADRIAN</v>
      </c>
      <c r="BB854" s="18" t="str">
        <f>Pospago[[#This Row],[TIPO_MOVIMIENTO]]&amp;" "&amp;Pospago[[#This Row],[FORMA_PAGO_FINAL]]</f>
        <v>TRANSFERENCIAS PAGO EN CAJA</v>
      </c>
      <c r="BC854" s="18">
        <f>DAY(Pospago[[#This Row],[FECHA_ALTA]])</f>
        <v>10</v>
      </c>
      <c r="BD854" s="18">
        <f>IF(Pospago[[#This Row],[TARIFA_BASICA]]=11.42,1,0)</f>
        <v>0</v>
      </c>
      <c r="BE854" s="18">
        <f>IF(Pospago[[#This Row],[PLANES TELEVENTAS]]="SI",1,0)</f>
        <v>1</v>
      </c>
      <c r="BF854" s="18">
        <f>1</f>
        <v>1</v>
      </c>
      <c r="BG854" s="18">
        <f>IF(OR(Pospago[[#This Row],[TARIFA_BASICA]]=11.42,Pospago[[#This Row],[PLANES TELEVENTAS]]="SI"),1,0)</f>
        <v>1</v>
      </c>
      <c r="BH854" s="18" t="str">
        <f>IF(MID(Pospago[[#This Row],[PlanDesc]],1,4) = "PLAN","POSPAGO",IF(MID(Pospago[[#This Row],[PlanDesc]],1,4)="FULL","FULL MEGAS","PREVIOPAGO"))</f>
        <v>PREVIOPAGO</v>
      </c>
      <c r="BI8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8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54" s="21">
        <f>Pospago[[#This Row],[TARIFA_BASICA]]*1.5</f>
        <v>21.419999999999998</v>
      </c>
    </row>
    <row r="855" spans="1:63" x14ac:dyDescent="0.25">
      <c r="A855" s="18" t="s">
        <v>64</v>
      </c>
      <c r="B855" s="18" t="s">
        <v>5390</v>
      </c>
      <c r="C855" s="18" t="s">
        <v>5391</v>
      </c>
      <c r="D855" s="19">
        <v>44909</v>
      </c>
      <c r="E855" s="18" t="s">
        <v>67</v>
      </c>
      <c r="F855" s="18" t="s">
        <v>5392</v>
      </c>
      <c r="G855" s="18" t="s">
        <v>5393</v>
      </c>
      <c r="H855" s="18" t="s">
        <v>70</v>
      </c>
      <c r="I855" s="18" t="s">
        <v>392</v>
      </c>
      <c r="J855" s="18" t="s">
        <v>131</v>
      </c>
      <c r="K855" s="18" t="s">
        <v>73</v>
      </c>
      <c r="L855" s="20" t="s">
        <v>5394</v>
      </c>
      <c r="M855" s="18" t="s">
        <v>75</v>
      </c>
      <c r="N855" s="20" t="s">
        <v>5395</v>
      </c>
      <c r="O855" s="18" t="s">
        <v>77</v>
      </c>
      <c r="P855" s="18" t="s">
        <v>78</v>
      </c>
      <c r="Q855" s="19">
        <v>44914</v>
      </c>
      <c r="R855" s="21">
        <v>15</v>
      </c>
      <c r="S855" s="18" t="s">
        <v>79</v>
      </c>
      <c r="T855" s="18" t="s">
        <v>174</v>
      </c>
      <c r="U855" s="18" t="s">
        <v>83</v>
      </c>
      <c r="V855" s="18" t="s">
        <v>95</v>
      </c>
      <c r="W855" s="18" t="s">
        <v>83</v>
      </c>
      <c r="X855" s="18" t="s">
        <v>84</v>
      </c>
      <c r="Y855" s="18" t="s">
        <v>85</v>
      </c>
      <c r="Z855" s="18" t="s">
        <v>86</v>
      </c>
      <c r="AA855" s="18" t="s">
        <v>87</v>
      </c>
      <c r="AB855" s="18" t="s">
        <v>740</v>
      </c>
      <c r="AC855" s="18" t="s">
        <v>741</v>
      </c>
      <c r="AD855" s="18" t="s">
        <v>85</v>
      </c>
      <c r="AE855" s="18" t="s">
        <v>90</v>
      </c>
      <c r="AF855" s="18" t="s">
        <v>177</v>
      </c>
      <c r="AG855" s="18" t="s">
        <v>139</v>
      </c>
      <c r="AH855" s="18" t="s">
        <v>93</v>
      </c>
      <c r="AI855" s="18" t="s">
        <v>94</v>
      </c>
      <c r="AJ855" s="19">
        <v>44909</v>
      </c>
      <c r="AK855" s="22" t="s">
        <v>95</v>
      </c>
      <c r="AL855" s="18" t="s">
        <v>95</v>
      </c>
      <c r="AM855" s="18" t="s">
        <v>95</v>
      </c>
      <c r="AN855" s="18" t="s">
        <v>95</v>
      </c>
      <c r="AO855" s="18" t="s">
        <v>95</v>
      </c>
      <c r="AP855" s="18" t="s">
        <v>95</v>
      </c>
      <c r="AQ855" s="18" t="s">
        <v>95</v>
      </c>
      <c r="AR855" s="18" t="s">
        <v>95</v>
      </c>
      <c r="AS855" s="18" t="s">
        <v>83</v>
      </c>
      <c r="AT855" s="18" t="s">
        <v>81</v>
      </c>
      <c r="AU855" s="18" t="s">
        <v>81</v>
      </c>
      <c r="AV855" s="18" t="s">
        <v>95</v>
      </c>
      <c r="AW855" s="18" t="s">
        <v>95</v>
      </c>
      <c r="AX855" s="18"/>
      <c r="AY855" s="18" t="str">
        <f>Pospago[[#This Row],[NUM_TELEFONICO]]&amp;"POSPAGOSI"</f>
        <v>995723475POSPAGOSI</v>
      </c>
      <c r="AZ855" s="18" t="str">
        <f>VLOOKUP(Pospago[[#This Row],[NOM_PLAZA_FINAL]],[1]!Locales[#Data],3,0)</f>
        <v>TIENDA RECREO</v>
      </c>
      <c r="BA855" s="18" t="str">
        <f>IFERROR(VLOOKUP(Pospago[[#This Row],[USUARIO]],[1]!Personal[#Data],6,0),"EJECUTIVO NO REGISTRADO")</f>
        <v>CHAVEZ VASQUEZ YESSENIA KATHERINE</v>
      </c>
      <c r="BB855" s="18" t="str">
        <f>Pospago[[#This Row],[TIPO_MOVIMIENTO]]&amp;" "&amp;Pospago[[#This Row],[FORMA_PAGO_FINAL]]</f>
        <v>ALTAS DOMICILIADO</v>
      </c>
      <c r="BC855" s="18">
        <f>DAY(Pospago[[#This Row],[FECHA_ALTA]])</f>
        <v>14</v>
      </c>
      <c r="BD855" s="18">
        <f>IF(Pospago[[#This Row],[TARIFA_BASICA]]=11.42,1,0)</f>
        <v>0</v>
      </c>
      <c r="BE855" s="18">
        <f>IF(Pospago[[#This Row],[PLANES TELEVENTAS]]="SI",1,0)</f>
        <v>1</v>
      </c>
      <c r="BF855" s="18">
        <f>1</f>
        <v>1</v>
      </c>
      <c r="BG855" s="18">
        <f>IF(OR(Pospago[[#This Row],[TARIFA_BASICA]]=11.42,Pospago[[#This Row],[PLANES TELEVENTAS]]="SI"),1,0)</f>
        <v>1</v>
      </c>
      <c r="BH855" s="18" t="str">
        <f>IF(MID(Pospago[[#This Row],[PlanDesc]],1,4) = "PLAN","POSPAGO",IF(MID(Pospago[[#This Row],[PlanDesc]],1,4)="FULL","FULL MEGAS","PREVIOPAGO"))</f>
        <v>PREVIOPAGO</v>
      </c>
      <c r="BI8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8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55" s="21">
        <f>Pospago[[#This Row],[TARIFA_BASICA]]*1.5</f>
        <v>22.5</v>
      </c>
    </row>
    <row r="856" spans="1:63" x14ac:dyDescent="0.25">
      <c r="A856" s="18" t="s">
        <v>64</v>
      </c>
      <c r="B856" s="18" t="s">
        <v>5396</v>
      </c>
      <c r="C856" s="18" t="s">
        <v>5397</v>
      </c>
      <c r="D856" s="19">
        <v>44903</v>
      </c>
      <c r="E856" s="18" t="s">
        <v>67</v>
      </c>
      <c r="F856" s="18" t="s">
        <v>5398</v>
      </c>
      <c r="G856" s="18" t="s">
        <v>5399</v>
      </c>
      <c r="H856" s="18" t="s">
        <v>70</v>
      </c>
      <c r="I856" s="18" t="s">
        <v>112</v>
      </c>
      <c r="J856" s="18" t="s">
        <v>113</v>
      </c>
      <c r="K856" s="18" t="s">
        <v>132</v>
      </c>
      <c r="L856" s="20" t="s">
        <v>5400</v>
      </c>
      <c r="M856" s="18" t="s">
        <v>75</v>
      </c>
      <c r="N856" s="20" t="s">
        <v>5401</v>
      </c>
      <c r="O856" s="18" t="s">
        <v>77</v>
      </c>
      <c r="P856" s="18" t="s">
        <v>78</v>
      </c>
      <c r="Q856" s="19">
        <v>44914</v>
      </c>
      <c r="R856" s="21">
        <v>17.850000000000001</v>
      </c>
      <c r="S856" s="18" t="s">
        <v>79</v>
      </c>
      <c r="T856" s="18" t="s">
        <v>135</v>
      </c>
      <c r="U856" s="18" t="s">
        <v>83</v>
      </c>
      <c r="V856" s="18" t="s">
        <v>95</v>
      </c>
      <c r="W856" s="18" t="s">
        <v>83</v>
      </c>
      <c r="X856" s="18" t="s">
        <v>215</v>
      </c>
      <c r="Y856" s="18" t="s">
        <v>85</v>
      </c>
      <c r="Z856" s="18" t="s">
        <v>86</v>
      </c>
      <c r="AA856" s="18" t="s">
        <v>87</v>
      </c>
      <c r="AB856" s="18" t="s">
        <v>665</v>
      </c>
      <c r="AC856" s="18" t="s">
        <v>666</v>
      </c>
      <c r="AD856" s="18" t="s">
        <v>85</v>
      </c>
      <c r="AE856" s="18" t="s">
        <v>90</v>
      </c>
      <c r="AF856" s="18" t="s">
        <v>138</v>
      </c>
      <c r="AG856" s="18" t="s">
        <v>139</v>
      </c>
      <c r="AH856" s="18" t="s">
        <v>93</v>
      </c>
      <c r="AI856" s="18" t="s">
        <v>94</v>
      </c>
      <c r="AJ856" s="19">
        <v>44903</v>
      </c>
      <c r="AK856" s="22" t="s">
        <v>95</v>
      </c>
      <c r="AL856" s="18" t="s">
        <v>95</v>
      </c>
      <c r="AM856" s="18" t="s">
        <v>95</v>
      </c>
      <c r="AN856" s="18" t="s">
        <v>95</v>
      </c>
      <c r="AO856" s="18" t="s">
        <v>95</v>
      </c>
      <c r="AP856" s="18" t="s">
        <v>95</v>
      </c>
      <c r="AQ856" s="18" t="s">
        <v>95</v>
      </c>
      <c r="AR856" s="18" t="s">
        <v>95</v>
      </c>
      <c r="AS856" s="18" t="s">
        <v>83</v>
      </c>
      <c r="AT856" s="18" t="s">
        <v>83</v>
      </c>
      <c r="AU856" s="18" t="s">
        <v>81</v>
      </c>
      <c r="AV856" s="18" t="s">
        <v>95</v>
      </c>
      <c r="AW856" s="18" t="s">
        <v>95</v>
      </c>
      <c r="AX856" s="18"/>
      <c r="AY856" s="18" t="str">
        <f>Pospago[[#This Row],[NUM_TELEFONICO]]&amp;"POSPAGOSI"</f>
        <v>995726625POSPAGOSI</v>
      </c>
      <c r="AZ856" s="18" t="str">
        <f>VLOOKUP(Pospago[[#This Row],[NOM_PLAZA_FINAL]],[1]!Locales[#Data],3,0)</f>
        <v>TIENDA AMERICA</v>
      </c>
      <c r="BA856" s="18" t="str">
        <f>IFERROR(VLOOKUP(Pospago[[#This Row],[USUARIO]],[1]!Personal[#Data],6,0),"EJECUTIVO NO REGISTRADO")</f>
        <v>ROSERO CAICEDO JAIRO STEFANO</v>
      </c>
      <c r="BB856" s="18" t="str">
        <f>Pospago[[#This Row],[TIPO_MOVIMIENTO]]&amp;" "&amp;Pospago[[#This Row],[FORMA_PAGO_FINAL]]</f>
        <v>ALTAS DOMICILIADO</v>
      </c>
      <c r="BC856" s="18">
        <f>DAY(Pospago[[#This Row],[FECHA_ALTA]])</f>
        <v>8</v>
      </c>
      <c r="BD856" s="18">
        <f>IF(Pospago[[#This Row],[TARIFA_BASICA]]=11.42,1,0)</f>
        <v>0</v>
      </c>
      <c r="BE856" s="18">
        <f>IF(Pospago[[#This Row],[PLANES TELEVENTAS]]="SI",1,0)</f>
        <v>0</v>
      </c>
      <c r="BF856" s="18">
        <f>1</f>
        <v>1</v>
      </c>
      <c r="BG856" s="18">
        <f>IF(OR(Pospago[[#This Row],[TARIFA_BASICA]]=11.42,Pospago[[#This Row],[PLANES TELEVENTAS]]="SI"),1,0)</f>
        <v>0</v>
      </c>
      <c r="BH856" s="18" t="str">
        <f>IF(MID(Pospago[[#This Row],[PlanDesc]],1,4) = "PLAN","POSPAGO",IF(MID(Pospago[[#This Row],[PlanDesc]],1,4)="FULL","FULL MEGAS","PREVIOPAGO"))</f>
        <v>PREVIOPAGO</v>
      </c>
      <c r="BI8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8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56" s="21">
        <f>Pospago[[#This Row],[TARIFA_BASICA]]*1.5</f>
        <v>26.775000000000002</v>
      </c>
    </row>
    <row r="857" spans="1:63" x14ac:dyDescent="0.25">
      <c r="A857" s="18" t="s">
        <v>154</v>
      </c>
      <c r="B857" s="18" t="s">
        <v>5402</v>
      </c>
      <c r="C857" s="18" t="s">
        <v>5403</v>
      </c>
      <c r="D857" s="19">
        <v>44908</v>
      </c>
      <c r="E857" s="18" t="s">
        <v>67</v>
      </c>
      <c r="F857" s="18" t="s">
        <v>5404</v>
      </c>
      <c r="G857" s="18" t="s">
        <v>5405</v>
      </c>
      <c r="H857" s="18" t="s">
        <v>159</v>
      </c>
      <c r="I857" s="18" t="s">
        <v>5406</v>
      </c>
      <c r="J857" s="18" t="s">
        <v>5407</v>
      </c>
      <c r="K857" s="18" t="s">
        <v>132</v>
      </c>
      <c r="L857" s="20" t="s">
        <v>5408</v>
      </c>
      <c r="M857" s="18" t="s">
        <v>75</v>
      </c>
      <c r="N857" s="20" t="s">
        <v>5409</v>
      </c>
      <c r="O857" s="18" t="s">
        <v>1036</v>
      </c>
      <c r="P857" s="18" t="s">
        <v>78</v>
      </c>
      <c r="Q857" s="19">
        <v>44914</v>
      </c>
      <c r="R857" s="21">
        <v>11.42</v>
      </c>
      <c r="S857" s="18" t="s">
        <v>79</v>
      </c>
      <c r="T857" s="18" t="s">
        <v>117</v>
      </c>
      <c r="U857" s="18" t="s">
        <v>83</v>
      </c>
      <c r="V857" s="18" t="s">
        <v>95</v>
      </c>
      <c r="W857" s="18" t="s">
        <v>95</v>
      </c>
      <c r="X857" s="18" t="s">
        <v>84</v>
      </c>
      <c r="Y857" s="18" t="s">
        <v>85</v>
      </c>
      <c r="Z857" s="18" t="s">
        <v>86</v>
      </c>
      <c r="AA857" s="18" t="s">
        <v>87</v>
      </c>
      <c r="AB857" s="18" t="s">
        <v>120</v>
      </c>
      <c r="AC857" s="18" t="s">
        <v>121</v>
      </c>
      <c r="AD857" s="18" t="s">
        <v>85</v>
      </c>
      <c r="AE857" s="18" t="s">
        <v>90</v>
      </c>
      <c r="AF857" s="18" t="s">
        <v>122</v>
      </c>
      <c r="AG857" s="18" t="s">
        <v>92</v>
      </c>
      <c r="AH857" s="18" t="s">
        <v>165</v>
      </c>
      <c r="AI857" s="18" t="s">
        <v>94</v>
      </c>
      <c r="AJ857" s="19">
        <v>44908</v>
      </c>
      <c r="AK857" s="22" t="s">
        <v>95</v>
      </c>
      <c r="AL857" s="18" t="s">
        <v>95</v>
      </c>
      <c r="AM857" s="18" t="s">
        <v>95</v>
      </c>
      <c r="AN857" s="18" t="s">
        <v>95</v>
      </c>
      <c r="AO857" s="18" t="s">
        <v>95</v>
      </c>
      <c r="AP857" s="18" t="s">
        <v>95</v>
      </c>
      <c r="AQ857" s="18" t="s">
        <v>95</v>
      </c>
      <c r="AR857" s="18" t="s">
        <v>95</v>
      </c>
      <c r="AS857" s="18" t="s">
        <v>83</v>
      </c>
      <c r="AT857" s="18" t="s">
        <v>81</v>
      </c>
      <c r="AU857" s="18" t="s">
        <v>83</v>
      </c>
      <c r="AV857" s="18" t="s">
        <v>95</v>
      </c>
      <c r="AW857" s="18" t="s">
        <v>95</v>
      </c>
      <c r="AX857" s="18"/>
      <c r="AY857" s="18" t="str">
        <f>Pospago[[#This Row],[NUM_TELEFONICO]]&amp;"POSPAGOSI"</f>
        <v>995727234POSPAGOSI</v>
      </c>
      <c r="AZ857" s="18" t="str">
        <f>VLOOKUP(Pospago[[#This Row],[NOM_PLAZA_FINAL]],[1]!Locales[#Data],3,0)</f>
        <v>TIENDA MACHALA</v>
      </c>
      <c r="BA857" s="18" t="str">
        <f>IFERROR(VLOOKUP(Pospago[[#This Row],[USUARIO]],[1]!Personal[#Data],6,0),"EJECUTIVO NO REGISTRADO")</f>
        <v>ARROBO VICENTE YADIRA ESPERANZA</v>
      </c>
      <c r="BB857" s="18" t="str">
        <f>Pospago[[#This Row],[TIPO_MOVIMIENTO]]&amp;" "&amp;Pospago[[#This Row],[FORMA_PAGO_FINAL]]</f>
        <v>TRANSFERENCIAS DOMICILIADO</v>
      </c>
      <c r="BC857" s="18">
        <f>DAY(Pospago[[#This Row],[FECHA_ALTA]])</f>
        <v>13</v>
      </c>
      <c r="BD857" s="18">
        <f>IF(Pospago[[#This Row],[TARIFA_BASICA]]=11.42,1,0)</f>
        <v>1</v>
      </c>
      <c r="BE857" s="18">
        <f>IF(Pospago[[#This Row],[PLANES TELEVENTAS]]="SI",1,0)</f>
        <v>1</v>
      </c>
      <c r="BF857" s="18">
        <f>1</f>
        <v>1</v>
      </c>
      <c r="BG857" s="18">
        <f>IF(OR(Pospago[[#This Row],[TARIFA_BASICA]]=11.42,Pospago[[#This Row],[PLANES TELEVENTAS]]="SI"),1,0)</f>
        <v>1</v>
      </c>
      <c r="BH857" s="18" t="str">
        <f>IF(MID(Pospago[[#This Row],[PlanDesc]],1,4) = "PLAN","POSPAGO",IF(MID(Pospago[[#This Row],[PlanDesc]],1,4)="FULL","FULL MEGAS","PREVIOPAGO"))</f>
        <v>POSPAGO</v>
      </c>
      <c r="BI8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4.992</v>
      </c>
      <c r="BJ8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57" s="21">
        <f>Pospago[[#This Row],[TARIFA_BASICA]]*1.5</f>
        <v>17.13</v>
      </c>
    </row>
    <row r="858" spans="1:63" x14ac:dyDescent="0.25">
      <c r="A858" s="18" t="s">
        <v>154</v>
      </c>
      <c r="B858" s="18" t="s">
        <v>5410</v>
      </c>
      <c r="C858" s="18" t="s">
        <v>5411</v>
      </c>
      <c r="D858" s="19">
        <v>44903</v>
      </c>
      <c r="E858" s="18" t="s">
        <v>67</v>
      </c>
      <c r="F858" s="18" t="s">
        <v>5412</v>
      </c>
      <c r="G858" s="18" t="s">
        <v>5413</v>
      </c>
      <c r="H858" s="18" t="s">
        <v>159</v>
      </c>
      <c r="I858" s="18" t="s">
        <v>160</v>
      </c>
      <c r="J858" s="18" t="s">
        <v>161</v>
      </c>
      <c r="K858" s="18" t="s">
        <v>73</v>
      </c>
      <c r="L858" s="20" t="s">
        <v>5414</v>
      </c>
      <c r="M858" s="18" t="s">
        <v>75</v>
      </c>
      <c r="N858" s="20" t="s">
        <v>5415</v>
      </c>
      <c r="O858" s="18" t="s">
        <v>164</v>
      </c>
      <c r="P858" s="18" t="s">
        <v>78</v>
      </c>
      <c r="Q858" s="19">
        <v>44914</v>
      </c>
      <c r="R858" s="21">
        <v>14.28</v>
      </c>
      <c r="S858" s="18" t="s">
        <v>79</v>
      </c>
      <c r="T858" s="18" t="s">
        <v>174</v>
      </c>
      <c r="U858" s="18" t="s">
        <v>83</v>
      </c>
      <c r="V858" s="18" t="s">
        <v>95</v>
      </c>
      <c r="W858" s="18" t="s">
        <v>95</v>
      </c>
      <c r="X858" s="18" t="s">
        <v>84</v>
      </c>
      <c r="Y858" s="18" t="s">
        <v>85</v>
      </c>
      <c r="Z858" s="18" t="s">
        <v>86</v>
      </c>
      <c r="AA858" s="18" t="s">
        <v>87</v>
      </c>
      <c r="AB858" s="18" t="s">
        <v>199</v>
      </c>
      <c r="AC858" s="18" t="s">
        <v>200</v>
      </c>
      <c r="AD858" s="18" t="s">
        <v>85</v>
      </c>
      <c r="AE858" s="18" t="s">
        <v>90</v>
      </c>
      <c r="AF858" s="18" t="s">
        <v>177</v>
      </c>
      <c r="AG858" s="18" t="s">
        <v>139</v>
      </c>
      <c r="AH858" s="18" t="s">
        <v>165</v>
      </c>
      <c r="AI858" s="18" t="s">
        <v>94</v>
      </c>
      <c r="AJ858" s="19">
        <v>44903</v>
      </c>
      <c r="AK858" s="22" t="s">
        <v>95</v>
      </c>
      <c r="AL858" s="18" t="s">
        <v>95</v>
      </c>
      <c r="AM858" s="18" t="s">
        <v>95</v>
      </c>
      <c r="AN858" s="18" t="s">
        <v>95</v>
      </c>
      <c r="AO858" s="18" t="s">
        <v>95</v>
      </c>
      <c r="AP858" s="18" t="s">
        <v>95</v>
      </c>
      <c r="AQ858" s="18" t="s">
        <v>95</v>
      </c>
      <c r="AR858" s="18" t="s">
        <v>95</v>
      </c>
      <c r="AS858" s="18" t="s">
        <v>83</v>
      </c>
      <c r="AT858" s="18" t="s">
        <v>83</v>
      </c>
      <c r="AU858" s="18" t="s">
        <v>81</v>
      </c>
      <c r="AV858" s="18" t="s">
        <v>95</v>
      </c>
      <c r="AW858" s="18" t="s">
        <v>95</v>
      </c>
      <c r="AX858" s="18"/>
      <c r="AY858" s="18" t="str">
        <f>Pospago[[#This Row],[NUM_TELEFONICO]]&amp;"POSPAGOSI"</f>
        <v>995728633POSPAGOSI</v>
      </c>
      <c r="AZ858" s="18" t="str">
        <f>VLOOKUP(Pospago[[#This Row],[NOM_PLAZA_FINAL]],[1]!Locales[#Data],3,0)</f>
        <v>TIENDA RECREO</v>
      </c>
      <c r="BA858" s="18" t="str">
        <f>IFERROR(VLOOKUP(Pospago[[#This Row],[USUARIO]],[1]!Personal[#Data],6,0),"EJECUTIVO NO REGISTRADO")</f>
        <v>MEDINA LAPO DAYANNA CAROLINA</v>
      </c>
      <c r="BB858" s="18" t="str">
        <f>Pospago[[#This Row],[TIPO_MOVIMIENTO]]&amp;" "&amp;Pospago[[#This Row],[FORMA_PAGO_FINAL]]</f>
        <v>TRANSFERENCIAS DOMICILIADO</v>
      </c>
      <c r="BC858" s="18">
        <f>DAY(Pospago[[#This Row],[FECHA_ALTA]])</f>
        <v>8</v>
      </c>
      <c r="BD858" s="18">
        <f>IF(Pospago[[#This Row],[TARIFA_BASICA]]=11.42,1,0)</f>
        <v>0</v>
      </c>
      <c r="BE858" s="18">
        <f>IF(Pospago[[#This Row],[PLANES TELEVENTAS]]="SI",1,0)</f>
        <v>0</v>
      </c>
      <c r="BF858" s="18">
        <f>1</f>
        <v>1</v>
      </c>
      <c r="BG858" s="18">
        <f>IF(OR(Pospago[[#This Row],[TARIFA_BASICA]]=11.42,Pospago[[#This Row],[PLANES TELEVENTAS]]="SI"),1,0)</f>
        <v>0</v>
      </c>
      <c r="BH858" s="18" t="str">
        <f>IF(MID(Pospago[[#This Row],[PlanDesc]],1,4) = "PLAN","POSPAGO",IF(MID(Pospago[[#This Row],[PlanDesc]],1,4)="FULL","FULL MEGAS","PREVIOPAGO"))</f>
        <v>PREVIOPAGO</v>
      </c>
      <c r="BI8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58" s="21">
        <f>Pospago[[#This Row],[TARIFA_BASICA]]*1.5</f>
        <v>21.419999999999998</v>
      </c>
    </row>
    <row r="859" spans="1:63" x14ac:dyDescent="0.25">
      <c r="A859" s="18" t="s">
        <v>64</v>
      </c>
      <c r="B859" s="18" t="s">
        <v>5416</v>
      </c>
      <c r="C859" s="18" t="s">
        <v>5417</v>
      </c>
      <c r="D859" s="19">
        <v>44900</v>
      </c>
      <c r="E859" s="18" t="s">
        <v>67</v>
      </c>
      <c r="F859" s="18" t="s">
        <v>5418</v>
      </c>
      <c r="G859" s="18" t="s">
        <v>5419</v>
      </c>
      <c r="H859" s="18" t="s">
        <v>70</v>
      </c>
      <c r="I859" s="18" t="s">
        <v>606</v>
      </c>
      <c r="J859" s="18" t="s">
        <v>607</v>
      </c>
      <c r="K859" s="18" t="s">
        <v>73</v>
      </c>
      <c r="L859" s="20" t="s">
        <v>5420</v>
      </c>
      <c r="M859" s="18" t="s">
        <v>75</v>
      </c>
      <c r="N859" s="20" t="s">
        <v>5421</v>
      </c>
      <c r="O859" s="18" t="s">
        <v>77</v>
      </c>
      <c r="P859" s="18" t="s">
        <v>78</v>
      </c>
      <c r="Q859" s="19">
        <v>44914</v>
      </c>
      <c r="R859" s="21">
        <v>26.78</v>
      </c>
      <c r="S859" s="18" t="s">
        <v>79</v>
      </c>
      <c r="T859" s="18" t="s">
        <v>148</v>
      </c>
      <c r="U859" s="18" t="s">
        <v>83</v>
      </c>
      <c r="V859" s="18" t="s">
        <v>95</v>
      </c>
      <c r="W859" s="18" t="s">
        <v>83</v>
      </c>
      <c r="X859" s="18" t="s">
        <v>84</v>
      </c>
      <c r="Y859" s="18" t="s">
        <v>85</v>
      </c>
      <c r="Z859" s="18" t="s">
        <v>86</v>
      </c>
      <c r="AA859" s="18" t="s">
        <v>87</v>
      </c>
      <c r="AB859" s="18" t="s">
        <v>420</v>
      </c>
      <c r="AC859" s="18" t="s">
        <v>421</v>
      </c>
      <c r="AD859" s="18" t="s">
        <v>85</v>
      </c>
      <c r="AE859" s="18" t="s">
        <v>90</v>
      </c>
      <c r="AF859" s="18" t="s">
        <v>151</v>
      </c>
      <c r="AG859" s="18" t="s">
        <v>92</v>
      </c>
      <c r="AH859" s="18" t="s">
        <v>93</v>
      </c>
      <c r="AI859" s="18" t="s">
        <v>94</v>
      </c>
      <c r="AJ859" s="19">
        <v>44900</v>
      </c>
      <c r="AK859" s="22" t="s">
        <v>95</v>
      </c>
      <c r="AL859" s="18" t="s">
        <v>95</v>
      </c>
      <c r="AM859" s="18" t="s">
        <v>95</v>
      </c>
      <c r="AN859" s="18" t="s">
        <v>95</v>
      </c>
      <c r="AO859" s="18" t="s">
        <v>95</v>
      </c>
      <c r="AP859" s="18" t="s">
        <v>95</v>
      </c>
      <c r="AQ859" s="18" t="s">
        <v>95</v>
      </c>
      <c r="AR859" s="18" t="s">
        <v>95</v>
      </c>
      <c r="AS859" s="18" t="s">
        <v>83</v>
      </c>
      <c r="AT859" s="18" t="s">
        <v>83</v>
      </c>
      <c r="AU859" s="18" t="s">
        <v>81</v>
      </c>
      <c r="AV859" s="18" t="s">
        <v>95</v>
      </c>
      <c r="AW859" s="18" t="s">
        <v>95</v>
      </c>
      <c r="AX859" s="18"/>
      <c r="AY859" s="18" t="str">
        <f>Pospago[[#This Row],[NUM_TELEFONICO]]&amp;"POSPAGOSI"</f>
        <v>995733467POSPAGOSI</v>
      </c>
      <c r="AZ859" s="18" t="str">
        <f>VLOOKUP(Pospago[[#This Row],[NOM_PLAZA_FINAL]],[1]!Locales[#Data],3,0)</f>
        <v>TIENDA CUENCA REMIGIO</v>
      </c>
      <c r="BA859" s="18" t="str">
        <f>IFERROR(VLOOKUP(Pospago[[#This Row],[USUARIO]],[1]!Personal[#Data],6,0),"EJECUTIVO NO REGISTRADO")</f>
        <v>YEPEZ PALOMEQUE DIANA PATRICIA</v>
      </c>
      <c r="BB859" s="18" t="str">
        <f>Pospago[[#This Row],[TIPO_MOVIMIENTO]]&amp;" "&amp;Pospago[[#This Row],[FORMA_PAGO_FINAL]]</f>
        <v>ALTAS DOMICILIADO</v>
      </c>
      <c r="BC859" s="18">
        <f>DAY(Pospago[[#This Row],[FECHA_ALTA]])</f>
        <v>5</v>
      </c>
      <c r="BD859" s="18">
        <f>IF(Pospago[[#This Row],[TARIFA_BASICA]]=11.42,1,0)</f>
        <v>0</v>
      </c>
      <c r="BE859" s="18">
        <f>IF(Pospago[[#This Row],[PLANES TELEVENTAS]]="SI",1,0)</f>
        <v>0</v>
      </c>
      <c r="BF859" s="18">
        <f>1</f>
        <v>1</v>
      </c>
      <c r="BG859" s="18">
        <f>IF(OR(Pospago[[#This Row],[TARIFA_BASICA]]=11.42,Pospago[[#This Row],[PLANES TELEVENTAS]]="SI"),1,0)</f>
        <v>0</v>
      </c>
      <c r="BH859" s="18" t="str">
        <f>IF(MID(Pospago[[#This Row],[PlanDesc]],1,4) = "PLAN","POSPAGO",IF(MID(Pospago[[#This Row],[PlanDesc]],1,4)="FULL","FULL MEGAS","PREVIOPAGO"))</f>
        <v>PREVIOPAGO</v>
      </c>
      <c r="BI8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8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59" s="21">
        <f>Pospago[[#This Row],[TARIFA_BASICA]]*1.5</f>
        <v>40.17</v>
      </c>
    </row>
    <row r="860" spans="1:63" x14ac:dyDescent="0.25">
      <c r="A860" s="18" t="s">
        <v>64</v>
      </c>
      <c r="B860" s="18" t="s">
        <v>5422</v>
      </c>
      <c r="C860" s="18" t="s">
        <v>5423</v>
      </c>
      <c r="D860" s="19">
        <v>44909</v>
      </c>
      <c r="E860" s="18" t="s">
        <v>67</v>
      </c>
      <c r="F860" s="18" t="s">
        <v>5424</v>
      </c>
      <c r="G860" s="18" t="s">
        <v>5425</v>
      </c>
      <c r="H860" s="18" t="s">
        <v>70</v>
      </c>
      <c r="I860" s="18" t="s">
        <v>71</v>
      </c>
      <c r="J860" s="18" t="s">
        <v>72</v>
      </c>
      <c r="K860" s="18" t="s">
        <v>73</v>
      </c>
      <c r="L860" s="20" t="s">
        <v>5426</v>
      </c>
      <c r="M860" s="18" t="s">
        <v>75</v>
      </c>
      <c r="N860" s="20" t="s">
        <v>5427</v>
      </c>
      <c r="O860" s="18" t="s">
        <v>77</v>
      </c>
      <c r="P860" s="18" t="s">
        <v>78</v>
      </c>
      <c r="Q860" s="19">
        <v>44914</v>
      </c>
      <c r="R860" s="21">
        <v>11.42</v>
      </c>
      <c r="S860" s="18" t="s">
        <v>79</v>
      </c>
      <c r="T860" s="18" t="s">
        <v>80</v>
      </c>
      <c r="U860" s="18" t="s">
        <v>83</v>
      </c>
      <c r="V860" s="18" t="s">
        <v>95</v>
      </c>
      <c r="W860" s="18" t="s">
        <v>83</v>
      </c>
      <c r="X860" s="18" t="s">
        <v>118</v>
      </c>
      <c r="Y860" s="18" t="s">
        <v>85</v>
      </c>
      <c r="Z860" s="18" t="s">
        <v>86</v>
      </c>
      <c r="AA860" s="18" t="s">
        <v>119</v>
      </c>
      <c r="AB860" s="18" t="s">
        <v>88</v>
      </c>
      <c r="AC860" s="18" t="s">
        <v>89</v>
      </c>
      <c r="AD860" s="18" t="s">
        <v>85</v>
      </c>
      <c r="AE860" s="18" t="s">
        <v>90</v>
      </c>
      <c r="AF860" s="18" t="s">
        <v>91</v>
      </c>
      <c r="AG860" s="18" t="s">
        <v>92</v>
      </c>
      <c r="AH860" s="18" t="s">
        <v>93</v>
      </c>
      <c r="AI860" s="18" t="s">
        <v>94</v>
      </c>
      <c r="AJ860" s="19">
        <v>44909</v>
      </c>
      <c r="AK860" s="22" t="s">
        <v>95</v>
      </c>
      <c r="AL860" s="18" t="s">
        <v>95</v>
      </c>
      <c r="AM860" s="18" t="s">
        <v>95</v>
      </c>
      <c r="AN860" s="18" t="s">
        <v>95</v>
      </c>
      <c r="AO860" s="18" t="s">
        <v>95</v>
      </c>
      <c r="AP860" s="18" t="s">
        <v>95</v>
      </c>
      <c r="AQ860" s="18" t="s">
        <v>95</v>
      </c>
      <c r="AR860" s="18" t="s">
        <v>95</v>
      </c>
      <c r="AS860" s="18" t="s">
        <v>83</v>
      </c>
      <c r="AT860" s="18" t="s">
        <v>83</v>
      </c>
      <c r="AU860" s="18" t="s">
        <v>81</v>
      </c>
      <c r="AV860" s="18" t="s">
        <v>95</v>
      </c>
      <c r="AW860" s="18" t="s">
        <v>95</v>
      </c>
      <c r="AX860" s="18"/>
      <c r="AY860" s="18" t="str">
        <f>Pospago[[#This Row],[NUM_TELEFONICO]]&amp;"POSPAGOSI"</f>
        <v>995738684POSPAGOSI</v>
      </c>
      <c r="AZ860" s="18" t="str">
        <f>VLOOKUP(Pospago[[#This Row],[NOM_PLAZA_FINAL]],[1]!Locales[#Data],3,0)</f>
        <v>TIENDA CUENCA CENTRO</v>
      </c>
      <c r="BA860" s="18" t="str">
        <f>IFERROR(VLOOKUP(Pospago[[#This Row],[USUARIO]],[1]!Personal[#Data],6,0),"EJECUTIVO NO REGISTRADO")</f>
        <v>ANDRADE CONDO CHRISTIAN EDUARDO</v>
      </c>
      <c r="BB860" s="18" t="str">
        <f>Pospago[[#This Row],[TIPO_MOVIMIENTO]]&amp;" "&amp;Pospago[[#This Row],[FORMA_PAGO_FINAL]]</f>
        <v>ALTAS PAGO EN CAJA</v>
      </c>
      <c r="BC860" s="18">
        <f>DAY(Pospago[[#This Row],[FECHA_ALTA]])</f>
        <v>14</v>
      </c>
      <c r="BD860" s="18">
        <f>IF(Pospago[[#This Row],[TARIFA_BASICA]]=11.42,1,0)</f>
        <v>1</v>
      </c>
      <c r="BE860" s="18">
        <f>IF(Pospago[[#This Row],[PLANES TELEVENTAS]]="SI",1,0)</f>
        <v>0</v>
      </c>
      <c r="BF860" s="18">
        <f>1</f>
        <v>1</v>
      </c>
      <c r="BG860" s="18">
        <f>IF(OR(Pospago[[#This Row],[TARIFA_BASICA]]=11.42,Pospago[[#This Row],[PLANES TELEVENTAS]]="SI"),1,0)</f>
        <v>1</v>
      </c>
      <c r="BH860" s="18" t="str">
        <f>IF(MID(Pospago[[#This Row],[PlanDesc]],1,4) = "PLAN","POSPAGO",IF(MID(Pospago[[#This Row],[PlanDesc]],1,4)="FULL","FULL MEGAS","PREVIOPAGO"))</f>
        <v>PREVIOPAGO</v>
      </c>
      <c r="BI8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8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60" s="21">
        <f>Pospago[[#This Row],[TARIFA_BASICA]]*1.5</f>
        <v>17.13</v>
      </c>
    </row>
    <row r="861" spans="1:63" x14ac:dyDescent="0.25">
      <c r="A861" s="18" t="s">
        <v>64</v>
      </c>
      <c r="B861" s="18" t="s">
        <v>5428</v>
      </c>
      <c r="C861" s="18" t="s">
        <v>5429</v>
      </c>
      <c r="D861" s="19">
        <v>44910</v>
      </c>
      <c r="E861" s="18" t="s">
        <v>67</v>
      </c>
      <c r="F861" s="18" t="s">
        <v>5430</v>
      </c>
      <c r="G861" s="18" t="s">
        <v>5431</v>
      </c>
      <c r="H861" s="18" t="s">
        <v>70</v>
      </c>
      <c r="I861" s="18" t="s">
        <v>160</v>
      </c>
      <c r="J861" s="18" t="s">
        <v>195</v>
      </c>
      <c r="K861" s="18" t="s">
        <v>73</v>
      </c>
      <c r="L861" s="20" t="s">
        <v>5432</v>
      </c>
      <c r="M861" s="18" t="s">
        <v>75</v>
      </c>
      <c r="N861" s="20" t="s">
        <v>5433</v>
      </c>
      <c r="O861" s="18" t="s">
        <v>77</v>
      </c>
      <c r="P861" s="18" t="s">
        <v>78</v>
      </c>
      <c r="Q861" s="19">
        <v>44914</v>
      </c>
      <c r="R861" s="21">
        <v>14.28</v>
      </c>
      <c r="S861" s="18" t="s">
        <v>79</v>
      </c>
      <c r="T861" s="18" t="s">
        <v>148</v>
      </c>
      <c r="U861" s="18" t="s">
        <v>83</v>
      </c>
      <c r="V861" s="18" t="s">
        <v>95</v>
      </c>
      <c r="W861" s="18" t="s">
        <v>83</v>
      </c>
      <c r="X861" s="18" t="s">
        <v>84</v>
      </c>
      <c r="Y861" s="18" t="s">
        <v>85</v>
      </c>
      <c r="Z861" s="18" t="s">
        <v>86</v>
      </c>
      <c r="AA861" s="18" t="s">
        <v>87</v>
      </c>
      <c r="AB861" s="18" t="s">
        <v>420</v>
      </c>
      <c r="AC861" s="18" t="s">
        <v>421</v>
      </c>
      <c r="AD861" s="18" t="s">
        <v>85</v>
      </c>
      <c r="AE861" s="18" t="s">
        <v>90</v>
      </c>
      <c r="AF861" s="18" t="s">
        <v>151</v>
      </c>
      <c r="AG861" s="18" t="s">
        <v>92</v>
      </c>
      <c r="AH861" s="18" t="s">
        <v>93</v>
      </c>
      <c r="AI861" s="18" t="s">
        <v>94</v>
      </c>
      <c r="AJ861" s="19">
        <v>44910</v>
      </c>
      <c r="AK861" s="22" t="s">
        <v>95</v>
      </c>
      <c r="AL861" s="18" t="s">
        <v>95</v>
      </c>
      <c r="AM861" s="18" t="s">
        <v>95</v>
      </c>
      <c r="AN861" s="18" t="s">
        <v>95</v>
      </c>
      <c r="AO861" s="18" t="s">
        <v>95</v>
      </c>
      <c r="AP861" s="18" t="s">
        <v>95</v>
      </c>
      <c r="AQ861" s="18" t="s">
        <v>95</v>
      </c>
      <c r="AR861" s="18" t="s">
        <v>95</v>
      </c>
      <c r="AS861" s="18" t="s">
        <v>83</v>
      </c>
      <c r="AT861" s="18" t="s">
        <v>83</v>
      </c>
      <c r="AU861" s="18" t="s">
        <v>81</v>
      </c>
      <c r="AV861" s="18" t="s">
        <v>95</v>
      </c>
      <c r="AW861" s="18" t="s">
        <v>291</v>
      </c>
      <c r="AX861" s="18"/>
      <c r="AY861" s="18" t="str">
        <f>Pospago[[#This Row],[NUM_TELEFONICO]]&amp;"POSPAGOSI"</f>
        <v>995754834POSPAGOSI</v>
      </c>
      <c r="AZ861" s="18" t="str">
        <f>VLOOKUP(Pospago[[#This Row],[NOM_PLAZA_FINAL]],[1]!Locales[#Data],3,0)</f>
        <v>TIENDA CUENCA REMIGIO</v>
      </c>
      <c r="BA861" s="18" t="str">
        <f>IFERROR(VLOOKUP(Pospago[[#This Row],[USUARIO]],[1]!Personal[#Data],6,0),"EJECUTIVO NO REGISTRADO")</f>
        <v>YEPEZ PALOMEQUE DIANA PATRICIA</v>
      </c>
      <c r="BB861" s="18" t="str">
        <f>Pospago[[#This Row],[TIPO_MOVIMIENTO]]&amp;" "&amp;Pospago[[#This Row],[FORMA_PAGO_FINAL]]</f>
        <v>ALTAS DOMICILIADO</v>
      </c>
      <c r="BC861" s="18">
        <f>DAY(Pospago[[#This Row],[FECHA_ALTA]])</f>
        <v>15</v>
      </c>
      <c r="BD861" s="18">
        <f>IF(Pospago[[#This Row],[TARIFA_BASICA]]=11.42,1,0)</f>
        <v>0</v>
      </c>
      <c r="BE861" s="18">
        <f>IF(Pospago[[#This Row],[PLANES TELEVENTAS]]="SI",1,0)</f>
        <v>0</v>
      </c>
      <c r="BF861" s="18">
        <f>1</f>
        <v>1</v>
      </c>
      <c r="BG861" s="18">
        <f>IF(OR(Pospago[[#This Row],[TARIFA_BASICA]]=11.42,Pospago[[#This Row],[PLANES TELEVENTAS]]="SI"),1,0)</f>
        <v>0</v>
      </c>
      <c r="BH861" s="18" t="str">
        <f>IF(MID(Pospago[[#This Row],[PlanDesc]],1,4) = "PLAN","POSPAGO",IF(MID(Pospago[[#This Row],[PlanDesc]],1,4)="FULL","FULL MEGAS","PREVIOPAGO"))</f>
        <v>PREVIOPAGO</v>
      </c>
      <c r="BI8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61" s="21">
        <f>Pospago[[#This Row],[TARIFA_BASICA]]*1.5</f>
        <v>21.419999999999998</v>
      </c>
    </row>
    <row r="862" spans="1:63" x14ac:dyDescent="0.25">
      <c r="A862" s="18" t="s">
        <v>64</v>
      </c>
      <c r="B862" s="18" t="s">
        <v>5434</v>
      </c>
      <c r="C862" s="18" t="s">
        <v>5435</v>
      </c>
      <c r="D862" s="19">
        <v>44903</v>
      </c>
      <c r="E862" s="18" t="s">
        <v>67</v>
      </c>
      <c r="F862" s="18" t="s">
        <v>5436</v>
      </c>
      <c r="G862" s="18" t="s">
        <v>5437</v>
      </c>
      <c r="H862" s="18" t="s">
        <v>70</v>
      </c>
      <c r="I862" s="18" t="s">
        <v>112</v>
      </c>
      <c r="J862" s="18" t="s">
        <v>113</v>
      </c>
      <c r="K862" s="18" t="s">
        <v>114</v>
      </c>
      <c r="L862" s="20" t="s">
        <v>5438</v>
      </c>
      <c r="M862" s="18" t="s">
        <v>75</v>
      </c>
      <c r="N862" s="20" t="s">
        <v>5439</v>
      </c>
      <c r="O862" s="18" t="s">
        <v>77</v>
      </c>
      <c r="P862" s="18" t="s">
        <v>78</v>
      </c>
      <c r="Q862" s="19">
        <v>44914</v>
      </c>
      <c r="R862" s="21">
        <v>17.850000000000001</v>
      </c>
      <c r="S862" s="18" t="s">
        <v>79</v>
      </c>
      <c r="T862" s="18" t="s">
        <v>117</v>
      </c>
      <c r="U862" s="18" t="s">
        <v>83</v>
      </c>
      <c r="V862" s="18" t="s">
        <v>95</v>
      </c>
      <c r="W862" s="18" t="s">
        <v>83</v>
      </c>
      <c r="X862" s="18" t="s">
        <v>84</v>
      </c>
      <c r="Y862" s="18" t="s">
        <v>85</v>
      </c>
      <c r="Z862" s="18" t="s">
        <v>86</v>
      </c>
      <c r="AA862" s="18" t="s">
        <v>87</v>
      </c>
      <c r="AB862" s="18" t="s">
        <v>1043</v>
      </c>
      <c r="AC862" s="18" t="s">
        <v>1044</v>
      </c>
      <c r="AD862" s="18" t="s">
        <v>85</v>
      </c>
      <c r="AE862" s="18" t="s">
        <v>90</v>
      </c>
      <c r="AF862" s="18" t="s">
        <v>122</v>
      </c>
      <c r="AG862" s="18" t="s">
        <v>92</v>
      </c>
      <c r="AH862" s="18" t="s">
        <v>93</v>
      </c>
      <c r="AI862" s="18" t="s">
        <v>94</v>
      </c>
      <c r="AJ862" s="19">
        <v>44903</v>
      </c>
      <c r="AK862" s="22" t="s">
        <v>95</v>
      </c>
      <c r="AL862" s="18" t="s">
        <v>95</v>
      </c>
      <c r="AM862" s="18" t="s">
        <v>95</v>
      </c>
      <c r="AN862" s="18" t="s">
        <v>95</v>
      </c>
      <c r="AO862" s="18" t="s">
        <v>95</v>
      </c>
      <c r="AP862" s="18" t="s">
        <v>95</v>
      </c>
      <c r="AQ862" s="18" t="s">
        <v>95</v>
      </c>
      <c r="AR862" s="18" t="s">
        <v>95</v>
      </c>
      <c r="AS862" s="18" t="s">
        <v>83</v>
      </c>
      <c r="AT862" s="18" t="s">
        <v>83</v>
      </c>
      <c r="AU862" s="18" t="s">
        <v>81</v>
      </c>
      <c r="AV862" s="18" t="s">
        <v>95</v>
      </c>
      <c r="AW862" s="18" t="s">
        <v>95</v>
      </c>
      <c r="AX862" s="18"/>
      <c r="AY862" s="18" t="str">
        <f>Pospago[[#This Row],[NUM_TELEFONICO]]&amp;"POSPAGOSI"</f>
        <v>995760305POSPAGOSI</v>
      </c>
      <c r="AZ862" s="18" t="str">
        <f>VLOOKUP(Pospago[[#This Row],[NOM_PLAZA_FINAL]],[1]!Locales[#Data],3,0)</f>
        <v>TIENDA MACHALA</v>
      </c>
      <c r="BA862" s="18" t="str">
        <f>IFERROR(VLOOKUP(Pospago[[#This Row],[USUARIO]],[1]!Personal[#Data],6,0),"EJECUTIVO NO REGISTRADO")</f>
        <v>GONZAGA YUPANGUI LIZBETH KATHERINE</v>
      </c>
      <c r="BB862" s="18" t="str">
        <f>Pospago[[#This Row],[TIPO_MOVIMIENTO]]&amp;" "&amp;Pospago[[#This Row],[FORMA_PAGO_FINAL]]</f>
        <v>ALTAS DOMICILIADO</v>
      </c>
      <c r="BC862" s="18">
        <f>DAY(Pospago[[#This Row],[FECHA_ALTA]])</f>
        <v>8</v>
      </c>
      <c r="BD862" s="18">
        <f>IF(Pospago[[#This Row],[TARIFA_BASICA]]=11.42,1,0)</f>
        <v>0</v>
      </c>
      <c r="BE862" s="18">
        <f>IF(Pospago[[#This Row],[PLANES TELEVENTAS]]="SI",1,0)</f>
        <v>0</v>
      </c>
      <c r="BF862" s="18">
        <f>1</f>
        <v>1</v>
      </c>
      <c r="BG862" s="18">
        <f>IF(OR(Pospago[[#This Row],[TARIFA_BASICA]]=11.42,Pospago[[#This Row],[PLANES TELEVENTAS]]="SI"),1,0)</f>
        <v>0</v>
      </c>
      <c r="BH862" s="18" t="str">
        <f>IF(MID(Pospago[[#This Row],[PlanDesc]],1,4) = "PLAN","POSPAGO",IF(MID(Pospago[[#This Row],[PlanDesc]],1,4)="FULL","FULL MEGAS","PREVIOPAGO"))</f>
        <v>PREVIOPAGO</v>
      </c>
      <c r="BI8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25.212</v>
      </c>
      <c r="BJ8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62" s="21">
        <f>Pospago[[#This Row],[TARIFA_BASICA]]*1.5</f>
        <v>26.775000000000002</v>
      </c>
    </row>
    <row r="863" spans="1:63" x14ac:dyDescent="0.25">
      <c r="A863" s="18" t="s">
        <v>64</v>
      </c>
      <c r="B863" s="18" t="s">
        <v>5440</v>
      </c>
      <c r="C863" s="18" t="s">
        <v>5441</v>
      </c>
      <c r="D863" s="19">
        <v>44900</v>
      </c>
      <c r="E863" s="18" t="s">
        <v>67</v>
      </c>
      <c r="F863" s="18" t="s">
        <v>5442</v>
      </c>
      <c r="G863" s="18" t="s">
        <v>5443</v>
      </c>
      <c r="H863" s="18" t="s">
        <v>70</v>
      </c>
      <c r="I863" s="18" t="s">
        <v>112</v>
      </c>
      <c r="J863" s="18" t="s">
        <v>113</v>
      </c>
      <c r="K863" s="18" t="s">
        <v>95</v>
      </c>
      <c r="L863" s="20" t="s">
        <v>5444</v>
      </c>
      <c r="M863" s="18" t="s">
        <v>75</v>
      </c>
      <c r="N863" s="20" t="s">
        <v>5445</v>
      </c>
      <c r="O863" s="18" t="s">
        <v>311</v>
      </c>
      <c r="P863" s="18" t="s">
        <v>78</v>
      </c>
      <c r="Q863" s="19">
        <v>44914</v>
      </c>
      <c r="R863" s="21">
        <v>17.850000000000001</v>
      </c>
      <c r="S863" s="18" t="s">
        <v>79</v>
      </c>
      <c r="T863" s="18" t="s">
        <v>148</v>
      </c>
      <c r="U863" s="18" t="s">
        <v>83</v>
      </c>
      <c r="V863" s="18" t="s">
        <v>95</v>
      </c>
      <c r="W863" s="18" t="s">
        <v>83</v>
      </c>
      <c r="X863" s="18" t="s">
        <v>84</v>
      </c>
      <c r="Y863" s="18" t="s">
        <v>85</v>
      </c>
      <c r="Z863" s="18" t="s">
        <v>86</v>
      </c>
      <c r="AA863" s="18" t="s">
        <v>87</v>
      </c>
      <c r="AB863" s="18" t="s">
        <v>385</v>
      </c>
      <c r="AC863" s="18" t="s">
        <v>386</v>
      </c>
      <c r="AD863" s="18" t="s">
        <v>85</v>
      </c>
      <c r="AE863" s="18" t="s">
        <v>90</v>
      </c>
      <c r="AF863" s="18" t="s">
        <v>151</v>
      </c>
      <c r="AG863" s="18" t="s">
        <v>92</v>
      </c>
      <c r="AH863" s="18" t="s">
        <v>93</v>
      </c>
      <c r="AI863" s="18" t="s">
        <v>94</v>
      </c>
      <c r="AJ863" s="19">
        <v>44900</v>
      </c>
      <c r="AK863" s="22" t="s">
        <v>95</v>
      </c>
      <c r="AL863" s="18" t="s">
        <v>95</v>
      </c>
      <c r="AM863" s="18" t="s">
        <v>95</v>
      </c>
      <c r="AN863" s="18" t="s">
        <v>95</v>
      </c>
      <c r="AO863" s="18" t="s">
        <v>95</v>
      </c>
      <c r="AP863" s="18" t="s">
        <v>95</v>
      </c>
      <c r="AQ863" s="18" t="s">
        <v>95</v>
      </c>
      <c r="AR863" s="18" t="s">
        <v>95</v>
      </c>
      <c r="AS863" s="18" t="s">
        <v>83</v>
      </c>
      <c r="AT863" s="18" t="s">
        <v>83</v>
      </c>
      <c r="AU863" s="18" t="s">
        <v>81</v>
      </c>
      <c r="AV863" s="18" t="s">
        <v>95</v>
      </c>
      <c r="AW863" s="18" t="s">
        <v>95</v>
      </c>
      <c r="AX863" s="18"/>
      <c r="AY863" s="18" t="str">
        <f>Pospago[[#This Row],[NUM_TELEFONICO]]&amp;"POSPAGOSI"</f>
        <v>995760358POSPAGOSI</v>
      </c>
      <c r="AZ863" s="18" t="str">
        <f>VLOOKUP(Pospago[[#This Row],[NOM_PLAZA_FINAL]],[1]!Locales[#Data],3,0)</f>
        <v>TIENDA CUENCA REMIGIO</v>
      </c>
      <c r="BA863" s="18" t="str">
        <f>IFERROR(VLOOKUP(Pospago[[#This Row],[USUARIO]],[1]!Personal[#Data],6,0),"EJECUTIVO NO REGISTRADO")</f>
        <v>RAMIREZ RUBIO NELLY LILIANA</v>
      </c>
      <c r="BB863" s="18" t="str">
        <f>Pospago[[#This Row],[TIPO_MOVIMIENTO]]&amp;" "&amp;Pospago[[#This Row],[FORMA_PAGO_FINAL]]</f>
        <v>ALTAS DOMICILIADO</v>
      </c>
      <c r="BC863" s="18">
        <f>DAY(Pospago[[#This Row],[FECHA_ALTA]])</f>
        <v>5</v>
      </c>
      <c r="BD863" s="18">
        <f>IF(Pospago[[#This Row],[TARIFA_BASICA]]=11.42,1,0)</f>
        <v>0</v>
      </c>
      <c r="BE863" s="18">
        <f>IF(Pospago[[#This Row],[PLANES TELEVENTAS]]="SI",1,0)</f>
        <v>0</v>
      </c>
      <c r="BF863" s="18">
        <f>1</f>
        <v>1</v>
      </c>
      <c r="BG863" s="18">
        <f>IF(OR(Pospago[[#This Row],[TARIFA_BASICA]]=11.42,Pospago[[#This Row],[PLANES TELEVENTAS]]="SI"),1,0)</f>
        <v>0</v>
      </c>
      <c r="BH863" s="18" t="str">
        <f>IF(MID(Pospago[[#This Row],[PlanDesc]],1,4) = "PLAN","POSPAGO",IF(MID(Pospago[[#This Row],[PlanDesc]],1,4)="FULL","FULL MEGAS","PREVIOPAGO"))</f>
        <v>PREVIOPAGO</v>
      </c>
      <c r="BI8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8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63" s="21">
        <f>Pospago[[#This Row],[TARIFA_BASICA]]*1.5</f>
        <v>26.775000000000002</v>
      </c>
    </row>
    <row r="864" spans="1:63" x14ac:dyDescent="0.25">
      <c r="A864" s="18" t="s">
        <v>154</v>
      </c>
      <c r="B864" s="18" t="s">
        <v>5446</v>
      </c>
      <c r="C864" s="18" t="s">
        <v>5447</v>
      </c>
      <c r="D864" s="19">
        <v>44900</v>
      </c>
      <c r="E864" s="18" t="s">
        <v>67</v>
      </c>
      <c r="F864" s="18" t="s">
        <v>5448</v>
      </c>
      <c r="G864" s="18" t="s">
        <v>5449</v>
      </c>
      <c r="H864" s="18" t="s">
        <v>159</v>
      </c>
      <c r="I864" s="18" t="s">
        <v>71</v>
      </c>
      <c r="J864" s="18" t="s">
        <v>258</v>
      </c>
      <c r="K864" s="18" t="s">
        <v>73</v>
      </c>
      <c r="L864" s="20" t="s">
        <v>5450</v>
      </c>
      <c r="M864" s="18" t="s">
        <v>75</v>
      </c>
      <c r="N864" s="20" t="s">
        <v>5451</v>
      </c>
      <c r="O864" s="18" t="s">
        <v>164</v>
      </c>
      <c r="P864" s="18" t="s">
        <v>78</v>
      </c>
      <c r="Q864" s="19">
        <v>44914</v>
      </c>
      <c r="R864" s="21">
        <v>11.42</v>
      </c>
      <c r="S864" s="18" t="s">
        <v>79</v>
      </c>
      <c r="T864" s="18" t="s">
        <v>174</v>
      </c>
      <c r="U864" s="18" t="s">
        <v>83</v>
      </c>
      <c r="V864" s="18" t="s">
        <v>95</v>
      </c>
      <c r="W864" s="18" t="s">
        <v>95</v>
      </c>
      <c r="X864" s="18" t="s">
        <v>84</v>
      </c>
      <c r="Y864" s="18" t="s">
        <v>85</v>
      </c>
      <c r="Z864" s="18" t="s">
        <v>86</v>
      </c>
      <c r="AA864" s="18" t="s">
        <v>87</v>
      </c>
      <c r="AB864" s="18" t="s">
        <v>760</v>
      </c>
      <c r="AC864" s="18" t="s">
        <v>761</v>
      </c>
      <c r="AD864" s="18" t="s">
        <v>85</v>
      </c>
      <c r="AE864" s="18" t="s">
        <v>90</v>
      </c>
      <c r="AF864" s="18" t="s">
        <v>177</v>
      </c>
      <c r="AG864" s="18" t="s">
        <v>139</v>
      </c>
      <c r="AH864" s="18" t="s">
        <v>165</v>
      </c>
      <c r="AI864" s="18" t="s">
        <v>94</v>
      </c>
      <c r="AJ864" s="19">
        <v>44900</v>
      </c>
      <c r="AK864" s="22" t="s">
        <v>95</v>
      </c>
      <c r="AL864" s="18" t="s">
        <v>95</v>
      </c>
      <c r="AM864" s="18" t="s">
        <v>95</v>
      </c>
      <c r="AN864" s="18" t="s">
        <v>95</v>
      </c>
      <c r="AO864" s="18" t="s">
        <v>95</v>
      </c>
      <c r="AP864" s="18" t="s">
        <v>95</v>
      </c>
      <c r="AQ864" s="18" t="s">
        <v>95</v>
      </c>
      <c r="AR864" s="18" t="s">
        <v>95</v>
      </c>
      <c r="AS864" s="18" t="s">
        <v>83</v>
      </c>
      <c r="AT864" s="18" t="s">
        <v>83</v>
      </c>
      <c r="AU864" s="18" t="s">
        <v>81</v>
      </c>
      <c r="AV864" s="18" t="s">
        <v>95</v>
      </c>
      <c r="AW864" s="18" t="s">
        <v>95</v>
      </c>
      <c r="AX864" s="18"/>
      <c r="AY864" s="18" t="str">
        <f>Pospago[[#This Row],[NUM_TELEFONICO]]&amp;"POSPAGOSI"</f>
        <v>995770157POSPAGOSI</v>
      </c>
      <c r="AZ864" s="18" t="str">
        <f>VLOOKUP(Pospago[[#This Row],[NOM_PLAZA_FINAL]],[1]!Locales[#Data],3,0)</f>
        <v>TIENDA RECREO</v>
      </c>
      <c r="BA864" s="18" t="str">
        <f>IFERROR(VLOOKUP(Pospago[[#This Row],[USUARIO]],[1]!Personal[#Data],6,0),"EJECUTIVO NO REGISTRADO")</f>
        <v>VALBUENA SANCHEZ ALBERT ANTHONY</v>
      </c>
      <c r="BB864" s="18" t="str">
        <f>Pospago[[#This Row],[TIPO_MOVIMIENTO]]&amp;" "&amp;Pospago[[#This Row],[FORMA_PAGO_FINAL]]</f>
        <v>TRANSFERENCIAS DOMICILIADO</v>
      </c>
      <c r="BC864" s="18">
        <f>DAY(Pospago[[#This Row],[FECHA_ALTA]])</f>
        <v>5</v>
      </c>
      <c r="BD864" s="18">
        <f>IF(Pospago[[#This Row],[TARIFA_BASICA]]=11.42,1,0)</f>
        <v>1</v>
      </c>
      <c r="BE864" s="18">
        <f>IF(Pospago[[#This Row],[PLANES TELEVENTAS]]="SI",1,0)</f>
        <v>0</v>
      </c>
      <c r="BF864" s="18">
        <f>1</f>
        <v>1</v>
      </c>
      <c r="BG864" s="18">
        <f>IF(OR(Pospago[[#This Row],[TARIFA_BASICA]]=11.42,Pospago[[#This Row],[PLANES TELEVENTAS]]="SI"),1,0)</f>
        <v>1</v>
      </c>
      <c r="BH864" s="18" t="str">
        <f>IF(MID(Pospago[[#This Row],[PlanDesc]],1,4) = "PLAN","POSPAGO",IF(MID(Pospago[[#This Row],[PlanDesc]],1,4)="FULL","FULL MEGAS","PREVIOPAGO"))</f>
        <v>PREVIOPAGO</v>
      </c>
      <c r="BI8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8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64" s="21">
        <f>Pospago[[#This Row],[TARIFA_BASICA]]*1.5</f>
        <v>17.13</v>
      </c>
    </row>
    <row r="865" spans="1:63" x14ac:dyDescent="0.25">
      <c r="A865" s="18" t="s">
        <v>64</v>
      </c>
      <c r="B865" s="18" t="s">
        <v>5452</v>
      </c>
      <c r="C865" s="18" t="s">
        <v>5453</v>
      </c>
      <c r="D865" s="19">
        <v>44908</v>
      </c>
      <c r="E865" s="18" t="s">
        <v>67</v>
      </c>
      <c r="F865" s="18" t="s">
        <v>5454</v>
      </c>
      <c r="G865" s="18" t="s">
        <v>5455</v>
      </c>
      <c r="H865" s="18" t="s">
        <v>70</v>
      </c>
      <c r="I865" s="18" t="s">
        <v>130</v>
      </c>
      <c r="J865" s="18" t="s">
        <v>131</v>
      </c>
      <c r="K865" s="18" t="s">
        <v>132</v>
      </c>
      <c r="L865" s="20" t="s">
        <v>5456</v>
      </c>
      <c r="M865" s="18" t="s">
        <v>75</v>
      </c>
      <c r="N865" s="20" t="s">
        <v>5457</v>
      </c>
      <c r="O865" s="18" t="s">
        <v>77</v>
      </c>
      <c r="P865" s="18" t="s">
        <v>78</v>
      </c>
      <c r="Q865" s="19">
        <v>44914</v>
      </c>
      <c r="R865" s="21">
        <v>15</v>
      </c>
      <c r="S865" s="18" t="s">
        <v>79</v>
      </c>
      <c r="T865" s="18" t="s">
        <v>135</v>
      </c>
      <c r="U865" s="18" t="s">
        <v>83</v>
      </c>
      <c r="V865" s="18" t="s">
        <v>95</v>
      </c>
      <c r="W865" s="18" t="s">
        <v>83</v>
      </c>
      <c r="X865" s="18" t="s">
        <v>118</v>
      </c>
      <c r="Y865" s="18" t="s">
        <v>85</v>
      </c>
      <c r="Z865" s="18" t="s">
        <v>86</v>
      </c>
      <c r="AA865" s="18" t="s">
        <v>119</v>
      </c>
      <c r="AB865" s="18" t="s">
        <v>478</v>
      </c>
      <c r="AC865" s="18" t="s">
        <v>479</v>
      </c>
      <c r="AD865" s="18" t="s">
        <v>85</v>
      </c>
      <c r="AE865" s="18" t="s">
        <v>90</v>
      </c>
      <c r="AF865" s="18" t="s">
        <v>138</v>
      </c>
      <c r="AG865" s="18" t="s">
        <v>139</v>
      </c>
      <c r="AH865" s="18" t="s">
        <v>93</v>
      </c>
      <c r="AI865" s="18" t="s">
        <v>94</v>
      </c>
      <c r="AJ865" s="19">
        <v>44908</v>
      </c>
      <c r="AK865" s="22" t="s">
        <v>95</v>
      </c>
      <c r="AL865" s="18" t="s">
        <v>95</v>
      </c>
      <c r="AM865" s="18" t="s">
        <v>95</v>
      </c>
      <c r="AN865" s="18" t="s">
        <v>95</v>
      </c>
      <c r="AO865" s="18" t="s">
        <v>95</v>
      </c>
      <c r="AP865" s="18" t="s">
        <v>95</v>
      </c>
      <c r="AQ865" s="18" t="s">
        <v>95</v>
      </c>
      <c r="AR865" s="18" t="s">
        <v>95</v>
      </c>
      <c r="AS865" s="18" t="s">
        <v>83</v>
      </c>
      <c r="AT865" s="18" t="s">
        <v>83</v>
      </c>
      <c r="AU865" s="18" t="s">
        <v>81</v>
      </c>
      <c r="AV865" s="18" t="s">
        <v>95</v>
      </c>
      <c r="AW865" s="18" t="s">
        <v>95</v>
      </c>
      <c r="AX865" s="18"/>
      <c r="AY865" s="18" t="str">
        <f>Pospago[[#This Row],[NUM_TELEFONICO]]&amp;"POSPAGOSI"</f>
        <v>995781125POSPAGOSI</v>
      </c>
      <c r="AZ865" s="18" t="str">
        <f>VLOOKUP(Pospago[[#This Row],[NOM_PLAZA_FINAL]],[1]!Locales[#Data],3,0)</f>
        <v>TIENDA AMERICA</v>
      </c>
      <c r="BA865" s="18" t="str">
        <f>IFERROR(VLOOKUP(Pospago[[#This Row],[USUARIO]],[1]!Personal[#Data],6,0),"EJECUTIVO NO REGISTRADO")</f>
        <v>REINO TUFINO PAULTEH KATHERINE</v>
      </c>
      <c r="BB865" s="18" t="str">
        <f>Pospago[[#This Row],[TIPO_MOVIMIENTO]]&amp;" "&amp;Pospago[[#This Row],[FORMA_PAGO_FINAL]]</f>
        <v>ALTAS PAGO EN CAJA</v>
      </c>
      <c r="BC865" s="18">
        <f>DAY(Pospago[[#This Row],[FECHA_ALTA]])</f>
        <v>13</v>
      </c>
      <c r="BD865" s="18">
        <f>IF(Pospago[[#This Row],[TARIFA_BASICA]]=11.42,1,0)</f>
        <v>0</v>
      </c>
      <c r="BE865" s="18">
        <f>IF(Pospago[[#This Row],[PLANES TELEVENTAS]]="SI",1,0)</f>
        <v>0</v>
      </c>
      <c r="BF865" s="18">
        <f>1</f>
        <v>1</v>
      </c>
      <c r="BG865" s="18">
        <f>IF(OR(Pospago[[#This Row],[TARIFA_BASICA]]=11.42,Pospago[[#This Row],[PLANES TELEVENTAS]]="SI"),1,0)</f>
        <v>0</v>
      </c>
      <c r="BH865" s="18" t="str">
        <f>IF(MID(Pospago[[#This Row],[PlanDesc]],1,4) = "PLAN","POSPAGO",IF(MID(Pospago[[#This Row],[PlanDesc]],1,4)="FULL","FULL MEGAS","PREVIOPAGO"))</f>
        <v>PREVIOPAGO</v>
      </c>
      <c r="BI8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8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65" s="21">
        <f>Pospago[[#This Row],[TARIFA_BASICA]]*1.5</f>
        <v>22.5</v>
      </c>
    </row>
    <row r="866" spans="1:63" x14ac:dyDescent="0.25">
      <c r="A866" s="18" t="s">
        <v>154</v>
      </c>
      <c r="B866" s="18" t="s">
        <v>5458</v>
      </c>
      <c r="C866" s="18" t="s">
        <v>5459</v>
      </c>
      <c r="D866" s="19">
        <v>44901</v>
      </c>
      <c r="E866" s="18" t="s">
        <v>67</v>
      </c>
      <c r="F866" s="18" t="s">
        <v>5460</v>
      </c>
      <c r="G866" s="18" t="s">
        <v>5461</v>
      </c>
      <c r="H866" s="18" t="s">
        <v>159</v>
      </c>
      <c r="I866" s="18" t="s">
        <v>194</v>
      </c>
      <c r="J866" s="18" t="s">
        <v>268</v>
      </c>
      <c r="K866" s="18" t="s">
        <v>132</v>
      </c>
      <c r="L866" s="20" t="s">
        <v>5462</v>
      </c>
      <c r="M866" s="18" t="s">
        <v>75</v>
      </c>
      <c r="N866" s="20" t="s">
        <v>5463</v>
      </c>
      <c r="O866" s="18" t="s">
        <v>164</v>
      </c>
      <c r="P866" s="18" t="s">
        <v>78</v>
      </c>
      <c r="Q866" s="19">
        <v>44914</v>
      </c>
      <c r="R866" s="21">
        <v>14.28</v>
      </c>
      <c r="S866" s="18" t="s">
        <v>79</v>
      </c>
      <c r="T866" s="18" t="s">
        <v>232</v>
      </c>
      <c r="U866" s="18" t="s">
        <v>83</v>
      </c>
      <c r="V866" s="18" t="s">
        <v>95</v>
      </c>
      <c r="W866" s="18" t="s">
        <v>95</v>
      </c>
      <c r="X866" s="18" t="s">
        <v>84</v>
      </c>
      <c r="Y866" s="18" t="s">
        <v>85</v>
      </c>
      <c r="Z866" s="18" t="s">
        <v>86</v>
      </c>
      <c r="AA866" s="18" t="s">
        <v>87</v>
      </c>
      <c r="AB866" s="18" t="s">
        <v>280</v>
      </c>
      <c r="AC866" s="18" t="s">
        <v>281</v>
      </c>
      <c r="AD866" s="18" t="s">
        <v>85</v>
      </c>
      <c r="AE866" s="18" t="s">
        <v>90</v>
      </c>
      <c r="AF866" s="18" t="s">
        <v>235</v>
      </c>
      <c r="AG866" s="18" t="s">
        <v>139</v>
      </c>
      <c r="AH866" s="18" t="s">
        <v>165</v>
      </c>
      <c r="AI866" s="18" t="s">
        <v>94</v>
      </c>
      <c r="AJ866" s="19">
        <v>44901</v>
      </c>
      <c r="AK866" s="22" t="s">
        <v>95</v>
      </c>
      <c r="AL866" s="18" t="s">
        <v>95</v>
      </c>
      <c r="AM866" s="18" t="s">
        <v>95</v>
      </c>
      <c r="AN866" s="18" t="s">
        <v>95</v>
      </c>
      <c r="AO866" s="18" t="s">
        <v>95</v>
      </c>
      <c r="AP866" s="18" t="s">
        <v>95</v>
      </c>
      <c r="AQ866" s="18" t="s">
        <v>95</v>
      </c>
      <c r="AR866" s="18" t="s">
        <v>95</v>
      </c>
      <c r="AS866" s="18" t="s">
        <v>83</v>
      </c>
      <c r="AT866" s="18" t="s">
        <v>81</v>
      </c>
      <c r="AU866" s="18" t="s">
        <v>81</v>
      </c>
      <c r="AV866" s="18" t="s">
        <v>95</v>
      </c>
      <c r="AW866" s="18" t="s">
        <v>95</v>
      </c>
      <c r="AX866" s="18"/>
      <c r="AY866" s="18" t="str">
        <f>Pospago[[#This Row],[NUM_TELEFONICO]]&amp;"POSPAGOSI"</f>
        <v>995784356POSPAGOSI</v>
      </c>
      <c r="AZ866" s="18" t="str">
        <f>VLOOKUP(Pospago[[#This Row],[NOM_PLAZA_FINAL]],[1]!Locales[#Data],3,0)</f>
        <v>TIENDA CONDADO</v>
      </c>
      <c r="BA866" s="18" t="str">
        <f>IFERROR(VLOOKUP(Pospago[[#This Row],[USUARIO]],[1]!Personal[#Data],6,0),"EJECUTIVO NO REGISTRADO")</f>
        <v>GUACHAMIN CAZA HUGO ADRIAN</v>
      </c>
      <c r="BB866" s="18" t="str">
        <f>Pospago[[#This Row],[TIPO_MOVIMIENTO]]&amp;" "&amp;Pospago[[#This Row],[FORMA_PAGO_FINAL]]</f>
        <v>TRANSFERENCIAS DOMICILIADO</v>
      </c>
      <c r="BC866" s="18">
        <f>DAY(Pospago[[#This Row],[FECHA_ALTA]])</f>
        <v>6</v>
      </c>
      <c r="BD866" s="18">
        <f>IF(Pospago[[#This Row],[TARIFA_BASICA]]=11.42,1,0)</f>
        <v>0</v>
      </c>
      <c r="BE866" s="18">
        <f>IF(Pospago[[#This Row],[PLANES TELEVENTAS]]="SI",1,0)</f>
        <v>1</v>
      </c>
      <c r="BF866" s="18">
        <f>1</f>
        <v>1</v>
      </c>
      <c r="BG866" s="18">
        <f>IF(OR(Pospago[[#This Row],[TARIFA_BASICA]]=11.42,Pospago[[#This Row],[PLANES TELEVENTAS]]="SI"),1,0)</f>
        <v>1</v>
      </c>
      <c r="BH866" s="18" t="str">
        <f>IF(MID(Pospago[[#This Row],[PlanDesc]],1,4) = "PLAN","POSPAGO",IF(MID(Pospago[[#This Row],[PlanDesc]],1,4)="FULL","FULL MEGAS","PREVIOPAGO"))</f>
        <v>PREVIOPAGO</v>
      </c>
      <c r="BI8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66" s="21">
        <f>Pospago[[#This Row],[TARIFA_BASICA]]*1.5</f>
        <v>21.419999999999998</v>
      </c>
    </row>
    <row r="867" spans="1:63" x14ac:dyDescent="0.25">
      <c r="A867" s="18" t="s">
        <v>154</v>
      </c>
      <c r="B867" s="18" t="s">
        <v>5464</v>
      </c>
      <c r="C867" s="18" t="s">
        <v>5465</v>
      </c>
      <c r="D867" s="19">
        <v>44902</v>
      </c>
      <c r="E867" s="18" t="s">
        <v>67</v>
      </c>
      <c r="F867" s="18" t="s">
        <v>5466</v>
      </c>
      <c r="G867" s="18" t="s">
        <v>5467</v>
      </c>
      <c r="H867" s="18" t="s">
        <v>159</v>
      </c>
      <c r="I867" s="18" t="s">
        <v>160</v>
      </c>
      <c r="J867" s="18" t="s">
        <v>161</v>
      </c>
      <c r="K867" s="18" t="s">
        <v>73</v>
      </c>
      <c r="L867" s="20" t="s">
        <v>5468</v>
      </c>
      <c r="M867" s="18" t="s">
        <v>75</v>
      </c>
      <c r="N867" s="20" t="s">
        <v>5469</v>
      </c>
      <c r="O867" s="18" t="s">
        <v>164</v>
      </c>
      <c r="P867" s="18" t="s">
        <v>78</v>
      </c>
      <c r="Q867" s="19">
        <v>44914</v>
      </c>
      <c r="R867" s="21">
        <v>14.28</v>
      </c>
      <c r="S867" s="18" t="s">
        <v>79</v>
      </c>
      <c r="T867" s="18" t="s">
        <v>174</v>
      </c>
      <c r="U867" s="18" t="s">
        <v>83</v>
      </c>
      <c r="V867" s="18" t="s">
        <v>95</v>
      </c>
      <c r="W867" s="18" t="s">
        <v>95</v>
      </c>
      <c r="X867" s="18" t="s">
        <v>84</v>
      </c>
      <c r="Y867" s="18" t="s">
        <v>85</v>
      </c>
      <c r="Z867" s="18" t="s">
        <v>86</v>
      </c>
      <c r="AA867" s="18" t="s">
        <v>87</v>
      </c>
      <c r="AB867" s="18" t="s">
        <v>303</v>
      </c>
      <c r="AC867" s="18" t="s">
        <v>304</v>
      </c>
      <c r="AD867" s="18" t="s">
        <v>85</v>
      </c>
      <c r="AE867" s="18" t="s">
        <v>90</v>
      </c>
      <c r="AF867" s="18" t="s">
        <v>177</v>
      </c>
      <c r="AG867" s="18" t="s">
        <v>139</v>
      </c>
      <c r="AH867" s="18" t="s">
        <v>165</v>
      </c>
      <c r="AI867" s="18" t="s">
        <v>94</v>
      </c>
      <c r="AJ867" s="19">
        <v>44902</v>
      </c>
      <c r="AK867" s="22" t="s">
        <v>95</v>
      </c>
      <c r="AL867" s="18" t="s">
        <v>95</v>
      </c>
      <c r="AM867" s="18" t="s">
        <v>95</v>
      </c>
      <c r="AN867" s="18" t="s">
        <v>95</v>
      </c>
      <c r="AO867" s="18" t="s">
        <v>95</v>
      </c>
      <c r="AP867" s="18" t="s">
        <v>95</v>
      </c>
      <c r="AQ867" s="18" t="s">
        <v>95</v>
      </c>
      <c r="AR867" s="18" t="s">
        <v>95</v>
      </c>
      <c r="AS867" s="18" t="s">
        <v>83</v>
      </c>
      <c r="AT867" s="18" t="s">
        <v>83</v>
      </c>
      <c r="AU867" s="18" t="s">
        <v>81</v>
      </c>
      <c r="AV867" s="18" t="s">
        <v>95</v>
      </c>
      <c r="AW867" s="18" t="s">
        <v>95</v>
      </c>
      <c r="AX867" s="18"/>
      <c r="AY867" s="18" t="str">
        <f>Pospago[[#This Row],[NUM_TELEFONICO]]&amp;"POSPAGOSI"</f>
        <v>995786756POSPAGOSI</v>
      </c>
      <c r="AZ867" s="18" t="str">
        <f>VLOOKUP(Pospago[[#This Row],[NOM_PLAZA_FINAL]],[1]!Locales[#Data],3,0)</f>
        <v>TIENDA RECREO</v>
      </c>
      <c r="BA867" s="18" t="str">
        <f>IFERROR(VLOOKUP(Pospago[[#This Row],[USUARIO]],[1]!Personal[#Data],6,0),"EJECUTIVO NO REGISTRADO")</f>
        <v>CORDOVA GAIBOR JONATHAN HERNAN</v>
      </c>
      <c r="BB867" s="18" t="str">
        <f>Pospago[[#This Row],[TIPO_MOVIMIENTO]]&amp;" "&amp;Pospago[[#This Row],[FORMA_PAGO_FINAL]]</f>
        <v>TRANSFERENCIAS DOMICILIADO</v>
      </c>
      <c r="BC867" s="18">
        <f>DAY(Pospago[[#This Row],[FECHA_ALTA]])</f>
        <v>7</v>
      </c>
      <c r="BD867" s="18">
        <f>IF(Pospago[[#This Row],[TARIFA_BASICA]]=11.42,1,0)</f>
        <v>0</v>
      </c>
      <c r="BE867" s="18">
        <f>IF(Pospago[[#This Row],[PLANES TELEVENTAS]]="SI",1,0)</f>
        <v>0</v>
      </c>
      <c r="BF867" s="18">
        <f>1</f>
        <v>1</v>
      </c>
      <c r="BG867" s="18">
        <f>IF(OR(Pospago[[#This Row],[TARIFA_BASICA]]=11.42,Pospago[[#This Row],[PLANES TELEVENTAS]]="SI"),1,0)</f>
        <v>0</v>
      </c>
      <c r="BH867" s="18" t="str">
        <f>IF(MID(Pospago[[#This Row],[PlanDesc]],1,4) = "PLAN","POSPAGO",IF(MID(Pospago[[#This Row],[PlanDesc]],1,4)="FULL","FULL MEGAS","PREVIOPAGO"))</f>
        <v>PREVIOPAGO</v>
      </c>
      <c r="BI8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67" s="21">
        <f>Pospago[[#This Row],[TARIFA_BASICA]]*1.5</f>
        <v>21.419999999999998</v>
      </c>
    </row>
    <row r="868" spans="1:63" x14ac:dyDescent="0.25">
      <c r="A868" s="18" t="s">
        <v>154</v>
      </c>
      <c r="B868" s="18" t="s">
        <v>5470</v>
      </c>
      <c r="C868" s="18" t="s">
        <v>5471</v>
      </c>
      <c r="D868" s="19">
        <v>44901</v>
      </c>
      <c r="E868" s="18" t="s">
        <v>67</v>
      </c>
      <c r="F868" s="18" t="s">
        <v>5472</v>
      </c>
      <c r="G868" s="18" t="s">
        <v>5473</v>
      </c>
      <c r="H868" s="18" t="s">
        <v>159</v>
      </c>
      <c r="I868" s="18" t="s">
        <v>160</v>
      </c>
      <c r="J868" s="18" t="s">
        <v>161</v>
      </c>
      <c r="K868" s="18" t="s">
        <v>132</v>
      </c>
      <c r="L868" s="20" t="s">
        <v>5474</v>
      </c>
      <c r="M868" s="18" t="s">
        <v>75</v>
      </c>
      <c r="N868" s="20" t="s">
        <v>5475</v>
      </c>
      <c r="O868" s="18" t="s">
        <v>164</v>
      </c>
      <c r="P868" s="18" t="s">
        <v>78</v>
      </c>
      <c r="Q868" s="19">
        <v>44914</v>
      </c>
      <c r="R868" s="21">
        <v>14.28</v>
      </c>
      <c r="S868" s="18" t="s">
        <v>79</v>
      </c>
      <c r="T868" s="18" t="s">
        <v>135</v>
      </c>
      <c r="U868" s="18" t="s">
        <v>83</v>
      </c>
      <c r="V868" s="18" t="s">
        <v>95</v>
      </c>
      <c r="W868" s="18" t="s">
        <v>95</v>
      </c>
      <c r="X868" s="18" t="s">
        <v>84</v>
      </c>
      <c r="Y868" s="18" t="s">
        <v>85</v>
      </c>
      <c r="Z868" s="18" t="s">
        <v>86</v>
      </c>
      <c r="AA868" s="18" t="s">
        <v>87</v>
      </c>
      <c r="AB868" s="18" t="s">
        <v>136</v>
      </c>
      <c r="AC868" s="18" t="s">
        <v>137</v>
      </c>
      <c r="AD868" s="18" t="s">
        <v>85</v>
      </c>
      <c r="AE868" s="18" t="s">
        <v>90</v>
      </c>
      <c r="AF868" s="18" t="s">
        <v>138</v>
      </c>
      <c r="AG868" s="18" t="s">
        <v>139</v>
      </c>
      <c r="AH868" s="18" t="s">
        <v>165</v>
      </c>
      <c r="AI868" s="18" t="s">
        <v>94</v>
      </c>
      <c r="AJ868" s="19">
        <v>44901</v>
      </c>
      <c r="AK868" s="22" t="s">
        <v>95</v>
      </c>
      <c r="AL868" s="18" t="s">
        <v>95</v>
      </c>
      <c r="AM868" s="18" t="s">
        <v>95</v>
      </c>
      <c r="AN868" s="18" t="s">
        <v>95</v>
      </c>
      <c r="AO868" s="18" t="s">
        <v>95</v>
      </c>
      <c r="AP868" s="18" t="s">
        <v>95</v>
      </c>
      <c r="AQ868" s="18" t="s">
        <v>95</v>
      </c>
      <c r="AR868" s="18" t="s">
        <v>95</v>
      </c>
      <c r="AS868" s="18" t="s">
        <v>83</v>
      </c>
      <c r="AT868" s="18" t="s">
        <v>83</v>
      </c>
      <c r="AU868" s="18" t="s">
        <v>81</v>
      </c>
      <c r="AV868" s="18" t="s">
        <v>95</v>
      </c>
      <c r="AW868" s="18" t="s">
        <v>95</v>
      </c>
      <c r="AX868" s="18"/>
      <c r="AY868" s="18" t="str">
        <f>Pospago[[#This Row],[NUM_TELEFONICO]]&amp;"POSPAGOSI"</f>
        <v>995787808POSPAGOSI</v>
      </c>
      <c r="AZ868" s="18" t="str">
        <f>VLOOKUP(Pospago[[#This Row],[NOM_PLAZA_FINAL]],[1]!Locales[#Data],3,0)</f>
        <v>TIENDA AMERICA</v>
      </c>
      <c r="BA868" s="18" t="str">
        <f>IFERROR(VLOOKUP(Pospago[[#This Row],[USUARIO]],[1]!Personal[#Data],6,0),"EJECUTIVO NO REGISTRADO")</f>
        <v>SALVATIERRA GUERRA JULIAN ENRIQUE</v>
      </c>
      <c r="BB868" s="18" t="str">
        <f>Pospago[[#This Row],[TIPO_MOVIMIENTO]]&amp;" "&amp;Pospago[[#This Row],[FORMA_PAGO_FINAL]]</f>
        <v>TRANSFERENCIAS DOMICILIADO</v>
      </c>
      <c r="BC868" s="18">
        <f>DAY(Pospago[[#This Row],[FECHA_ALTA]])</f>
        <v>6</v>
      </c>
      <c r="BD868" s="18">
        <f>IF(Pospago[[#This Row],[TARIFA_BASICA]]=11.42,1,0)</f>
        <v>0</v>
      </c>
      <c r="BE868" s="18">
        <f>IF(Pospago[[#This Row],[PLANES TELEVENTAS]]="SI",1,0)</f>
        <v>0</v>
      </c>
      <c r="BF868" s="18">
        <f>1</f>
        <v>1</v>
      </c>
      <c r="BG868" s="18">
        <f>IF(OR(Pospago[[#This Row],[TARIFA_BASICA]]=11.42,Pospago[[#This Row],[PLANES TELEVENTAS]]="SI"),1,0)</f>
        <v>0</v>
      </c>
      <c r="BH868" s="18" t="str">
        <f>IF(MID(Pospago[[#This Row],[PlanDesc]],1,4) = "PLAN","POSPAGO",IF(MID(Pospago[[#This Row],[PlanDesc]],1,4)="FULL","FULL MEGAS","PREVIOPAGO"))</f>
        <v>PREVIOPAGO</v>
      </c>
      <c r="BI8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68" s="21">
        <f>Pospago[[#This Row],[TARIFA_BASICA]]*1.5</f>
        <v>21.419999999999998</v>
      </c>
    </row>
    <row r="869" spans="1:63" x14ac:dyDescent="0.25">
      <c r="A869" s="18" t="s">
        <v>154</v>
      </c>
      <c r="B869" s="18" t="s">
        <v>5476</v>
      </c>
      <c r="C869" s="18" t="s">
        <v>5477</v>
      </c>
      <c r="D869" s="19">
        <v>44902</v>
      </c>
      <c r="E869" s="18" t="s">
        <v>67</v>
      </c>
      <c r="F869" s="18" t="s">
        <v>5478</v>
      </c>
      <c r="G869" s="18" t="s">
        <v>5479</v>
      </c>
      <c r="H869" s="18" t="s">
        <v>159</v>
      </c>
      <c r="I869" s="18" t="s">
        <v>1357</v>
      </c>
      <c r="J869" s="18" t="s">
        <v>2022</v>
      </c>
      <c r="K869" s="18" t="s">
        <v>132</v>
      </c>
      <c r="L869" s="20" t="s">
        <v>5480</v>
      </c>
      <c r="M869" s="18" t="s">
        <v>75</v>
      </c>
      <c r="N869" s="20" t="s">
        <v>5481</v>
      </c>
      <c r="O869" s="18" t="s">
        <v>2241</v>
      </c>
      <c r="P869" s="18" t="s">
        <v>78</v>
      </c>
      <c r="Q869" s="19">
        <v>44914</v>
      </c>
      <c r="R869" s="21">
        <v>11.42</v>
      </c>
      <c r="S869" s="18" t="s">
        <v>79</v>
      </c>
      <c r="T869" s="18" t="s">
        <v>174</v>
      </c>
      <c r="U869" s="18" t="s">
        <v>83</v>
      </c>
      <c r="V869" s="18" t="s">
        <v>95</v>
      </c>
      <c r="W869" s="18" t="s">
        <v>95</v>
      </c>
      <c r="X869" s="18" t="s">
        <v>118</v>
      </c>
      <c r="Y869" s="18" t="s">
        <v>85</v>
      </c>
      <c r="Z869" s="18" t="s">
        <v>86</v>
      </c>
      <c r="AA869" s="18" t="s">
        <v>119</v>
      </c>
      <c r="AB869" s="18" t="s">
        <v>251</v>
      </c>
      <c r="AC869" s="18" t="s">
        <v>252</v>
      </c>
      <c r="AD869" s="18" t="s">
        <v>85</v>
      </c>
      <c r="AE869" s="18" t="s">
        <v>90</v>
      </c>
      <c r="AF869" s="18" t="s">
        <v>177</v>
      </c>
      <c r="AG869" s="18" t="s">
        <v>139</v>
      </c>
      <c r="AH869" s="18" t="s">
        <v>165</v>
      </c>
      <c r="AI869" s="18" t="s">
        <v>94</v>
      </c>
      <c r="AJ869" s="19">
        <v>44902</v>
      </c>
      <c r="AK869" s="22" t="s">
        <v>95</v>
      </c>
      <c r="AL869" s="18" t="s">
        <v>95</v>
      </c>
      <c r="AM869" s="18" t="s">
        <v>95</v>
      </c>
      <c r="AN869" s="18" t="s">
        <v>95</v>
      </c>
      <c r="AO869" s="18" t="s">
        <v>95</v>
      </c>
      <c r="AP869" s="18" t="s">
        <v>95</v>
      </c>
      <c r="AQ869" s="18" t="s">
        <v>95</v>
      </c>
      <c r="AR869" s="18" t="s">
        <v>95</v>
      </c>
      <c r="AS869" s="18" t="s">
        <v>83</v>
      </c>
      <c r="AT869" s="18" t="s">
        <v>81</v>
      </c>
      <c r="AU869" s="18" t="s">
        <v>81</v>
      </c>
      <c r="AV869" s="18" t="s">
        <v>95</v>
      </c>
      <c r="AW869" s="18" t="s">
        <v>95</v>
      </c>
      <c r="AX869" s="18"/>
      <c r="AY869" s="18" t="str">
        <f>Pospago[[#This Row],[NUM_TELEFONICO]]&amp;"POSPAGOSI"</f>
        <v>995791064POSPAGOSI</v>
      </c>
      <c r="AZ869" s="18" t="str">
        <f>VLOOKUP(Pospago[[#This Row],[NOM_PLAZA_FINAL]],[1]!Locales[#Data],3,0)</f>
        <v>TIENDA RECREO</v>
      </c>
      <c r="BA869" s="18" t="str">
        <f>IFERROR(VLOOKUP(Pospago[[#This Row],[USUARIO]],[1]!Personal[#Data],6,0),"EJECUTIVO NO REGISTRADO")</f>
        <v>CRUZ MONTUFAR KATHERINE ALEJANDRA</v>
      </c>
      <c r="BB869" s="18" t="str">
        <f>Pospago[[#This Row],[TIPO_MOVIMIENTO]]&amp;" "&amp;Pospago[[#This Row],[FORMA_PAGO_FINAL]]</f>
        <v>TRANSFERENCIAS PAGO EN CAJA</v>
      </c>
      <c r="BC869" s="18">
        <f>DAY(Pospago[[#This Row],[FECHA_ALTA]])</f>
        <v>7</v>
      </c>
      <c r="BD869" s="18">
        <f>IF(Pospago[[#This Row],[TARIFA_BASICA]]=11.42,1,0)</f>
        <v>1</v>
      </c>
      <c r="BE869" s="18">
        <f>IF(Pospago[[#This Row],[PLANES TELEVENTAS]]="SI",1,0)</f>
        <v>1</v>
      </c>
      <c r="BF869" s="18">
        <f>1</f>
        <v>1</v>
      </c>
      <c r="BG869" s="18">
        <f>IF(OR(Pospago[[#This Row],[TARIFA_BASICA]]=11.42,Pospago[[#This Row],[PLANES TELEVENTAS]]="SI"),1,0)</f>
        <v>1</v>
      </c>
      <c r="BH869" s="18" t="str">
        <f>IF(MID(Pospago[[#This Row],[PlanDesc]],1,4) = "PLAN","POSPAGO",IF(MID(Pospago[[#This Row],[PlanDesc]],1,4)="FULL","FULL MEGAS","PREVIOPAGO"))</f>
        <v>PREVIOPAGO</v>
      </c>
      <c r="BI8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8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69" s="21">
        <f>Pospago[[#This Row],[TARIFA_BASICA]]*1.5</f>
        <v>17.13</v>
      </c>
    </row>
    <row r="870" spans="1:63" x14ac:dyDescent="0.25">
      <c r="A870" s="18" t="s">
        <v>154</v>
      </c>
      <c r="B870" s="18" t="s">
        <v>5482</v>
      </c>
      <c r="C870" s="18" t="s">
        <v>5483</v>
      </c>
      <c r="D870" s="19">
        <v>44898</v>
      </c>
      <c r="E870" s="18" t="s">
        <v>67</v>
      </c>
      <c r="F870" s="18" t="s">
        <v>5484</v>
      </c>
      <c r="G870" s="18" t="s">
        <v>5485</v>
      </c>
      <c r="H870" s="18" t="s">
        <v>159</v>
      </c>
      <c r="I870" s="18" t="s">
        <v>71</v>
      </c>
      <c r="J870" s="18" t="s">
        <v>258</v>
      </c>
      <c r="K870" s="18" t="s">
        <v>95</v>
      </c>
      <c r="L870" s="20" t="s">
        <v>5486</v>
      </c>
      <c r="M870" s="18" t="s">
        <v>75</v>
      </c>
      <c r="N870" s="20" t="s">
        <v>5487</v>
      </c>
      <c r="O870" s="18" t="s">
        <v>164</v>
      </c>
      <c r="P870" s="18" t="s">
        <v>78</v>
      </c>
      <c r="Q870" s="19">
        <v>44914</v>
      </c>
      <c r="R870" s="21">
        <v>11.42</v>
      </c>
      <c r="S870" s="18" t="s">
        <v>79</v>
      </c>
      <c r="T870" s="18" t="s">
        <v>174</v>
      </c>
      <c r="U870" s="18" t="s">
        <v>83</v>
      </c>
      <c r="V870" s="18" t="s">
        <v>95</v>
      </c>
      <c r="W870" s="18" t="s">
        <v>95</v>
      </c>
      <c r="X870" s="18" t="s">
        <v>84</v>
      </c>
      <c r="Y870" s="18" t="s">
        <v>85</v>
      </c>
      <c r="Z870" s="18" t="s">
        <v>86</v>
      </c>
      <c r="AA870" s="18" t="s">
        <v>87</v>
      </c>
      <c r="AB870" s="18" t="s">
        <v>396</v>
      </c>
      <c r="AC870" s="18" t="s">
        <v>397</v>
      </c>
      <c r="AD870" s="18" t="s">
        <v>85</v>
      </c>
      <c r="AE870" s="18" t="s">
        <v>90</v>
      </c>
      <c r="AF870" s="18" t="s">
        <v>177</v>
      </c>
      <c r="AG870" s="18" t="s">
        <v>139</v>
      </c>
      <c r="AH870" s="18" t="s">
        <v>165</v>
      </c>
      <c r="AI870" s="18" t="s">
        <v>94</v>
      </c>
      <c r="AJ870" s="19">
        <v>44898</v>
      </c>
      <c r="AK870" s="22" t="s">
        <v>95</v>
      </c>
      <c r="AL870" s="18" t="s">
        <v>95</v>
      </c>
      <c r="AM870" s="18" t="s">
        <v>95</v>
      </c>
      <c r="AN870" s="18" t="s">
        <v>95</v>
      </c>
      <c r="AO870" s="18" t="s">
        <v>95</v>
      </c>
      <c r="AP870" s="18" t="s">
        <v>95</v>
      </c>
      <c r="AQ870" s="18" t="s">
        <v>95</v>
      </c>
      <c r="AR870" s="18" t="s">
        <v>95</v>
      </c>
      <c r="AS870" s="18" t="s">
        <v>83</v>
      </c>
      <c r="AT870" s="18" t="s">
        <v>83</v>
      </c>
      <c r="AU870" s="18" t="s">
        <v>81</v>
      </c>
      <c r="AV870" s="18" t="s">
        <v>95</v>
      </c>
      <c r="AW870" s="18" t="s">
        <v>95</v>
      </c>
      <c r="AX870" s="18"/>
      <c r="AY870" s="18" t="str">
        <f>Pospago[[#This Row],[NUM_TELEFONICO]]&amp;"POSPAGOSI"</f>
        <v>995806966POSPAGOSI</v>
      </c>
      <c r="AZ870" s="18" t="str">
        <f>VLOOKUP(Pospago[[#This Row],[NOM_PLAZA_FINAL]],[1]!Locales[#Data],3,0)</f>
        <v>TIENDA RECREO</v>
      </c>
      <c r="BA870" s="18" t="str">
        <f>IFERROR(VLOOKUP(Pospago[[#This Row],[USUARIO]],[1]!Personal[#Data],6,0),"EJECUTIVO NO REGISTRADO")</f>
        <v>VINUEZA VELASCO ANGY DAYANA</v>
      </c>
      <c r="BB870" s="18" t="str">
        <f>Pospago[[#This Row],[TIPO_MOVIMIENTO]]&amp;" "&amp;Pospago[[#This Row],[FORMA_PAGO_FINAL]]</f>
        <v>TRANSFERENCIAS DOMICILIADO</v>
      </c>
      <c r="BC870" s="18">
        <f>DAY(Pospago[[#This Row],[FECHA_ALTA]])</f>
        <v>3</v>
      </c>
      <c r="BD870" s="18">
        <f>IF(Pospago[[#This Row],[TARIFA_BASICA]]=11.42,1,0)</f>
        <v>1</v>
      </c>
      <c r="BE870" s="18">
        <f>IF(Pospago[[#This Row],[PLANES TELEVENTAS]]="SI",1,0)</f>
        <v>0</v>
      </c>
      <c r="BF870" s="18">
        <f>1</f>
        <v>1</v>
      </c>
      <c r="BG870" s="18">
        <f>IF(OR(Pospago[[#This Row],[TARIFA_BASICA]]=11.42,Pospago[[#This Row],[PLANES TELEVENTAS]]="SI"),1,0)</f>
        <v>1</v>
      </c>
      <c r="BH870" s="18" t="str">
        <f>IF(MID(Pospago[[#This Row],[PlanDesc]],1,4) = "PLAN","POSPAGO",IF(MID(Pospago[[#This Row],[PlanDesc]],1,4)="FULL","FULL MEGAS","PREVIOPAGO"))</f>
        <v>PREVIOPAGO</v>
      </c>
      <c r="BI8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8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70" s="21">
        <f>Pospago[[#This Row],[TARIFA_BASICA]]*1.5</f>
        <v>17.13</v>
      </c>
    </row>
    <row r="871" spans="1:63" x14ac:dyDescent="0.25">
      <c r="A871" s="18" t="s">
        <v>154</v>
      </c>
      <c r="B871" s="18" t="s">
        <v>5488</v>
      </c>
      <c r="C871" s="18" t="s">
        <v>5489</v>
      </c>
      <c r="D871" s="19">
        <v>44898</v>
      </c>
      <c r="E871" s="18" t="s">
        <v>67</v>
      </c>
      <c r="F871" s="18" t="s">
        <v>5490</v>
      </c>
      <c r="G871" s="18" t="s">
        <v>5491</v>
      </c>
      <c r="H871" s="18" t="s">
        <v>159</v>
      </c>
      <c r="I871" s="18" t="s">
        <v>130</v>
      </c>
      <c r="J871" s="18" t="s">
        <v>433</v>
      </c>
      <c r="K871" s="18" t="s">
        <v>73</v>
      </c>
      <c r="L871" s="20" t="s">
        <v>5492</v>
      </c>
      <c r="M871" s="18" t="s">
        <v>75</v>
      </c>
      <c r="N871" s="20" t="s">
        <v>5493</v>
      </c>
      <c r="O871" s="18" t="s">
        <v>164</v>
      </c>
      <c r="P871" s="18" t="s">
        <v>78</v>
      </c>
      <c r="Q871" s="19">
        <v>44914</v>
      </c>
      <c r="R871" s="21">
        <v>15</v>
      </c>
      <c r="S871" s="18" t="s">
        <v>79</v>
      </c>
      <c r="T871" s="18" t="s">
        <v>80</v>
      </c>
      <c r="U871" s="18" t="s">
        <v>83</v>
      </c>
      <c r="V871" s="18" t="s">
        <v>95</v>
      </c>
      <c r="W871" s="18" t="s">
        <v>95</v>
      </c>
      <c r="X871" s="18" t="s">
        <v>118</v>
      </c>
      <c r="Y871" s="18" t="s">
        <v>85</v>
      </c>
      <c r="Z871" s="18" t="s">
        <v>86</v>
      </c>
      <c r="AA871" s="18" t="s">
        <v>119</v>
      </c>
      <c r="AB871" s="18" t="s">
        <v>1020</v>
      </c>
      <c r="AC871" s="18" t="s">
        <v>1021</v>
      </c>
      <c r="AD871" s="18" t="s">
        <v>85</v>
      </c>
      <c r="AE871" s="18" t="s">
        <v>90</v>
      </c>
      <c r="AF871" s="18" t="s">
        <v>91</v>
      </c>
      <c r="AG871" s="18" t="s">
        <v>92</v>
      </c>
      <c r="AH871" s="18" t="s">
        <v>165</v>
      </c>
      <c r="AI871" s="18" t="s">
        <v>94</v>
      </c>
      <c r="AJ871" s="19">
        <v>44898</v>
      </c>
      <c r="AK871" s="22" t="s">
        <v>95</v>
      </c>
      <c r="AL871" s="18" t="s">
        <v>95</v>
      </c>
      <c r="AM871" s="18" t="s">
        <v>95</v>
      </c>
      <c r="AN871" s="18" t="s">
        <v>95</v>
      </c>
      <c r="AO871" s="18" t="s">
        <v>95</v>
      </c>
      <c r="AP871" s="18" t="s">
        <v>95</v>
      </c>
      <c r="AQ871" s="18" t="s">
        <v>95</v>
      </c>
      <c r="AR871" s="18" t="s">
        <v>95</v>
      </c>
      <c r="AS871" s="18" t="s">
        <v>83</v>
      </c>
      <c r="AT871" s="18" t="s">
        <v>83</v>
      </c>
      <c r="AU871" s="18" t="s">
        <v>81</v>
      </c>
      <c r="AV871" s="18" t="s">
        <v>95</v>
      </c>
      <c r="AW871" s="18" t="s">
        <v>95</v>
      </c>
      <c r="AX871" s="18"/>
      <c r="AY871" s="18" t="str">
        <f>Pospago[[#This Row],[NUM_TELEFONICO]]&amp;"POSPAGOSI"</f>
        <v>995807790POSPAGOSI</v>
      </c>
      <c r="AZ871" s="18" t="str">
        <f>VLOOKUP(Pospago[[#This Row],[NOM_PLAZA_FINAL]],[1]!Locales[#Data],3,0)</f>
        <v>TIENDA CUENCA CENTRO</v>
      </c>
      <c r="BA871" s="18" t="str">
        <f>IFERROR(VLOOKUP(Pospago[[#This Row],[USUARIO]],[1]!Personal[#Data],6,0),"EJECUTIVO NO REGISTRADO")</f>
        <v>GONZALES ALVARRACIN PAOLA YESSENIA</v>
      </c>
      <c r="BB871" s="18" t="str">
        <f>Pospago[[#This Row],[TIPO_MOVIMIENTO]]&amp;" "&amp;Pospago[[#This Row],[FORMA_PAGO_FINAL]]</f>
        <v>TRANSFERENCIAS PAGO EN CAJA</v>
      </c>
      <c r="BC871" s="18">
        <f>DAY(Pospago[[#This Row],[FECHA_ALTA]])</f>
        <v>3</v>
      </c>
      <c r="BD871" s="18">
        <f>IF(Pospago[[#This Row],[TARIFA_BASICA]]=11.42,1,0)</f>
        <v>0</v>
      </c>
      <c r="BE871" s="18">
        <f>IF(Pospago[[#This Row],[PLANES TELEVENTAS]]="SI",1,0)</f>
        <v>0</v>
      </c>
      <c r="BF871" s="18">
        <f>1</f>
        <v>1</v>
      </c>
      <c r="BG871" s="18">
        <f>IF(OR(Pospago[[#This Row],[TARIFA_BASICA]]=11.42,Pospago[[#This Row],[PLANES TELEVENTAS]]="SI"),1,0)</f>
        <v>0</v>
      </c>
      <c r="BH871" s="18" t="str">
        <f>IF(MID(Pospago[[#This Row],[PlanDesc]],1,4) = "PLAN","POSPAGO",IF(MID(Pospago[[#This Row],[PlanDesc]],1,4)="FULL","FULL MEGAS","PREVIOPAGO"))</f>
        <v>PREVIOPAGO</v>
      </c>
      <c r="BI8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8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71" s="21">
        <f>Pospago[[#This Row],[TARIFA_BASICA]]*1.5</f>
        <v>22.5</v>
      </c>
    </row>
    <row r="872" spans="1:63" x14ac:dyDescent="0.25">
      <c r="A872" s="18" t="s">
        <v>154</v>
      </c>
      <c r="B872" s="18" t="s">
        <v>5494</v>
      </c>
      <c r="C872" s="18" t="s">
        <v>5495</v>
      </c>
      <c r="D872" s="19">
        <v>44904</v>
      </c>
      <c r="E872" s="18" t="s">
        <v>67</v>
      </c>
      <c r="F872" s="18" t="s">
        <v>5496</v>
      </c>
      <c r="G872" s="18" t="s">
        <v>5497</v>
      </c>
      <c r="H872" s="18" t="s">
        <v>159</v>
      </c>
      <c r="I872" s="18" t="s">
        <v>160</v>
      </c>
      <c r="J872" s="18" t="s">
        <v>161</v>
      </c>
      <c r="K872" s="18" t="s">
        <v>95</v>
      </c>
      <c r="L872" s="20" t="s">
        <v>5498</v>
      </c>
      <c r="M872" s="18" t="s">
        <v>75</v>
      </c>
      <c r="N872" s="20" t="s">
        <v>5499</v>
      </c>
      <c r="O872" s="18" t="s">
        <v>164</v>
      </c>
      <c r="P872" s="18" t="s">
        <v>78</v>
      </c>
      <c r="Q872" s="19">
        <v>44914</v>
      </c>
      <c r="R872" s="21">
        <v>14.28</v>
      </c>
      <c r="S872" s="18" t="s">
        <v>79</v>
      </c>
      <c r="T872" s="18" t="s">
        <v>232</v>
      </c>
      <c r="U872" s="18" t="s">
        <v>83</v>
      </c>
      <c r="V872" s="18" t="s">
        <v>95</v>
      </c>
      <c r="W872" s="18" t="s">
        <v>95</v>
      </c>
      <c r="X872" s="18" t="s">
        <v>118</v>
      </c>
      <c r="Y872" s="18" t="s">
        <v>85</v>
      </c>
      <c r="Z872" s="18" t="s">
        <v>86</v>
      </c>
      <c r="AA872" s="18" t="s">
        <v>119</v>
      </c>
      <c r="AB872" s="18" t="s">
        <v>233</v>
      </c>
      <c r="AC872" s="18" t="s">
        <v>234</v>
      </c>
      <c r="AD872" s="18" t="s">
        <v>85</v>
      </c>
      <c r="AE872" s="18" t="s">
        <v>90</v>
      </c>
      <c r="AF872" s="18" t="s">
        <v>235</v>
      </c>
      <c r="AG872" s="18" t="s">
        <v>139</v>
      </c>
      <c r="AH872" s="18" t="s">
        <v>165</v>
      </c>
      <c r="AI872" s="18" t="s">
        <v>94</v>
      </c>
      <c r="AJ872" s="19">
        <v>44904</v>
      </c>
      <c r="AK872" s="22" t="s">
        <v>95</v>
      </c>
      <c r="AL872" s="18" t="s">
        <v>95</v>
      </c>
      <c r="AM872" s="18" t="s">
        <v>95</v>
      </c>
      <c r="AN872" s="18" t="s">
        <v>95</v>
      </c>
      <c r="AO872" s="18" t="s">
        <v>95</v>
      </c>
      <c r="AP872" s="18" t="s">
        <v>95</v>
      </c>
      <c r="AQ872" s="18" t="s">
        <v>95</v>
      </c>
      <c r="AR872" s="18" t="s">
        <v>95</v>
      </c>
      <c r="AS872" s="18" t="s">
        <v>83</v>
      </c>
      <c r="AT872" s="18" t="s">
        <v>83</v>
      </c>
      <c r="AU872" s="18" t="s">
        <v>81</v>
      </c>
      <c r="AV872" s="18" t="s">
        <v>95</v>
      </c>
      <c r="AW872" s="18" t="s">
        <v>95</v>
      </c>
      <c r="AX872" s="18"/>
      <c r="AY872" s="18" t="str">
        <f>Pospago[[#This Row],[NUM_TELEFONICO]]&amp;"POSPAGOSI"</f>
        <v>995813435POSPAGOSI</v>
      </c>
      <c r="AZ872" s="18" t="str">
        <f>VLOOKUP(Pospago[[#This Row],[NOM_PLAZA_FINAL]],[1]!Locales[#Data],3,0)</f>
        <v>TIENDA CONDADO</v>
      </c>
      <c r="BA872" s="18" t="str">
        <f>IFERROR(VLOOKUP(Pospago[[#This Row],[USUARIO]],[1]!Personal[#Data],6,0),"EJECUTIVO NO REGISTRADO")</f>
        <v>ROSALES MALDONADO JESSICA GABRIELA</v>
      </c>
      <c r="BB872" s="18" t="str">
        <f>Pospago[[#This Row],[TIPO_MOVIMIENTO]]&amp;" "&amp;Pospago[[#This Row],[FORMA_PAGO_FINAL]]</f>
        <v>TRANSFERENCIAS PAGO EN CAJA</v>
      </c>
      <c r="BC872" s="18">
        <f>DAY(Pospago[[#This Row],[FECHA_ALTA]])</f>
        <v>9</v>
      </c>
      <c r="BD872" s="18">
        <f>IF(Pospago[[#This Row],[TARIFA_BASICA]]=11.42,1,0)</f>
        <v>0</v>
      </c>
      <c r="BE872" s="18">
        <f>IF(Pospago[[#This Row],[PLANES TELEVENTAS]]="SI",1,0)</f>
        <v>0</v>
      </c>
      <c r="BF872" s="18">
        <f>1</f>
        <v>1</v>
      </c>
      <c r="BG872" s="18">
        <f>IF(OR(Pospago[[#This Row],[TARIFA_BASICA]]=11.42,Pospago[[#This Row],[PLANES TELEVENTAS]]="SI"),1,0)</f>
        <v>0</v>
      </c>
      <c r="BH872" s="18" t="str">
        <f>IF(MID(Pospago[[#This Row],[PlanDesc]],1,4) = "PLAN","POSPAGO",IF(MID(Pospago[[#This Row],[PlanDesc]],1,4)="FULL","FULL MEGAS","PREVIOPAGO"))</f>
        <v>PREVIOPAGO</v>
      </c>
      <c r="BI8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8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72" s="21">
        <f>Pospago[[#This Row],[TARIFA_BASICA]]*1.5</f>
        <v>21.419999999999998</v>
      </c>
    </row>
    <row r="873" spans="1:63" x14ac:dyDescent="0.25">
      <c r="A873" s="18" t="s">
        <v>64</v>
      </c>
      <c r="B873" s="18" t="s">
        <v>5500</v>
      </c>
      <c r="C873" s="18" t="s">
        <v>5501</v>
      </c>
      <c r="D873" s="19">
        <v>44911</v>
      </c>
      <c r="E873" s="18" t="s">
        <v>67</v>
      </c>
      <c r="F873" s="18" t="s">
        <v>5502</v>
      </c>
      <c r="G873" s="18" t="s">
        <v>5503</v>
      </c>
      <c r="H873" s="18" t="s">
        <v>70</v>
      </c>
      <c r="I873" s="18" t="s">
        <v>211</v>
      </c>
      <c r="J873" s="18" t="s">
        <v>212</v>
      </c>
      <c r="K873" s="18" t="s">
        <v>73</v>
      </c>
      <c r="L873" s="20" t="s">
        <v>5504</v>
      </c>
      <c r="M873" s="18" t="s">
        <v>75</v>
      </c>
      <c r="N873" s="20" t="s">
        <v>5505</v>
      </c>
      <c r="O873" s="18" t="s">
        <v>77</v>
      </c>
      <c r="P873" s="18" t="s">
        <v>78</v>
      </c>
      <c r="Q873" s="19">
        <v>44914</v>
      </c>
      <c r="R873" s="21">
        <v>25</v>
      </c>
      <c r="S873" s="18" t="s">
        <v>79</v>
      </c>
      <c r="T873" s="18" t="s">
        <v>148</v>
      </c>
      <c r="U873" s="18" t="s">
        <v>83</v>
      </c>
      <c r="V873" s="18" t="s">
        <v>95</v>
      </c>
      <c r="W873" s="18" t="s">
        <v>83</v>
      </c>
      <c r="X873" s="18" t="s">
        <v>215</v>
      </c>
      <c r="Y873" s="18" t="s">
        <v>85</v>
      </c>
      <c r="Z873" s="18" t="s">
        <v>86</v>
      </c>
      <c r="AA873" s="18" t="s">
        <v>87</v>
      </c>
      <c r="AB873" s="18" t="s">
        <v>149</v>
      </c>
      <c r="AC873" s="18" t="s">
        <v>150</v>
      </c>
      <c r="AD873" s="18" t="s">
        <v>85</v>
      </c>
      <c r="AE873" s="18" t="s">
        <v>90</v>
      </c>
      <c r="AF873" s="18" t="s">
        <v>151</v>
      </c>
      <c r="AG873" s="18" t="s">
        <v>92</v>
      </c>
      <c r="AH873" s="18" t="s">
        <v>93</v>
      </c>
      <c r="AI873" s="18" t="s">
        <v>94</v>
      </c>
      <c r="AJ873" s="19">
        <v>44911</v>
      </c>
      <c r="AK873" s="22" t="s">
        <v>95</v>
      </c>
      <c r="AL873" s="18" t="s">
        <v>95</v>
      </c>
      <c r="AM873" s="18" t="s">
        <v>95</v>
      </c>
      <c r="AN873" s="18" t="s">
        <v>95</v>
      </c>
      <c r="AO873" s="18" t="s">
        <v>95</v>
      </c>
      <c r="AP873" s="18" t="s">
        <v>95</v>
      </c>
      <c r="AQ873" s="18" t="s">
        <v>95</v>
      </c>
      <c r="AR873" s="18" t="s">
        <v>95</v>
      </c>
      <c r="AS873" s="18" t="s">
        <v>83</v>
      </c>
      <c r="AT873" s="18" t="s">
        <v>95</v>
      </c>
      <c r="AU873" s="18" t="s">
        <v>95</v>
      </c>
      <c r="AV873" s="18" t="s">
        <v>95</v>
      </c>
      <c r="AW873" s="18" t="s">
        <v>95</v>
      </c>
      <c r="AX873" s="18"/>
      <c r="AY873" s="18" t="str">
        <f>Pospago[[#This Row],[NUM_TELEFONICO]]&amp;"POSPAGOSI"</f>
        <v>995814173POSPAGOSI</v>
      </c>
      <c r="AZ873" s="18" t="str">
        <f>VLOOKUP(Pospago[[#This Row],[NOM_PLAZA_FINAL]],[1]!Locales[#Data],3,0)</f>
        <v>TIENDA CUENCA REMIGIO</v>
      </c>
      <c r="BA873" s="18" t="str">
        <f>IFERROR(VLOOKUP(Pospago[[#This Row],[USUARIO]],[1]!Personal[#Data],6,0),"EJECUTIVO NO REGISTRADO")</f>
        <v>OSORIO TEJADA ANA ESTEFANIA</v>
      </c>
      <c r="BB873" s="18" t="str">
        <f>Pospago[[#This Row],[TIPO_MOVIMIENTO]]&amp;" "&amp;Pospago[[#This Row],[FORMA_PAGO_FINAL]]</f>
        <v>ALTAS DOMICILIADO</v>
      </c>
      <c r="BC873" s="18">
        <f>DAY(Pospago[[#This Row],[FECHA_ALTA]])</f>
        <v>16</v>
      </c>
      <c r="BD873" s="18">
        <f>IF(Pospago[[#This Row],[TARIFA_BASICA]]=11.42,1,0)</f>
        <v>0</v>
      </c>
      <c r="BE873" s="18">
        <f>IF(Pospago[[#This Row],[PLANES TELEVENTAS]]="SI",1,0)</f>
        <v>0</v>
      </c>
      <c r="BF873" s="18">
        <f>1</f>
        <v>1</v>
      </c>
      <c r="BG873" s="18">
        <f>IF(OR(Pospago[[#This Row],[TARIFA_BASICA]]=11.42,Pospago[[#This Row],[PLANES TELEVENTAS]]="SI"),1,0)</f>
        <v>0</v>
      </c>
      <c r="BH873" s="18" t="str">
        <f>IF(MID(Pospago[[#This Row],[PlanDesc]],1,4) = "PLAN","POSPAGO",IF(MID(Pospago[[#This Row],[PlanDesc]],1,4)="FULL","FULL MEGAS","PREVIOPAGO"))</f>
        <v>FULL MEGAS</v>
      </c>
      <c r="BI8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8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73" s="21">
        <f>Pospago[[#This Row],[TARIFA_BASICA]]*1.5</f>
        <v>37.5</v>
      </c>
    </row>
    <row r="874" spans="1:63" x14ac:dyDescent="0.25">
      <c r="A874" s="18" t="s">
        <v>64</v>
      </c>
      <c r="B874" s="18" t="s">
        <v>5506</v>
      </c>
      <c r="C874" s="18" t="s">
        <v>5507</v>
      </c>
      <c r="D874" s="19">
        <v>44909</v>
      </c>
      <c r="E874" s="18" t="s">
        <v>67</v>
      </c>
      <c r="F874" s="18" t="s">
        <v>5508</v>
      </c>
      <c r="G874" s="18" t="s">
        <v>5509</v>
      </c>
      <c r="H874" s="18" t="s">
        <v>70</v>
      </c>
      <c r="I874" s="18" t="s">
        <v>211</v>
      </c>
      <c r="J874" s="18" t="s">
        <v>212</v>
      </c>
      <c r="K874" s="18" t="s">
        <v>132</v>
      </c>
      <c r="L874" s="20" t="s">
        <v>5510</v>
      </c>
      <c r="M874" s="18" t="s">
        <v>75</v>
      </c>
      <c r="N874" s="20" t="s">
        <v>5511</v>
      </c>
      <c r="O874" s="18" t="s">
        <v>77</v>
      </c>
      <c r="P874" s="18" t="s">
        <v>78</v>
      </c>
      <c r="Q874" s="19">
        <v>44914</v>
      </c>
      <c r="R874" s="21">
        <v>25</v>
      </c>
      <c r="S874" s="18" t="s">
        <v>79</v>
      </c>
      <c r="T874" s="18" t="s">
        <v>135</v>
      </c>
      <c r="U874" s="18" t="s">
        <v>83</v>
      </c>
      <c r="V874" s="18" t="s">
        <v>95</v>
      </c>
      <c r="W874" s="18" t="s">
        <v>83</v>
      </c>
      <c r="X874" s="18" t="s">
        <v>215</v>
      </c>
      <c r="Y874" s="18" t="s">
        <v>85</v>
      </c>
      <c r="Z874" s="18" t="s">
        <v>86</v>
      </c>
      <c r="AA874" s="18" t="s">
        <v>87</v>
      </c>
      <c r="AB874" s="18" t="s">
        <v>541</v>
      </c>
      <c r="AC874" s="18" t="s">
        <v>542</v>
      </c>
      <c r="AD874" s="18" t="s">
        <v>85</v>
      </c>
      <c r="AE874" s="18" t="s">
        <v>90</v>
      </c>
      <c r="AF874" s="18" t="s">
        <v>138</v>
      </c>
      <c r="AG874" s="18" t="s">
        <v>139</v>
      </c>
      <c r="AH874" s="18" t="s">
        <v>93</v>
      </c>
      <c r="AI874" s="18" t="s">
        <v>94</v>
      </c>
      <c r="AJ874" s="19">
        <v>44909</v>
      </c>
      <c r="AK874" s="22" t="s">
        <v>95</v>
      </c>
      <c r="AL874" s="18" t="s">
        <v>95</v>
      </c>
      <c r="AM874" s="18" t="s">
        <v>95</v>
      </c>
      <c r="AN874" s="18" t="s">
        <v>95</v>
      </c>
      <c r="AO874" s="18" t="s">
        <v>95</v>
      </c>
      <c r="AP874" s="18" t="s">
        <v>95</v>
      </c>
      <c r="AQ874" s="18" t="s">
        <v>95</v>
      </c>
      <c r="AR874" s="18" t="s">
        <v>95</v>
      </c>
      <c r="AS874" s="18" t="s">
        <v>83</v>
      </c>
      <c r="AT874" s="18" t="s">
        <v>95</v>
      </c>
      <c r="AU874" s="18" t="s">
        <v>95</v>
      </c>
      <c r="AV874" s="18" t="s">
        <v>95</v>
      </c>
      <c r="AW874" s="18" t="s">
        <v>95</v>
      </c>
      <c r="AX874" s="18"/>
      <c r="AY874" s="18" t="str">
        <f>Pospago[[#This Row],[NUM_TELEFONICO]]&amp;"POSPAGOSI"</f>
        <v>995815960POSPAGOSI</v>
      </c>
      <c r="AZ874" s="18" t="str">
        <f>VLOOKUP(Pospago[[#This Row],[NOM_PLAZA_FINAL]],[1]!Locales[#Data],3,0)</f>
        <v>TIENDA AMERICA</v>
      </c>
      <c r="BA874" s="18" t="str">
        <f>IFERROR(VLOOKUP(Pospago[[#This Row],[USUARIO]],[1]!Personal[#Data],6,0),"EJECUTIVO NO REGISTRADO")</f>
        <v>CEVALLOS PONCE DIANA CAROLINA</v>
      </c>
      <c r="BB874" s="18" t="str">
        <f>Pospago[[#This Row],[TIPO_MOVIMIENTO]]&amp;" "&amp;Pospago[[#This Row],[FORMA_PAGO_FINAL]]</f>
        <v>ALTAS DOMICILIADO</v>
      </c>
      <c r="BC874" s="18">
        <f>DAY(Pospago[[#This Row],[FECHA_ALTA]])</f>
        <v>14</v>
      </c>
      <c r="BD874" s="18">
        <f>IF(Pospago[[#This Row],[TARIFA_BASICA]]=11.42,1,0)</f>
        <v>0</v>
      </c>
      <c r="BE874" s="18">
        <f>IF(Pospago[[#This Row],[PLANES TELEVENTAS]]="SI",1,0)</f>
        <v>0</v>
      </c>
      <c r="BF874" s="18">
        <f>1</f>
        <v>1</v>
      </c>
      <c r="BG874" s="18">
        <f>IF(OR(Pospago[[#This Row],[TARIFA_BASICA]]=11.42,Pospago[[#This Row],[PLANES TELEVENTAS]]="SI"),1,0)</f>
        <v>0</v>
      </c>
      <c r="BH874" s="18" t="str">
        <f>IF(MID(Pospago[[#This Row],[PlanDesc]],1,4) = "PLAN","POSPAGO",IF(MID(Pospago[[#This Row],[PlanDesc]],1,4)="FULL","FULL MEGAS","PREVIOPAGO"))</f>
        <v>FULL MEGAS</v>
      </c>
      <c r="BI8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8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74" s="21">
        <f>Pospago[[#This Row],[TARIFA_BASICA]]*1.5</f>
        <v>37.5</v>
      </c>
    </row>
    <row r="875" spans="1:63" x14ac:dyDescent="0.25">
      <c r="A875" s="18" t="s">
        <v>154</v>
      </c>
      <c r="B875" s="18" t="s">
        <v>5512</v>
      </c>
      <c r="C875" s="18" t="s">
        <v>5513</v>
      </c>
      <c r="D875" s="19">
        <v>44907</v>
      </c>
      <c r="E875" s="18" t="s">
        <v>67</v>
      </c>
      <c r="F875" s="18" t="s">
        <v>5514</v>
      </c>
      <c r="G875" s="18" t="s">
        <v>5515</v>
      </c>
      <c r="H875" s="18" t="s">
        <v>159</v>
      </c>
      <c r="I875" s="18" t="s">
        <v>160</v>
      </c>
      <c r="J875" s="18" t="s">
        <v>161</v>
      </c>
      <c r="K875" s="18" t="s">
        <v>132</v>
      </c>
      <c r="L875" s="20" t="s">
        <v>5516</v>
      </c>
      <c r="M875" s="18" t="s">
        <v>75</v>
      </c>
      <c r="N875" s="20" t="s">
        <v>5517</v>
      </c>
      <c r="O875" s="18" t="s">
        <v>164</v>
      </c>
      <c r="P875" s="18" t="s">
        <v>78</v>
      </c>
      <c r="Q875" s="19">
        <v>44914</v>
      </c>
      <c r="R875" s="21">
        <v>14.28</v>
      </c>
      <c r="S875" s="18" t="s">
        <v>79</v>
      </c>
      <c r="T875" s="18" t="s">
        <v>174</v>
      </c>
      <c r="U875" s="18" t="s">
        <v>83</v>
      </c>
      <c r="V875" s="18" t="s">
        <v>95</v>
      </c>
      <c r="W875" s="18" t="s">
        <v>95</v>
      </c>
      <c r="X875" s="18" t="s">
        <v>118</v>
      </c>
      <c r="Y875" s="18" t="s">
        <v>85</v>
      </c>
      <c r="Z875" s="18" t="s">
        <v>86</v>
      </c>
      <c r="AA875" s="18" t="s">
        <v>119</v>
      </c>
      <c r="AB875" s="18" t="s">
        <v>760</v>
      </c>
      <c r="AC875" s="18" t="s">
        <v>761</v>
      </c>
      <c r="AD875" s="18" t="s">
        <v>85</v>
      </c>
      <c r="AE875" s="18" t="s">
        <v>90</v>
      </c>
      <c r="AF875" s="18" t="s">
        <v>177</v>
      </c>
      <c r="AG875" s="18" t="s">
        <v>139</v>
      </c>
      <c r="AH875" s="18" t="s">
        <v>165</v>
      </c>
      <c r="AI875" s="18" t="s">
        <v>94</v>
      </c>
      <c r="AJ875" s="19">
        <v>44907</v>
      </c>
      <c r="AK875" s="22" t="s">
        <v>95</v>
      </c>
      <c r="AL875" s="18" t="s">
        <v>95</v>
      </c>
      <c r="AM875" s="18" t="s">
        <v>95</v>
      </c>
      <c r="AN875" s="18" t="s">
        <v>95</v>
      </c>
      <c r="AO875" s="18" t="s">
        <v>95</v>
      </c>
      <c r="AP875" s="18" t="s">
        <v>95</v>
      </c>
      <c r="AQ875" s="18" t="s">
        <v>95</v>
      </c>
      <c r="AR875" s="18" t="s">
        <v>95</v>
      </c>
      <c r="AS875" s="18" t="s">
        <v>83</v>
      </c>
      <c r="AT875" s="18" t="s">
        <v>83</v>
      </c>
      <c r="AU875" s="18" t="s">
        <v>81</v>
      </c>
      <c r="AV875" s="18" t="s">
        <v>95</v>
      </c>
      <c r="AW875" s="18" t="s">
        <v>95</v>
      </c>
      <c r="AX875" s="18"/>
      <c r="AY875" s="18" t="str">
        <f>Pospago[[#This Row],[NUM_TELEFONICO]]&amp;"POSPAGOSI"</f>
        <v>995820889POSPAGOSI</v>
      </c>
      <c r="AZ875" s="18" t="str">
        <f>VLOOKUP(Pospago[[#This Row],[NOM_PLAZA_FINAL]],[1]!Locales[#Data],3,0)</f>
        <v>TIENDA RECREO</v>
      </c>
      <c r="BA875" s="18" t="str">
        <f>IFERROR(VLOOKUP(Pospago[[#This Row],[USUARIO]],[1]!Personal[#Data],6,0),"EJECUTIVO NO REGISTRADO")</f>
        <v>VALBUENA SANCHEZ ALBERT ANTHONY</v>
      </c>
      <c r="BB875" s="18" t="str">
        <f>Pospago[[#This Row],[TIPO_MOVIMIENTO]]&amp;" "&amp;Pospago[[#This Row],[FORMA_PAGO_FINAL]]</f>
        <v>TRANSFERENCIAS PAGO EN CAJA</v>
      </c>
      <c r="BC875" s="18">
        <f>DAY(Pospago[[#This Row],[FECHA_ALTA]])</f>
        <v>12</v>
      </c>
      <c r="BD875" s="18">
        <f>IF(Pospago[[#This Row],[TARIFA_BASICA]]=11.42,1,0)</f>
        <v>0</v>
      </c>
      <c r="BE875" s="18">
        <f>IF(Pospago[[#This Row],[PLANES TELEVENTAS]]="SI",1,0)</f>
        <v>0</v>
      </c>
      <c r="BF875" s="18">
        <f>1</f>
        <v>1</v>
      </c>
      <c r="BG875" s="18">
        <f>IF(OR(Pospago[[#This Row],[TARIFA_BASICA]]=11.42,Pospago[[#This Row],[PLANES TELEVENTAS]]="SI"),1,0)</f>
        <v>0</v>
      </c>
      <c r="BH875" s="18" t="str">
        <f>IF(MID(Pospago[[#This Row],[PlanDesc]],1,4) = "PLAN","POSPAGO",IF(MID(Pospago[[#This Row],[PlanDesc]],1,4)="FULL","FULL MEGAS","PREVIOPAGO"))</f>
        <v>PREVIOPAGO</v>
      </c>
      <c r="BI8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8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75" s="21">
        <f>Pospago[[#This Row],[TARIFA_BASICA]]*1.5</f>
        <v>21.419999999999998</v>
      </c>
    </row>
    <row r="876" spans="1:63" x14ac:dyDescent="0.25">
      <c r="A876" s="18" t="s">
        <v>154</v>
      </c>
      <c r="B876" s="18" t="s">
        <v>5518</v>
      </c>
      <c r="C876" s="18" t="s">
        <v>5519</v>
      </c>
      <c r="D876" s="19">
        <v>44898</v>
      </c>
      <c r="E876" s="18" t="s">
        <v>67</v>
      </c>
      <c r="F876" s="18" t="s">
        <v>5520</v>
      </c>
      <c r="G876" s="18" t="s">
        <v>5521</v>
      </c>
      <c r="H876" s="18" t="s">
        <v>159</v>
      </c>
      <c r="I876" s="18" t="s">
        <v>71</v>
      </c>
      <c r="J876" s="18" t="s">
        <v>258</v>
      </c>
      <c r="K876" s="18" t="s">
        <v>73</v>
      </c>
      <c r="L876" s="20" t="s">
        <v>5522</v>
      </c>
      <c r="M876" s="18" t="s">
        <v>75</v>
      </c>
      <c r="N876" s="20" t="s">
        <v>5523</v>
      </c>
      <c r="O876" s="18" t="s">
        <v>2241</v>
      </c>
      <c r="P876" s="18" t="s">
        <v>78</v>
      </c>
      <c r="Q876" s="19">
        <v>44914</v>
      </c>
      <c r="R876" s="21">
        <v>11.42</v>
      </c>
      <c r="S876" s="18" t="s">
        <v>79</v>
      </c>
      <c r="T876" s="18" t="s">
        <v>174</v>
      </c>
      <c r="U876" s="18" t="s">
        <v>83</v>
      </c>
      <c r="V876" s="18" t="s">
        <v>95</v>
      </c>
      <c r="W876" s="18" t="s">
        <v>95</v>
      </c>
      <c r="X876" s="18" t="s">
        <v>118</v>
      </c>
      <c r="Y876" s="18" t="s">
        <v>85</v>
      </c>
      <c r="Z876" s="18" t="s">
        <v>86</v>
      </c>
      <c r="AA876" s="18" t="s">
        <v>119</v>
      </c>
      <c r="AB876" s="18" t="s">
        <v>630</v>
      </c>
      <c r="AC876" s="18" t="s">
        <v>631</v>
      </c>
      <c r="AD876" s="18" t="s">
        <v>85</v>
      </c>
      <c r="AE876" s="18" t="s">
        <v>90</v>
      </c>
      <c r="AF876" s="18" t="s">
        <v>177</v>
      </c>
      <c r="AG876" s="18" t="s">
        <v>139</v>
      </c>
      <c r="AH876" s="18" t="s">
        <v>165</v>
      </c>
      <c r="AI876" s="18" t="s">
        <v>94</v>
      </c>
      <c r="AJ876" s="19">
        <v>44898</v>
      </c>
      <c r="AK876" s="22" t="s">
        <v>95</v>
      </c>
      <c r="AL876" s="18" t="s">
        <v>95</v>
      </c>
      <c r="AM876" s="18" t="s">
        <v>95</v>
      </c>
      <c r="AN876" s="18" t="s">
        <v>95</v>
      </c>
      <c r="AO876" s="18" t="s">
        <v>95</v>
      </c>
      <c r="AP876" s="18" t="s">
        <v>95</v>
      </c>
      <c r="AQ876" s="18" t="s">
        <v>95</v>
      </c>
      <c r="AR876" s="18" t="s">
        <v>95</v>
      </c>
      <c r="AS876" s="18" t="s">
        <v>83</v>
      </c>
      <c r="AT876" s="18" t="s">
        <v>83</v>
      </c>
      <c r="AU876" s="18" t="s">
        <v>81</v>
      </c>
      <c r="AV876" s="18" t="s">
        <v>95</v>
      </c>
      <c r="AW876" s="18" t="s">
        <v>95</v>
      </c>
      <c r="AX876" s="18"/>
      <c r="AY876" s="18" t="str">
        <f>Pospago[[#This Row],[NUM_TELEFONICO]]&amp;"POSPAGOSI"</f>
        <v>995825435POSPAGOSI</v>
      </c>
      <c r="AZ876" s="18" t="str">
        <f>VLOOKUP(Pospago[[#This Row],[NOM_PLAZA_FINAL]],[1]!Locales[#Data],3,0)</f>
        <v>TIENDA RECREO</v>
      </c>
      <c r="BA876" s="18" t="str">
        <f>IFERROR(VLOOKUP(Pospago[[#This Row],[USUARIO]],[1]!Personal[#Data],6,0),"EJECUTIVO NO REGISTRADO")</f>
        <v>LOAYZA AGUILAR JONATHAN FABIAN</v>
      </c>
      <c r="BB876" s="18" t="str">
        <f>Pospago[[#This Row],[TIPO_MOVIMIENTO]]&amp;" "&amp;Pospago[[#This Row],[FORMA_PAGO_FINAL]]</f>
        <v>TRANSFERENCIAS PAGO EN CAJA</v>
      </c>
      <c r="BC876" s="18">
        <f>DAY(Pospago[[#This Row],[FECHA_ALTA]])</f>
        <v>3</v>
      </c>
      <c r="BD876" s="18">
        <f>IF(Pospago[[#This Row],[TARIFA_BASICA]]=11.42,1,0)</f>
        <v>1</v>
      </c>
      <c r="BE876" s="18">
        <f>IF(Pospago[[#This Row],[PLANES TELEVENTAS]]="SI",1,0)</f>
        <v>0</v>
      </c>
      <c r="BF876" s="18">
        <f>1</f>
        <v>1</v>
      </c>
      <c r="BG876" s="18">
        <f>IF(OR(Pospago[[#This Row],[TARIFA_BASICA]]=11.42,Pospago[[#This Row],[PLANES TELEVENTAS]]="SI"),1,0)</f>
        <v>1</v>
      </c>
      <c r="BH876" s="18" t="str">
        <f>IF(MID(Pospago[[#This Row],[PlanDesc]],1,4) = "PLAN","POSPAGO",IF(MID(Pospago[[#This Row],[PlanDesc]],1,4)="FULL","FULL MEGAS","PREVIOPAGO"))</f>
        <v>PREVIOPAGO</v>
      </c>
      <c r="BI8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8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76" s="21">
        <f>Pospago[[#This Row],[TARIFA_BASICA]]*1.5</f>
        <v>17.13</v>
      </c>
    </row>
    <row r="877" spans="1:63" x14ac:dyDescent="0.25">
      <c r="A877" s="18" t="s">
        <v>64</v>
      </c>
      <c r="B877" s="18" t="s">
        <v>5524</v>
      </c>
      <c r="C877" s="18" t="s">
        <v>5525</v>
      </c>
      <c r="D877" s="19">
        <v>44900</v>
      </c>
      <c r="E877" s="18" t="s">
        <v>67</v>
      </c>
      <c r="F877" s="18" t="s">
        <v>5526</v>
      </c>
      <c r="G877" s="18" t="s">
        <v>5527</v>
      </c>
      <c r="H877" s="18" t="s">
        <v>70</v>
      </c>
      <c r="I877" s="18" t="s">
        <v>359</v>
      </c>
      <c r="J877" s="18" t="s">
        <v>360</v>
      </c>
      <c r="K877" s="18" t="s">
        <v>132</v>
      </c>
      <c r="L877" s="20" t="s">
        <v>5528</v>
      </c>
      <c r="M877" s="18" t="s">
        <v>75</v>
      </c>
      <c r="N877" s="20" t="s">
        <v>5529</v>
      </c>
      <c r="O877" s="18" t="s">
        <v>311</v>
      </c>
      <c r="P877" s="18" t="s">
        <v>78</v>
      </c>
      <c r="Q877" s="19">
        <v>44914</v>
      </c>
      <c r="R877" s="21">
        <v>14.28</v>
      </c>
      <c r="S877" s="18" t="s">
        <v>79</v>
      </c>
      <c r="T877" s="18" t="s">
        <v>174</v>
      </c>
      <c r="U877" s="18" t="s">
        <v>83</v>
      </c>
      <c r="V877" s="18" t="s">
        <v>95</v>
      </c>
      <c r="W877" s="18" t="s">
        <v>83</v>
      </c>
      <c r="X877" s="18" t="s">
        <v>215</v>
      </c>
      <c r="Y877" s="18" t="s">
        <v>85</v>
      </c>
      <c r="Z877" s="18" t="s">
        <v>86</v>
      </c>
      <c r="AA877" s="18" t="s">
        <v>87</v>
      </c>
      <c r="AB877" s="18" t="s">
        <v>2159</v>
      </c>
      <c r="AC877" s="18" t="s">
        <v>2160</v>
      </c>
      <c r="AD877" s="18" t="s">
        <v>85</v>
      </c>
      <c r="AE877" s="18" t="s">
        <v>90</v>
      </c>
      <c r="AF877" s="18" t="s">
        <v>177</v>
      </c>
      <c r="AG877" s="18" t="s">
        <v>139</v>
      </c>
      <c r="AH877" s="18" t="s">
        <v>93</v>
      </c>
      <c r="AI877" s="18" t="s">
        <v>94</v>
      </c>
      <c r="AJ877" s="19">
        <v>44900</v>
      </c>
      <c r="AK877" s="22" t="s">
        <v>95</v>
      </c>
      <c r="AL877" s="18" t="s">
        <v>95</v>
      </c>
      <c r="AM877" s="18" t="s">
        <v>95</v>
      </c>
      <c r="AN877" s="18" t="s">
        <v>95</v>
      </c>
      <c r="AO877" s="18" t="s">
        <v>95</v>
      </c>
      <c r="AP877" s="18" t="s">
        <v>95</v>
      </c>
      <c r="AQ877" s="18" t="s">
        <v>95</v>
      </c>
      <c r="AR877" s="18" t="s">
        <v>95</v>
      </c>
      <c r="AS877" s="18" t="s">
        <v>83</v>
      </c>
      <c r="AT877" s="18" t="s">
        <v>83</v>
      </c>
      <c r="AU877" s="18" t="s">
        <v>83</v>
      </c>
      <c r="AV877" s="18" t="s">
        <v>95</v>
      </c>
      <c r="AW877" s="18" t="s">
        <v>95</v>
      </c>
      <c r="AX877" s="18"/>
      <c r="AY877" s="18" t="str">
        <f>Pospago[[#This Row],[NUM_TELEFONICO]]&amp;"POSPAGOSI"</f>
        <v>995829724POSPAGOSI</v>
      </c>
      <c r="AZ877" s="18" t="str">
        <f>VLOOKUP(Pospago[[#This Row],[NOM_PLAZA_FINAL]],[1]!Locales[#Data],3,0)</f>
        <v>TIENDA RECREO</v>
      </c>
      <c r="BA877" s="18" t="str">
        <f>IFERROR(VLOOKUP(Pospago[[#This Row],[USUARIO]],[1]!Personal[#Data],6,0),"EJECUTIVO NO REGISTRADO")</f>
        <v>GUEVARA MAZA CRISTIAN FABIAN</v>
      </c>
      <c r="BB877" s="18" t="str">
        <f>Pospago[[#This Row],[TIPO_MOVIMIENTO]]&amp;" "&amp;Pospago[[#This Row],[FORMA_PAGO_FINAL]]</f>
        <v>ALTAS DOMICILIADO</v>
      </c>
      <c r="BC877" s="18">
        <f>DAY(Pospago[[#This Row],[FECHA_ALTA]])</f>
        <v>5</v>
      </c>
      <c r="BD877" s="18">
        <f>IF(Pospago[[#This Row],[TARIFA_BASICA]]=11.42,1,0)</f>
        <v>0</v>
      </c>
      <c r="BE877" s="18">
        <f>IF(Pospago[[#This Row],[PLANES TELEVENTAS]]="SI",1,0)</f>
        <v>0</v>
      </c>
      <c r="BF877" s="18">
        <f>1</f>
        <v>1</v>
      </c>
      <c r="BG877" s="18">
        <f>IF(OR(Pospago[[#This Row],[TARIFA_BASICA]]=11.42,Pospago[[#This Row],[PLANES TELEVENTAS]]="SI"),1,0)</f>
        <v>0</v>
      </c>
      <c r="BH877" s="18" t="str">
        <f>IF(MID(Pospago[[#This Row],[PlanDesc]],1,4) = "PLAN","POSPAGO",IF(MID(Pospago[[#This Row],[PlanDesc]],1,4)="FULL","FULL MEGAS","PREVIOPAGO"))</f>
        <v>POSPAGO</v>
      </c>
      <c r="BI8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77" s="21">
        <f>Pospago[[#This Row],[TARIFA_BASICA]]*1.5</f>
        <v>21.419999999999998</v>
      </c>
    </row>
    <row r="878" spans="1:63" x14ac:dyDescent="0.25">
      <c r="A878" s="18" t="s">
        <v>64</v>
      </c>
      <c r="B878" s="18" t="s">
        <v>5530</v>
      </c>
      <c r="C878" s="18" t="s">
        <v>5531</v>
      </c>
      <c r="D878" s="19">
        <v>44911</v>
      </c>
      <c r="E878" s="18" t="s">
        <v>67</v>
      </c>
      <c r="F878" s="18" t="s">
        <v>2723</v>
      </c>
      <c r="G878" s="18" t="s">
        <v>2724</v>
      </c>
      <c r="H878" s="18" t="s">
        <v>70</v>
      </c>
      <c r="I878" s="18" t="s">
        <v>194</v>
      </c>
      <c r="J878" s="18" t="s">
        <v>195</v>
      </c>
      <c r="K878" s="18" t="s">
        <v>73</v>
      </c>
      <c r="L878" s="20" t="s">
        <v>5532</v>
      </c>
      <c r="M878" s="18" t="s">
        <v>75</v>
      </c>
      <c r="N878" s="20" t="s">
        <v>5533</v>
      </c>
      <c r="O878" s="18" t="s">
        <v>77</v>
      </c>
      <c r="P878" s="18" t="s">
        <v>78</v>
      </c>
      <c r="Q878" s="19">
        <v>44914</v>
      </c>
      <c r="R878" s="21">
        <v>14.28</v>
      </c>
      <c r="S878" s="18" t="s">
        <v>79</v>
      </c>
      <c r="T878" s="18" t="s">
        <v>174</v>
      </c>
      <c r="U878" s="18" t="s">
        <v>83</v>
      </c>
      <c r="V878" s="18" t="s">
        <v>95</v>
      </c>
      <c r="W878" s="18" t="s">
        <v>83</v>
      </c>
      <c r="X878" s="18" t="s">
        <v>84</v>
      </c>
      <c r="Y878" s="18" t="s">
        <v>85</v>
      </c>
      <c r="Z878" s="18" t="s">
        <v>86</v>
      </c>
      <c r="AA878" s="18" t="s">
        <v>87</v>
      </c>
      <c r="AB878" s="18" t="s">
        <v>630</v>
      </c>
      <c r="AC878" s="18" t="s">
        <v>631</v>
      </c>
      <c r="AD878" s="18" t="s">
        <v>85</v>
      </c>
      <c r="AE878" s="18" t="s">
        <v>90</v>
      </c>
      <c r="AF878" s="18" t="s">
        <v>177</v>
      </c>
      <c r="AG878" s="18" t="s">
        <v>139</v>
      </c>
      <c r="AH878" s="18" t="s">
        <v>93</v>
      </c>
      <c r="AI878" s="18" t="s">
        <v>94</v>
      </c>
      <c r="AJ878" s="19">
        <v>44911</v>
      </c>
      <c r="AK878" s="22" t="s">
        <v>95</v>
      </c>
      <c r="AL878" s="18" t="s">
        <v>95</v>
      </c>
      <c r="AM878" s="18" t="s">
        <v>95</v>
      </c>
      <c r="AN878" s="18" t="s">
        <v>95</v>
      </c>
      <c r="AO878" s="18" t="s">
        <v>95</v>
      </c>
      <c r="AP878" s="18" t="s">
        <v>95</v>
      </c>
      <c r="AQ878" s="18" t="s">
        <v>95</v>
      </c>
      <c r="AR878" s="18" t="s">
        <v>95</v>
      </c>
      <c r="AS878" s="18" t="s">
        <v>83</v>
      </c>
      <c r="AT878" s="18" t="s">
        <v>81</v>
      </c>
      <c r="AU878" s="18" t="s">
        <v>81</v>
      </c>
      <c r="AV878" s="18" t="s">
        <v>95</v>
      </c>
      <c r="AW878" s="18" t="s">
        <v>95</v>
      </c>
      <c r="AX878" s="18"/>
      <c r="AY878" s="18" t="str">
        <f>Pospago[[#This Row],[NUM_TELEFONICO]]&amp;"POSPAGOSI"</f>
        <v>995831426POSPAGOSI</v>
      </c>
      <c r="AZ878" s="18" t="str">
        <f>VLOOKUP(Pospago[[#This Row],[NOM_PLAZA_FINAL]],[1]!Locales[#Data],3,0)</f>
        <v>TIENDA RECREO</v>
      </c>
      <c r="BA878" s="18" t="str">
        <f>IFERROR(VLOOKUP(Pospago[[#This Row],[USUARIO]],[1]!Personal[#Data],6,0),"EJECUTIVO NO REGISTRADO")</f>
        <v>LOAYZA AGUILAR JONATHAN FABIAN</v>
      </c>
      <c r="BB878" s="18" t="str">
        <f>Pospago[[#This Row],[TIPO_MOVIMIENTO]]&amp;" "&amp;Pospago[[#This Row],[FORMA_PAGO_FINAL]]</f>
        <v>ALTAS DOMICILIADO</v>
      </c>
      <c r="BC878" s="18">
        <f>DAY(Pospago[[#This Row],[FECHA_ALTA]])</f>
        <v>16</v>
      </c>
      <c r="BD878" s="18">
        <f>IF(Pospago[[#This Row],[TARIFA_BASICA]]=11.42,1,0)</f>
        <v>0</v>
      </c>
      <c r="BE878" s="18">
        <f>IF(Pospago[[#This Row],[PLANES TELEVENTAS]]="SI",1,0)</f>
        <v>1</v>
      </c>
      <c r="BF878" s="18">
        <f>1</f>
        <v>1</v>
      </c>
      <c r="BG878" s="18">
        <f>IF(OR(Pospago[[#This Row],[TARIFA_BASICA]]=11.42,Pospago[[#This Row],[PLANES TELEVENTAS]]="SI"),1,0)</f>
        <v>1</v>
      </c>
      <c r="BH878" s="18" t="str">
        <f>IF(MID(Pospago[[#This Row],[PlanDesc]],1,4) = "PLAN","POSPAGO",IF(MID(Pospago[[#This Row],[PlanDesc]],1,4)="FULL","FULL MEGAS","PREVIOPAGO"))</f>
        <v>PREVIOPAGO</v>
      </c>
      <c r="BI8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78" s="21">
        <f>Pospago[[#This Row],[TARIFA_BASICA]]*1.5</f>
        <v>21.419999999999998</v>
      </c>
    </row>
    <row r="879" spans="1:63" x14ac:dyDescent="0.25">
      <c r="A879" s="18" t="s">
        <v>64</v>
      </c>
      <c r="B879" s="18" t="s">
        <v>5534</v>
      </c>
      <c r="C879" s="18" t="s">
        <v>2689</v>
      </c>
      <c r="D879" s="19">
        <v>44908</v>
      </c>
      <c r="E879" s="18" t="s">
        <v>67</v>
      </c>
      <c r="F879" s="18" t="s">
        <v>2690</v>
      </c>
      <c r="G879" s="18" t="s">
        <v>2691</v>
      </c>
      <c r="H879" s="18" t="s">
        <v>70</v>
      </c>
      <c r="I879" s="18" t="s">
        <v>160</v>
      </c>
      <c r="J879" s="18" t="s">
        <v>195</v>
      </c>
      <c r="K879" s="18" t="s">
        <v>73</v>
      </c>
      <c r="L879" s="20" t="s">
        <v>5535</v>
      </c>
      <c r="M879" s="18" t="s">
        <v>75</v>
      </c>
      <c r="N879" s="20" t="s">
        <v>5536</v>
      </c>
      <c r="O879" s="18" t="s">
        <v>77</v>
      </c>
      <c r="P879" s="18" t="s">
        <v>78</v>
      </c>
      <c r="Q879" s="19">
        <v>44914</v>
      </c>
      <c r="R879" s="21">
        <v>14.28</v>
      </c>
      <c r="S879" s="18" t="s">
        <v>79</v>
      </c>
      <c r="T879" s="18" t="s">
        <v>148</v>
      </c>
      <c r="U879" s="18" t="s">
        <v>83</v>
      </c>
      <c r="V879" s="18" t="s">
        <v>95</v>
      </c>
      <c r="W879" s="18" t="s">
        <v>83</v>
      </c>
      <c r="X879" s="18" t="s">
        <v>84</v>
      </c>
      <c r="Y879" s="18" t="s">
        <v>85</v>
      </c>
      <c r="Z879" s="18" t="s">
        <v>86</v>
      </c>
      <c r="AA879" s="18" t="s">
        <v>87</v>
      </c>
      <c r="AB879" s="18" t="s">
        <v>318</v>
      </c>
      <c r="AC879" s="18" t="s">
        <v>319</v>
      </c>
      <c r="AD879" s="18" t="s">
        <v>85</v>
      </c>
      <c r="AE879" s="18" t="s">
        <v>90</v>
      </c>
      <c r="AF879" s="18" t="s">
        <v>151</v>
      </c>
      <c r="AG879" s="18" t="s">
        <v>92</v>
      </c>
      <c r="AH879" s="18" t="s">
        <v>93</v>
      </c>
      <c r="AI879" s="18" t="s">
        <v>94</v>
      </c>
      <c r="AJ879" s="19">
        <v>44908</v>
      </c>
      <c r="AK879" s="22" t="s">
        <v>95</v>
      </c>
      <c r="AL879" s="18" t="s">
        <v>95</v>
      </c>
      <c r="AM879" s="18" t="s">
        <v>95</v>
      </c>
      <c r="AN879" s="18" t="s">
        <v>95</v>
      </c>
      <c r="AO879" s="18" t="s">
        <v>95</v>
      </c>
      <c r="AP879" s="18" t="s">
        <v>95</v>
      </c>
      <c r="AQ879" s="18" t="s">
        <v>95</v>
      </c>
      <c r="AR879" s="18" t="s">
        <v>95</v>
      </c>
      <c r="AS879" s="18" t="s">
        <v>83</v>
      </c>
      <c r="AT879" s="18" t="s">
        <v>83</v>
      </c>
      <c r="AU879" s="18" t="s">
        <v>81</v>
      </c>
      <c r="AV879" s="18" t="s">
        <v>95</v>
      </c>
      <c r="AW879" s="18" t="s">
        <v>95</v>
      </c>
      <c r="AX879" s="18"/>
      <c r="AY879" s="18" t="str">
        <f>Pospago[[#This Row],[NUM_TELEFONICO]]&amp;"POSPAGOSI"</f>
        <v>995845209POSPAGOSI</v>
      </c>
      <c r="AZ879" s="18" t="str">
        <f>VLOOKUP(Pospago[[#This Row],[NOM_PLAZA_FINAL]],[1]!Locales[#Data],3,0)</f>
        <v>TIENDA CUENCA REMIGIO</v>
      </c>
      <c r="BA879" s="18" t="str">
        <f>IFERROR(VLOOKUP(Pospago[[#This Row],[USUARIO]],[1]!Personal[#Data],6,0),"EJECUTIVO NO REGISTRADO")</f>
        <v>RODRIGUEZ QUITO JESSICA GABRIELA</v>
      </c>
      <c r="BB879" s="18" t="str">
        <f>Pospago[[#This Row],[TIPO_MOVIMIENTO]]&amp;" "&amp;Pospago[[#This Row],[FORMA_PAGO_FINAL]]</f>
        <v>ALTAS DOMICILIADO</v>
      </c>
      <c r="BC879" s="18">
        <f>DAY(Pospago[[#This Row],[FECHA_ALTA]])</f>
        <v>13</v>
      </c>
      <c r="BD879" s="18">
        <f>IF(Pospago[[#This Row],[TARIFA_BASICA]]=11.42,1,0)</f>
        <v>0</v>
      </c>
      <c r="BE879" s="18">
        <f>IF(Pospago[[#This Row],[PLANES TELEVENTAS]]="SI",1,0)</f>
        <v>0</v>
      </c>
      <c r="BF879" s="18">
        <f>1</f>
        <v>1</v>
      </c>
      <c r="BG879" s="18">
        <f>IF(OR(Pospago[[#This Row],[TARIFA_BASICA]]=11.42,Pospago[[#This Row],[PLANES TELEVENTAS]]="SI"),1,0)</f>
        <v>0</v>
      </c>
      <c r="BH879" s="18" t="str">
        <f>IF(MID(Pospago[[#This Row],[PlanDesc]],1,4) = "PLAN","POSPAGO",IF(MID(Pospago[[#This Row],[PlanDesc]],1,4)="FULL","FULL MEGAS","PREVIOPAGO"))</f>
        <v>PREVIOPAGO</v>
      </c>
      <c r="BI8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79" s="21">
        <f>Pospago[[#This Row],[TARIFA_BASICA]]*1.5</f>
        <v>21.419999999999998</v>
      </c>
    </row>
    <row r="880" spans="1:63" x14ac:dyDescent="0.25">
      <c r="A880" s="18" t="s">
        <v>64</v>
      </c>
      <c r="B880" s="18" t="s">
        <v>5537</v>
      </c>
      <c r="C880" s="18" t="s">
        <v>5538</v>
      </c>
      <c r="D880" s="19">
        <v>44897</v>
      </c>
      <c r="E880" s="18" t="s">
        <v>67</v>
      </c>
      <c r="F880" s="18" t="s">
        <v>5539</v>
      </c>
      <c r="G880" s="18" t="s">
        <v>5540</v>
      </c>
      <c r="H880" s="18" t="s">
        <v>70</v>
      </c>
      <c r="I880" s="18" t="s">
        <v>194</v>
      </c>
      <c r="J880" s="18" t="s">
        <v>195</v>
      </c>
      <c r="K880" s="18" t="s">
        <v>5541</v>
      </c>
      <c r="L880" s="20" t="s">
        <v>5542</v>
      </c>
      <c r="M880" s="18" t="s">
        <v>75</v>
      </c>
      <c r="N880" s="20" t="s">
        <v>5543</v>
      </c>
      <c r="O880" s="18" t="s">
        <v>77</v>
      </c>
      <c r="P880" s="18" t="s">
        <v>78</v>
      </c>
      <c r="Q880" s="19">
        <v>44914</v>
      </c>
      <c r="R880" s="21">
        <v>14.28</v>
      </c>
      <c r="S880" s="18" t="s">
        <v>79</v>
      </c>
      <c r="T880" s="18" t="s">
        <v>232</v>
      </c>
      <c r="U880" s="18" t="s">
        <v>83</v>
      </c>
      <c r="V880" s="18" t="s">
        <v>95</v>
      </c>
      <c r="W880" s="18" t="s">
        <v>83</v>
      </c>
      <c r="X880" s="18" t="s">
        <v>84</v>
      </c>
      <c r="Y880" s="18" t="s">
        <v>85</v>
      </c>
      <c r="Z880" s="18" t="s">
        <v>86</v>
      </c>
      <c r="AA880" s="18" t="s">
        <v>87</v>
      </c>
      <c r="AB880" s="18" t="s">
        <v>443</v>
      </c>
      <c r="AC880" s="18" t="s">
        <v>444</v>
      </c>
      <c r="AD880" s="18" t="s">
        <v>85</v>
      </c>
      <c r="AE880" s="18" t="s">
        <v>90</v>
      </c>
      <c r="AF880" s="18" t="s">
        <v>235</v>
      </c>
      <c r="AG880" s="18" t="s">
        <v>139</v>
      </c>
      <c r="AH880" s="18" t="s">
        <v>93</v>
      </c>
      <c r="AI880" s="18" t="s">
        <v>94</v>
      </c>
      <c r="AJ880" s="19">
        <v>44897</v>
      </c>
      <c r="AK880" s="22" t="s">
        <v>95</v>
      </c>
      <c r="AL880" s="18" t="s">
        <v>95</v>
      </c>
      <c r="AM880" s="18" t="s">
        <v>95</v>
      </c>
      <c r="AN880" s="18" t="s">
        <v>95</v>
      </c>
      <c r="AO880" s="18" t="s">
        <v>95</v>
      </c>
      <c r="AP880" s="18" t="s">
        <v>95</v>
      </c>
      <c r="AQ880" s="18" t="s">
        <v>95</v>
      </c>
      <c r="AR880" s="18" t="s">
        <v>95</v>
      </c>
      <c r="AS880" s="18" t="s">
        <v>83</v>
      </c>
      <c r="AT880" s="18" t="s">
        <v>81</v>
      </c>
      <c r="AU880" s="18" t="s">
        <v>81</v>
      </c>
      <c r="AV880" s="18" t="s">
        <v>95</v>
      </c>
      <c r="AW880" s="18" t="s">
        <v>95</v>
      </c>
      <c r="AX880" s="18"/>
      <c r="AY880" s="18" t="str">
        <f>Pospago[[#This Row],[NUM_TELEFONICO]]&amp;"POSPAGOSI"</f>
        <v>995857141POSPAGOSI</v>
      </c>
      <c r="AZ880" s="18" t="str">
        <f>VLOOKUP(Pospago[[#This Row],[NOM_PLAZA_FINAL]],[1]!Locales[#Data],3,0)</f>
        <v>TIENDA CONDADO</v>
      </c>
      <c r="BA880" s="18" t="str">
        <f>IFERROR(VLOOKUP(Pospago[[#This Row],[USUARIO]],[1]!Personal[#Data],6,0),"EJECUTIVO NO REGISTRADO")</f>
        <v>JARAMILLO ESPINOZA KENIA KATRINA</v>
      </c>
      <c r="BB880" s="18" t="str">
        <f>Pospago[[#This Row],[TIPO_MOVIMIENTO]]&amp;" "&amp;Pospago[[#This Row],[FORMA_PAGO_FINAL]]</f>
        <v>ALTAS DOMICILIADO</v>
      </c>
      <c r="BC880" s="18">
        <f>DAY(Pospago[[#This Row],[FECHA_ALTA]])</f>
        <v>2</v>
      </c>
      <c r="BD880" s="18">
        <f>IF(Pospago[[#This Row],[TARIFA_BASICA]]=11.42,1,0)</f>
        <v>0</v>
      </c>
      <c r="BE880" s="18">
        <f>IF(Pospago[[#This Row],[PLANES TELEVENTAS]]="SI",1,0)</f>
        <v>1</v>
      </c>
      <c r="BF880" s="18">
        <f>1</f>
        <v>1</v>
      </c>
      <c r="BG880" s="18">
        <f>IF(OR(Pospago[[#This Row],[TARIFA_BASICA]]=11.42,Pospago[[#This Row],[PLANES TELEVENTAS]]="SI"),1,0)</f>
        <v>1</v>
      </c>
      <c r="BH880" s="18" t="str">
        <f>IF(MID(Pospago[[#This Row],[PlanDesc]],1,4) = "PLAN","POSPAGO",IF(MID(Pospago[[#This Row],[PlanDesc]],1,4)="FULL","FULL MEGAS","PREVIOPAGO"))</f>
        <v>PREVIOPAGO</v>
      </c>
      <c r="BI8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80" s="21">
        <f>Pospago[[#This Row],[TARIFA_BASICA]]*1.5</f>
        <v>21.419999999999998</v>
      </c>
    </row>
    <row r="881" spans="1:63" x14ac:dyDescent="0.25">
      <c r="A881" s="18" t="s">
        <v>64</v>
      </c>
      <c r="B881" s="18" t="s">
        <v>5544</v>
      </c>
      <c r="C881" s="18" t="s">
        <v>5545</v>
      </c>
      <c r="D881" s="19">
        <v>44900</v>
      </c>
      <c r="E881" s="18" t="s">
        <v>67</v>
      </c>
      <c r="F881" s="18" t="s">
        <v>5546</v>
      </c>
      <c r="G881" s="18" t="s">
        <v>5547</v>
      </c>
      <c r="H881" s="18" t="s">
        <v>70</v>
      </c>
      <c r="I881" s="18" t="s">
        <v>160</v>
      </c>
      <c r="J881" s="18" t="s">
        <v>195</v>
      </c>
      <c r="K881" s="18" t="s">
        <v>95</v>
      </c>
      <c r="L881" s="20" t="s">
        <v>5548</v>
      </c>
      <c r="M881" s="18" t="s">
        <v>75</v>
      </c>
      <c r="N881" s="20" t="s">
        <v>5549</v>
      </c>
      <c r="O881" s="18" t="s">
        <v>77</v>
      </c>
      <c r="P881" s="18" t="s">
        <v>78</v>
      </c>
      <c r="Q881" s="19">
        <v>44914</v>
      </c>
      <c r="R881" s="21">
        <v>14.28</v>
      </c>
      <c r="S881" s="18" t="s">
        <v>79</v>
      </c>
      <c r="T881" s="18" t="s">
        <v>117</v>
      </c>
      <c r="U881" s="18" t="s">
        <v>83</v>
      </c>
      <c r="V881" s="18" t="s">
        <v>95</v>
      </c>
      <c r="W881" s="18" t="s">
        <v>83</v>
      </c>
      <c r="X881" s="18" t="s">
        <v>84</v>
      </c>
      <c r="Y881" s="18" t="s">
        <v>85</v>
      </c>
      <c r="Z881" s="18" t="s">
        <v>86</v>
      </c>
      <c r="AA881" s="18" t="s">
        <v>87</v>
      </c>
      <c r="AB881" s="18" t="s">
        <v>1043</v>
      </c>
      <c r="AC881" s="18" t="s">
        <v>1044</v>
      </c>
      <c r="AD881" s="18" t="s">
        <v>85</v>
      </c>
      <c r="AE881" s="18" t="s">
        <v>90</v>
      </c>
      <c r="AF881" s="18" t="s">
        <v>122</v>
      </c>
      <c r="AG881" s="18" t="s">
        <v>92</v>
      </c>
      <c r="AH881" s="18" t="s">
        <v>93</v>
      </c>
      <c r="AI881" s="18" t="s">
        <v>94</v>
      </c>
      <c r="AJ881" s="19">
        <v>44900</v>
      </c>
      <c r="AK881" s="22" t="s">
        <v>95</v>
      </c>
      <c r="AL881" s="18" t="s">
        <v>95</v>
      </c>
      <c r="AM881" s="18" t="s">
        <v>95</v>
      </c>
      <c r="AN881" s="18" t="s">
        <v>95</v>
      </c>
      <c r="AO881" s="18" t="s">
        <v>95</v>
      </c>
      <c r="AP881" s="18" t="s">
        <v>95</v>
      </c>
      <c r="AQ881" s="18" t="s">
        <v>95</v>
      </c>
      <c r="AR881" s="18" t="s">
        <v>95</v>
      </c>
      <c r="AS881" s="18" t="s">
        <v>83</v>
      </c>
      <c r="AT881" s="18" t="s">
        <v>83</v>
      </c>
      <c r="AU881" s="18" t="s">
        <v>81</v>
      </c>
      <c r="AV881" s="18" t="s">
        <v>95</v>
      </c>
      <c r="AW881" s="18" t="s">
        <v>95</v>
      </c>
      <c r="AX881" s="18"/>
      <c r="AY881" s="18" t="str">
        <f>Pospago[[#This Row],[NUM_TELEFONICO]]&amp;"POSPAGOSI"</f>
        <v>995865286POSPAGOSI</v>
      </c>
      <c r="AZ881" s="18" t="str">
        <f>VLOOKUP(Pospago[[#This Row],[NOM_PLAZA_FINAL]],[1]!Locales[#Data],3,0)</f>
        <v>TIENDA MACHALA</v>
      </c>
      <c r="BA881" s="18" t="str">
        <f>IFERROR(VLOOKUP(Pospago[[#This Row],[USUARIO]],[1]!Personal[#Data],6,0),"EJECUTIVO NO REGISTRADO")</f>
        <v>GONZAGA YUPANGUI LIZBETH KATHERINE</v>
      </c>
      <c r="BB881" s="18" t="str">
        <f>Pospago[[#This Row],[TIPO_MOVIMIENTO]]&amp;" "&amp;Pospago[[#This Row],[FORMA_PAGO_FINAL]]</f>
        <v>ALTAS DOMICILIADO</v>
      </c>
      <c r="BC881" s="18">
        <f>DAY(Pospago[[#This Row],[FECHA_ALTA]])</f>
        <v>5</v>
      </c>
      <c r="BD881" s="18">
        <f>IF(Pospago[[#This Row],[TARIFA_BASICA]]=11.42,1,0)</f>
        <v>0</v>
      </c>
      <c r="BE881" s="18">
        <f>IF(Pospago[[#This Row],[PLANES TELEVENTAS]]="SI",1,0)</f>
        <v>0</v>
      </c>
      <c r="BF881" s="18">
        <f>1</f>
        <v>1</v>
      </c>
      <c r="BG881" s="18">
        <f>IF(OR(Pospago[[#This Row],[TARIFA_BASICA]]=11.42,Pospago[[#This Row],[PLANES TELEVENTAS]]="SI"),1,0)</f>
        <v>0</v>
      </c>
      <c r="BH881" s="18" t="str">
        <f>IF(MID(Pospago[[#This Row],[PlanDesc]],1,4) = "PLAN","POSPAGO",IF(MID(Pospago[[#This Row],[PlanDesc]],1,4)="FULL","FULL MEGAS","PREVIOPAGO"))</f>
        <v>PREVIOPAGO</v>
      </c>
      <c r="BI8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8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81" s="21">
        <f>Pospago[[#This Row],[TARIFA_BASICA]]*1.5</f>
        <v>21.419999999999998</v>
      </c>
    </row>
    <row r="882" spans="1:63" x14ac:dyDescent="0.25">
      <c r="A882" s="18" t="s">
        <v>64</v>
      </c>
      <c r="B882" s="18" t="s">
        <v>5550</v>
      </c>
      <c r="C882" s="18" t="s">
        <v>5551</v>
      </c>
      <c r="D882" s="19">
        <v>44911</v>
      </c>
      <c r="E882" s="18" t="s">
        <v>67</v>
      </c>
      <c r="F882" s="18" t="s">
        <v>5552</v>
      </c>
      <c r="G882" s="18" t="s">
        <v>5553</v>
      </c>
      <c r="H882" s="18" t="s">
        <v>70</v>
      </c>
      <c r="I882" s="18" t="s">
        <v>194</v>
      </c>
      <c r="J882" s="18" t="s">
        <v>195</v>
      </c>
      <c r="K882" s="18" t="s">
        <v>132</v>
      </c>
      <c r="L882" s="20" t="s">
        <v>5554</v>
      </c>
      <c r="M882" s="18" t="s">
        <v>75</v>
      </c>
      <c r="N882" s="20" t="s">
        <v>5555</v>
      </c>
      <c r="O882" s="18" t="s">
        <v>231</v>
      </c>
      <c r="P882" s="18" t="s">
        <v>78</v>
      </c>
      <c r="Q882" s="19">
        <v>44914</v>
      </c>
      <c r="R882" s="21">
        <v>14.28</v>
      </c>
      <c r="S882" s="18" t="s">
        <v>79</v>
      </c>
      <c r="T882" s="18" t="s">
        <v>135</v>
      </c>
      <c r="U882" s="18" t="s">
        <v>83</v>
      </c>
      <c r="V882" s="18" t="s">
        <v>95</v>
      </c>
      <c r="W882" s="18" t="s">
        <v>83</v>
      </c>
      <c r="X882" s="18" t="s">
        <v>84</v>
      </c>
      <c r="Y882" s="18" t="s">
        <v>85</v>
      </c>
      <c r="Z882" s="18" t="s">
        <v>86</v>
      </c>
      <c r="AA882" s="18" t="s">
        <v>87</v>
      </c>
      <c r="AB882" s="18" t="s">
        <v>478</v>
      </c>
      <c r="AC882" s="18" t="s">
        <v>479</v>
      </c>
      <c r="AD882" s="18" t="s">
        <v>85</v>
      </c>
      <c r="AE882" s="18" t="s">
        <v>90</v>
      </c>
      <c r="AF882" s="18" t="s">
        <v>138</v>
      </c>
      <c r="AG882" s="18" t="s">
        <v>139</v>
      </c>
      <c r="AH882" s="18" t="s">
        <v>93</v>
      </c>
      <c r="AI882" s="18" t="s">
        <v>94</v>
      </c>
      <c r="AJ882" s="19">
        <v>44911</v>
      </c>
      <c r="AK882" s="22" t="s">
        <v>95</v>
      </c>
      <c r="AL882" s="18" t="s">
        <v>95</v>
      </c>
      <c r="AM882" s="18" t="s">
        <v>95</v>
      </c>
      <c r="AN882" s="18" t="s">
        <v>95</v>
      </c>
      <c r="AO882" s="18" t="s">
        <v>95</v>
      </c>
      <c r="AP882" s="18" t="s">
        <v>95</v>
      </c>
      <c r="AQ882" s="18" t="s">
        <v>95</v>
      </c>
      <c r="AR882" s="18" t="s">
        <v>95</v>
      </c>
      <c r="AS882" s="18" t="s">
        <v>83</v>
      </c>
      <c r="AT882" s="18" t="s">
        <v>81</v>
      </c>
      <c r="AU882" s="18" t="s">
        <v>81</v>
      </c>
      <c r="AV882" s="18" t="s">
        <v>95</v>
      </c>
      <c r="AW882" s="18" t="s">
        <v>95</v>
      </c>
      <c r="AX882" s="18"/>
      <c r="AY882" s="18" t="str">
        <f>Pospago[[#This Row],[NUM_TELEFONICO]]&amp;"POSPAGOSI"</f>
        <v>995870823POSPAGOSI</v>
      </c>
      <c r="AZ882" s="18" t="str">
        <f>VLOOKUP(Pospago[[#This Row],[NOM_PLAZA_FINAL]],[1]!Locales[#Data],3,0)</f>
        <v>TIENDA AMERICA</v>
      </c>
      <c r="BA882" s="18" t="str">
        <f>IFERROR(VLOOKUP(Pospago[[#This Row],[USUARIO]],[1]!Personal[#Data],6,0),"EJECUTIVO NO REGISTRADO")</f>
        <v>REINO TUFINO PAULTEH KATHERINE</v>
      </c>
      <c r="BB882" s="18" t="str">
        <f>Pospago[[#This Row],[TIPO_MOVIMIENTO]]&amp;" "&amp;Pospago[[#This Row],[FORMA_PAGO_FINAL]]</f>
        <v>ALTAS DOMICILIADO</v>
      </c>
      <c r="BC882" s="18">
        <f>DAY(Pospago[[#This Row],[FECHA_ALTA]])</f>
        <v>16</v>
      </c>
      <c r="BD882" s="18">
        <f>IF(Pospago[[#This Row],[TARIFA_BASICA]]=11.42,1,0)</f>
        <v>0</v>
      </c>
      <c r="BE882" s="18">
        <f>IF(Pospago[[#This Row],[PLANES TELEVENTAS]]="SI",1,0)</f>
        <v>1</v>
      </c>
      <c r="BF882" s="18">
        <f>1</f>
        <v>1</v>
      </c>
      <c r="BG882" s="18">
        <f>IF(OR(Pospago[[#This Row],[TARIFA_BASICA]]=11.42,Pospago[[#This Row],[PLANES TELEVENTAS]]="SI"),1,0)</f>
        <v>1</v>
      </c>
      <c r="BH882" s="18" t="str">
        <f>IF(MID(Pospago[[#This Row],[PlanDesc]],1,4) = "PLAN","POSPAGO",IF(MID(Pospago[[#This Row],[PlanDesc]],1,4)="FULL","FULL MEGAS","PREVIOPAGO"))</f>
        <v>PREVIOPAGO</v>
      </c>
      <c r="BI8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82" s="21">
        <f>Pospago[[#This Row],[TARIFA_BASICA]]*1.5</f>
        <v>21.419999999999998</v>
      </c>
    </row>
    <row r="883" spans="1:63" x14ac:dyDescent="0.25">
      <c r="A883" s="18" t="s">
        <v>154</v>
      </c>
      <c r="B883" s="18" t="s">
        <v>5556</v>
      </c>
      <c r="C883" s="18" t="s">
        <v>5557</v>
      </c>
      <c r="D883" s="19">
        <v>44896</v>
      </c>
      <c r="E883" s="18" t="s">
        <v>67</v>
      </c>
      <c r="F883" s="18" t="s">
        <v>5558</v>
      </c>
      <c r="G883" s="18" t="s">
        <v>5559</v>
      </c>
      <c r="H883" s="18" t="s">
        <v>159</v>
      </c>
      <c r="I883" s="18" t="s">
        <v>130</v>
      </c>
      <c r="J883" s="18" t="s">
        <v>433</v>
      </c>
      <c r="K883" s="18" t="s">
        <v>132</v>
      </c>
      <c r="L883" s="20" t="s">
        <v>5560</v>
      </c>
      <c r="M883" s="18" t="s">
        <v>75</v>
      </c>
      <c r="N883" s="20" t="s">
        <v>5561</v>
      </c>
      <c r="O883" s="18" t="s">
        <v>164</v>
      </c>
      <c r="P883" s="18" t="s">
        <v>78</v>
      </c>
      <c r="Q883" s="19">
        <v>44914</v>
      </c>
      <c r="R883" s="21">
        <v>15</v>
      </c>
      <c r="S883" s="18" t="s">
        <v>79</v>
      </c>
      <c r="T883" s="18" t="s">
        <v>80</v>
      </c>
      <c r="U883" s="18" t="s">
        <v>83</v>
      </c>
      <c r="V883" s="18" t="s">
        <v>95</v>
      </c>
      <c r="W883" s="18" t="s">
        <v>95</v>
      </c>
      <c r="X883" s="18" t="s">
        <v>84</v>
      </c>
      <c r="Y883" s="18" t="s">
        <v>85</v>
      </c>
      <c r="Z883" s="18" t="s">
        <v>86</v>
      </c>
      <c r="AA883" s="18" t="s">
        <v>87</v>
      </c>
      <c r="AB883" s="18" t="s">
        <v>1020</v>
      </c>
      <c r="AC883" s="18" t="s">
        <v>1021</v>
      </c>
      <c r="AD883" s="18" t="s">
        <v>85</v>
      </c>
      <c r="AE883" s="18" t="s">
        <v>90</v>
      </c>
      <c r="AF883" s="18" t="s">
        <v>91</v>
      </c>
      <c r="AG883" s="18" t="s">
        <v>92</v>
      </c>
      <c r="AH883" s="18" t="s">
        <v>165</v>
      </c>
      <c r="AI883" s="18" t="s">
        <v>94</v>
      </c>
      <c r="AJ883" s="19">
        <v>44896</v>
      </c>
      <c r="AK883" s="22" t="s">
        <v>95</v>
      </c>
      <c r="AL883" s="18" t="s">
        <v>95</v>
      </c>
      <c r="AM883" s="18" t="s">
        <v>95</v>
      </c>
      <c r="AN883" s="18" t="s">
        <v>95</v>
      </c>
      <c r="AO883" s="18" t="s">
        <v>95</v>
      </c>
      <c r="AP883" s="18" t="s">
        <v>95</v>
      </c>
      <c r="AQ883" s="18" t="s">
        <v>95</v>
      </c>
      <c r="AR883" s="18" t="s">
        <v>95</v>
      </c>
      <c r="AS883" s="18" t="s">
        <v>83</v>
      </c>
      <c r="AT883" s="18" t="s">
        <v>83</v>
      </c>
      <c r="AU883" s="18" t="s">
        <v>81</v>
      </c>
      <c r="AV883" s="18" t="s">
        <v>95</v>
      </c>
      <c r="AW883" s="18" t="s">
        <v>95</v>
      </c>
      <c r="AX883" s="18"/>
      <c r="AY883" s="18" t="str">
        <f>Pospago[[#This Row],[NUM_TELEFONICO]]&amp;"POSPAGOSI"</f>
        <v>995878577POSPAGOSI</v>
      </c>
      <c r="AZ883" s="18" t="str">
        <f>VLOOKUP(Pospago[[#This Row],[NOM_PLAZA_FINAL]],[1]!Locales[#Data],3,0)</f>
        <v>TIENDA CUENCA CENTRO</v>
      </c>
      <c r="BA883" s="18" t="str">
        <f>IFERROR(VLOOKUP(Pospago[[#This Row],[USUARIO]],[1]!Personal[#Data],6,0),"EJECUTIVO NO REGISTRADO")</f>
        <v>GONZALES ALVARRACIN PAOLA YESSENIA</v>
      </c>
      <c r="BB883" s="18" t="str">
        <f>Pospago[[#This Row],[TIPO_MOVIMIENTO]]&amp;" "&amp;Pospago[[#This Row],[FORMA_PAGO_FINAL]]</f>
        <v>TRANSFERENCIAS DOMICILIADO</v>
      </c>
      <c r="BC883" s="18">
        <f>DAY(Pospago[[#This Row],[FECHA_ALTA]])</f>
        <v>1</v>
      </c>
      <c r="BD883" s="18">
        <f>IF(Pospago[[#This Row],[TARIFA_BASICA]]=11.42,1,0)</f>
        <v>0</v>
      </c>
      <c r="BE883" s="18">
        <f>IF(Pospago[[#This Row],[PLANES TELEVENTAS]]="SI",1,0)</f>
        <v>0</v>
      </c>
      <c r="BF883" s="18">
        <f>1</f>
        <v>1</v>
      </c>
      <c r="BG883" s="18">
        <f>IF(OR(Pospago[[#This Row],[TARIFA_BASICA]]=11.42,Pospago[[#This Row],[PLANES TELEVENTAS]]="SI"),1,0)</f>
        <v>0</v>
      </c>
      <c r="BH883" s="18" t="str">
        <f>IF(MID(Pospago[[#This Row],[PlanDesc]],1,4) = "PLAN","POSPAGO",IF(MID(Pospago[[#This Row],[PlanDesc]],1,4)="FULL","FULL MEGAS","PREVIOPAGO"))</f>
        <v>PREVIOPAGO</v>
      </c>
      <c r="BI8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8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83" s="21">
        <f>Pospago[[#This Row],[TARIFA_BASICA]]*1.5</f>
        <v>22.5</v>
      </c>
    </row>
    <row r="884" spans="1:63" x14ac:dyDescent="0.25">
      <c r="A884" s="18" t="s">
        <v>64</v>
      </c>
      <c r="B884" s="18" t="s">
        <v>5562</v>
      </c>
      <c r="C884" s="18" t="s">
        <v>4076</v>
      </c>
      <c r="D884" s="19">
        <v>44901</v>
      </c>
      <c r="E884" s="18" t="s">
        <v>246</v>
      </c>
      <c r="F884" s="18" t="s">
        <v>4077</v>
      </c>
      <c r="G884" s="18" t="s">
        <v>4078</v>
      </c>
      <c r="H884" s="18" t="s">
        <v>70</v>
      </c>
      <c r="I884" s="18" t="s">
        <v>194</v>
      </c>
      <c r="J884" s="18" t="s">
        <v>195</v>
      </c>
      <c r="K884" s="18" t="s">
        <v>132</v>
      </c>
      <c r="L884" s="20" t="s">
        <v>5563</v>
      </c>
      <c r="M884" s="18" t="s">
        <v>75</v>
      </c>
      <c r="N884" s="20" t="s">
        <v>5564</v>
      </c>
      <c r="O884" s="18" t="s">
        <v>77</v>
      </c>
      <c r="P884" s="18" t="s">
        <v>78</v>
      </c>
      <c r="Q884" s="19">
        <v>44914</v>
      </c>
      <c r="R884" s="21">
        <v>14.28</v>
      </c>
      <c r="S884" s="18" t="s">
        <v>79</v>
      </c>
      <c r="T884" s="18" t="s">
        <v>174</v>
      </c>
      <c r="U884" s="18" t="s">
        <v>83</v>
      </c>
      <c r="V884" s="18" t="s">
        <v>95</v>
      </c>
      <c r="W884" s="18" t="s">
        <v>83</v>
      </c>
      <c r="X884" s="18" t="s">
        <v>84</v>
      </c>
      <c r="Y884" s="18" t="s">
        <v>85</v>
      </c>
      <c r="Z884" s="18" t="s">
        <v>86</v>
      </c>
      <c r="AA884" s="18" t="s">
        <v>87</v>
      </c>
      <c r="AB884" s="18" t="s">
        <v>187</v>
      </c>
      <c r="AC884" s="18" t="s">
        <v>188</v>
      </c>
      <c r="AD884" s="18" t="s">
        <v>85</v>
      </c>
      <c r="AE884" s="18" t="s">
        <v>90</v>
      </c>
      <c r="AF884" s="18" t="s">
        <v>177</v>
      </c>
      <c r="AG884" s="18" t="s">
        <v>139</v>
      </c>
      <c r="AH884" s="18" t="s">
        <v>93</v>
      </c>
      <c r="AI884" s="18" t="s">
        <v>94</v>
      </c>
      <c r="AJ884" s="19">
        <v>44901</v>
      </c>
      <c r="AK884" s="22" t="s">
        <v>95</v>
      </c>
      <c r="AL884" s="18" t="s">
        <v>95</v>
      </c>
      <c r="AM884" s="18" t="s">
        <v>95</v>
      </c>
      <c r="AN884" s="18" t="s">
        <v>95</v>
      </c>
      <c r="AO884" s="18" t="s">
        <v>95</v>
      </c>
      <c r="AP884" s="18" t="s">
        <v>95</v>
      </c>
      <c r="AQ884" s="18" t="s">
        <v>95</v>
      </c>
      <c r="AR884" s="18" t="s">
        <v>95</v>
      </c>
      <c r="AS884" s="18" t="s">
        <v>83</v>
      </c>
      <c r="AT884" s="18" t="s">
        <v>81</v>
      </c>
      <c r="AU884" s="18" t="s">
        <v>81</v>
      </c>
      <c r="AV884" s="18" t="s">
        <v>95</v>
      </c>
      <c r="AW884" s="18" t="s">
        <v>95</v>
      </c>
      <c r="AX884" s="18"/>
      <c r="AY884" s="18" t="str">
        <f>Pospago[[#This Row],[NUM_TELEFONICO]]&amp;"POSPAGOSI"</f>
        <v>995905327POSPAGOSI</v>
      </c>
      <c r="AZ884" s="18" t="str">
        <f>VLOOKUP(Pospago[[#This Row],[NOM_PLAZA_FINAL]],[1]!Locales[#Data],3,0)</f>
        <v>TIENDA RECREO</v>
      </c>
      <c r="BA884" s="18" t="str">
        <f>IFERROR(VLOOKUP(Pospago[[#This Row],[USUARIO]],[1]!Personal[#Data],6,0),"EJECUTIVO NO REGISTRADO")</f>
        <v>ESPINOZA MARTINES LAURA XIOMARA</v>
      </c>
      <c r="BB884" s="18" t="str">
        <f>Pospago[[#This Row],[TIPO_MOVIMIENTO]]&amp;" "&amp;Pospago[[#This Row],[FORMA_PAGO_FINAL]]</f>
        <v>ALTAS DOMICILIADO</v>
      </c>
      <c r="BC884" s="18">
        <f>DAY(Pospago[[#This Row],[FECHA_ALTA]])</f>
        <v>6</v>
      </c>
      <c r="BD884" s="18">
        <f>IF(Pospago[[#This Row],[TARIFA_BASICA]]=11.42,1,0)</f>
        <v>0</v>
      </c>
      <c r="BE884" s="18">
        <f>IF(Pospago[[#This Row],[PLANES TELEVENTAS]]="SI",1,0)</f>
        <v>1</v>
      </c>
      <c r="BF884" s="18">
        <f>1</f>
        <v>1</v>
      </c>
      <c r="BG884" s="18">
        <f>IF(OR(Pospago[[#This Row],[TARIFA_BASICA]]=11.42,Pospago[[#This Row],[PLANES TELEVENTAS]]="SI"),1,0)</f>
        <v>1</v>
      </c>
      <c r="BH884" s="18" t="str">
        <f>IF(MID(Pospago[[#This Row],[PlanDesc]],1,4) = "PLAN","POSPAGO",IF(MID(Pospago[[#This Row],[PlanDesc]],1,4)="FULL","FULL MEGAS","PREVIOPAGO"))</f>
        <v>PREVIOPAGO</v>
      </c>
      <c r="BI8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84" s="21">
        <f>Pospago[[#This Row],[TARIFA_BASICA]]*1.5</f>
        <v>21.419999999999998</v>
      </c>
    </row>
    <row r="885" spans="1:63" x14ac:dyDescent="0.25">
      <c r="A885" s="18" t="s">
        <v>154</v>
      </c>
      <c r="B885" s="18" t="s">
        <v>5565</v>
      </c>
      <c r="C885" s="18" t="s">
        <v>5566</v>
      </c>
      <c r="D885" s="19">
        <v>44903</v>
      </c>
      <c r="E885" s="18" t="s">
        <v>67</v>
      </c>
      <c r="F885" s="18" t="s">
        <v>5567</v>
      </c>
      <c r="G885" s="18" t="s">
        <v>5568</v>
      </c>
      <c r="H885" s="18" t="s">
        <v>159</v>
      </c>
      <c r="I885" s="18" t="s">
        <v>71</v>
      </c>
      <c r="J885" s="18" t="s">
        <v>258</v>
      </c>
      <c r="K885" s="18" t="s">
        <v>73</v>
      </c>
      <c r="L885" s="20" t="s">
        <v>5569</v>
      </c>
      <c r="M885" s="18" t="s">
        <v>75</v>
      </c>
      <c r="N885" s="20" t="s">
        <v>5570</v>
      </c>
      <c r="O885" s="18" t="s">
        <v>164</v>
      </c>
      <c r="P885" s="18" t="s">
        <v>78</v>
      </c>
      <c r="Q885" s="19">
        <v>44914</v>
      </c>
      <c r="R885" s="21">
        <v>11.42</v>
      </c>
      <c r="S885" s="18" t="s">
        <v>79</v>
      </c>
      <c r="T885" s="18" t="s">
        <v>148</v>
      </c>
      <c r="U885" s="18" t="s">
        <v>83</v>
      </c>
      <c r="V885" s="18" t="s">
        <v>95</v>
      </c>
      <c r="W885" s="18" t="s">
        <v>95</v>
      </c>
      <c r="X885" s="18" t="s">
        <v>84</v>
      </c>
      <c r="Y885" s="18" t="s">
        <v>85</v>
      </c>
      <c r="Z885" s="18" t="s">
        <v>86</v>
      </c>
      <c r="AA885" s="18" t="s">
        <v>87</v>
      </c>
      <c r="AB885" s="18" t="s">
        <v>149</v>
      </c>
      <c r="AC885" s="18" t="s">
        <v>150</v>
      </c>
      <c r="AD885" s="18" t="s">
        <v>85</v>
      </c>
      <c r="AE885" s="18" t="s">
        <v>90</v>
      </c>
      <c r="AF885" s="18" t="s">
        <v>151</v>
      </c>
      <c r="AG885" s="18" t="s">
        <v>92</v>
      </c>
      <c r="AH885" s="18" t="s">
        <v>165</v>
      </c>
      <c r="AI885" s="18" t="s">
        <v>94</v>
      </c>
      <c r="AJ885" s="19">
        <v>44903</v>
      </c>
      <c r="AK885" s="22" t="s">
        <v>95</v>
      </c>
      <c r="AL885" s="18" t="s">
        <v>95</v>
      </c>
      <c r="AM885" s="18" t="s">
        <v>95</v>
      </c>
      <c r="AN885" s="18" t="s">
        <v>95</v>
      </c>
      <c r="AO885" s="18" t="s">
        <v>95</v>
      </c>
      <c r="AP885" s="18" t="s">
        <v>95</v>
      </c>
      <c r="AQ885" s="18" t="s">
        <v>95</v>
      </c>
      <c r="AR885" s="18" t="s">
        <v>95</v>
      </c>
      <c r="AS885" s="18" t="s">
        <v>83</v>
      </c>
      <c r="AT885" s="18" t="s">
        <v>83</v>
      </c>
      <c r="AU885" s="18" t="s">
        <v>81</v>
      </c>
      <c r="AV885" s="18" t="s">
        <v>95</v>
      </c>
      <c r="AW885" s="18" t="s">
        <v>96</v>
      </c>
      <c r="AX885" s="18"/>
      <c r="AY885" s="18" t="str">
        <f>Pospago[[#This Row],[NUM_TELEFONICO]]&amp;"POSPAGOSI"</f>
        <v>995907296POSPAGOSI</v>
      </c>
      <c r="AZ885" s="18" t="str">
        <f>VLOOKUP(Pospago[[#This Row],[NOM_PLAZA_FINAL]],[1]!Locales[#Data],3,0)</f>
        <v>TIENDA CUENCA REMIGIO</v>
      </c>
      <c r="BA885" s="18" t="str">
        <f>IFERROR(VLOOKUP(Pospago[[#This Row],[USUARIO]],[1]!Personal[#Data],6,0),"EJECUTIVO NO REGISTRADO")</f>
        <v>OSORIO TEJADA ANA ESTEFANIA</v>
      </c>
      <c r="BB885" s="18" t="str">
        <f>Pospago[[#This Row],[TIPO_MOVIMIENTO]]&amp;" "&amp;Pospago[[#This Row],[FORMA_PAGO_FINAL]]</f>
        <v>TRANSFERENCIAS DOMICILIADO</v>
      </c>
      <c r="BC885" s="18">
        <f>DAY(Pospago[[#This Row],[FECHA_ALTA]])</f>
        <v>8</v>
      </c>
      <c r="BD885" s="18">
        <f>IF(Pospago[[#This Row],[TARIFA_BASICA]]=11.42,1,0)</f>
        <v>1</v>
      </c>
      <c r="BE885" s="18">
        <f>IF(Pospago[[#This Row],[PLANES TELEVENTAS]]="SI",1,0)</f>
        <v>0</v>
      </c>
      <c r="BF885" s="18">
        <f>1</f>
        <v>1</v>
      </c>
      <c r="BG885" s="18">
        <f>IF(OR(Pospago[[#This Row],[TARIFA_BASICA]]=11.42,Pospago[[#This Row],[PLANES TELEVENTAS]]="SI"),1,0)</f>
        <v>1</v>
      </c>
      <c r="BH885" s="18" t="str">
        <f>IF(MID(Pospago[[#This Row],[PlanDesc]],1,4) = "PLAN","POSPAGO",IF(MID(Pospago[[#This Row],[PlanDesc]],1,4)="FULL","FULL MEGAS","PREVIOPAGO"))</f>
        <v>PREVIOPAGO</v>
      </c>
      <c r="BI8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8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85" s="21">
        <f>Pospago[[#This Row],[TARIFA_BASICA]]*1.5</f>
        <v>17.13</v>
      </c>
    </row>
    <row r="886" spans="1:63" x14ac:dyDescent="0.25">
      <c r="A886" s="18" t="s">
        <v>154</v>
      </c>
      <c r="B886" s="18" t="s">
        <v>5571</v>
      </c>
      <c r="C886" s="18" t="s">
        <v>5572</v>
      </c>
      <c r="D886" s="19">
        <v>44907</v>
      </c>
      <c r="E886" s="18" t="s">
        <v>67</v>
      </c>
      <c r="F886" s="18" t="s">
        <v>5573</v>
      </c>
      <c r="G886" s="18" t="s">
        <v>5574</v>
      </c>
      <c r="H886" s="18" t="s">
        <v>159</v>
      </c>
      <c r="I886" s="18" t="s">
        <v>160</v>
      </c>
      <c r="J886" s="18" t="s">
        <v>161</v>
      </c>
      <c r="K886" s="18" t="s">
        <v>132</v>
      </c>
      <c r="L886" s="20" t="s">
        <v>5575</v>
      </c>
      <c r="M886" s="18" t="s">
        <v>75</v>
      </c>
      <c r="N886" s="20" t="s">
        <v>5576</v>
      </c>
      <c r="O886" s="18" t="s">
        <v>164</v>
      </c>
      <c r="P886" s="18" t="s">
        <v>78</v>
      </c>
      <c r="Q886" s="19">
        <v>44914</v>
      </c>
      <c r="R886" s="21">
        <v>14.28</v>
      </c>
      <c r="S886" s="18" t="s">
        <v>79</v>
      </c>
      <c r="T886" s="18" t="s">
        <v>174</v>
      </c>
      <c r="U886" s="18" t="s">
        <v>83</v>
      </c>
      <c r="V886" s="18" t="s">
        <v>95</v>
      </c>
      <c r="W886" s="18" t="s">
        <v>95</v>
      </c>
      <c r="X886" s="18" t="s">
        <v>84</v>
      </c>
      <c r="Y886" s="18" t="s">
        <v>85</v>
      </c>
      <c r="Z886" s="18" t="s">
        <v>86</v>
      </c>
      <c r="AA886" s="18" t="s">
        <v>87</v>
      </c>
      <c r="AB886" s="18" t="s">
        <v>303</v>
      </c>
      <c r="AC886" s="18" t="s">
        <v>304</v>
      </c>
      <c r="AD886" s="18" t="s">
        <v>85</v>
      </c>
      <c r="AE886" s="18" t="s">
        <v>90</v>
      </c>
      <c r="AF886" s="18" t="s">
        <v>177</v>
      </c>
      <c r="AG886" s="18" t="s">
        <v>139</v>
      </c>
      <c r="AH886" s="18" t="s">
        <v>165</v>
      </c>
      <c r="AI886" s="18" t="s">
        <v>94</v>
      </c>
      <c r="AJ886" s="19">
        <v>44907</v>
      </c>
      <c r="AK886" s="22" t="s">
        <v>95</v>
      </c>
      <c r="AL886" s="18" t="s">
        <v>95</v>
      </c>
      <c r="AM886" s="18" t="s">
        <v>95</v>
      </c>
      <c r="AN886" s="18" t="s">
        <v>95</v>
      </c>
      <c r="AO886" s="18" t="s">
        <v>95</v>
      </c>
      <c r="AP886" s="18" t="s">
        <v>95</v>
      </c>
      <c r="AQ886" s="18" t="s">
        <v>95</v>
      </c>
      <c r="AR886" s="18" t="s">
        <v>95</v>
      </c>
      <c r="AS886" s="18" t="s">
        <v>83</v>
      </c>
      <c r="AT886" s="18" t="s">
        <v>83</v>
      </c>
      <c r="AU886" s="18" t="s">
        <v>81</v>
      </c>
      <c r="AV886" s="18" t="s">
        <v>95</v>
      </c>
      <c r="AW886" s="18" t="s">
        <v>95</v>
      </c>
      <c r="AX886" s="18"/>
      <c r="AY886" s="18" t="str">
        <f>Pospago[[#This Row],[NUM_TELEFONICO]]&amp;"POSPAGOSI"</f>
        <v>995908576POSPAGOSI</v>
      </c>
      <c r="AZ886" s="18" t="str">
        <f>VLOOKUP(Pospago[[#This Row],[NOM_PLAZA_FINAL]],[1]!Locales[#Data],3,0)</f>
        <v>TIENDA RECREO</v>
      </c>
      <c r="BA886" s="18" t="str">
        <f>IFERROR(VLOOKUP(Pospago[[#This Row],[USUARIO]],[1]!Personal[#Data],6,0),"EJECUTIVO NO REGISTRADO")</f>
        <v>CORDOVA GAIBOR JONATHAN HERNAN</v>
      </c>
      <c r="BB886" s="18" t="str">
        <f>Pospago[[#This Row],[TIPO_MOVIMIENTO]]&amp;" "&amp;Pospago[[#This Row],[FORMA_PAGO_FINAL]]</f>
        <v>TRANSFERENCIAS DOMICILIADO</v>
      </c>
      <c r="BC886" s="18">
        <f>DAY(Pospago[[#This Row],[FECHA_ALTA]])</f>
        <v>12</v>
      </c>
      <c r="BD886" s="18">
        <f>IF(Pospago[[#This Row],[TARIFA_BASICA]]=11.42,1,0)</f>
        <v>0</v>
      </c>
      <c r="BE886" s="18">
        <f>IF(Pospago[[#This Row],[PLANES TELEVENTAS]]="SI",1,0)</f>
        <v>0</v>
      </c>
      <c r="BF886" s="18">
        <f>1</f>
        <v>1</v>
      </c>
      <c r="BG886" s="18">
        <f>IF(OR(Pospago[[#This Row],[TARIFA_BASICA]]=11.42,Pospago[[#This Row],[PLANES TELEVENTAS]]="SI"),1,0)</f>
        <v>0</v>
      </c>
      <c r="BH886" s="18" t="str">
        <f>IF(MID(Pospago[[#This Row],[PlanDesc]],1,4) = "PLAN","POSPAGO",IF(MID(Pospago[[#This Row],[PlanDesc]],1,4)="FULL","FULL MEGAS","PREVIOPAGO"))</f>
        <v>PREVIOPAGO</v>
      </c>
      <c r="BI8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86" s="21">
        <f>Pospago[[#This Row],[TARIFA_BASICA]]*1.5</f>
        <v>21.419999999999998</v>
      </c>
    </row>
    <row r="887" spans="1:63" x14ac:dyDescent="0.25">
      <c r="A887" s="18" t="s">
        <v>154</v>
      </c>
      <c r="B887" s="18" t="s">
        <v>5577</v>
      </c>
      <c r="C887" s="18" t="s">
        <v>5578</v>
      </c>
      <c r="D887" s="19">
        <v>44912</v>
      </c>
      <c r="E887" s="18" t="s">
        <v>67</v>
      </c>
      <c r="F887" s="18" t="s">
        <v>5579</v>
      </c>
      <c r="G887" s="18" t="s">
        <v>5580</v>
      </c>
      <c r="H887" s="18" t="s">
        <v>159</v>
      </c>
      <c r="I887" s="18" t="s">
        <v>1357</v>
      </c>
      <c r="J887" s="18" t="s">
        <v>2022</v>
      </c>
      <c r="K887" s="18" t="s">
        <v>132</v>
      </c>
      <c r="L887" s="20" t="s">
        <v>5581</v>
      </c>
      <c r="M887" s="18" t="s">
        <v>75</v>
      </c>
      <c r="N887" s="20" t="s">
        <v>5582</v>
      </c>
      <c r="O887" s="18" t="s">
        <v>164</v>
      </c>
      <c r="P887" s="18" t="s">
        <v>78</v>
      </c>
      <c r="Q887" s="19">
        <v>44914</v>
      </c>
      <c r="R887" s="21">
        <v>11.42</v>
      </c>
      <c r="S887" s="18" t="s">
        <v>79</v>
      </c>
      <c r="T887" s="18" t="s">
        <v>174</v>
      </c>
      <c r="U887" s="18" t="s">
        <v>83</v>
      </c>
      <c r="V887" s="18" t="s">
        <v>95</v>
      </c>
      <c r="W887" s="18" t="s">
        <v>95</v>
      </c>
      <c r="X887" s="18" t="s">
        <v>118</v>
      </c>
      <c r="Y887" s="18" t="s">
        <v>85</v>
      </c>
      <c r="Z887" s="18" t="s">
        <v>86</v>
      </c>
      <c r="AA887" s="18" t="s">
        <v>119</v>
      </c>
      <c r="AB887" s="18" t="s">
        <v>630</v>
      </c>
      <c r="AC887" s="18" t="s">
        <v>631</v>
      </c>
      <c r="AD887" s="18" t="s">
        <v>85</v>
      </c>
      <c r="AE887" s="18" t="s">
        <v>90</v>
      </c>
      <c r="AF887" s="18" t="s">
        <v>177</v>
      </c>
      <c r="AG887" s="18" t="s">
        <v>139</v>
      </c>
      <c r="AH887" s="18" t="s">
        <v>165</v>
      </c>
      <c r="AI887" s="18" t="s">
        <v>94</v>
      </c>
      <c r="AJ887" s="19">
        <v>44912</v>
      </c>
      <c r="AK887" s="22" t="s">
        <v>95</v>
      </c>
      <c r="AL887" s="18" t="s">
        <v>95</v>
      </c>
      <c r="AM887" s="18" t="s">
        <v>95</v>
      </c>
      <c r="AN887" s="18" t="s">
        <v>95</v>
      </c>
      <c r="AO887" s="18" t="s">
        <v>95</v>
      </c>
      <c r="AP887" s="18" t="s">
        <v>95</v>
      </c>
      <c r="AQ887" s="18" t="s">
        <v>95</v>
      </c>
      <c r="AR887" s="18" t="s">
        <v>95</v>
      </c>
      <c r="AS887" s="18" t="s">
        <v>83</v>
      </c>
      <c r="AT887" s="18" t="s">
        <v>81</v>
      </c>
      <c r="AU887" s="18" t="s">
        <v>81</v>
      </c>
      <c r="AV887" s="18" t="s">
        <v>95</v>
      </c>
      <c r="AW887" s="18" t="s">
        <v>95</v>
      </c>
      <c r="AX887" s="18"/>
      <c r="AY887" s="18" t="str">
        <f>Pospago[[#This Row],[NUM_TELEFONICO]]&amp;"POSPAGOSI"</f>
        <v>995920398POSPAGOSI</v>
      </c>
      <c r="AZ887" s="18" t="str">
        <f>VLOOKUP(Pospago[[#This Row],[NOM_PLAZA_FINAL]],[1]!Locales[#Data],3,0)</f>
        <v>TIENDA RECREO</v>
      </c>
      <c r="BA887" s="18" t="str">
        <f>IFERROR(VLOOKUP(Pospago[[#This Row],[USUARIO]],[1]!Personal[#Data],6,0),"EJECUTIVO NO REGISTRADO")</f>
        <v>LOAYZA AGUILAR JONATHAN FABIAN</v>
      </c>
      <c r="BB887" s="18" t="str">
        <f>Pospago[[#This Row],[TIPO_MOVIMIENTO]]&amp;" "&amp;Pospago[[#This Row],[FORMA_PAGO_FINAL]]</f>
        <v>TRANSFERENCIAS PAGO EN CAJA</v>
      </c>
      <c r="BC887" s="18">
        <f>DAY(Pospago[[#This Row],[FECHA_ALTA]])</f>
        <v>17</v>
      </c>
      <c r="BD887" s="18">
        <f>IF(Pospago[[#This Row],[TARIFA_BASICA]]=11.42,1,0)</f>
        <v>1</v>
      </c>
      <c r="BE887" s="18">
        <f>IF(Pospago[[#This Row],[PLANES TELEVENTAS]]="SI",1,0)</f>
        <v>1</v>
      </c>
      <c r="BF887" s="18">
        <f>1</f>
        <v>1</v>
      </c>
      <c r="BG887" s="18">
        <f>IF(OR(Pospago[[#This Row],[TARIFA_BASICA]]=11.42,Pospago[[#This Row],[PLANES TELEVENTAS]]="SI"),1,0)</f>
        <v>1</v>
      </c>
      <c r="BH887" s="18" t="str">
        <f>IF(MID(Pospago[[#This Row],[PlanDesc]],1,4) = "PLAN","POSPAGO",IF(MID(Pospago[[#This Row],[PlanDesc]],1,4)="FULL","FULL MEGAS","PREVIOPAGO"))</f>
        <v>PREVIOPAGO</v>
      </c>
      <c r="BI8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8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87" s="21">
        <f>Pospago[[#This Row],[TARIFA_BASICA]]*1.5</f>
        <v>17.13</v>
      </c>
    </row>
    <row r="888" spans="1:63" x14ac:dyDescent="0.25">
      <c r="A888" s="18" t="s">
        <v>64</v>
      </c>
      <c r="B888" s="18" t="s">
        <v>5583</v>
      </c>
      <c r="C888" s="18" t="s">
        <v>5584</v>
      </c>
      <c r="D888" s="19">
        <v>44904</v>
      </c>
      <c r="E888" s="18" t="s">
        <v>67</v>
      </c>
      <c r="F888" s="18" t="s">
        <v>5585</v>
      </c>
      <c r="G888" s="18" t="s">
        <v>5586</v>
      </c>
      <c r="H888" s="18" t="s">
        <v>70</v>
      </c>
      <c r="I888" s="18" t="s">
        <v>160</v>
      </c>
      <c r="J888" s="18" t="s">
        <v>195</v>
      </c>
      <c r="K888" s="18" t="s">
        <v>73</v>
      </c>
      <c r="L888" s="20" t="s">
        <v>5587</v>
      </c>
      <c r="M888" s="18" t="s">
        <v>75</v>
      </c>
      <c r="N888" s="20" t="s">
        <v>5588</v>
      </c>
      <c r="O888" s="18" t="s">
        <v>77</v>
      </c>
      <c r="P888" s="18" t="s">
        <v>78</v>
      </c>
      <c r="Q888" s="19">
        <v>44914</v>
      </c>
      <c r="R888" s="21">
        <v>14.28</v>
      </c>
      <c r="S888" s="18" t="s">
        <v>79</v>
      </c>
      <c r="T888" s="18" t="s">
        <v>232</v>
      </c>
      <c r="U888" s="18" t="s">
        <v>83</v>
      </c>
      <c r="V888" s="18" t="s">
        <v>95</v>
      </c>
      <c r="W888" s="18" t="s">
        <v>83</v>
      </c>
      <c r="X888" s="18" t="s">
        <v>84</v>
      </c>
      <c r="Y888" s="18" t="s">
        <v>85</v>
      </c>
      <c r="Z888" s="18" t="s">
        <v>86</v>
      </c>
      <c r="AA888" s="18" t="s">
        <v>87</v>
      </c>
      <c r="AB888" s="18" t="s">
        <v>412</v>
      </c>
      <c r="AC888" s="18" t="s">
        <v>413</v>
      </c>
      <c r="AD888" s="18" t="s">
        <v>85</v>
      </c>
      <c r="AE888" s="18" t="s">
        <v>90</v>
      </c>
      <c r="AF888" s="18" t="s">
        <v>235</v>
      </c>
      <c r="AG888" s="18" t="s">
        <v>139</v>
      </c>
      <c r="AH888" s="18" t="s">
        <v>93</v>
      </c>
      <c r="AI888" s="18" t="s">
        <v>94</v>
      </c>
      <c r="AJ888" s="19">
        <v>44904</v>
      </c>
      <c r="AK888" s="22" t="s">
        <v>95</v>
      </c>
      <c r="AL888" s="18" t="s">
        <v>95</v>
      </c>
      <c r="AM888" s="18" t="s">
        <v>95</v>
      </c>
      <c r="AN888" s="18" t="s">
        <v>95</v>
      </c>
      <c r="AO888" s="18" t="s">
        <v>95</v>
      </c>
      <c r="AP888" s="18" t="s">
        <v>95</v>
      </c>
      <c r="AQ888" s="18" t="s">
        <v>95</v>
      </c>
      <c r="AR888" s="18" t="s">
        <v>95</v>
      </c>
      <c r="AS888" s="18" t="s">
        <v>83</v>
      </c>
      <c r="AT888" s="18" t="s">
        <v>83</v>
      </c>
      <c r="AU888" s="18" t="s">
        <v>81</v>
      </c>
      <c r="AV888" s="18" t="s">
        <v>95</v>
      </c>
      <c r="AW888" s="18" t="s">
        <v>95</v>
      </c>
      <c r="AX888" s="18"/>
      <c r="AY888" s="18" t="str">
        <f>Pospago[[#This Row],[NUM_TELEFONICO]]&amp;"POSPAGOSI"</f>
        <v>995927640POSPAGOSI</v>
      </c>
      <c r="AZ888" s="18" t="str">
        <f>VLOOKUP(Pospago[[#This Row],[NOM_PLAZA_FINAL]],[1]!Locales[#Data],3,0)</f>
        <v>TIENDA CONDADO</v>
      </c>
      <c r="BA888" s="18" t="str">
        <f>IFERROR(VLOOKUP(Pospago[[#This Row],[USUARIO]],[1]!Personal[#Data],6,0),"EJECUTIVO NO REGISTRADO")</f>
        <v>PADILLA MALDONADO HENRY LEOPOLDO</v>
      </c>
      <c r="BB888" s="18" t="str">
        <f>Pospago[[#This Row],[TIPO_MOVIMIENTO]]&amp;" "&amp;Pospago[[#This Row],[FORMA_PAGO_FINAL]]</f>
        <v>ALTAS DOMICILIADO</v>
      </c>
      <c r="BC888" s="18">
        <f>DAY(Pospago[[#This Row],[FECHA_ALTA]])</f>
        <v>9</v>
      </c>
      <c r="BD888" s="18">
        <f>IF(Pospago[[#This Row],[TARIFA_BASICA]]=11.42,1,0)</f>
        <v>0</v>
      </c>
      <c r="BE888" s="18">
        <f>IF(Pospago[[#This Row],[PLANES TELEVENTAS]]="SI",1,0)</f>
        <v>0</v>
      </c>
      <c r="BF888" s="18">
        <f>1</f>
        <v>1</v>
      </c>
      <c r="BG888" s="18">
        <f>IF(OR(Pospago[[#This Row],[TARIFA_BASICA]]=11.42,Pospago[[#This Row],[PLANES TELEVENTAS]]="SI"),1,0)</f>
        <v>0</v>
      </c>
      <c r="BH888" s="18" t="str">
        <f>IF(MID(Pospago[[#This Row],[PlanDesc]],1,4) = "PLAN","POSPAGO",IF(MID(Pospago[[#This Row],[PlanDesc]],1,4)="FULL","FULL MEGAS","PREVIOPAGO"))</f>
        <v>PREVIOPAGO</v>
      </c>
      <c r="BI8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8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88" s="21">
        <f>Pospago[[#This Row],[TARIFA_BASICA]]*1.5</f>
        <v>21.419999999999998</v>
      </c>
    </row>
    <row r="889" spans="1:63" x14ac:dyDescent="0.25">
      <c r="A889" s="18" t="s">
        <v>64</v>
      </c>
      <c r="B889" s="18" t="s">
        <v>5589</v>
      </c>
      <c r="C889" s="18" t="s">
        <v>5590</v>
      </c>
      <c r="D889" s="19">
        <v>44909</v>
      </c>
      <c r="E889" s="18" t="s">
        <v>67</v>
      </c>
      <c r="F889" s="18" t="s">
        <v>5591</v>
      </c>
      <c r="G889" s="18" t="s">
        <v>5592</v>
      </c>
      <c r="H889" s="18" t="s">
        <v>70</v>
      </c>
      <c r="I889" s="18" t="s">
        <v>1756</v>
      </c>
      <c r="J889" s="18" t="s">
        <v>1757</v>
      </c>
      <c r="K889" s="18" t="s">
        <v>114</v>
      </c>
      <c r="L889" s="20" t="s">
        <v>5593</v>
      </c>
      <c r="M889" s="18" t="s">
        <v>75</v>
      </c>
      <c r="N889" s="20" t="s">
        <v>5594</v>
      </c>
      <c r="O889" s="18" t="s">
        <v>77</v>
      </c>
      <c r="P889" s="18" t="s">
        <v>78</v>
      </c>
      <c r="Q889" s="19">
        <v>44914</v>
      </c>
      <c r="R889" s="21">
        <v>17.850000000000001</v>
      </c>
      <c r="S889" s="18" t="s">
        <v>79</v>
      </c>
      <c r="T889" s="18" t="s">
        <v>117</v>
      </c>
      <c r="U889" s="18" t="s">
        <v>83</v>
      </c>
      <c r="V889" s="18" t="s">
        <v>95</v>
      </c>
      <c r="W889" s="18" t="s">
        <v>83</v>
      </c>
      <c r="X889" s="18" t="s">
        <v>84</v>
      </c>
      <c r="Y889" s="18" t="s">
        <v>85</v>
      </c>
      <c r="Z889" s="18" t="s">
        <v>86</v>
      </c>
      <c r="AA889" s="18" t="s">
        <v>87</v>
      </c>
      <c r="AB889" s="18" t="s">
        <v>120</v>
      </c>
      <c r="AC889" s="18" t="s">
        <v>121</v>
      </c>
      <c r="AD889" s="18" t="s">
        <v>85</v>
      </c>
      <c r="AE889" s="18" t="s">
        <v>90</v>
      </c>
      <c r="AF889" s="18" t="s">
        <v>122</v>
      </c>
      <c r="AG889" s="18" t="s">
        <v>92</v>
      </c>
      <c r="AH889" s="18" t="s">
        <v>93</v>
      </c>
      <c r="AI889" s="18" t="s">
        <v>94</v>
      </c>
      <c r="AJ889" s="19">
        <v>44909</v>
      </c>
      <c r="AK889" s="22" t="s">
        <v>95</v>
      </c>
      <c r="AL889" s="18" t="s">
        <v>95</v>
      </c>
      <c r="AM889" s="18" t="s">
        <v>95</v>
      </c>
      <c r="AN889" s="18" t="s">
        <v>95</v>
      </c>
      <c r="AO889" s="18" t="s">
        <v>95</v>
      </c>
      <c r="AP889" s="18" t="s">
        <v>95</v>
      </c>
      <c r="AQ889" s="18" t="s">
        <v>95</v>
      </c>
      <c r="AR889" s="18" t="s">
        <v>95</v>
      </c>
      <c r="AS889" s="18" t="s">
        <v>83</v>
      </c>
      <c r="AT889" s="18" t="s">
        <v>81</v>
      </c>
      <c r="AU889" s="18" t="s">
        <v>83</v>
      </c>
      <c r="AV889" s="18" t="s">
        <v>95</v>
      </c>
      <c r="AW889" s="18" t="s">
        <v>95</v>
      </c>
      <c r="AX889" s="18"/>
      <c r="AY889" s="18" t="str">
        <f>Pospago[[#This Row],[NUM_TELEFONICO]]&amp;"POSPAGOSI"</f>
        <v>995940930POSPAGOSI</v>
      </c>
      <c r="AZ889" s="18" t="str">
        <f>VLOOKUP(Pospago[[#This Row],[NOM_PLAZA_FINAL]],[1]!Locales[#Data],3,0)</f>
        <v>TIENDA MACHALA</v>
      </c>
      <c r="BA889" s="18" t="str">
        <f>IFERROR(VLOOKUP(Pospago[[#This Row],[USUARIO]],[1]!Personal[#Data],6,0),"EJECUTIVO NO REGISTRADO")</f>
        <v>ARROBO VICENTE YADIRA ESPERANZA</v>
      </c>
      <c r="BB889" s="18" t="str">
        <f>Pospago[[#This Row],[TIPO_MOVIMIENTO]]&amp;" "&amp;Pospago[[#This Row],[FORMA_PAGO_FINAL]]</f>
        <v>ALTAS DOMICILIADO</v>
      </c>
      <c r="BC889" s="18">
        <f>DAY(Pospago[[#This Row],[FECHA_ALTA]])</f>
        <v>14</v>
      </c>
      <c r="BD889" s="18">
        <f>IF(Pospago[[#This Row],[TARIFA_BASICA]]=11.42,1,0)</f>
        <v>0</v>
      </c>
      <c r="BE889" s="18">
        <f>IF(Pospago[[#This Row],[PLANES TELEVENTAS]]="SI",1,0)</f>
        <v>1</v>
      </c>
      <c r="BF889" s="18">
        <f>1</f>
        <v>1</v>
      </c>
      <c r="BG889" s="18">
        <f>IF(OR(Pospago[[#This Row],[TARIFA_BASICA]]=11.42,Pospago[[#This Row],[PLANES TELEVENTAS]]="SI"),1,0)</f>
        <v>1</v>
      </c>
      <c r="BH889" s="18" t="str">
        <f>IF(MID(Pospago[[#This Row],[PlanDesc]],1,4) = "PLAN","POSPAGO",IF(MID(Pospago[[#This Row],[PlanDesc]],1,4)="FULL","FULL MEGAS","PREVIOPAGO"))</f>
        <v>POSPAGO</v>
      </c>
      <c r="BI8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25.212</v>
      </c>
      <c r="BJ8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89" s="21">
        <f>Pospago[[#This Row],[TARIFA_BASICA]]*1.5</f>
        <v>26.775000000000002</v>
      </c>
    </row>
    <row r="890" spans="1:63" x14ac:dyDescent="0.25">
      <c r="A890" s="18" t="s">
        <v>64</v>
      </c>
      <c r="B890" s="18" t="s">
        <v>5595</v>
      </c>
      <c r="C890" s="18" t="s">
        <v>5596</v>
      </c>
      <c r="D890" s="19">
        <v>44900</v>
      </c>
      <c r="E890" s="18" t="s">
        <v>67</v>
      </c>
      <c r="F890" s="18" t="s">
        <v>5597</v>
      </c>
      <c r="G890" s="18" t="s">
        <v>5598</v>
      </c>
      <c r="H890" s="18" t="s">
        <v>70</v>
      </c>
      <c r="I890" s="18" t="s">
        <v>160</v>
      </c>
      <c r="J890" s="18" t="s">
        <v>195</v>
      </c>
      <c r="K890" s="18" t="s">
        <v>259</v>
      </c>
      <c r="L890" s="20" t="s">
        <v>5599</v>
      </c>
      <c r="M890" s="18" t="s">
        <v>75</v>
      </c>
      <c r="N890" s="20" t="s">
        <v>5600</v>
      </c>
      <c r="O890" s="18" t="s">
        <v>77</v>
      </c>
      <c r="P890" s="18" t="s">
        <v>78</v>
      </c>
      <c r="Q890" s="19">
        <v>44914</v>
      </c>
      <c r="R890" s="21">
        <v>14.28</v>
      </c>
      <c r="S890" s="18" t="s">
        <v>79</v>
      </c>
      <c r="T890" s="18" t="s">
        <v>117</v>
      </c>
      <c r="U890" s="18" t="s">
        <v>83</v>
      </c>
      <c r="V890" s="18" t="s">
        <v>95</v>
      </c>
      <c r="W890" s="18" t="s">
        <v>83</v>
      </c>
      <c r="X890" s="18" t="s">
        <v>84</v>
      </c>
      <c r="Y890" s="18" t="s">
        <v>85</v>
      </c>
      <c r="Z890" s="18" t="s">
        <v>86</v>
      </c>
      <c r="AA890" s="18" t="s">
        <v>87</v>
      </c>
      <c r="AB890" s="18" t="s">
        <v>352</v>
      </c>
      <c r="AC890" s="18" t="s">
        <v>353</v>
      </c>
      <c r="AD890" s="18" t="s">
        <v>85</v>
      </c>
      <c r="AE890" s="18" t="s">
        <v>90</v>
      </c>
      <c r="AF890" s="18" t="s">
        <v>122</v>
      </c>
      <c r="AG890" s="18" t="s">
        <v>92</v>
      </c>
      <c r="AH890" s="18" t="s">
        <v>93</v>
      </c>
      <c r="AI890" s="18" t="s">
        <v>94</v>
      </c>
      <c r="AJ890" s="19">
        <v>44900</v>
      </c>
      <c r="AK890" s="22" t="s">
        <v>95</v>
      </c>
      <c r="AL890" s="18" t="s">
        <v>95</v>
      </c>
      <c r="AM890" s="18" t="s">
        <v>95</v>
      </c>
      <c r="AN890" s="18" t="s">
        <v>95</v>
      </c>
      <c r="AO890" s="18" t="s">
        <v>95</v>
      </c>
      <c r="AP890" s="18" t="s">
        <v>95</v>
      </c>
      <c r="AQ890" s="18" t="s">
        <v>95</v>
      </c>
      <c r="AR890" s="18" t="s">
        <v>95</v>
      </c>
      <c r="AS890" s="18" t="s">
        <v>83</v>
      </c>
      <c r="AT890" s="18" t="s">
        <v>83</v>
      </c>
      <c r="AU890" s="18" t="s">
        <v>81</v>
      </c>
      <c r="AV890" s="18" t="s">
        <v>95</v>
      </c>
      <c r="AW890" s="18" t="s">
        <v>291</v>
      </c>
      <c r="AX890" s="18"/>
      <c r="AY890" s="18" t="str">
        <f>Pospago[[#This Row],[NUM_TELEFONICO]]&amp;"POSPAGOSI"</f>
        <v>995945919POSPAGOSI</v>
      </c>
      <c r="AZ890" s="18" t="str">
        <f>VLOOKUP(Pospago[[#This Row],[NOM_PLAZA_FINAL]],[1]!Locales[#Data],3,0)</f>
        <v>TIENDA MACHALA</v>
      </c>
      <c r="BA890" s="18" t="str">
        <f>IFERROR(VLOOKUP(Pospago[[#This Row],[USUARIO]],[1]!Personal[#Data],6,0),"EJECUTIVO NO REGISTRADO")</f>
        <v>TENORIO MARIA DEL PILAR</v>
      </c>
      <c r="BB890" s="18" t="str">
        <f>Pospago[[#This Row],[TIPO_MOVIMIENTO]]&amp;" "&amp;Pospago[[#This Row],[FORMA_PAGO_FINAL]]</f>
        <v>ALTAS DOMICILIADO</v>
      </c>
      <c r="BC890" s="18">
        <f>DAY(Pospago[[#This Row],[FECHA_ALTA]])</f>
        <v>5</v>
      </c>
      <c r="BD890" s="18">
        <f>IF(Pospago[[#This Row],[TARIFA_BASICA]]=11.42,1,0)</f>
        <v>0</v>
      </c>
      <c r="BE890" s="18">
        <f>IF(Pospago[[#This Row],[PLANES TELEVENTAS]]="SI",1,0)</f>
        <v>0</v>
      </c>
      <c r="BF890" s="18">
        <f>1</f>
        <v>1</v>
      </c>
      <c r="BG890" s="18">
        <f>IF(OR(Pospago[[#This Row],[TARIFA_BASICA]]=11.42,Pospago[[#This Row],[PLANES TELEVENTAS]]="SI"),1,0)</f>
        <v>0</v>
      </c>
      <c r="BH890" s="18" t="str">
        <f>IF(MID(Pospago[[#This Row],[PlanDesc]],1,4) = "PLAN","POSPAGO",IF(MID(Pospago[[#This Row],[PlanDesc]],1,4)="FULL","FULL MEGAS","PREVIOPAGO"))</f>
        <v>PREVIOPAGO</v>
      </c>
      <c r="BI8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8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90" s="21">
        <f>Pospago[[#This Row],[TARIFA_BASICA]]*1.5</f>
        <v>21.419999999999998</v>
      </c>
    </row>
    <row r="891" spans="1:63" x14ac:dyDescent="0.25">
      <c r="A891" s="18" t="s">
        <v>64</v>
      </c>
      <c r="B891" s="18" t="s">
        <v>5601</v>
      </c>
      <c r="C891" s="18" t="s">
        <v>5602</v>
      </c>
      <c r="D891" s="19">
        <v>44903</v>
      </c>
      <c r="E891" s="18" t="s">
        <v>67</v>
      </c>
      <c r="F891" s="18" t="s">
        <v>5603</v>
      </c>
      <c r="G891" s="18" t="s">
        <v>5604</v>
      </c>
      <c r="H891" s="18" t="s">
        <v>70</v>
      </c>
      <c r="I891" s="18" t="s">
        <v>130</v>
      </c>
      <c r="J891" s="18" t="s">
        <v>131</v>
      </c>
      <c r="K891" s="18" t="s">
        <v>5605</v>
      </c>
      <c r="L891" s="20" t="s">
        <v>5606</v>
      </c>
      <c r="M891" s="18" t="s">
        <v>75</v>
      </c>
      <c r="N891" s="20" t="s">
        <v>5607</v>
      </c>
      <c r="O891" s="18" t="s">
        <v>77</v>
      </c>
      <c r="P891" s="18" t="s">
        <v>78</v>
      </c>
      <c r="Q891" s="19">
        <v>44914</v>
      </c>
      <c r="R891" s="21">
        <v>15</v>
      </c>
      <c r="S891" s="18" t="s">
        <v>79</v>
      </c>
      <c r="T891" s="18" t="s">
        <v>148</v>
      </c>
      <c r="U891" s="18" t="s">
        <v>83</v>
      </c>
      <c r="V891" s="18" t="s">
        <v>95</v>
      </c>
      <c r="W891" s="18" t="s">
        <v>83</v>
      </c>
      <c r="X891" s="18" t="s">
        <v>84</v>
      </c>
      <c r="Y891" s="18" t="s">
        <v>85</v>
      </c>
      <c r="Z891" s="18" t="s">
        <v>86</v>
      </c>
      <c r="AA891" s="18" t="s">
        <v>87</v>
      </c>
      <c r="AB891" s="18" t="s">
        <v>318</v>
      </c>
      <c r="AC891" s="18" t="s">
        <v>319</v>
      </c>
      <c r="AD891" s="18" t="s">
        <v>85</v>
      </c>
      <c r="AE891" s="18" t="s">
        <v>90</v>
      </c>
      <c r="AF891" s="18" t="s">
        <v>151</v>
      </c>
      <c r="AG891" s="18" t="s">
        <v>92</v>
      </c>
      <c r="AH891" s="18" t="s">
        <v>93</v>
      </c>
      <c r="AI891" s="18" t="s">
        <v>94</v>
      </c>
      <c r="AJ891" s="19">
        <v>44903</v>
      </c>
      <c r="AK891" s="22" t="s">
        <v>95</v>
      </c>
      <c r="AL891" s="18" t="s">
        <v>95</v>
      </c>
      <c r="AM891" s="18" t="s">
        <v>95</v>
      </c>
      <c r="AN891" s="18" t="s">
        <v>95</v>
      </c>
      <c r="AO891" s="18" t="s">
        <v>95</v>
      </c>
      <c r="AP891" s="18" t="s">
        <v>95</v>
      </c>
      <c r="AQ891" s="18" t="s">
        <v>95</v>
      </c>
      <c r="AR891" s="18" t="s">
        <v>95</v>
      </c>
      <c r="AS891" s="18" t="s">
        <v>83</v>
      </c>
      <c r="AT891" s="18" t="s">
        <v>83</v>
      </c>
      <c r="AU891" s="18" t="s">
        <v>81</v>
      </c>
      <c r="AV891" s="18" t="s">
        <v>95</v>
      </c>
      <c r="AW891" s="18" t="s">
        <v>95</v>
      </c>
      <c r="AX891" s="18"/>
      <c r="AY891" s="18" t="str">
        <f>Pospago[[#This Row],[NUM_TELEFONICO]]&amp;"POSPAGOSI"</f>
        <v>995946602POSPAGOSI</v>
      </c>
      <c r="AZ891" s="18" t="str">
        <f>VLOOKUP(Pospago[[#This Row],[NOM_PLAZA_FINAL]],[1]!Locales[#Data],3,0)</f>
        <v>TIENDA CUENCA REMIGIO</v>
      </c>
      <c r="BA891" s="18" t="str">
        <f>IFERROR(VLOOKUP(Pospago[[#This Row],[USUARIO]],[1]!Personal[#Data],6,0),"EJECUTIVO NO REGISTRADO")</f>
        <v>RODRIGUEZ QUITO JESSICA GABRIELA</v>
      </c>
      <c r="BB891" s="18" t="str">
        <f>Pospago[[#This Row],[TIPO_MOVIMIENTO]]&amp;" "&amp;Pospago[[#This Row],[FORMA_PAGO_FINAL]]</f>
        <v>ALTAS DOMICILIADO</v>
      </c>
      <c r="BC891" s="18">
        <f>DAY(Pospago[[#This Row],[FECHA_ALTA]])</f>
        <v>8</v>
      </c>
      <c r="BD891" s="18">
        <f>IF(Pospago[[#This Row],[TARIFA_BASICA]]=11.42,1,0)</f>
        <v>0</v>
      </c>
      <c r="BE891" s="18">
        <f>IF(Pospago[[#This Row],[PLANES TELEVENTAS]]="SI",1,0)</f>
        <v>0</v>
      </c>
      <c r="BF891" s="18">
        <f>1</f>
        <v>1</v>
      </c>
      <c r="BG891" s="18">
        <f>IF(OR(Pospago[[#This Row],[TARIFA_BASICA]]=11.42,Pospago[[#This Row],[PLANES TELEVENTAS]]="SI"),1,0)</f>
        <v>0</v>
      </c>
      <c r="BH891" s="18" t="str">
        <f>IF(MID(Pospago[[#This Row],[PlanDesc]],1,4) = "PLAN","POSPAGO",IF(MID(Pospago[[#This Row],[PlanDesc]],1,4)="FULL","FULL MEGAS","PREVIOPAGO"))</f>
        <v>PREVIOPAGO</v>
      </c>
      <c r="BI8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8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91" s="21">
        <f>Pospago[[#This Row],[TARIFA_BASICA]]*1.5</f>
        <v>22.5</v>
      </c>
    </row>
    <row r="892" spans="1:63" x14ac:dyDescent="0.25">
      <c r="A892" s="18" t="s">
        <v>64</v>
      </c>
      <c r="B892" s="18" t="s">
        <v>5608</v>
      </c>
      <c r="C892" s="18" t="s">
        <v>5609</v>
      </c>
      <c r="D892" s="19">
        <v>44900</v>
      </c>
      <c r="E892" s="18" t="s">
        <v>67</v>
      </c>
      <c r="F892" s="18" t="s">
        <v>5610</v>
      </c>
      <c r="G892" s="18" t="s">
        <v>5611</v>
      </c>
      <c r="H892" s="18" t="s">
        <v>70</v>
      </c>
      <c r="I892" s="18" t="s">
        <v>160</v>
      </c>
      <c r="J892" s="18" t="s">
        <v>195</v>
      </c>
      <c r="K892" s="18" t="s">
        <v>132</v>
      </c>
      <c r="L892" s="20" t="s">
        <v>5612</v>
      </c>
      <c r="M892" s="18" t="s">
        <v>75</v>
      </c>
      <c r="N892" s="20" t="s">
        <v>5613</v>
      </c>
      <c r="O892" s="18" t="s">
        <v>77</v>
      </c>
      <c r="P892" s="18" t="s">
        <v>78</v>
      </c>
      <c r="Q892" s="19">
        <v>44914</v>
      </c>
      <c r="R892" s="21">
        <v>14.28</v>
      </c>
      <c r="S892" s="18" t="s">
        <v>79</v>
      </c>
      <c r="T892" s="18" t="s">
        <v>174</v>
      </c>
      <c r="U892" s="18" t="s">
        <v>83</v>
      </c>
      <c r="V892" s="18" t="s">
        <v>95</v>
      </c>
      <c r="W892" s="18" t="s">
        <v>83</v>
      </c>
      <c r="X892" s="18" t="s">
        <v>118</v>
      </c>
      <c r="Y892" s="18" t="s">
        <v>85</v>
      </c>
      <c r="Z892" s="18" t="s">
        <v>86</v>
      </c>
      <c r="AA892" s="18" t="s">
        <v>119</v>
      </c>
      <c r="AB892" s="18" t="s">
        <v>187</v>
      </c>
      <c r="AC892" s="18" t="s">
        <v>188</v>
      </c>
      <c r="AD892" s="18" t="s">
        <v>85</v>
      </c>
      <c r="AE892" s="18" t="s">
        <v>90</v>
      </c>
      <c r="AF892" s="18" t="s">
        <v>177</v>
      </c>
      <c r="AG892" s="18" t="s">
        <v>139</v>
      </c>
      <c r="AH892" s="18" t="s">
        <v>93</v>
      </c>
      <c r="AI892" s="18" t="s">
        <v>94</v>
      </c>
      <c r="AJ892" s="19">
        <v>44900</v>
      </c>
      <c r="AK892" s="22" t="s">
        <v>95</v>
      </c>
      <c r="AL892" s="18" t="s">
        <v>95</v>
      </c>
      <c r="AM892" s="18" t="s">
        <v>95</v>
      </c>
      <c r="AN892" s="18" t="s">
        <v>95</v>
      </c>
      <c r="AO892" s="18" t="s">
        <v>95</v>
      </c>
      <c r="AP892" s="18" t="s">
        <v>95</v>
      </c>
      <c r="AQ892" s="18" t="s">
        <v>95</v>
      </c>
      <c r="AR892" s="18" t="s">
        <v>95</v>
      </c>
      <c r="AS892" s="18" t="s">
        <v>83</v>
      </c>
      <c r="AT892" s="18" t="s">
        <v>83</v>
      </c>
      <c r="AU892" s="18" t="s">
        <v>81</v>
      </c>
      <c r="AV892" s="18" t="s">
        <v>95</v>
      </c>
      <c r="AW892" s="18" t="s">
        <v>95</v>
      </c>
      <c r="AX892" s="18"/>
      <c r="AY892" s="18" t="str">
        <f>Pospago[[#This Row],[NUM_TELEFONICO]]&amp;"POSPAGOSI"</f>
        <v>995956620POSPAGOSI</v>
      </c>
      <c r="AZ892" s="18" t="str">
        <f>VLOOKUP(Pospago[[#This Row],[NOM_PLAZA_FINAL]],[1]!Locales[#Data],3,0)</f>
        <v>TIENDA RECREO</v>
      </c>
      <c r="BA892" s="18" t="str">
        <f>IFERROR(VLOOKUP(Pospago[[#This Row],[USUARIO]],[1]!Personal[#Data],6,0),"EJECUTIVO NO REGISTRADO")</f>
        <v>ESPINOZA MARTINES LAURA XIOMARA</v>
      </c>
      <c r="BB892" s="18" t="str">
        <f>Pospago[[#This Row],[TIPO_MOVIMIENTO]]&amp;" "&amp;Pospago[[#This Row],[FORMA_PAGO_FINAL]]</f>
        <v>ALTAS PAGO EN CAJA</v>
      </c>
      <c r="BC892" s="18">
        <f>DAY(Pospago[[#This Row],[FECHA_ALTA]])</f>
        <v>5</v>
      </c>
      <c r="BD892" s="18">
        <f>IF(Pospago[[#This Row],[TARIFA_BASICA]]=11.42,1,0)</f>
        <v>0</v>
      </c>
      <c r="BE892" s="18">
        <f>IF(Pospago[[#This Row],[PLANES TELEVENTAS]]="SI",1,0)</f>
        <v>0</v>
      </c>
      <c r="BF892" s="18">
        <f>1</f>
        <v>1</v>
      </c>
      <c r="BG892" s="18">
        <f>IF(OR(Pospago[[#This Row],[TARIFA_BASICA]]=11.42,Pospago[[#This Row],[PLANES TELEVENTAS]]="SI"),1,0)</f>
        <v>0</v>
      </c>
      <c r="BH892" s="18" t="str">
        <f>IF(MID(Pospago[[#This Row],[PlanDesc]],1,4) = "PLAN","POSPAGO",IF(MID(Pospago[[#This Row],[PlanDesc]],1,4)="FULL","FULL MEGAS","PREVIOPAGO"))</f>
        <v>PREVIOPAGO</v>
      </c>
      <c r="BI8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8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92" s="21">
        <f>Pospago[[#This Row],[TARIFA_BASICA]]*1.5</f>
        <v>21.419999999999998</v>
      </c>
    </row>
    <row r="893" spans="1:63" x14ac:dyDescent="0.25">
      <c r="A893" s="18" t="s">
        <v>154</v>
      </c>
      <c r="B893" s="18" t="s">
        <v>5614</v>
      </c>
      <c r="C893" s="18" t="s">
        <v>5615</v>
      </c>
      <c r="D893" s="19">
        <v>44907</v>
      </c>
      <c r="E893" s="18" t="s">
        <v>67</v>
      </c>
      <c r="F893" s="18" t="s">
        <v>5616</v>
      </c>
      <c r="G893" s="18" t="s">
        <v>5617</v>
      </c>
      <c r="H893" s="18" t="s">
        <v>159</v>
      </c>
      <c r="I893" s="18" t="s">
        <v>71</v>
      </c>
      <c r="J893" s="18" t="s">
        <v>258</v>
      </c>
      <c r="K893" s="18" t="s">
        <v>73</v>
      </c>
      <c r="L893" s="20" t="s">
        <v>5618</v>
      </c>
      <c r="M893" s="18" t="s">
        <v>75</v>
      </c>
      <c r="N893" s="20" t="s">
        <v>5619</v>
      </c>
      <c r="O893" s="18" t="s">
        <v>164</v>
      </c>
      <c r="P893" s="18" t="s">
        <v>78</v>
      </c>
      <c r="Q893" s="19">
        <v>44914</v>
      </c>
      <c r="R893" s="21">
        <v>11.42</v>
      </c>
      <c r="S893" s="18" t="s">
        <v>79</v>
      </c>
      <c r="T893" s="18" t="s">
        <v>148</v>
      </c>
      <c r="U893" s="18" t="s">
        <v>83</v>
      </c>
      <c r="V893" s="18" t="s">
        <v>95</v>
      </c>
      <c r="W893" s="18" t="s">
        <v>95</v>
      </c>
      <c r="X893" s="18" t="s">
        <v>84</v>
      </c>
      <c r="Y893" s="18" t="s">
        <v>85</v>
      </c>
      <c r="Z893" s="18" t="s">
        <v>86</v>
      </c>
      <c r="AA893" s="18" t="s">
        <v>87</v>
      </c>
      <c r="AB893" s="18" t="s">
        <v>385</v>
      </c>
      <c r="AC893" s="18" t="s">
        <v>386</v>
      </c>
      <c r="AD893" s="18" t="s">
        <v>85</v>
      </c>
      <c r="AE893" s="18" t="s">
        <v>90</v>
      </c>
      <c r="AF893" s="18" t="s">
        <v>151</v>
      </c>
      <c r="AG893" s="18" t="s">
        <v>92</v>
      </c>
      <c r="AH893" s="18" t="s">
        <v>165</v>
      </c>
      <c r="AI893" s="18" t="s">
        <v>94</v>
      </c>
      <c r="AJ893" s="19">
        <v>44907</v>
      </c>
      <c r="AK893" s="22" t="s">
        <v>95</v>
      </c>
      <c r="AL893" s="18" t="s">
        <v>95</v>
      </c>
      <c r="AM893" s="18" t="s">
        <v>95</v>
      </c>
      <c r="AN893" s="18" t="s">
        <v>95</v>
      </c>
      <c r="AO893" s="18" t="s">
        <v>95</v>
      </c>
      <c r="AP893" s="18" t="s">
        <v>95</v>
      </c>
      <c r="AQ893" s="18" t="s">
        <v>95</v>
      </c>
      <c r="AR893" s="18" t="s">
        <v>95</v>
      </c>
      <c r="AS893" s="18" t="s">
        <v>83</v>
      </c>
      <c r="AT893" s="18" t="s">
        <v>83</v>
      </c>
      <c r="AU893" s="18" t="s">
        <v>81</v>
      </c>
      <c r="AV893" s="18" t="s">
        <v>95</v>
      </c>
      <c r="AW893" s="18" t="s">
        <v>95</v>
      </c>
      <c r="AX893" s="18"/>
      <c r="AY893" s="18" t="str">
        <f>Pospago[[#This Row],[NUM_TELEFONICO]]&amp;"POSPAGOSI"</f>
        <v>995968456POSPAGOSI</v>
      </c>
      <c r="AZ893" s="18" t="str">
        <f>VLOOKUP(Pospago[[#This Row],[NOM_PLAZA_FINAL]],[1]!Locales[#Data],3,0)</f>
        <v>TIENDA CUENCA REMIGIO</v>
      </c>
      <c r="BA893" s="18" t="str">
        <f>IFERROR(VLOOKUP(Pospago[[#This Row],[USUARIO]],[1]!Personal[#Data],6,0),"EJECUTIVO NO REGISTRADO")</f>
        <v>RAMIREZ RUBIO NELLY LILIANA</v>
      </c>
      <c r="BB893" s="18" t="str">
        <f>Pospago[[#This Row],[TIPO_MOVIMIENTO]]&amp;" "&amp;Pospago[[#This Row],[FORMA_PAGO_FINAL]]</f>
        <v>TRANSFERENCIAS DOMICILIADO</v>
      </c>
      <c r="BC893" s="18">
        <f>DAY(Pospago[[#This Row],[FECHA_ALTA]])</f>
        <v>12</v>
      </c>
      <c r="BD893" s="18">
        <f>IF(Pospago[[#This Row],[TARIFA_BASICA]]=11.42,1,0)</f>
        <v>1</v>
      </c>
      <c r="BE893" s="18">
        <f>IF(Pospago[[#This Row],[PLANES TELEVENTAS]]="SI",1,0)</f>
        <v>0</v>
      </c>
      <c r="BF893" s="18">
        <f>1</f>
        <v>1</v>
      </c>
      <c r="BG893" s="18">
        <f>IF(OR(Pospago[[#This Row],[TARIFA_BASICA]]=11.42,Pospago[[#This Row],[PLANES TELEVENTAS]]="SI"),1,0)</f>
        <v>1</v>
      </c>
      <c r="BH893" s="18" t="str">
        <f>IF(MID(Pospago[[#This Row],[PlanDesc]],1,4) = "PLAN","POSPAGO",IF(MID(Pospago[[#This Row],[PlanDesc]],1,4)="FULL","FULL MEGAS","PREVIOPAGO"))</f>
        <v>PREVIOPAGO</v>
      </c>
      <c r="BI8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8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93" s="21">
        <f>Pospago[[#This Row],[TARIFA_BASICA]]*1.5</f>
        <v>17.13</v>
      </c>
    </row>
    <row r="894" spans="1:63" x14ac:dyDescent="0.25">
      <c r="A894" s="18" t="s">
        <v>64</v>
      </c>
      <c r="B894" s="18" t="s">
        <v>5620</v>
      </c>
      <c r="C894" s="18" t="s">
        <v>5621</v>
      </c>
      <c r="D894" s="19">
        <v>44910</v>
      </c>
      <c r="E894" s="18" t="s">
        <v>67</v>
      </c>
      <c r="F894" s="18" t="s">
        <v>5622</v>
      </c>
      <c r="G894" s="18" t="s">
        <v>5623</v>
      </c>
      <c r="H894" s="18" t="s">
        <v>70</v>
      </c>
      <c r="I894" s="18" t="s">
        <v>160</v>
      </c>
      <c r="J894" s="18" t="s">
        <v>195</v>
      </c>
      <c r="K894" s="18" t="s">
        <v>73</v>
      </c>
      <c r="L894" s="20" t="s">
        <v>5624</v>
      </c>
      <c r="M894" s="18" t="s">
        <v>75</v>
      </c>
      <c r="N894" s="20" t="s">
        <v>5625</v>
      </c>
      <c r="O894" s="18" t="s">
        <v>77</v>
      </c>
      <c r="P894" s="18" t="s">
        <v>78</v>
      </c>
      <c r="Q894" s="19">
        <v>44914</v>
      </c>
      <c r="R894" s="21">
        <v>14.28</v>
      </c>
      <c r="S894" s="18" t="s">
        <v>79</v>
      </c>
      <c r="T894" s="18" t="s">
        <v>174</v>
      </c>
      <c r="U894" s="18" t="s">
        <v>83</v>
      </c>
      <c r="V894" s="18" t="s">
        <v>95</v>
      </c>
      <c r="W894" s="18" t="s">
        <v>83</v>
      </c>
      <c r="X894" s="18" t="s">
        <v>118</v>
      </c>
      <c r="Y894" s="18" t="s">
        <v>85</v>
      </c>
      <c r="Z894" s="18" t="s">
        <v>86</v>
      </c>
      <c r="AA894" s="18" t="s">
        <v>119</v>
      </c>
      <c r="AB894" s="18" t="s">
        <v>199</v>
      </c>
      <c r="AC894" s="18" t="s">
        <v>200</v>
      </c>
      <c r="AD894" s="18" t="s">
        <v>85</v>
      </c>
      <c r="AE894" s="18" t="s">
        <v>90</v>
      </c>
      <c r="AF894" s="18" t="s">
        <v>177</v>
      </c>
      <c r="AG894" s="18" t="s">
        <v>139</v>
      </c>
      <c r="AH894" s="18" t="s">
        <v>93</v>
      </c>
      <c r="AI894" s="18" t="s">
        <v>94</v>
      </c>
      <c r="AJ894" s="19">
        <v>44910</v>
      </c>
      <c r="AK894" s="22" t="s">
        <v>95</v>
      </c>
      <c r="AL894" s="18" t="s">
        <v>95</v>
      </c>
      <c r="AM894" s="18" t="s">
        <v>95</v>
      </c>
      <c r="AN894" s="18" t="s">
        <v>95</v>
      </c>
      <c r="AO894" s="18" t="s">
        <v>95</v>
      </c>
      <c r="AP894" s="18" t="s">
        <v>95</v>
      </c>
      <c r="AQ894" s="18" t="s">
        <v>95</v>
      </c>
      <c r="AR894" s="18" t="s">
        <v>95</v>
      </c>
      <c r="AS894" s="18" t="s">
        <v>83</v>
      </c>
      <c r="AT894" s="18" t="s">
        <v>83</v>
      </c>
      <c r="AU894" s="18" t="s">
        <v>81</v>
      </c>
      <c r="AV894" s="18" t="s">
        <v>95</v>
      </c>
      <c r="AW894" s="18" t="s">
        <v>95</v>
      </c>
      <c r="AX894" s="18"/>
      <c r="AY894" s="18" t="str">
        <f>Pospago[[#This Row],[NUM_TELEFONICO]]&amp;"POSPAGOSI"</f>
        <v>995971268POSPAGOSI</v>
      </c>
      <c r="AZ894" s="18" t="str">
        <f>VLOOKUP(Pospago[[#This Row],[NOM_PLAZA_FINAL]],[1]!Locales[#Data],3,0)</f>
        <v>TIENDA RECREO</v>
      </c>
      <c r="BA894" s="18" t="str">
        <f>IFERROR(VLOOKUP(Pospago[[#This Row],[USUARIO]],[1]!Personal[#Data],6,0),"EJECUTIVO NO REGISTRADO")</f>
        <v>MEDINA LAPO DAYANNA CAROLINA</v>
      </c>
      <c r="BB894" s="18" t="str">
        <f>Pospago[[#This Row],[TIPO_MOVIMIENTO]]&amp;" "&amp;Pospago[[#This Row],[FORMA_PAGO_FINAL]]</f>
        <v>ALTAS PAGO EN CAJA</v>
      </c>
      <c r="BC894" s="18">
        <f>DAY(Pospago[[#This Row],[FECHA_ALTA]])</f>
        <v>15</v>
      </c>
      <c r="BD894" s="18">
        <f>IF(Pospago[[#This Row],[TARIFA_BASICA]]=11.42,1,0)</f>
        <v>0</v>
      </c>
      <c r="BE894" s="18">
        <f>IF(Pospago[[#This Row],[PLANES TELEVENTAS]]="SI",1,0)</f>
        <v>0</v>
      </c>
      <c r="BF894" s="18">
        <f>1</f>
        <v>1</v>
      </c>
      <c r="BG894" s="18">
        <f>IF(OR(Pospago[[#This Row],[TARIFA_BASICA]]=11.42,Pospago[[#This Row],[PLANES TELEVENTAS]]="SI"),1,0)</f>
        <v>0</v>
      </c>
      <c r="BH894" s="18" t="str">
        <f>IF(MID(Pospago[[#This Row],[PlanDesc]],1,4) = "PLAN","POSPAGO",IF(MID(Pospago[[#This Row],[PlanDesc]],1,4)="FULL","FULL MEGAS","PREVIOPAGO"))</f>
        <v>PREVIOPAGO</v>
      </c>
      <c r="BI8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8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94" s="21">
        <f>Pospago[[#This Row],[TARIFA_BASICA]]*1.5</f>
        <v>21.419999999999998</v>
      </c>
    </row>
    <row r="895" spans="1:63" x14ac:dyDescent="0.25">
      <c r="A895" s="18" t="s">
        <v>64</v>
      </c>
      <c r="B895" s="18" t="s">
        <v>5626</v>
      </c>
      <c r="C895" s="18" t="s">
        <v>5627</v>
      </c>
      <c r="D895" s="19">
        <v>44909</v>
      </c>
      <c r="E895" s="18" t="s">
        <v>67</v>
      </c>
      <c r="F895" s="18" t="s">
        <v>5628</v>
      </c>
      <c r="G895" s="18" t="s">
        <v>5629</v>
      </c>
      <c r="H895" s="18" t="s">
        <v>70</v>
      </c>
      <c r="I895" s="18" t="s">
        <v>194</v>
      </c>
      <c r="J895" s="18" t="s">
        <v>195</v>
      </c>
      <c r="K895" s="18" t="s">
        <v>95</v>
      </c>
      <c r="L895" s="20" t="s">
        <v>5630</v>
      </c>
      <c r="M895" s="18" t="s">
        <v>75</v>
      </c>
      <c r="N895" s="20" t="s">
        <v>5631</v>
      </c>
      <c r="O895" s="18" t="s">
        <v>77</v>
      </c>
      <c r="P895" s="18" t="s">
        <v>78</v>
      </c>
      <c r="Q895" s="19">
        <v>44914</v>
      </c>
      <c r="R895" s="21">
        <v>14.28</v>
      </c>
      <c r="S895" s="18" t="s">
        <v>79</v>
      </c>
      <c r="T895" s="18" t="s">
        <v>174</v>
      </c>
      <c r="U895" s="18" t="s">
        <v>83</v>
      </c>
      <c r="V895" s="18" t="s">
        <v>95</v>
      </c>
      <c r="W895" s="18" t="s">
        <v>83</v>
      </c>
      <c r="X895" s="18" t="s">
        <v>118</v>
      </c>
      <c r="Y895" s="18" t="s">
        <v>85</v>
      </c>
      <c r="Z895" s="18" t="s">
        <v>86</v>
      </c>
      <c r="AA895" s="18" t="s">
        <v>119</v>
      </c>
      <c r="AB895" s="18" t="s">
        <v>396</v>
      </c>
      <c r="AC895" s="18" t="s">
        <v>397</v>
      </c>
      <c r="AD895" s="18" t="s">
        <v>85</v>
      </c>
      <c r="AE895" s="18" t="s">
        <v>90</v>
      </c>
      <c r="AF895" s="18" t="s">
        <v>177</v>
      </c>
      <c r="AG895" s="18" t="s">
        <v>139</v>
      </c>
      <c r="AH895" s="18" t="s">
        <v>93</v>
      </c>
      <c r="AI895" s="18" t="s">
        <v>94</v>
      </c>
      <c r="AJ895" s="19">
        <v>44909</v>
      </c>
      <c r="AK895" s="22" t="s">
        <v>95</v>
      </c>
      <c r="AL895" s="18" t="s">
        <v>95</v>
      </c>
      <c r="AM895" s="18" t="s">
        <v>95</v>
      </c>
      <c r="AN895" s="18" t="s">
        <v>95</v>
      </c>
      <c r="AO895" s="18" t="s">
        <v>95</v>
      </c>
      <c r="AP895" s="18" t="s">
        <v>95</v>
      </c>
      <c r="AQ895" s="18" t="s">
        <v>95</v>
      </c>
      <c r="AR895" s="18" t="s">
        <v>95</v>
      </c>
      <c r="AS895" s="18" t="s">
        <v>83</v>
      </c>
      <c r="AT895" s="18" t="s">
        <v>81</v>
      </c>
      <c r="AU895" s="18" t="s">
        <v>81</v>
      </c>
      <c r="AV895" s="18" t="s">
        <v>95</v>
      </c>
      <c r="AW895" s="18" t="s">
        <v>95</v>
      </c>
      <c r="AX895" s="18"/>
      <c r="AY895" s="18" t="str">
        <f>Pospago[[#This Row],[NUM_TELEFONICO]]&amp;"POSPAGOSI"</f>
        <v>995979522POSPAGOSI</v>
      </c>
      <c r="AZ895" s="18" t="str">
        <f>VLOOKUP(Pospago[[#This Row],[NOM_PLAZA_FINAL]],[1]!Locales[#Data],3,0)</f>
        <v>TIENDA RECREO</v>
      </c>
      <c r="BA895" s="18" t="str">
        <f>IFERROR(VLOOKUP(Pospago[[#This Row],[USUARIO]],[1]!Personal[#Data],6,0),"EJECUTIVO NO REGISTRADO")</f>
        <v>VINUEZA VELASCO ANGY DAYANA</v>
      </c>
      <c r="BB895" s="18" t="str">
        <f>Pospago[[#This Row],[TIPO_MOVIMIENTO]]&amp;" "&amp;Pospago[[#This Row],[FORMA_PAGO_FINAL]]</f>
        <v>ALTAS PAGO EN CAJA</v>
      </c>
      <c r="BC895" s="18">
        <f>DAY(Pospago[[#This Row],[FECHA_ALTA]])</f>
        <v>14</v>
      </c>
      <c r="BD895" s="18">
        <f>IF(Pospago[[#This Row],[TARIFA_BASICA]]=11.42,1,0)</f>
        <v>0</v>
      </c>
      <c r="BE895" s="18">
        <f>IF(Pospago[[#This Row],[PLANES TELEVENTAS]]="SI",1,0)</f>
        <v>1</v>
      </c>
      <c r="BF895" s="18">
        <f>1</f>
        <v>1</v>
      </c>
      <c r="BG895" s="18">
        <f>IF(OR(Pospago[[#This Row],[TARIFA_BASICA]]=11.42,Pospago[[#This Row],[PLANES TELEVENTAS]]="SI"),1,0)</f>
        <v>1</v>
      </c>
      <c r="BH895" s="18" t="str">
        <f>IF(MID(Pospago[[#This Row],[PlanDesc]],1,4) = "PLAN","POSPAGO",IF(MID(Pospago[[#This Row],[PlanDesc]],1,4)="FULL","FULL MEGAS","PREVIOPAGO"))</f>
        <v>PREVIOPAGO</v>
      </c>
      <c r="BI8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8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95" s="21">
        <f>Pospago[[#This Row],[TARIFA_BASICA]]*1.5</f>
        <v>21.419999999999998</v>
      </c>
    </row>
    <row r="896" spans="1:63" x14ac:dyDescent="0.25">
      <c r="A896" s="18" t="s">
        <v>154</v>
      </c>
      <c r="B896" s="18" t="s">
        <v>5632</v>
      </c>
      <c r="C896" s="18" t="s">
        <v>5633</v>
      </c>
      <c r="D896" s="19">
        <v>44907</v>
      </c>
      <c r="E896" s="18" t="s">
        <v>67</v>
      </c>
      <c r="F896" s="18" t="s">
        <v>5634</v>
      </c>
      <c r="G896" s="18" t="s">
        <v>5635</v>
      </c>
      <c r="H896" s="18" t="s">
        <v>159</v>
      </c>
      <c r="I896" s="18" t="s">
        <v>71</v>
      </c>
      <c r="J896" s="18" t="s">
        <v>258</v>
      </c>
      <c r="K896" s="18" t="s">
        <v>95</v>
      </c>
      <c r="L896" s="20" t="s">
        <v>5636</v>
      </c>
      <c r="M896" s="18" t="s">
        <v>75</v>
      </c>
      <c r="N896" s="20" t="s">
        <v>5637</v>
      </c>
      <c r="O896" s="18" t="s">
        <v>164</v>
      </c>
      <c r="P896" s="18" t="s">
        <v>78</v>
      </c>
      <c r="Q896" s="19">
        <v>44914</v>
      </c>
      <c r="R896" s="21">
        <v>11.42</v>
      </c>
      <c r="S896" s="18" t="s">
        <v>79</v>
      </c>
      <c r="T896" s="18" t="s">
        <v>148</v>
      </c>
      <c r="U896" s="18" t="s">
        <v>83</v>
      </c>
      <c r="V896" s="18" t="s">
        <v>95</v>
      </c>
      <c r="W896" s="18" t="s">
        <v>95</v>
      </c>
      <c r="X896" s="18" t="s">
        <v>215</v>
      </c>
      <c r="Y896" s="18" t="s">
        <v>85</v>
      </c>
      <c r="Z896" s="18" t="s">
        <v>86</v>
      </c>
      <c r="AA896" s="18" t="s">
        <v>87</v>
      </c>
      <c r="AB896" s="18" t="s">
        <v>318</v>
      </c>
      <c r="AC896" s="18" t="s">
        <v>319</v>
      </c>
      <c r="AD896" s="18" t="s">
        <v>85</v>
      </c>
      <c r="AE896" s="18" t="s">
        <v>90</v>
      </c>
      <c r="AF896" s="18" t="s">
        <v>151</v>
      </c>
      <c r="AG896" s="18" t="s">
        <v>92</v>
      </c>
      <c r="AH896" s="18" t="s">
        <v>165</v>
      </c>
      <c r="AI896" s="18" t="s">
        <v>94</v>
      </c>
      <c r="AJ896" s="19">
        <v>44907</v>
      </c>
      <c r="AK896" s="22" t="s">
        <v>95</v>
      </c>
      <c r="AL896" s="18" t="s">
        <v>95</v>
      </c>
      <c r="AM896" s="18" t="s">
        <v>95</v>
      </c>
      <c r="AN896" s="18" t="s">
        <v>95</v>
      </c>
      <c r="AO896" s="18" t="s">
        <v>95</v>
      </c>
      <c r="AP896" s="18" t="s">
        <v>95</v>
      </c>
      <c r="AQ896" s="18" t="s">
        <v>95</v>
      </c>
      <c r="AR896" s="18" t="s">
        <v>95</v>
      </c>
      <c r="AS896" s="18" t="s">
        <v>83</v>
      </c>
      <c r="AT896" s="18" t="s">
        <v>83</v>
      </c>
      <c r="AU896" s="18" t="s">
        <v>81</v>
      </c>
      <c r="AV896" s="18" t="s">
        <v>95</v>
      </c>
      <c r="AW896" s="18" t="s">
        <v>95</v>
      </c>
      <c r="AX896" s="18"/>
      <c r="AY896" s="18" t="str">
        <f>Pospago[[#This Row],[NUM_TELEFONICO]]&amp;"POSPAGOSI"</f>
        <v>995988606POSPAGOSI</v>
      </c>
      <c r="AZ896" s="18" t="str">
        <f>VLOOKUP(Pospago[[#This Row],[NOM_PLAZA_FINAL]],[1]!Locales[#Data],3,0)</f>
        <v>TIENDA CUENCA REMIGIO</v>
      </c>
      <c r="BA896" s="18" t="str">
        <f>IFERROR(VLOOKUP(Pospago[[#This Row],[USUARIO]],[1]!Personal[#Data],6,0),"EJECUTIVO NO REGISTRADO")</f>
        <v>RODRIGUEZ QUITO JESSICA GABRIELA</v>
      </c>
      <c r="BB896" s="18" t="str">
        <f>Pospago[[#This Row],[TIPO_MOVIMIENTO]]&amp;" "&amp;Pospago[[#This Row],[FORMA_PAGO_FINAL]]</f>
        <v>TRANSFERENCIAS DOMICILIADO</v>
      </c>
      <c r="BC896" s="18">
        <f>DAY(Pospago[[#This Row],[FECHA_ALTA]])</f>
        <v>12</v>
      </c>
      <c r="BD896" s="18">
        <f>IF(Pospago[[#This Row],[TARIFA_BASICA]]=11.42,1,0)</f>
        <v>1</v>
      </c>
      <c r="BE896" s="18">
        <f>IF(Pospago[[#This Row],[PLANES TELEVENTAS]]="SI",1,0)</f>
        <v>0</v>
      </c>
      <c r="BF896" s="18">
        <f>1</f>
        <v>1</v>
      </c>
      <c r="BG896" s="18">
        <f>IF(OR(Pospago[[#This Row],[TARIFA_BASICA]]=11.42,Pospago[[#This Row],[PLANES TELEVENTAS]]="SI"),1,0)</f>
        <v>1</v>
      </c>
      <c r="BH896" s="18" t="str">
        <f>IF(MID(Pospago[[#This Row],[PlanDesc]],1,4) = "PLAN","POSPAGO",IF(MID(Pospago[[#This Row],[PlanDesc]],1,4)="FULL","FULL MEGAS","PREVIOPAGO"))</f>
        <v>PREVIOPAGO</v>
      </c>
      <c r="BI8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8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896" s="21">
        <f>Pospago[[#This Row],[TARIFA_BASICA]]*1.5</f>
        <v>17.13</v>
      </c>
    </row>
    <row r="897" spans="1:63" x14ac:dyDescent="0.25">
      <c r="A897" s="18" t="s">
        <v>154</v>
      </c>
      <c r="B897" s="18" t="s">
        <v>5638</v>
      </c>
      <c r="C897" s="18" t="s">
        <v>5639</v>
      </c>
      <c r="D897" s="19">
        <v>44900</v>
      </c>
      <c r="E897" s="18" t="s">
        <v>67</v>
      </c>
      <c r="F897" s="18" t="s">
        <v>5640</v>
      </c>
      <c r="G897" s="18" t="s">
        <v>5641</v>
      </c>
      <c r="H897" s="18" t="s">
        <v>159</v>
      </c>
      <c r="I897" s="18" t="s">
        <v>574</v>
      </c>
      <c r="J897" s="18" t="s">
        <v>575</v>
      </c>
      <c r="K897" s="18" t="s">
        <v>132</v>
      </c>
      <c r="L897" s="20" t="s">
        <v>5642</v>
      </c>
      <c r="M897" s="18" t="s">
        <v>75</v>
      </c>
      <c r="N897" s="20" t="s">
        <v>5643</v>
      </c>
      <c r="O897" s="18" t="s">
        <v>231</v>
      </c>
      <c r="P897" s="18" t="s">
        <v>78</v>
      </c>
      <c r="Q897" s="19">
        <v>44914</v>
      </c>
      <c r="R897" s="21">
        <v>17.850000000000001</v>
      </c>
      <c r="S897" s="18" t="s">
        <v>79</v>
      </c>
      <c r="T897" s="18" t="s">
        <v>232</v>
      </c>
      <c r="U897" s="18" t="s">
        <v>83</v>
      </c>
      <c r="V897" s="18" t="s">
        <v>95</v>
      </c>
      <c r="W897" s="18" t="s">
        <v>95</v>
      </c>
      <c r="X897" s="18" t="s">
        <v>84</v>
      </c>
      <c r="Y897" s="18" t="s">
        <v>85</v>
      </c>
      <c r="Z897" s="18" t="s">
        <v>86</v>
      </c>
      <c r="AA897" s="18" t="s">
        <v>87</v>
      </c>
      <c r="AB897" s="18" t="s">
        <v>769</v>
      </c>
      <c r="AC897" s="18" t="s">
        <v>770</v>
      </c>
      <c r="AD897" s="18" t="s">
        <v>85</v>
      </c>
      <c r="AE897" s="18" t="s">
        <v>90</v>
      </c>
      <c r="AF897" s="18" t="s">
        <v>235</v>
      </c>
      <c r="AG897" s="18" t="s">
        <v>139</v>
      </c>
      <c r="AH897" s="18" t="s">
        <v>165</v>
      </c>
      <c r="AI897" s="18" t="s">
        <v>94</v>
      </c>
      <c r="AJ897" s="19">
        <v>44900</v>
      </c>
      <c r="AK897" s="22" t="s">
        <v>95</v>
      </c>
      <c r="AL897" s="18" t="s">
        <v>95</v>
      </c>
      <c r="AM897" s="18" t="s">
        <v>95</v>
      </c>
      <c r="AN897" s="18" t="s">
        <v>95</v>
      </c>
      <c r="AO897" s="18" t="s">
        <v>95</v>
      </c>
      <c r="AP897" s="18" t="s">
        <v>95</v>
      </c>
      <c r="AQ897" s="18" t="s">
        <v>95</v>
      </c>
      <c r="AR897" s="18" t="s">
        <v>95</v>
      </c>
      <c r="AS897" s="18" t="s">
        <v>83</v>
      </c>
      <c r="AT897" s="18" t="s">
        <v>83</v>
      </c>
      <c r="AU897" s="18" t="s">
        <v>83</v>
      </c>
      <c r="AV897" s="18" t="s">
        <v>95</v>
      </c>
      <c r="AW897" s="18" t="s">
        <v>95</v>
      </c>
      <c r="AX897" s="18"/>
      <c r="AY897" s="18" t="str">
        <f>Pospago[[#This Row],[NUM_TELEFONICO]]&amp;"POSPAGOSI"</f>
        <v>996713385POSPAGOSI</v>
      </c>
      <c r="AZ897" s="18" t="str">
        <f>VLOOKUP(Pospago[[#This Row],[NOM_PLAZA_FINAL]],[1]!Locales[#Data],3,0)</f>
        <v>TIENDA CONDADO</v>
      </c>
      <c r="BA897" s="18" t="str">
        <f>IFERROR(VLOOKUP(Pospago[[#This Row],[USUARIO]],[1]!Personal[#Data],6,0),"EJECUTIVO NO REGISTRADO")</f>
        <v>ROJAS VEGA JHOSMERY MICHELE</v>
      </c>
      <c r="BB897" s="18" t="str">
        <f>Pospago[[#This Row],[TIPO_MOVIMIENTO]]&amp;" "&amp;Pospago[[#This Row],[FORMA_PAGO_FINAL]]</f>
        <v>TRANSFERENCIAS DOMICILIADO</v>
      </c>
      <c r="BC897" s="18">
        <f>DAY(Pospago[[#This Row],[FECHA_ALTA]])</f>
        <v>5</v>
      </c>
      <c r="BD897" s="18">
        <f>IF(Pospago[[#This Row],[TARIFA_BASICA]]=11.42,1,0)</f>
        <v>0</v>
      </c>
      <c r="BE897" s="18">
        <f>IF(Pospago[[#This Row],[PLANES TELEVENTAS]]="SI",1,0)</f>
        <v>0</v>
      </c>
      <c r="BF897" s="18">
        <f>1</f>
        <v>1</v>
      </c>
      <c r="BG897" s="18">
        <f>IF(OR(Pospago[[#This Row],[TARIFA_BASICA]]=11.42,Pospago[[#This Row],[PLANES TELEVENTAS]]="SI"),1,0)</f>
        <v>0</v>
      </c>
      <c r="BH897" s="18" t="str">
        <f>IF(MID(Pospago[[#This Row],[PlanDesc]],1,4) = "PLAN","POSPAGO",IF(MID(Pospago[[#This Row],[PlanDesc]],1,4)="FULL","FULL MEGAS","PREVIOPAGO"))</f>
        <v>POSPAGO</v>
      </c>
      <c r="BI8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8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97" s="21">
        <f>Pospago[[#This Row],[TARIFA_BASICA]]*1.5</f>
        <v>26.775000000000002</v>
      </c>
    </row>
    <row r="898" spans="1:63" x14ac:dyDescent="0.25">
      <c r="A898" s="18" t="s">
        <v>64</v>
      </c>
      <c r="B898" s="18" t="s">
        <v>5644</v>
      </c>
      <c r="C898" s="18" t="s">
        <v>5645</v>
      </c>
      <c r="D898" s="19">
        <v>44902</v>
      </c>
      <c r="E898" s="18" t="s">
        <v>67</v>
      </c>
      <c r="F898" s="18" t="s">
        <v>5646</v>
      </c>
      <c r="G898" s="18" t="s">
        <v>5647</v>
      </c>
      <c r="H898" s="18" t="s">
        <v>70</v>
      </c>
      <c r="I898" s="18" t="s">
        <v>112</v>
      </c>
      <c r="J898" s="18" t="s">
        <v>113</v>
      </c>
      <c r="K898" s="18" t="s">
        <v>95</v>
      </c>
      <c r="L898" s="20" t="s">
        <v>5648</v>
      </c>
      <c r="M898" s="18" t="s">
        <v>75</v>
      </c>
      <c r="N898" s="20" t="s">
        <v>5649</v>
      </c>
      <c r="O898" s="18" t="s">
        <v>77</v>
      </c>
      <c r="P898" s="18" t="s">
        <v>78</v>
      </c>
      <c r="Q898" s="19">
        <v>44914</v>
      </c>
      <c r="R898" s="21">
        <v>17.850000000000001</v>
      </c>
      <c r="S898" s="18" t="s">
        <v>79</v>
      </c>
      <c r="T898" s="18" t="s">
        <v>148</v>
      </c>
      <c r="U898" s="18" t="s">
        <v>81</v>
      </c>
      <c r="V898" s="18" t="s">
        <v>693</v>
      </c>
      <c r="W898" s="18" t="s">
        <v>83</v>
      </c>
      <c r="X898" s="18" t="s">
        <v>84</v>
      </c>
      <c r="Y898" s="18" t="s">
        <v>85</v>
      </c>
      <c r="Z898" s="18" t="s">
        <v>86</v>
      </c>
      <c r="AA898" s="18" t="s">
        <v>87</v>
      </c>
      <c r="AB898" s="18" t="s">
        <v>385</v>
      </c>
      <c r="AC898" s="18" t="s">
        <v>386</v>
      </c>
      <c r="AD898" s="18" t="s">
        <v>85</v>
      </c>
      <c r="AE898" s="18" t="s">
        <v>90</v>
      </c>
      <c r="AF898" s="18" t="s">
        <v>151</v>
      </c>
      <c r="AG898" s="18" t="s">
        <v>92</v>
      </c>
      <c r="AH898" s="18" t="s">
        <v>93</v>
      </c>
      <c r="AI898" s="18" t="s">
        <v>94</v>
      </c>
      <c r="AJ898" s="19">
        <v>44902</v>
      </c>
      <c r="AK898" s="22" t="s">
        <v>95</v>
      </c>
      <c r="AL898" s="18" t="s">
        <v>95</v>
      </c>
      <c r="AM898" s="18" t="s">
        <v>95</v>
      </c>
      <c r="AN898" s="18" t="s">
        <v>95</v>
      </c>
      <c r="AO898" s="18" t="s">
        <v>95</v>
      </c>
      <c r="AP898" s="18" t="s">
        <v>95</v>
      </c>
      <c r="AQ898" s="18" t="s">
        <v>95</v>
      </c>
      <c r="AR898" s="18" t="s">
        <v>95</v>
      </c>
      <c r="AS898" s="18" t="s">
        <v>83</v>
      </c>
      <c r="AT898" s="18" t="s">
        <v>83</v>
      </c>
      <c r="AU898" s="18" t="s">
        <v>81</v>
      </c>
      <c r="AV898" s="18" t="s">
        <v>95</v>
      </c>
      <c r="AW898" s="18" t="s">
        <v>95</v>
      </c>
      <c r="AX898" s="18"/>
      <c r="AY898" s="18" t="str">
        <f>Pospago[[#This Row],[NUM_TELEFONICO]]&amp;"POSPAGOSI"</f>
        <v>996853777POSPAGOSI</v>
      </c>
      <c r="AZ898" s="18" t="str">
        <f>VLOOKUP(Pospago[[#This Row],[NOM_PLAZA_FINAL]],[1]!Locales[#Data],3,0)</f>
        <v>TIENDA CUENCA REMIGIO</v>
      </c>
      <c r="BA898" s="18" t="str">
        <f>IFERROR(VLOOKUP(Pospago[[#This Row],[USUARIO]],[1]!Personal[#Data],6,0),"EJECUTIVO NO REGISTRADO")</f>
        <v>RAMIREZ RUBIO NELLY LILIANA</v>
      </c>
      <c r="BB898" s="18" t="str">
        <f>Pospago[[#This Row],[TIPO_MOVIMIENTO]]&amp;" "&amp;Pospago[[#This Row],[FORMA_PAGO_FINAL]]</f>
        <v>ALTAS DOMICILIADO</v>
      </c>
      <c r="BC898" s="18">
        <f>DAY(Pospago[[#This Row],[FECHA_ALTA]])</f>
        <v>7</v>
      </c>
      <c r="BD898" s="18">
        <f>IF(Pospago[[#This Row],[TARIFA_BASICA]]=11.42,1,0)</f>
        <v>0</v>
      </c>
      <c r="BE898" s="18">
        <f>IF(Pospago[[#This Row],[PLANES TELEVENTAS]]="SI",1,0)</f>
        <v>0</v>
      </c>
      <c r="BF898" s="18">
        <f>1</f>
        <v>1</v>
      </c>
      <c r="BG898" s="18">
        <f>IF(OR(Pospago[[#This Row],[TARIFA_BASICA]]=11.42,Pospago[[#This Row],[PLANES TELEVENTAS]]="SI"),1,0)</f>
        <v>0</v>
      </c>
      <c r="BH898" s="18" t="str">
        <f>IF(MID(Pospago[[#This Row],[PlanDesc]],1,4) = "PLAN","POSPAGO",IF(MID(Pospago[[#This Row],[PlanDesc]],1,4)="FULL","FULL MEGAS","PREVIOPAGO"))</f>
        <v>PREVIOPAGO</v>
      </c>
      <c r="BI8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8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98" s="21">
        <f>Pospago[[#This Row],[TARIFA_BASICA]]*1.5</f>
        <v>26.775000000000002</v>
      </c>
    </row>
    <row r="899" spans="1:63" x14ac:dyDescent="0.25">
      <c r="A899" s="18" t="s">
        <v>154</v>
      </c>
      <c r="B899" s="18" t="s">
        <v>5650</v>
      </c>
      <c r="C899" s="18" t="s">
        <v>5651</v>
      </c>
      <c r="D899" s="19">
        <v>44904</v>
      </c>
      <c r="E899" s="18" t="s">
        <v>67</v>
      </c>
      <c r="F899" s="18" t="s">
        <v>5652</v>
      </c>
      <c r="G899" s="18" t="s">
        <v>5653</v>
      </c>
      <c r="H899" s="18" t="s">
        <v>159</v>
      </c>
      <c r="I899" s="18" t="s">
        <v>194</v>
      </c>
      <c r="J899" s="18" t="s">
        <v>268</v>
      </c>
      <c r="K899" s="18" t="s">
        <v>95</v>
      </c>
      <c r="L899" s="20" t="s">
        <v>5654</v>
      </c>
      <c r="M899" s="18" t="s">
        <v>75</v>
      </c>
      <c r="N899" s="20" t="s">
        <v>5655</v>
      </c>
      <c r="O899" s="18" t="s">
        <v>164</v>
      </c>
      <c r="P899" s="18" t="s">
        <v>78</v>
      </c>
      <c r="Q899" s="19">
        <v>44914</v>
      </c>
      <c r="R899" s="21">
        <v>14.28</v>
      </c>
      <c r="S899" s="18" t="s">
        <v>79</v>
      </c>
      <c r="T899" s="18" t="s">
        <v>232</v>
      </c>
      <c r="U899" s="18" t="s">
        <v>83</v>
      </c>
      <c r="V899" s="18" t="s">
        <v>95</v>
      </c>
      <c r="W899" s="18" t="s">
        <v>95</v>
      </c>
      <c r="X899" s="18" t="s">
        <v>84</v>
      </c>
      <c r="Y899" s="18" t="s">
        <v>85</v>
      </c>
      <c r="Z899" s="18" t="s">
        <v>86</v>
      </c>
      <c r="AA899" s="18" t="s">
        <v>87</v>
      </c>
      <c r="AB899" s="18" t="s">
        <v>443</v>
      </c>
      <c r="AC899" s="18" t="s">
        <v>444</v>
      </c>
      <c r="AD899" s="18" t="s">
        <v>85</v>
      </c>
      <c r="AE899" s="18" t="s">
        <v>90</v>
      </c>
      <c r="AF899" s="18" t="s">
        <v>235</v>
      </c>
      <c r="AG899" s="18" t="s">
        <v>139</v>
      </c>
      <c r="AH899" s="18" t="s">
        <v>165</v>
      </c>
      <c r="AI899" s="18" t="s">
        <v>94</v>
      </c>
      <c r="AJ899" s="19">
        <v>44904</v>
      </c>
      <c r="AK899" s="22" t="s">
        <v>95</v>
      </c>
      <c r="AL899" s="18" t="s">
        <v>95</v>
      </c>
      <c r="AM899" s="18" t="s">
        <v>95</v>
      </c>
      <c r="AN899" s="18" t="s">
        <v>95</v>
      </c>
      <c r="AO899" s="18" t="s">
        <v>95</v>
      </c>
      <c r="AP899" s="18" t="s">
        <v>95</v>
      </c>
      <c r="AQ899" s="18" t="s">
        <v>95</v>
      </c>
      <c r="AR899" s="18" t="s">
        <v>95</v>
      </c>
      <c r="AS899" s="18" t="s">
        <v>83</v>
      </c>
      <c r="AT899" s="18" t="s">
        <v>81</v>
      </c>
      <c r="AU899" s="18" t="s">
        <v>81</v>
      </c>
      <c r="AV899" s="18" t="s">
        <v>95</v>
      </c>
      <c r="AW899" s="18" t="s">
        <v>95</v>
      </c>
      <c r="AX899" s="18"/>
      <c r="AY899" s="18" t="str">
        <f>Pospago[[#This Row],[NUM_TELEFONICO]]&amp;"POSPAGOSI"</f>
        <v>997046165POSPAGOSI</v>
      </c>
      <c r="AZ899" s="18" t="str">
        <f>VLOOKUP(Pospago[[#This Row],[NOM_PLAZA_FINAL]],[1]!Locales[#Data],3,0)</f>
        <v>TIENDA CONDADO</v>
      </c>
      <c r="BA899" s="18" t="str">
        <f>IFERROR(VLOOKUP(Pospago[[#This Row],[USUARIO]],[1]!Personal[#Data],6,0),"EJECUTIVO NO REGISTRADO")</f>
        <v>JARAMILLO ESPINOZA KENIA KATRINA</v>
      </c>
      <c r="BB899" s="18" t="str">
        <f>Pospago[[#This Row],[TIPO_MOVIMIENTO]]&amp;" "&amp;Pospago[[#This Row],[FORMA_PAGO_FINAL]]</f>
        <v>TRANSFERENCIAS DOMICILIADO</v>
      </c>
      <c r="BC899" s="18">
        <f>DAY(Pospago[[#This Row],[FECHA_ALTA]])</f>
        <v>9</v>
      </c>
      <c r="BD899" s="18">
        <f>IF(Pospago[[#This Row],[TARIFA_BASICA]]=11.42,1,0)</f>
        <v>0</v>
      </c>
      <c r="BE899" s="18">
        <f>IF(Pospago[[#This Row],[PLANES TELEVENTAS]]="SI",1,0)</f>
        <v>1</v>
      </c>
      <c r="BF899" s="18">
        <f>1</f>
        <v>1</v>
      </c>
      <c r="BG899" s="18">
        <f>IF(OR(Pospago[[#This Row],[TARIFA_BASICA]]=11.42,Pospago[[#This Row],[PLANES TELEVENTAS]]="SI"),1,0)</f>
        <v>1</v>
      </c>
      <c r="BH899" s="18" t="str">
        <f>IF(MID(Pospago[[#This Row],[PlanDesc]],1,4) = "PLAN","POSPAGO",IF(MID(Pospago[[#This Row],[PlanDesc]],1,4)="FULL","FULL MEGAS","PREVIOPAGO"))</f>
        <v>PREVIOPAGO</v>
      </c>
      <c r="BI8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8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899" s="21">
        <f>Pospago[[#This Row],[TARIFA_BASICA]]*1.5</f>
        <v>21.419999999999998</v>
      </c>
    </row>
    <row r="900" spans="1:63" x14ac:dyDescent="0.25">
      <c r="A900" s="18" t="s">
        <v>154</v>
      </c>
      <c r="B900" s="18" t="s">
        <v>5656</v>
      </c>
      <c r="C900" s="18" t="s">
        <v>5657</v>
      </c>
      <c r="D900" s="19">
        <v>44897</v>
      </c>
      <c r="E900" s="18" t="s">
        <v>67</v>
      </c>
      <c r="F900" s="18" t="s">
        <v>5658</v>
      </c>
      <c r="G900" s="18" t="s">
        <v>5659</v>
      </c>
      <c r="H900" s="18" t="s">
        <v>159</v>
      </c>
      <c r="I900" s="18" t="s">
        <v>71</v>
      </c>
      <c r="J900" s="18" t="s">
        <v>258</v>
      </c>
      <c r="K900" s="18" t="s">
        <v>73</v>
      </c>
      <c r="L900" s="20" t="s">
        <v>5660</v>
      </c>
      <c r="M900" s="18" t="s">
        <v>75</v>
      </c>
      <c r="N900" s="20" t="s">
        <v>5661</v>
      </c>
      <c r="O900" s="18" t="s">
        <v>164</v>
      </c>
      <c r="P900" s="18" t="s">
        <v>78</v>
      </c>
      <c r="Q900" s="19">
        <v>44914</v>
      </c>
      <c r="R900" s="21">
        <v>11.42</v>
      </c>
      <c r="S900" s="18" t="s">
        <v>79</v>
      </c>
      <c r="T900" s="18" t="s">
        <v>80</v>
      </c>
      <c r="U900" s="18" t="s">
        <v>83</v>
      </c>
      <c r="V900" s="18" t="s">
        <v>95</v>
      </c>
      <c r="W900" s="18" t="s">
        <v>95</v>
      </c>
      <c r="X900" s="18" t="s">
        <v>84</v>
      </c>
      <c r="Y900" s="18" t="s">
        <v>85</v>
      </c>
      <c r="Z900" s="18" t="s">
        <v>86</v>
      </c>
      <c r="AA900" s="18" t="s">
        <v>87</v>
      </c>
      <c r="AB900" s="18" t="s">
        <v>880</v>
      </c>
      <c r="AC900" s="18" t="s">
        <v>881</v>
      </c>
      <c r="AD900" s="18" t="s">
        <v>85</v>
      </c>
      <c r="AE900" s="18" t="s">
        <v>90</v>
      </c>
      <c r="AF900" s="18" t="s">
        <v>91</v>
      </c>
      <c r="AG900" s="18" t="s">
        <v>92</v>
      </c>
      <c r="AH900" s="18" t="s">
        <v>165</v>
      </c>
      <c r="AI900" s="18" t="s">
        <v>94</v>
      </c>
      <c r="AJ900" s="19">
        <v>44897</v>
      </c>
      <c r="AK900" s="22" t="s">
        <v>95</v>
      </c>
      <c r="AL900" s="18" t="s">
        <v>95</v>
      </c>
      <c r="AM900" s="18" t="s">
        <v>95</v>
      </c>
      <c r="AN900" s="18" t="s">
        <v>95</v>
      </c>
      <c r="AO900" s="18" t="s">
        <v>95</v>
      </c>
      <c r="AP900" s="18" t="s">
        <v>95</v>
      </c>
      <c r="AQ900" s="18" t="s">
        <v>95</v>
      </c>
      <c r="AR900" s="18" t="s">
        <v>95</v>
      </c>
      <c r="AS900" s="18" t="s">
        <v>83</v>
      </c>
      <c r="AT900" s="18" t="s">
        <v>83</v>
      </c>
      <c r="AU900" s="18" t="s">
        <v>81</v>
      </c>
      <c r="AV900" s="18" t="s">
        <v>95</v>
      </c>
      <c r="AW900" s="18" t="s">
        <v>95</v>
      </c>
      <c r="AX900" s="18"/>
      <c r="AY900" s="18" t="str">
        <f>Pospago[[#This Row],[NUM_TELEFONICO]]&amp;"POSPAGOSI"</f>
        <v>997071313POSPAGOSI</v>
      </c>
      <c r="AZ900" s="18" t="str">
        <f>VLOOKUP(Pospago[[#This Row],[NOM_PLAZA_FINAL]],[1]!Locales[#Data],3,0)</f>
        <v>TIENDA CUENCA CENTRO</v>
      </c>
      <c r="BA900" s="18" t="str">
        <f>IFERROR(VLOOKUP(Pospago[[#This Row],[USUARIO]],[1]!Personal[#Data],6,0),"EJECUTIVO NO REGISTRADO")</f>
        <v>LUNA JACHO ANDREA GABRIELA</v>
      </c>
      <c r="BB900" s="18" t="str">
        <f>Pospago[[#This Row],[TIPO_MOVIMIENTO]]&amp;" "&amp;Pospago[[#This Row],[FORMA_PAGO_FINAL]]</f>
        <v>TRANSFERENCIAS DOMICILIADO</v>
      </c>
      <c r="BC900" s="18">
        <f>DAY(Pospago[[#This Row],[FECHA_ALTA]])</f>
        <v>2</v>
      </c>
      <c r="BD900" s="18">
        <f>IF(Pospago[[#This Row],[TARIFA_BASICA]]=11.42,1,0)</f>
        <v>1</v>
      </c>
      <c r="BE900" s="18">
        <f>IF(Pospago[[#This Row],[PLANES TELEVENTAS]]="SI",1,0)</f>
        <v>0</v>
      </c>
      <c r="BF900" s="18">
        <f>1</f>
        <v>1</v>
      </c>
      <c r="BG900" s="18">
        <f>IF(OR(Pospago[[#This Row],[TARIFA_BASICA]]=11.42,Pospago[[#This Row],[PLANES TELEVENTAS]]="SI"),1,0)</f>
        <v>1</v>
      </c>
      <c r="BH900" s="18" t="str">
        <f>IF(MID(Pospago[[#This Row],[PlanDesc]],1,4) = "PLAN","POSPAGO",IF(MID(Pospago[[#This Row],[PlanDesc]],1,4)="FULL","FULL MEGAS","PREVIOPAGO"))</f>
        <v>PREVIOPAGO</v>
      </c>
      <c r="BI9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9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00" s="21">
        <f>Pospago[[#This Row],[TARIFA_BASICA]]*1.5</f>
        <v>17.13</v>
      </c>
    </row>
    <row r="901" spans="1:63" x14ac:dyDescent="0.25">
      <c r="A901" s="18" t="s">
        <v>64</v>
      </c>
      <c r="B901" s="18" t="s">
        <v>5662</v>
      </c>
      <c r="C901" s="18" t="s">
        <v>5663</v>
      </c>
      <c r="D901" s="19">
        <v>44900</v>
      </c>
      <c r="E901" s="18" t="s">
        <v>67</v>
      </c>
      <c r="F901" s="18" t="s">
        <v>5664</v>
      </c>
      <c r="G901" s="18" t="s">
        <v>5665</v>
      </c>
      <c r="H901" s="18" t="s">
        <v>70</v>
      </c>
      <c r="I901" s="18" t="s">
        <v>130</v>
      </c>
      <c r="J901" s="18" t="s">
        <v>131</v>
      </c>
      <c r="K901" s="18" t="s">
        <v>73</v>
      </c>
      <c r="L901" s="20" t="s">
        <v>5666</v>
      </c>
      <c r="M901" s="18" t="s">
        <v>287</v>
      </c>
      <c r="N901" s="20" t="s">
        <v>5667</v>
      </c>
      <c r="O901" s="18" t="s">
        <v>77</v>
      </c>
      <c r="P901" s="18" t="s">
        <v>78</v>
      </c>
      <c r="Q901" s="19">
        <v>44914</v>
      </c>
      <c r="R901" s="21">
        <v>15</v>
      </c>
      <c r="S901" s="18" t="s">
        <v>79</v>
      </c>
      <c r="T901" s="18" t="s">
        <v>174</v>
      </c>
      <c r="U901" s="18" t="s">
        <v>81</v>
      </c>
      <c r="V901" s="18" t="s">
        <v>82</v>
      </c>
      <c r="W901" s="18" t="s">
        <v>83</v>
      </c>
      <c r="X901" s="18" t="s">
        <v>118</v>
      </c>
      <c r="Y901" s="18" t="s">
        <v>85</v>
      </c>
      <c r="Z901" s="18" t="s">
        <v>86</v>
      </c>
      <c r="AA901" s="18" t="s">
        <v>119</v>
      </c>
      <c r="AB901" s="18" t="s">
        <v>926</v>
      </c>
      <c r="AC901" s="18" t="s">
        <v>927</v>
      </c>
      <c r="AD901" s="18" t="s">
        <v>85</v>
      </c>
      <c r="AE901" s="18" t="s">
        <v>90</v>
      </c>
      <c r="AF901" s="18" t="s">
        <v>177</v>
      </c>
      <c r="AG901" s="18" t="s">
        <v>139</v>
      </c>
      <c r="AH901" s="18" t="s">
        <v>93</v>
      </c>
      <c r="AI901" s="18" t="s">
        <v>94</v>
      </c>
      <c r="AJ901" s="19">
        <v>44900</v>
      </c>
      <c r="AK901" s="22">
        <v>44904</v>
      </c>
      <c r="AL901" s="18" t="s">
        <v>291</v>
      </c>
      <c r="AM901" s="18" t="s">
        <v>292</v>
      </c>
      <c r="AN901" s="18" t="s">
        <v>494</v>
      </c>
      <c r="AO901" s="18" t="s">
        <v>1022</v>
      </c>
      <c r="AP901" s="18">
        <v>1</v>
      </c>
      <c r="AQ901" s="18">
        <v>241.07142999999999</v>
      </c>
      <c r="AR901" s="18" t="s">
        <v>496</v>
      </c>
      <c r="AS901" s="18" t="s">
        <v>81</v>
      </c>
      <c r="AT901" s="18" t="s">
        <v>83</v>
      </c>
      <c r="AU901" s="18" t="s">
        <v>81</v>
      </c>
      <c r="AV901" s="18" t="s">
        <v>95</v>
      </c>
      <c r="AW901" s="18" t="s">
        <v>291</v>
      </c>
      <c r="AX901" s="18"/>
      <c r="AY901" s="18" t="str">
        <f>Pospago[[#This Row],[NUM_TELEFONICO]]&amp;"POSPAGOSI"</f>
        <v>997323844POSPAGOSI</v>
      </c>
      <c r="AZ901" s="18" t="str">
        <f>VLOOKUP(Pospago[[#This Row],[NOM_PLAZA_FINAL]],[1]!Locales[#Data],3,0)</f>
        <v>TIENDA RECREO</v>
      </c>
      <c r="BA901" s="18" t="str">
        <f>IFERROR(VLOOKUP(Pospago[[#This Row],[USUARIO]],[1]!Personal[#Data],6,0),"EJECUTIVO NO REGISTRADO")</f>
        <v>CABEZAS LOPEZ ROBERTO ALEJANDRO</v>
      </c>
      <c r="BB901" s="18" t="str">
        <f>Pospago[[#This Row],[TIPO_MOVIMIENTO]]&amp;" "&amp;Pospago[[#This Row],[FORMA_PAGO_FINAL]]</f>
        <v>ALTAS PAGO EN CAJA</v>
      </c>
      <c r="BC901" s="18">
        <f>DAY(Pospago[[#This Row],[FECHA_ALTA]])</f>
        <v>5</v>
      </c>
      <c r="BD901" s="18">
        <f>IF(Pospago[[#This Row],[TARIFA_BASICA]]=11.42,1,0)</f>
        <v>0</v>
      </c>
      <c r="BE901" s="18">
        <f>IF(Pospago[[#This Row],[PLANES TELEVENTAS]]="SI",1,0)</f>
        <v>0</v>
      </c>
      <c r="BF901" s="18">
        <f>1</f>
        <v>1</v>
      </c>
      <c r="BG901" s="18">
        <f>IF(OR(Pospago[[#This Row],[TARIFA_BASICA]]=11.42,Pospago[[#This Row],[PLANES TELEVENTAS]]="SI"),1,0)</f>
        <v>0</v>
      </c>
      <c r="BH901" s="18" t="str">
        <f>IF(MID(Pospago[[#This Row],[PlanDesc]],1,4) = "PLAN","POSPAGO",IF(MID(Pospago[[#This Row],[PlanDesc]],1,4)="FULL","FULL MEGAS","PREVIOPAGO"))</f>
        <v>PREVIOPAGO</v>
      </c>
      <c r="BI9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9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01" s="21">
        <f>Pospago[[#This Row],[TARIFA_BASICA]]*1.5</f>
        <v>22.5</v>
      </c>
    </row>
    <row r="902" spans="1:63" x14ac:dyDescent="0.25">
      <c r="A902" s="18" t="s">
        <v>154</v>
      </c>
      <c r="B902" s="18" t="s">
        <v>5668</v>
      </c>
      <c r="C902" s="18" t="s">
        <v>5669</v>
      </c>
      <c r="D902" s="19">
        <v>44901</v>
      </c>
      <c r="E902" s="18" t="s">
        <v>67</v>
      </c>
      <c r="F902" s="18" t="s">
        <v>5670</v>
      </c>
      <c r="G902" s="18" t="s">
        <v>5671</v>
      </c>
      <c r="H902" s="18" t="s">
        <v>159</v>
      </c>
      <c r="I902" s="18" t="s">
        <v>160</v>
      </c>
      <c r="J902" s="18" t="s">
        <v>161</v>
      </c>
      <c r="K902" s="18" t="s">
        <v>73</v>
      </c>
      <c r="L902" s="20" t="s">
        <v>5672</v>
      </c>
      <c r="M902" s="18" t="s">
        <v>75</v>
      </c>
      <c r="N902" s="20" t="s">
        <v>5673</v>
      </c>
      <c r="O902" s="18" t="s">
        <v>164</v>
      </c>
      <c r="P902" s="18" t="s">
        <v>78</v>
      </c>
      <c r="Q902" s="19">
        <v>44914</v>
      </c>
      <c r="R902" s="21">
        <v>14.28</v>
      </c>
      <c r="S902" s="18" t="s">
        <v>79</v>
      </c>
      <c r="T902" s="18" t="s">
        <v>148</v>
      </c>
      <c r="U902" s="18" t="s">
        <v>83</v>
      </c>
      <c r="V902" s="18" t="s">
        <v>95</v>
      </c>
      <c r="W902" s="18" t="s">
        <v>95</v>
      </c>
      <c r="X902" s="18" t="s">
        <v>84</v>
      </c>
      <c r="Y902" s="18" t="s">
        <v>85</v>
      </c>
      <c r="Z902" s="18" t="s">
        <v>86</v>
      </c>
      <c r="AA902" s="18" t="s">
        <v>87</v>
      </c>
      <c r="AB902" s="18" t="s">
        <v>318</v>
      </c>
      <c r="AC902" s="18" t="s">
        <v>319</v>
      </c>
      <c r="AD902" s="18" t="s">
        <v>85</v>
      </c>
      <c r="AE902" s="18" t="s">
        <v>90</v>
      </c>
      <c r="AF902" s="18" t="s">
        <v>151</v>
      </c>
      <c r="AG902" s="18" t="s">
        <v>92</v>
      </c>
      <c r="AH902" s="18" t="s">
        <v>165</v>
      </c>
      <c r="AI902" s="18" t="s">
        <v>94</v>
      </c>
      <c r="AJ902" s="19">
        <v>44901</v>
      </c>
      <c r="AK902" s="22" t="s">
        <v>95</v>
      </c>
      <c r="AL902" s="18" t="s">
        <v>95</v>
      </c>
      <c r="AM902" s="18" t="s">
        <v>95</v>
      </c>
      <c r="AN902" s="18" t="s">
        <v>95</v>
      </c>
      <c r="AO902" s="18" t="s">
        <v>95</v>
      </c>
      <c r="AP902" s="18" t="s">
        <v>95</v>
      </c>
      <c r="AQ902" s="18" t="s">
        <v>95</v>
      </c>
      <c r="AR902" s="18" t="s">
        <v>95</v>
      </c>
      <c r="AS902" s="18" t="s">
        <v>83</v>
      </c>
      <c r="AT902" s="18" t="s">
        <v>83</v>
      </c>
      <c r="AU902" s="18" t="s">
        <v>81</v>
      </c>
      <c r="AV902" s="18" t="s">
        <v>95</v>
      </c>
      <c r="AW902" s="18" t="s">
        <v>95</v>
      </c>
      <c r="AX902" s="18"/>
      <c r="AY902" s="18" t="str">
        <f>Pospago[[#This Row],[NUM_TELEFONICO]]&amp;"POSPAGOSI"</f>
        <v>997697764POSPAGOSI</v>
      </c>
      <c r="AZ902" s="18" t="str">
        <f>VLOOKUP(Pospago[[#This Row],[NOM_PLAZA_FINAL]],[1]!Locales[#Data],3,0)</f>
        <v>TIENDA CUENCA REMIGIO</v>
      </c>
      <c r="BA902" s="18" t="str">
        <f>IFERROR(VLOOKUP(Pospago[[#This Row],[USUARIO]],[1]!Personal[#Data],6,0),"EJECUTIVO NO REGISTRADO")</f>
        <v>RODRIGUEZ QUITO JESSICA GABRIELA</v>
      </c>
      <c r="BB902" s="18" t="str">
        <f>Pospago[[#This Row],[TIPO_MOVIMIENTO]]&amp;" "&amp;Pospago[[#This Row],[FORMA_PAGO_FINAL]]</f>
        <v>TRANSFERENCIAS DOMICILIADO</v>
      </c>
      <c r="BC902" s="18">
        <f>DAY(Pospago[[#This Row],[FECHA_ALTA]])</f>
        <v>6</v>
      </c>
      <c r="BD902" s="18">
        <f>IF(Pospago[[#This Row],[TARIFA_BASICA]]=11.42,1,0)</f>
        <v>0</v>
      </c>
      <c r="BE902" s="18">
        <f>IF(Pospago[[#This Row],[PLANES TELEVENTAS]]="SI",1,0)</f>
        <v>0</v>
      </c>
      <c r="BF902" s="18">
        <f>1</f>
        <v>1</v>
      </c>
      <c r="BG902" s="18">
        <f>IF(OR(Pospago[[#This Row],[TARIFA_BASICA]]=11.42,Pospago[[#This Row],[PLANES TELEVENTAS]]="SI"),1,0)</f>
        <v>0</v>
      </c>
      <c r="BH902" s="18" t="str">
        <f>IF(MID(Pospago[[#This Row],[PlanDesc]],1,4) = "PLAN","POSPAGO",IF(MID(Pospago[[#This Row],[PlanDesc]],1,4)="FULL","FULL MEGAS","PREVIOPAGO"))</f>
        <v>PREVIOPAGO</v>
      </c>
      <c r="BI9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02" s="21">
        <f>Pospago[[#This Row],[TARIFA_BASICA]]*1.5</f>
        <v>21.419999999999998</v>
      </c>
    </row>
    <row r="903" spans="1:63" x14ac:dyDescent="0.25">
      <c r="A903" s="18" t="s">
        <v>154</v>
      </c>
      <c r="B903" s="18" t="s">
        <v>5674</v>
      </c>
      <c r="C903" s="18" t="s">
        <v>5675</v>
      </c>
      <c r="D903" s="19">
        <v>44911</v>
      </c>
      <c r="E903" s="18" t="s">
        <v>67</v>
      </c>
      <c r="F903" s="18" t="s">
        <v>5676</v>
      </c>
      <c r="G903" s="18" t="s">
        <v>5677</v>
      </c>
      <c r="H903" s="18" t="s">
        <v>159</v>
      </c>
      <c r="I903" s="18" t="s">
        <v>130</v>
      </c>
      <c r="J903" s="18" t="s">
        <v>433</v>
      </c>
      <c r="K903" s="18" t="s">
        <v>73</v>
      </c>
      <c r="L903" s="20" t="s">
        <v>5678</v>
      </c>
      <c r="M903" s="18" t="s">
        <v>75</v>
      </c>
      <c r="N903" s="20" t="s">
        <v>5679</v>
      </c>
      <c r="O903" s="18" t="s">
        <v>164</v>
      </c>
      <c r="P903" s="18" t="s">
        <v>78</v>
      </c>
      <c r="Q903" s="19">
        <v>44914</v>
      </c>
      <c r="R903" s="21">
        <v>15</v>
      </c>
      <c r="S903" s="18" t="s">
        <v>79</v>
      </c>
      <c r="T903" s="18" t="s">
        <v>80</v>
      </c>
      <c r="U903" s="18" t="s">
        <v>83</v>
      </c>
      <c r="V903" s="18" t="s">
        <v>95</v>
      </c>
      <c r="W903" s="18" t="s">
        <v>95</v>
      </c>
      <c r="X903" s="18" t="s">
        <v>118</v>
      </c>
      <c r="Y903" s="18" t="s">
        <v>85</v>
      </c>
      <c r="Z903" s="18" t="s">
        <v>86</v>
      </c>
      <c r="AA903" s="18" t="s">
        <v>119</v>
      </c>
      <c r="AB903" s="18" t="s">
        <v>1020</v>
      </c>
      <c r="AC903" s="18" t="s">
        <v>1021</v>
      </c>
      <c r="AD903" s="18" t="s">
        <v>85</v>
      </c>
      <c r="AE903" s="18" t="s">
        <v>90</v>
      </c>
      <c r="AF903" s="18" t="s">
        <v>91</v>
      </c>
      <c r="AG903" s="18" t="s">
        <v>92</v>
      </c>
      <c r="AH903" s="18" t="s">
        <v>165</v>
      </c>
      <c r="AI903" s="18" t="s">
        <v>94</v>
      </c>
      <c r="AJ903" s="19">
        <v>44911</v>
      </c>
      <c r="AK903" s="22" t="s">
        <v>95</v>
      </c>
      <c r="AL903" s="18" t="s">
        <v>95</v>
      </c>
      <c r="AM903" s="18" t="s">
        <v>95</v>
      </c>
      <c r="AN903" s="18" t="s">
        <v>95</v>
      </c>
      <c r="AO903" s="18" t="s">
        <v>95</v>
      </c>
      <c r="AP903" s="18" t="s">
        <v>95</v>
      </c>
      <c r="AQ903" s="18" t="s">
        <v>95</v>
      </c>
      <c r="AR903" s="18" t="s">
        <v>95</v>
      </c>
      <c r="AS903" s="18" t="s">
        <v>83</v>
      </c>
      <c r="AT903" s="18" t="s">
        <v>83</v>
      </c>
      <c r="AU903" s="18" t="s">
        <v>81</v>
      </c>
      <c r="AV903" s="18" t="s">
        <v>95</v>
      </c>
      <c r="AW903" s="18" t="s">
        <v>95</v>
      </c>
      <c r="AX903" s="18"/>
      <c r="AY903" s="18" t="str">
        <f>Pospago[[#This Row],[NUM_TELEFONICO]]&amp;"POSPAGOSI"</f>
        <v>997720880POSPAGOSI</v>
      </c>
      <c r="AZ903" s="18" t="str">
        <f>VLOOKUP(Pospago[[#This Row],[NOM_PLAZA_FINAL]],[1]!Locales[#Data],3,0)</f>
        <v>TIENDA CUENCA CENTRO</v>
      </c>
      <c r="BA903" s="18" t="str">
        <f>IFERROR(VLOOKUP(Pospago[[#This Row],[USUARIO]],[1]!Personal[#Data],6,0),"EJECUTIVO NO REGISTRADO")</f>
        <v>GONZALES ALVARRACIN PAOLA YESSENIA</v>
      </c>
      <c r="BB903" s="18" t="str">
        <f>Pospago[[#This Row],[TIPO_MOVIMIENTO]]&amp;" "&amp;Pospago[[#This Row],[FORMA_PAGO_FINAL]]</f>
        <v>TRANSFERENCIAS PAGO EN CAJA</v>
      </c>
      <c r="BC903" s="18">
        <f>DAY(Pospago[[#This Row],[FECHA_ALTA]])</f>
        <v>16</v>
      </c>
      <c r="BD903" s="18">
        <f>IF(Pospago[[#This Row],[TARIFA_BASICA]]=11.42,1,0)</f>
        <v>0</v>
      </c>
      <c r="BE903" s="18">
        <f>IF(Pospago[[#This Row],[PLANES TELEVENTAS]]="SI",1,0)</f>
        <v>0</v>
      </c>
      <c r="BF903" s="18">
        <f>1</f>
        <v>1</v>
      </c>
      <c r="BG903" s="18">
        <f>IF(OR(Pospago[[#This Row],[TARIFA_BASICA]]=11.42,Pospago[[#This Row],[PLANES TELEVENTAS]]="SI"),1,0)</f>
        <v>0</v>
      </c>
      <c r="BH903" s="18" t="str">
        <f>IF(MID(Pospago[[#This Row],[PlanDesc]],1,4) = "PLAN","POSPAGO",IF(MID(Pospago[[#This Row],[PlanDesc]],1,4)="FULL","FULL MEGAS","PREVIOPAGO"))</f>
        <v>PREVIOPAGO</v>
      </c>
      <c r="BI9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9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03" s="21">
        <f>Pospago[[#This Row],[TARIFA_BASICA]]*1.5</f>
        <v>22.5</v>
      </c>
    </row>
    <row r="904" spans="1:63" x14ac:dyDescent="0.25">
      <c r="A904" s="18" t="s">
        <v>64</v>
      </c>
      <c r="B904" s="18" t="s">
        <v>5680</v>
      </c>
      <c r="C904" s="18" t="s">
        <v>5681</v>
      </c>
      <c r="D904" s="19">
        <v>44909</v>
      </c>
      <c r="E904" s="18" t="s">
        <v>67</v>
      </c>
      <c r="F904" s="18" t="s">
        <v>5682</v>
      </c>
      <c r="G904" s="18" t="s">
        <v>5683</v>
      </c>
      <c r="H904" s="18" t="s">
        <v>70</v>
      </c>
      <c r="I904" s="18" t="s">
        <v>1756</v>
      </c>
      <c r="J904" s="18" t="s">
        <v>1757</v>
      </c>
      <c r="K904" s="18" t="s">
        <v>114</v>
      </c>
      <c r="L904" s="20" t="s">
        <v>5684</v>
      </c>
      <c r="M904" s="18" t="s">
        <v>75</v>
      </c>
      <c r="N904" s="20" t="s">
        <v>5685</v>
      </c>
      <c r="O904" s="18" t="s">
        <v>77</v>
      </c>
      <c r="P904" s="18" t="s">
        <v>78</v>
      </c>
      <c r="Q904" s="19">
        <v>44914</v>
      </c>
      <c r="R904" s="21">
        <v>17.850000000000001</v>
      </c>
      <c r="S904" s="18" t="s">
        <v>79</v>
      </c>
      <c r="T904" s="18" t="s">
        <v>117</v>
      </c>
      <c r="U904" s="18" t="s">
        <v>81</v>
      </c>
      <c r="V904" s="18" t="s">
        <v>82</v>
      </c>
      <c r="W904" s="18" t="s">
        <v>83</v>
      </c>
      <c r="X904" s="18" t="s">
        <v>84</v>
      </c>
      <c r="Y904" s="18" t="s">
        <v>85</v>
      </c>
      <c r="Z904" s="18" t="s">
        <v>86</v>
      </c>
      <c r="AA904" s="18" t="s">
        <v>87</v>
      </c>
      <c r="AB904" s="18" t="s">
        <v>120</v>
      </c>
      <c r="AC904" s="18" t="s">
        <v>121</v>
      </c>
      <c r="AD904" s="18" t="s">
        <v>85</v>
      </c>
      <c r="AE904" s="18" t="s">
        <v>90</v>
      </c>
      <c r="AF904" s="18" t="s">
        <v>122</v>
      </c>
      <c r="AG904" s="18" t="s">
        <v>92</v>
      </c>
      <c r="AH904" s="18" t="s">
        <v>93</v>
      </c>
      <c r="AI904" s="18" t="s">
        <v>94</v>
      </c>
      <c r="AJ904" s="19">
        <v>44909</v>
      </c>
      <c r="AK904" s="22" t="s">
        <v>95</v>
      </c>
      <c r="AL904" s="18" t="s">
        <v>95</v>
      </c>
      <c r="AM904" s="18" t="s">
        <v>95</v>
      </c>
      <c r="AN904" s="18" t="s">
        <v>95</v>
      </c>
      <c r="AO904" s="18" t="s">
        <v>95</v>
      </c>
      <c r="AP904" s="18" t="s">
        <v>95</v>
      </c>
      <c r="AQ904" s="18" t="s">
        <v>95</v>
      </c>
      <c r="AR904" s="18" t="s">
        <v>95</v>
      </c>
      <c r="AS904" s="18" t="s">
        <v>83</v>
      </c>
      <c r="AT904" s="18" t="s">
        <v>81</v>
      </c>
      <c r="AU904" s="18" t="s">
        <v>83</v>
      </c>
      <c r="AV904" s="18" t="s">
        <v>95</v>
      </c>
      <c r="AW904" s="18" t="s">
        <v>95</v>
      </c>
      <c r="AX904" s="18"/>
      <c r="AY904" s="18" t="str">
        <f>Pospago[[#This Row],[NUM_TELEFONICO]]&amp;"POSPAGOSI"</f>
        <v>997987862POSPAGOSI</v>
      </c>
      <c r="AZ904" s="18" t="str">
        <f>VLOOKUP(Pospago[[#This Row],[NOM_PLAZA_FINAL]],[1]!Locales[#Data],3,0)</f>
        <v>TIENDA MACHALA</v>
      </c>
      <c r="BA904" s="18" t="str">
        <f>IFERROR(VLOOKUP(Pospago[[#This Row],[USUARIO]],[1]!Personal[#Data],6,0),"EJECUTIVO NO REGISTRADO")</f>
        <v>ARROBO VICENTE YADIRA ESPERANZA</v>
      </c>
      <c r="BB904" s="18" t="str">
        <f>Pospago[[#This Row],[TIPO_MOVIMIENTO]]&amp;" "&amp;Pospago[[#This Row],[FORMA_PAGO_FINAL]]</f>
        <v>ALTAS DOMICILIADO</v>
      </c>
      <c r="BC904" s="18">
        <f>DAY(Pospago[[#This Row],[FECHA_ALTA]])</f>
        <v>14</v>
      </c>
      <c r="BD904" s="18">
        <f>IF(Pospago[[#This Row],[TARIFA_BASICA]]=11.42,1,0)</f>
        <v>0</v>
      </c>
      <c r="BE904" s="18">
        <f>IF(Pospago[[#This Row],[PLANES TELEVENTAS]]="SI",1,0)</f>
        <v>1</v>
      </c>
      <c r="BF904" s="18">
        <f>1</f>
        <v>1</v>
      </c>
      <c r="BG904" s="18">
        <f>IF(OR(Pospago[[#This Row],[TARIFA_BASICA]]=11.42,Pospago[[#This Row],[PLANES TELEVENTAS]]="SI"),1,0)</f>
        <v>1</v>
      </c>
      <c r="BH904" s="18" t="str">
        <f>IF(MID(Pospago[[#This Row],[PlanDesc]],1,4) = "PLAN","POSPAGO",IF(MID(Pospago[[#This Row],[PlanDesc]],1,4)="FULL","FULL MEGAS","PREVIOPAGO"))</f>
        <v>POSPAGO</v>
      </c>
      <c r="BI9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25.212</v>
      </c>
      <c r="BJ9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04" s="21">
        <f>Pospago[[#This Row],[TARIFA_BASICA]]*1.5</f>
        <v>26.775000000000002</v>
      </c>
    </row>
    <row r="905" spans="1:63" x14ac:dyDescent="0.25">
      <c r="A905" s="18" t="s">
        <v>64</v>
      </c>
      <c r="B905" s="18" t="s">
        <v>5686</v>
      </c>
      <c r="C905" s="18" t="s">
        <v>5687</v>
      </c>
      <c r="D905" s="19">
        <v>44900</v>
      </c>
      <c r="E905" s="18" t="s">
        <v>67</v>
      </c>
      <c r="F905" s="18" t="s">
        <v>5688</v>
      </c>
      <c r="G905" s="18" t="s">
        <v>5689</v>
      </c>
      <c r="H905" s="18" t="s">
        <v>70</v>
      </c>
      <c r="I905" s="18" t="s">
        <v>5406</v>
      </c>
      <c r="J905" s="18" t="s">
        <v>5407</v>
      </c>
      <c r="K905" s="18" t="s">
        <v>73</v>
      </c>
      <c r="L905" s="20" t="s">
        <v>5690</v>
      </c>
      <c r="M905" s="18" t="s">
        <v>75</v>
      </c>
      <c r="N905" s="20" t="s">
        <v>5691</v>
      </c>
      <c r="O905" s="18" t="s">
        <v>231</v>
      </c>
      <c r="P905" s="18" t="s">
        <v>78</v>
      </c>
      <c r="Q905" s="19">
        <v>44914</v>
      </c>
      <c r="R905" s="21">
        <v>11.42</v>
      </c>
      <c r="S905" s="18" t="s">
        <v>79</v>
      </c>
      <c r="T905" s="18" t="s">
        <v>80</v>
      </c>
      <c r="U905" s="18" t="s">
        <v>83</v>
      </c>
      <c r="V905" s="18" t="s">
        <v>95</v>
      </c>
      <c r="W905" s="18" t="s">
        <v>83</v>
      </c>
      <c r="X905" s="18" t="s">
        <v>215</v>
      </c>
      <c r="Y905" s="18" t="s">
        <v>85</v>
      </c>
      <c r="Z905" s="18" t="s">
        <v>86</v>
      </c>
      <c r="AA905" s="18" t="s">
        <v>87</v>
      </c>
      <c r="AB905" s="18" t="s">
        <v>242</v>
      </c>
      <c r="AC905" s="18" t="s">
        <v>243</v>
      </c>
      <c r="AD905" s="18" t="s">
        <v>85</v>
      </c>
      <c r="AE905" s="18" t="s">
        <v>90</v>
      </c>
      <c r="AF905" s="18" t="s">
        <v>91</v>
      </c>
      <c r="AG905" s="18" t="s">
        <v>92</v>
      </c>
      <c r="AH905" s="18" t="s">
        <v>93</v>
      </c>
      <c r="AI905" s="18" t="s">
        <v>94</v>
      </c>
      <c r="AJ905" s="19">
        <v>44900</v>
      </c>
      <c r="AK905" s="22" t="s">
        <v>95</v>
      </c>
      <c r="AL905" s="18" t="s">
        <v>95</v>
      </c>
      <c r="AM905" s="18" t="s">
        <v>95</v>
      </c>
      <c r="AN905" s="18" t="s">
        <v>95</v>
      </c>
      <c r="AO905" s="18" t="s">
        <v>95</v>
      </c>
      <c r="AP905" s="18" t="s">
        <v>95</v>
      </c>
      <c r="AQ905" s="18" t="s">
        <v>95</v>
      </c>
      <c r="AR905" s="18" t="s">
        <v>95</v>
      </c>
      <c r="AS905" s="18" t="s">
        <v>83</v>
      </c>
      <c r="AT905" s="18" t="s">
        <v>81</v>
      </c>
      <c r="AU905" s="18" t="s">
        <v>83</v>
      </c>
      <c r="AV905" s="18" t="s">
        <v>95</v>
      </c>
      <c r="AW905" s="18" t="s">
        <v>95</v>
      </c>
      <c r="AX905" s="18"/>
      <c r="AY905" s="18" t="str">
        <f>Pospago[[#This Row],[NUM_TELEFONICO]]&amp;"POSPAGOSI"</f>
        <v>998012919POSPAGOSI</v>
      </c>
      <c r="AZ905" s="18" t="str">
        <f>VLOOKUP(Pospago[[#This Row],[NOM_PLAZA_FINAL]],[1]!Locales[#Data],3,0)</f>
        <v>TIENDA CUENCA CENTRO</v>
      </c>
      <c r="BA905" s="18" t="str">
        <f>IFERROR(VLOOKUP(Pospago[[#This Row],[USUARIO]],[1]!Personal[#Data],6,0),"EJECUTIVO NO REGISTRADO")</f>
        <v>VALLEJO DELEG ROMAN NICOLAS</v>
      </c>
      <c r="BB905" s="18" t="str">
        <f>Pospago[[#This Row],[TIPO_MOVIMIENTO]]&amp;" "&amp;Pospago[[#This Row],[FORMA_PAGO_FINAL]]</f>
        <v>ALTAS DOMICILIADO</v>
      </c>
      <c r="BC905" s="18">
        <f>DAY(Pospago[[#This Row],[FECHA_ALTA]])</f>
        <v>5</v>
      </c>
      <c r="BD905" s="18">
        <f>IF(Pospago[[#This Row],[TARIFA_BASICA]]=11.42,1,0)</f>
        <v>1</v>
      </c>
      <c r="BE905" s="18">
        <f>IF(Pospago[[#This Row],[PLANES TELEVENTAS]]="SI",1,0)</f>
        <v>1</v>
      </c>
      <c r="BF905" s="18">
        <f>1</f>
        <v>1</v>
      </c>
      <c r="BG905" s="18">
        <f>IF(OR(Pospago[[#This Row],[TARIFA_BASICA]]=11.42,Pospago[[#This Row],[PLANES TELEVENTAS]]="SI"),1,0)</f>
        <v>1</v>
      </c>
      <c r="BH905" s="18" t="str">
        <f>IF(MID(Pospago[[#This Row],[PlanDesc]],1,4) = "PLAN","POSPAGO",IF(MID(Pospago[[#This Row],[PlanDesc]],1,4)="FULL","FULL MEGAS","PREVIOPAGO"))</f>
        <v>POSPAGO</v>
      </c>
      <c r="BI9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9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05" s="21">
        <f>Pospago[[#This Row],[TARIFA_BASICA]]*1.5</f>
        <v>17.13</v>
      </c>
    </row>
    <row r="906" spans="1:63" x14ac:dyDescent="0.25">
      <c r="A906" s="18" t="s">
        <v>64</v>
      </c>
      <c r="B906" s="18" t="s">
        <v>5692</v>
      </c>
      <c r="C906" s="18" t="s">
        <v>5693</v>
      </c>
      <c r="D906" s="19">
        <v>44910</v>
      </c>
      <c r="E906" s="18" t="s">
        <v>67</v>
      </c>
      <c r="F906" s="18" t="s">
        <v>5694</v>
      </c>
      <c r="G906" s="18" t="s">
        <v>5695</v>
      </c>
      <c r="H906" s="18" t="s">
        <v>70</v>
      </c>
      <c r="I906" s="18" t="s">
        <v>112</v>
      </c>
      <c r="J906" s="18" t="s">
        <v>113</v>
      </c>
      <c r="K906" s="18" t="s">
        <v>73</v>
      </c>
      <c r="L906" s="20" t="s">
        <v>5696</v>
      </c>
      <c r="M906" s="18" t="s">
        <v>75</v>
      </c>
      <c r="N906" s="20" t="s">
        <v>5697</v>
      </c>
      <c r="O906" s="18" t="s">
        <v>77</v>
      </c>
      <c r="P906" s="18" t="s">
        <v>78</v>
      </c>
      <c r="Q906" s="19">
        <v>44914</v>
      </c>
      <c r="R906" s="21">
        <v>17.850000000000001</v>
      </c>
      <c r="S906" s="18" t="s">
        <v>79</v>
      </c>
      <c r="T906" s="18" t="s">
        <v>148</v>
      </c>
      <c r="U906" s="18" t="s">
        <v>83</v>
      </c>
      <c r="V906" s="18" t="s">
        <v>95</v>
      </c>
      <c r="W906" s="18" t="s">
        <v>83</v>
      </c>
      <c r="X906" s="18" t="s">
        <v>84</v>
      </c>
      <c r="Y906" s="18" t="s">
        <v>85</v>
      </c>
      <c r="Z906" s="18" t="s">
        <v>86</v>
      </c>
      <c r="AA906" s="18" t="s">
        <v>87</v>
      </c>
      <c r="AB906" s="18" t="s">
        <v>149</v>
      </c>
      <c r="AC906" s="18" t="s">
        <v>150</v>
      </c>
      <c r="AD906" s="18" t="s">
        <v>85</v>
      </c>
      <c r="AE906" s="18" t="s">
        <v>90</v>
      </c>
      <c r="AF906" s="18" t="s">
        <v>151</v>
      </c>
      <c r="AG906" s="18" t="s">
        <v>92</v>
      </c>
      <c r="AH906" s="18" t="s">
        <v>93</v>
      </c>
      <c r="AI906" s="18" t="s">
        <v>94</v>
      </c>
      <c r="AJ906" s="19">
        <v>44910</v>
      </c>
      <c r="AK906" s="22" t="s">
        <v>95</v>
      </c>
      <c r="AL906" s="18" t="s">
        <v>95</v>
      </c>
      <c r="AM906" s="18" t="s">
        <v>95</v>
      </c>
      <c r="AN906" s="18" t="s">
        <v>95</v>
      </c>
      <c r="AO906" s="18" t="s">
        <v>95</v>
      </c>
      <c r="AP906" s="18" t="s">
        <v>95</v>
      </c>
      <c r="AQ906" s="18" t="s">
        <v>95</v>
      </c>
      <c r="AR906" s="18" t="s">
        <v>95</v>
      </c>
      <c r="AS906" s="18" t="s">
        <v>83</v>
      </c>
      <c r="AT906" s="18" t="s">
        <v>83</v>
      </c>
      <c r="AU906" s="18" t="s">
        <v>81</v>
      </c>
      <c r="AV906" s="18" t="s">
        <v>95</v>
      </c>
      <c r="AW906" s="18" t="s">
        <v>95</v>
      </c>
      <c r="AX906" s="18"/>
      <c r="AY906" s="18" t="str">
        <f>Pospago[[#This Row],[NUM_TELEFONICO]]&amp;"POSPAGOSI"</f>
        <v>998033062POSPAGOSI</v>
      </c>
      <c r="AZ906" s="18" t="str">
        <f>VLOOKUP(Pospago[[#This Row],[NOM_PLAZA_FINAL]],[1]!Locales[#Data],3,0)</f>
        <v>TIENDA CUENCA REMIGIO</v>
      </c>
      <c r="BA906" s="18" t="str">
        <f>IFERROR(VLOOKUP(Pospago[[#This Row],[USUARIO]],[1]!Personal[#Data],6,0),"EJECUTIVO NO REGISTRADO")</f>
        <v>OSORIO TEJADA ANA ESTEFANIA</v>
      </c>
      <c r="BB906" s="18" t="str">
        <f>Pospago[[#This Row],[TIPO_MOVIMIENTO]]&amp;" "&amp;Pospago[[#This Row],[FORMA_PAGO_FINAL]]</f>
        <v>ALTAS DOMICILIADO</v>
      </c>
      <c r="BC906" s="18">
        <f>DAY(Pospago[[#This Row],[FECHA_ALTA]])</f>
        <v>15</v>
      </c>
      <c r="BD906" s="18">
        <f>IF(Pospago[[#This Row],[TARIFA_BASICA]]=11.42,1,0)</f>
        <v>0</v>
      </c>
      <c r="BE906" s="18">
        <f>IF(Pospago[[#This Row],[PLANES TELEVENTAS]]="SI",1,0)</f>
        <v>0</v>
      </c>
      <c r="BF906" s="18">
        <f>1</f>
        <v>1</v>
      </c>
      <c r="BG906" s="18">
        <f>IF(OR(Pospago[[#This Row],[TARIFA_BASICA]]=11.42,Pospago[[#This Row],[PLANES TELEVENTAS]]="SI"),1,0)</f>
        <v>0</v>
      </c>
      <c r="BH906" s="18" t="str">
        <f>IF(MID(Pospago[[#This Row],[PlanDesc]],1,4) = "PLAN","POSPAGO",IF(MID(Pospago[[#This Row],[PlanDesc]],1,4)="FULL","FULL MEGAS","PREVIOPAGO"))</f>
        <v>PREVIOPAGO</v>
      </c>
      <c r="BI9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9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06" s="21">
        <f>Pospago[[#This Row],[TARIFA_BASICA]]*1.5</f>
        <v>26.775000000000002</v>
      </c>
    </row>
    <row r="907" spans="1:63" x14ac:dyDescent="0.25">
      <c r="A907" s="18" t="s">
        <v>154</v>
      </c>
      <c r="B907" s="18" t="s">
        <v>5698</v>
      </c>
      <c r="C907" s="18" t="s">
        <v>5699</v>
      </c>
      <c r="D907" s="19">
        <v>44900</v>
      </c>
      <c r="E907" s="18" t="s">
        <v>67</v>
      </c>
      <c r="F907" s="18" t="s">
        <v>5700</v>
      </c>
      <c r="G907" s="18" t="s">
        <v>5701</v>
      </c>
      <c r="H907" s="18" t="s">
        <v>159</v>
      </c>
      <c r="I907" s="18" t="s">
        <v>160</v>
      </c>
      <c r="J907" s="18" t="s">
        <v>161</v>
      </c>
      <c r="K907" s="18" t="s">
        <v>132</v>
      </c>
      <c r="L907" s="20" t="s">
        <v>5702</v>
      </c>
      <c r="M907" s="18" t="s">
        <v>75</v>
      </c>
      <c r="N907" s="20" t="s">
        <v>5703</v>
      </c>
      <c r="O907" s="18" t="s">
        <v>164</v>
      </c>
      <c r="P907" s="18" t="s">
        <v>78</v>
      </c>
      <c r="Q907" s="19">
        <v>44914</v>
      </c>
      <c r="R907" s="21">
        <v>14.28</v>
      </c>
      <c r="S907" s="18" t="s">
        <v>79</v>
      </c>
      <c r="T907" s="18" t="s">
        <v>232</v>
      </c>
      <c r="U907" s="18" t="s">
        <v>83</v>
      </c>
      <c r="V907" s="18" t="s">
        <v>95</v>
      </c>
      <c r="W907" s="18" t="s">
        <v>95</v>
      </c>
      <c r="X907" s="18" t="s">
        <v>84</v>
      </c>
      <c r="Y907" s="18" t="s">
        <v>85</v>
      </c>
      <c r="Z907" s="18" t="s">
        <v>86</v>
      </c>
      <c r="AA907" s="18" t="s">
        <v>87</v>
      </c>
      <c r="AB907" s="18" t="s">
        <v>271</v>
      </c>
      <c r="AC907" s="18" t="s">
        <v>272</v>
      </c>
      <c r="AD907" s="18" t="s">
        <v>85</v>
      </c>
      <c r="AE907" s="18" t="s">
        <v>90</v>
      </c>
      <c r="AF907" s="18" t="s">
        <v>235</v>
      </c>
      <c r="AG907" s="18" t="s">
        <v>139</v>
      </c>
      <c r="AH907" s="18" t="s">
        <v>165</v>
      </c>
      <c r="AI907" s="18" t="s">
        <v>94</v>
      </c>
      <c r="AJ907" s="19">
        <v>44900</v>
      </c>
      <c r="AK907" s="22" t="s">
        <v>95</v>
      </c>
      <c r="AL907" s="18" t="s">
        <v>95</v>
      </c>
      <c r="AM907" s="18" t="s">
        <v>95</v>
      </c>
      <c r="AN907" s="18" t="s">
        <v>95</v>
      </c>
      <c r="AO907" s="18" t="s">
        <v>95</v>
      </c>
      <c r="AP907" s="18" t="s">
        <v>95</v>
      </c>
      <c r="AQ907" s="18" t="s">
        <v>95</v>
      </c>
      <c r="AR907" s="18" t="s">
        <v>95</v>
      </c>
      <c r="AS907" s="18" t="s">
        <v>83</v>
      </c>
      <c r="AT907" s="18" t="s">
        <v>83</v>
      </c>
      <c r="AU907" s="18" t="s">
        <v>81</v>
      </c>
      <c r="AV907" s="18" t="s">
        <v>95</v>
      </c>
      <c r="AW907" s="18" t="s">
        <v>95</v>
      </c>
      <c r="AX907" s="18"/>
      <c r="AY907" s="18" t="str">
        <f>Pospago[[#This Row],[NUM_TELEFONICO]]&amp;"POSPAGOSI"</f>
        <v>998033145POSPAGOSI</v>
      </c>
      <c r="AZ907" s="18" t="str">
        <f>VLOOKUP(Pospago[[#This Row],[NOM_PLAZA_FINAL]],[1]!Locales[#Data],3,0)</f>
        <v>TIENDA CONDADO</v>
      </c>
      <c r="BA907" s="18" t="str">
        <f>IFERROR(VLOOKUP(Pospago[[#This Row],[USUARIO]],[1]!Personal[#Data],6,0),"EJECUTIVO NO REGISTRADO")</f>
        <v>CASTILLO AGUIRRE EDWIN MODESTO</v>
      </c>
      <c r="BB907" s="18" t="str">
        <f>Pospago[[#This Row],[TIPO_MOVIMIENTO]]&amp;" "&amp;Pospago[[#This Row],[FORMA_PAGO_FINAL]]</f>
        <v>TRANSFERENCIAS DOMICILIADO</v>
      </c>
      <c r="BC907" s="18">
        <f>DAY(Pospago[[#This Row],[FECHA_ALTA]])</f>
        <v>5</v>
      </c>
      <c r="BD907" s="18">
        <f>IF(Pospago[[#This Row],[TARIFA_BASICA]]=11.42,1,0)</f>
        <v>0</v>
      </c>
      <c r="BE907" s="18">
        <f>IF(Pospago[[#This Row],[PLANES TELEVENTAS]]="SI",1,0)</f>
        <v>0</v>
      </c>
      <c r="BF907" s="18">
        <f>1</f>
        <v>1</v>
      </c>
      <c r="BG907" s="18">
        <f>IF(OR(Pospago[[#This Row],[TARIFA_BASICA]]=11.42,Pospago[[#This Row],[PLANES TELEVENTAS]]="SI"),1,0)</f>
        <v>0</v>
      </c>
      <c r="BH907" s="18" t="str">
        <f>IF(MID(Pospago[[#This Row],[PlanDesc]],1,4) = "PLAN","POSPAGO",IF(MID(Pospago[[#This Row],[PlanDesc]],1,4)="FULL","FULL MEGAS","PREVIOPAGO"))</f>
        <v>PREVIOPAGO</v>
      </c>
      <c r="BI9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07" s="21">
        <f>Pospago[[#This Row],[TARIFA_BASICA]]*1.5</f>
        <v>21.419999999999998</v>
      </c>
    </row>
    <row r="908" spans="1:63" x14ac:dyDescent="0.25">
      <c r="A908" s="18" t="s">
        <v>64</v>
      </c>
      <c r="B908" s="18" t="s">
        <v>5704</v>
      </c>
      <c r="C908" s="18" t="s">
        <v>5705</v>
      </c>
      <c r="D908" s="19">
        <v>44908</v>
      </c>
      <c r="E908" s="18" t="s">
        <v>67</v>
      </c>
      <c r="F908" s="18" t="s">
        <v>5706</v>
      </c>
      <c r="G908" s="18" t="s">
        <v>5707</v>
      </c>
      <c r="H908" s="18" t="s">
        <v>193</v>
      </c>
      <c r="I908" s="18" t="s">
        <v>194</v>
      </c>
      <c r="J908" s="18" t="s">
        <v>195</v>
      </c>
      <c r="K908" s="18" t="s">
        <v>259</v>
      </c>
      <c r="L908" s="20" t="s">
        <v>5708</v>
      </c>
      <c r="M908" s="18" t="s">
        <v>75</v>
      </c>
      <c r="N908" s="20" t="s">
        <v>5709</v>
      </c>
      <c r="O908" s="18" t="s">
        <v>77</v>
      </c>
      <c r="P908" s="18" t="s">
        <v>78</v>
      </c>
      <c r="Q908" s="19">
        <v>44914</v>
      </c>
      <c r="R908" s="21">
        <v>14.28</v>
      </c>
      <c r="S908" s="18" t="s">
        <v>79</v>
      </c>
      <c r="T908" s="18" t="s">
        <v>148</v>
      </c>
      <c r="U908" s="18" t="s">
        <v>83</v>
      </c>
      <c r="V908" s="18" t="s">
        <v>95</v>
      </c>
      <c r="W908" s="18" t="s">
        <v>83</v>
      </c>
      <c r="X908" s="18" t="s">
        <v>118</v>
      </c>
      <c r="Y908" s="18" t="s">
        <v>85</v>
      </c>
      <c r="Z908" s="18" t="s">
        <v>86</v>
      </c>
      <c r="AA908" s="18" t="s">
        <v>119</v>
      </c>
      <c r="AB908" s="18" t="s">
        <v>318</v>
      </c>
      <c r="AC908" s="18" t="s">
        <v>319</v>
      </c>
      <c r="AD908" s="18" t="s">
        <v>85</v>
      </c>
      <c r="AE908" s="18" t="s">
        <v>90</v>
      </c>
      <c r="AF908" s="18" t="s">
        <v>151</v>
      </c>
      <c r="AG908" s="18" t="s">
        <v>92</v>
      </c>
      <c r="AH908" s="18" t="s">
        <v>93</v>
      </c>
      <c r="AI908" s="18" t="s">
        <v>94</v>
      </c>
      <c r="AJ908" s="19">
        <v>44908</v>
      </c>
      <c r="AK908" s="22" t="s">
        <v>95</v>
      </c>
      <c r="AL908" s="18" t="s">
        <v>95</v>
      </c>
      <c r="AM908" s="18" t="s">
        <v>95</v>
      </c>
      <c r="AN908" s="18" t="s">
        <v>95</v>
      </c>
      <c r="AO908" s="18" t="s">
        <v>95</v>
      </c>
      <c r="AP908" s="18" t="s">
        <v>95</v>
      </c>
      <c r="AQ908" s="18" t="s">
        <v>95</v>
      </c>
      <c r="AR908" s="18" t="s">
        <v>95</v>
      </c>
      <c r="AS908" s="18" t="s">
        <v>83</v>
      </c>
      <c r="AT908" s="18" t="s">
        <v>81</v>
      </c>
      <c r="AU908" s="18" t="s">
        <v>81</v>
      </c>
      <c r="AV908" s="18" t="s">
        <v>95</v>
      </c>
      <c r="AW908" s="18" t="s">
        <v>95</v>
      </c>
      <c r="AX908" s="18"/>
      <c r="AY908" s="18" t="str">
        <f>Pospago[[#This Row],[NUM_TELEFONICO]]&amp;"POSPAGOSI"</f>
        <v>998035874POSPAGOSI</v>
      </c>
      <c r="AZ908" s="18" t="str">
        <f>VLOOKUP(Pospago[[#This Row],[NOM_PLAZA_FINAL]],[1]!Locales[#Data],3,0)</f>
        <v>TIENDA CUENCA REMIGIO</v>
      </c>
      <c r="BA908" s="18" t="str">
        <f>IFERROR(VLOOKUP(Pospago[[#This Row],[USUARIO]],[1]!Personal[#Data],6,0),"EJECUTIVO NO REGISTRADO")</f>
        <v>RODRIGUEZ QUITO JESSICA GABRIELA</v>
      </c>
      <c r="BB908" s="18" t="str">
        <f>Pospago[[#This Row],[TIPO_MOVIMIENTO]]&amp;" "&amp;Pospago[[#This Row],[FORMA_PAGO_FINAL]]</f>
        <v>ALTAS PAGO EN CAJA</v>
      </c>
      <c r="BC908" s="18">
        <f>DAY(Pospago[[#This Row],[FECHA_ALTA]])</f>
        <v>13</v>
      </c>
      <c r="BD908" s="18">
        <f>IF(Pospago[[#This Row],[TARIFA_BASICA]]=11.42,1,0)</f>
        <v>0</v>
      </c>
      <c r="BE908" s="18">
        <f>IF(Pospago[[#This Row],[PLANES TELEVENTAS]]="SI",1,0)</f>
        <v>1</v>
      </c>
      <c r="BF908" s="18">
        <f>1</f>
        <v>1</v>
      </c>
      <c r="BG908" s="18">
        <f>IF(OR(Pospago[[#This Row],[TARIFA_BASICA]]=11.42,Pospago[[#This Row],[PLANES TELEVENTAS]]="SI"),1,0)</f>
        <v>1</v>
      </c>
      <c r="BH908" s="18" t="str">
        <f>IF(MID(Pospago[[#This Row],[PlanDesc]],1,4) = "PLAN","POSPAGO",IF(MID(Pospago[[#This Row],[PlanDesc]],1,4)="FULL","FULL MEGAS","PREVIOPAGO"))</f>
        <v>PREVIOPAGO</v>
      </c>
      <c r="BI9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9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08" s="21">
        <f>Pospago[[#This Row],[TARIFA_BASICA]]*1.5</f>
        <v>21.419999999999998</v>
      </c>
    </row>
    <row r="909" spans="1:63" x14ac:dyDescent="0.25">
      <c r="A909" s="18" t="s">
        <v>154</v>
      </c>
      <c r="B909" s="18" t="s">
        <v>5710</v>
      </c>
      <c r="C909" s="18" t="s">
        <v>5711</v>
      </c>
      <c r="D909" s="19">
        <v>44905</v>
      </c>
      <c r="E909" s="18" t="s">
        <v>67</v>
      </c>
      <c r="F909" s="18" t="s">
        <v>5712</v>
      </c>
      <c r="G909" s="18" t="s">
        <v>5713</v>
      </c>
      <c r="H909" s="18" t="s">
        <v>159</v>
      </c>
      <c r="I909" s="18" t="s">
        <v>160</v>
      </c>
      <c r="J909" s="18" t="s">
        <v>161</v>
      </c>
      <c r="K909" s="18" t="s">
        <v>132</v>
      </c>
      <c r="L909" s="20" t="s">
        <v>5714</v>
      </c>
      <c r="M909" s="18" t="s">
        <v>75</v>
      </c>
      <c r="N909" s="20" t="s">
        <v>5715</v>
      </c>
      <c r="O909" s="18" t="s">
        <v>164</v>
      </c>
      <c r="P909" s="18" t="s">
        <v>78</v>
      </c>
      <c r="Q909" s="19">
        <v>44914</v>
      </c>
      <c r="R909" s="21">
        <v>14.28</v>
      </c>
      <c r="S909" s="18" t="s">
        <v>79</v>
      </c>
      <c r="T909" s="18" t="s">
        <v>232</v>
      </c>
      <c r="U909" s="18" t="s">
        <v>83</v>
      </c>
      <c r="V909" s="18" t="s">
        <v>95</v>
      </c>
      <c r="W909" s="18" t="s">
        <v>95</v>
      </c>
      <c r="X909" s="18" t="s">
        <v>84</v>
      </c>
      <c r="Y909" s="18" t="s">
        <v>85</v>
      </c>
      <c r="Z909" s="18" t="s">
        <v>86</v>
      </c>
      <c r="AA909" s="18" t="s">
        <v>87</v>
      </c>
      <c r="AB909" s="18" t="s">
        <v>271</v>
      </c>
      <c r="AC909" s="18" t="s">
        <v>272</v>
      </c>
      <c r="AD909" s="18" t="s">
        <v>85</v>
      </c>
      <c r="AE909" s="18" t="s">
        <v>90</v>
      </c>
      <c r="AF909" s="18" t="s">
        <v>235</v>
      </c>
      <c r="AG909" s="18" t="s">
        <v>139</v>
      </c>
      <c r="AH909" s="18" t="s">
        <v>165</v>
      </c>
      <c r="AI909" s="18" t="s">
        <v>94</v>
      </c>
      <c r="AJ909" s="19">
        <v>44905</v>
      </c>
      <c r="AK909" s="22" t="s">
        <v>95</v>
      </c>
      <c r="AL909" s="18" t="s">
        <v>95</v>
      </c>
      <c r="AM909" s="18" t="s">
        <v>95</v>
      </c>
      <c r="AN909" s="18" t="s">
        <v>95</v>
      </c>
      <c r="AO909" s="18" t="s">
        <v>95</v>
      </c>
      <c r="AP909" s="18" t="s">
        <v>95</v>
      </c>
      <c r="AQ909" s="18" t="s">
        <v>95</v>
      </c>
      <c r="AR909" s="18" t="s">
        <v>95</v>
      </c>
      <c r="AS909" s="18" t="s">
        <v>83</v>
      </c>
      <c r="AT909" s="18" t="s">
        <v>83</v>
      </c>
      <c r="AU909" s="18" t="s">
        <v>81</v>
      </c>
      <c r="AV909" s="18" t="s">
        <v>95</v>
      </c>
      <c r="AW909" s="18" t="s">
        <v>95</v>
      </c>
      <c r="AX909" s="18"/>
      <c r="AY909" s="18" t="str">
        <f>Pospago[[#This Row],[NUM_TELEFONICO]]&amp;"POSPAGOSI"</f>
        <v>998045388POSPAGOSI</v>
      </c>
      <c r="AZ909" s="18" t="str">
        <f>VLOOKUP(Pospago[[#This Row],[NOM_PLAZA_FINAL]],[1]!Locales[#Data],3,0)</f>
        <v>TIENDA CONDADO</v>
      </c>
      <c r="BA909" s="18" t="str">
        <f>IFERROR(VLOOKUP(Pospago[[#This Row],[USUARIO]],[1]!Personal[#Data],6,0),"EJECUTIVO NO REGISTRADO")</f>
        <v>CASTILLO AGUIRRE EDWIN MODESTO</v>
      </c>
      <c r="BB909" s="18" t="str">
        <f>Pospago[[#This Row],[TIPO_MOVIMIENTO]]&amp;" "&amp;Pospago[[#This Row],[FORMA_PAGO_FINAL]]</f>
        <v>TRANSFERENCIAS DOMICILIADO</v>
      </c>
      <c r="BC909" s="18">
        <f>DAY(Pospago[[#This Row],[FECHA_ALTA]])</f>
        <v>10</v>
      </c>
      <c r="BD909" s="18">
        <f>IF(Pospago[[#This Row],[TARIFA_BASICA]]=11.42,1,0)</f>
        <v>0</v>
      </c>
      <c r="BE909" s="18">
        <f>IF(Pospago[[#This Row],[PLANES TELEVENTAS]]="SI",1,0)</f>
        <v>0</v>
      </c>
      <c r="BF909" s="18">
        <f>1</f>
        <v>1</v>
      </c>
      <c r="BG909" s="18">
        <f>IF(OR(Pospago[[#This Row],[TARIFA_BASICA]]=11.42,Pospago[[#This Row],[PLANES TELEVENTAS]]="SI"),1,0)</f>
        <v>0</v>
      </c>
      <c r="BH909" s="18" t="str">
        <f>IF(MID(Pospago[[#This Row],[PlanDesc]],1,4) = "PLAN","POSPAGO",IF(MID(Pospago[[#This Row],[PlanDesc]],1,4)="FULL","FULL MEGAS","PREVIOPAGO"))</f>
        <v>PREVIOPAGO</v>
      </c>
      <c r="BI9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09" s="21">
        <f>Pospago[[#This Row],[TARIFA_BASICA]]*1.5</f>
        <v>21.419999999999998</v>
      </c>
    </row>
    <row r="910" spans="1:63" x14ac:dyDescent="0.25">
      <c r="A910" s="18" t="s">
        <v>64</v>
      </c>
      <c r="B910" s="18" t="s">
        <v>5716</v>
      </c>
      <c r="C910" s="18" t="s">
        <v>5717</v>
      </c>
      <c r="D910" s="19">
        <v>44906</v>
      </c>
      <c r="E910" s="18" t="s">
        <v>67</v>
      </c>
      <c r="F910" s="18" t="s">
        <v>5718</v>
      </c>
      <c r="G910" s="18" t="s">
        <v>5719</v>
      </c>
      <c r="H910" s="18" t="s">
        <v>70</v>
      </c>
      <c r="I910" s="18" t="s">
        <v>112</v>
      </c>
      <c r="J910" s="18" t="s">
        <v>113</v>
      </c>
      <c r="K910" s="18" t="s">
        <v>259</v>
      </c>
      <c r="L910" s="20" t="s">
        <v>5720</v>
      </c>
      <c r="M910" s="18" t="s">
        <v>75</v>
      </c>
      <c r="N910" s="20" t="s">
        <v>5721</v>
      </c>
      <c r="O910" s="18" t="s">
        <v>77</v>
      </c>
      <c r="P910" s="18" t="s">
        <v>78</v>
      </c>
      <c r="Q910" s="19">
        <v>44914</v>
      </c>
      <c r="R910" s="21">
        <v>17.850000000000001</v>
      </c>
      <c r="S910" s="18" t="s">
        <v>79</v>
      </c>
      <c r="T910" s="18" t="s">
        <v>174</v>
      </c>
      <c r="U910" s="18" t="s">
        <v>83</v>
      </c>
      <c r="V910" s="18" t="s">
        <v>95</v>
      </c>
      <c r="W910" s="18" t="s">
        <v>83</v>
      </c>
      <c r="X910" s="18" t="s">
        <v>84</v>
      </c>
      <c r="Y910" s="18" t="s">
        <v>85</v>
      </c>
      <c r="Z910" s="18" t="s">
        <v>86</v>
      </c>
      <c r="AA910" s="18" t="s">
        <v>87</v>
      </c>
      <c r="AB910" s="18" t="s">
        <v>760</v>
      </c>
      <c r="AC910" s="18" t="s">
        <v>761</v>
      </c>
      <c r="AD910" s="18" t="s">
        <v>85</v>
      </c>
      <c r="AE910" s="18" t="s">
        <v>90</v>
      </c>
      <c r="AF910" s="18" t="s">
        <v>177</v>
      </c>
      <c r="AG910" s="18" t="s">
        <v>139</v>
      </c>
      <c r="AH910" s="18" t="s">
        <v>93</v>
      </c>
      <c r="AI910" s="18" t="s">
        <v>94</v>
      </c>
      <c r="AJ910" s="19">
        <v>44906</v>
      </c>
      <c r="AK910" s="22" t="s">
        <v>95</v>
      </c>
      <c r="AL910" s="18" t="s">
        <v>95</v>
      </c>
      <c r="AM910" s="18" t="s">
        <v>95</v>
      </c>
      <c r="AN910" s="18" t="s">
        <v>95</v>
      </c>
      <c r="AO910" s="18" t="s">
        <v>95</v>
      </c>
      <c r="AP910" s="18" t="s">
        <v>95</v>
      </c>
      <c r="AQ910" s="18" t="s">
        <v>95</v>
      </c>
      <c r="AR910" s="18" t="s">
        <v>95</v>
      </c>
      <c r="AS910" s="18" t="s">
        <v>83</v>
      </c>
      <c r="AT910" s="18" t="s">
        <v>83</v>
      </c>
      <c r="AU910" s="18" t="s">
        <v>81</v>
      </c>
      <c r="AV910" s="18" t="s">
        <v>95</v>
      </c>
      <c r="AW910" s="18" t="s">
        <v>95</v>
      </c>
      <c r="AX910" s="18"/>
      <c r="AY910" s="18" t="str">
        <f>Pospago[[#This Row],[NUM_TELEFONICO]]&amp;"POSPAGOSI"</f>
        <v>998061446POSPAGOSI</v>
      </c>
      <c r="AZ910" s="18" t="str">
        <f>VLOOKUP(Pospago[[#This Row],[NOM_PLAZA_FINAL]],[1]!Locales[#Data],3,0)</f>
        <v>TIENDA RECREO</v>
      </c>
      <c r="BA910" s="18" t="str">
        <f>IFERROR(VLOOKUP(Pospago[[#This Row],[USUARIO]],[1]!Personal[#Data],6,0),"EJECUTIVO NO REGISTRADO")</f>
        <v>VALBUENA SANCHEZ ALBERT ANTHONY</v>
      </c>
      <c r="BB910" s="18" t="str">
        <f>Pospago[[#This Row],[TIPO_MOVIMIENTO]]&amp;" "&amp;Pospago[[#This Row],[FORMA_PAGO_FINAL]]</f>
        <v>ALTAS DOMICILIADO</v>
      </c>
      <c r="BC910" s="18">
        <f>DAY(Pospago[[#This Row],[FECHA_ALTA]])</f>
        <v>11</v>
      </c>
      <c r="BD910" s="18">
        <f>IF(Pospago[[#This Row],[TARIFA_BASICA]]=11.42,1,0)</f>
        <v>0</v>
      </c>
      <c r="BE910" s="18">
        <f>IF(Pospago[[#This Row],[PLANES TELEVENTAS]]="SI",1,0)</f>
        <v>0</v>
      </c>
      <c r="BF910" s="18">
        <f>1</f>
        <v>1</v>
      </c>
      <c r="BG910" s="18">
        <f>IF(OR(Pospago[[#This Row],[TARIFA_BASICA]]=11.42,Pospago[[#This Row],[PLANES TELEVENTAS]]="SI"),1,0)</f>
        <v>0</v>
      </c>
      <c r="BH910" s="18" t="str">
        <f>IF(MID(Pospago[[#This Row],[PlanDesc]],1,4) = "PLAN","POSPAGO",IF(MID(Pospago[[#This Row],[PlanDesc]],1,4)="FULL","FULL MEGAS","PREVIOPAGO"))</f>
        <v>PREVIOPAGO</v>
      </c>
      <c r="BI9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9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10" s="21">
        <f>Pospago[[#This Row],[TARIFA_BASICA]]*1.5</f>
        <v>26.775000000000002</v>
      </c>
    </row>
    <row r="911" spans="1:63" x14ac:dyDescent="0.25">
      <c r="A911" s="18" t="s">
        <v>154</v>
      </c>
      <c r="B911" s="18" t="s">
        <v>5722</v>
      </c>
      <c r="C911" s="18" t="s">
        <v>5723</v>
      </c>
      <c r="D911" s="19">
        <v>44897</v>
      </c>
      <c r="E911" s="18" t="s">
        <v>67</v>
      </c>
      <c r="F911" s="18" t="s">
        <v>5724</v>
      </c>
      <c r="G911" s="18" t="s">
        <v>5725</v>
      </c>
      <c r="H911" s="18" t="s">
        <v>159</v>
      </c>
      <c r="I911" s="18" t="s">
        <v>71</v>
      </c>
      <c r="J911" s="18" t="s">
        <v>258</v>
      </c>
      <c r="K911" s="18" t="s">
        <v>95</v>
      </c>
      <c r="L911" s="20" t="s">
        <v>5726</v>
      </c>
      <c r="M911" s="18" t="s">
        <v>75</v>
      </c>
      <c r="N911" s="20" t="s">
        <v>5727</v>
      </c>
      <c r="O911" s="18" t="s">
        <v>164</v>
      </c>
      <c r="P911" s="18" t="s">
        <v>78</v>
      </c>
      <c r="Q911" s="19">
        <v>44914</v>
      </c>
      <c r="R911" s="21">
        <v>11.42</v>
      </c>
      <c r="S911" s="18" t="s">
        <v>79</v>
      </c>
      <c r="T911" s="18" t="s">
        <v>174</v>
      </c>
      <c r="U911" s="18" t="s">
        <v>83</v>
      </c>
      <c r="V911" s="18" t="s">
        <v>95</v>
      </c>
      <c r="W911" s="18" t="s">
        <v>95</v>
      </c>
      <c r="X911" s="18" t="s">
        <v>118</v>
      </c>
      <c r="Y911" s="18" t="s">
        <v>85</v>
      </c>
      <c r="Z911" s="18" t="s">
        <v>86</v>
      </c>
      <c r="AA911" s="18" t="s">
        <v>119</v>
      </c>
      <c r="AB911" s="18" t="s">
        <v>251</v>
      </c>
      <c r="AC911" s="18" t="s">
        <v>252</v>
      </c>
      <c r="AD911" s="18" t="s">
        <v>85</v>
      </c>
      <c r="AE911" s="18" t="s">
        <v>90</v>
      </c>
      <c r="AF911" s="18" t="s">
        <v>177</v>
      </c>
      <c r="AG911" s="18" t="s">
        <v>139</v>
      </c>
      <c r="AH911" s="18" t="s">
        <v>165</v>
      </c>
      <c r="AI911" s="18" t="s">
        <v>94</v>
      </c>
      <c r="AJ911" s="19">
        <v>44897</v>
      </c>
      <c r="AK911" s="22" t="s">
        <v>95</v>
      </c>
      <c r="AL911" s="18" t="s">
        <v>95</v>
      </c>
      <c r="AM911" s="18" t="s">
        <v>95</v>
      </c>
      <c r="AN911" s="18" t="s">
        <v>95</v>
      </c>
      <c r="AO911" s="18" t="s">
        <v>95</v>
      </c>
      <c r="AP911" s="18" t="s">
        <v>95</v>
      </c>
      <c r="AQ911" s="18" t="s">
        <v>95</v>
      </c>
      <c r="AR911" s="18" t="s">
        <v>95</v>
      </c>
      <c r="AS911" s="18" t="s">
        <v>83</v>
      </c>
      <c r="AT911" s="18" t="s">
        <v>83</v>
      </c>
      <c r="AU911" s="18" t="s">
        <v>81</v>
      </c>
      <c r="AV911" s="18" t="s">
        <v>95</v>
      </c>
      <c r="AW911" s="18" t="s">
        <v>95</v>
      </c>
      <c r="AX911" s="18"/>
      <c r="AY911" s="18" t="str">
        <f>Pospago[[#This Row],[NUM_TELEFONICO]]&amp;"POSPAGOSI"</f>
        <v>998062780POSPAGOSI</v>
      </c>
      <c r="AZ911" s="18" t="str">
        <f>VLOOKUP(Pospago[[#This Row],[NOM_PLAZA_FINAL]],[1]!Locales[#Data],3,0)</f>
        <v>TIENDA RECREO</v>
      </c>
      <c r="BA911" s="18" t="str">
        <f>IFERROR(VLOOKUP(Pospago[[#This Row],[USUARIO]],[1]!Personal[#Data],6,0),"EJECUTIVO NO REGISTRADO")</f>
        <v>CRUZ MONTUFAR KATHERINE ALEJANDRA</v>
      </c>
      <c r="BB911" s="18" t="str">
        <f>Pospago[[#This Row],[TIPO_MOVIMIENTO]]&amp;" "&amp;Pospago[[#This Row],[FORMA_PAGO_FINAL]]</f>
        <v>TRANSFERENCIAS PAGO EN CAJA</v>
      </c>
      <c r="BC911" s="18">
        <f>DAY(Pospago[[#This Row],[FECHA_ALTA]])</f>
        <v>2</v>
      </c>
      <c r="BD911" s="18">
        <f>IF(Pospago[[#This Row],[TARIFA_BASICA]]=11.42,1,0)</f>
        <v>1</v>
      </c>
      <c r="BE911" s="18">
        <f>IF(Pospago[[#This Row],[PLANES TELEVENTAS]]="SI",1,0)</f>
        <v>0</v>
      </c>
      <c r="BF911" s="18">
        <f>1</f>
        <v>1</v>
      </c>
      <c r="BG911" s="18">
        <f>IF(OR(Pospago[[#This Row],[TARIFA_BASICA]]=11.42,Pospago[[#This Row],[PLANES TELEVENTAS]]="SI"),1,0)</f>
        <v>1</v>
      </c>
      <c r="BH911" s="18" t="str">
        <f>IF(MID(Pospago[[#This Row],[PlanDesc]],1,4) = "PLAN","POSPAGO",IF(MID(Pospago[[#This Row],[PlanDesc]],1,4)="FULL","FULL MEGAS","PREVIOPAGO"))</f>
        <v>PREVIOPAGO</v>
      </c>
      <c r="BI9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9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11" s="21">
        <f>Pospago[[#This Row],[TARIFA_BASICA]]*1.5</f>
        <v>17.13</v>
      </c>
    </row>
    <row r="912" spans="1:63" x14ac:dyDescent="0.25">
      <c r="A912" s="18" t="s">
        <v>64</v>
      </c>
      <c r="B912" s="18" t="s">
        <v>5728</v>
      </c>
      <c r="C912" s="18" t="s">
        <v>5729</v>
      </c>
      <c r="D912" s="19">
        <v>44897</v>
      </c>
      <c r="E912" s="18" t="s">
        <v>67</v>
      </c>
      <c r="F912" s="18" t="s">
        <v>5730</v>
      </c>
      <c r="G912" s="18" t="s">
        <v>5731</v>
      </c>
      <c r="H912" s="18" t="s">
        <v>70</v>
      </c>
      <c r="I912" s="18" t="s">
        <v>130</v>
      </c>
      <c r="J912" s="18" t="s">
        <v>131</v>
      </c>
      <c r="K912" s="18" t="s">
        <v>95</v>
      </c>
      <c r="L912" s="20" t="s">
        <v>5732</v>
      </c>
      <c r="M912" s="18" t="s">
        <v>75</v>
      </c>
      <c r="N912" s="20" t="s">
        <v>5733</v>
      </c>
      <c r="O912" s="18" t="s">
        <v>77</v>
      </c>
      <c r="P912" s="18" t="s">
        <v>78</v>
      </c>
      <c r="Q912" s="19">
        <v>44914</v>
      </c>
      <c r="R912" s="21">
        <v>15</v>
      </c>
      <c r="S912" s="18" t="s">
        <v>79</v>
      </c>
      <c r="T912" s="18" t="s">
        <v>148</v>
      </c>
      <c r="U912" s="18" t="s">
        <v>83</v>
      </c>
      <c r="V912" s="18" t="s">
        <v>95</v>
      </c>
      <c r="W912" s="18" t="s">
        <v>83</v>
      </c>
      <c r="X912" s="18" t="s">
        <v>118</v>
      </c>
      <c r="Y912" s="18" t="s">
        <v>85</v>
      </c>
      <c r="Z912" s="18" t="s">
        <v>86</v>
      </c>
      <c r="AA912" s="18" t="s">
        <v>119</v>
      </c>
      <c r="AB912" s="18" t="s">
        <v>318</v>
      </c>
      <c r="AC912" s="18" t="s">
        <v>319</v>
      </c>
      <c r="AD912" s="18" t="s">
        <v>85</v>
      </c>
      <c r="AE912" s="18" t="s">
        <v>90</v>
      </c>
      <c r="AF912" s="18" t="s">
        <v>151</v>
      </c>
      <c r="AG912" s="18" t="s">
        <v>92</v>
      </c>
      <c r="AH912" s="18" t="s">
        <v>93</v>
      </c>
      <c r="AI912" s="18" t="s">
        <v>94</v>
      </c>
      <c r="AJ912" s="19">
        <v>44897</v>
      </c>
      <c r="AK912" s="22" t="s">
        <v>95</v>
      </c>
      <c r="AL912" s="18" t="s">
        <v>95</v>
      </c>
      <c r="AM912" s="18" t="s">
        <v>95</v>
      </c>
      <c r="AN912" s="18" t="s">
        <v>95</v>
      </c>
      <c r="AO912" s="18" t="s">
        <v>95</v>
      </c>
      <c r="AP912" s="18" t="s">
        <v>95</v>
      </c>
      <c r="AQ912" s="18" t="s">
        <v>95</v>
      </c>
      <c r="AR912" s="18" t="s">
        <v>95</v>
      </c>
      <c r="AS912" s="18" t="s">
        <v>83</v>
      </c>
      <c r="AT912" s="18" t="s">
        <v>83</v>
      </c>
      <c r="AU912" s="18" t="s">
        <v>81</v>
      </c>
      <c r="AV912" s="18" t="s">
        <v>95</v>
      </c>
      <c r="AW912" s="18" t="s">
        <v>95</v>
      </c>
      <c r="AX912" s="18"/>
      <c r="AY912" s="18" t="str">
        <f>Pospago[[#This Row],[NUM_TELEFONICO]]&amp;"POSPAGOSI"</f>
        <v>998075517POSPAGOSI</v>
      </c>
      <c r="AZ912" s="18" t="str">
        <f>VLOOKUP(Pospago[[#This Row],[NOM_PLAZA_FINAL]],[1]!Locales[#Data],3,0)</f>
        <v>TIENDA CUENCA REMIGIO</v>
      </c>
      <c r="BA912" s="18" t="str">
        <f>IFERROR(VLOOKUP(Pospago[[#This Row],[USUARIO]],[1]!Personal[#Data],6,0),"EJECUTIVO NO REGISTRADO")</f>
        <v>RODRIGUEZ QUITO JESSICA GABRIELA</v>
      </c>
      <c r="BB912" s="18" t="str">
        <f>Pospago[[#This Row],[TIPO_MOVIMIENTO]]&amp;" "&amp;Pospago[[#This Row],[FORMA_PAGO_FINAL]]</f>
        <v>ALTAS PAGO EN CAJA</v>
      </c>
      <c r="BC912" s="18">
        <f>DAY(Pospago[[#This Row],[FECHA_ALTA]])</f>
        <v>2</v>
      </c>
      <c r="BD912" s="18">
        <f>IF(Pospago[[#This Row],[TARIFA_BASICA]]=11.42,1,0)</f>
        <v>0</v>
      </c>
      <c r="BE912" s="18">
        <f>IF(Pospago[[#This Row],[PLANES TELEVENTAS]]="SI",1,0)</f>
        <v>0</v>
      </c>
      <c r="BF912" s="18">
        <f>1</f>
        <v>1</v>
      </c>
      <c r="BG912" s="18">
        <f>IF(OR(Pospago[[#This Row],[TARIFA_BASICA]]=11.42,Pospago[[#This Row],[PLANES TELEVENTAS]]="SI"),1,0)</f>
        <v>0</v>
      </c>
      <c r="BH912" s="18" t="str">
        <f>IF(MID(Pospago[[#This Row],[PlanDesc]],1,4) = "PLAN","POSPAGO",IF(MID(Pospago[[#This Row],[PlanDesc]],1,4)="FULL","FULL MEGAS","PREVIOPAGO"))</f>
        <v>PREVIOPAGO</v>
      </c>
      <c r="BI9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9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12" s="21">
        <f>Pospago[[#This Row],[TARIFA_BASICA]]*1.5</f>
        <v>22.5</v>
      </c>
    </row>
    <row r="913" spans="1:63" x14ac:dyDescent="0.25">
      <c r="A913" s="18" t="s">
        <v>64</v>
      </c>
      <c r="B913" s="18" t="s">
        <v>5734</v>
      </c>
      <c r="C913" s="18" t="s">
        <v>5735</v>
      </c>
      <c r="D913" s="19">
        <v>44910</v>
      </c>
      <c r="E913" s="18" t="s">
        <v>67</v>
      </c>
      <c r="F913" s="18" t="s">
        <v>5736</v>
      </c>
      <c r="G913" s="18" t="s">
        <v>5737</v>
      </c>
      <c r="H913" s="18" t="s">
        <v>70</v>
      </c>
      <c r="I913" s="18" t="s">
        <v>160</v>
      </c>
      <c r="J913" s="18" t="s">
        <v>195</v>
      </c>
      <c r="K913" s="18" t="s">
        <v>132</v>
      </c>
      <c r="L913" s="20" t="s">
        <v>5738</v>
      </c>
      <c r="M913" s="18" t="s">
        <v>75</v>
      </c>
      <c r="N913" s="20" t="s">
        <v>5739</v>
      </c>
      <c r="O913" s="18" t="s">
        <v>77</v>
      </c>
      <c r="P913" s="18" t="s">
        <v>78</v>
      </c>
      <c r="Q913" s="19">
        <v>44914</v>
      </c>
      <c r="R913" s="21">
        <v>14.28</v>
      </c>
      <c r="S913" s="18" t="s">
        <v>79</v>
      </c>
      <c r="T913" s="18" t="s">
        <v>174</v>
      </c>
      <c r="U913" s="18" t="s">
        <v>83</v>
      </c>
      <c r="V913" s="18" t="s">
        <v>95</v>
      </c>
      <c r="W913" s="18" t="s">
        <v>83</v>
      </c>
      <c r="X913" s="18" t="s">
        <v>215</v>
      </c>
      <c r="Y913" s="18" t="s">
        <v>85</v>
      </c>
      <c r="Z913" s="18" t="s">
        <v>86</v>
      </c>
      <c r="AA913" s="18" t="s">
        <v>87</v>
      </c>
      <c r="AB913" s="18" t="s">
        <v>1315</v>
      </c>
      <c r="AC913" s="18" t="s">
        <v>1316</v>
      </c>
      <c r="AD913" s="18" t="s">
        <v>85</v>
      </c>
      <c r="AE913" s="18" t="s">
        <v>90</v>
      </c>
      <c r="AF913" s="18" t="s">
        <v>177</v>
      </c>
      <c r="AG913" s="18" t="s">
        <v>139</v>
      </c>
      <c r="AH913" s="18" t="s">
        <v>93</v>
      </c>
      <c r="AI913" s="18" t="s">
        <v>94</v>
      </c>
      <c r="AJ913" s="19">
        <v>44910</v>
      </c>
      <c r="AK913" s="22" t="s">
        <v>95</v>
      </c>
      <c r="AL913" s="18" t="s">
        <v>95</v>
      </c>
      <c r="AM913" s="18" t="s">
        <v>95</v>
      </c>
      <c r="AN913" s="18" t="s">
        <v>95</v>
      </c>
      <c r="AO913" s="18" t="s">
        <v>95</v>
      </c>
      <c r="AP913" s="18" t="s">
        <v>95</v>
      </c>
      <c r="AQ913" s="18" t="s">
        <v>95</v>
      </c>
      <c r="AR913" s="18" t="s">
        <v>95</v>
      </c>
      <c r="AS913" s="18" t="s">
        <v>83</v>
      </c>
      <c r="AT913" s="18" t="s">
        <v>83</v>
      </c>
      <c r="AU913" s="18" t="s">
        <v>81</v>
      </c>
      <c r="AV913" s="18" t="s">
        <v>95</v>
      </c>
      <c r="AW913" s="18" t="s">
        <v>95</v>
      </c>
      <c r="AX913" s="18"/>
      <c r="AY913" s="18" t="str">
        <f>Pospago[[#This Row],[NUM_TELEFONICO]]&amp;"POSPAGOSI"</f>
        <v>998082222POSPAGOSI</v>
      </c>
      <c r="AZ913" s="18" t="str">
        <f>VLOOKUP(Pospago[[#This Row],[NOM_PLAZA_FINAL]],[1]!Locales[#Data],3,0)</f>
        <v>TIENDA RECREO</v>
      </c>
      <c r="BA913" s="18" t="str">
        <f>IFERROR(VLOOKUP(Pospago[[#This Row],[USUARIO]],[1]!Personal[#Data],6,0),"EJECUTIVO NO REGISTRADO")</f>
        <v>ORTEGA  NATALIE MÉNDEZ</v>
      </c>
      <c r="BB913" s="18" t="str">
        <f>Pospago[[#This Row],[TIPO_MOVIMIENTO]]&amp;" "&amp;Pospago[[#This Row],[FORMA_PAGO_FINAL]]</f>
        <v>ALTAS DOMICILIADO</v>
      </c>
      <c r="BC913" s="18">
        <f>DAY(Pospago[[#This Row],[FECHA_ALTA]])</f>
        <v>15</v>
      </c>
      <c r="BD913" s="18">
        <f>IF(Pospago[[#This Row],[TARIFA_BASICA]]=11.42,1,0)</f>
        <v>0</v>
      </c>
      <c r="BE913" s="18">
        <f>IF(Pospago[[#This Row],[PLANES TELEVENTAS]]="SI",1,0)</f>
        <v>0</v>
      </c>
      <c r="BF913" s="18">
        <f>1</f>
        <v>1</v>
      </c>
      <c r="BG913" s="18">
        <f>IF(OR(Pospago[[#This Row],[TARIFA_BASICA]]=11.42,Pospago[[#This Row],[PLANES TELEVENTAS]]="SI"),1,0)</f>
        <v>0</v>
      </c>
      <c r="BH913" s="18" t="str">
        <f>IF(MID(Pospago[[#This Row],[PlanDesc]],1,4) = "PLAN","POSPAGO",IF(MID(Pospago[[#This Row],[PlanDesc]],1,4)="FULL","FULL MEGAS","PREVIOPAGO"))</f>
        <v>PREVIOPAGO</v>
      </c>
      <c r="BI9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13" s="21">
        <f>Pospago[[#This Row],[TARIFA_BASICA]]*1.5</f>
        <v>21.419999999999998</v>
      </c>
    </row>
    <row r="914" spans="1:63" x14ac:dyDescent="0.25">
      <c r="A914" s="18" t="s">
        <v>154</v>
      </c>
      <c r="B914" s="18" t="s">
        <v>5740</v>
      </c>
      <c r="C914" s="18" t="s">
        <v>5741</v>
      </c>
      <c r="D914" s="19">
        <v>44899</v>
      </c>
      <c r="E914" s="18" t="s">
        <v>67</v>
      </c>
      <c r="F914" s="18" t="s">
        <v>5742</v>
      </c>
      <c r="G914" s="18" t="s">
        <v>5743</v>
      </c>
      <c r="H914" s="18" t="s">
        <v>159</v>
      </c>
      <c r="I914" s="18" t="s">
        <v>71</v>
      </c>
      <c r="J914" s="18" t="s">
        <v>258</v>
      </c>
      <c r="K914" s="18" t="s">
        <v>132</v>
      </c>
      <c r="L914" s="20" t="s">
        <v>5744</v>
      </c>
      <c r="M914" s="18" t="s">
        <v>287</v>
      </c>
      <c r="N914" s="20" t="s">
        <v>5745</v>
      </c>
      <c r="O914" s="18" t="s">
        <v>164</v>
      </c>
      <c r="P914" s="18" t="s">
        <v>78</v>
      </c>
      <c r="Q914" s="19">
        <v>44914</v>
      </c>
      <c r="R914" s="21">
        <v>11.42</v>
      </c>
      <c r="S914" s="18" t="s">
        <v>79</v>
      </c>
      <c r="T914" s="18" t="s">
        <v>174</v>
      </c>
      <c r="U914" s="18" t="s">
        <v>83</v>
      </c>
      <c r="V914" s="18" t="s">
        <v>95</v>
      </c>
      <c r="W914" s="18" t="s">
        <v>95</v>
      </c>
      <c r="X914" s="18" t="s">
        <v>215</v>
      </c>
      <c r="Y914" s="18" t="s">
        <v>85</v>
      </c>
      <c r="Z914" s="18" t="s">
        <v>86</v>
      </c>
      <c r="AA914" s="18" t="s">
        <v>87</v>
      </c>
      <c r="AB914" s="18" t="s">
        <v>175</v>
      </c>
      <c r="AC914" s="18" t="s">
        <v>176</v>
      </c>
      <c r="AD914" s="18" t="s">
        <v>85</v>
      </c>
      <c r="AE914" s="18" t="s">
        <v>90</v>
      </c>
      <c r="AF914" s="18" t="s">
        <v>177</v>
      </c>
      <c r="AG914" s="18" t="s">
        <v>139</v>
      </c>
      <c r="AH914" s="18" t="s">
        <v>165</v>
      </c>
      <c r="AI914" s="18" t="s">
        <v>94</v>
      </c>
      <c r="AJ914" s="19">
        <v>44899</v>
      </c>
      <c r="AK914" s="22">
        <v>44899</v>
      </c>
      <c r="AL914" s="18" t="s">
        <v>291</v>
      </c>
      <c r="AM914" s="18" t="s">
        <v>292</v>
      </c>
      <c r="AN914" s="18" t="s">
        <v>494</v>
      </c>
      <c r="AO914" s="18" t="s">
        <v>543</v>
      </c>
      <c r="AP914" s="18">
        <v>1</v>
      </c>
      <c r="AQ914" s="18">
        <v>156.25</v>
      </c>
      <c r="AR914" s="18" t="s">
        <v>496</v>
      </c>
      <c r="AS914" s="18" t="s">
        <v>81</v>
      </c>
      <c r="AT914" s="18" t="s">
        <v>83</v>
      </c>
      <c r="AU914" s="18" t="s">
        <v>81</v>
      </c>
      <c r="AV914" s="18" t="s">
        <v>95</v>
      </c>
      <c r="AW914" s="18" t="s">
        <v>95</v>
      </c>
      <c r="AX914" s="18"/>
      <c r="AY914" s="18" t="str">
        <f>Pospago[[#This Row],[NUM_TELEFONICO]]&amp;"POSPAGOSI"</f>
        <v>998085176POSPAGOSI</v>
      </c>
      <c r="AZ914" s="18" t="str">
        <f>VLOOKUP(Pospago[[#This Row],[NOM_PLAZA_FINAL]],[1]!Locales[#Data],3,0)</f>
        <v>TIENDA RECREO</v>
      </c>
      <c r="BA914" s="18" t="str">
        <f>IFERROR(VLOOKUP(Pospago[[#This Row],[USUARIO]],[1]!Personal[#Data],6,0),"EJECUTIVO NO REGISTRADO")</f>
        <v>VARGAS REYES LUIS EDUARDO</v>
      </c>
      <c r="BB914" s="18" t="str">
        <f>Pospago[[#This Row],[TIPO_MOVIMIENTO]]&amp;" "&amp;Pospago[[#This Row],[FORMA_PAGO_FINAL]]</f>
        <v>TRANSFERENCIAS DOMICILIADO</v>
      </c>
      <c r="BC914" s="18">
        <f>DAY(Pospago[[#This Row],[FECHA_ALTA]])</f>
        <v>4</v>
      </c>
      <c r="BD914" s="18">
        <f>IF(Pospago[[#This Row],[TARIFA_BASICA]]=11.42,1,0)</f>
        <v>1</v>
      </c>
      <c r="BE914" s="18">
        <f>IF(Pospago[[#This Row],[PLANES TELEVENTAS]]="SI",1,0)</f>
        <v>0</v>
      </c>
      <c r="BF914" s="18">
        <f>1</f>
        <v>1</v>
      </c>
      <c r="BG914" s="18">
        <f>IF(OR(Pospago[[#This Row],[TARIFA_BASICA]]=11.42,Pospago[[#This Row],[PLANES TELEVENTAS]]="SI"),1,0)</f>
        <v>1</v>
      </c>
      <c r="BH914" s="18" t="str">
        <f>IF(MID(Pospago[[#This Row],[PlanDesc]],1,4) = "PLAN","POSPAGO",IF(MID(Pospago[[#This Row],[PlanDesc]],1,4)="FULL","FULL MEGAS","PREVIOPAGO"))</f>
        <v>PREVIOPAGO</v>
      </c>
      <c r="BI9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9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14" s="21">
        <f>Pospago[[#This Row],[TARIFA_BASICA]]*1.5</f>
        <v>17.13</v>
      </c>
    </row>
    <row r="915" spans="1:63" x14ac:dyDescent="0.25">
      <c r="A915" s="18" t="s">
        <v>154</v>
      </c>
      <c r="B915" s="18" t="s">
        <v>5746</v>
      </c>
      <c r="C915" s="18" t="s">
        <v>5747</v>
      </c>
      <c r="D915" s="19">
        <v>44904</v>
      </c>
      <c r="E915" s="18" t="s">
        <v>67</v>
      </c>
      <c r="F915" s="18" t="s">
        <v>5748</v>
      </c>
      <c r="G915" s="18" t="s">
        <v>5749</v>
      </c>
      <c r="H915" s="18" t="s">
        <v>159</v>
      </c>
      <c r="I915" s="18" t="s">
        <v>71</v>
      </c>
      <c r="J915" s="18" t="s">
        <v>258</v>
      </c>
      <c r="K915" s="18" t="s">
        <v>132</v>
      </c>
      <c r="L915" s="20" t="s">
        <v>5750</v>
      </c>
      <c r="M915" s="18" t="s">
        <v>75</v>
      </c>
      <c r="N915" s="20" t="s">
        <v>5751</v>
      </c>
      <c r="O915" s="18" t="s">
        <v>164</v>
      </c>
      <c r="P915" s="18" t="s">
        <v>78</v>
      </c>
      <c r="Q915" s="19">
        <v>44914</v>
      </c>
      <c r="R915" s="21">
        <v>11.42</v>
      </c>
      <c r="S915" s="18" t="s">
        <v>79</v>
      </c>
      <c r="T915" s="18" t="s">
        <v>148</v>
      </c>
      <c r="U915" s="18" t="s">
        <v>83</v>
      </c>
      <c r="V915" s="18" t="s">
        <v>95</v>
      </c>
      <c r="W915" s="18" t="s">
        <v>95</v>
      </c>
      <c r="X915" s="18" t="s">
        <v>118</v>
      </c>
      <c r="Y915" s="18" t="s">
        <v>85</v>
      </c>
      <c r="Z915" s="18" t="s">
        <v>86</v>
      </c>
      <c r="AA915" s="18" t="s">
        <v>119</v>
      </c>
      <c r="AB915" s="18" t="s">
        <v>318</v>
      </c>
      <c r="AC915" s="18" t="s">
        <v>319</v>
      </c>
      <c r="AD915" s="18" t="s">
        <v>85</v>
      </c>
      <c r="AE915" s="18" t="s">
        <v>90</v>
      </c>
      <c r="AF915" s="18" t="s">
        <v>151</v>
      </c>
      <c r="AG915" s="18" t="s">
        <v>92</v>
      </c>
      <c r="AH915" s="18" t="s">
        <v>165</v>
      </c>
      <c r="AI915" s="18" t="s">
        <v>94</v>
      </c>
      <c r="AJ915" s="19">
        <v>44904</v>
      </c>
      <c r="AK915" s="22" t="s">
        <v>95</v>
      </c>
      <c r="AL915" s="18" t="s">
        <v>95</v>
      </c>
      <c r="AM915" s="18" t="s">
        <v>95</v>
      </c>
      <c r="AN915" s="18" t="s">
        <v>95</v>
      </c>
      <c r="AO915" s="18" t="s">
        <v>95</v>
      </c>
      <c r="AP915" s="18" t="s">
        <v>95</v>
      </c>
      <c r="AQ915" s="18" t="s">
        <v>95</v>
      </c>
      <c r="AR915" s="18" t="s">
        <v>95</v>
      </c>
      <c r="AS915" s="18" t="s">
        <v>83</v>
      </c>
      <c r="AT915" s="18" t="s">
        <v>83</v>
      </c>
      <c r="AU915" s="18" t="s">
        <v>81</v>
      </c>
      <c r="AV915" s="18" t="s">
        <v>95</v>
      </c>
      <c r="AW915" s="18" t="s">
        <v>95</v>
      </c>
      <c r="AX915" s="18"/>
      <c r="AY915" s="18" t="str">
        <f>Pospago[[#This Row],[NUM_TELEFONICO]]&amp;"POSPAGOSI"</f>
        <v>998086680POSPAGOSI</v>
      </c>
      <c r="AZ915" s="18" t="str">
        <f>VLOOKUP(Pospago[[#This Row],[NOM_PLAZA_FINAL]],[1]!Locales[#Data],3,0)</f>
        <v>TIENDA CUENCA REMIGIO</v>
      </c>
      <c r="BA915" s="18" t="str">
        <f>IFERROR(VLOOKUP(Pospago[[#This Row],[USUARIO]],[1]!Personal[#Data],6,0),"EJECUTIVO NO REGISTRADO")</f>
        <v>RODRIGUEZ QUITO JESSICA GABRIELA</v>
      </c>
      <c r="BB915" s="18" t="str">
        <f>Pospago[[#This Row],[TIPO_MOVIMIENTO]]&amp;" "&amp;Pospago[[#This Row],[FORMA_PAGO_FINAL]]</f>
        <v>TRANSFERENCIAS PAGO EN CAJA</v>
      </c>
      <c r="BC915" s="18">
        <f>DAY(Pospago[[#This Row],[FECHA_ALTA]])</f>
        <v>9</v>
      </c>
      <c r="BD915" s="18">
        <f>IF(Pospago[[#This Row],[TARIFA_BASICA]]=11.42,1,0)</f>
        <v>1</v>
      </c>
      <c r="BE915" s="18">
        <f>IF(Pospago[[#This Row],[PLANES TELEVENTAS]]="SI",1,0)</f>
        <v>0</v>
      </c>
      <c r="BF915" s="18">
        <f>1</f>
        <v>1</v>
      </c>
      <c r="BG915" s="18">
        <f>IF(OR(Pospago[[#This Row],[TARIFA_BASICA]]=11.42,Pospago[[#This Row],[PLANES TELEVENTAS]]="SI"),1,0)</f>
        <v>1</v>
      </c>
      <c r="BH915" s="18" t="str">
        <f>IF(MID(Pospago[[#This Row],[PlanDesc]],1,4) = "PLAN","POSPAGO",IF(MID(Pospago[[#This Row],[PlanDesc]],1,4)="FULL","FULL MEGAS","PREVIOPAGO"))</f>
        <v>PREVIOPAGO</v>
      </c>
      <c r="BI9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9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15" s="21">
        <f>Pospago[[#This Row],[TARIFA_BASICA]]*1.5</f>
        <v>17.13</v>
      </c>
    </row>
    <row r="916" spans="1:63" x14ac:dyDescent="0.25">
      <c r="A916" s="18" t="s">
        <v>64</v>
      </c>
      <c r="B916" s="18" t="s">
        <v>5752</v>
      </c>
      <c r="C916" s="18" t="s">
        <v>5753</v>
      </c>
      <c r="D916" s="19">
        <v>44896</v>
      </c>
      <c r="E916" s="18" t="s">
        <v>67</v>
      </c>
      <c r="F916" s="18" t="s">
        <v>5754</v>
      </c>
      <c r="G916" s="18" t="s">
        <v>5755</v>
      </c>
      <c r="H916" s="18" t="s">
        <v>70</v>
      </c>
      <c r="I916" s="18" t="s">
        <v>160</v>
      </c>
      <c r="J916" s="18" t="s">
        <v>195</v>
      </c>
      <c r="K916" s="18" t="s">
        <v>73</v>
      </c>
      <c r="L916" s="20" t="s">
        <v>5756</v>
      </c>
      <c r="M916" s="18" t="s">
        <v>75</v>
      </c>
      <c r="N916" s="20" t="s">
        <v>5757</v>
      </c>
      <c r="O916" s="18" t="s">
        <v>77</v>
      </c>
      <c r="P916" s="18" t="s">
        <v>78</v>
      </c>
      <c r="Q916" s="19">
        <v>44914</v>
      </c>
      <c r="R916" s="21">
        <v>14.28</v>
      </c>
      <c r="S916" s="18" t="s">
        <v>79</v>
      </c>
      <c r="T916" s="18" t="s">
        <v>148</v>
      </c>
      <c r="U916" s="18" t="s">
        <v>83</v>
      </c>
      <c r="V916" s="18" t="s">
        <v>95</v>
      </c>
      <c r="W916" s="18" t="s">
        <v>83</v>
      </c>
      <c r="X916" s="18" t="s">
        <v>84</v>
      </c>
      <c r="Y916" s="18" t="s">
        <v>85</v>
      </c>
      <c r="Z916" s="18" t="s">
        <v>86</v>
      </c>
      <c r="AA916" s="18" t="s">
        <v>87</v>
      </c>
      <c r="AB916" s="18" t="s">
        <v>318</v>
      </c>
      <c r="AC916" s="18" t="s">
        <v>319</v>
      </c>
      <c r="AD916" s="18" t="s">
        <v>85</v>
      </c>
      <c r="AE916" s="18" t="s">
        <v>90</v>
      </c>
      <c r="AF916" s="18" t="s">
        <v>151</v>
      </c>
      <c r="AG916" s="18" t="s">
        <v>92</v>
      </c>
      <c r="AH916" s="18" t="s">
        <v>93</v>
      </c>
      <c r="AI916" s="18" t="s">
        <v>94</v>
      </c>
      <c r="AJ916" s="19">
        <v>44896</v>
      </c>
      <c r="AK916" s="22" t="s">
        <v>95</v>
      </c>
      <c r="AL916" s="18" t="s">
        <v>95</v>
      </c>
      <c r="AM916" s="18" t="s">
        <v>95</v>
      </c>
      <c r="AN916" s="18" t="s">
        <v>95</v>
      </c>
      <c r="AO916" s="18" t="s">
        <v>95</v>
      </c>
      <c r="AP916" s="18" t="s">
        <v>95</v>
      </c>
      <c r="AQ916" s="18" t="s">
        <v>95</v>
      </c>
      <c r="AR916" s="18" t="s">
        <v>95</v>
      </c>
      <c r="AS916" s="18" t="s">
        <v>83</v>
      </c>
      <c r="AT916" s="18" t="s">
        <v>83</v>
      </c>
      <c r="AU916" s="18" t="s">
        <v>81</v>
      </c>
      <c r="AV916" s="18" t="s">
        <v>95</v>
      </c>
      <c r="AW916" s="18" t="s">
        <v>95</v>
      </c>
      <c r="AX916" s="18"/>
      <c r="AY916" s="18" t="str">
        <f>Pospago[[#This Row],[NUM_TELEFONICO]]&amp;"POSPAGOSI"</f>
        <v>998094270POSPAGOSI</v>
      </c>
      <c r="AZ916" s="18" t="str">
        <f>VLOOKUP(Pospago[[#This Row],[NOM_PLAZA_FINAL]],[1]!Locales[#Data],3,0)</f>
        <v>TIENDA CUENCA REMIGIO</v>
      </c>
      <c r="BA916" s="18" t="str">
        <f>IFERROR(VLOOKUP(Pospago[[#This Row],[USUARIO]],[1]!Personal[#Data],6,0),"EJECUTIVO NO REGISTRADO")</f>
        <v>RODRIGUEZ QUITO JESSICA GABRIELA</v>
      </c>
      <c r="BB916" s="18" t="str">
        <f>Pospago[[#This Row],[TIPO_MOVIMIENTO]]&amp;" "&amp;Pospago[[#This Row],[FORMA_PAGO_FINAL]]</f>
        <v>ALTAS DOMICILIADO</v>
      </c>
      <c r="BC916" s="18">
        <f>DAY(Pospago[[#This Row],[FECHA_ALTA]])</f>
        <v>1</v>
      </c>
      <c r="BD916" s="18">
        <f>IF(Pospago[[#This Row],[TARIFA_BASICA]]=11.42,1,0)</f>
        <v>0</v>
      </c>
      <c r="BE916" s="18">
        <f>IF(Pospago[[#This Row],[PLANES TELEVENTAS]]="SI",1,0)</f>
        <v>0</v>
      </c>
      <c r="BF916" s="18">
        <f>1</f>
        <v>1</v>
      </c>
      <c r="BG916" s="18">
        <f>IF(OR(Pospago[[#This Row],[TARIFA_BASICA]]=11.42,Pospago[[#This Row],[PLANES TELEVENTAS]]="SI"),1,0)</f>
        <v>0</v>
      </c>
      <c r="BH916" s="18" t="str">
        <f>IF(MID(Pospago[[#This Row],[PlanDesc]],1,4) = "PLAN","POSPAGO",IF(MID(Pospago[[#This Row],[PlanDesc]],1,4)="FULL","FULL MEGAS","PREVIOPAGO"))</f>
        <v>PREVIOPAGO</v>
      </c>
      <c r="BI9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16" s="21">
        <f>Pospago[[#This Row],[TARIFA_BASICA]]*1.5</f>
        <v>21.419999999999998</v>
      </c>
    </row>
    <row r="917" spans="1:63" x14ac:dyDescent="0.25">
      <c r="A917" s="18" t="s">
        <v>64</v>
      </c>
      <c r="B917" s="18" t="s">
        <v>5758</v>
      </c>
      <c r="C917" s="18" t="s">
        <v>5759</v>
      </c>
      <c r="D917" s="19">
        <v>44910</v>
      </c>
      <c r="E917" s="18" t="s">
        <v>67</v>
      </c>
      <c r="F917" s="18" t="s">
        <v>5760</v>
      </c>
      <c r="G917" s="18" t="s">
        <v>5761</v>
      </c>
      <c r="H917" s="18" t="s">
        <v>70</v>
      </c>
      <c r="I917" s="18" t="s">
        <v>130</v>
      </c>
      <c r="J917" s="18" t="s">
        <v>131</v>
      </c>
      <c r="K917" s="18" t="s">
        <v>132</v>
      </c>
      <c r="L917" s="20" t="s">
        <v>5762</v>
      </c>
      <c r="M917" s="18" t="s">
        <v>287</v>
      </c>
      <c r="N917" s="20" t="s">
        <v>5763</v>
      </c>
      <c r="O917" s="18" t="s">
        <v>77</v>
      </c>
      <c r="P917" s="18" t="s">
        <v>78</v>
      </c>
      <c r="Q917" s="19">
        <v>44914</v>
      </c>
      <c r="R917" s="21">
        <v>15</v>
      </c>
      <c r="S917" s="18" t="s">
        <v>79</v>
      </c>
      <c r="T917" s="18" t="s">
        <v>135</v>
      </c>
      <c r="U917" s="18" t="s">
        <v>83</v>
      </c>
      <c r="V917" s="18" t="s">
        <v>95</v>
      </c>
      <c r="W917" s="18" t="s">
        <v>83</v>
      </c>
      <c r="X917" s="18" t="s">
        <v>118</v>
      </c>
      <c r="Y917" s="18" t="s">
        <v>85</v>
      </c>
      <c r="Z917" s="18" t="s">
        <v>86</v>
      </c>
      <c r="AA917" s="18" t="s">
        <v>119</v>
      </c>
      <c r="AB917" s="18" t="s">
        <v>478</v>
      </c>
      <c r="AC917" s="18" t="s">
        <v>479</v>
      </c>
      <c r="AD917" s="18" t="s">
        <v>85</v>
      </c>
      <c r="AE917" s="18" t="s">
        <v>90</v>
      </c>
      <c r="AF917" s="18" t="s">
        <v>138</v>
      </c>
      <c r="AG917" s="18" t="s">
        <v>139</v>
      </c>
      <c r="AH917" s="18" t="s">
        <v>93</v>
      </c>
      <c r="AI917" s="18" t="s">
        <v>94</v>
      </c>
      <c r="AJ917" s="19">
        <v>44910</v>
      </c>
      <c r="AK917" s="22">
        <v>44910</v>
      </c>
      <c r="AL917" s="18" t="s">
        <v>291</v>
      </c>
      <c r="AM917" s="18" t="s">
        <v>292</v>
      </c>
      <c r="AN917" s="18" t="s">
        <v>494</v>
      </c>
      <c r="AO917" s="18" t="s">
        <v>5764</v>
      </c>
      <c r="AP917" s="18">
        <v>1</v>
      </c>
      <c r="AQ917" s="18">
        <v>1053.57143</v>
      </c>
      <c r="AR917" s="18" t="s">
        <v>496</v>
      </c>
      <c r="AS917" s="18" t="s">
        <v>81</v>
      </c>
      <c r="AT917" s="18" t="s">
        <v>83</v>
      </c>
      <c r="AU917" s="18" t="s">
        <v>81</v>
      </c>
      <c r="AV917" s="18" t="s">
        <v>95</v>
      </c>
      <c r="AW917" s="18" t="s">
        <v>95</v>
      </c>
      <c r="AX917" s="18"/>
      <c r="AY917" s="18" t="str">
        <f>Pospago[[#This Row],[NUM_TELEFONICO]]&amp;"POSPAGOSI"</f>
        <v>998097763POSPAGOSI</v>
      </c>
      <c r="AZ917" s="18" t="str">
        <f>VLOOKUP(Pospago[[#This Row],[NOM_PLAZA_FINAL]],[1]!Locales[#Data],3,0)</f>
        <v>TIENDA AMERICA</v>
      </c>
      <c r="BA917" s="18" t="str">
        <f>IFERROR(VLOOKUP(Pospago[[#This Row],[USUARIO]],[1]!Personal[#Data],6,0),"EJECUTIVO NO REGISTRADO")</f>
        <v>REINO TUFINO PAULTEH KATHERINE</v>
      </c>
      <c r="BB917" s="18" t="str">
        <f>Pospago[[#This Row],[TIPO_MOVIMIENTO]]&amp;" "&amp;Pospago[[#This Row],[FORMA_PAGO_FINAL]]</f>
        <v>ALTAS PAGO EN CAJA</v>
      </c>
      <c r="BC917" s="18">
        <f>DAY(Pospago[[#This Row],[FECHA_ALTA]])</f>
        <v>15</v>
      </c>
      <c r="BD917" s="18">
        <f>IF(Pospago[[#This Row],[TARIFA_BASICA]]=11.42,1,0)</f>
        <v>0</v>
      </c>
      <c r="BE917" s="18">
        <f>IF(Pospago[[#This Row],[PLANES TELEVENTAS]]="SI",1,0)</f>
        <v>0</v>
      </c>
      <c r="BF917" s="18">
        <f>1</f>
        <v>1</v>
      </c>
      <c r="BG917" s="18">
        <f>IF(OR(Pospago[[#This Row],[TARIFA_BASICA]]=11.42,Pospago[[#This Row],[PLANES TELEVENTAS]]="SI"),1,0)</f>
        <v>0</v>
      </c>
      <c r="BH917" s="18" t="str">
        <f>IF(MID(Pospago[[#This Row],[PlanDesc]],1,4) = "PLAN","POSPAGO",IF(MID(Pospago[[#This Row],[PlanDesc]],1,4)="FULL","FULL MEGAS","PREVIOPAGO"))</f>
        <v>PREVIOPAGO</v>
      </c>
      <c r="BI9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9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17" s="21">
        <f>Pospago[[#This Row],[TARIFA_BASICA]]*1.5</f>
        <v>22.5</v>
      </c>
    </row>
    <row r="918" spans="1:63" x14ac:dyDescent="0.25">
      <c r="A918" s="18" t="s">
        <v>154</v>
      </c>
      <c r="B918" s="18" t="s">
        <v>5765</v>
      </c>
      <c r="C918" s="18" t="s">
        <v>5766</v>
      </c>
      <c r="D918" s="19">
        <v>44905</v>
      </c>
      <c r="E918" s="18" t="s">
        <v>67</v>
      </c>
      <c r="F918" s="18" t="s">
        <v>5767</v>
      </c>
      <c r="G918" s="18" t="s">
        <v>5768</v>
      </c>
      <c r="H918" s="18" t="s">
        <v>159</v>
      </c>
      <c r="I918" s="18" t="s">
        <v>160</v>
      </c>
      <c r="J918" s="18" t="s">
        <v>161</v>
      </c>
      <c r="K918" s="18" t="s">
        <v>132</v>
      </c>
      <c r="L918" s="20" t="s">
        <v>5769</v>
      </c>
      <c r="M918" s="18" t="s">
        <v>75</v>
      </c>
      <c r="N918" s="20" t="s">
        <v>5770</v>
      </c>
      <c r="O918" s="18" t="s">
        <v>164</v>
      </c>
      <c r="P918" s="18" t="s">
        <v>78</v>
      </c>
      <c r="Q918" s="19">
        <v>44914</v>
      </c>
      <c r="R918" s="21">
        <v>14.28</v>
      </c>
      <c r="S918" s="18" t="s">
        <v>79</v>
      </c>
      <c r="T918" s="18" t="s">
        <v>174</v>
      </c>
      <c r="U918" s="18" t="s">
        <v>83</v>
      </c>
      <c r="V918" s="18" t="s">
        <v>95</v>
      </c>
      <c r="W918" s="18" t="s">
        <v>95</v>
      </c>
      <c r="X918" s="18" t="s">
        <v>84</v>
      </c>
      <c r="Y918" s="18" t="s">
        <v>85</v>
      </c>
      <c r="Z918" s="18" t="s">
        <v>86</v>
      </c>
      <c r="AA918" s="18" t="s">
        <v>87</v>
      </c>
      <c r="AB918" s="18" t="s">
        <v>2159</v>
      </c>
      <c r="AC918" s="18" t="s">
        <v>2160</v>
      </c>
      <c r="AD918" s="18" t="s">
        <v>85</v>
      </c>
      <c r="AE918" s="18" t="s">
        <v>90</v>
      </c>
      <c r="AF918" s="18" t="s">
        <v>177</v>
      </c>
      <c r="AG918" s="18" t="s">
        <v>139</v>
      </c>
      <c r="AH918" s="18" t="s">
        <v>165</v>
      </c>
      <c r="AI918" s="18" t="s">
        <v>94</v>
      </c>
      <c r="AJ918" s="19">
        <v>44905</v>
      </c>
      <c r="AK918" s="22" t="s">
        <v>95</v>
      </c>
      <c r="AL918" s="18" t="s">
        <v>95</v>
      </c>
      <c r="AM918" s="18" t="s">
        <v>95</v>
      </c>
      <c r="AN918" s="18" t="s">
        <v>95</v>
      </c>
      <c r="AO918" s="18" t="s">
        <v>95</v>
      </c>
      <c r="AP918" s="18" t="s">
        <v>95</v>
      </c>
      <c r="AQ918" s="18" t="s">
        <v>95</v>
      </c>
      <c r="AR918" s="18" t="s">
        <v>95</v>
      </c>
      <c r="AS918" s="18" t="s">
        <v>83</v>
      </c>
      <c r="AT918" s="18" t="s">
        <v>83</v>
      </c>
      <c r="AU918" s="18" t="s">
        <v>81</v>
      </c>
      <c r="AV918" s="18" t="s">
        <v>95</v>
      </c>
      <c r="AW918" s="18" t="s">
        <v>95</v>
      </c>
      <c r="AX918" s="18"/>
      <c r="AY918" s="18" t="str">
        <f>Pospago[[#This Row],[NUM_TELEFONICO]]&amp;"POSPAGOSI"</f>
        <v>998098508POSPAGOSI</v>
      </c>
      <c r="AZ918" s="18" t="str">
        <f>VLOOKUP(Pospago[[#This Row],[NOM_PLAZA_FINAL]],[1]!Locales[#Data],3,0)</f>
        <v>TIENDA RECREO</v>
      </c>
      <c r="BA918" s="18" t="str">
        <f>IFERROR(VLOOKUP(Pospago[[#This Row],[USUARIO]],[1]!Personal[#Data],6,0),"EJECUTIVO NO REGISTRADO")</f>
        <v>GUEVARA MAZA CRISTIAN FABIAN</v>
      </c>
      <c r="BB918" s="18" t="str">
        <f>Pospago[[#This Row],[TIPO_MOVIMIENTO]]&amp;" "&amp;Pospago[[#This Row],[FORMA_PAGO_FINAL]]</f>
        <v>TRANSFERENCIAS DOMICILIADO</v>
      </c>
      <c r="BC918" s="18">
        <f>DAY(Pospago[[#This Row],[FECHA_ALTA]])</f>
        <v>10</v>
      </c>
      <c r="BD918" s="18">
        <f>IF(Pospago[[#This Row],[TARIFA_BASICA]]=11.42,1,0)</f>
        <v>0</v>
      </c>
      <c r="BE918" s="18">
        <f>IF(Pospago[[#This Row],[PLANES TELEVENTAS]]="SI",1,0)</f>
        <v>0</v>
      </c>
      <c r="BF918" s="18">
        <f>1</f>
        <v>1</v>
      </c>
      <c r="BG918" s="18">
        <f>IF(OR(Pospago[[#This Row],[TARIFA_BASICA]]=11.42,Pospago[[#This Row],[PLANES TELEVENTAS]]="SI"),1,0)</f>
        <v>0</v>
      </c>
      <c r="BH918" s="18" t="str">
        <f>IF(MID(Pospago[[#This Row],[PlanDesc]],1,4) = "PLAN","POSPAGO",IF(MID(Pospago[[#This Row],[PlanDesc]],1,4)="FULL","FULL MEGAS","PREVIOPAGO"))</f>
        <v>PREVIOPAGO</v>
      </c>
      <c r="BI9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18" s="21">
        <f>Pospago[[#This Row],[TARIFA_BASICA]]*1.5</f>
        <v>21.419999999999998</v>
      </c>
    </row>
    <row r="919" spans="1:63" x14ac:dyDescent="0.25">
      <c r="A919" s="18" t="s">
        <v>64</v>
      </c>
      <c r="B919" s="18" t="s">
        <v>5771</v>
      </c>
      <c r="C919" s="18" t="s">
        <v>1618</v>
      </c>
      <c r="D919" s="19">
        <v>44902</v>
      </c>
      <c r="E919" s="18" t="s">
        <v>67</v>
      </c>
      <c r="F919" s="18" t="s">
        <v>1619</v>
      </c>
      <c r="G919" s="18" t="s">
        <v>1620</v>
      </c>
      <c r="H919" s="18" t="s">
        <v>193</v>
      </c>
      <c r="I919" s="18" t="s">
        <v>194</v>
      </c>
      <c r="J919" s="18" t="s">
        <v>195</v>
      </c>
      <c r="K919" s="18" t="s">
        <v>259</v>
      </c>
      <c r="L919" s="20" t="s">
        <v>5772</v>
      </c>
      <c r="M919" s="18" t="s">
        <v>75</v>
      </c>
      <c r="N919" s="20" t="s">
        <v>5773</v>
      </c>
      <c r="O919" s="18" t="s">
        <v>77</v>
      </c>
      <c r="P919" s="18" t="s">
        <v>78</v>
      </c>
      <c r="Q919" s="19">
        <v>44914</v>
      </c>
      <c r="R919" s="21">
        <v>14.28</v>
      </c>
      <c r="S919" s="18" t="s">
        <v>79</v>
      </c>
      <c r="T919" s="18" t="s">
        <v>174</v>
      </c>
      <c r="U919" s="18" t="s">
        <v>83</v>
      </c>
      <c r="V919" s="18" t="s">
        <v>95</v>
      </c>
      <c r="W919" s="18" t="s">
        <v>83</v>
      </c>
      <c r="X919" s="18" t="s">
        <v>84</v>
      </c>
      <c r="Y919" s="18" t="s">
        <v>85</v>
      </c>
      <c r="Z919" s="18" t="s">
        <v>86</v>
      </c>
      <c r="AA919" s="18" t="s">
        <v>87</v>
      </c>
      <c r="AB919" s="18" t="s">
        <v>822</v>
      </c>
      <c r="AC919" s="18" t="s">
        <v>823</v>
      </c>
      <c r="AD919" s="18" t="s">
        <v>85</v>
      </c>
      <c r="AE919" s="18" t="s">
        <v>90</v>
      </c>
      <c r="AF919" s="18" t="s">
        <v>177</v>
      </c>
      <c r="AG919" s="18" t="s">
        <v>139</v>
      </c>
      <c r="AH919" s="18" t="s">
        <v>93</v>
      </c>
      <c r="AI919" s="18" t="s">
        <v>94</v>
      </c>
      <c r="AJ919" s="19">
        <v>44902</v>
      </c>
      <c r="AK919" s="22" t="s">
        <v>95</v>
      </c>
      <c r="AL919" s="18" t="s">
        <v>95</v>
      </c>
      <c r="AM919" s="18" t="s">
        <v>95</v>
      </c>
      <c r="AN919" s="18" t="s">
        <v>95</v>
      </c>
      <c r="AO919" s="18" t="s">
        <v>95</v>
      </c>
      <c r="AP919" s="18" t="s">
        <v>95</v>
      </c>
      <c r="AQ919" s="18" t="s">
        <v>95</v>
      </c>
      <c r="AR919" s="18" t="s">
        <v>95</v>
      </c>
      <c r="AS919" s="18" t="s">
        <v>83</v>
      </c>
      <c r="AT919" s="18" t="s">
        <v>81</v>
      </c>
      <c r="AU919" s="18" t="s">
        <v>81</v>
      </c>
      <c r="AV919" s="18" t="s">
        <v>95</v>
      </c>
      <c r="AW919" s="18" t="s">
        <v>95</v>
      </c>
      <c r="AX919" s="18"/>
      <c r="AY919" s="18" t="str">
        <f>Pospago[[#This Row],[NUM_TELEFONICO]]&amp;"POSPAGOSI"</f>
        <v>998102188POSPAGOSI</v>
      </c>
      <c r="AZ919" s="18" t="str">
        <f>VLOOKUP(Pospago[[#This Row],[NOM_PLAZA_FINAL]],[1]!Locales[#Data],3,0)</f>
        <v>TIENDA RECREO</v>
      </c>
      <c r="BA919" s="18" t="str">
        <f>IFERROR(VLOOKUP(Pospago[[#This Row],[USUARIO]],[1]!Personal[#Data],6,0),"EJECUTIVO NO REGISTRADO")</f>
        <v>SALAS PARRA MARIA JOSE</v>
      </c>
      <c r="BB919" s="18" t="str">
        <f>Pospago[[#This Row],[TIPO_MOVIMIENTO]]&amp;" "&amp;Pospago[[#This Row],[FORMA_PAGO_FINAL]]</f>
        <v>ALTAS DOMICILIADO</v>
      </c>
      <c r="BC919" s="18">
        <f>DAY(Pospago[[#This Row],[FECHA_ALTA]])</f>
        <v>7</v>
      </c>
      <c r="BD919" s="18">
        <f>IF(Pospago[[#This Row],[TARIFA_BASICA]]=11.42,1,0)</f>
        <v>0</v>
      </c>
      <c r="BE919" s="18">
        <f>IF(Pospago[[#This Row],[PLANES TELEVENTAS]]="SI",1,0)</f>
        <v>1</v>
      </c>
      <c r="BF919" s="18">
        <f>1</f>
        <v>1</v>
      </c>
      <c r="BG919" s="18">
        <f>IF(OR(Pospago[[#This Row],[TARIFA_BASICA]]=11.42,Pospago[[#This Row],[PLANES TELEVENTAS]]="SI"),1,0)</f>
        <v>1</v>
      </c>
      <c r="BH919" s="18" t="str">
        <f>IF(MID(Pospago[[#This Row],[PlanDesc]],1,4) = "PLAN","POSPAGO",IF(MID(Pospago[[#This Row],[PlanDesc]],1,4)="FULL","FULL MEGAS","PREVIOPAGO"))</f>
        <v>PREVIOPAGO</v>
      </c>
      <c r="BI9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19" s="21">
        <f>Pospago[[#This Row],[TARIFA_BASICA]]*1.5</f>
        <v>21.419999999999998</v>
      </c>
    </row>
    <row r="920" spans="1:63" x14ac:dyDescent="0.25">
      <c r="A920" s="18" t="s">
        <v>154</v>
      </c>
      <c r="B920" s="18" t="s">
        <v>5774</v>
      </c>
      <c r="C920" s="18" t="s">
        <v>5775</v>
      </c>
      <c r="D920" s="19">
        <v>44912</v>
      </c>
      <c r="E920" s="18" t="s">
        <v>67</v>
      </c>
      <c r="F920" s="18" t="s">
        <v>5776</v>
      </c>
      <c r="G920" s="18" t="s">
        <v>5777</v>
      </c>
      <c r="H920" s="18" t="s">
        <v>159</v>
      </c>
      <c r="I920" s="18" t="s">
        <v>160</v>
      </c>
      <c r="J920" s="18" t="s">
        <v>161</v>
      </c>
      <c r="K920" s="18" t="s">
        <v>95</v>
      </c>
      <c r="L920" s="20" t="s">
        <v>5778</v>
      </c>
      <c r="M920" s="18" t="s">
        <v>75</v>
      </c>
      <c r="N920" s="20" t="s">
        <v>5779</v>
      </c>
      <c r="O920" s="18" t="s">
        <v>164</v>
      </c>
      <c r="P920" s="18" t="s">
        <v>78</v>
      </c>
      <c r="Q920" s="19">
        <v>44914</v>
      </c>
      <c r="R920" s="21">
        <v>14.28</v>
      </c>
      <c r="S920" s="18" t="s">
        <v>79</v>
      </c>
      <c r="T920" s="18" t="s">
        <v>174</v>
      </c>
      <c r="U920" s="18" t="s">
        <v>83</v>
      </c>
      <c r="V920" s="18" t="s">
        <v>95</v>
      </c>
      <c r="W920" s="18" t="s">
        <v>95</v>
      </c>
      <c r="X920" s="18" t="s">
        <v>118</v>
      </c>
      <c r="Y920" s="18" t="s">
        <v>85</v>
      </c>
      <c r="Z920" s="18" t="s">
        <v>86</v>
      </c>
      <c r="AA920" s="18" t="s">
        <v>119</v>
      </c>
      <c r="AB920" s="18" t="s">
        <v>251</v>
      </c>
      <c r="AC920" s="18" t="s">
        <v>252</v>
      </c>
      <c r="AD920" s="18" t="s">
        <v>85</v>
      </c>
      <c r="AE920" s="18" t="s">
        <v>90</v>
      </c>
      <c r="AF920" s="18" t="s">
        <v>177</v>
      </c>
      <c r="AG920" s="18" t="s">
        <v>139</v>
      </c>
      <c r="AH920" s="18" t="s">
        <v>165</v>
      </c>
      <c r="AI920" s="18" t="s">
        <v>94</v>
      </c>
      <c r="AJ920" s="19">
        <v>44912</v>
      </c>
      <c r="AK920" s="22" t="s">
        <v>95</v>
      </c>
      <c r="AL920" s="18" t="s">
        <v>95</v>
      </c>
      <c r="AM920" s="18" t="s">
        <v>95</v>
      </c>
      <c r="AN920" s="18" t="s">
        <v>95</v>
      </c>
      <c r="AO920" s="18" t="s">
        <v>95</v>
      </c>
      <c r="AP920" s="18" t="s">
        <v>95</v>
      </c>
      <c r="AQ920" s="18" t="s">
        <v>95</v>
      </c>
      <c r="AR920" s="18" t="s">
        <v>95</v>
      </c>
      <c r="AS920" s="18" t="s">
        <v>83</v>
      </c>
      <c r="AT920" s="18" t="s">
        <v>83</v>
      </c>
      <c r="AU920" s="18" t="s">
        <v>81</v>
      </c>
      <c r="AV920" s="18" t="s">
        <v>95</v>
      </c>
      <c r="AW920" s="18" t="s">
        <v>95</v>
      </c>
      <c r="AX920" s="18"/>
      <c r="AY920" s="18" t="str">
        <f>Pospago[[#This Row],[NUM_TELEFONICO]]&amp;"POSPAGOSI"</f>
        <v>998107608POSPAGOSI</v>
      </c>
      <c r="AZ920" s="18" t="str">
        <f>VLOOKUP(Pospago[[#This Row],[NOM_PLAZA_FINAL]],[1]!Locales[#Data],3,0)</f>
        <v>TIENDA RECREO</v>
      </c>
      <c r="BA920" s="18" t="str">
        <f>IFERROR(VLOOKUP(Pospago[[#This Row],[USUARIO]],[1]!Personal[#Data],6,0),"EJECUTIVO NO REGISTRADO")</f>
        <v>CRUZ MONTUFAR KATHERINE ALEJANDRA</v>
      </c>
      <c r="BB920" s="18" t="str">
        <f>Pospago[[#This Row],[TIPO_MOVIMIENTO]]&amp;" "&amp;Pospago[[#This Row],[FORMA_PAGO_FINAL]]</f>
        <v>TRANSFERENCIAS PAGO EN CAJA</v>
      </c>
      <c r="BC920" s="18">
        <f>DAY(Pospago[[#This Row],[FECHA_ALTA]])</f>
        <v>17</v>
      </c>
      <c r="BD920" s="18">
        <f>IF(Pospago[[#This Row],[TARIFA_BASICA]]=11.42,1,0)</f>
        <v>0</v>
      </c>
      <c r="BE920" s="18">
        <f>IF(Pospago[[#This Row],[PLANES TELEVENTAS]]="SI",1,0)</f>
        <v>0</v>
      </c>
      <c r="BF920" s="18">
        <f>1</f>
        <v>1</v>
      </c>
      <c r="BG920" s="18">
        <f>IF(OR(Pospago[[#This Row],[TARIFA_BASICA]]=11.42,Pospago[[#This Row],[PLANES TELEVENTAS]]="SI"),1,0)</f>
        <v>0</v>
      </c>
      <c r="BH920" s="18" t="str">
        <f>IF(MID(Pospago[[#This Row],[PlanDesc]],1,4) = "PLAN","POSPAGO",IF(MID(Pospago[[#This Row],[PlanDesc]],1,4)="FULL","FULL MEGAS","PREVIOPAGO"))</f>
        <v>PREVIOPAGO</v>
      </c>
      <c r="BI9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20" s="21">
        <f>Pospago[[#This Row],[TARIFA_BASICA]]*1.5</f>
        <v>21.419999999999998</v>
      </c>
    </row>
    <row r="921" spans="1:63" x14ac:dyDescent="0.25">
      <c r="A921" s="18" t="s">
        <v>64</v>
      </c>
      <c r="B921" s="18" t="s">
        <v>5780</v>
      </c>
      <c r="C921" s="18" t="s">
        <v>5781</v>
      </c>
      <c r="D921" s="19">
        <v>44908</v>
      </c>
      <c r="E921" s="18" t="s">
        <v>67</v>
      </c>
      <c r="F921" s="18" t="s">
        <v>5782</v>
      </c>
      <c r="G921" s="18" t="s">
        <v>5783</v>
      </c>
      <c r="H921" s="18" t="s">
        <v>70</v>
      </c>
      <c r="I921" s="18" t="s">
        <v>71</v>
      </c>
      <c r="J921" s="18" t="s">
        <v>72</v>
      </c>
      <c r="K921" s="18" t="s">
        <v>132</v>
      </c>
      <c r="L921" s="20" t="s">
        <v>5784</v>
      </c>
      <c r="M921" s="18" t="s">
        <v>287</v>
      </c>
      <c r="N921" s="20" t="s">
        <v>5785</v>
      </c>
      <c r="O921" s="18" t="s">
        <v>77</v>
      </c>
      <c r="P921" s="18" t="s">
        <v>78</v>
      </c>
      <c r="Q921" s="19">
        <v>44914</v>
      </c>
      <c r="R921" s="21">
        <v>11.42</v>
      </c>
      <c r="S921" s="18" t="s">
        <v>79</v>
      </c>
      <c r="T921" s="18" t="s">
        <v>135</v>
      </c>
      <c r="U921" s="18" t="s">
        <v>83</v>
      </c>
      <c r="V921" s="18" t="s">
        <v>95</v>
      </c>
      <c r="W921" s="18" t="s">
        <v>83</v>
      </c>
      <c r="X921" s="18" t="s">
        <v>215</v>
      </c>
      <c r="Y921" s="18" t="s">
        <v>85</v>
      </c>
      <c r="Z921" s="18" t="s">
        <v>86</v>
      </c>
      <c r="AA921" s="18" t="s">
        <v>87</v>
      </c>
      <c r="AB921" s="18" t="s">
        <v>478</v>
      </c>
      <c r="AC921" s="18" t="s">
        <v>479</v>
      </c>
      <c r="AD921" s="18" t="s">
        <v>85</v>
      </c>
      <c r="AE921" s="18" t="s">
        <v>90</v>
      </c>
      <c r="AF921" s="18" t="s">
        <v>138</v>
      </c>
      <c r="AG921" s="18" t="s">
        <v>139</v>
      </c>
      <c r="AH921" s="18" t="s">
        <v>93</v>
      </c>
      <c r="AI921" s="18" t="s">
        <v>94</v>
      </c>
      <c r="AJ921" s="19">
        <v>44908</v>
      </c>
      <c r="AK921" s="22">
        <v>44908</v>
      </c>
      <c r="AL921" s="18" t="s">
        <v>291</v>
      </c>
      <c r="AM921" s="18" t="s">
        <v>292</v>
      </c>
      <c r="AN921" s="18" t="s">
        <v>293</v>
      </c>
      <c r="AO921" s="18" t="s">
        <v>5786</v>
      </c>
      <c r="AP921" s="18">
        <v>1</v>
      </c>
      <c r="AQ921" s="18">
        <v>339.28570999999999</v>
      </c>
      <c r="AR921" s="18" t="s">
        <v>295</v>
      </c>
      <c r="AS921" s="18" t="s">
        <v>81</v>
      </c>
      <c r="AT921" s="18" t="s">
        <v>83</v>
      </c>
      <c r="AU921" s="18" t="s">
        <v>81</v>
      </c>
      <c r="AV921" s="18" t="s">
        <v>95</v>
      </c>
      <c r="AW921" s="18" t="s">
        <v>95</v>
      </c>
      <c r="AX921" s="18"/>
      <c r="AY921" s="18" t="str">
        <f>Pospago[[#This Row],[NUM_TELEFONICO]]&amp;"POSPAGOSI"</f>
        <v>998116830POSPAGOSI</v>
      </c>
      <c r="AZ921" s="18" t="str">
        <f>VLOOKUP(Pospago[[#This Row],[NOM_PLAZA_FINAL]],[1]!Locales[#Data],3,0)</f>
        <v>TIENDA AMERICA</v>
      </c>
      <c r="BA921" s="18" t="str">
        <f>IFERROR(VLOOKUP(Pospago[[#This Row],[USUARIO]],[1]!Personal[#Data],6,0),"EJECUTIVO NO REGISTRADO")</f>
        <v>REINO TUFINO PAULTEH KATHERINE</v>
      </c>
      <c r="BB921" s="18" t="str">
        <f>Pospago[[#This Row],[TIPO_MOVIMIENTO]]&amp;" "&amp;Pospago[[#This Row],[FORMA_PAGO_FINAL]]</f>
        <v>ALTAS DOMICILIADO</v>
      </c>
      <c r="BC921" s="18">
        <f>DAY(Pospago[[#This Row],[FECHA_ALTA]])</f>
        <v>13</v>
      </c>
      <c r="BD921" s="18">
        <f>IF(Pospago[[#This Row],[TARIFA_BASICA]]=11.42,1,0)</f>
        <v>1</v>
      </c>
      <c r="BE921" s="18">
        <f>IF(Pospago[[#This Row],[PLANES TELEVENTAS]]="SI",1,0)</f>
        <v>0</v>
      </c>
      <c r="BF921" s="18">
        <f>1</f>
        <v>1</v>
      </c>
      <c r="BG921" s="18">
        <f>IF(OR(Pospago[[#This Row],[TARIFA_BASICA]]=11.42,Pospago[[#This Row],[PLANES TELEVENTAS]]="SI"),1,0)</f>
        <v>1</v>
      </c>
      <c r="BH921" s="18" t="str">
        <f>IF(MID(Pospago[[#This Row],[PlanDesc]],1,4) = "PLAN","POSPAGO",IF(MID(Pospago[[#This Row],[PlanDesc]],1,4)="FULL","FULL MEGAS","PREVIOPAGO"))</f>
        <v>PREVIOPAGO</v>
      </c>
      <c r="BI9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9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21" s="21">
        <f>Pospago[[#This Row],[TARIFA_BASICA]]*1.5</f>
        <v>17.13</v>
      </c>
    </row>
    <row r="922" spans="1:63" x14ac:dyDescent="0.25">
      <c r="A922" s="18" t="s">
        <v>64</v>
      </c>
      <c r="B922" s="18" t="s">
        <v>5787</v>
      </c>
      <c r="C922" s="18" t="s">
        <v>5788</v>
      </c>
      <c r="D922" s="19">
        <v>44903</v>
      </c>
      <c r="E922" s="18" t="s">
        <v>67</v>
      </c>
      <c r="F922" s="18" t="s">
        <v>5789</v>
      </c>
      <c r="G922" s="18" t="s">
        <v>5790</v>
      </c>
      <c r="H922" s="18" t="s">
        <v>193</v>
      </c>
      <c r="I922" s="18" t="s">
        <v>194</v>
      </c>
      <c r="J922" s="18" t="s">
        <v>195</v>
      </c>
      <c r="K922" s="18" t="s">
        <v>132</v>
      </c>
      <c r="L922" s="20" t="s">
        <v>5791</v>
      </c>
      <c r="M922" s="18" t="s">
        <v>75</v>
      </c>
      <c r="N922" s="20" t="s">
        <v>5792</v>
      </c>
      <c r="O922" s="18" t="s">
        <v>77</v>
      </c>
      <c r="P922" s="18" t="s">
        <v>78</v>
      </c>
      <c r="Q922" s="19">
        <v>44914</v>
      </c>
      <c r="R922" s="21">
        <v>14.28</v>
      </c>
      <c r="S922" s="18" t="s">
        <v>79</v>
      </c>
      <c r="T922" s="18" t="s">
        <v>174</v>
      </c>
      <c r="U922" s="18" t="s">
        <v>83</v>
      </c>
      <c r="V922" s="18" t="s">
        <v>95</v>
      </c>
      <c r="W922" s="18" t="s">
        <v>83</v>
      </c>
      <c r="X922" s="18" t="s">
        <v>118</v>
      </c>
      <c r="Y922" s="18" t="s">
        <v>85</v>
      </c>
      <c r="Z922" s="18" t="s">
        <v>86</v>
      </c>
      <c r="AA922" s="18" t="s">
        <v>119</v>
      </c>
      <c r="AB922" s="18" t="s">
        <v>262</v>
      </c>
      <c r="AC922" s="18" t="s">
        <v>263</v>
      </c>
      <c r="AD922" s="18" t="s">
        <v>85</v>
      </c>
      <c r="AE922" s="18" t="s">
        <v>90</v>
      </c>
      <c r="AF922" s="18" t="s">
        <v>177</v>
      </c>
      <c r="AG922" s="18" t="s">
        <v>139</v>
      </c>
      <c r="AH922" s="18" t="s">
        <v>93</v>
      </c>
      <c r="AI922" s="18" t="s">
        <v>94</v>
      </c>
      <c r="AJ922" s="19">
        <v>44903</v>
      </c>
      <c r="AK922" s="22" t="s">
        <v>95</v>
      </c>
      <c r="AL922" s="18" t="s">
        <v>95</v>
      </c>
      <c r="AM922" s="18" t="s">
        <v>95</v>
      </c>
      <c r="AN922" s="18" t="s">
        <v>95</v>
      </c>
      <c r="AO922" s="18" t="s">
        <v>95</v>
      </c>
      <c r="AP922" s="18" t="s">
        <v>95</v>
      </c>
      <c r="AQ922" s="18" t="s">
        <v>95</v>
      </c>
      <c r="AR922" s="18" t="s">
        <v>95</v>
      </c>
      <c r="AS922" s="18" t="s">
        <v>83</v>
      </c>
      <c r="AT922" s="18" t="s">
        <v>81</v>
      </c>
      <c r="AU922" s="18" t="s">
        <v>81</v>
      </c>
      <c r="AV922" s="18" t="s">
        <v>95</v>
      </c>
      <c r="AW922" s="18" t="s">
        <v>95</v>
      </c>
      <c r="AX922" s="18"/>
      <c r="AY922" s="18" t="str">
        <f>Pospago[[#This Row],[NUM_TELEFONICO]]&amp;"POSPAGOSI"</f>
        <v>998117485POSPAGOSI</v>
      </c>
      <c r="AZ922" s="18" t="str">
        <f>VLOOKUP(Pospago[[#This Row],[NOM_PLAZA_FINAL]],[1]!Locales[#Data],3,0)</f>
        <v>TIENDA RECREO</v>
      </c>
      <c r="BA922" s="18" t="str">
        <f>IFERROR(VLOOKUP(Pospago[[#This Row],[USUARIO]],[1]!Personal[#Data],6,0),"EJECUTIVO NO REGISTRADO")</f>
        <v>CHICAIZA TOAPANTA ALEX DANILO</v>
      </c>
      <c r="BB922" s="18" t="str">
        <f>Pospago[[#This Row],[TIPO_MOVIMIENTO]]&amp;" "&amp;Pospago[[#This Row],[FORMA_PAGO_FINAL]]</f>
        <v>ALTAS PAGO EN CAJA</v>
      </c>
      <c r="BC922" s="18">
        <f>DAY(Pospago[[#This Row],[FECHA_ALTA]])</f>
        <v>8</v>
      </c>
      <c r="BD922" s="18">
        <f>IF(Pospago[[#This Row],[TARIFA_BASICA]]=11.42,1,0)</f>
        <v>0</v>
      </c>
      <c r="BE922" s="18">
        <f>IF(Pospago[[#This Row],[PLANES TELEVENTAS]]="SI",1,0)</f>
        <v>1</v>
      </c>
      <c r="BF922" s="18">
        <f>1</f>
        <v>1</v>
      </c>
      <c r="BG922" s="18">
        <f>IF(OR(Pospago[[#This Row],[TARIFA_BASICA]]=11.42,Pospago[[#This Row],[PLANES TELEVENTAS]]="SI"),1,0)</f>
        <v>1</v>
      </c>
      <c r="BH922" s="18" t="str">
        <f>IF(MID(Pospago[[#This Row],[PlanDesc]],1,4) = "PLAN","POSPAGO",IF(MID(Pospago[[#This Row],[PlanDesc]],1,4)="FULL","FULL MEGAS","PREVIOPAGO"))</f>
        <v>PREVIOPAGO</v>
      </c>
      <c r="BI9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9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22" s="21">
        <f>Pospago[[#This Row],[TARIFA_BASICA]]*1.5</f>
        <v>21.419999999999998</v>
      </c>
    </row>
    <row r="923" spans="1:63" x14ac:dyDescent="0.25">
      <c r="A923" s="18" t="s">
        <v>154</v>
      </c>
      <c r="B923" s="18" t="s">
        <v>5793</v>
      </c>
      <c r="C923" s="18" t="s">
        <v>5794</v>
      </c>
      <c r="D923" s="19">
        <v>44911</v>
      </c>
      <c r="E923" s="18" t="s">
        <v>67</v>
      </c>
      <c r="F923" s="18" t="s">
        <v>5795</v>
      </c>
      <c r="G923" s="18" t="s">
        <v>5796</v>
      </c>
      <c r="H923" s="18" t="s">
        <v>159</v>
      </c>
      <c r="I923" s="18" t="s">
        <v>160</v>
      </c>
      <c r="J923" s="18" t="s">
        <v>161</v>
      </c>
      <c r="K923" s="18" t="s">
        <v>73</v>
      </c>
      <c r="L923" s="20" t="s">
        <v>5797</v>
      </c>
      <c r="M923" s="18" t="s">
        <v>75</v>
      </c>
      <c r="N923" s="20" t="s">
        <v>5798</v>
      </c>
      <c r="O923" s="18" t="s">
        <v>164</v>
      </c>
      <c r="P923" s="18" t="s">
        <v>78</v>
      </c>
      <c r="Q923" s="19">
        <v>44914</v>
      </c>
      <c r="R923" s="21">
        <v>14.28</v>
      </c>
      <c r="S923" s="18" t="s">
        <v>79</v>
      </c>
      <c r="T923" s="18" t="s">
        <v>148</v>
      </c>
      <c r="U923" s="18" t="s">
        <v>83</v>
      </c>
      <c r="V923" s="18" t="s">
        <v>95</v>
      </c>
      <c r="W923" s="18" t="s">
        <v>95</v>
      </c>
      <c r="X923" s="18" t="s">
        <v>118</v>
      </c>
      <c r="Y923" s="18" t="s">
        <v>85</v>
      </c>
      <c r="Z923" s="18" t="s">
        <v>86</v>
      </c>
      <c r="AA923" s="18" t="s">
        <v>119</v>
      </c>
      <c r="AB923" s="18" t="s">
        <v>610</v>
      </c>
      <c r="AC923" s="18" t="s">
        <v>611</v>
      </c>
      <c r="AD923" s="18" t="s">
        <v>85</v>
      </c>
      <c r="AE923" s="18" t="s">
        <v>90</v>
      </c>
      <c r="AF923" s="18" t="s">
        <v>151</v>
      </c>
      <c r="AG923" s="18" t="s">
        <v>92</v>
      </c>
      <c r="AH923" s="18" t="s">
        <v>165</v>
      </c>
      <c r="AI923" s="18" t="s">
        <v>94</v>
      </c>
      <c r="AJ923" s="19">
        <v>44911</v>
      </c>
      <c r="AK923" s="22" t="s">
        <v>95</v>
      </c>
      <c r="AL923" s="18" t="s">
        <v>95</v>
      </c>
      <c r="AM923" s="18" t="s">
        <v>95</v>
      </c>
      <c r="AN923" s="18" t="s">
        <v>95</v>
      </c>
      <c r="AO923" s="18" t="s">
        <v>95</v>
      </c>
      <c r="AP923" s="18" t="s">
        <v>95</v>
      </c>
      <c r="AQ923" s="18" t="s">
        <v>95</v>
      </c>
      <c r="AR923" s="18" t="s">
        <v>95</v>
      </c>
      <c r="AS923" s="18" t="s">
        <v>83</v>
      </c>
      <c r="AT923" s="18" t="s">
        <v>83</v>
      </c>
      <c r="AU923" s="18" t="s">
        <v>81</v>
      </c>
      <c r="AV923" s="18" t="s">
        <v>95</v>
      </c>
      <c r="AW923" s="18"/>
      <c r="AX923" s="18"/>
      <c r="AY923" s="18" t="str">
        <f>Pospago[[#This Row],[NUM_TELEFONICO]]&amp;"POSPAGOSI"</f>
        <v>998121799POSPAGOSI</v>
      </c>
      <c r="AZ923" s="18" t="str">
        <f>VLOOKUP(Pospago[[#This Row],[NOM_PLAZA_FINAL]],[1]!Locales[#Data],3,0)</f>
        <v>TIENDA CUENCA REMIGIO</v>
      </c>
      <c r="BA923" s="18" t="str">
        <f>IFERROR(VLOOKUP(Pospago[[#This Row],[USUARIO]],[1]!Personal[#Data],6,0),"EJECUTIVO NO REGISTRADO")</f>
        <v>PATIÑO TAPIA ANDRES SANTIAGO</v>
      </c>
      <c r="BB923" s="18" t="str">
        <f>Pospago[[#This Row],[TIPO_MOVIMIENTO]]&amp;" "&amp;Pospago[[#This Row],[FORMA_PAGO_FINAL]]</f>
        <v>TRANSFERENCIAS PAGO EN CAJA</v>
      </c>
      <c r="BC923" s="18">
        <f>DAY(Pospago[[#This Row],[FECHA_ALTA]])</f>
        <v>16</v>
      </c>
      <c r="BD923" s="18">
        <f>IF(Pospago[[#This Row],[TARIFA_BASICA]]=11.42,1,0)</f>
        <v>0</v>
      </c>
      <c r="BE923" s="18">
        <f>IF(Pospago[[#This Row],[PLANES TELEVENTAS]]="SI",1,0)</f>
        <v>0</v>
      </c>
      <c r="BF923" s="18">
        <f>1</f>
        <v>1</v>
      </c>
      <c r="BG923" s="18">
        <f>IF(OR(Pospago[[#This Row],[TARIFA_BASICA]]=11.42,Pospago[[#This Row],[PLANES TELEVENTAS]]="SI"),1,0)</f>
        <v>0</v>
      </c>
      <c r="BH923" s="18" t="str">
        <f>IF(MID(Pospago[[#This Row],[PlanDesc]],1,4) = "PLAN","POSPAGO",IF(MID(Pospago[[#This Row],[PlanDesc]],1,4)="FULL","FULL MEGAS","PREVIOPAGO"))</f>
        <v>PREVIOPAGO</v>
      </c>
      <c r="BI9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23" s="21">
        <f>Pospago[[#This Row],[TARIFA_BASICA]]*1.5</f>
        <v>21.419999999999998</v>
      </c>
    </row>
    <row r="924" spans="1:63" x14ac:dyDescent="0.25">
      <c r="A924" s="18" t="s">
        <v>154</v>
      </c>
      <c r="B924" s="18" t="s">
        <v>5799</v>
      </c>
      <c r="C924" s="18" t="s">
        <v>5800</v>
      </c>
      <c r="D924" s="19">
        <v>44896</v>
      </c>
      <c r="E924" s="18" t="s">
        <v>67</v>
      </c>
      <c r="F924" s="18" t="s">
        <v>5801</v>
      </c>
      <c r="G924" s="18" t="s">
        <v>5802</v>
      </c>
      <c r="H924" s="18" t="s">
        <v>159</v>
      </c>
      <c r="I924" s="18" t="s">
        <v>160</v>
      </c>
      <c r="J924" s="18" t="s">
        <v>161</v>
      </c>
      <c r="K924" s="18" t="s">
        <v>132</v>
      </c>
      <c r="L924" s="20" t="s">
        <v>5803</v>
      </c>
      <c r="M924" s="18" t="s">
        <v>75</v>
      </c>
      <c r="N924" s="20" t="s">
        <v>5804</v>
      </c>
      <c r="O924" s="18" t="s">
        <v>164</v>
      </c>
      <c r="P924" s="18" t="s">
        <v>78</v>
      </c>
      <c r="Q924" s="19">
        <v>44914</v>
      </c>
      <c r="R924" s="21">
        <v>14.28</v>
      </c>
      <c r="S924" s="18" t="s">
        <v>79</v>
      </c>
      <c r="T924" s="18" t="s">
        <v>174</v>
      </c>
      <c r="U924" s="18" t="s">
        <v>83</v>
      </c>
      <c r="V924" s="18" t="s">
        <v>95</v>
      </c>
      <c r="W924" s="18" t="s">
        <v>95</v>
      </c>
      <c r="X924" s="18" t="s">
        <v>84</v>
      </c>
      <c r="Y924" s="18" t="s">
        <v>85</v>
      </c>
      <c r="Z924" s="18" t="s">
        <v>86</v>
      </c>
      <c r="AA924" s="18" t="s">
        <v>87</v>
      </c>
      <c r="AB924" s="18" t="s">
        <v>926</v>
      </c>
      <c r="AC924" s="18" t="s">
        <v>927</v>
      </c>
      <c r="AD924" s="18" t="s">
        <v>85</v>
      </c>
      <c r="AE924" s="18" t="s">
        <v>90</v>
      </c>
      <c r="AF924" s="18" t="s">
        <v>177</v>
      </c>
      <c r="AG924" s="18" t="s">
        <v>139</v>
      </c>
      <c r="AH924" s="18" t="s">
        <v>165</v>
      </c>
      <c r="AI924" s="18" t="s">
        <v>94</v>
      </c>
      <c r="AJ924" s="19">
        <v>44896</v>
      </c>
      <c r="AK924" s="22" t="s">
        <v>95</v>
      </c>
      <c r="AL924" s="18" t="s">
        <v>95</v>
      </c>
      <c r="AM924" s="18" t="s">
        <v>95</v>
      </c>
      <c r="AN924" s="18" t="s">
        <v>95</v>
      </c>
      <c r="AO924" s="18" t="s">
        <v>95</v>
      </c>
      <c r="AP924" s="18" t="s">
        <v>95</v>
      </c>
      <c r="AQ924" s="18" t="s">
        <v>95</v>
      </c>
      <c r="AR924" s="18" t="s">
        <v>95</v>
      </c>
      <c r="AS924" s="18" t="s">
        <v>83</v>
      </c>
      <c r="AT924" s="18" t="s">
        <v>83</v>
      </c>
      <c r="AU924" s="18" t="s">
        <v>81</v>
      </c>
      <c r="AV924" s="18" t="s">
        <v>95</v>
      </c>
      <c r="AW924" s="18"/>
      <c r="AX924" s="18"/>
      <c r="AY924" s="18" t="str">
        <f>Pospago[[#This Row],[NUM_TELEFONICO]]&amp;"POSPAGOSI"</f>
        <v>998126587POSPAGOSI</v>
      </c>
      <c r="AZ924" s="18" t="str">
        <f>VLOOKUP(Pospago[[#This Row],[NOM_PLAZA_FINAL]],[1]!Locales[#Data],3,0)</f>
        <v>TIENDA RECREO</v>
      </c>
      <c r="BA924" s="18" t="str">
        <f>IFERROR(VLOOKUP(Pospago[[#This Row],[USUARIO]],[1]!Personal[#Data],6,0),"EJECUTIVO NO REGISTRADO")</f>
        <v>CABEZAS LOPEZ ROBERTO ALEJANDRO</v>
      </c>
      <c r="BB924" s="18" t="str">
        <f>Pospago[[#This Row],[TIPO_MOVIMIENTO]]&amp;" "&amp;Pospago[[#This Row],[FORMA_PAGO_FINAL]]</f>
        <v>TRANSFERENCIAS DOMICILIADO</v>
      </c>
      <c r="BC924" s="18">
        <f>DAY(Pospago[[#This Row],[FECHA_ALTA]])</f>
        <v>1</v>
      </c>
      <c r="BD924" s="18">
        <f>IF(Pospago[[#This Row],[TARIFA_BASICA]]=11.42,1,0)</f>
        <v>0</v>
      </c>
      <c r="BE924" s="18">
        <f>IF(Pospago[[#This Row],[PLANES TELEVENTAS]]="SI",1,0)</f>
        <v>0</v>
      </c>
      <c r="BF924" s="18">
        <f>1</f>
        <v>1</v>
      </c>
      <c r="BG924" s="18">
        <f>IF(OR(Pospago[[#This Row],[TARIFA_BASICA]]=11.42,Pospago[[#This Row],[PLANES TELEVENTAS]]="SI"),1,0)</f>
        <v>0</v>
      </c>
      <c r="BH924" s="18" t="str">
        <f>IF(MID(Pospago[[#This Row],[PlanDesc]],1,4) = "PLAN","POSPAGO",IF(MID(Pospago[[#This Row],[PlanDesc]],1,4)="FULL","FULL MEGAS","PREVIOPAGO"))</f>
        <v>PREVIOPAGO</v>
      </c>
      <c r="BI9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24" s="21">
        <f>Pospago[[#This Row],[TARIFA_BASICA]]*1.5</f>
        <v>21.419999999999998</v>
      </c>
    </row>
    <row r="925" spans="1:63" x14ac:dyDescent="0.25">
      <c r="A925" s="18" t="s">
        <v>154</v>
      </c>
      <c r="B925" s="18" t="s">
        <v>5805</v>
      </c>
      <c r="C925" s="18" t="s">
        <v>5806</v>
      </c>
      <c r="D925" s="19">
        <v>44907</v>
      </c>
      <c r="E925" s="18" t="s">
        <v>67</v>
      </c>
      <c r="F925" s="18" t="s">
        <v>5807</v>
      </c>
      <c r="G925" s="18" t="s">
        <v>5808</v>
      </c>
      <c r="H925" s="18" t="s">
        <v>159</v>
      </c>
      <c r="I925" s="18" t="s">
        <v>71</v>
      </c>
      <c r="J925" s="18" t="s">
        <v>258</v>
      </c>
      <c r="K925" s="18" t="s">
        <v>73</v>
      </c>
      <c r="L925" s="20" t="s">
        <v>5809</v>
      </c>
      <c r="M925" s="18" t="s">
        <v>75</v>
      </c>
      <c r="N925" s="20" t="s">
        <v>5810</v>
      </c>
      <c r="O925" s="18" t="s">
        <v>164</v>
      </c>
      <c r="P925" s="18" t="s">
        <v>78</v>
      </c>
      <c r="Q925" s="19">
        <v>44914</v>
      </c>
      <c r="R925" s="21">
        <v>11.42</v>
      </c>
      <c r="S925" s="18" t="s">
        <v>79</v>
      </c>
      <c r="T925" s="18" t="s">
        <v>174</v>
      </c>
      <c r="U925" s="18" t="s">
        <v>83</v>
      </c>
      <c r="V925" s="18" t="s">
        <v>95</v>
      </c>
      <c r="W925" s="18" t="s">
        <v>95</v>
      </c>
      <c r="X925" s="18" t="s">
        <v>118</v>
      </c>
      <c r="Y925" s="18" t="s">
        <v>85</v>
      </c>
      <c r="Z925" s="18" t="s">
        <v>86</v>
      </c>
      <c r="AA925" s="18" t="s">
        <v>119</v>
      </c>
      <c r="AB925" s="18" t="s">
        <v>492</v>
      </c>
      <c r="AC925" s="18" t="s">
        <v>493</v>
      </c>
      <c r="AD925" s="18" t="s">
        <v>85</v>
      </c>
      <c r="AE925" s="18" t="s">
        <v>90</v>
      </c>
      <c r="AF925" s="18" t="s">
        <v>177</v>
      </c>
      <c r="AG925" s="18" t="s">
        <v>139</v>
      </c>
      <c r="AH925" s="18" t="s">
        <v>165</v>
      </c>
      <c r="AI925" s="18" t="s">
        <v>94</v>
      </c>
      <c r="AJ925" s="19">
        <v>44907</v>
      </c>
      <c r="AK925" s="22" t="s">
        <v>95</v>
      </c>
      <c r="AL925" s="18" t="s">
        <v>95</v>
      </c>
      <c r="AM925" s="18" t="s">
        <v>95</v>
      </c>
      <c r="AN925" s="18" t="s">
        <v>95</v>
      </c>
      <c r="AO925" s="18" t="s">
        <v>95</v>
      </c>
      <c r="AP925" s="18" t="s">
        <v>95</v>
      </c>
      <c r="AQ925" s="18" t="s">
        <v>95</v>
      </c>
      <c r="AR925" s="18" t="s">
        <v>95</v>
      </c>
      <c r="AS925" s="18" t="s">
        <v>83</v>
      </c>
      <c r="AT925" s="18" t="s">
        <v>83</v>
      </c>
      <c r="AU925" s="18" t="s">
        <v>81</v>
      </c>
      <c r="AV925" s="18" t="s">
        <v>95</v>
      </c>
      <c r="AW925" s="18"/>
      <c r="AX925" s="18"/>
      <c r="AY925" s="18" t="str">
        <f>Pospago[[#This Row],[NUM_TELEFONICO]]&amp;"POSPAGOSI"</f>
        <v>998128881POSPAGOSI</v>
      </c>
      <c r="AZ925" s="18" t="str">
        <f>VLOOKUP(Pospago[[#This Row],[NOM_PLAZA_FINAL]],[1]!Locales[#Data],3,0)</f>
        <v>TIENDA RECREO</v>
      </c>
      <c r="BA925" s="18" t="str">
        <f>IFERROR(VLOOKUP(Pospago[[#This Row],[USUARIO]],[1]!Personal[#Data],6,0),"EJECUTIVO NO REGISTRADO")</f>
        <v>CONDO GARCIA NICOLAS MATIAS</v>
      </c>
      <c r="BB925" s="18" t="str">
        <f>Pospago[[#This Row],[TIPO_MOVIMIENTO]]&amp;" "&amp;Pospago[[#This Row],[FORMA_PAGO_FINAL]]</f>
        <v>TRANSFERENCIAS PAGO EN CAJA</v>
      </c>
      <c r="BC925" s="18">
        <f>DAY(Pospago[[#This Row],[FECHA_ALTA]])</f>
        <v>12</v>
      </c>
      <c r="BD925" s="18">
        <f>IF(Pospago[[#This Row],[TARIFA_BASICA]]=11.42,1,0)</f>
        <v>1</v>
      </c>
      <c r="BE925" s="18">
        <f>IF(Pospago[[#This Row],[PLANES TELEVENTAS]]="SI",1,0)</f>
        <v>0</v>
      </c>
      <c r="BF925" s="18">
        <f>1</f>
        <v>1</v>
      </c>
      <c r="BG925" s="18">
        <f>IF(OR(Pospago[[#This Row],[TARIFA_BASICA]]=11.42,Pospago[[#This Row],[PLANES TELEVENTAS]]="SI"),1,0)</f>
        <v>1</v>
      </c>
      <c r="BH925" s="18" t="str">
        <f>IF(MID(Pospago[[#This Row],[PlanDesc]],1,4) = "PLAN","POSPAGO",IF(MID(Pospago[[#This Row],[PlanDesc]],1,4)="FULL","FULL MEGAS","PREVIOPAGO"))</f>
        <v>PREVIOPAGO</v>
      </c>
      <c r="BI9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9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25" s="21">
        <f>Pospago[[#This Row],[TARIFA_BASICA]]*1.5</f>
        <v>17.13</v>
      </c>
    </row>
    <row r="926" spans="1:63" x14ac:dyDescent="0.25">
      <c r="A926" s="18" t="s">
        <v>64</v>
      </c>
      <c r="B926" s="18" t="s">
        <v>5811</v>
      </c>
      <c r="C926" s="18" t="s">
        <v>5812</v>
      </c>
      <c r="D926" s="19">
        <v>44900</v>
      </c>
      <c r="E926" s="18" t="s">
        <v>67</v>
      </c>
      <c r="F926" s="18" t="s">
        <v>5813</v>
      </c>
      <c r="G926" s="18" t="s">
        <v>5814</v>
      </c>
      <c r="H926" s="18" t="s">
        <v>70</v>
      </c>
      <c r="I926" s="18" t="s">
        <v>130</v>
      </c>
      <c r="J926" s="18" t="s">
        <v>131</v>
      </c>
      <c r="K926" s="18" t="s">
        <v>73</v>
      </c>
      <c r="L926" s="20" t="s">
        <v>5815</v>
      </c>
      <c r="M926" s="18" t="s">
        <v>75</v>
      </c>
      <c r="N926" s="20" t="s">
        <v>5816</v>
      </c>
      <c r="O926" s="18" t="s">
        <v>77</v>
      </c>
      <c r="P926" s="18" t="s">
        <v>78</v>
      </c>
      <c r="Q926" s="19">
        <v>44914</v>
      </c>
      <c r="R926" s="21">
        <v>15</v>
      </c>
      <c r="S926" s="18" t="s">
        <v>79</v>
      </c>
      <c r="T926" s="18" t="s">
        <v>135</v>
      </c>
      <c r="U926" s="18" t="s">
        <v>83</v>
      </c>
      <c r="V926" s="18" t="s">
        <v>95</v>
      </c>
      <c r="W926" s="18" t="s">
        <v>83</v>
      </c>
      <c r="X926" s="18" t="s">
        <v>118</v>
      </c>
      <c r="Y926" s="18" t="s">
        <v>85</v>
      </c>
      <c r="Z926" s="18" t="s">
        <v>86</v>
      </c>
      <c r="AA926" s="18" t="s">
        <v>119</v>
      </c>
      <c r="AB926" s="18" t="s">
        <v>326</v>
      </c>
      <c r="AC926" s="18" t="s">
        <v>327</v>
      </c>
      <c r="AD926" s="18" t="s">
        <v>85</v>
      </c>
      <c r="AE926" s="18" t="s">
        <v>90</v>
      </c>
      <c r="AF926" s="18" t="s">
        <v>138</v>
      </c>
      <c r="AG926" s="18" t="s">
        <v>139</v>
      </c>
      <c r="AH926" s="18" t="s">
        <v>93</v>
      </c>
      <c r="AI926" s="18" t="s">
        <v>94</v>
      </c>
      <c r="AJ926" s="19">
        <v>44900</v>
      </c>
      <c r="AK926" s="22" t="s">
        <v>95</v>
      </c>
      <c r="AL926" s="18" t="s">
        <v>95</v>
      </c>
      <c r="AM926" s="18" t="s">
        <v>95</v>
      </c>
      <c r="AN926" s="18" t="s">
        <v>95</v>
      </c>
      <c r="AO926" s="18" t="s">
        <v>95</v>
      </c>
      <c r="AP926" s="18" t="s">
        <v>95</v>
      </c>
      <c r="AQ926" s="18" t="s">
        <v>95</v>
      </c>
      <c r="AR926" s="18" t="s">
        <v>95</v>
      </c>
      <c r="AS926" s="18" t="s">
        <v>83</v>
      </c>
      <c r="AT926" s="18" t="s">
        <v>83</v>
      </c>
      <c r="AU926" s="18" t="s">
        <v>81</v>
      </c>
      <c r="AV926" s="18" t="s">
        <v>95</v>
      </c>
      <c r="AW926" s="18"/>
      <c r="AX926" s="18"/>
      <c r="AY926" s="18" t="str">
        <f>Pospago[[#This Row],[NUM_TELEFONICO]]&amp;"POSPAGOSI"</f>
        <v>998150207POSPAGOSI</v>
      </c>
      <c r="AZ926" s="18" t="str">
        <f>VLOOKUP(Pospago[[#This Row],[NOM_PLAZA_FINAL]],[1]!Locales[#Data],3,0)</f>
        <v>TIENDA AMERICA</v>
      </c>
      <c r="BA926" s="18" t="str">
        <f>IFERROR(VLOOKUP(Pospago[[#This Row],[USUARIO]],[1]!Personal[#Data],6,0),"EJECUTIVO NO REGISTRADO")</f>
        <v>AMBULUDI ROLDAN GIANELLA GRIMANEZA</v>
      </c>
      <c r="BB926" s="18" t="str">
        <f>Pospago[[#This Row],[TIPO_MOVIMIENTO]]&amp;" "&amp;Pospago[[#This Row],[FORMA_PAGO_FINAL]]</f>
        <v>ALTAS PAGO EN CAJA</v>
      </c>
      <c r="BC926" s="18">
        <f>DAY(Pospago[[#This Row],[FECHA_ALTA]])</f>
        <v>5</v>
      </c>
      <c r="BD926" s="18">
        <f>IF(Pospago[[#This Row],[TARIFA_BASICA]]=11.42,1,0)</f>
        <v>0</v>
      </c>
      <c r="BE926" s="18">
        <f>IF(Pospago[[#This Row],[PLANES TELEVENTAS]]="SI",1,0)</f>
        <v>0</v>
      </c>
      <c r="BF926" s="18">
        <f>1</f>
        <v>1</v>
      </c>
      <c r="BG926" s="18">
        <f>IF(OR(Pospago[[#This Row],[TARIFA_BASICA]]=11.42,Pospago[[#This Row],[PLANES TELEVENTAS]]="SI"),1,0)</f>
        <v>0</v>
      </c>
      <c r="BH926" s="18" t="str">
        <f>IF(MID(Pospago[[#This Row],[PlanDesc]],1,4) = "PLAN","POSPAGO",IF(MID(Pospago[[#This Row],[PlanDesc]],1,4)="FULL","FULL MEGAS","PREVIOPAGO"))</f>
        <v>PREVIOPAGO</v>
      </c>
      <c r="BI9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9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26" s="21">
        <f>Pospago[[#This Row],[TARIFA_BASICA]]*1.5</f>
        <v>22.5</v>
      </c>
    </row>
    <row r="927" spans="1:63" x14ac:dyDescent="0.25">
      <c r="A927" s="18" t="s">
        <v>154</v>
      </c>
      <c r="B927" s="18" t="s">
        <v>5817</v>
      </c>
      <c r="C927" s="18" t="s">
        <v>5818</v>
      </c>
      <c r="D927" s="19">
        <v>44903</v>
      </c>
      <c r="E927" s="18" t="s">
        <v>67</v>
      </c>
      <c r="F927" s="18" t="s">
        <v>5819</v>
      </c>
      <c r="G927" s="18" t="s">
        <v>5820</v>
      </c>
      <c r="H927" s="18" t="s">
        <v>159</v>
      </c>
      <c r="I927" s="18" t="s">
        <v>160</v>
      </c>
      <c r="J927" s="18" t="s">
        <v>161</v>
      </c>
      <c r="K927" s="18" t="s">
        <v>95</v>
      </c>
      <c r="L927" s="20" t="s">
        <v>5821</v>
      </c>
      <c r="M927" s="18" t="s">
        <v>75</v>
      </c>
      <c r="N927" s="20" t="s">
        <v>5822</v>
      </c>
      <c r="O927" s="18" t="s">
        <v>164</v>
      </c>
      <c r="P927" s="18" t="s">
        <v>78</v>
      </c>
      <c r="Q927" s="19">
        <v>44914</v>
      </c>
      <c r="R927" s="21">
        <v>14.28</v>
      </c>
      <c r="S927" s="18" t="s">
        <v>79</v>
      </c>
      <c r="T927" s="18" t="s">
        <v>174</v>
      </c>
      <c r="U927" s="18" t="s">
        <v>83</v>
      </c>
      <c r="V927" s="18" t="s">
        <v>95</v>
      </c>
      <c r="W927" s="18" t="s">
        <v>95</v>
      </c>
      <c r="X927" s="18" t="s">
        <v>84</v>
      </c>
      <c r="Y927" s="18" t="s">
        <v>85</v>
      </c>
      <c r="Z927" s="18" t="s">
        <v>86</v>
      </c>
      <c r="AA927" s="18" t="s">
        <v>87</v>
      </c>
      <c r="AB927" s="18" t="s">
        <v>808</v>
      </c>
      <c r="AC927" s="18" t="s">
        <v>809</v>
      </c>
      <c r="AD927" s="18" t="s">
        <v>85</v>
      </c>
      <c r="AE927" s="18" t="s">
        <v>90</v>
      </c>
      <c r="AF927" s="18" t="s">
        <v>122</v>
      </c>
      <c r="AG927" s="18" t="s">
        <v>92</v>
      </c>
      <c r="AH927" s="18" t="s">
        <v>165</v>
      </c>
      <c r="AI927" s="18" t="s">
        <v>94</v>
      </c>
      <c r="AJ927" s="19">
        <v>44903</v>
      </c>
      <c r="AK927" s="22" t="s">
        <v>95</v>
      </c>
      <c r="AL927" s="18" t="s">
        <v>95</v>
      </c>
      <c r="AM927" s="18" t="s">
        <v>95</v>
      </c>
      <c r="AN927" s="18" t="s">
        <v>95</v>
      </c>
      <c r="AO927" s="18" t="s">
        <v>95</v>
      </c>
      <c r="AP927" s="18" t="s">
        <v>95</v>
      </c>
      <c r="AQ927" s="18" t="s">
        <v>95</v>
      </c>
      <c r="AR927" s="18" t="s">
        <v>95</v>
      </c>
      <c r="AS927" s="18" t="s">
        <v>83</v>
      </c>
      <c r="AT927" s="18" t="s">
        <v>83</v>
      </c>
      <c r="AU927" s="18" t="s">
        <v>81</v>
      </c>
      <c r="AV927" s="18" t="s">
        <v>95</v>
      </c>
      <c r="AW927" s="18"/>
      <c r="AX927" s="18"/>
      <c r="AY927" s="18" t="str">
        <f>Pospago[[#This Row],[NUM_TELEFONICO]]&amp;"POSPAGOSI"</f>
        <v>998154855POSPAGOSI</v>
      </c>
      <c r="AZ927" s="18" t="str">
        <f>VLOOKUP(Pospago[[#This Row],[NOM_PLAZA_FINAL]],[1]!Locales[#Data],3,0)</f>
        <v>TIENDA MACHALA</v>
      </c>
      <c r="BA927" s="18" t="str">
        <f>IFERROR(VLOOKUP(Pospago[[#This Row],[USUARIO]],[1]!Personal[#Data],6,0),"EJECUTIVO NO REGISTRADO")</f>
        <v>ALICIA ROMINA GONZALEZ SANDOYA</v>
      </c>
      <c r="BB927" s="18" t="str">
        <f>Pospago[[#This Row],[TIPO_MOVIMIENTO]]&amp;" "&amp;Pospago[[#This Row],[FORMA_PAGO_FINAL]]</f>
        <v>TRANSFERENCIAS DOMICILIADO</v>
      </c>
      <c r="BC927" s="18">
        <f>DAY(Pospago[[#This Row],[FECHA_ALTA]])</f>
        <v>8</v>
      </c>
      <c r="BD927" s="18">
        <f>IF(Pospago[[#This Row],[TARIFA_BASICA]]=11.42,1,0)</f>
        <v>0</v>
      </c>
      <c r="BE927" s="18">
        <f>IF(Pospago[[#This Row],[PLANES TELEVENTAS]]="SI",1,0)</f>
        <v>0</v>
      </c>
      <c r="BF927" s="18">
        <f>1</f>
        <v>1</v>
      </c>
      <c r="BG927" s="18">
        <f>IF(OR(Pospago[[#This Row],[TARIFA_BASICA]]=11.42,Pospago[[#This Row],[PLANES TELEVENTAS]]="SI"),1,0)</f>
        <v>0</v>
      </c>
      <c r="BH927" s="18" t="str">
        <f>IF(MID(Pospago[[#This Row],[PlanDesc]],1,4) = "PLAN","POSPAGO",IF(MID(Pospago[[#This Row],[PlanDesc]],1,4)="FULL","FULL MEGAS","PREVIOPAGO"))</f>
        <v>PREVIOPAGO</v>
      </c>
      <c r="BI9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7.26</v>
      </c>
      <c r="BJ9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27" s="21">
        <f>Pospago[[#This Row],[TARIFA_BASICA]]*1.5</f>
        <v>21.419999999999998</v>
      </c>
    </row>
    <row r="928" spans="1:63" x14ac:dyDescent="0.25">
      <c r="A928" s="18" t="s">
        <v>154</v>
      </c>
      <c r="B928" s="18" t="s">
        <v>5823</v>
      </c>
      <c r="C928" s="18" t="s">
        <v>5824</v>
      </c>
      <c r="D928" s="19">
        <v>44909</v>
      </c>
      <c r="E928" s="18" t="s">
        <v>67</v>
      </c>
      <c r="F928" s="18" t="s">
        <v>5825</v>
      </c>
      <c r="G928" s="18" t="s">
        <v>5826</v>
      </c>
      <c r="H928" s="18" t="s">
        <v>159</v>
      </c>
      <c r="I928" s="18" t="s">
        <v>160</v>
      </c>
      <c r="J928" s="18" t="s">
        <v>161</v>
      </c>
      <c r="K928" s="18" t="s">
        <v>73</v>
      </c>
      <c r="L928" s="20" t="s">
        <v>5827</v>
      </c>
      <c r="M928" s="18" t="s">
        <v>75</v>
      </c>
      <c r="N928" s="20" t="s">
        <v>5828</v>
      </c>
      <c r="O928" s="18" t="s">
        <v>164</v>
      </c>
      <c r="P928" s="18" t="s">
        <v>78</v>
      </c>
      <c r="Q928" s="19">
        <v>44914</v>
      </c>
      <c r="R928" s="21">
        <v>14.28</v>
      </c>
      <c r="S928" s="18" t="s">
        <v>79</v>
      </c>
      <c r="T928" s="18" t="s">
        <v>148</v>
      </c>
      <c r="U928" s="18" t="s">
        <v>83</v>
      </c>
      <c r="V928" s="18" t="s">
        <v>95</v>
      </c>
      <c r="W928" s="18" t="s">
        <v>95</v>
      </c>
      <c r="X928" s="18" t="s">
        <v>84</v>
      </c>
      <c r="Y928" s="18" t="s">
        <v>85</v>
      </c>
      <c r="Z928" s="18" t="s">
        <v>86</v>
      </c>
      <c r="AA928" s="18" t="s">
        <v>87</v>
      </c>
      <c r="AB928" s="18" t="s">
        <v>318</v>
      </c>
      <c r="AC928" s="18" t="s">
        <v>319</v>
      </c>
      <c r="AD928" s="18" t="s">
        <v>85</v>
      </c>
      <c r="AE928" s="18" t="s">
        <v>90</v>
      </c>
      <c r="AF928" s="18" t="s">
        <v>151</v>
      </c>
      <c r="AG928" s="18" t="s">
        <v>92</v>
      </c>
      <c r="AH928" s="18" t="s">
        <v>165</v>
      </c>
      <c r="AI928" s="18" t="s">
        <v>94</v>
      </c>
      <c r="AJ928" s="19">
        <v>44909</v>
      </c>
      <c r="AK928" s="22" t="s">
        <v>95</v>
      </c>
      <c r="AL928" s="18" t="s">
        <v>95</v>
      </c>
      <c r="AM928" s="18" t="s">
        <v>95</v>
      </c>
      <c r="AN928" s="18" t="s">
        <v>95</v>
      </c>
      <c r="AO928" s="18" t="s">
        <v>95</v>
      </c>
      <c r="AP928" s="18" t="s">
        <v>95</v>
      </c>
      <c r="AQ928" s="18" t="s">
        <v>95</v>
      </c>
      <c r="AR928" s="18" t="s">
        <v>95</v>
      </c>
      <c r="AS928" s="18" t="s">
        <v>83</v>
      </c>
      <c r="AT928" s="18" t="s">
        <v>83</v>
      </c>
      <c r="AU928" s="18" t="s">
        <v>81</v>
      </c>
      <c r="AV928" s="18" t="s">
        <v>95</v>
      </c>
      <c r="AW928" s="18"/>
      <c r="AX928" s="18"/>
      <c r="AY928" s="18" t="str">
        <f>Pospago[[#This Row],[NUM_TELEFONICO]]&amp;"POSPAGOSI"</f>
        <v>998159467POSPAGOSI</v>
      </c>
      <c r="AZ928" s="18" t="str">
        <f>VLOOKUP(Pospago[[#This Row],[NOM_PLAZA_FINAL]],[1]!Locales[#Data],3,0)</f>
        <v>TIENDA CUENCA REMIGIO</v>
      </c>
      <c r="BA928" s="18" t="str">
        <f>IFERROR(VLOOKUP(Pospago[[#This Row],[USUARIO]],[1]!Personal[#Data],6,0),"EJECUTIVO NO REGISTRADO")</f>
        <v>RODRIGUEZ QUITO JESSICA GABRIELA</v>
      </c>
      <c r="BB928" s="18" t="str">
        <f>Pospago[[#This Row],[TIPO_MOVIMIENTO]]&amp;" "&amp;Pospago[[#This Row],[FORMA_PAGO_FINAL]]</f>
        <v>TRANSFERENCIAS DOMICILIADO</v>
      </c>
      <c r="BC928" s="18">
        <f>DAY(Pospago[[#This Row],[FECHA_ALTA]])</f>
        <v>14</v>
      </c>
      <c r="BD928" s="18">
        <f>IF(Pospago[[#This Row],[TARIFA_BASICA]]=11.42,1,0)</f>
        <v>0</v>
      </c>
      <c r="BE928" s="18">
        <f>IF(Pospago[[#This Row],[PLANES TELEVENTAS]]="SI",1,0)</f>
        <v>0</v>
      </c>
      <c r="BF928" s="18">
        <f>1</f>
        <v>1</v>
      </c>
      <c r="BG928" s="18">
        <f>IF(OR(Pospago[[#This Row],[TARIFA_BASICA]]=11.42,Pospago[[#This Row],[PLANES TELEVENTAS]]="SI"),1,0)</f>
        <v>0</v>
      </c>
      <c r="BH928" s="18" t="str">
        <f>IF(MID(Pospago[[#This Row],[PlanDesc]],1,4) = "PLAN","POSPAGO",IF(MID(Pospago[[#This Row],[PlanDesc]],1,4)="FULL","FULL MEGAS","PREVIOPAGO"))</f>
        <v>PREVIOPAGO</v>
      </c>
      <c r="BI9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28" s="21">
        <f>Pospago[[#This Row],[TARIFA_BASICA]]*1.5</f>
        <v>21.419999999999998</v>
      </c>
    </row>
    <row r="929" spans="1:63" x14ac:dyDescent="0.25">
      <c r="A929" s="18" t="s">
        <v>64</v>
      </c>
      <c r="B929" s="18" t="s">
        <v>5829</v>
      </c>
      <c r="C929" s="18" t="s">
        <v>5830</v>
      </c>
      <c r="D929" s="19">
        <v>44901</v>
      </c>
      <c r="E929" s="18" t="s">
        <v>67</v>
      </c>
      <c r="F929" s="18" t="s">
        <v>5831</v>
      </c>
      <c r="G929" s="18" t="s">
        <v>5832</v>
      </c>
      <c r="H929" s="18" t="s">
        <v>70</v>
      </c>
      <c r="I929" s="18" t="s">
        <v>130</v>
      </c>
      <c r="J929" s="18" t="s">
        <v>131</v>
      </c>
      <c r="K929" s="18" t="s">
        <v>73</v>
      </c>
      <c r="L929" s="20" t="s">
        <v>5833</v>
      </c>
      <c r="M929" s="18" t="s">
        <v>75</v>
      </c>
      <c r="N929" s="20" t="s">
        <v>5834</v>
      </c>
      <c r="O929" s="18" t="s">
        <v>77</v>
      </c>
      <c r="P929" s="18" t="s">
        <v>78</v>
      </c>
      <c r="Q929" s="19">
        <v>44914</v>
      </c>
      <c r="R929" s="21">
        <v>15</v>
      </c>
      <c r="S929" s="18" t="s">
        <v>79</v>
      </c>
      <c r="T929" s="18" t="s">
        <v>148</v>
      </c>
      <c r="U929" s="18" t="s">
        <v>83</v>
      </c>
      <c r="V929" s="18" t="s">
        <v>95</v>
      </c>
      <c r="W929" s="18" t="s">
        <v>83</v>
      </c>
      <c r="X929" s="18" t="s">
        <v>118</v>
      </c>
      <c r="Y929" s="18" t="s">
        <v>85</v>
      </c>
      <c r="Z929" s="18" t="s">
        <v>86</v>
      </c>
      <c r="AA929" s="18" t="s">
        <v>119</v>
      </c>
      <c r="AB929" s="18" t="s">
        <v>149</v>
      </c>
      <c r="AC929" s="18" t="s">
        <v>150</v>
      </c>
      <c r="AD929" s="18" t="s">
        <v>85</v>
      </c>
      <c r="AE929" s="18" t="s">
        <v>90</v>
      </c>
      <c r="AF929" s="18" t="s">
        <v>151</v>
      </c>
      <c r="AG929" s="18" t="s">
        <v>92</v>
      </c>
      <c r="AH929" s="18" t="s">
        <v>93</v>
      </c>
      <c r="AI929" s="18" t="s">
        <v>94</v>
      </c>
      <c r="AJ929" s="19">
        <v>44901</v>
      </c>
      <c r="AK929" s="22" t="s">
        <v>95</v>
      </c>
      <c r="AL929" s="18" t="s">
        <v>95</v>
      </c>
      <c r="AM929" s="18" t="s">
        <v>95</v>
      </c>
      <c r="AN929" s="18" t="s">
        <v>95</v>
      </c>
      <c r="AO929" s="18" t="s">
        <v>95</v>
      </c>
      <c r="AP929" s="18" t="s">
        <v>95</v>
      </c>
      <c r="AQ929" s="18" t="s">
        <v>95</v>
      </c>
      <c r="AR929" s="18" t="s">
        <v>95</v>
      </c>
      <c r="AS929" s="18" t="s">
        <v>83</v>
      </c>
      <c r="AT929" s="18" t="s">
        <v>83</v>
      </c>
      <c r="AU929" s="18" t="s">
        <v>81</v>
      </c>
      <c r="AV929" s="18" t="s">
        <v>95</v>
      </c>
      <c r="AW929" s="18"/>
      <c r="AX929" s="18"/>
      <c r="AY929" s="18" t="str">
        <f>Pospago[[#This Row],[NUM_TELEFONICO]]&amp;"POSPAGOSI"</f>
        <v>998165690POSPAGOSI</v>
      </c>
      <c r="AZ929" s="18" t="str">
        <f>VLOOKUP(Pospago[[#This Row],[NOM_PLAZA_FINAL]],[1]!Locales[#Data],3,0)</f>
        <v>TIENDA CUENCA REMIGIO</v>
      </c>
      <c r="BA929" s="18" t="str">
        <f>IFERROR(VLOOKUP(Pospago[[#This Row],[USUARIO]],[1]!Personal[#Data],6,0),"EJECUTIVO NO REGISTRADO")</f>
        <v>OSORIO TEJADA ANA ESTEFANIA</v>
      </c>
      <c r="BB929" s="18" t="str">
        <f>Pospago[[#This Row],[TIPO_MOVIMIENTO]]&amp;" "&amp;Pospago[[#This Row],[FORMA_PAGO_FINAL]]</f>
        <v>ALTAS PAGO EN CAJA</v>
      </c>
      <c r="BC929" s="18">
        <f>DAY(Pospago[[#This Row],[FECHA_ALTA]])</f>
        <v>6</v>
      </c>
      <c r="BD929" s="18">
        <f>IF(Pospago[[#This Row],[TARIFA_BASICA]]=11.42,1,0)</f>
        <v>0</v>
      </c>
      <c r="BE929" s="18">
        <f>IF(Pospago[[#This Row],[PLANES TELEVENTAS]]="SI",1,0)</f>
        <v>0</v>
      </c>
      <c r="BF929" s="18">
        <f>1</f>
        <v>1</v>
      </c>
      <c r="BG929" s="18">
        <f>IF(OR(Pospago[[#This Row],[TARIFA_BASICA]]=11.42,Pospago[[#This Row],[PLANES TELEVENTAS]]="SI"),1,0)</f>
        <v>0</v>
      </c>
      <c r="BH929" s="18" t="str">
        <f>IF(MID(Pospago[[#This Row],[PlanDesc]],1,4) = "PLAN","POSPAGO",IF(MID(Pospago[[#This Row],[PlanDesc]],1,4)="FULL","FULL MEGAS","PREVIOPAGO"))</f>
        <v>PREVIOPAGO</v>
      </c>
      <c r="BI9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9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29" s="21">
        <f>Pospago[[#This Row],[TARIFA_BASICA]]*1.5</f>
        <v>22.5</v>
      </c>
    </row>
    <row r="930" spans="1:63" x14ac:dyDescent="0.25">
      <c r="A930" s="18" t="s">
        <v>154</v>
      </c>
      <c r="B930" s="18" t="s">
        <v>5835</v>
      </c>
      <c r="C930" s="18" t="s">
        <v>5836</v>
      </c>
      <c r="D930" s="19">
        <v>44909</v>
      </c>
      <c r="E930" s="18" t="s">
        <v>67</v>
      </c>
      <c r="F930" s="18" t="s">
        <v>5837</v>
      </c>
      <c r="G930" s="18" t="s">
        <v>5838</v>
      </c>
      <c r="H930" s="18" t="s">
        <v>159</v>
      </c>
      <c r="I930" s="18" t="s">
        <v>160</v>
      </c>
      <c r="J930" s="18" t="s">
        <v>161</v>
      </c>
      <c r="K930" s="18" t="s">
        <v>73</v>
      </c>
      <c r="L930" s="20" t="s">
        <v>5839</v>
      </c>
      <c r="M930" s="18" t="s">
        <v>75</v>
      </c>
      <c r="N930" s="20" t="s">
        <v>5840</v>
      </c>
      <c r="O930" s="18" t="s">
        <v>231</v>
      </c>
      <c r="P930" s="18" t="s">
        <v>78</v>
      </c>
      <c r="Q930" s="19">
        <v>44914</v>
      </c>
      <c r="R930" s="21">
        <v>14.28</v>
      </c>
      <c r="S930" s="18" t="s">
        <v>79</v>
      </c>
      <c r="T930" s="18" t="s">
        <v>80</v>
      </c>
      <c r="U930" s="18" t="s">
        <v>83</v>
      </c>
      <c r="V930" s="18" t="s">
        <v>95</v>
      </c>
      <c r="W930" s="18" t="s">
        <v>95</v>
      </c>
      <c r="X930" s="18" t="s">
        <v>84</v>
      </c>
      <c r="Y930" s="18" t="s">
        <v>85</v>
      </c>
      <c r="Z930" s="18" t="s">
        <v>86</v>
      </c>
      <c r="AA930" s="18" t="s">
        <v>87</v>
      </c>
      <c r="AB930" s="18" t="s">
        <v>880</v>
      </c>
      <c r="AC930" s="18" t="s">
        <v>881</v>
      </c>
      <c r="AD930" s="18" t="s">
        <v>85</v>
      </c>
      <c r="AE930" s="18" t="s">
        <v>90</v>
      </c>
      <c r="AF930" s="18" t="s">
        <v>91</v>
      </c>
      <c r="AG930" s="18" t="s">
        <v>92</v>
      </c>
      <c r="AH930" s="18" t="s">
        <v>165</v>
      </c>
      <c r="AI930" s="18" t="s">
        <v>94</v>
      </c>
      <c r="AJ930" s="19">
        <v>44909</v>
      </c>
      <c r="AK930" s="22" t="s">
        <v>95</v>
      </c>
      <c r="AL930" s="18" t="s">
        <v>95</v>
      </c>
      <c r="AM930" s="18" t="s">
        <v>95</v>
      </c>
      <c r="AN930" s="18" t="s">
        <v>95</v>
      </c>
      <c r="AO930" s="18" t="s">
        <v>95</v>
      </c>
      <c r="AP930" s="18" t="s">
        <v>95</v>
      </c>
      <c r="AQ930" s="18" t="s">
        <v>95</v>
      </c>
      <c r="AR930" s="18" t="s">
        <v>95</v>
      </c>
      <c r="AS930" s="18" t="s">
        <v>83</v>
      </c>
      <c r="AT930" s="18" t="s">
        <v>83</v>
      </c>
      <c r="AU930" s="18" t="s">
        <v>81</v>
      </c>
      <c r="AV930" s="18" t="s">
        <v>95</v>
      </c>
      <c r="AW930" s="18"/>
      <c r="AX930" s="18"/>
      <c r="AY930" s="18" t="str">
        <f>Pospago[[#This Row],[NUM_TELEFONICO]]&amp;"POSPAGOSI"</f>
        <v>998168630POSPAGOSI</v>
      </c>
      <c r="AZ930" s="18" t="str">
        <f>VLOOKUP(Pospago[[#This Row],[NOM_PLAZA_FINAL]],[1]!Locales[#Data],3,0)</f>
        <v>TIENDA CUENCA CENTRO</v>
      </c>
      <c r="BA930" s="18" t="str">
        <f>IFERROR(VLOOKUP(Pospago[[#This Row],[USUARIO]],[1]!Personal[#Data],6,0),"EJECUTIVO NO REGISTRADO")</f>
        <v>LUNA JACHO ANDREA GABRIELA</v>
      </c>
      <c r="BB930" s="18" t="str">
        <f>Pospago[[#This Row],[TIPO_MOVIMIENTO]]&amp;" "&amp;Pospago[[#This Row],[FORMA_PAGO_FINAL]]</f>
        <v>TRANSFERENCIAS DOMICILIADO</v>
      </c>
      <c r="BC930" s="18">
        <f>DAY(Pospago[[#This Row],[FECHA_ALTA]])</f>
        <v>14</v>
      </c>
      <c r="BD930" s="18">
        <f>IF(Pospago[[#This Row],[TARIFA_BASICA]]=11.42,1,0)</f>
        <v>0</v>
      </c>
      <c r="BE930" s="18">
        <f>IF(Pospago[[#This Row],[PLANES TELEVENTAS]]="SI",1,0)</f>
        <v>0</v>
      </c>
      <c r="BF930" s="18">
        <f>1</f>
        <v>1</v>
      </c>
      <c r="BG930" s="18">
        <f>IF(OR(Pospago[[#This Row],[TARIFA_BASICA]]=11.42,Pospago[[#This Row],[PLANES TELEVENTAS]]="SI"),1,0)</f>
        <v>0</v>
      </c>
      <c r="BH930" s="18" t="str">
        <f>IF(MID(Pospago[[#This Row],[PlanDesc]],1,4) = "PLAN","POSPAGO",IF(MID(Pospago[[#This Row],[PlanDesc]],1,4)="FULL","FULL MEGAS","PREVIOPAGO"))</f>
        <v>PREVIOPAGO</v>
      </c>
      <c r="BI9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0" s="21">
        <f>Pospago[[#This Row],[TARIFA_BASICA]]*1.5</f>
        <v>21.419999999999998</v>
      </c>
    </row>
    <row r="931" spans="1:63" x14ac:dyDescent="0.25">
      <c r="A931" s="18" t="s">
        <v>154</v>
      </c>
      <c r="B931" s="18" t="s">
        <v>5841</v>
      </c>
      <c r="C931" s="18" t="s">
        <v>5842</v>
      </c>
      <c r="D931" s="19">
        <v>44908</v>
      </c>
      <c r="E931" s="18" t="s">
        <v>67</v>
      </c>
      <c r="F931" s="18" t="s">
        <v>5843</v>
      </c>
      <c r="G931" s="18" t="s">
        <v>5844</v>
      </c>
      <c r="H931" s="18" t="s">
        <v>159</v>
      </c>
      <c r="I931" s="18" t="s">
        <v>160</v>
      </c>
      <c r="J931" s="18" t="s">
        <v>161</v>
      </c>
      <c r="K931" s="18" t="s">
        <v>95</v>
      </c>
      <c r="L931" s="20" t="s">
        <v>5845</v>
      </c>
      <c r="M931" s="18" t="s">
        <v>75</v>
      </c>
      <c r="N931" s="20" t="s">
        <v>5846</v>
      </c>
      <c r="O931" s="18" t="s">
        <v>164</v>
      </c>
      <c r="P931" s="18" t="s">
        <v>78</v>
      </c>
      <c r="Q931" s="19">
        <v>44914</v>
      </c>
      <c r="R931" s="21">
        <v>14.28</v>
      </c>
      <c r="S931" s="18" t="s">
        <v>79</v>
      </c>
      <c r="T931" s="18" t="s">
        <v>148</v>
      </c>
      <c r="U931" s="18" t="s">
        <v>83</v>
      </c>
      <c r="V931" s="18" t="s">
        <v>95</v>
      </c>
      <c r="W931" s="18" t="s">
        <v>95</v>
      </c>
      <c r="X931" s="18" t="s">
        <v>118</v>
      </c>
      <c r="Y931" s="18" t="s">
        <v>85</v>
      </c>
      <c r="Z931" s="18" t="s">
        <v>86</v>
      </c>
      <c r="AA931" s="18" t="s">
        <v>119</v>
      </c>
      <c r="AB931" s="18" t="s">
        <v>385</v>
      </c>
      <c r="AC931" s="18" t="s">
        <v>386</v>
      </c>
      <c r="AD931" s="18" t="s">
        <v>85</v>
      </c>
      <c r="AE931" s="18" t="s">
        <v>90</v>
      </c>
      <c r="AF931" s="18" t="s">
        <v>151</v>
      </c>
      <c r="AG931" s="18" t="s">
        <v>92</v>
      </c>
      <c r="AH931" s="18" t="s">
        <v>165</v>
      </c>
      <c r="AI931" s="18" t="s">
        <v>94</v>
      </c>
      <c r="AJ931" s="19">
        <v>44908</v>
      </c>
      <c r="AK931" s="22" t="s">
        <v>95</v>
      </c>
      <c r="AL931" s="18" t="s">
        <v>95</v>
      </c>
      <c r="AM931" s="18" t="s">
        <v>95</v>
      </c>
      <c r="AN931" s="18" t="s">
        <v>95</v>
      </c>
      <c r="AO931" s="18" t="s">
        <v>95</v>
      </c>
      <c r="AP931" s="18" t="s">
        <v>95</v>
      </c>
      <c r="AQ931" s="18" t="s">
        <v>95</v>
      </c>
      <c r="AR931" s="18" t="s">
        <v>95</v>
      </c>
      <c r="AS931" s="18" t="s">
        <v>83</v>
      </c>
      <c r="AT931" s="18" t="s">
        <v>83</v>
      </c>
      <c r="AU931" s="18" t="s">
        <v>81</v>
      </c>
      <c r="AV931" s="18" t="s">
        <v>95</v>
      </c>
      <c r="AW931" s="18"/>
      <c r="AX931" s="18"/>
      <c r="AY931" s="18" t="str">
        <f>Pospago[[#This Row],[NUM_TELEFONICO]]&amp;"POSPAGOSI"</f>
        <v>998168688POSPAGOSI</v>
      </c>
      <c r="AZ931" s="18" t="str">
        <f>VLOOKUP(Pospago[[#This Row],[NOM_PLAZA_FINAL]],[1]!Locales[#Data],3,0)</f>
        <v>TIENDA CUENCA REMIGIO</v>
      </c>
      <c r="BA931" s="18" t="str">
        <f>IFERROR(VLOOKUP(Pospago[[#This Row],[USUARIO]],[1]!Personal[#Data],6,0),"EJECUTIVO NO REGISTRADO")</f>
        <v>RAMIREZ RUBIO NELLY LILIANA</v>
      </c>
      <c r="BB931" s="18" t="str">
        <f>Pospago[[#This Row],[TIPO_MOVIMIENTO]]&amp;" "&amp;Pospago[[#This Row],[FORMA_PAGO_FINAL]]</f>
        <v>TRANSFERENCIAS PAGO EN CAJA</v>
      </c>
      <c r="BC931" s="18">
        <f>DAY(Pospago[[#This Row],[FECHA_ALTA]])</f>
        <v>13</v>
      </c>
      <c r="BD931" s="18">
        <f>IF(Pospago[[#This Row],[TARIFA_BASICA]]=11.42,1,0)</f>
        <v>0</v>
      </c>
      <c r="BE931" s="18">
        <f>IF(Pospago[[#This Row],[PLANES TELEVENTAS]]="SI",1,0)</f>
        <v>0</v>
      </c>
      <c r="BF931" s="18">
        <f>1</f>
        <v>1</v>
      </c>
      <c r="BG931" s="18">
        <f>IF(OR(Pospago[[#This Row],[TARIFA_BASICA]]=11.42,Pospago[[#This Row],[PLANES TELEVENTAS]]="SI"),1,0)</f>
        <v>0</v>
      </c>
      <c r="BH931" s="18" t="str">
        <f>IF(MID(Pospago[[#This Row],[PlanDesc]],1,4) = "PLAN","POSPAGO",IF(MID(Pospago[[#This Row],[PlanDesc]],1,4)="FULL","FULL MEGAS","PREVIOPAGO"))</f>
        <v>PREVIOPAGO</v>
      </c>
      <c r="BI9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1" s="21">
        <f>Pospago[[#This Row],[TARIFA_BASICA]]*1.5</f>
        <v>21.419999999999998</v>
      </c>
    </row>
    <row r="932" spans="1:63" x14ac:dyDescent="0.25">
      <c r="A932" s="18" t="s">
        <v>154</v>
      </c>
      <c r="B932" s="18" t="s">
        <v>5847</v>
      </c>
      <c r="C932" s="18" t="s">
        <v>5848</v>
      </c>
      <c r="D932" s="19">
        <v>44901</v>
      </c>
      <c r="E932" s="18" t="s">
        <v>67</v>
      </c>
      <c r="F932" s="18" t="s">
        <v>5849</v>
      </c>
      <c r="G932" s="18" t="s">
        <v>5850</v>
      </c>
      <c r="H932" s="18" t="s">
        <v>159</v>
      </c>
      <c r="I932" s="18" t="s">
        <v>160</v>
      </c>
      <c r="J932" s="18" t="s">
        <v>161</v>
      </c>
      <c r="K932" s="18" t="s">
        <v>73</v>
      </c>
      <c r="L932" s="20" t="s">
        <v>5851</v>
      </c>
      <c r="M932" s="18" t="s">
        <v>75</v>
      </c>
      <c r="N932" s="20" t="s">
        <v>5852</v>
      </c>
      <c r="O932" s="18" t="s">
        <v>164</v>
      </c>
      <c r="P932" s="18" t="s">
        <v>78</v>
      </c>
      <c r="Q932" s="19">
        <v>44914</v>
      </c>
      <c r="R932" s="21">
        <v>14.28</v>
      </c>
      <c r="S932" s="18" t="s">
        <v>79</v>
      </c>
      <c r="T932" s="18" t="s">
        <v>135</v>
      </c>
      <c r="U932" s="18" t="s">
        <v>83</v>
      </c>
      <c r="V932" s="18" t="s">
        <v>95</v>
      </c>
      <c r="W932" s="18" t="s">
        <v>95</v>
      </c>
      <c r="X932" s="18" t="s">
        <v>118</v>
      </c>
      <c r="Y932" s="18" t="s">
        <v>85</v>
      </c>
      <c r="Z932" s="18" t="s">
        <v>86</v>
      </c>
      <c r="AA932" s="18" t="s">
        <v>119</v>
      </c>
      <c r="AB932" s="18" t="s">
        <v>1545</v>
      </c>
      <c r="AC932" s="18" t="s">
        <v>1546</v>
      </c>
      <c r="AD932" s="18" t="s">
        <v>85</v>
      </c>
      <c r="AE932" s="18" t="s">
        <v>90</v>
      </c>
      <c r="AF932" s="18" t="s">
        <v>138</v>
      </c>
      <c r="AG932" s="18" t="s">
        <v>139</v>
      </c>
      <c r="AH932" s="18" t="s">
        <v>165</v>
      </c>
      <c r="AI932" s="18" t="s">
        <v>94</v>
      </c>
      <c r="AJ932" s="19">
        <v>44901</v>
      </c>
      <c r="AK932" s="22" t="s">
        <v>95</v>
      </c>
      <c r="AL932" s="18" t="s">
        <v>95</v>
      </c>
      <c r="AM932" s="18" t="s">
        <v>95</v>
      </c>
      <c r="AN932" s="18" t="s">
        <v>95</v>
      </c>
      <c r="AO932" s="18" t="s">
        <v>95</v>
      </c>
      <c r="AP932" s="18" t="s">
        <v>95</v>
      </c>
      <c r="AQ932" s="18" t="s">
        <v>95</v>
      </c>
      <c r="AR932" s="18" t="s">
        <v>95</v>
      </c>
      <c r="AS932" s="18" t="s">
        <v>83</v>
      </c>
      <c r="AT932" s="18" t="s">
        <v>83</v>
      </c>
      <c r="AU932" s="18" t="s">
        <v>81</v>
      </c>
      <c r="AV932" s="18" t="s">
        <v>95</v>
      </c>
      <c r="AW932" s="18"/>
      <c r="AX932" s="18"/>
      <c r="AY932" s="18" t="str">
        <f>Pospago[[#This Row],[NUM_TELEFONICO]]&amp;"POSPAGOSI"</f>
        <v>998168767POSPAGOSI</v>
      </c>
      <c r="AZ932" s="18" t="str">
        <f>VLOOKUP(Pospago[[#This Row],[NOM_PLAZA_FINAL]],[1]!Locales[#Data],3,0)</f>
        <v>TIENDA AMERICA</v>
      </c>
      <c r="BA932" s="18" t="str">
        <f>IFERROR(VLOOKUP(Pospago[[#This Row],[USUARIO]],[1]!Personal[#Data],6,0),"EJECUTIVO NO REGISTRADO")</f>
        <v>GRANDA ESPINOZA ANDRES SEBASTIAN</v>
      </c>
      <c r="BB932" s="18" t="str">
        <f>Pospago[[#This Row],[TIPO_MOVIMIENTO]]&amp;" "&amp;Pospago[[#This Row],[FORMA_PAGO_FINAL]]</f>
        <v>TRANSFERENCIAS PAGO EN CAJA</v>
      </c>
      <c r="BC932" s="18">
        <f>DAY(Pospago[[#This Row],[FECHA_ALTA]])</f>
        <v>6</v>
      </c>
      <c r="BD932" s="18">
        <f>IF(Pospago[[#This Row],[TARIFA_BASICA]]=11.42,1,0)</f>
        <v>0</v>
      </c>
      <c r="BE932" s="18">
        <f>IF(Pospago[[#This Row],[PLANES TELEVENTAS]]="SI",1,0)</f>
        <v>0</v>
      </c>
      <c r="BF932" s="18">
        <f>1</f>
        <v>1</v>
      </c>
      <c r="BG932" s="18">
        <f>IF(OR(Pospago[[#This Row],[TARIFA_BASICA]]=11.42,Pospago[[#This Row],[PLANES TELEVENTAS]]="SI"),1,0)</f>
        <v>0</v>
      </c>
      <c r="BH932" s="18" t="str">
        <f>IF(MID(Pospago[[#This Row],[PlanDesc]],1,4) = "PLAN","POSPAGO",IF(MID(Pospago[[#This Row],[PlanDesc]],1,4)="FULL","FULL MEGAS","PREVIOPAGO"))</f>
        <v>PREVIOPAGO</v>
      </c>
      <c r="BI9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2" s="21">
        <f>Pospago[[#This Row],[TARIFA_BASICA]]*1.5</f>
        <v>21.419999999999998</v>
      </c>
    </row>
    <row r="933" spans="1:63" x14ac:dyDescent="0.25">
      <c r="A933" s="18" t="s">
        <v>154</v>
      </c>
      <c r="B933" s="18" t="s">
        <v>5853</v>
      </c>
      <c r="C933" s="18" t="s">
        <v>5854</v>
      </c>
      <c r="D933" s="19">
        <v>44911</v>
      </c>
      <c r="E933" s="18" t="s">
        <v>67</v>
      </c>
      <c r="F933" s="18" t="s">
        <v>5855</v>
      </c>
      <c r="G933" s="18" t="s">
        <v>5856</v>
      </c>
      <c r="H933" s="18" t="s">
        <v>159</v>
      </c>
      <c r="I933" s="18" t="s">
        <v>160</v>
      </c>
      <c r="J933" s="18" t="s">
        <v>161</v>
      </c>
      <c r="K933" s="18" t="s">
        <v>132</v>
      </c>
      <c r="L933" s="20" t="s">
        <v>5857</v>
      </c>
      <c r="M933" s="18" t="s">
        <v>75</v>
      </c>
      <c r="N933" s="20" t="s">
        <v>5858</v>
      </c>
      <c r="O933" s="18" t="s">
        <v>164</v>
      </c>
      <c r="P933" s="18" t="s">
        <v>78</v>
      </c>
      <c r="Q933" s="19">
        <v>44914</v>
      </c>
      <c r="R933" s="21">
        <v>14.28</v>
      </c>
      <c r="S933" s="18" t="s">
        <v>79</v>
      </c>
      <c r="T933" s="18" t="s">
        <v>174</v>
      </c>
      <c r="U933" s="18" t="s">
        <v>83</v>
      </c>
      <c r="V933" s="18" t="s">
        <v>95</v>
      </c>
      <c r="W933" s="18" t="s">
        <v>95</v>
      </c>
      <c r="X933" s="18" t="s">
        <v>84</v>
      </c>
      <c r="Y933" s="18" t="s">
        <v>85</v>
      </c>
      <c r="Z933" s="18" t="s">
        <v>86</v>
      </c>
      <c r="AA933" s="18" t="s">
        <v>87</v>
      </c>
      <c r="AB933" s="18" t="s">
        <v>760</v>
      </c>
      <c r="AC933" s="18" t="s">
        <v>761</v>
      </c>
      <c r="AD933" s="18" t="s">
        <v>85</v>
      </c>
      <c r="AE933" s="18" t="s">
        <v>90</v>
      </c>
      <c r="AF933" s="18" t="s">
        <v>177</v>
      </c>
      <c r="AG933" s="18" t="s">
        <v>139</v>
      </c>
      <c r="AH933" s="18" t="s">
        <v>165</v>
      </c>
      <c r="AI933" s="18" t="s">
        <v>94</v>
      </c>
      <c r="AJ933" s="19">
        <v>44911</v>
      </c>
      <c r="AK933" s="22" t="s">
        <v>95</v>
      </c>
      <c r="AL933" s="18" t="s">
        <v>95</v>
      </c>
      <c r="AM933" s="18" t="s">
        <v>95</v>
      </c>
      <c r="AN933" s="18" t="s">
        <v>95</v>
      </c>
      <c r="AO933" s="18" t="s">
        <v>95</v>
      </c>
      <c r="AP933" s="18" t="s">
        <v>95</v>
      </c>
      <c r="AQ933" s="18" t="s">
        <v>95</v>
      </c>
      <c r="AR933" s="18" t="s">
        <v>95</v>
      </c>
      <c r="AS933" s="18" t="s">
        <v>83</v>
      </c>
      <c r="AT933" s="18" t="s">
        <v>83</v>
      </c>
      <c r="AU933" s="18" t="s">
        <v>81</v>
      </c>
      <c r="AV933" s="18" t="s">
        <v>95</v>
      </c>
      <c r="AW933" s="18"/>
      <c r="AX933" s="18"/>
      <c r="AY933" s="18" t="str">
        <f>Pospago[[#This Row],[NUM_TELEFONICO]]&amp;"POSPAGOSI"</f>
        <v>998194347POSPAGOSI</v>
      </c>
      <c r="AZ933" s="18" t="str">
        <f>VLOOKUP(Pospago[[#This Row],[NOM_PLAZA_FINAL]],[1]!Locales[#Data],3,0)</f>
        <v>TIENDA RECREO</v>
      </c>
      <c r="BA933" s="18" t="str">
        <f>IFERROR(VLOOKUP(Pospago[[#This Row],[USUARIO]],[1]!Personal[#Data],6,0),"EJECUTIVO NO REGISTRADO")</f>
        <v>VALBUENA SANCHEZ ALBERT ANTHONY</v>
      </c>
      <c r="BB933" s="18" t="str">
        <f>Pospago[[#This Row],[TIPO_MOVIMIENTO]]&amp;" "&amp;Pospago[[#This Row],[FORMA_PAGO_FINAL]]</f>
        <v>TRANSFERENCIAS DOMICILIADO</v>
      </c>
      <c r="BC933" s="18">
        <f>DAY(Pospago[[#This Row],[FECHA_ALTA]])</f>
        <v>16</v>
      </c>
      <c r="BD933" s="18">
        <f>IF(Pospago[[#This Row],[TARIFA_BASICA]]=11.42,1,0)</f>
        <v>0</v>
      </c>
      <c r="BE933" s="18">
        <f>IF(Pospago[[#This Row],[PLANES TELEVENTAS]]="SI",1,0)</f>
        <v>0</v>
      </c>
      <c r="BF933" s="18">
        <f>1</f>
        <v>1</v>
      </c>
      <c r="BG933" s="18">
        <f>IF(OR(Pospago[[#This Row],[TARIFA_BASICA]]=11.42,Pospago[[#This Row],[PLANES TELEVENTAS]]="SI"),1,0)</f>
        <v>0</v>
      </c>
      <c r="BH933" s="18" t="str">
        <f>IF(MID(Pospago[[#This Row],[PlanDesc]],1,4) = "PLAN","POSPAGO",IF(MID(Pospago[[#This Row],[PlanDesc]],1,4)="FULL","FULL MEGAS","PREVIOPAGO"))</f>
        <v>PREVIOPAGO</v>
      </c>
      <c r="BI9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3" s="21">
        <f>Pospago[[#This Row],[TARIFA_BASICA]]*1.5</f>
        <v>21.419999999999998</v>
      </c>
    </row>
    <row r="934" spans="1:63" x14ac:dyDescent="0.25">
      <c r="A934" s="18" t="s">
        <v>64</v>
      </c>
      <c r="B934" s="18" t="s">
        <v>5859</v>
      </c>
      <c r="C934" s="18" t="s">
        <v>5860</v>
      </c>
      <c r="D934" s="19">
        <v>44912</v>
      </c>
      <c r="E934" s="18" t="s">
        <v>67</v>
      </c>
      <c r="F934" s="18" t="s">
        <v>5861</v>
      </c>
      <c r="G934" s="18" t="s">
        <v>5862</v>
      </c>
      <c r="H934" s="18" t="s">
        <v>70</v>
      </c>
      <c r="I934" s="18" t="s">
        <v>1357</v>
      </c>
      <c r="J934" s="18" t="s">
        <v>72</v>
      </c>
      <c r="K934" s="18" t="s">
        <v>95</v>
      </c>
      <c r="L934" s="20" t="s">
        <v>5863</v>
      </c>
      <c r="M934" s="18" t="s">
        <v>75</v>
      </c>
      <c r="N934" s="20" t="s">
        <v>5864</v>
      </c>
      <c r="O934" s="18" t="s">
        <v>77</v>
      </c>
      <c r="P934" s="18" t="s">
        <v>78</v>
      </c>
      <c r="Q934" s="19">
        <v>44914</v>
      </c>
      <c r="R934" s="21">
        <v>11.42</v>
      </c>
      <c r="S934" s="18" t="s">
        <v>79</v>
      </c>
      <c r="T934" s="18" t="s">
        <v>174</v>
      </c>
      <c r="U934" s="18" t="s">
        <v>83</v>
      </c>
      <c r="V934" s="18" t="s">
        <v>95</v>
      </c>
      <c r="W934" s="18" t="s">
        <v>83</v>
      </c>
      <c r="X934" s="18" t="s">
        <v>118</v>
      </c>
      <c r="Y934" s="18" t="s">
        <v>85</v>
      </c>
      <c r="Z934" s="18" t="s">
        <v>86</v>
      </c>
      <c r="AA934" s="18" t="s">
        <v>119</v>
      </c>
      <c r="AB934" s="18" t="s">
        <v>492</v>
      </c>
      <c r="AC934" s="18" t="s">
        <v>493</v>
      </c>
      <c r="AD934" s="18" t="s">
        <v>85</v>
      </c>
      <c r="AE934" s="18" t="s">
        <v>90</v>
      </c>
      <c r="AF934" s="18" t="s">
        <v>177</v>
      </c>
      <c r="AG934" s="18" t="s">
        <v>139</v>
      </c>
      <c r="AH934" s="18" t="s">
        <v>93</v>
      </c>
      <c r="AI934" s="18" t="s">
        <v>94</v>
      </c>
      <c r="AJ934" s="19">
        <v>44912</v>
      </c>
      <c r="AK934" s="22" t="s">
        <v>95</v>
      </c>
      <c r="AL934" s="18" t="s">
        <v>95</v>
      </c>
      <c r="AM934" s="18" t="s">
        <v>95</v>
      </c>
      <c r="AN934" s="18" t="s">
        <v>95</v>
      </c>
      <c r="AO934" s="18" t="s">
        <v>95</v>
      </c>
      <c r="AP934" s="18" t="s">
        <v>95</v>
      </c>
      <c r="AQ934" s="18" t="s">
        <v>95</v>
      </c>
      <c r="AR934" s="18" t="s">
        <v>95</v>
      </c>
      <c r="AS934" s="18" t="s">
        <v>83</v>
      </c>
      <c r="AT934" s="18" t="s">
        <v>81</v>
      </c>
      <c r="AU934" s="18" t="s">
        <v>81</v>
      </c>
      <c r="AV934" s="18" t="s">
        <v>95</v>
      </c>
      <c r="AW934" s="18"/>
      <c r="AX934" s="18"/>
      <c r="AY934" s="18" t="str">
        <f>Pospago[[#This Row],[NUM_TELEFONICO]]&amp;"POSPAGOSI"</f>
        <v>998198391POSPAGOSI</v>
      </c>
      <c r="AZ934" s="18" t="str">
        <f>VLOOKUP(Pospago[[#This Row],[NOM_PLAZA_FINAL]],[1]!Locales[#Data],3,0)</f>
        <v>TIENDA RECREO</v>
      </c>
      <c r="BA934" s="18" t="str">
        <f>IFERROR(VLOOKUP(Pospago[[#This Row],[USUARIO]],[1]!Personal[#Data],6,0),"EJECUTIVO NO REGISTRADO")</f>
        <v>CONDO GARCIA NICOLAS MATIAS</v>
      </c>
      <c r="BB934" s="18" t="str">
        <f>Pospago[[#This Row],[TIPO_MOVIMIENTO]]&amp;" "&amp;Pospago[[#This Row],[FORMA_PAGO_FINAL]]</f>
        <v>ALTAS PAGO EN CAJA</v>
      </c>
      <c r="BC934" s="18">
        <f>DAY(Pospago[[#This Row],[FECHA_ALTA]])</f>
        <v>17</v>
      </c>
      <c r="BD934" s="18">
        <f>IF(Pospago[[#This Row],[TARIFA_BASICA]]=11.42,1,0)</f>
        <v>1</v>
      </c>
      <c r="BE934" s="18">
        <f>IF(Pospago[[#This Row],[PLANES TELEVENTAS]]="SI",1,0)</f>
        <v>1</v>
      </c>
      <c r="BF934" s="18">
        <f>1</f>
        <v>1</v>
      </c>
      <c r="BG934" s="18">
        <f>IF(OR(Pospago[[#This Row],[TARIFA_BASICA]]=11.42,Pospago[[#This Row],[PLANES TELEVENTAS]]="SI"),1,0)</f>
        <v>1</v>
      </c>
      <c r="BH934" s="18" t="str">
        <f>IF(MID(Pospago[[#This Row],[PlanDesc]],1,4) = "PLAN","POSPAGO",IF(MID(Pospago[[#This Row],[PlanDesc]],1,4)="FULL","FULL MEGAS","PREVIOPAGO"))</f>
        <v>PREVIOPAGO</v>
      </c>
      <c r="BI9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9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34" s="21">
        <f>Pospago[[#This Row],[TARIFA_BASICA]]*1.5</f>
        <v>17.13</v>
      </c>
    </row>
    <row r="935" spans="1:63" x14ac:dyDescent="0.25">
      <c r="A935" s="18" t="s">
        <v>64</v>
      </c>
      <c r="B935" s="18" t="s">
        <v>5865</v>
      </c>
      <c r="C935" s="18" t="s">
        <v>4983</v>
      </c>
      <c r="D935" s="19">
        <v>44902</v>
      </c>
      <c r="E935" s="18" t="s">
        <v>67</v>
      </c>
      <c r="F935" s="18" t="s">
        <v>4984</v>
      </c>
      <c r="G935" s="18" t="s">
        <v>4985</v>
      </c>
      <c r="H935" s="18" t="s">
        <v>70</v>
      </c>
      <c r="I935" s="18" t="s">
        <v>160</v>
      </c>
      <c r="J935" s="18" t="s">
        <v>195</v>
      </c>
      <c r="K935" s="18" t="s">
        <v>4986</v>
      </c>
      <c r="L935" s="20" t="s">
        <v>5866</v>
      </c>
      <c r="M935" s="18" t="s">
        <v>75</v>
      </c>
      <c r="N935" s="20" t="s">
        <v>5867</v>
      </c>
      <c r="O935" s="18" t="s">
        <v>77</v>
      </c>
      <c r="P935" s="18" t="s">
        <v>78</v>
      </c>
      <c r="Q935" s="19">
        <v>44914</v>
      </c>
      <c r="R935" s="21">
        <v>14.28</v>
      </c>
      <c r="S935" s="18" t="s">
        <v>79</v>
      </c>
      <c r="T935" s="18" t="s">
        <v>232</v>
      </c>
      <c r="U935" s="18" t="s">
        <v>83</v>
      </c>
      <c r="V935" s="18" t="s">
        <v>95</v>
      </c>
      <c r="W935" s="18" t="s">
        <v>83</v>
      </c>
      <c r="X935" s="18" t="s">
        <v>84</v>
      </c>
      <c r="Y935" s="18" t="s">
        <v>85</v>
      </c>
      <c r="Z935" s="18" t="s">
        <v>86</v>
      </c>
      <c r="AA935" s="18" t="s">
        <v>87</v>
      </c>
      <c r="AB935" s="18" t="s">
        <v>412</v>
      </c>
      <c r="AC935" s="18" t="s">
        <v>413</v>
      </c>
      <c r="AD935" s="18" t="s">
        <v>85</v>
      </c>
      <c r="AE935" s="18" t="s">
        <v>90</v>
      </c>
      <c r="AF935" s="18" t="s">
        <v>235</v>
      </c>
      <c r="AG935" s="18" t="s">
        <v>139</v>
      </c>
      <c r="AH935" s="18" t="s">
        <v>93</v>
      </c>
      <c r="AI935" s="18" t="s">
        <v>94</v>
      </c>
      <c r="AJ935" s="19">
        <v>44902</v>
      </c>
      <c r="AK935" s="22" t="s">
        <v>95</v>
      </c>
      <c r="AL935" s="18" t="s">
        <v>95</v>
      </c>
      <c r="AM935" s="18" t="s">
        <v>95</v>
      </c>
      <c r="AN935" s="18" t="s">
        <v>95</v>
      </c>
      <c r="AO935" s="18" t="s">
        <v>95</v>
      </c>
      <c r="AP935" s="18" t="s">
        <v>95</v>
      </c>
      <c r="AQ935" s="18" t="s">
        <v>95</v>
      </c>
      <c r="AR935" s="18" t="s">
        <v>95</v>
      </c>
      <c r="AS935" s="18" t="s">
        <v>83</v>
      </c>
      <c r="AT935" s="18" t="s">
        <v>83</v>
      </c>
      <c r="AU935" s="18" t="s">
        <v>81</v>
      </c>
      <c r="AV935" s="18" t="s">
        <v>95</v>
      </c>
      <c r="AW935" s="18"/>
      <c r="AX935" s="18"/>
      <c r="AY935" s="18" t="str">
        <f>Pospago[[#This Row],[NUM_TELEFONICO]]&amp;"POSPAGOSI"</f>
        <v>998204481POSPAGOSI</v>
      </c>
      <c r="AZ935" s="18" t="str">
        <f>VLOOKUP(Pospago[[#This Row],[NOM_PLAZA_FINAL]],[1]!Locales[#Data],3,0)</f>
        <v>TIENDA CONDADO</v>
      </c>
      <c r="BA935" s="18" t="str">
        <f>IFERROR(VLOOKUP(Pospago[[#This Row],[USUARIO]],[1]!Personal[#Data],6,0),"EJECUTIVO NO REGISTRADO")</f>
        <v>PADILLA MALDONADO HENRY LEOPOLDO</v>
      </c>
      <c r="BB935" s="18" t="str">
        <f>Pospago[[#This Row],[TIPO_MOVIMIENTO]]&amp;" "&amp;Pospago[[#This Row],[FORMA_PAGO_FINAL]]</f>
        <v>ALTAS DOMICILIADO</v>
      </c>
      <c r="BC935" s="18">
        <f>DAY(Pospago[[#This Row],[FECHA_ALTA]])</f>
        <v>7</v>
      </c>
      <c r="BD935" s="18">
        <f>IF(Pospago[[#This Row],[TARIFA_BASICA]]=11.42,1,0)</f>
        <v>0</v>
      </c>
      <c r="BE935" s="18">
        <f>IF(Pospago[[#This Row],[PLANES TELEVENTAS]]="SI",1,0)</f>
        <v>0</v>
      </c>
      <c r="BF935" s="18">
        <f>1</f>
        <v>1</v>
      </c>
      <c r="BG935" s="18">
        <f>IF(OR(Pospago[[#This Row],[TARIFA_BASICA]]=11.42,Pospago[[#This Row],[PLANES TELEVENTAS]]="SI"),1,0)</f>
        <v>0</v>
      </c>
      <c r="BH935" s="18" t="str">
        <f>IF(MID(Pospago[[#This Row],[PlanDesc]],1,4) = "PLAN","POSPAGO",IF(MID(Pospago[[#This Row],[PlanDesc]],1,4)="FULL","FULL MEGAS","PREVIOPAGO"))</f>
        <v>PREVIOPAGO</v>
      </c>
      <c r="BI9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5" s="21">
        <f>Pospago[[#This Row],[TARIFA_BASICA]]*1.5</f>
        <v>21.419999999999998</v>
      </c>
    </row>
    <row r="936" spans="1:63" x14ac:dyDescent="0.25">
      <c r="A936" s="18" t="s">
        <v>64</v>
      </c>
      <c r="B936" s="18" t="s">
        <v>5868</v>
      </c>
      <c r="C936" s="18" t="s">
        <v>5869</v>
      </c>
      <c r="D936" s="19">
        <v>44900</v>
      </c>
      <c r="E936" s="18" t="s">
        <v>246</v>
      </c>
      <c r="F936" s="18" t="s">
        <v>604</v>
      </c>
      <c r="G936" s="18" t="s">
        <v>605</v>
      </c>
      <c r="H936" s="18" t="s">
        <v>70</v>
      </c>
      <c r="I936" s="18" t="s">
        <v>4157</v>
      </c>
      <c r="J936" s="18" t="s">
        <v>4158</v>
      </c>
      <c r="K936" s="18" t="s">
        <v>73</v>
      </c>
      <c r="L936" s="20" t="s">
        <v>5870</v>
      </c>
      <c r="M936" s="18" t="s">
        <v>75</v>
      </c>
      <c r="N936" s="20" t="s">
        <v>5871</v>
      </c>
      <c r="O936" s="18" t="s">
        <v>231</v>
      </c>
      <c r="P936" s="18" t="s">
        <v>78</v>
      </c>
      <c r="Q936" s="19">
        <v>44914</v>
      </c>
      <c r="R936" s="21">
        <v>32.130000000000003</v>
      </c>
      <c r="S936" s="18" t="s">
        <v>79</v>
      </c>
      <c r="T936" s="18" t="s">
        <v>148</v>
      </c>
      <c r="U936" s="18" t="s">
        <v>83</v>
      </c>
      <c r="V936" s="18" t="s">
        <v>95</v>
      </c>
      <c r="W936" s="18" t="s">
        <v>83</v>
      </c>
      <c r="X936" s="18" t="s">
        <v>215</v>
      </c>
      <c r="Y936" s="18" t="s">
        <v>85</v>
      </c>
      <c r="Z936" s="18" t="s">
        <v>86</v>
      </c>
      <c r="AA936" s="18" t="s">
        <v>87</v>
      </c>
      <c r="AB936" s="18" t="s">
        <v>610</v>
      </c>
      <c r="AC936" s="18" t="s">
        <v>611</v>
      </c>
      <c r="AD936" s="18" t="s">
        <v>85</v>
      </c>
      <c r="AE936" s="18" t="s">
        <v>90</v>
      </c>
      <c r="AF936" s="18" t="s">
        <v>151</v>
      </c>
      <c r="AG936" s="18" t="s">
        <v>92</v>
      </c>
      <c r="AH936" s="18" t="s">
        <v>93</v>
      </c>
      <c r="AI936" s="18" t="s">
        <v>94</v>
      </c>
      <c r="AJ936" s="19">
        <v>44900</v>
      </c>
      <c r="AK936" s="22" t="s">
        <v>95</v>
      </c>
      <c r="AL936" s="18" t="s">
        <v>95</v>
      </c>
      <c r="AM936" s="18" t="s">
        <v>95</v>
      </c>
      <c r="AN936" s="18" t="s">
        <v>95</v>
      </c>
      <c r="AO936" s="18" t="s">
        <v>95</v>
      </c>
      <c r="AP936" s="18" t="s">
        <v>95</v>
      </c>
      <c r="AQ936" s="18" t="s">
        <v>95</v>
      </c>
      <c r="AR936" s="18" t="s">
        <v>95</v>
      </c>
      <c r="AS936" s="18" t="s">
        <v>83</v>
      </c>
      <c r="AT936" s="18" t="s">
        <v>83</v>
      </c>
      <c r="AU936" s="18" t="s">
        <v>81</v>
      </c>
      <c r="AV936" s="18" t="s">
        <v>95</v>
      </c>
      <c r="AW936" s="18"/>
      <c r="AX936" s="18"/>
      <c r="AY936" s="18" t="str">
        <f>Pospago[[#This Row],[NUM_TELEFONICO]]&amp;"POSPAGOSI"</f>
        <v>998213266POSPAGOSI</v>
      </c>
      <c r="AZ936" s="18" t="str">
        <f>VLOOKUP(Pospago[[#This Row],[NOM_PLAZA_FINAL]],[1]!Locales[#Data],3,0)</f>
        <v>TIENDA CUENCA REMIGIO</v>
      </c>
      <c r="BA936" s="18" t="str">
        <f>IFERROR(VLOOKUP(Pospago[[#This Row],[USUARIO]],[1]!Personal[#Data],6,0),"EJECUTIVO NO REGISTRADO")</f>
        <v>PATIÑO TAPIA ANDRES SANTIAGO</v>
      </c>
      <c r="BB936" s="18" t="str">
        <f>Pospago[[#This Row],[TIPO_MOVIMIENTO]]&amp;" "&amp;Pospago[[#This Row],[FORMA_PAGO_FINAL]]</f>
        <v>ALTAS DOMICILIADO</v>
      </c>
      <c r="BC936" s="18">
        <f>DAY(Pospago[[#This Row],[FECHA_ALTA]])</f>
        <v>5</v>
      </c>
      <c r="BD936" s="18">
        <f>IF(Pospago[[#This Row],[TARIFA_BASICA]]=11.42,1,0)</f>
        <v>0</v>
      </c>
      <c r="BE936" s="18">
        <f>IF(Pospago[[#This Row],[PLANES TELEVENTAS]]="SI",1,0)</f>
        <v>0</v>
      </c>
      <c r="BF936" s="18">
        <f>1</f>
        <v>1</v>
      </c>
      <c r="BG936" s="18">
        <f>IF(OR(Pospago[[#This Row],[TARIFA_BASICA]]=11.42,Pospago[[#This Row],[PLANES TELEVENTAS]]="SI"),1,0)</f>
        <v>0</v>
      </c>
      <c r="BH936" s="18" t="str">
        <f>IF(MID(Pospago[[#This Row],[PlanDesc]],1,4) = "PLAN","POSPAGO",IF(MID(Pospago[[#This Row],[PlanDesc]],1,4)="FULL","FULL MEGAS","PREVIOPAGO"))</f>
        <v>PREVIOPAGO</v>
      </c>
      <c r="BI9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64.260000000000005</v>
      </c>
      <c r="BJ9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6" s="21">
        <f>Pospago[[#This Row],[TARIFA_BASICA]]*1.5</f>
        <v>48.195000000000007</v>
      </c>
    </row>
    <row r="937" spans="1:63" x14ac:dyDescent="0.25">
      <c r="A937" s="18" t="s">
        <v>154</v>
      </c>
      <c r="B937" s="18" t="s">
        <v>5872</v>
      </c>
      <c r="C937" s="18" t="s">
        <v>5873</v>
      </c>
      <c r="D937" s="19">
        <v>44907</v>
      </c>
      <c r="E937" s="18" t="s">
        <v>67</v>
      </c>
      <c r="F937" s="18" t="s">
        <v>5874</v>
      </c>
      <c r="G937" s="18" t="s">
        <v>5875</v>
      </c>
      <c r="H937" s="18" t="s">
        <v>159</v>
      </c>
      <c r="I937" s="18" t="s">
        <v>160</v>
      </c>
      <c r="J937" s="18" t="s">
        <v>161</v>
      </c>
      <c r="K937" s="18" t="s">
        <v>73</v>
      </c>
      <c r="L937" s="20" t="s">
        <v>5876</v>
      </c>
      <c r="M937" s="18" t="s">
        <v>75</v>
      </c>
      <c r="N937" s="20" t="s">
        <v>5877</v>
      </c>
      <c r="O937" s="18" t="s">
        <v>164</v>
      </c>
      <c r="P937" s="18" t="s">
        <v>78</v>
      </c>
      <c r="Q937" s="19">
        <v>44914</v>
      </c>
      <c r="R937" s="21">
        <v>14.28</v>
      </c>
      <c r="S937" s="18" t="s">
        <v>79</v>
      </c>
      <c r="T937" s="18" t="s">
        <v>174</v>
      </c>
      <c r="U937" s="18" t="s">
        <v>83</v>
      </c>
      <c r="V937" s="18" t="s">
        <v>95</v>
      </c>
      <c r="W937" s="18" t="s">
        <v>95</v>
      </c>
      <c r="X937" s="18" t="s">
        <v>84</v>
      </c>
      <c r="Y937" s="18" t="s">
        <v>85</v>
      </c>
      <c r="Z937" s="18" t="s">
        <v>86</v>
      </c>
      <c r="AA937" s="18" t="s">
        <v>87</v>
      </c>
      <c r="AB937" s="18" t="s">
        <v>760</v>
      </c>
      <c r="AC937" s="18" t="s">
        <v>761</v>
      </c>
      <c r="AD937" s="18" t="s">
        <v>85</v>
      </c>
      <c r="AE937" s="18" t="s">
        <v>90</v>
      </c>
      <c r="AF937" s="18" t="s">
        <v>177</v>
      </c>
      <c r="AG937" s="18" t="s">
        <v>139</v>
      </c>
      <c r="AH937" s="18" t="s">
        <v>165</v>
      </c>
      <c r="AI937" s="18" t="s">
        <v>94</v>
      </c>
      <c r="AJ937" s="19">
        <v>44907</v>
      </c>
      <c r="AK937" s="22" t="s">
        <v>95</v>
      </c>
      <c r="AL937" s="18" t="s">
        <v>95</v>
      </c>
      <c r="AM937" s="18" t="s">
        <v>95</v>
      </c>
      <c r="AN937" s="18" t="s">
        <v>95</v>
      </c>
      <c r="AO937" s="18" t="s">
        <v>95</v>
      </c>
      <c r="AP937" s="18" t="s">
        <v>95</v>
      </c>
      <c r="AQ937" s="18" t="s">
        <v>95</v>
      </c>
      <c r="AR937" s="18" t="s">
        <v>95</v>
      </c>
      <c r="AS937" s="18" t="s">
        <v>83</v>
      </c>
      <c r="AT937" s="18" t="s">
        <v>83</v>
      </c>
      <c r="AU937" s="18" t="s">
        <v>81</v>
      </c>
      <c r="AV937" s="18" t="s">
        <v>95</v>
      </c>
      <c r="AW937" s="18"/>
      <c r="AX937" s="18"/>
      <c r="AY937" s="18" t="str">
        <f>Pospago[[#This Row],[NUM_TELEFONICO]]&amp;"POSPAGOSI"</f>
        <v>998221082POSPAGOSI</v>
      </c>
      <c r="AZ937" s="18" t="str">
        <f>VLOOKUP(Pospago[[#This Row],[NOM_PLAZA_FINAL]],[1]!Locales[#Data],3,0)</f>
        <v>TIENDA RECREO</v>
      </c>
      <c r="BA937" s="18" t="str">
        <f>IFERROR(VLOOKUP(Pospago[[#This Row],[USUARIO]],[1]!Personal[#Data],6,0),"EJECUTIVO NO REGISTRADO")</f>
        <v>VALBUENA SANCHEZ ALBERT ANTHONY</v>
      </c>
      <c r="BB937" s="18" t="str">
        <f>Pospago[[#This Row],[TIPO_MOVIMIENTO]]&amp;" "&amp;Pospago[[#This Row],[FORMA_PAGO_FINAL]]</f>
        <v>TRANSFERENCIAS DOMICILIADO</v>
      </c>
      <c r="BC937" s="18">
        <f>DAY(Pospago[[#This Row],[FECHA_ALTA]])</f>
        <v>12</v>
      </c>
      <c r="BD937" s="18">
        <f>IF(Pospago[[#This Row],[TARIFA_BASICA]]=11.42,1,0)</f>
        <v>0</v>
      </c>
      <c r="BE937" s="18">
        <f>IF(Pospago[[#This Row],[PLANES TELEVENTAS]]="SI",1,0)</f>
        <v>0</v>
      </c>
      <c r="BF937" s="18">
        <f>1</f>
        <v>1</v>
      </c>
      <c r="BG937" s="18">
        <f>IF(OR(Pospago[[#This Row],[TARIFA_BASICA]]=11.42,Pospago[[#This Row],[PLANES TELEVENTAS]]="SI"),1,0)</f>
        <v>0</v>
      </c>
      <c r="BH937" s="18" t="str">
        <f>IF(MID(Pospago[[#This Row],[PlanDesc]],1,4) = "PLAN","POSPAGO",IF(MID(Pospago[[#This Row],[PlanDesc]],1,4)="FULL","FULL MEGAS","PREVIOPAGO"))</f>
        <v>PREVIOPAGO</v>
      </c>
      <c r="BI9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7" s="21">
        <f>Pospago[[#This Row],[TARIFA_BASICA]]*1.5</f>
        <v>21.419999999999998</v>
      </c>
    </row>
    <row r="938" spans="1:63" x14ac:dyDescent="0.25">
      <c r="A938" s="18" t="s">
        <v>64</v>
      </c>
      <c r="B938" s="18" t="s">
        <v>5878</v>
      </c>
      <c r="C938" s="18" t="s">
        <v>5879</v>
      </c>
      <c r="D938" s="19">
        <v>44910</v>
      </c>
      <c r="E938" s="18" t="s">
        <v>67</v>
      </c>
      <c r="F938" s="18" t="s">
        <v>5880</v>
      </c>
      <c r="G938" s="18" t="s">
        <v>5881</v>
      </c>
      <c r="H938" s="18" t="s">
        <v>70</v>
      </c>
      <c r="I938" s="18" t="s">
        <v>194</v>
      </c>
      <c r="J938" s="18" t="s">
        <v>195</v>
      </c>
      <c r="K938" s="18" t="s">
        <v>95</v>
      </c>
      <c r="L938" s="20" t="s">
        <v>5882</v>
      </c>
      <c r="M938" s="18" t="s">
        <v>75</v>
      </c>
      <c r="N938" s="20" t="s">
        <v>5883</v>
      </c>
      <c r="O938" s="18" t="s">
        <v>77</v>
      </c>
      <c r="P938" s="18" t="s">
        <v>78</v>
      </c>
      <c r="Q938" s="19">
        <v>44914</v>
      </c>
      <c r="R938" s="21">
        <v>14.28</v>
      </c>
      <c r="S938" s="18" t="s">
        <v>79</v>
      </c>
      <c r="T938" s="18" t="s">
        <v>232</v>
      </c>
      <c r="U938" s="18" t="s">
        <v>83</v>
      </c>
      <c r="V938" s="18" t="s">
        <v>95</v>
      </c>
      <c r="W938" s="18" t="s">
        <v>83</v>
      </c>
      <c r="X938" s="18" t="s">
        <v>118</v>
      </c>
      <c r="Y938" s="18" t="s">
        <v>85</v>
      </c>
      <c r="Z938" s="18" t="s">
        <v>86</v>
      </c>
      <c r="AA938" s="18" t="s">
        <v>119</v>
      </c>
      <c r="AB938" s="18" t="s">
        <v>271</v>
      </c>
      <c r="AC938" s="18" t="s">
        <v>272</v>
      </c>
      <c r="AD938" s="18" t="s">
        <v>85</v>
      </c>
      <c r="AE938" s="18" t="s">
        <v>90</v>
      </c>
      <c r="AF938" s="18" t="s">
        <v>235</v>
      </c>
      <c r="AG938" s="18" t="s">
        <v>139</v>
      </c>
      <c r="AH938" s="18" t="s">
        <v>93</v>
      </c>
      <c r="AI938" s="18" t="s">
        <v>94</v>
      </c>
      <c r="AJ938" s="19">
        <v>44910</v>
      </c>
      <c r="AK938" s="22" t="s">
        <v>95</v>
      </c>
      <c r="AL938" s="18" t="s">
        <v>95</v>
      </c>
      <c r="AM938" s="18" t="s">
        <v>95</v>
      </c>
      <c r="AN938" s="18" t="s">
        <v>95</v>
      </c>
      <c r="AO938" s="18" t="s">
        <v>95</v>
      </c>
      <c r="AP938" s="18" t="s">
        <v>95</v>
      </c>
      <c r="AQ938" s="18" t="s">
        <v>95</v>
      </c>
      <c r="AR938" s="18" t="s">
        <v>95</v>
      </c>
      <c r="AS938" s="18" t="s">
        <v>83</v>
      </c>
      <c r="AT938" s="18" t="s">
        <v>81</v>
      </c>
      <c r="AU938" s="18" t="s">
        <v>81</v>
      </c>
      <c r="AV938" s="18" t="s">
        <v>95</v>
      </c>
      <c r="AW938" s="18"/>
      <c r="AX938" s="18"/>
      <c r="AY938" s="18" t="str">
        <f>Pospago[[#This Row],[NUM_TELEFONICO]]&amp;"POSPAGOSI"</f>
        <v>998226815POSPAGOSI</v>
      </c>
      <c r="AZ938" s="18" t="str">
        <f>VLOOKUP(Pospago[[#This Row],[NOM_PLAZA_FINAL]],[1]!Locales[#Data],3,0)</f>
        <v>TIENDA CONDADO</v>
      </c>
      <c r="BA938" s="18" t="str">
        <f>IFERROR(VLOOKUP(Pospago[[#This Row],[USUARIO]],[1]!Personal[#Data],6,0),"EJECUTIVO NO REGISTRADO")</f>
        <v>CASTILLO AGUIRRE EDWIN MODESTO</v>
      </c>
      <c r="BB938" s="18" t="str">
        <f>Pospago[[#This Row],[TIPO_MOVIMIENTO]]&amp;" "&amp;Pospago[[#This Row],[FORMA_PAGO_FINAL]]</f>
        <v>ALTAS PAGO EN CAJA</v>
      </c>
      <c r="BC938" s="18">
        <f>DAY(Pospago[[#This Row],[FECHA_ALTA]])</f>
        <v>15</v>
      </c>
      <c r="BD938" s="18">
        <f>IF(Pospago[[#This Row],[TARIFA_BASICA]]=11.42,1,0)</f>
        <v>0</v>
      </c>
      <c r="BE938" s="18">
        <f>IF(Pospago[[#This Row],[PLANES TELEVENTAS]]="SI",1,0)</f>
        <v>1</v>
      </c>
      <c r="BF938" s="18">
        <f>1</f>
        <v>1</v>
      </c>
      <c r="BG938" s="18">
        <f>IF(OR(Pospago[[#This Row],[TARIFA_BASICA]]=11.42,Pospago[[#This Row],[PLANES TELEVENTAS]]="SI"),1,0)</f>
        <v>1</v>
      </c>
      <c r="BH938" s="18" t="str">
        <f>IF(MID(Pospago[[#This Row],[PlanDesc]],1,4) = "PLAN","POSPAGO",IF(MID(Pospago[[#This Row],[PlanDesc]],1,4)="FULL","FULL MEGAS","PREVIOPAGO"))</f>
        <v>PREVIOPAGO</v>
      </c>
      <c r="BI9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9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8" s="21">
        <f>Pospago[[#This Row],[TARIFA_BASICA]]*1.5</f>
        <v>21.419999999999998</v>
      </c>
    </row>
    <row r="939" spans="1:63" x14ac:dyDescent="0.25">
      <c r="A939" s="18" t="s">
        <v>64</v>
      </c>
      <c r="B939" s="18" t="s">
        <v>5884</v>
      </c>
      <c r="C939" s="18" t="s">
        <v>5885</v>
      </c>
      <c r="D939" s="19">
        <v>44901</v>
      </c>
      <c r="E939" s="18" t="s">
        <v>67</v>
      </c>
      <c r="F939" s="18" t="s">
        <v>5886</v>
      </c>
      <c r="G939" s="18" t="s">
        <v>5887</v>
      </c>
      <c r="H939" s="18" t="s">
        <v>70</v>
      </c>
      <c r="I939" s="18" t="s">
        <v>160</v>
      </c>
      <c r="J939" s="18" t="s">
        <v>195</v>
      </c>
      <c r="K939" s="18" t="s">
        <v>132</v>
      </c>
      <c r="L939" s="20" t="s">
        <v>5888</v>
      </c>
      <c r="M939" s="18" t="s">
        <v>75</v>
      </c>
      <c r="N939" s="20" t="s">
        <v>5889</v>
      </c>
      <c r="O939" s="18" t="s">
        <v>77</v>
      </c>
      <c r="P939" s="18" t="s">
        <v>78</v>
      </c>
      <c r="Q939" s="19">
        <v>44914</v>
      </c>
      <c r="R939" s="21">
        <v>14.28</v>
      </c>
      <c r="S939" s="18" t="s">
        <v>79</v>
      </c>
      <c r="T939" s="18" t="s">
        <v>174</v>
      </c>
      <c r="U939" s="18" t="s">
        <v>83</v>
      </c>
      <c r="V939" s="18" t="s">
        <v>95</v>
      </c>
      <c r="W939" s="18" t="s">
        <v>83</v>
      </c>
      <c r="X939" s="18" t="s">
        <v>84</v>
      </c>
      <c r="Y939" s="18" t="s">
        <v>85</v>
      </c>
      <c r="Z939" s="18" t="s">
        <v>86</v>
      </c>
      <c r="AA939" s="18" t="s">
        <v>87</v>
      </c>
      <c r="AB939" s="18" t="s">
        <v>492</v>
      </c>
      <c r="AC939" s="18" t="s">
        <v>493</v>
      </c>
      <c r="AD939" s="18" t="s">
        <v>85</v>
      </c>
      <c r="AE939" s="18" t="s">
        <v>90</v>
      </c>
      <c r="AF939" s="18" t="s">
        <v>177</v>
      </c>
      <c r="AG939" s="18" t="s">
        <v>139</v>
      </c>
      <c r="AH939" s="18" t="s">
        <v>93</v>
      </c>
      <c r="AI939" s="18" t="s">
        <v>94</v>
      </c>
      <c r="AJ939" s="19">
        <v>44901</v>
      </c>
      <c r="AK939" s="22" t="s">
        <v>95</v>
      </c>
      <c r="AL939" s="18" t="s">
        <v>95</v>
      </c>
      <c r="AM939" s="18" t="s">
        <v>95</v>
      </c>
      <c r="AN939" s="18" t="s">
        <v>95</v>
      </c>
      <c r="AO939" s="18" t="s">
        <v>95</v>
      </c>
      <c r="AP939" s="18" t="s">
        <v>95</v>
      </c>
      <c r="AQ939" s="18" t="s">
        <v>95</v>
      </c>
      <c r="AR939" s="18" t="s">
        <v>95</v>
      </c>
      <c r="AS939" s="18" t="s">
        <v>83</v>
      </c>
      <c r="AT939" s="18" t="s">
        <v>83</v>
      </c>
      <c r="AU939" s="18" t="s">
        <v>81</v>
      </c>
      <c r="AV939" s="18" t="s">
        <v>95</v>
      </c>
      <c r="AW939" s="18"/>
      <c r="AX939" s="18"/>
      <c r="AY939" s="18" t="str">
        <f>Pospago[[#This Row],[NUM_TELEFONICO]]&amp;"POSPAGOSI"</f>
        <v>998231708POSPAGOSI</v>
      </c>
      <c r="AZ939" s="18" t="str">
        <f>VLOOKUP(Pospago[[#This Row],[NOM_PLAZA_FINAL]],[1]!Locales[#Data],3,0)</f>
        <v>TIENDA RECREO</v>
      </c>
      <c r="BA939" s="18" t="str">
        <f>IFERROR(VLOOKUP(Pospago[[#This Row],[USUARIO]],[1]!Personal[#Data],6,0),"EJECUTIVO NO REGISTRADO")</f>
        <v>CONDO GARCIA NICOLAS MATIAS</v>
      </c>
      <c r="BB939" s="18" t="str">
        <f>Pospago[[#This Row],[TIPO_MOVIMIENTO]]&amp;" "&amp;Pospago[[#This Row],[FORMA_PAGO_FINAL]]</f>
        <v>ALTAS DOMICILIADO</v>
      </c>
      <c r="BC939" s="18">
        <f>DAY(Pospago[[#This Row],[FECHA_ALTA]])</f>
        <v>6</v>
      </c>
      <c r="BD939" s="18">
        <f>IF(Pospago[[#This Row],[TARIFA_BASICA]]=11.42,1,0)</f>
        <v>0</v>
      </c>
      <c r="BE939" s="18">
        <f>IF(Pospago[[#This Row],[PLANES TELEVENTAS]]="SI",1,0)</f>
        <v>0</v>
      </c>
      <c r="BF939" s="18">
        <f>1</f>
        <v>1</v>
      </c>
      <c r="BG939" s="18">
        <f>IF(OR(Pospago[[#This Row],[TARIFA_BASICA]]=11.42,Pospago[[#This Row],[PLANES TELEVENTAS]]="SI"),1,0)</f>
        <v>0</v>
      </c>
      <c r="BH939" s="18" t="str">
        <f>IF(MID(Pospago[[#This Row],[PlanDesc]],1,4) = "PLAN","POSPAGO",IF(MID(Pospago[[#This Row],[PlanDesc]],1,4)="FULL","FULL MEGAS","PREVIOPAGO"))</f>
        <v>PREVIOPAGO</v>
      </c>
      <c r="BI9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39" s="21">
        <f>Pospago[[#This Row],[TARIFA_BASICA]]*1.5</f>
        <v>21.419999999999998</v>
      </c>
    </row>
    <row r="940" spans="1:63" x14ac:dyDescent="0.25">
      <c r="A940" s="18" t="s">
        <v>154</v>
      </c>
      <c r="B940" s="18" t="s">
        <v>5890</v>
      </c>
      <c r="C940" s="18" t="s">
        <v>5891</v>
      </c>
      <c r="D940" s="19">
        <v>44896</v>
      </c>
      <c r="E940" s="18" t="s">
        <v>67</v>
      </c>
      <c r="F940" s="18" t="s">
        <v>5892</v>
      </c>
      <c r="G940" s="18" t="s">
        <v>5893</v>
      </c>
      <c r="H940" s="18" t="s">
        <v>159</v>
      </c>
      <c r="I940" s="18" t="s">
        <v>112</v>
      </c>
      <c r="J940" s="18" t="s">
        <v>781</v>
      </c>
      <c r="K940" s="18" t="s">
        <v>4226</v>
      </c>
      <c r="L940" s="20" t="s">
        <v>5894</v>
      </c>
      <c r="M940" s="18" t="s">
        <v>75</v>
      </c>
      <c r="N940" s="20" t="s">
        <v>5895</v>
      </c>
      <c r="O940" s="18" t="s">
        <v>164</v>
      </c>
      <c r="P940" s="18" t="s">
        <v>78</v>
      </c>
      <c r="Q940" s="19">
        <v>44914</v>
      </c>
      <c r="R940" s="21">
        <v>17.850000000000001</v>
      </c>
      <c r="S940" s="18" t="s">
        <v>79</v>
      </c>
      <c r="T940" s="18" t="s">
        <v>174</v>
      </c>
      <c r="U940" s="18" t="s">
        <v>83</v>
      </c>
      <c r="V940" s="18" t="s">
        <v>95</v>
      </c>
      <c r="W940" s="18" t="s">
        <v>95</v>
      </c>
      <c r="X940" s="18" t="s">
        <v>84</v>
      </c>
      <c r="Y940" s="18" t="s">
        <v>85</v>
      </c>
      <c r="Z940" s="18" t="s">
        <v>86</v>
      </c>
      <c r="AA940" s="18" t="s">
        <v>87</v>
      </c>
      <c r="AB940" s="18" t="s">
        <v>808</v>
      </c>
      <c r="AC940" s="18" t="s">
        <v>809</v>
      </c>
      <c r="AD940" s="18" t="s">
        <v>85</v>
      </c>
      <c r="AE940" s="18" t="s">
        <v>90</v>
      </c>
      <c r="AF940" s="18" t="s">
        <v>122</v>
      </c>
      <c r="AG940" s="18" t="s">
        <v>92</v>
      </c>
      <c r="AH940" s="18" t="s">
        <v>165</v>
      </c>
      <c r="AI940" s="18" t="s">
        <v>94</v>
      </c>
      <c r="AJ940" s="19">
        <v>44896</v>
      </c>
      <c r="AK940" s="22" t="s">
        <v>95</v>
      </c>
      <c r="AL940" s="18" t="s">
        <v>95</v>
      </c>
      <c r="AM940" s="18" t="s">
        <v>95</v>
      </c>
      <c r="AN940" s="18" t="s">
        <v>95</v>
      </c>
      <c r="AO940" s="18" t="s">
        <v>95</v>
      </c>
      <c r="AP940" s="18" t="s">
        <v>95</v>
      </c>
      <c r="AQ940" s="18" t="s">
        <v>95</v>
      </c>
      <c r="AR940" s="18" t="s">
        <v>95</v>
      </c>
      <c r="AS940" s="18" t="s">
        <v>83</v>
      </c>
      <c r="AT940" s="18" t="s">
        <v>83</v>
      </c>
      <c r="AU940" s="18" t="s">
        <v>81</v>
      </c>
      <c r="AV940" s="18" t="s">
        <v>95</v>
      </c>
      <c r="AW940" s="18"/>
      <c r="AX940" s="18"/>
      <c r="AY940" s="18" t="str">
        <f>Pospago[[#This Row],[NUM_TELEFONICO]]&amp;"POSPAGOSI"</f>
        <v>998232899POSPAGOSI</v>
      </c>
      <c r="AZ940" s="18" t="str">
        <f>VLOOKUP(Pospago[[#This Row],[NOM_PLAZA_FINAL]],[1]!Locales[#Data],3,0)</f>
        <v>TIENDA MACHALA</v>
      </c>
      <c r="BA940" s="18" t="str">
        <f>IFERROR(VLOOKUP(Pospago[[#This Row],[USUARIO]],[1]!Personal[#Data],6,0),"EJECUTIVO NO REGISTRADO")</f>
        <v>ALICIA ROMINA GONZALEZ SANDOYA</v>
      </c>
      <c r="BB940" s="18" t="str">
        <f>Pospago[[#This Row],[TIPO_MOVIMIENTO]]&amp;" "&amp;Pospago[[#This Row],[FORMA_PAGO_FINAL]]</f>
        <v>TRANSFERENCIAS DOMICILIADO</v>
      </c>
      <c r="BC940" s="18">
        <f>DAY(Pospago[[#This Row],[FECHA_ALTA]])</f>
        <v>1</v>
      </c>
      <c r="BD940" s="18">
        <f>IF(Pospago[[#This Row],[TARIFA_BASICA]]=11.42,1,0)</f>
        <v>0</v>
      </c>
      <c r="BE940" s="18">
        <f>IF(Pospago[[#This Row],[PLANES TELEVENTAS]]="SI",1,0)</f>
        <v>0</v>
      </c>
      <c r="BF940" s="18">
        <f>1</f>
        <v>1</v>
      </c>
      <c r="BG940" s="18">
        <f>IF(OR(Pospago[[#This Row],[TARIFA_BASICA]]=11.42,Pospago[[#This Row],[PLANES TELEVENTAS]]="SI"),1,0)</f>
        <v>0</v>
      </c>
      <c r="BH940" s="18" t="str">
        <f>IF(MID(Pospago[[#This Row],[PlanDesc]],1,4) = "PLAN","POSPAGO",IF(MID(Pospago[[#This Row],[PlanDesc]],1,4)="FULL","FULL MEGAS","PREVIOPAGO"))</f>
        <v>PREVIOPAGO</v>
      </c>
      <c r="BI9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12.612</v>
      </c>
      <c r="BJ9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0" s="21">
        <f>Pospago[[#This Row],[TARIFA_BASICA]]*1.5</f>
        <v>26.775000000000002</v>
      </c>
    </row>
    <row r="941" spans="1:63" x14ac:dyDescent="0.25">
      <c r="A941" s="18" t="s">
        <v>64</v>
      </c>
      <c r="B941" s="18" t="s">
        <v>5896</v>
      </c>
      <c r="C941" s="18" t="s">
        <v>5897</v>
      </c>
      <c r="D941" s="19">
        <v>44898</v>
      </c>
      <c r="E941" s="18" t="s">
        <v>67</v>
      </c>
      <c r="F941" s="18" t="s">
        <v>5898</v>
      </c>
      <c r="G941" s="18" t="s">
        <v>5899</v>
      </c>
      <c r="H941" s="18" t="s">
        <v>70</v>
      </c>
      <c r="I941" s="18" t="s">
        <v>1487</v>
      </c>
      <c r="J941" s="18" t="s">
        <v>228</v>
      </c>
      <c r="K941" s="18" t="s">
        <v>132</v>
      </c>
      <c r="L941" s="20" t="s">
        <v>5900</v>
      </c>
      <c r="M941" s="18" t="s">
        <v>75</v>
      </c>
      <c r="N941" s="20" t="s">
        <v>5901</v>
      </c>
      <c r="O941" s="18" t="s">
        <v>77</v>
      </c>
      <c r="P941" s="18" t="s">
        <v>78</v>
      </c>
      <c r="Q941" s="19">
        <v>44914</v>
      </c>
      <c r="R941" s="21">
        <v>21.42</v>
      </c>
      <c r="S941" s="18" t="s">
        <v>79</v>
      </c>
      <c r="T941" s="18" t="s">
        <v>232</v>
      </c>
      <c r="U941" s="18" t="s">
        <v>83</v>
      </c>
      <c r="V941" s="18" t="s">
        <v>95</v>
      </c>
      <c r="W941" s="18" t="s">
        <v>83</v>
      </c>
      <c r="X941" s="18" t="s">
        <v>84</v>
      </c>
      <c r="Y941" s="18" t="s">
        <v>85</v>
      </c>
      <c r="Z941" s="18" t="s">
        <v>86</v>
      </c>
      <c r="AA941" s="18" t="s">
        <v>87</v>
      </c>
      <c r="AB941" s="18" t="s">
        <v>280</v>
      </c>
      <c r="AC941" s="18" t="s">
        <v>281</v>
      </c>
      <c r="AD941" s="18" t="s">
        <v>85</v>
      </c>
      <c r="AE941" s="18" t="s">
        <v>90</v>
      </c>
      <c r="AF941" s="18" t="s">
        <v>235</v>
      </c>
      <c r="AG941" s="18" t="s">
        <v>139</v>
      </c>
      <c r="AH941" s="18" t="s">
        <v>93</v>
      </c>
      <c r="AI941" s="18" t="s">
        <v>94</v>
      </c>
      <c r="AJ941" s="19">
        <v>44898</v>
      </c>
      <c r="AK941" s="22" t="s">
        <v>95</v>
      </c>
      <c r="AL941" s="18" t="s">
        <v>95</v>
      </c>
      <c r="AM941" s="18" t="s">
        <v>95</v>
      </c>
      <c r="AN941" s="18" t="s">
        <v>95</v>
      </c>
      <c r="AO941" s="18" t="s">
        <v>95</v>
      </c>
      <c r="AP941" s="18" t="s">
        <v>95</v>
      </c>
      <c r="AQ941" s="18" t="s">
        <v>95</v>
      </c>
      <c r="AR941" s="18" t="s">
        <v>95</v>
      </c>
      <c r="AS941" s="18" t="s">
        <v>83</v>
      </c>
      <c r="AT941" s="18" t="s">
        <v>81</v>
      </c>
      <c r="AU941" s="18" t="s">
        <v>81</v>
      </c>
      <c r="AV941" s="18" t="s">
        <v>95</v>
      </c>
      <c r="AW941" s="18"/>
      <c r="AX941" s="18"/>
      <c r="AY941" s="18" t="str">
        <f>Pospago[[#This Row],[NUM_TELEFONICO]]&amp;"POSPAGOSI"</f>
        <v>998233032POSPAGOSI</v>
      </c>
      <c r="AZ941" s="18" t="str">
        <f>VLOOKUP(Pospago[[#This Row],[NOM_PLAZA_FINAL]],[1]!Locales[#Data],3,0)</f>
        <v>TIENDA CONDADO</v>
      </c>
      <c r="BA941" s="18" t="str">
        <f>IFERROR(VLOOKUP(Pospago[[#This Row],[USUARIO]],[1]!Personal[#Data],6,0),"EJECUTIVO NO REGISTRADO")</f>
        <v>GUACHAMIN CAZA HUGO ADRIAN</v>
      </c>
      <c r="BB941" s="18" t="str">
        <f>Pospago[[#This Row],[TIPO_MOVIMIENTO]]&amp;" "&amp;Pospago[[#This Row],[FORMA_PAGO_FINAL]]</f>
        <v>ALTAS DOMICILIADO</v>
      </c>
      <c r="BC941" s="18">
        <f>DAY(Pospago[[#This Row],[FECHA_ALTA]])</f>
        <v>3</v>
      </c>
      <c r="BD941" s="18">
        <f>IF(Pospago[[#This Row],[TARIFA_BASICA]]=11.42,1,0)</f>
        <v>0</v>
      </c>
      <c r="BE941" s="18">
        <f>IF(Pospago[[#This Row],[PLANES TELEVENTAS]]="SI",1,0)</f>
        <v>1</v>
      </c>
      <c r="BF941" s="18">
        <f>1</f>
        <v>1</v>
      </c>
      <c r="BG941" s="18">
        <f>IF(OR(Pospago[[#This Row],[TARIFA_BASICA]]=11.42,Pospago[[#This Row],[PLANES TELEVENTAS]]="SI"),1,0)</f>
        <v>1</v>
      </c>
      <c r="BH941" s="18" t="str">
        <f>IF(MID(Pospago[[#This Row],[PlanDesc]],1,4) = "PLAN","POSPAGO",IF(MID(Pospago[[#This Row],[PlanDesc]],1,4)="FULL","FULL MEGAS","PREVIOPAGO"))</f>
        <v>PREVIOPAGO</v>
      </c>
      <c r="BI9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9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1" s="21">
        <f>Pospago[[#This Row],[TARIFA_BASICA]]*1.5</f>
        <v>32.130000000000003</v>
      </c>
    </row>
    <row r="942" spans="1:63" x14ac:dyDescent="0.25">
      <c r="A942" s="18" t="s">
        <v>64</v>
      </c>
      <c r="B942" s="18" t="s">
        <v>5902</v>
      </c>
      <c r="C942" s="18" t="s">
        <v>5903</v>
      </c>
      <c r="D942" s="19">
        <v>44907</v>
      </c>
      <c r="E942" s="18" t="s">
        <v>67</v>
      </c>
      <c r="F942" s="18" t="s">
        <v>5904</v>
      </c>
      <c r="G942" s="18" t="s">
        <v>5905</v>
      </c>
      <c r="H942" s="18" t="s">
        <v>70</v>
      </c>
      <c r="I942" s="18" t="s">
        <v>194</v>
      </c>
      <c r="J942" s="18" t="s">
        <v>195</v>
      </c>
      <c r="K942" s="18" t="s">
        <v>73</v>
      </c>
      <c r="L942" s="20" t="s">
        <v>5906</v>
      </c>
      <c r="M942" s="18" t="s">
        <v>75</v>
      </c>
      <c r="N942" s="20" t="s">
        <v>5907</v>
      </c>
      <c r="O942" s="18" t="s">
        <v>77</v>
      </c>
      <c r="P942" s="18" t="s">
        <v>78</v>
      </c>
      <c r="Q942" s="19">
        <v>44914</v>
      </c>
      <c r="R942" s="21">
        <v>14.28</v>
      </c>
      <c r="S942" s="18" t="s">
        <v>79</v>
      </c>
      <c r="T942" s="18" t="s">
        <v>232</v>
      </c>
      <c r="U942" s="18" t="s">
        <v>83</v>
      </c>
      <c r="V942" s="18" t="s">
        <v>95</v>
      </c>
      <c r="W942" s="18" t="s">
        <v>83</v>
      </c>
      <c r="X942" s="18" t="s">
        <v>84</v>
      </c>
      <c r="Y942" s="18" t="s">
        <v>85</v>
      </c>
      <c r="Z942" s="18" t="s">
        <v>86</v>
      </c>
      <c r="AA942" s="18" t="s">
        <v>87</v>
      </c>
      <c r="AB942" s="18" t="s">
        <v>412</v>
      </c>
      <c r="AC942" s="18" t="s">
        <v>413</v>
      </c>
      <c r="AD942" s="18" t="s">
        <v>85</v>
      </c>
      <c r="AE942" s="18" t="s">
        <v>90</v>
      </c>
      <c r="AF942" s="18" t="s">
        <v>235</v>
      </c>
      <c r="AG942" s="18" t="s">
        <v>139</v>
      </c>
      <c r="AH942" s="18" t="s">
        <v>93</v>
      </c>
      <c r="AI942" s="18" t="s">
        <v>94</v>
      </c>
      <c r="AJ942" s="19">
        <v>44907</v>
      </c>
      <c r="AK942" s="22" t="s">
        <v>95</v>
      </c>
      <c r="AL942" s="18" t="s">
        <v>95</v>
      </c>
      <c r="AM942" s="18" t="s">
        <v>95</v>
      </c>
      <c r="AN942" s="18" t="s">
        <v>95</v>
      </c>
      <c r="AO942" s="18" t="s">
        <v>95</v>
      </c>
      <c r="AP942" s="18" t="s">
        <v>95</v>
      </c>
      <c r="AQ942" s="18" t="s">
        <v>95</v>
      </c>
      <c r="AR942" s="18" t="s">
        <v>95</v>
      </c>
      <c r="AS942" s="18" t="s">
        <v>83</v>
      </c>
      <c r="AT942" s="18" t="s">
        <v>81</v>
      </c>
      <c r="AU942" s="18" t="s">
        <v>81</v>
      </c>
      <c r="AV942" s="18" t="s">
        <v>95</v>
      </c>
      <c r="AW942" s="18"/>
      <c r="AX942" s="18"/>
      <c r="AY942" s="18" t="str">
        <f>Pospago[[#This Row],[NUM_TELEFONICO]]&amp;"POSPAGOSI"</f>
        <v>998244819POSPAGOSI</v>
      </c>
      <c r="AZ942" s="18" t="str">
        <f>VLOOKUP(Pospago[[#This Row],[NOM_PLAZA_FINAL]],[1]!Locales[#Data],3,0)</f>
        <v>TIENDA CONDADO</v>
      </c>
      <c r="BA942" s="18" t="str">
        <f>IFERROR(VLOOKUP(Pospago[[#This Row],[USUARIO]],[1]!Personal[#Data],6,0),"EJECUTIVO NO REGISTRADO")</f>
        <v>PADILLA MALDONADO HENRY LEOPOLDO</v>
      </c>
      <c r="BB942" s="18" t="str">
        <f>Pospago[[#This Row],[TIPO_MOVIMIENTO]]&amp;" "&amp;Pospago[[#This Row],[FORMA_PAGO_FINAL]]</f>
        <v>ALTAS DOMICILIADO</v>
      </c>
      <c r="BC942" s="18">
        <f>DAY(Pospago[[#This Row],[FECHA_ALTA]])</f>
        <v>12</v>
      </c>
      <c r="BD942" s="18">
        <f>IF(Pospago[[#This Row],[TARIFA_BASICA]]=11.42,1,0)</f>
        <v>0</v>
      </c>
      <c r="BE942" s="18">
        <f>IF(Pospago[[#This Row],[PLANES TELEVENTAS]]="SI",1,0)</f>
        <v>1</v>
      </c>
      <c r="BF942" s="18">
        <f>1</f>
        <v>1</v>
      </c>
      <c r="BG942" s="18">
        <f>IF(OR(Pospago[[#This Row],[TARIFA_BASICA]]=11.42,Pospago[[#This Row],[PLANES TELEVENTAS]]="SI"),1,0)</f>
        <v>1</v>
      </c>
      <c r="BH942" s="18" t="str">
        <f>IF(MID(Pospago[[#This Row],[PlanDesc]],1,4) = "PLAN","POSPAGO",IF(MID(Pospago[[#This Row],[PlanDesc]],1,4)="FULL","FULL MEGAS","PREVIOPAGO"))</f>
        <v>PREVIOPAGO</v>
      </c>
      <c r="BI9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2" s="21">
        <f>Pospago[[#This Row],[TARIFA_BASICA]]*1.5</f>
        <v>21.419999999999998</v>
      </c>
    </row>
    <row r="943" spans="1:63" x14ac:dyDescent="0.25">
      <c r="A943" s="18" t="s">
        <v>64</v>
      </c>
      <c r="B943" s="18" t="s">
        <v>5908</v>
      </c>
      <c r="C943" s="18" t="s">
        <v>5909</v>
      </c>
      <c r="D943" s="19">
        <v>44910</v>
      </c>
      <c r="E943" s="18" t="s">
        <v>67</v>
      </c>
      <c r="F943" s="18" t="s">
        <v>5910</v>
      </c>
      <c r="G943" s="18" t="s">
        <v>5911</v>
      </c>
      <c r="H943" s="18" t="s">
        <v>70</v>
      </c>
      <c r="I943" s="18" t="s">
        <v>392</v>
      </c>
      <c r="J943" s="18" t="s">
        <v>131</v>
      </c>
      <c r="K943" s="18" t="s">
        <v>132</v>
      </c>
      <c r="L943" s="20" t="s">
        <v>5912</v>
      </c>
      <c r="M943" s="18" t="s">
        <v>75</v>
      </c>
      <c r="N943" s="20" t="s">
        <v>5913</v>
      </c>
      <c r="O943" s="18" t="s">
        <v>77</v>
      </c>
      <c r="P943" s="18" t="s">
        <v>78</v>
      </c>
      <c r="Q943" s="19">
        <v>44914</v>
      </c>
      <c r="R943" s="21">
        <v>15</v>
      </c>
      <c r="S943" s="18" t="s">
        <v>79</v>
      </c>
      <c r="T943" s="18" t="s">
        <v>135</v>
      </c>
      <c r="U943" s="18" t="s">
        <v>83</v>
      </c>
      <c r="V943" s="18" t="s">
        <v>95</v>
      </c>
      <c r="W943" s="18" t="s">
        <v>83</v>
      </c>
      <c r="X943" s="18" t="s">
        <v>84</v>
      </c>
      <c r="Y943" s="18" t="s">
        <v>85</v>
      </c>
      <c r="Z943" s="18" t="s">
        <v>86</v>
      </c>
      <c r="AA943" s="18" t="s">
        <v>87</v>
      </c>
      <c r="AB943" s="18" t="s">
        <v>478</v>
      </c>
      <c r="AC943" s="18" t="s">
        <v>479</v>
      </c>
      <c r="AD943" s="18" t="s">
        <v>85</v>
      </c>
      <c r="AE943" s="18" t="s">
        <v>90</v>
      </c>
      <c r="AF943" s="18" t="s">
        <v>138</v>
      </c>
      <c r="AG943" s="18" t="s">
        <v>139</v>
      </c>
      <c r="AH943" s="18" t="s">
        <v>93</v>
      </c>
      <c r="AI943" s="18" t="s">
        <v>94</v>
      </c>
      <c r="AJ943" s="19">
        <v>44910</v>
      </c>
      <c r="AK943" s="22" t="s">
        <v>95</v>
      </c>
      <c r="AL943" s="18" t="s">
        <v>95</v>
      </c>
      <c r="AM943" s="18" t="s">
        <v>95</v>
      </c>
      <c r="AN943" s="18" t="s">
        <v>95</v>
      </c>
      <c r="AO943" s="18" t="s">
        <v>95</v>
      </c>
      <c r="AP943" s="18" t="s">
        <v>95</v>
      </c>
      <c r="AQ943" s="18" t="s">
        <v>95</v>
      </c>
      <c r="AR943" s="18" t="s">
        <v>95</v>
      </c>
      <c r="AS943" s="18" t="s">
        <v>83</v>
      </c>
      <c r="AT943" s="18" t="s">
        <v>81</v>
      </c>
      <c r="AU943" s="18" t="s">
        <v>81</v>
      </c>
      <c r="AV943" s="18" t="s">
        <v>95</v>
      </c>
      <c r="AW943" s="18"/>
      <c r="AX943" s="18"/>
      <c r="AY943" s="18" t="str">
        <f>Pospago[[#This Row],[NUM_TELEFONICO]]&amp;"POSPAGOSI"</f>
        <v>998247214POSPAGOSI</v>
      </c>
      <c r="AZ943" s="18" t="str">
        <f>VLOOKUP(Pospago[[#This Row],[NOM_PLAZA_FINAL]],[1]!Locales[#Data],3,0)</f>
        <v>TIENDA AMERICA</v>
      </c>
      <c r="BA943" s="18" t="str">
        <f>IFERROR(VLOOKUP(Pospago[[#This Row],[USUARIO]],[1]!Personal[#Data],6,0),"EJECUTIVO NO REGISTRADO")</f>
        <v>REINO TUFINO PAULTEH KATHERINE</v>
      </c>
      <c r="BB943" s="18" t="str">
        <f>Pospago[[#This Row],[TIPO_MOVIMIENTO]]&amp;" "&amp;Pospago[[#This Row],[FORMA_PAGO_FINAL]]</f>
        <v>ALTAS DOMICILIADO</v>
      </c>
      <c r="BC943" s="18">
        <f>DAY(Pospago[[#This Row],[FECHA_ALTA]])</f>
        <v>15</v>
      </c>
      <c r="BD943" s="18">
        <f>IF(Pospago[[#This Row],[TARIFA_BASICA]]=11.42,1,0)</f>
        <v>0</v>
      </c>
      <c r="BE943" s="18">
        <f>IF(Pospago[[#This Row],[PLANES TELEVENTAS]]="SI",1,0)</f>
        <v>1</v>
      </c>
      <c r="BF943" s="18">
        <f>1</f>
        <v>1</v>
      </c>
      <c r="BG943" s="18">
        <f>IF(OR(Pospago[[#This Row],[TARIFA_BASICA]]=11.42,Pospago[[#This Row],[PLANES TELEVENTAS]]="SI"),1,0)</f>
        <v>1</v>
      </c>
      <c r="BH943" s="18" t="str">
        <f>IF(MID(Pospago[[#This Row],[PlanDesc]],1,4) = "PLAN","POSPAGO",IF(MID(Pospago[[#This Row],[PlanDesc]],1,4)="FULL","FULL MEGAS","PREVIOPAGO"))</f>
        <v>PREVIOPAGO</v>
      </c>
      <c r="BI9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9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3" s="21">
        <f>Pospago[[#This Row],[TARIFA_BASICA]]*1.5</f>
        <v>22.5</v>
      </c>
    </row>
    <row r="944" spans="1:63" x14ac:dyDescent="0.25">
      <c r="A944" s="18" t="s">
        <v>154</v>
      </c>
      <c r="B944" s="18" t="s">
        <v>5914</v>
      </c>
      <c r="C944" s="18" t="s">
        <v>3301</v>
      </c>
      <c r="D944" s="19">
        <v>44897</v>
      </c>
      <c r="E944" s="18" t="s">
        <v>67</v>
      </c>
      <c r="F944" s="18" t="s">
        <v>3302</v>
      </c>
      <c r="G944" s="18" t="s">
        <v>3303</v>
      </c>
      <c r="H944" s="18" t="s">
        <v>159</v>
      </c>
      <c r="I944" s="18" t="s">
        <v>160</v>
      </c>
      <c r="J944" s="18" t="s">
        <v>161</v>
      </c>
      <c r="K944" s="18" t="s">
        <v>132</v>
      </c>
      <c r="L944" s="20" t="s">
        <v>5915</v>
      </c>
      <c r="M944" s="18" t="s">
        <v>75</v>
      </c>
      <c r="N944" s="20" t="s">
        <v>5916</v>
      </c>
      <c r="O944" s="18" t="s">
        <v>164</v>
      </c>
      <c r="P944" s="18" t="s">
        <v>78</v>
      </c>
      <c r="Q944" s="19">
        <v>44914</v>
      </c>
      <c r="R944" s="21">
        <v>14.28</v>
      </c>
      <c r="S944" s="18" t="s">
        <v>79</v>
      </c>
      <c r="T944" s="18" t="s">
        <v>148</v>
      </c>
      <c r="U944" s="18" t="s">
        <v>83</v>
      </c>
      <c r="V944" s="18" t="s">
        <v>95</v>
      </c>
      <c r="W944" s="18" t="s">
        <v>95</v>
      </c>
      <c r="X944" s="18" t="s">
        <v>215</v>
      </c>
      <c r="Y944" s="18" t="s">
        <v>85</v>
      </c>
      <c r="Z944" s="18" t="s">
        <v>86</v>
      </c>
      <c r="AA944" s="18" t="s">
        <v>87</v>
      </c>
      <c r="AB944" s="18" t="s">
        <v>149</v>
      </c>
      <c r="AC944" s="18" t="s">
        <v>150</v>
      </c>
      <c r="AD944" s="18" t="s">
        <v>85</v>
      </c>
      <c r="AE944" s="18" t="s">
        <v>90</v>
      </c>
      <c r="AF944" s="18" t="s">
        <v>151</v>
      </c>
      <c r="AG944" s="18" t="s">
        <v>92</v>
      </c>
      <c r="AH944" s="18" t="s">
        <v>165</v>
      </c>
      <c r="AI944" s="18" t="s">
        <v>94</v>
      </c>
      <c r="AJ944" s="19">
        <v>44897</v>
      </c>
      <c r="AK944" s="22" t="s">
        <v>95</v>
      </c>
      <c r="AL944" s="18" t="s">
        <v>95</v>
      </c>
      <c r="AM944" s="18" t="s">
        <v>95</v>
      </c>
      <c r="AN944" s="18" t="s">
        <v>95</v>
      </c>
      <c r="AO944" s="18" t="s">
        <v>95</v>
      </c>
      <c r="AP944" s="18" t="s">
        <v>95</v>
      </c>
      <c r="AQ944" s="18" t="s">
        <v>95</v>
      </c>
      <c r="AR944" s="18" t="s">
        <v>95</v>
      </c>
      <c r="AS944" s="18" t="s">
        <v>83</v>
      </c>
      <c r="AT944" s="18" t="s">
        <v>83</v>
      </c>
      <c r="AU944" s="18" t="s">
        <v>81</v>
      </c>
      <c r="AV944" s="18" t="s">
        <v>95</v>
      </c>
      <c r="AW944" s="18"/>
      <c r="AX944" s="18"/>
      <c r="AY944" s="18" t="str">
        <f>Pospago[[#This Row],[NUM_TELEFONICO]]&amp;"POSPAGOSI"</f>
        <v>998249548POSPAGOSI</v>
      </c>
      <c r="AZ944" s="18" t="str">
        <f>VLOOKUP(Pospago[[#This Row],[NOM_PLAZA_FINAL]],[1]!Locales[#Data],3,0)</f>
        <v>TIENDA CUENCA REMIGIO</v>
      </c>
      <c r="BA944" s="18" t="str">
        <f>IFERROR(VLOOKUP(Pospago[[#This Row],[USUARIO]],[1]!Personal[#Data],6,0),"EJECUTIVO NO REGISTRADO")</f>
        <v>OSORIO TEJADA ANA ESTEFANIA</v>
      </c>
      <c r="BB944" s="18" t="str">
        <f>Pospago[[#This Row],[TIPO_MOVIMIENTO]]&amp;" "&amp;Pospago[[#This Row],[FORMA_PAGO_FINAL]]</f>
        <v>TRANSFERENCIAS DOMICILIADO</v>
      </c>
      <c r="BC944" s="18">
        <f>DAY(Pospago[[#This Row],[FECHA_ALTA]])</f>
        <v>2</v>
      </c>
      <c r="BD944" s="18">
        <f>IF(Pospago[[#This Row],[TARIFA_BASICA]]=11.42,1,0)</f>
        <v>0</v>
      </c>
      <c r="BE944" s="18">
        <f>IF(Pospago[[#This Row],[PLANES TELEVENTAS]]="SI",1,0)</f>
        <v>0</v>
      </c>
      <c r="BF944" s="18">
        <f>1</f>
        <v>1</v>
      </c>
      <c r="BG944" s="18">
        <f>IF(OR(Pospago[[#This Row],[TARIFA_BASICA]]=11.42,Pospago[[#This Row],[PLANES TELEVENTAS]]="SI"),1,0)</f>
        <v>0</v>
      </c>
      <c r="BH944" s="18" t="str">
        <f>IF(MID(Pospago[[#This Row],[PlanDesc]],1,4) = "PLAN","POSPAGO",IF(MID(Pospago[[#This Row],[PlanDesc]],1,4)="FULL","FULL MEGAS","PREVIOPAGO"))</f>
        <v>PREVIOPAGO</v>
      </c>
      <c r="BI9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4" s="21">
        <f>Pospago[[#This Row],[TARIFA_BASICA]]*1.5</f>
        <v>21.419999999999998</v>
      </c>
    </row>
    <row r="945" spans="1:63" x14ac:dyDescent="0.25">
      <c r="A945" s="18" t="s">
        <v>154</v>
      </c>
      <c r="B945" s="18" t="s">
        <v>5917</v>
      </c>
      <c r="C945" s="18" t="s">
        <v>5918</v>
      </c>
      <c r="D945" s="19">
        <v>44912</v>
      </c>
      <c r="E945" s="18" t="s">
        <v>67</v>
      </c>
      <c r="F945" s="18" t="s">
        <v>5919</v>
      </c>
      <c r="G945" s="18" t="s">
        <v>5920</v>
      </c>
      <c r="H945" s="18" t="s">
        <v>159</v>
      </c>
      <c r="I945" s="18" t="s">
        <v>160</v>
      </c>
      <c r="J945" s="18" t="s">
        <v>161</v>
      </c>
      <c r="K945" s="18" t="s">
        <v>73</v>
      </c>
      <c r="L945" s="20" t="s">
        <v>5921</v>
      </c>
      <c r="M945" s="18" t="s">
        <v>75</v>
      </c>
      <c r="N945" s="20" t="s">
        <v>5922</v>
      </c>
      <c r="O945" s="18" t="s">
        <v>164</v>
      </c>
      <c r="P945" s="18" t="s">
        <v>78</v>
      </c>
      <c r="Q945" s="19">
        <v>44914</v>
      </c>
      <c r="R945" s="21">
        <v>14.28</v>
      </c>
      <c r="S945" s="18" t="s">
        <v>79</v>
      </c>
      <c r="T945" s="18" t="s">
        <v>232</v>
      </c>
      <c r="U945" s="18" t="s">
        <v>83</v>
      </c>
      <c r="V945" s="18" t="s">
        <v>95</v>
      </c>
      <c r="W945" s="18" t="s">
        <v>95</v>
      </c>
      <c r="X945" s="18" t="s">
        <v>84</v>
      </c>
      <c r="Y945" s="18" t="s">
        <v>85</v>
      </c>
      <c r="Z945" s="18" t="s">
        <v>86</v>
      </c>
      <c r="AA945" s="18" t="s">
        <v>87</v>
      </c>
      <c r="AB945" s="18" t="s">
        <v>377</v>
      </c>
      <c r="AC945" s="18" t="s">
        <v>378</v>
      </c>
      <c r="AD945" s="18" t="s">
        <v>85</v>
      </c>
      <c r="AE945" s="18" t="s">
        <v>90</v>
      </c>
      <c r="AF945" s="18" t="s">
        <v>235</v>
      </c>
      <c r="AG945" s="18" t="s">
        <v>139</v>
      </c>
      <c r="AH945" s="18" t="s">
        <v>165</v>
      </c>
      <c r="AI945" s="18" t="s">
        <v>94</v>
      </c>
      <c r="AJ945" s="19">
        <v>44912</v>
      </c>
      <c r="AK945" s="22" t="s">
        <v>95</v>
      </c>
      <c r="AL945" s="18" t="s">
        <v>95</v>
      </c>
      <c r="AM945" s="18" t="s">
        <v>95</v>
      </c>
      <c r="AN945" s="18" t="s">
        <v>95</v>
      </c>
      <c r="AO945" s="18" t="s">
        <v>95</v>
      </c>
      <c r="AP945" s="18" t="s">
        <v>95</v>
      </c>
      <c r="AQ945" s="18" t="s">
        <v>95</v>
      </c>
      <c r="AR945" s="18" t="s">
        <v>95</v>
      </c>
      <c r="AS945" s="18" t="s">
        <v>83</v>
      </c>
      <c r="AT945" s="18" t="s">
        <v>83</v>
      </c>
      <c r="AU945" s="18" t="s">
        <v>81</v>
      </c>
      <c r="AV945" s="18" t="s">
        <v>95</v>
      </c>
      <c r="AW945" s="18"/>
      <c r="AX945" s="18"/>
      <c r="AY945" s="18" t="str">
        <f>Pospago[[#This Row],[NUM_TELEFONICO]]&amp;"POSPAGOSI"</f>
        <v>998249839POSPAGOSI</v>
      </c>
      <c r="AZ945" s="18" t="str">
        <f>VLOOKUP(Pospago[[#This Row],[NOM_PLAZA_FINAL]],[1]!Locales[#Data],3,0)</f>
        <v>TIENDA CONDADO</v>
      </c>
      <c r="BA945" s="18" t="str">
        <f>IFERROR(VLOOKUP(Pospago[[#This Row],[USUARIO]],[1]!Personal[#Data],6,0),"EJECUTIVO NO REGISTRADO")</f>
        <v>MELCHIADE ISAAC VALMORE</v>
      </c>
      <c r="BB945" s="18" t="str">
        <f>Pospago[[#This Row],[TIPO_MOVIMIENTO]]&amp;" "&amp;Pospago[[#This Row],[FORMA_PAGO_FINAL]]</f>
        <v>TRANSFERENCIAS DOMICILIADO</v>
      </c>
      <c r="BC945" s="18">
        <f>DAY(Pospago[[#This Row],[FECHA_ALTA]])</f>
        <v>17</v>
      </c>
      <c r="BD945" s="18">
        <f>IF(Pospago[[#This Row],[TARIFA_BASICA]]=11.42,1,0)</f>
        <v>0</v>
      </c>
      <c r="BE945" s="18">
        <f>IF(Pospago[[#This Row],[PLANES TELEVENTAS]]="SI",1,0)</f>
        <v>0</v>
      </c>
      <c r="BF945" s="18">
        <f>1</f>
        <v>1</v>
      </c>
      <c r="BG945" s="18">
        <f>IF(OR(Pospago[[#This Row],[TARIFA_BASICA]]=11.42,Pospago[[#This Row],[PLANES TELEVENTAS]]="SI"),1,0)</f>
        <v>0</v>
      </c>
      <c r="BH945" s="18" t="str">
        <f>IF(MID(Pospago[[#This Row],[PlanDesc]],1,4) = "PLAN","POSPAGO",IF(MID(Pospago[[#This Row],[PlanDesc]],1,4)="FULL","FULL MEGAS","PREVIOPAGO"))</f>
        <v>PREVIOPAGO</v>
      </c>
      <c r="BI9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5" s="21">
        <f>Pospago[[#This Row],[TARIFA_BASICA]]*1.5</f>
        <v>21.419999999999998</v>
      </c>
    </row>
    <row r="946" spans="1:63" x14ac:dyDescent="0.25">
      <c r="A946" s="18" t="s">
        <v>154</v>
      </c>
      <c r="B946" s="18" t="s">
        <v>5923</v>
      </c>
      <c r="C946" s="18" t="s">
        <v>5924</v>
      </c>
      <c r="D946" s="19">
        <v>44912</v>
      </c>
      <c r="E946" s="18" t="s">
        <v>67</v>
      </c>
      <c r="F946" s="18" t="s">
        <v>5925</v>
      </c>
      <c r="G946" s="18" t="s">
        <v>5926</v>
      </c>
      <c r="H946" s="18" t="s">
        <v>159</v>
      </c>
      <c r="I946" s="18" t="s">
        <v>359</v>
      </c>
      <c r="J946" s="18" t="s">
        <v>360</v>
      </c>
      <c r="K946" s="18" t="s">
        <v>132</v>
      </c>
      <c r="L946" s="20" t="s">
        <v>5927</v>
      </c>
      <c r="M946" s="18" t="s">
        <v>75</v>
      </c>
      <c r="N946" s="20" t="s">
        <v>5928</v>
      </c>
      <c r="O946" s="18" t="s">
        <v>768</v>
      </c>
      <c r="P946" s="18" t="s">
        <v>78</v>
      </c>
      <c r="Q946" s="19">
        <v>44914</v>
      </c>
      <c r="R946" s="21">
        <v>14.28</v>
      </c>
      <c r="S946" s="18" t="s">
        <v>79</v>
      </c>
      <c r="T946" s="18" t="s">
        <v>174</v>
      </c>
      <c r="U946" s="18" t="s">
        <v>83</v>
      </c>
      <c r="V946" s="18" t="s">
        <v>95</v>
      </c>
      <c r="W946" s="18" t="s">
        <v>95</v>
      </c>
      <c r="X946" s="18" t="s">
        <v>215</v>
      </c>
      <c r="Y946" s="18" t="s">
        <v>85</v>
      </c>
      <c r="Z946" s="18" t="s">
        <v>86</v>
      </c>
      <c r="AA946" s="18" t="s">
        <v>87</v>
      </c>
      <c r="AB946" s="18" t="s">
        <v>262</v>
      </c>
      <c r="AC946" s="18" t="s">
        <v>263</v>
      </c>
      <c r="AD946" s="18" t="s">
        <v>85</v>
      </c>
      <c r="AE946" s="18" t="s">
        <v>90</v>
      </c>
      <c r="AF946" s="18" t="s">
        <v>177</v>
      </c>
      <c r="AG946" s="18" t="s">
        <v>139</v>
      </c>
      <c r="AH946" s="18" t="s">
        <v>165</v>
      </c>
      <c r="AI946" s="18" t="s">
        <v>94</v>
      </c>
      <c r="AJ946" s="19">
        <v>44912</v>
      </c>
      <c r="AK946" s="22" t="s">
        <v>95</v>
      </c>
      <c r="AL946" s="18" t="s">
        <v>95</v>
      </c>
      <c r="AM946" s="18" t="s">
        <v>95</v>
      </c>
      <c r="AN946" s="18" t="s">
        <v>95</v>
      </c>
      <c r="AO946" s="18" t="s">
        <v>95</v>
      </c>
      <c r="AP946" s="18" t="s">
        <v>95</v>
      </c>
      <c r="AQ946" s="18" t="s">
        <v>95</v>
      </c>
      <c r="AR946" s="18" t="s">
        <v>95</v>
      </c>
      <c r="AS946" s="18" t="s">
        <v>83</v>
      </c>
      <c r="AT946" s="18" t="s">
        <v>83</v>
      </c>
      <c r="AU946" s="18" t="s">
        <v>83</v>
      </c>
      <c r="AV946" s="18" t="s">
        <v>95</v>
      </c>
      <c r="AW946" s="18"/>
      <c r="AX946" s="18"/>
      <c r="AY946" s="18" t="str">
        <f>Pospago[[#This Row],[NUM_TELEFONICO]]&amp;"POSPAGOSI"</f>
        <v>998250291POSPAGOSI</v>
      </c>
      <c r="AZ946" s="18" t="str">
        <f>VLOOKUP(Pospago[[#This Row],[NOM_PLAZA_FINAL]],[1]!Locales[#Data],3,0)</f>
        <v>TIENDA RECREO</v>
      </c>
      <c r="BA946" s="18" t="str">
        <f>IFERROR(VLOOKUP(Pospago[[#This Row],[USUARIO]],[1]!Personal[#Data],6,0),"EJECUTIVO NO REGISTRADO")</f>
        <v>CHICAIZA TOAPANTA ALEX DANILO</v>
      </c>
      <c r="BB946" s="18" t="str">
        <f>Pospago[[#This Row],[TIPO_MOVIMIENTO]]&amp;" "&amp;Pospago[[#This Row],[FORMA_PAGO_FINAL]]</f>
        <v>TRANSFERENCIAS DOMICILIADO</v>
      </c>
      <c r="BC946" s="18">
        <f>DAY(Pospago[[#This Row],[FECHA_ALTA]])</f>
        <v>17</v>
      </c>
      <c r="BD946" s="18">
        <f>IF(Pospago[[#This Row],[TARIFA_BASICA]]=11.42,1,0)</f>
        <v>0</v>
      </c>
      <c r="BE946" s="18">
        <f>IF(Pospago[[#This Row],[PLANES TELEVENTAS]]="SI",1,0)</f>
        <v>0</v>
      </c>
      <c r="BF946" s="18">
        <f>1</f>
        <v>1</v>
      </c>
      <c r="BG946" s="18">
        <f>IF(OR(Pospago[[#This Row],[TARIFA_BASICA]]=11.42,Pospago[[#This Row],[PLANES TELEVENTAS]]="SI"),1,0)</f>
        <v>0</v>
      </c>
      <c r="BH946" s="18" t="str">
        <f>IF(MID(Pospago[[#This Row],[PlanDesc]],1,4) = "PLAN","POSPAGO",IF(MID(Pospago[[#This Row],[PlanDesc]],1,4)="FULL","FULL MEGAS","PREVIOPAGO"))</f>
        <v>POSPAGO</v>
      </c>
      <c r="BI9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6" s="21">
        <f>Pospago[[#This Row],[TARIFA_BASICA]]*1.5</f>
        <v>21.419999999999998</v>
      </c>
    </row>
    <row r="947" spans="1:63" x14ac:dyDescent="0.25">
      <c r="A947" s="18" t="s">
        <v>64</v>
      </c>
      <c r="B947" s="18" t="s">
        <v>5929</v>
      </c>
      <c r="C947" s="18" t="s">
        <v>1737</v>
      </c>
      <c r="D947" s="19">
        <v>44897</v>
      </c>
      <c r="E947" s="18" t="s">
        <v>67</v>
      </c>
      <c r="F947" s="18" t="s">
        <v>1738</v>
      </c>
      <c r="G947" s="18" t="s">
        <v>1739</v>
      </c>
      <c r="H947" s="18" t="s">
        <v>70</v>
      </c>
      <c r="I947" s="18" t="s">
        <v>194</v>
      </c>
      <c r="J947" s="18" t="s">
        <v>195</v>
      </c>
      <c r="K947" s="18" t="s">
        <v>132</v>
      </c>
      <c r="L947" s="20" t="s">
        <v>5930</v>
      </c>
      <c r="M947" s="18" t="s">
        <v>75</v>
      </c>
      <c r="N947" s="20" t="s">
        <v>5931</v>
      </c>
      <c r="O947" s="18" t="s">
        <v>77</v>
      </c>
      <c r="P947" s="18" t="s">
        <v>78</v>
      </c>
      <c r="Q947" s="19">
        <v>44914</v>
      </c>
      <c r="R947" s="21">
        <v>14.28</v>
      </c>
      <c r="S947" s="18" t="s">
        <v>79</v>
      </c>
      <c r="T947" s="18" t="s">
        <v>174</v>
      </c>
      <c r="U947" s="18" t="s">
        <v>83</v>
      </c>
      <c r="V947" s="18" t="s">
        <v>95</v>
      </c>
      <c r="W947" s="18" t="s">
        <v>83</v>
      </c>
      <c r="X947" s="18" t="s">
        <v>84</v>
      </c>
      <c r="Y947" s="18" t="s">
        <v>85</v>
      </c>
      <c r="Z947" s="18" t="s">
        <v>86</v>
      </c>
      <c r="AA947" s="18" t="s">
        <v>87</v>
      </c>
      <c r="AB947" s="18" t="s">
        <v>175</v>
      </c>
      <c r="AC947" s="18" t="s">
        <v>176</v>
      </c>
      <c r="AD947" s="18" t="s">
        <v>85</v>
      </c>
      <c r="AE947" s="18" t="s">
        <v>90</v>
      </c>
      <c r="AF947" s="18" t="s">
        <v>177</v>
      </c>
      <c r="AG947" s="18" t="s">
        <v>139</v>
      </c>
      <c r="AH947" s="18" t="s">
        <v>93</v>
      </c>
      <c r="AI947" s="18" t="s">
        <v>94</v>
      </c>
      <c r="AJ947" s="19">
        <v>44897</v>
      </c>
      <c r="AK947" s="22" t="s">
        <v>95</v>
      </c>
      <c r="AL947" s="18" t="s">
        <v>95</v>
      </c>
      <c r="AM947" s="18" t="s">
        <v>95</v>
      </c>
      <c r="AN947" s="18" t="s">
        <v>95</v>
      </c>
      <c r="AO947" s="18" t="s">
        <v>95</v>
      </c>
      <c r="AP947" s="18" t="s">
        <v>95</v>
      </c>
      <c r="AQ947" s="18" t="s">
        <v>95</v>
      </c>
      <c r="AR947" s="18" t="s">
        <v>95</v>
      </c>
      <c r="AS947" s="18" t="s">
        <v>83</v>
      </c>
      <c r="AT947" s="18" t="s">
        <v>81</v>
      </c>
      <c r="AU947" s="18" t="s">
        <v>81</v>
      </c>
      <c r="AV947" s="18" t="s">
        <v>95</v>
      </c>
      <c r="AW947" s="18"/>
      <c r="AX947" s="18"/>
      <c r="AY947" s="18" t="str">
        <f>Pospago[[#This Row],[NUM_TELEFONICO]]&amp;"POSPAGOSI"</f>
        <v>998254976POSPAGOSI</v>
      </c>
      <c r="AZ947" s="18" t="str">
        <f>VLOOKUP(Pospago[[#This Row],[NOM_PLAZA_FINAL]],[1]!Locales[#Data],3,0)</f>
        <v>TIENDA RECREO</v>
      </c>
      <c r="BA947" s="18" t="str">
        <f>IFERROR(VLOOKUP(Pospago[[#This Row],[USUARIO]],[1]!Personal[#Data],6,0),"EJECUTIVO NO REGISTRADO")</f>
        <v>VARGAS REYES LUIS EDUARDO</v>
      </c>
      <c r="BB947" s="18" t="str">
        <f>Pospago[[#This Row],[TIPO_MOVIMIENTO]]&amp;" "&amp;Pospago[[#This Row],[FORMA_PAGO_FINAL]]</f>
        <v>ALTAS DOMICILIADO</v>
      </c>
      <c r="BC947" s="18">
        <f>DAY(Pospago[[#This Row],[FECHA_ALTA]])</f>
        <v>2</v>
      </c>
      <c r="BD947" s="18">
        <f>IF(Pospago[[#This Row],[TARIFA_BASICA]]=11.42,1,0)</f>
        <v>0</v>
      </c>
      <c r="BE947" s="18">
        <f>IF(Pospago[[#This Row],[PLANES TELEVENTAS]]="SI",1,0)</f>
        <v>1</v>
      </c>
      <c r="BF947" s="18">
        <f>1</f>
        <v>1</v>
      </c>
      <c r="BG947" s="18">
        <f>IF(OR(Pospago[[#This Row],[TARIFA_BASICA]]=11.42,Pospago[[#This Row],[PLANES TELEVENTAS]]="SI"),1,0)</f>
        <v>1</v>
      </c>
      <c r="BH947" s="18" t="str">
        <f>IF(MID(Pospago[[#This Row],[PlanDesc]],1,4) = "PLAN","POSPAGO",IF(MID(Pospago[[#This Row],[PlanDesc]],1,4)="FULL","FULL MEGAS","PREVIOPAGO"))</f>
        <v>PREVIOPAGO</v>
      </c>
      <c r="BI9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7" s="21">
        <f>Pospago[[#This Row],[TARIFA_BASICA]]*1.5</f>
        <v>21.419999999999998</v>
      </c>
    </row>
    <row r="948" spans="1:63" x14ac:dyDescent="0.25">
      <c r="A948" s="18" t="s">
        <v>154</v>
      </c>
      <c r="B948" s="18" t="s">
        <v>5932</v>
      </c>
      <c r="C948" s="18" t="s">
        <v>5933</v>
      </c>
      <c r="D948" s="19">
        <v>44908</v>
      </c>
      <c r="E948" s="18" t="s">
        <v>67</v>
      </c>
      <c r="F948" s="18" t="s">
        <v>5934</v>
      </c>
      <c r="G948" s="18" t="s">
        <v>5935</v>
      </c>
      <c r="H948" s="18" t="s">
        <v>159</v>
      </c>
      <c r="I948" s="18" t="s">
        <v>160</v>
      </c>
      <c r="J948" s="18" t="s">
        <v>161</v>
      </c>
      <c r="K948" s="18" t="s">
        <v>95</v>
      </c>
      <c r="L948" s="20" t="s">
        <v>5936</v>
      </c>
      <c r="M948" s="18" t="s">
        <v>75</v>
      </c>
      <c r="N948" s="20" t="s">
        <v>5937</v>
      </c>
      <c r="O948" s="18" t="s">
        <v>164</v>
      </c>
      <c r="P948" s="18" t="s">
        <v>78</v>
      </c>
      <c r="Q948" s="19">
        <v>44914</v>
      </c>
      <c r="R948" s="21">
        <v>14.28</v>
      </c>
      <c r="S948" s="18" t="s">
        <v>79</v>
      </c>
      <c r="T948" s="18" t="s">
        <v>174</v>
      </c>
      <c r="U948" s="18" t="s">
        <v>83</v>
      </c>
      <c r="V948" s="18" t="s">
        <v>95</v>
      </c>
      <c r="W948" s="18" t="s">
        <v>95</v>
      </c>
      <c r="X948" s="18" t="s">
        <v>84</v>
      </c>
      <c r="Y948" s="18" t="s">
        <v>85</v>
      </c>
      <c r="Z948" s="18" t="s">
        <v>86</v>
      </c>
      <c r="AA948" s="18" t="s">
        <v>87</v>
      </c>
      <c r="AB948" s="18" t="s">
        <v>369</v>
      </c>
      <c r="AC948" s="18" t="s">
        <v>370</v>
      </c>
      <c r="AD948" s="18" t="s">
        <v>85</v>
      </c>
      <c r="AE948" s="18" t="s">
        <v>90</v>
      </c>
      <c r="AF948" s="18" t="s">
        <v>177</v>
      </c>
      <c r="AG948" s="18" t="s">
        <v>139</v>
      </c>
      <c r="AH948" s="18" t="s">
        <v>165</v>
      </c>
      <c r="AI948" s="18" t="s">
        <v>94</v>
      </c>
      <c r="AJ948" s="19">
        <v>44908</v>
      </c>
      <c r="AK948" s="22" t="s">
        <v>95</v>
      </c>
      <c r="AL948" s="18" t="s">
        <v>95</v>
      </c>
      <c r="AM948" s="18" t="s">
        <v>95</v>
      </c>
      <c r="AN948" s="18" t="s">
        <v>95</v>
      </c>
      <c r="AO948" s="18" t="s">
        <v>95</v>
      </c>
      <c r="AP948" s="18" t="s">
        <v>95</v>
      </c>
      <c r="AQ948" s="18" t="s">
        <v>95</v>
      </c>
      <c r="AR948" s="18" t="s">
        <v>95</v>
      </c>
      <c r="AS948" s="18" t="s">
        <v>83</v>
      </c>
      <c r="AT948" s="18" t="s">
        <v>83</v>
      </c>
      <c r="AU948" s="18" t="s">
        <v>81</v>
      </c>
      <c r="AV948" s="18" t="s">
        <v>95</v>
      </c>
      <c r="AW948" s="18"/>
      <c r="AX948" s="18"/>
      <c r="AY948" s="18" t="str">
        <f>Pospago[[#This Row],[NUM_TELEFONICO]]&amp;"POSPAGOSI"</f>
        <v>998265533POSPAGOSI</v>
      </c>
      <c r="AZ948" s="18" t="str">
        <f>VLOOKUP(Pospago[[#This Row],[NOM_PLAZA_FINAL]],[1]!Locales[#Data],3,0)</f>
        <v>TIENDA RECREO</v>
      </c>
      <c r="BA948" s="18" t="str">
        <f>IFERROR(VLOOKUP(Pospago[[#This Row],[USUARIO]],[1]!Personal[#Data],6,0),"EJECUTIVO NO REGISTRADO")</f>
        <v>GUAIGUA REINOSO GENESIS CAROLINA</v>
      </c>
      <c r="BB948" s="18" t="str">
        <f>Pospago[[#This Row],[TIPO_MOVIMIENTO]]&amp;" "&amp;Pospago[[#This Row],[FORMA_PAGO_FINAL]]</f>
        <v>TRANSFERENCIAS DOMICILIADO</v>
      </c>
      <c r="BC948" s="18">
        <f>DAY(Pospago[[#This Row],[FECHA_ALTA]])</f>
        <v>13</v>
      </c>
      <c r="BD948" s="18">
        <f>IF(Pospago[[#This Row],[TARIFA_BASICA]]=11.42,1,0)</f>
        <v>0</v>
      </c>
      <c r="BE948" s="18">
        <f>IF(Pospago[[#This Row],[PLANES TELEVENTAS]]="SI",1,0)</f>
        <v>0</v>
      </c>
      <c r="BF948" s="18">
        <f>1</f>
        <v>1</v>
      </c>
      <c r="BG948" s="18">
        <f>IF(OR(Pospago[[#This Row],[TARIFA_BASICA]]=11.42,Pospago[[#This Row],[PLANES TELEVENTAS]]="SI"),1,0)</f>
        <v>0</v>
      </c>
      <c r="BH948" s="18" t="str">
        <f>IF(MID(Pospago[[#This Row],[PlanDesc]],1,4) = "PLAN","POSPAGO",IF(MID(Pospago[[#This Row],[PlanDesc]],1,4)="FULL","FULL MEGAS","PREVIOPAGO"))</f>
        <v>PREVIOPAGO</v>
      </c>
      <c r="BI9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8" s="21">
        <f>Pospago[[#This Row],[TARIFA_BASICA]]*1.5</f>
        <v>21.419999999999998</v>
      </c>
    </row>
    <row r="949" spans="1:63" x14ac:dyDescent="0.25">
      <c r="A949" s="18" t="s">
        <v>64</v>
      </c>
      <c r="B949" s="18" t="s">
        <v>5938</v>
      </c>
      <c r="C949" s="18" t="s">
        <v>5939</v>
      </c>
      <c r="D949" s="19">
        <v>44896</v>
      </c>
      <c r="E949" s="18" t="s">
        <v>67</v>
      </c>
      <c r="F949" s="18" t="s">
        <v>5940</v>
      </c>
      <c r="G949" s="18" t="s">
        <v>5941</v>
      </c>
      <c r="H949" s="18" t="s">
        <v>70</v>
      </c>
      <c r="I949" s="18" t="s">
        <v>194</v>
      </c>
      <c r="J949" s="18" t="s">
        <v>195</v>
      </c>
      <c r="K949" s="18" t="s">
        <v>132</v>
      </c>
      <c r="L949" s="20" t="s">
        <v>5942</v>
      </c>
      <c r="M949" s="18" t="s">
        <v>75</v>
      </c>
      <c r="N949" s="20" t="s">
        <v>5943</v>
      </c>
      <c r="O949" s="18" t="s">
        <v>77</v>
      </c>
      <c r="P949" s="18" t="s">
        <v>78</v>
      </c>
      <c r="Q949" s="19">
        <v>44914</v>
      </c>
      <c r="R949" s="21">
        <v>14.28</v>
      </c>
      <c r="S949" s="18" t="s">
        <v>79</v>
      </c>
      <c r="T949" s="18" t="s">
        <v>174</v>
      </c>
      <c r="U949" s="18" t="s">
        <v>83</v>
      </c>
      <c r="V949" s="18" t="s">
        <v>95</v>
      </c>
      <c r="W949" s="18" t="s">
        <v>83</v>
      </c>
      <c r="X949" s="18" t="s">
        <v>118</v>
      </c>
      <c r="Y949" s="18" t="s">
        <v>85</v>
      </c>
      <c r="Z949" s="18" t="s">
        <v>86</v>
      </c>
      <c r="AA949" s="18" t="s">
        <v>119</v>
      </c>
      <c r="AB949" s="18" t="s">
        <v>175</v>
      </c>
      <c r="AC949" s="18" t="s">
        <v>176</v>
      </c>
      <c r="AD949" s="18" t="s">
        <v>85</v>
      </c>
      <c r="AE949" s="18" t="s">
        <v>90</v>
      </c>
      <c r="AF949" s="18" t="s">
        <v>177</v>
      </c>
      <c r="AG949" s="18" t="s">
        <v>139</v>
      </c>
      <c r="AH949" s="18" t="s">
        <v>93</v>
      </c>
      <c r="AI949" s="18" t="s">
        <v>94</v>
      </c>
      <c r="AJ949" s="19">
        <v>44896</v>
      </c>
      <c r="AK949" s="22" t="s">
        <v>95</v>
      </c>
      <c r="AL949" s="18" t="s">
        <v>95</v>
      </c>
      <c r="AM949" s="18" t="s">
        <v>95</v>
      </c>
      <c r="AN949" s="18" t="s">
        <v>95</v>
      </c>
      <c r="AO949" s="18" t="s">
        <v>95</v>
      </c>
      <c r="AP949" s="18" t="s">
        <v>95</v>
      </c>
      <c r="AQ949" s="18" t="s">
        <v>95</v>
      </c>
      <c r="AR949" s="18" t="s">
        <v>95</v>
      </c>
      <c r="AS949" s="18" t="s">
        <v>83</v>
      </c>
      <c r="AT949" s="18" t="s">
        <v>81</v>
      </c>
      <c r="AU949" s="18" t="s">
        <v>81</v>
      </c>
      <c r="AV949" s="18" t="s">
        <v>95</v>
      </c>
      <c r="AW949" s="18"/>
      <c r="AX949" s="18"/>
      <c r="AY949" s="18" t="str">
        <f>Pospago[[#This Row],[NUM_TELEFONICO]]&amp;"POSPAGOSI"</f>
        <v>998267093POSPAGOSI</v>
      </c>
      <c r="AZ949" s="18" t="str">
        <f>VLOOKUP(Pospago[[#This Row],[NOM_PLAZA_FINAL]],[1]!Locales[#Data],3,0)</f>
        <v>TIENDA RECREO</v>
      </c>
      <c r="BA949" s="18" t="str">
        <f>IFERROR(VLOOKUP(Pospago[[#This Row],[USUARIO]],[1]!Personal[#Data],6,0),"EJECUTIVO NO REGISTRADO")</f>
        <v>VARGAS REYES LUIS EDUARDO</v>
      </c>
      <c r="BB949" s="18" t="str">
        <f>Pospago[[#This Row],[TIPO_MOVIMIENTO]]&amp;" "&amp;Pospago[[#This Row],[FORMA_PAGO_FINAL]]</f>
        <v>ALTAS PAGO EN CAJA</v>
      </c>
      <c r="BC949" s="18">
        <f>DAY(Pospago[[#This Row],[FECHA_ALTA]])</f>
        <v>1</v>
      </c>
      <c r="BD949" s="18">
        <f>IF(Pospago[[#This Row],[TARIFA_BASICA]]=11.42,1,0)</f>
        <v>0</v>
      </c>
      <c r="BE949" s="18">
        <f>IF(Pospago[[#This Row],[PLANES TELEVENTAS]]="SI",1,0)</f>
        <v>1</v>
      </c>
      <c r="BF949" s="18">
        <f>1</f>
        <v>1</v>
      </c>
      <c r="BG949" s="18">
        <f>IF(OR(Pospago[[#This Row],[TARIFA_BASICA]]=11.42,Pospago[[#This Row],[PLANES TELEVENTAS]]="SI"),1,0)</f>
        <v>1</v>
      </c>
      <c r="BH949" s="18" t="str">
        <f>IF(MID(Pospago[[#This Row],[PlanDesc]],1,4) = "PLAN","POSPAGO",IF(MID(Pospago[[#This Row],[PlanDesc]],1,4)="FULL","FULL MEGAS","PREVIOPAGO"))</f>
        <v>PREVIOPAGO</v>
      </c>
      <c r="BI9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9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49" s="21">
        <f>Pospago[[#This Row],[TARIFA_BASICA]]*1.5</f>
        <v>21.419999999999998</v>
      </c>
    </row>
    <row r="950" spans="1:63" x14ac:dyDescent="0.25">
      <c r="A950" s="18" t="s">
        <v>154</v>
      </c>
      <c r="B950" s="18" t="s">
        <v>5944</v>
      </c>
      <c r="C950" s="18" t="s">
        <v>5945</v>
      </c>
      <c r="D950" s="19">
        <v>44902</v>
      </c>
      <c r="E950" s="18" t="s">
        <v>67</v>
      </c>
      <c r="F950" s="18" t="s">
        <v>5946</v>
      </c>
      <c r="G950" s="18" t="s">
        <v>5947</v>
      </c>
      <c r="H950" s="18" t="s">
        <v>159</v>
      </c>
      <c r="I950" s="18" t="s">
        <v>71</v>
      </c>
      <c r="J950" s="18" t="s">
        <v>258</v>
      </c>
      <c r="K950" s="18" t="s">
        <v>73</v>
      </c>
      <c r="L950" s="20" t="s">
        <v>5948</v>
      </c>
      <c r="M950" s="18" t="s">
        <v>75</v>
      </c>
      <c r="N950" s="20" t="s">
        <v>5949</v>
      </c>
      <c r="O950" s="18" t="s">
        <v>164</v>
      </c>
      <c r="P950" s="18" t="s">
        <v>78</v>
      </c>
      <c r="Q950" s="19">
        <v>44914</v>
      </c>
      <c r="R950" s="21">
        <v>11.42</v>
      </c>
      <c r="S950" s="18" t="s">
        <v>79</v>
      </c>
      <c r="T950" s="18" t="s">
        <v>174</v>
      </c>
      <c r="U950" s="18" t="s">
        <v>83</v>
      </c>
      <c r="V950" s="18" t="s">
        <v>95</v>
      </c>
      <c r="W950" s="18" t="s">
        <v>95</v>
      </c>
      <c r="X950" s="18" t="s">
        <v>118</v>
      </c>
      <c r="Y950" s="18" t="s">
        <v>85</v>
      </c>
      <c r="Z950" s="18" t="s">
        <v>86</v>
      </c>
      <c r="AA950" s="18" t="s">
        <v>119</v>
      </c>
      <c r="AB950" s="18" t="s">
        <v>251</v>
      </c>
      <c r="AC950" s="18" t="s">
        <v>252</v>
      </c>
      <c r="AD950" s="18" t="s">
        <v>85</v>
      </c>
      <c r="AE950" s="18" t="s">
        <v>90</v>
      </c>
      <c r="AF950" s="18" t="s">
        <v>177</v>
      </c>
      <c r="AG950" s="18" t="s">
        <v>139</v>
      </c>
      <c r="AH950" s="18" t="s">
        <v>165</v>
      </c>
      <c r="AI950" s="18" t="s">
        <v>94</v>
      </c>
      <c r="AJ950" s="19">
        <v>44902</v>
      </c>
      <c r="AK950" s="22" t="s">
        <v>95</v>
      </c>
      <c r="AL950" s="18" t="s">
        <v>95</v>
      </c>
      <c r="AM950" s="18" t="s">
        <v>95</v>
      </c>
      <c r="AN950" s="18" t="s">
        <v>95</v>
      </c>
      <c r="AO950" s="18" t="s">
        <v>95</v>
      </c>
      <c r="AP950" s="18" t="s">
        <v>95</v>
      </c>
      <c r="AQ950" s="18" t="s">
        <v>95</v>
      </c>
      <c r="AR950" s="18" t="s">
        <v>95</v>
      </c>
      <c r="AS950" s="18" t="s">
        <v>83</v>
      </c>
      <c r="AT950" s="18" t="s">
        <v>83</v>
      </c>
      <c r="AU950" s="18" t="s">
        <v>81</v>
      </c>
      <c r="AV950" s="18" t="s">
        <v>95</v>
      </c>
      <c r="AW950" s="18"/>
      <c r="AX950" s="18"/>
      <c r="AY950" s="18" t="str">
        <f>Pospago[[#This Row],[NUM_TELEFONICO]]&amp;"POSPAGOSI"</f>
        <v>998278173POSPAGOSI</v>
      </c>
      <c r="AZ950" s="18" t="str">
        <f>VLOOKUP(Pospago[[#This Row],[NOM_PLAZA_FINAL]],[1]!Locales[#Data],3,0)</f>
        <v>TIENDA RECREO</v>
      </c>
      <c r="BA950" s="18" t="str">
        <f>IFERROR(VLOOKUP(Pospago[[#This Row],[USUARIO]],[1]!Personal[#Data],6,0),"EJECUTIVO NO REGISTRADO")</f>
        <v>CRUZ MONTUFAR KATHERINE ALEJANDRA</v>
      </c>
      <c r="BB950" s="18" t="str">
        <f>Pospago[[#This Row],[TIPO_MOVIMIENTO]]&amp;" "&amp;Pospago[[#This Row],[FORMA_PAGO_FINAL]]</f>
        <v>TRANSFERENCIAS PAGO EN CAJA</v>
      </c>
      <c r="BC950" s="18">
        <f>DAY(Pospago[[#This Row],[FECHA_ALTA]])</f>
        <v>7</v>
      </c>
      <c r="BD950" s="18">
        <f>IF(Pospago[[#This Row],[TARIFA_BASICA]]=11.42,1,0)</f>
        <v>1</v>
      </c>
      <c r="BE950" s="18">
        <f>IF(Pospago[[#This Row],[PLANES TELEVENTAS]]="SI",1,0)</f>
        <v>0</v>
      </c>
      <c r="BF950" s="18">
        <f>1</f>
        <v>1</v>
      </c>
      <c r="BG950" s="18">
        <f>IF(OR(Pospago[[#This Row],[TARIFA_BASICA]]=11.42,Pospago[[#This Row],[PLANES TELEVENTAS]]="SI"),1,0)</f>
        <v>1</v>
      </c>
      <c r="BH950" s="18" t="str">
        <f>IF(MID(Pospago[[#This Row],[PlanDesc]],1,4) = "PLAN","POSPAGO",IF(MID(Pospago[[#This Row],[PlanDesc]],1,4)="FULL","FULL MEGAS","PREVIOPAGO"))</f>
        <v>PREVIOPAGO</v>
      </c>
      <c r="BI9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9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50" s="21">
        <f>Pospago[[#This Row],[TARIFA_BASICA]]*1.5</f>
        <v>17.13</v>
      </c>
    </row>
    <row r="951" spans="1:63" x14ac:dyDescent="0.25">
      <c r="A951" s="18" t="s">
        <v>154</v>
      </c>
      <c r="B951" s="18" t="s">
        <v>5950</v>
      </c>
      <c r="C951" s="18" t="s">
        <v>5951</v>
      </c>
      <c r="D951" s="19">
        <v>44903</v>
      </c>
      <c r="E951" s="18" t="s">
        <v>67</v>
      </c>
      <c r="F951" s="18" t="s">
        <v>5952</v>
      </c>
      <c r="G951" s="18" t="s">
        <v>5953</v>
      </c>
      <c r="H951" s="18" t="s">
        <v>159</v>
      </c>
      <c r="I951" s="18" t="s">
        <v>1357</v>
      </c>
      <c r="J951" s="18" t="s">
        <v>2022</v>
      </c>
      <c r="K951" s="18" t="s">
        <v>114</v>
      </c>
      <c r="L951" s="20" t="s">
        <v>5954</v>
      </c>
      <c r="M951" s="18" t="s">
        <v>75</v>
      </c>
      <c r="N951" s="20" t="s">
        <v>5955</v>
      </c>
      <c r="O951" s="18" t="s">
        <v>164</v>
      </c>
      <c r="P951" s="18" t="s">
        <v>78</v>
      </c>
      <c r="Q951" s="19">
        <v>44914</v>
      </c>
      <c r="R951" s="21">
        <v>11.42</v>
      </c>
      <c r="S951" s="18" t="s">
        <v>79</v>
      </c>
      <c r="T951" s="18" t="s">
        <v>174</v>
      </c>
      <c r="U951" s="18" t="s">
        <v>83</v>
      </c>
      <c r="V951" s="18" t="s">
        <v>95</v>
      </c>
      <c r="W951" s="18" t="s">
        <v>95</v>
      </c>
      <c r="X951" s="18" t="s">
        <v>84</v>
      </c>
      <c r="Y951" s="18" t="s">
        <v>85</v>
      </c>
      <c r="Z951" s="18" t="s">
        <v>86</v>
      </c>
      <c r="AA951" s="18" t="s">
        <v>87</v>
      </c>
      <c r="AB951" s="18" t="s">
        <v>808</v>
      </c>
      <c r="AC951" s="18" t="s">
        <v>809</v>
      </c>
      <c r="AD951" s="18" t="s">
        <v>85</v>
      </c>
      <c r="AE951" s="18" t="s">
        <v>90</v>
      </c>
      <c r="AF951" s="18" t="s">
        <v>122</v>
      </c>
      <c r="AG951" s="18" t="s">
        <v>92</v>
      </c>
      <c r="AH951" s="18" t="s">
        <v>165</v>
      </c>
      <c r="AI951" s="18" t="s">
        <v>94</v>
      </c>
      <c r="AJ951" s="19">
        <v>44903</v>
      </c>
      <c r="AK951" s="22" t="s">
        <v>95</v>
      </c>
      <c r="AL951" s="18" t="s">
        <v>95</v>
      </c>
      <c r="AM951" s="18" t="s">
        <v>95</v>
      </c>
      <c r="AN951" s="18" t="s">
        <v>95</v>
      </c>
      <c r="AO951" s="18" t="s">
        <v>95</v>
      </c>
      <c r="AP951" s="18" t="s">
        <v>95</v>
      </c>
      <c r="AQ951" s="18" t="s">
        <v>95</v>
      </c>
      <c r="AR951" s="18" t="s">
        <v>95</v>
      </c>
      <c r="AS951" s="18" t="s">
        <v>83</v>
      </c>
      <c r="AT951" s="18" t="s">
        <v>81</v>
      </c>
      <c r="AU951" s="18" t="s">
        <v>81</v>
      </c>
      <c r="AV951" s="18" t="s">
        <v>95</v>
      </c>
      <c r="AW951" s="18"/>
      <c r="AX951" s="18"/>
      <c r="AY951" s="18" t="str">
        <f>Pospago[[#This Row],[NUM_TELEFONICO]]&amp;"POSPAGOSI"</f>
        <v>998290598POSPAGOSI</v>
      </c>
      <c r="AZ951" s="18" t="str">
        <f>VLOOKUP(Pospago[[#This Row],[NOM_PLAZA_FINAL]],[1]!Locales[#Data],3,0)</f>
        <v>TIENDA MACHALA</v>
      </c>
      <c r="BA951" s="18" t="str">
        <f>IFERROR(VLOOKUP(Pospago[[#This Row],[USUARIO]],[1]!Personal[#Data],6,0),"EJECUTIVO NO REGISTRADO")</f>
        <v>ALICIA ROMINA GONZALEZ SANDOYA</v>
      </c>
      <c r="BB951" s="18" t="str">
        <f>Pospago[[#This Row],[TIPO_MOVIMIENTO]]&amp;" "&amp;Pospago[[#This Row],[FORMA_PAGO_FINAL]]</f>
        <v>TRANSFERENCIAS DOMICILIADO</v>
      </c>
      <c r="BC951" s="18">
        <f>DAY(Pospago[[#This Row],[FECHA_ALTA]])</f>
        <v>8</v>
      </c>
      <c r="BD951" s="18">
        <f>IF(Pospago[[#This Row],[TARIFA_BASICA]]=11.42,1,0)</f>
        <v>1</v>
      </c>
      <c r="BE951" s="18">
        <f>IF(Pospago[[#This Row],[PLANES TELEVENTAS]]="SI",1,0)</f>
        <v>1</v>
      </c>
      <c r="BF951" s="18">
        <f>1</f>
        <v>1</v>
      </c>
      <c r="BG951" s="18">
        <f>IF(OR(Pospago[[#This Row],[TARIFA_BASICA]]=11.42,Pospago[[#This Row],[PLANES TELEVENTAS]]="SI"),1,0)</f>
        <v>1</v>
      </c>
      <c r="BH951" s="18" t="str">
        <f>IF(MID(Pospago[[#This Row],[PlanDesc]],1,4) = "PLAN","POSPAGO",IF(MID(Pospago[[#This Row],[PlanDesc]],1,4)="FULL","FULL MEGAS","PREVIOPAGO"))</f>
        <v>PREVIOPAGO</v>
      </c>
      <c r="BI9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4.992</v>
      </c>
      <c r="BJ9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51" s="21">
        <f>Pospago[[#This Row],[TARIFA_BASICA]]*1.5</f>
        <v>17.13</v>
      </c>
    </row>
    <row r="952" spans="1:63" x14ac:dyDescent="0.25">
      <c r="A952" s="18" t="s">
        <v>64</v>
      </c>
      <c r="B952" s="18" t="s">
        <v>5956</v>
      </c>
      <c r="C952" s="18" t="s">
        <v>5957</v>
      </c>
      <c r="D952" s="19">
        <v>44902</v>
      </c>
      <c r="E952" s="18" t="s">
        <v>67</v>
      </c>
      <c r="F952" s="18" t="s">
        <v>5958</v>
      </c>
      <c r="G952" s="18" t="s">
        <v>5959</v>
      </c>
      <c r="H952" s="18" t="s">
        <v>70</v>
      </c>
      <c r="I952" s="18" t="s">
        <v>211</v>
      </c>
      <c r="J952" s="18" t="s">
        <v>212</v>
      </c>
      <c r="K952" s="18" t="s">
        <v>132</v>
      </c>
      <c r="L952" s="20" t="s">
        <v>5960</v>
      </c>
      <c r="M952" s="18" t="s">
        <v>75</v>
      </c>
      <c r="N952" s="20" t="s">
        <v>5961</v>
      </c>
      <c r="O952" s="18" t="s">
        <v>77</v>
      </c>
      <c r="P952" s="18" t="s">
        <v>78</v>
      </c>
      <c r="Q952" s="19">
        <v>44914</v>
      </c>
      <c r="R952" s="21">
        <v>25</v>
      </c>
      <c r="S952" s="18" t="s">
        <v>79</v>
      </c>
      <c r="T952" s="18" t="s">
        <v>135</v>
      </c>
      <c r="U952" s="18" t="s">
        <v>83</v>
      </c>
      <c r="V952" s="18" t="s">
        <v>95</v>
      </c>
      <c r="W952" s="18" t="s">
        <v>83</v>
      </c>
      <c r="X952" s="18" t="s">
        <v>118</v>
      </c>
      <c r="Y952" s="18" t="s">
        <v>85</v>
      </c>
      <c r="Z952" s="18" t="s">
        <v>86</v>
      </c>
      <c r="AA952" s="18" t="s">
        <v>119</v>
      </c>
      <c r="AB952" s="18" t="s">
        <v>478</v>
      </c>
      <c r="AC952" s="18" t="s">
        <v>479</v>
      </c>
      <c r="AD952" s="18" t="s">
        <v>85</v>
      </c>
      <c r="AE952" s="18" t="s">
        <v>90</v>
      </c>
      <c r="AF952" s="18" t="s">
        <v>138</v>
      </c>
      <c r="AG952" s="18" t="s">
        <v>139</v>
      </c>
      <c r="AH952" s="18" t="s">
        <v>93</v>
      </c>
      <c r="AI952" s="18" t="s">
        <v>94</v>
      </c>
      <c r="AJ952" s="19">
        <v>44902</v>
      </c>
      <c r="AK952" s="22" t="s">
        <v>95</v>
      </c>
      <c r="AL952" s="18" t="s">
        <v>95</v>
      </c>
      <c r="AM952" s="18" t="s">
        <v>95</v>
      </c>
      <c r="AN952" s="18" t="s">
        <v>95</v>
      </c>
      <c r="AO952" s="18" t="s">
        <v>95</v>
      </c>
      <c r="AP952" s="18" t="s">
        <v>95</v>
      </c>
      <c r="AQ952" s="18" t="s">
        <v>95</v>
      </c>
      <c r="AR952" s="18" t="s">
        <v>95</v>
      </c>
      <c r="AS952" s="18" t="s">
        <v>83</v>
      </c>
      <c r="AT952" s="18" t="s">
        <v>95</v>
      </c>
      <c r="AU952" s="18" t="s">
        <v>95</v>
      </c>
      <c r="AV952" s="18" t="s">
        <v>95</v>
      </c>
      <c r="AW952" s="18"/>
      <c r="AX952" s="18"/>
      <c r="AY952" s="18" t="str">
        <f>Pospago[[#This Row],[NUM_TELEFONICO]]&amp;"POSPAGOSI"</f>
        <v>998292953POSPAGOSI</v>
      </c>
      <c r="AZ952" s="18" t="str">
        <f>VLOOKUP(Pospago[[#This Row],[NOM_PLAZA_FINAL]],[1]!Locales[#Data],3,0)</f>
        <v>TIENDA AMERICA</v>
      </c>
      <c r="BA952" s="18" t="str">
        <f>IFERROR(VLOOKUP(Pospago[[#This Row],[USUARIO]],[1]!Personal[#Data],6,0),"EJECUTIVO NO REGISTRADO")</f>
        <v>REINO TUFINO PAULTEH KATHERINE</v>
      </c>
      <c r="BB952" s="18" t="str">
        <f>Pospago[[#This Row],[TIPO_MOVIMIENTO]]&amp;" "&amp;Pospago[[#This Row],[FORMA_PAGO_FINAL]]</f>
        <v>ALTAS PAGO EN CAJA</v>
      </c>
      <c r="BC952" s="18">
        <f>DAY(Pospago[[#This Row],[FECHA_ALTA]])</f>
        <v>7</v>
      </c>
      <c r="BD952" s="18">
        <f>IF(Pospago[[#This Row],[TARIFA_BASICA]]=11.42,1,0)</f>
        <v>0</v>
      </c>
      <c r="BE952" s="18">
        <f>IF(Pospago[[#This Row],[PLANES TELEVENTAS]]="SI",1,0)</f>
        <v>0</v>
      </c>
      <c r="BF952" s="18">
        <f>1</f>
        <v>1</v>
      </c>
      <c r="BG952" s="18">
        <f>IF(OR(Pospago[[#This Row],[TARIFA_BASICA]]=11.42,Pospago[[#This Row],[PLANES TELEVENTAS]]="SI"),1,0)</f>
        <v>0</v>
      </c>
      <c r="BH952" s="18" t="str">
        <f>IF(MID(Pospago[[#This Row],[PlanDesc]],1,4) = "PLAN","POSPAGO",IF(MID(Pospago[[#This Row],[PlanDesc]],1,4)="FULL","FULL MEGAS","PREVIOPAGO"))</f>
        <v>FULL MEGAS</v>
      </c>
      <c r="BI9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32</v>
      </c>
      <c r="BJ9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52" s="21">
        <f>Pospago[[#This Row],[TARIFA_BASICA]]*1.5</f>
        <v>37.5</v>
      </c>
    </row>
    <row r="953" spans="1:63" x14ac:dyDescent="0.25">
      <c r="A953" s="18" t="s">
        <v>64</v>
      </c>
      <c r="B953" s="18" t="s">
        <v>5962</v>
      </c>
      <c r="C953" s="18" t="s">
        <v>5963</v>
      </c>
      <c r="D953" s="19">
        <v>44912</v>
      </c>
      <c r="E953" s="18" t="s">
        <v>67</v>
      </c>
      <c r="F953" s="18" t="s">
        <v>5964</v>
      </c>
      <c r="G953" s="18" t="s">
        <v>5965</v>
      </c>
      <c r="H953" s="18" t="s">
        <v>70</v>
      </c>
      <c r="I953" s="18" t="s">
        <v>130</v>
      </c>
      <c r="J953" s="18" t="s">
        <v>131</v>
      </c>
      <c r="K953" s="18" t="s">
        <v>95</v>
      </c>
      <c r="L953" s="20" t="s">
        <v>5966</v>
      </c>
      <c r="M953" s="18" t="s">
        <v>75</v>
      </c>
      <c r="N953" s="20" t="s">
        <v>5967</v>
      </c>
      <c r="O953" s="18" t="s">
        <v>77</v>
      </c>
      <c r="P953" s="18" t="s">
        <v>78</v>
      </c>
      <c r="Q953" s="19">
        <v>44914</v>
      </c>
      <c r="R953" s="21">
        <v>15</v>
      </c>
      <c r="S953" s="18" t="s">
        <v>79</v>
      </c>
      <c r="T953" s="18" t="s">
        <v>174</v>
      </c>
      <c r="U953" s="18" t="s">
        <v>83</v>
      </c>
      <c r="V953" s="18" t="s">
        <v>95</v>
      </c>
      <c r="W953" s="18" t="s">
        <v>83</v>
      </c>
      <c r="X953" s="18" t="s">
        <v>84</v>
      </c>
      <c r="Y953" s="18" t="s">
        <v>85</v>
      </c>
      <c r="Z953" s="18" t="s">
        <v>86</v>
      </c>
      <c r="AA953" s="18" t="s">
        <v>87</v>
      </c>
      <c r="AB953" s="18" t="s">
        <v>251</v>
      </c>
      <c r="AC953" s="18" t="s">
        <v>252</v>
      </c>
      <c r="AD953" s="18" t="s">
        <v>85</v>
      </c>
      <c r="AE953" s="18" t="s">
        <v>90</v>
      </c>
      <c r="AF953" s="18" t="s">
        <v>177</v>
      </c>
      <c r="AG953" s="18" t="s">
        <v>139</v>
      </c>
      <c r="AH953" s="18" t="s">
        <v>93</v>
      </c>
      <c r="AI953" s="18" t="s">
        <v>94</v>
      </c>
      <c r="AJ953" s="19">
        <v>44912</v>
      </c>
      <c r="AK953" s="22" t="s">
        <v>95</v>
      </c>
      <c r="AL953" s="18" t="s">
        <v>95</v>
      </c>
      <c r="AM953" s="18" t="s">
        <v>95</v>
      </c>
      <c r="AN953" s="18" t="s">
        <v>95</v>
      </c>
      <c r="AO953" s="18" t="s">
        <v>95</v>
      </c>
      <c r="AP953" s="18" t="s">
        <v>95</v>
      </c>
      <c r="AQ953" s="18" t="s">
        <v>95</v>
      </c>
      <c r="AR953" s="18" t="s">
        <v>95</v>
      </c>
      <c r="AS953" s="18" t="s">
        <v>83</v>
      </c>
      <c r="AT953" s="18" t="s">
        <v>83</v>
      </c>
      <c r="AU953" s="18" t="s">
        <v>81</v>
      </c>
      <c r="AV953" s="18" t="s">
        <v>95</v>
      </c>
      <c r="AW953" s="18"/>
      <c r="AX953" s="18"/>
      <c r="AY953" s="18" t="str">
        <f>Pospago[[#This Row],[NUM_TELEFONICO]]&amp;"POSPAGOSI"</f>
        <v>998298470POSPAGOSI</v>
      </c>
      <c r="AZ953" s="18" t="str">
        <f>VLOOKUP(Pospago[[#This Row],[NOM_PLAZA_FINAL]],[1]!Locales[#Data],3,0)</f>
        <v>TIENDA RECREO</v>
      </c>
      <c r="BA953" s="18" t="str">
        <f>IFERROR(VLOOKUP(Pospago[[#This Row],[USUARIO]],[1]!Personal[#Data],6,0),"EJECUTIVO NO REGISTRADO")</f>
        <v>CRUZ MONTUFAR KATHERINE ALEJANDRA</v>
      </c>
      <c r="BB953" s="18" t="str">
        <f>Pospago[[#This Row],[TIPO_MOVIMIENTO]]&amp;" "&amp;Pospago[[#This Row],[FORMA_PAGO_FINAL]]</f>
        <v>ALTAS DOMICILIADO</v>
      </c>
      <c r="BC953" s="18">
        <f>DAY(Pospago[[#This Row],[FECHA_ALTA]])</f>
        <v>17</v>
      </c>
      <c r="BD953" s="18">
        <f>IF(Pospago[[#This Row],[TARIFA_BASICA]]=11.42,1,0)</f>
        <v>0</v>
      </c>
      <c r="BE953" s="18">
        <f>IF(Pospago[[#This Row],[PLANES TELEVENTAS]]="SI",1,0)</f>
        <v>0</v>
      </c>
      <c r="BF953" s="18">
        <f>1</f>
        <v>1</v>
      </c>
      <c r="BG953" s="18">
        <f>IF(OR(Pospago[[#This Row],[TARIFA_BASICA]]=11.42,Pospago[[#This Row],[PLANES TELEVENTAS]]="SI"),1,0)</f>
        <v>0</v>
      </c>
      <c r="BH953" s="18" t="str">
        <f>IF(MID(Pospago[[#This Row],[PlanDesc]],1,4) = "PLAN","POSPAGO",IF(MID(Pospago[[#This Row],[PlanDesc]],1,4)="FULL","FULL MEGAS","PREVIOPAGO"))</f>
        <v>PREVIOPAGO</v>
      </c>
      <c r="BI9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9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53" s="21">
        <f>Pospago[[#This Row],[TARIFA_BASICA]]*1.5</f>
        <v>22.5</v>
      </c>
    </row>
    <row r="954" spans="1:63" x14ac:dyDescent="0.25">
      <c r="A954" s="18" t="s">
        <v>154</v>
      </c>
      <c r="B954" s="18" t="s">
        <v>5968</v>
      </c>
      <c r="C954" s="18" t="s">
        <v>5969</v>
      </c>
      <c r="D954" s="19">
        <v>44904</v>
      </c>
      <c r="E954" s="18" t="s">
        <v>67</v>
      </c>
      <c r="F954" s="18" t="s">
        <v>5970</v>
      </c>
      <c r="G954" s="18" t="s">
        <v>5971</v>
      </c>
      <c r="H954" s="18" t="s">
        <v>159</v>
      </c>
      <c r="I954" s="18" t="s">
        <v>194</v>
      </c>
      <c r="J954" s="18" t="s">
        <v>268</v>
      </c>
      <c r="K954" s="18" t="s">
        <v>132</v>
      </c>
      <c r="L954" s="20" t="s">
        <v>5972</v>
      </c>
      <c r="M954" s="18" t="s">
        <v>75</v>
      </c>
      <c r="N954" s="20" t="s">
        <v>5973</v>
      </c>
      <c r="O954" s="18" t="s">
        <v>1378</v>
      </c>
      <c r="P954" s="18" t="s">
        <v>78</v>
      </c>
      <c r="Q954" s="19">
        <v>44914</v>
      </c>
      <c r="R954" s="21">
        <v>14.28</v>
      </c>
      <c r="S954" s="18" t="s">
        <v>79</v>
      </c>
      <c r="T954" s="18" t="s">
        <v>232</v>
      </c>
      <c r="U954" s="18" t="s">
        <v>83</v>
      </c>
      <c r="V954" s="18" t="s">
        <v>95</v>
      </c>
      <c r="W954" s="18" t="s">
        <v>95</v>
      </c>
      <c r="X954" s="18" t="s">
        <v>84</v>
      </c>
      <c r="Y954" s="18" t="s">
        <v>85</v>
      </c>
      <c r="Z954" s="18" t="s">
        <v>86</v>
      </c>
      <c r="AA954" s="18" t="s">
        <v>87</v>
      </c>
      <c r="AB954" s="18" t="s">
        <v>271</v>
      </c>
      <c r="AC954" s="18" t="s">
        <v>272</v>
      </c>
      <c r="AD954" s="18" t="s">
        <v>85</v>
      </c>
      <c r="AE954" s="18" t="s">
        <v>90</v>
      </c>
      <c r="AF954" s="18" t="s">
        <v>235</v>
      </c>
      <c r="AG954" s="18" t="s">
        <v>139</v>
      </c>
      <c r="AH954" s="18" t="s">
        <v>165</v>
      </c>
      <c r="AI954" s="18" t="s">
        <v>94</v>
      </c>
      <c r="AJ954" s="19">
        <v>44904</v>
      </c>
      <c r="AK954" s="22" t="s">
        <v>95</v>
      </c>
      <c r="AL954" s="18" t="s">
        <v>95</v>
      </c>
      <c r="AM954" s="18" t="s">
        <v>95</v>
      </c>
      <c r="AN954" s="18" t="s">
        <v>95</v>
      </c>
      <c r="AO954" s="18" t="s">
        <v>95</v>
      </c>
      <c r="AP954" s="18" t="s">
        <v>95</v>
      </c>
      <c r="AQ954" s="18" t="s">
        <v>95</v>
      </c>
      <c r="AR954" s="18" t="s">
        <v>95</v>
      </c>
      <c r="AS954" s="18" t="s">
        <v>83</v>
      </c>
      <c r="AT954" s="18" t="s">
        <v>81</v>
      </c>
      <c r="AU954" s="18" t="s">
        <v>81</v>
      </c>
      <c r="AV954" s="18" t="s">
        <v>95</v>
      </c>
      <c r="AW954" s="18"/>
      <c r="AX954" s="18"/>
      <c r="AY954" s="18" t="str">
        <f>Pospago[[#This Row],[NUM_TELEFONICO]]&amp;"POSPAGOSI"</f>
        <v>998300218POSPAGOSI</v>
      </c>
      <c r="AZ954" s="18" t="str">
        <f>VLOOKUP(Pospago[[#This Row],[NOM_PLAZA_FINAL]],[1]!Locales[#Data],3,0)</f>
        <v>TIENDA CONDADO</v>
      </c>
      <c r="BA954" s="18" t="str">
        <f>IFERROR(VLOOKUP(Pospago[[#This Row],[USUARIO]],[1]!Personal[#Data],6,0),"EJECUTIVO NO REGISTRADO")</f>
        <v>CASTILLO AGUIRRE EDWIN MODESTO</v>
      </c>
      <c r="BB954" s="18" t="str">
        <f>Pospago[[#This Row],[TIPO_MOVIMIENTO]]&amp;" "&amp;Pospago[[#This Row],[FORMA_PAGO_FINAL]]</f>
        <v>TRANSFERENCIAS DOMICILIADO</v>
      </c>
      <c r="BC954" s="18">
        <f>DAY(Pospago[[#This Row],[FECHA_ALTA]])</f>
        <v>9</v>
      </c>
      <c r="BD954" s="18">
        <f>IF(Pospago[[#This Row],[TARIFA_BASICA]]=11.42,1,0)</f>
        <v>0</v>
      </c>
      <c r="BE954" s="18">
        <f>IF(Pospago[[#This Row],[PLANES TELEVENTAS]]="SI",1,0)</f>
        <v>1</v>
      </c>
      <c r="BF954" s="18">
        <f>1</f>
        <v>1</v>
      </c>
      <c r="BG954" s="18">
        <f>IF(OR(Pospago[[#This Row],[TARIFA_BASICA]]=11.42,Pospago[[#This Row],[PLANES TELEVENTAS]]="SI"),1,0)</f>
        <v>1</v>
      </c>
      <c r="BH954" s="18" t="str">
        <f>IF(MID(Pospago[[#This Row],[PlanDesc]],1,4) = "PLAN","POSPAGO",IF(MID(Pospago[[#This Row],[PlanDesc]],1,4)="FULL","FULL MEGAS","PREVIOPAGO"))</f>
        <v>PREVIOPAGO</v>
      </c>
      <c r="BI9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54" s="21">
        <f>Pospago[[#This Row],[TARIFA_BASICA]]*1.5</f>
        <v>21.419999999999998</v>
      </c>
    </row>
    <row r="955" spans="1:63" x14ac:dyDescent="0.25">
      <c r="A955" s="18" t="s">
        <v>64</v>
      </c>
      <c r="B955" s="18" t="s">
        <v>5974</v>
      </c>
      <c r="C955" s="18" t="s">
        <v>5975</v>
      </c>
      <c r="D955" s="19">
        <v>44900</v>
      </c>
      <c r="E955" s="18" t="s">
        <v>67</v>
      </c>
      <c r="F955" s="18" t="s">
        <v>5976</v>
      </c>
      <c r="G955" s="18" t="s">
        <v>5977</v>
      </c>
      <c r="H955" s="18" t="s">
        <v>70</v>
      </c>
      <c r="I955" s="18" t="s">
        <v>160</v>
      </c>
      <c r="J955" s="18" t="s">
        <v>195</v>
      </c>
      <c r="K955" s="18" t="s">
        <v>114</v>
      </c>
      <c r="L955" s="20" t="s">
        <v>5978</v>
      </c>
      <c r="M955" s="18" t="s">
        <v>75</v>
      </c>
      <c r="N955" s="20" t="s">
        <v>5979</v>
      </c>
      <c r="O955" s="18" t="s">
        <v>77</v>
      </c>
      <c r="P955" s="18" t="s">
        <v>78</v>
      </c>
      <c r="Q955" s="19">
        <v>44914</v>
      </c>
      <c r="R955" s="21">
        <v>14.28</v>
      </c>
      <c r="S955" s="18" t="s">
        <v>79</v>
      </c>
      <c r="T955" s="18" t="s">
        <v>117</v>
      </c>
      <c r="U955" s="18" t="s">
        <v>83</v>
      </c>
      <c r="V955" s="18" t="s">
        <v>95</v>
      </c>
      <c r="W955" s="18" t="s">
        <v>83</v>
      </c>
      <c r="X955" s="18" t="s">
        <v>84</v>
      </c>
      <c r="Y955" s="18" t="s">
        <v>85</v>
      </c>
      <c r="Z955" s="18" t="s">
        <v>86</v>
      </c>
      <c r="AA955" s="18" t="s">
        <v>87</v>
      </c>
      <c r="AB955" s="18" t="s">
        <v>120</v>
      </c>
      <c r="AC955" s="18" t="s">
        <v>121</v>
      </c>
      <c r="AD955" s="18" t="s">
        <v>85</v>
      </c>
      <c r="AE955" s="18" t="s">
        <v>90</v>
      </c>
      <c r="AF955" s="18" t="s">
        <v>122</v>
      </c>
      <c r="AG955" s="18" t="s">
        <v>92</v>
      </c>
      <c r="AH955" s="18" t="s">
        <v>93</v>
      </c>
      <c r="AI955" s="18" t="s">
        <v>94</v>
      </c>
      <c r="AJ955" s="19">
        <v>44900</v>
      </c>
      <c r="AK955" s="22" t="s">
        <v>95</v>
      </c>
      <c r="AL955" s="18" t="s">
        <v>95</v>
      </c>
      <c r="AM955" s="18" t="s">
        <v>95</v>
      </c>
      <c r="AN955" s="18" t="s">
        <v>95</v>
      </c>
      <c r="AO955" s="18" t="s">
        <v>95</v>
      </c>
      <c r="AP955" s="18" t="s">
        <v>95</v>
      </c>
      <c r="AQ955" s="18" t="s">
        <v>95</v>
      </c>
      <c r="AR955" s="18" t="s">
        <v>95</v>
      </c>
      <c r="AS955" s="18" t="s">
        <v>83</v>
      </c>
      <c r="AT955" s="18" t="s">
        <v>83</v>
      </c>
      <c r="AU955" s="18" t="s">
        <v>81</v>
      </c>
      <c r="AV955" s="18" t="s">
        <v>95</v>
      </c>
      <c r="AW955" s="18"/>
      <c r="AX955" s="18"/>
      <c r="AY955" s="18" t="str">
        <f>Pospago[[#This Row],[NUM_TELEFONICO]]&amp;"POSPAGOSI"</f>
        <v>998301971POSPAGOSI</v>
      </c>
      <c r="AZ955" s="18" t="str">
        <f>VLOOKUP(Pospago[[#This Row],[NOM_PLAZA_FINAL]],[1]!Locales[#Data],3,0)</f>
        <v>TIENDA MACHALA</v>
      </c>
      <c r="BA955" s="18" t="str">
        <f>IFERROR(VLOOKUP(Pospago[[#This Row],[USUARIO]],[1]!Personal[#Data],6,0),"EJECUTIVO NO REGISTRADO")</f>
        <v>ARROBO VICENTE YADIRA ESPERANZA</v>
      </c>
      <c r="BB955" s="18" t="str">
        <f>Pospago[[#This Row],[TIPO_MOVIMIENTO]]&amp;" "&amp;Pospago[[#This Row],[FORMA_PAGO_FINAL]]</f>
        <v>ALTAS DOMICILIADO</v>
      </c>
      <c r="BC955" s="18">
        <f>DAY(Pospago[[#This Row],[FECHA_ALTA]])</f>
        <v>5</v>
      </c>
      <c r="BD955" s="18">
        <f>IF(Pospago[[#This Row],[TARIFA_BASICA]]=11.42,1,0)</f>
        <v>0</v>
      </c>
      <c r="BE955" s="18">
        <f>IF(Pospago[[#This Row],[PLANES TELEVENTAS]]="SI",1,0)</f>
        <v>0</v>
      </c>
      <c r="BF955" s="18">
        <f>1</f>
        <v>1</v>
      </c>
      <c r="BG955" s="18">
        <f>IF(OR(Pospago[[#This Row],[TARIFA_BASICA]]=11.42,Pospago[[#This Row],[PLANES TELEVENTAS]]="SI"),1,0)</f>
        <v>0</v>
      </c>
      <c r="BH955" s="18" t="str">
        <f>IF(MID(Pospago[[#This Row],[PlanDesc]],1,4) = "PLAN","POSPAGO",IF(MID(Pospago[[#This Row],[PlanDesc]],1,4)="FULL","FULL MEGAS","PREVIOPAGO"))</f>
        <v>PREVIOPAGO</v>
      </c>
      <c r="BI9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9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55" s="21">
        <f>Pospago[[#This Row],[TARIFA_BASICA]]*1.5</f>
        <v>21.419999999999998</v>
      </c>
    </row>
    <row r="956" spans="1:63" x14ac:dyDescent="0.25">
      <c r="A956" s="18" t="s">
        <v>64</v>
      </c>
      <c r="B956" s="18" t="s">
        <v>5980</v>
      </c>
      <c r="C956" s="18" t="s">
        <v>5981</v>
      </c>
      <c r="D956" s="19">
        <v>44912</v>
      </c>
      <c r="E956" s="18" t="s">
        <v>67</v>
      </c>
      <c r="F956" s="18" t="s">
        <v>5982</v>
      </c>
      <c r="G956" s="18" t="s">
        <v>5983</v>
      </c>
      <c r="H956" s="18" t="s">
        <v>70</v>
      </c>
      <c r="I956" s="18" t="s">
        <v>194</v>
      </c>
      <c r="J956" s="18" t="s">
        <v>195</v>
      </c>
      <c r="K956" s="18" t="s">
        <v>132</v>
      </c>
      <c r="L956" s="20" t="s">
        <v>5984</v>
      </c>
      <c r="M956" s="18" t="s">
        <v>75</v>
      </c>
      <c r="N956" s="20" t="s">
        <v>5985</v>
      </c>
      <c r="O956" s="18" t="s">
        <v>77</v>
      </c>
      <c r="P956" s="18" t="s">
        <v>78</v>
      </c>
      <c r="Q956" s="19">
        <v>44914</v>
      </c>
      <c r="R956" s="21">
        <v>14.28</v>
      </c>
      <c r="S956" s="18" t="s">
        <v>79</v>
      </c>
      <c r="T956" s="18" t="s">
        <v>232</v>
      </c>
      <c r="U956" s="18" t="s">
        <v>83</v>
      </c>
      <c r="V956" s="18" t="s">
        <v>95</v>
      </c>
      <c r="W956" s="18" t="s">
        <v>83</v>
      </c>
      <c r="X956" s="18" t="s">
        <v>84</v>
      </c>
      <c r="Y956" s="18" t="s">
        <v>85</v>
      </c>
      <c r="Z956" s="18" t="s">
        <v>86</v>
      </c>
      <c r="AA956" s="18" t="s">
        <v>87</v>
      </c>
      <c r="AB956" s="18" t="s">
        <v>377</v>
      </c>
      <c r="AC956" s="18" t="s">
        <v>378</v>
      </c>
      <c r="AD956" s="18" t="s">
        <v>85</v>
      </c>
      <c r="AE956" s="18" t="s">
        <v>90</v>
      </c>
      <c r="AF956" s="18" t="s">
        <v>235</v>
      </c>
      <c r="AG956" s="18" t="s">
        <v>139</v>
      </c>
      <c r="AH956" s="18" t="s">
        <v>93</v>
      </c>
      <c r="AI956" s="18" t="s">
        <v>94</v>
      </c>
      <c r="AJ956" s="19">
        <v>44912</v>
      </c>
      <c r="AK956" s="22" t="s">
        <v>95</v>
      </c>
      <c r="AL956" s="18" t="s">
        <v>95</v>
      </c>
      <c r="AM956" s="18" t="s">
        <v>95</v>
      </c>
      <c r="AN956" s="18" t="s">
        <v>95</v>
      </c>
      <c r="AO956" s="18" t="s">
        <v>95</v>
      </c>
      <c r="AP956" s="18" t="s">
        <v>95</v>
      </c>
      <c r="AQ956" s="18" t="s">
        <v>95</v>
      </c>
      <c r="AR956" s="18" t="s">
        <v>95</v>
      </c>
      <c r="AS956" s="18" t="s">
        <v>83</v>
      </c>
      <c r="AT956" s="18" t="s">
        <v>81</v>
      </c>
      <c r="AU956" s="18" t="s">
        <v>81</v>
      </c>
      <c r="AV956" s="18" t="s">
        <v>95</v>
      </c>
      <c r="AW956" s="18"/>
      <c r="AX956" s="18"/>
      <c r="AY956" s="18" t="str">
        <f>Pospago[[#This Row],[NUM_TELEFONICO]]&amp;"POSPAGOSI"</f>
        <v>998316075POSPAGOSI</v>
      </c>
      <c r="AZ956" s="18" t="str">
        <f>VLOOKUP(Pospago[[#This Row],[NOM_PLAZA_FINAL]],[1]!Locales[#Data],3,0)</f>
        <v>TIENDA CONDADO</v>
      </c>
      <c r="BA956" s="18" t="str">
        <f>IFERROR(VLOOKUP(Pospago[[#This Row],[USUARIO]],[1]!Personal[#Data],6,0),"EJECUTIVO NO REGISTRADO")</f>
        <v>MELCHIADE ISAAC VALMORE</v>
      </c>
      <c r="BB956" s="18" t="str">
        <f>Pospago[[#This Row],[TIPO_MOVIMIENTO]]&amp;" "&amp;Pospago[[#This Row],[FORMA_PAGO_FINAL]]</f>
        <v>ALTAS DOMICILIADO</v>
      </c>
      <c r="BC956" s="18">
        <f>DAY(Pospago[[#This Row],[FECHA_ALTA]])</f>
        <v>17</v>
      </c>
      <c r="BD956" s="18">
        <f>IF(Pospago[[#This Row],[TARIFA_BASICA]]=11.42,1,0)</f>
        <v>0</v>
      </c>
      <c r="BE956" s="18">
        <f>IF(Pospago[[#This Row],[PLANES TELEVENTAS]]="SI",1,0)</f>
        <v>1</v>
      </c>
      <c r="BF956" s="18">
        <f>1</f>
        <v>1</v>
      </c>
      <c r="BG956" s="18">
        <f>IF(OR(Pospago[[#This Row],[TARIFA_BASICA]]=11.42,Pospago[[#This Row],[PLANES TELEVENTAS]]="SI"),1,0)</f>
        <v>1</v>
      </c>
      <c r="BH956" s="18" t="str">
        <f>IF(MID(Pospago[[#This Row],[PlanDesc]],1,4) = "PLAN","POSPAGO",IF(MID(Pospago[[#This Row],[PlanDesc]],1,4)="FULL","FULL MEGAS","PREVIOPAGO"))</f>
        <v>PREVIOPAGO</v>
      </c>
      <c r="BI9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56" s="21">
        <f>Pospago[[#This Row],[TARIFA_BASICA]]*1.5</f>
        <v>21.419999999999998</v>
      </c>
    </row>
    <row r="957" spans="1:63" x14ac:dyDescent="0.25">
      <c r="A957" s="18" t="s">
        <v>154</v>
      </c>
      <c r="B957" s="18" t="s">
        <v>5986</v>
      </c>
      <c r="C957" s="18" t="s">
        <v>5987</v>
      </c>
      <c r="D957" s="19">
        <v>44904</v>
      </c>
      <c r="E957" s="18" t="s">
        <v>67</v>
      </c>
      <c r="F957" s="18" t="s">
        <v>5988</v>
      </c>
      <c r="G957" s="18" t="s">
        <v>5989</v>
      </c>
      <c r="H957" s="18" t="s">
        <v>159</v>
      </c>
      <c r="I957" s="18" t="s">
        <v>160</v>
      </c>
      <c r="J957" s="18" t="s">
        <v>161</v>
      </c>
      <c r="K957" s="18" t="s">
        <v>73</v>
      </c>
      <c r="L957" s="20" t="s">
        <v>5990</v>
      </c>
      <c r="M957" s="18" t="s">
        <v>75</v>
      </c>
      <c r="N957" s="20" t="s">
        <v>5991</v>
      </c>
      <c r="O957" s="18" t="s">
        <v>164</v>
      </c>
      <c r="P957" s="18" t="s">
        <v>78</v>
      </c>
      <c r="Q957" s="19">
        <v>44914</v>
      </c>
      <c r="R957" s="21">
        <v>14.28</v>
      </c>
      <c r="S957" s="18" t="s">
        <v>79</v>
      </c>
      <c r="T957" s="18" t="s">
        <v>174</v>
      </c>
      <c r="U957" s="18" t="s">
        <v>83</v>
      </c>
      <c r="V957" s="18" t="s">
        <v>95</v>
      </c>
      <c r="W957" s="18" t="s">
        <v>95</v>
      </c>
      <c r="X957" s="18" t="s">
        <v>118</v>
      </c>
      <c r="Y957" s="18" t="s">
        <v>85</v>
      </c>
      <c r="Z957" s="18" t="s">
        <v>86</v>
      </c>
      <c r="AA957" s="18" t="s">
        <v>119</v>
      </c>
      <c r="AB957" s="18" t="s">
        <v>926</v>
      </c>
      <c r="AC957" s="18" t="s">
        <v>927</v>
      </c>
      <c r="AD957" s="18" t="s">
        <v>85</v>
      </c>
      <c r="AE957" s="18" t="s">
        <v>90</v>
      </c>
      <c r="AF957" s="18" t="s">
        <v>177</v>
      </c>
      <c r="AG957" s="18" t="s">
        <v>139</v>
      </c>
      <c r="AH957" s="18" t="s">
        <v>165</v>
      </c>
      <c r="AI957" s="18" t="s">
        <v>94</v>
      </c>
      <c r="AJ957" s="19">
        <v>44904</v>
      </c>
      <c r="AK957" s="22" t="s">
        <v>95</v>
      </c>
      <c r="AL957" s="18" t="s">
        <v>95</v>
      </c>
      <c r="AM957" s="18" t="s">
        <v>95</v>
      </c>
      <c r="AN957" s="18" t="s">
        <v>95</v>
      </c>
      <c r="AO957" s="18" t="s">
        <v>95</v>
      </c>
      <c r="AP957" s="18" t="s">
        <v>95</v>
      </c>
      <c r="AQ957" s="18" t="s">
        <v>95</v>
      </c>
      <c r="AR957" s="18" t="s">
        <v>95</v>
      </c>
      <c r="AS957" s="18" t="s">
        <v>83</v>
      </c>
      <c r="AT957" s="18" t="s">
        <v>83</v>
      </c>
      <c r="AU957" s="18" t="s">
        <v>81</v>
      </c>
      <c r="AV957" s="18" t="s">
        <v>95</v>
      </c>
      <c r="AW957" s="18"/>
      <c r="AX957" s="18"/>
      <c r="AY957" s="18" t="str">
        <f>Pospago[[#This Row],[NUM_TELEFONICO]]&amp;"POSPAGOSI"</f>
        <v>998341033POSPAGOSI</v>
      </c>
      <c r="AZ957" s="18" t="str">
        <f>VLOOKUP(Pospago[[#This Row],[NOM_PLAZA_FINAL]],[1]!Locales[#Data],3,0)</f>
        <v>TIENDA RECREO</v>
      </c>
      <c r="BA957" s="18" t="str">
        <f>IFERROR(VLOOKUP(Pospago[[#This Row],[USUARIO]],[1]!Personal[#Data],6,0),"EJECUTIVO NO REGISTRADO")</f>
        <v>CABEZAS LOPEZ ROBERTO ALEJANDRO</v>
      </c>
      <c r="BB957" s="18" t="str">
        <f>Pospago[[#This Row],[TIPO_MOVIMIENTO]]&amp;" "&amp;Pospago[[#This Row],[FORMA_PAGO_FINAL]]</f>
        <v>TRANSFERENCIAS PAGO EN CAJA</v>
      </c>
      <c r="BC957" s="18">
        <f>DAY(Pospago[[#This Row],[FECHA_ALTA]])</f>
        <v>9</v>
      </c>
      <c r="BD957" s="18">
        <f>IF(Pospago[[#This Row],[TARIFA_BASICA]]=11.42,1,0)</f>
        <v>0</v>
      </c>
      <c r="BE957" s="18">
        <f>IF(Pospago[[#This Row],[PLANES TELEVENTAS]]="SI",1,0)</f>
        <v>0</v>
      </c>
      <c r="BF957" s="18">
        <f>1</f>
        <v>1</v>
      </c>
      <c r="BG957" s="18">
        <f>IF(OR(Pospago[[#This Row],[TARIFA_BASICA]]=11.42,Pospago[[#This Row],[PLANES TELEVENTAS]]="SI"),1,0)</f>
        <v>0</v>
      </c>
      <c r="BH957" s="18" t="str">
        <f>IF(MID(Pospago[[#This Row],[PlanDesc]],1,4) = "PLAN","POSPAGO",IF(MID(Pospago[[#This Row],[PlanDesc]],1,4)="FULL","FULL MEGAS","PREVIOPAGO"))</f>
        <v>PREVIOPAGO</v>
      </c>
      <c r="BI9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57" s="21">
        <f>Pospago[[#This Row],[TARIFA_BASICA]]*1.5</f>
        <v>21.419999999999998</v>
      </c>
    </row>
    <row r="958" spans="1:63" x14ac:dyDescent="0.25">
      <c r="A958" s="18" t="s">
        <v>154</v>
      </c>
      <c r="B958" s="18" t="s">
        <v>5992</v>
      </c>
      <c r="C958" s="18" t="s">
        <v>5993</v>
      </c>
      <c r="D958" s="19">
        <v>44900</v>
      </c>
      <c r="E958" s="18" t="s">
        <v>67</v>
      </c>
      <c r="F958" s="18" t="s">
        <v>5994</v>
      </c>
      <c r="G958" s="18" t="s">
        <v>5995</v>
      </c>
      <c r="H958" s="18" t="s">
        <v>159</v>
      </c>
      <c r="I958" s="18" t="s">
        <v>160</v>
      </c>
      <c r="J958" s="18" t="s">
        <v>161</v>
      </c>
      <c r="K958" s="18" t="s">
        <v>132</v>
      </c>
      <c r="L958" s="20" t="s">
        <v>5996</v>
      </c>
      <c r="M958" s="18" t="s">
        <v>75</v>
      </c>
      <c r="N958" s="20" t="s">
        <v>5997</v>
      </c>
      <c r="O958" s="18" t="s">
        <v>2241</v>
      </c>
      <c r="P958" s="18" t="s">
        <v>78</v>
      </c>
      <c r="Q958" s="19">
        <v>44914</v>
      </c>
      <c r="R958" s="21">
        <v>14.28</v>
      </c>
      <c r="S958" s="18" t="s">
        <v>79</v>
      </c>
      <c r="T958" s="18" t="s">
        <v>174</v>
      </c>
      <c r="U958" s="18" t="s">
        <v>83</v>
      </c>
      <c r="V958" s="18" t="s">
        <v>95</v>
      </c>
      <c r="W958" s="18" t="s">
        <v>95</v>
      </c>
      <c r="X958" s="18" t="s">
        <v>84</v>
      </c>
      <c r="Y958" s="18" t="s">
        <v>85</v>
      </c>
      <c r="Z958" s="18" t="s">
        <v>86</v>
      </c>
      <c r="AA958" s="18" t="s">
        <v>87</v>
      </c>
      <c r="AB958" s="18" t="s">
        <v>303</v>
      </c>
      <c r="AC958" s="18" t="s">
        <v>304</v>
      </c>
      <c r="AD958" s="18" t="s">
        <v>85</v>
      </c>
      <c r="AE958" s="18" t="s">
        <v>90</v>
      </c>
      <c r="AF958" s="18" t="s">
        <v>177</v>
      </c>
      <c r="AG958" s="18" t="s">
        <v>139</v>
      </c>
      <c r="AH958" s="18" t="s">
        <v>165</v>
      </c>
      <c r="AI958" s="18" t="s">
        <v>94</v>
      </c>
      <c r="AJ958" s="19">
        <v>44900</v>
      </c>
      <c r="AK958" s="22" t="s">
        <v>95</v>
      </c>
      <c r="AL958" s="18" t="s">
        <v>95</v>
      </c>
      <c r="AM958" s="18" t="s">
        <v>95</v>
      </c>
      <c r="AN958" s="18" t="s">
        <v>95</v>
      </c>
      <c r="AO958" s="18" t="s">
        <v>95</v>
      </c>
      <c r="AP958" s="18" t="s">
        <v>95</v>
      </c>
      <c r="AQ958" s="18" t="s">
        <v>95</v>
      </c>
      <c r="AR958" s="18" t="s">
        <v>95</v>
      </c>
      <c r="AS958" s="18" t="s">
        <v>83</v>
      </c>
      <c r="AT958" s="18" t="s">
        <v>83</v>
      </c>
      <c r="AU958" s="18" t="s">
        <v>81</v>
      </c>
      <c r="AV958" s="18" t="s">
        <v>95</v>
      </c>
      <c r="AW958" s="18"/>
      <c r="AX958" s="18"/>
      <c r="AY958" s="18" t="str">
        <f>Pospago[[#This Row],[NUM_TELEFONICO]]&amp;"POSPAGOSI"</f>
        <v>998343386POSPAGOSI</v>
      </c>
      <c r="AZ958" s="18" t="str">
        <f>VLOOKUP(Pospago[[#This Row],[NOM_PLAZA_FINAL]],[1]!Locales[#Data],3,0)</f>
        <v>TIENDA RECREO</v>
      </c>
      <c r="BA958" s="18" t="str">
        <f>IFERROR(VLOOKUP(Pospago[[#This Row],[USUARIO]],[1]!Personal[#Data],6,0),"EJECUTIVO NO REGISTRADO")</f>
        <v>CORDOVA GAIBOR JONATHAN HERNAN</v>
      </c>
      <c r="BB958" s="18" t="str">
        <f>Pospago[[#This Row],[TIPO_MOVIMIENTO]]&amp;" "&amp;Pospago[[#This Row],[FORMA_PAGO_FINAL]]</f>
        <v>TRANSFERENCIAS DOMICILIADO</v>
      </c>
      <c r="BC958" s="18">
        <f>DAY(Pospago[[#This Row],[FECHA_ALTA]])</f>
        <v>5</v>
      </c>
      <c r="BD958" s="18">
        <f>IF(Pospago[[#This Row],[TARIFA_BASICA]]=11.42,1,0)</f>
        <v>0</v>
      </c>
      <c r="BE958" s="18">
        <f>IF(Pospago[[#This Row],[PLANES TELEVENTAS]]="SI",1,0)</f>
        <v>0</v>
      </c>
      <c r="BF958" s="18">
        <f>1</f>
        <v>1</v>
      </c>
      <c r="BG958" s="18">
        <f>IF(OR(Pospago[[#This Row],[TARIFA_BASICA]]=11.42,Pospago[[#This Row],[PLANES TELEVENTAS]]="SI"),1,0)</f>
        <v>0</v>
      </c>
      <c r="BH958" s="18" t="str">
        <f>IF(MID(Pospago[[#This Row],[PlanDesc]],1,4) = "PLAN","POSPAGO",IF(MID(Pospago[[#This Row],[PlanDesc]],1,4)="FULL","FULL MEGAS","PREVIOPAGO"))</f>
        <v>PREVIOPAGO</v>
      </c>
      <c r="BI9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58" s="21">
        <f>Pospago[[#This Row],[TARIFA_BASICA]]*1.5</f>
        <v>21.419999999999998</v>
      </c>
    </row>
    <row r="959" spans="1:63" x14ac:dyDescent="0.25">
      <c r="A959" s="18" t="s">
        <v>154</v>
      </c>
      <c r="B959" s="18" t="s">
        <v>5998</v>
      </c>
      <c r="C959" s="18" t="s">
        <v>5999</v>
      </c>
      <c r="D959" s="19">
        <v>44912</v>
      </c>
      <c r="E959" s="18" t="s">
        <v>67</v>
      </c>
      <c r="F959" s="18" t="s">
        <v>6000</v>
      </c>
      <c r="G959" s="18" t="s">
        <v>6001</v>
      </c>
      <c r="H959" s="18" t="s">
        <v>159</v>
      </c>
      <c r="I959" s="18" t="s">
        <v>574</v>
      </c>
      <c r="J959" s="18" t="s">
        <v>575</v>
      </c>
      <c r="K959" s="18" t="s">
        <v>95</v>
      </c>
      <c r="L959" s="20" t="s">
        <v>6002</v>
      </c>
      <c r="M959" s="18" t="s">
        <v>75</v>
      </c>
      <c r="N959" s="20" t="s">
        <v>6003</v>
      </c>
      <c r="O959" s="18" t="s">
        <v>4453</v>
      </c>
      <c r="P959" s="18" t="s">
        <v>78</v>
      </c>
      <c r="Q959" s="19">
        <v>44914</v>
      </c>
      <c r="R959" s="21">
        <v>17.850000000000001</v>
      </c>
      <c r="S959" s="18" t="s">
        <v>79</v>
      </c>
      <c r="T959" s="18" t="s">
        <v>174</v>
      </c>
      <c r="U959" s="18" t="s">
        <v>83</v>
      </c>
      <c r="V959" s="18" t="s">
        <v>95</v>
      </c>
      <c r="W959" s="18" t="s">
        <v>95</v>
      </c>
      <c r="X959" s="18" t="s">
        <v>84</v>
      </c>
      <c r="Y959" s="18" t="s">
        <v>85</v>
      </c>
      <c r="Z959" s="18" t="s">
        <v>86</v>
      </c>
      <c r="AA959" s="18" t="s">
        <v>87</v>
      </c>
      <c r="AB959" s="18" t="s">
        <v>822</v>
      </c>
      <c r="AC959" s="18" t="s">
        <v>823</v>
      </c>
      <c r="AD959" s="18" t="s">
        <v>85</v>
      </c>
      <c r="AE959" s="18" t="s">
        <v>90</v>
      </c>
      <c r="AF959" s="18" t="s">
        <v>177</v>
      </c>
      <c r="AG959" s="18" t="s">
        <v>139</v>
      </c>
      <c r="AH959" s="18" t="s">
        <v>165</v>
      </c>
      <c r="AI959" s="18" t="s">
        <v>94</v>
      </c>
      <c r="AJ959" s="19">
        <v>44912</v>
      </c>
      <c r="AK959" s="22" t="s">
        <v>95</v>
      </c>
      <c r="AL959" s="18" t="s">
        <v>95</v>
      </c>
      <c r="AM959" s="18" t="s">
        <v>95</v>
      </c>
      <c r="AN959" s="18" t="s">
        <v>95</v>
      </c>
      <c r="AO959" s="18" t="s">
        <v>95</v>
      </c>
      <c r="AP959" s="18" t="s">
        <v>95</v>
      </c>
      <c r="AQ959" s="18" t="s">
        <v>95</v>
      </c>
      <c r="AR959" s="18" t="s">
        <v>95</v>
      </c>
      <c r="AS959" s="18" t="s">
        <v>83</v>
      </c>
      <c r="AT959" s="18" t="s">
        <v>83</v>
      </c>
      <c r="AU959" s="18" t="s">
        <v>83</v>
      </c>
      <c r="AV959" s="18" t="s">
        <v>95</v>
      </c>
      <c r="AW959" s="18"/>
      <c r="AX959" s="18"/>
      <c r="AY959" s="18" t="str">
        <f>Pospago[[#This Row],[NUM_TELEFONICO]]&amp;"POSPAGOSI"</f>
        <v>998354564POSPAGOSI</v>
      </c>
      <c r="AZ959" s="18" t="str">
        <f>VLOOKUP(Pospago[[#This Row],[NOM_PLAZA_FINAL]],[1]!Locales[#Data],3,0)</f>
        <v>TIENDA RECREO</v>
      </c>
      <c r="BA959" s="18" t="str">
        <f>IFERROR(VLOOKUP(Pospago[[#This Row],[USUARIO]],[1]!Personal[#Data],6,0),"EJECUTIVO NO REGISTRADO")</f>
        <v>SALAS PARRA MARIA JOSE</v>
      </c>
      <c r="BB959" s="18" t="str">
        <f>Pospago[[#This Row],[TIPO_MOVIMIENTO]]&amp;" "&amp;Pospago[[#This Row],[FORMA_PAGO_FINAL]]</f>
        <v>TRANSFERENCIAS DOMICILIADO</v>
      </c>
      <c r="BC959" s="18">
        <f>DAY(Pospago[[#This Row],[FECHA_ALTA]])</f>
        <v>17</v>
      </c>
      <c r="BD959" s="18">
        <f>IF(Pospago[[#This Row],[TARIFA_BASICA]]=11.42,1,0)</f>
        <v>0</v>
      </c>
      <c r="BE959" s="18">
        <f>IF(Pospago[[#This Row],[PLANES TELEVENTAS]]="SI",1,0)</f>
        <v>0</v>
      </c>
      <c r="BF959" s="18">
        <f>1</f>
        <v>1</v>
      </c>
      <c r="BG959" s="18">
        <f>IF(OR(Pospago[[#This Row],[TARIFA_BASICA]]=11.42,Pospago[[#This Row],[PLANES TELEVENTAS]]="SI"),1,0)</f>
        <v>0</v>
      </c>
      <c r="BH959" s="18" t="str">
        <f>IF(MID(Pospago[[#This Row],[PlanDesc]],1,4) = "PLAN","POSPAGO",IF(MID(Pospago[[#This Row],[PlanDesc]],1,4)="FULL","FULL MEGAS","PREVIOPAGO"))</f>
        <v>POSPAGO</v>
      </c>
      <c r="BI9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9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59" s="21">
        <f>Pospago[[#This Row],[TARIFA_BASICA]]*1.5</f>
        <v>26.775000000000002</v>
      </c>
    </row>
    <row r="960" spans="1:63" x14ac:dyDescent="0.25">
      <c r="A960" s="18" t="s">
        <v>154</v>
      </c>
      <c r="B960" s="18" t="s">
        <v>6004</v>
      </c>
      <c r="C960" s="18" t="s">
        <v>6005</v>
      </c>
      <c r="D960" s="19">
        <v>44904</v>
      </c>
      <c r="E960" s="18" t="s">
        <v>67</v>
      </c>
      <c r="F960" s="18" t="s">
        <v>6006</v>
      </c>
      <c r="G960" s="18" t="s">
        <v>6007</v>
      </c>
      <c r="H960" s="18" t="s">
        <v>159</v>
      </c>
      <c r="I960" s="18" t="s">
        <v>71</v>
      </c>
      <c r="J960" s="18" t="s">
        <v>258</v>
      </c>
      <c r="K960" s="18" t="s">
        <v>980</v>
      </c>
      <c r="L960" s="20" t="s">
        <v>6008</v>
      </c>
      <c r="M960" s="18" t="s">
        <v>75</v>
      </c>
      <c r="N960" s="20" t="s">
        <v>6009</v>
      </c>
      <c r="O960" s="18" t="s">
        <v>164</v>
      </c>
      <c r="P960" s="18" t="s">
        <v>78</v>
      </c>
      <c r="Q960" s="19">
        <v>44914</v>
      </c>
      <c r="R960" s="21">
        <v>11.42</v>
      </c>
      <c r="S960" s="18" t="s">
        <v>79</v>
      </c>
      <c r="T960" s="18" t="s">
        <v>80</v>
      </c>
      <c r="U960" s="18" t="s">
        <v>83</v>
      </c>
      <c r="V960" s="18" t="s">
        <v>95</v>
      </c>
      <c r="W960" s="18" t="s">
        <v>95</v>
      </c>
      <c r="X960" s="18" t="s">
        <v>84</v>
      </c>
      <c r="Y960" s="18" t="s">
        <v>85</v>
      </c>
      <c r="Z960" s="18" t="s">
        <v>86</v>
      </c>
      <c r="AA960" s="18" t="s">
        <v>87</v>
      </c>
      <c r="AB960" s="18" t="s">
        <v>289</v>
      </c>
      <c r="AC960" s="18" t="s">
        <v>290</v>
      </c>
      <c r="AD960" s="18" t="s">
        <v>85</v>
      </c>
      <c r="AE960" s="18" t="s">
        <v>90</v>
      </c>
      <c r="AF960" s="18" t="s">
        <v>91</v>
      </c>
      <c r="AG960" s="18" t="s">
        <v>92</v>
      </c>
      <c r="AH960" s="18" t="s">
        <v>165</v>
      </c>
      <c r="AI960" s="18" t="s">
        <v>94</v>
      </c>
      <c r="AJ960" s="19">
        <v>44904</v>
      </c>
      <c r="AK960" s="22" t="s">
        <v>95</v>
      </c>
      <c r="AL960" s="18" t="s">
        <v>95</v>
      </c>
      <c r="AM960" s="18" t="s">
        <v>95</v>
      </c>
      <c r="AN960" s="18" t="s">
        <v>95</v>
      </c>
      <c r="AO960" s="18" t="s">
        <v>95</v>
      </c>
      <c r="AP960" s="18" t="s">
        <v>95</v>
      </c>
      <c r="AQ960" s="18" t="s">
        <v>95</v>
      </c>
      <c r="AR960" s="18" t="s">
        <v>95</v>
      </c>
      <c r="AS960" s="18" t="s">
        <v>83</v>
      </c>
      <c r="AT960" s="18" t="s">
        <v>83</v>
      </c>
      <c r="AU960" s="18" t="s">
        <v>81</v>
      </c>
      <c r="AV960" s="18" t="s">
        <v>95</v>
      </c>
      <c r="AW960" s="18"/>
      <c r="AX960" s="18"/>
      <c r="AY960" s="18" t="str">
        <f>Pospago[[#This Row],[NUM_TELEFONICO]]&amp;"POSPAGOSI"</f>
        <v>998356019POSPAGOSI</v>
      </c>
      <c r="AZ960" s="18" t="str">
        <f>VLOOKUP(Pospago[[#This Row],[NOM_PLAZA_FINAL]],[1]!Locales[#Data],3,0)</f>
        <v>TIENDA CUENCA CENTRO</v>
      </c>
      <c r="BA960" s="18" t="str">
        <f>IFERROR(VLOOKUP(Pospago[[#This Row],[USUARIO]],[1]!Personal[#Data],6,0),"EJECUTIVO NO REGISTRADO")</f>
        <v>CALLE CHACA JORGE VINICIO</v>
      </c>
      <c r="BB960" s="18" t="str">
        <f>Pospago[[#This Row],[TIPO_MOVIMIENTO]]&amp;" "&amp;Pospago[[#This Row],[FORMA_PAGO_FINAL]]</f>
        <v>TRANSFERENCIAS DOMICILIADO</v>
      </c>
      <c r="BC960" s="18">
        <f>DAY(Pospago[[#This Row],[FECHA_ALTA]])</f>
        <v>9</v>
      </c>
      <c r="BD960" s="18">
        <f>IF(Pospago[[#This Row],[TARIFA_BASICA]]=11.42,1,0)</f>
        <v>1</v>
      </c>
      <c r="BE960" s="18">
        <f>IF(Pospago[[#This Row],[PLANES TELEVENTAS]]="SI",1,0)</f>
        <v>0</v>
      </c>
      <c r="BF960" s="18">
        <f>1</f>
        <v>1</v>
      </c>
      <c r="BG960" s="18">
        <f>IF(OR(Pospago[[#This Row],[TARIFA_BASICA]]=11.42,Pospago[[#This Row],[PLANES TELEVENTAS]]="SI"),1,0)</f>
        <v>1</v>
      </c>
      <c r="BH960" s="18" t="str">
        <f>IF(MID(Pospago[[#This Row],[PlanDesc]],1,4) = "PLAN","POSPAGO",IF(MID(Pospago[[#This Row],[PlanDesc]],1,4)="FULL","FULL MEGAS","PREVIOPAGO"))</f>
        <v>PREVIOPAGO</v>
      </c>
      <c r="BI9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9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60" s="21">
        <f>Pospago[[#This Row],[TARIFA_BASICA]]*1.5</f>
        <v>17.13</v>
      </c>
    </row>
    <row r="961" spans="1:63" x14ac:dyDescent="0.25">
      <c r="A961" s="18" t="s">
        <v>154</v>
      </c>
      <c r="B961" s="18" t="s">
        <v>6010</v>
      </c>
      <c r="C961" s="18" t="s">
        <v>6011</v>
      </c>
      <c r="D961" s="19">
        <v>44911</v>
      </c>
      <c r="E961" s="18" t="s">
        <v>67</v>
      </c>
      <c r="F961" s="18" t="s">
        <v>6012</v>
      </c>
      <c r="G961" s="18" t="s">
        <v>6013</v>
      </c>
      <c r="H961" s="18" t="s">
        <v>159</v>
      </c>
      <c r="I961" s="18" t="s">
        <v>160</v>
      </c>
      <c r="J961" s="18" t="s">
        <v>161</v>
      </c>
      <c r="K961" s="18" t="s">
        <v>132</v>
      </c>
      <c r="L961" s="20" t="s">
        <v>6014</v>
      </c>
      <c r="M961" s="18" t="s">
        <v>75</v>
      </c>
      <c r="N961" s="20" t="s">
        <v>6015</v>
      </c>
      <c r="O961" s="18" t="s">
        <v>164</v>
      </c>
      <c r="P961" s="18" t="s">
        <v>78</v>
      </c>
      <c r="Q961" s="19">
        <v>44914</v>
      </c>
      <c r="R961" s="21">
        <v>14.28</v>
      </c>
      <c r="S961" s="18" t="s">
        <v>79</v>
      </c>
      <c r="T961" s="18" t="s">
        <v>174</v>
      </c>
      <c r="U961" s="18" t="s">
        <v>83</v>
      </c>
      <c r="V961" s="18" t="s">
        <v>95</v>
      </c>
      <c r="W961" s="18" t="s">
        <v>95</v>
      </c>
      <c r="X961" s="18" t="s">
        <v>84</v>
      </c>
      <c r="Y961" s="18" t="s">
        <v>85</v>
      </c>
      <c r="Z961" s="18" t="s">
        <v>86</v>
      </c>
      <c r="AA961" s="18" t="s">
        <v>87</v>
      </c>
      <c r="AB961" s="18" t="s">
        <v>303</v>
      </c>
      <c r="AC961" s="18" t="s">
        <v>304</v>
      </c>
      <c r="AD961" s="18" t="s">
        <v>85</v>
      </c>
      <c r="AE961" s="18" t="s">
        <v>90</v>
      </c>
      <c r="AF961" s="18" t="s">
        <v>177</v>
      </c>
      <c r="AG961" s="18" t="s">
        <v>139</v>
      </c>
      <c r="AH961" s="18" t="s">
        <v>165</v>
      </c>
      <c r="AI961" s="18" t="s">
        <v>94</v>
      </c>
      <c r="AJ961" s="19">
        <v>44911</v>
      </c>
      <c r="AK961" s="22" t="s">
        <v>95</v>
      </c>
      <c r="AL961" s="18" t="s">
        <v>95</v>
      </c>
      <c r="AM961" s="18" t="s">
        <v>95</v>
      </c>
      <c r="AN961" s="18" t="s">
        <v>95</v>
      </c>
      <c r="AO961" s="18" t="s">
        <v>95</v>
      </c>
      <c r="AP961" s="18" t="s">
        <v>95</v>
      </c>
      <c r="AQ961" s="18" t="s">
        <v>95</v>
      </c>
      <c r="AR961" s="18" t="s">
        <v>95</v>
      </c>
      <c r="AS961" s="18" t="s">
        <v>83</v>
      </c>
      <c r="AT961" s="18" t="s">
        <v>83</v>
      </c>
      <c r="AU961" s="18" t="s">
        <v>81</v>
      </c>
      <c r="AV961" s="18" t="s">
        <v>95</v>
      </c>
      <c r="AW961" s="18"/>
      <c r="AX961" s="18"/>
      <c r="AY961" s="18" t="str">
        <f>Pospago[[#This Row],[NUM_TELEFONICO]]&amp;"POSPAGOSI"</f>
        <v>998363656POSPAGOSI</v>
      </c>
      <c r="AZ961" s="18" t="str">
        <f>VLOOKUP(Pospago[[#This Row],[NOM_PLAZA_FINAL]],[1]!Locales[#Data],3,0)</f>
        <v>TIENDA RECREO</v>
      </c>
      <c r="BA961" s="18" t="str">
        <f>IFERROR(VLOOKUP(Pospago[[#This Row],[USUARIO]],[1]!Personal[#Data],6,0),"EJECUTIVO NO REGISTRADO")</f>
        <v>CORDOVA GAIBOR JONATHAN HERNAN</v>
      </c>
      <c r="BB961" s="18" t="str">
        <f>Pospago[[#This Row],[TIPO_MOVIMIENTO]]&amp;" "&amp;Pospago[[#This Row],[FORMA_PAGO_FINAL]]</f>
        <v>TRANSFERENCIAS DOMICILIADO</v>
      </c>
      <c r="BC961" s="18">
        <f>DAY(Pospago[[#This Row],[FECHA_ALTA]])</f>
        <v>16</v>
      </c>
      <c r="BD961" s="18">
        <f>IF(Pospago[[#This Row],[TARIFA_BASICA]]=11.42,1,0)</f>
        <v>0</v>
      </c>
      <c r="BE961" s="18">
        <f>IF(Pospago[[#This Row],[PLANES TELEVENTAS]]="SI",1,0)</f>
        <v>0</v>
      </c>
      <c r="BF961" s="18">
        <f>1</f>
        <v>1</v>
      </c>
      <c r="BG961" s="18">
        <f>IF(OR(Pospago[[#This Row],[TARIFA_BASICA]]=11.42,Pospago[[#This Row],[PLANES TELEVENTAS]]="SI"),1,0)</f>
        <v>0</v>
      </c>
      <c r="BH961" s="18" t="str">
        <f>IF(MID(Pospago[[#This Row],[PlanDesc]],1,4) = "PLAN","POSPAGO",IF(MID(Pospago[[#This Row],[PlanDesc]],1,4)="FULL","FULL MEGAS","PREVIOPAGO"))</f>
        <v>PREVIOPAGO</v>
      </c>
      <c r="BI9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61" s="21">
        <f>Pospago[[#This Row],[TARIFA_BASICA]]*1.5</f>
        <v>21.419999999999998</v>
      </c>
    </row>
    <row r="962" spans="1:63" x14ac:dyDescent="0.25">
      <c r="A962" s="18" t="s">
        <v>64</v>
      </c>
      <c r="B962" s="18" t="s">
        <v>6016</v>
      </c>
      <c r="C962" s="18" t="s">
        <v>6017</v>
      </c>
      <c r="D962" s="19">
        <v>44902</v>
      </c>
      <c r="E962" s="18" t="s">
        <v>67</v>
      </c>
      <c r="F962" s="18" t="s">
        <v>6018</v>
      </c>
      <c r="G962" s="18" t="s">
        <v>6019</v>
      </c>
      <c r="H962" s="18" t="s">
        <v>70</v>
      </c>
      <c r="I962" s="18" t="s">
        <v>160</v>
      </c>
      <c r="J962" s="18" t="s">
        <v>195</v>
      </c>
      <c r="K962" s="18" t="s">
        <v>95</v>
      </c>
      <c r="L962" s="20" t="s">
        <v>6020</v>
      </c>
      <c r="M962" s="18" t="s">
        <v>75</v>
      </c>
      <c r="N962" s="20" t="s">
        <v>6021</v>
      </c>
      <c r="O962" s="18" t="s">
        <v>77</v>
      </c>
      <c r="P962" s="18" t="s">
        <v>78</v>
      </c>
      <c r="Q962" s="19">
        <v>44914</v>
      </c>
      <c r="R962" s="21">
        <v>14.28</v>
      </c>
      <c r="S962" s="18" t="s">
        <v>79</v>
      </c>
      <c r="T962" s="18" t="s">
        <v>117</v>
      </c>
      <c r="U962" s="18" t="s">
        <v>83</v>
      </c>
      <c r="V962" s="18" t="s">
        <v>95</v>
      </c>
      <c r="W962" s="18" t="s">
        <v>83</v>
      </c>
      <c r="X962" s="18" t="s">
        <v>84</v>
      </c>
      <c r="Y962" s="18" t="s">
        <v>85</v>
      </c>
      <c r="Z962" s="18" t="s">
        <v>86</v>
      </c>
      <c r="AA962" s="18" t="s">
        <v>87</v>
      </c>
      <c r="AB962" s="18" t="s">
        <v>1043</v>
      </c>
      <c r="AC962" s="18" t="s">
        <v>1044</v>
      </c>
      <c r="AD962" s="18" t="s">
        <v>85</v>
      </c>
      <c r="AE962" s="18" t="s">
        <v>90</v>
      </c>
      <c r="AF962" s="18" t="s">
        <v>122</v>
      </c>
      <c r="AG962" s="18" t="s">
        <v>92</v>
      </c>
      <c r="AH962" s="18" t="s">
        <v>93</v>
      </c>
      <c r="AI962" s="18" t="s">
        <v>94</v>
      </c>
      <c r="AJ962" s="19">
        <v>44902</v>
      </c>
      <c r="AK962" s="22" t="s">
        <v>95</v>
      </c>
      <c r="AL962" s="18" t="s">
        <v>95</v>
      </c>
      <c r="AM962" s="18" t="s">
        <v>95</v>
      </c>
      <c r="AN962" s="18" t="s">
        <v>95</v>
      </c>
      <c r="AO962" s="18" t="s">
        <v>95</v>
      </c>
      <c r="AP962" s="18" t="s">
        <v>95</v>
      </c>
      <c r="AQ962" s="18" t="s">
        <v>95</v>
      </c>
      <c r="AR962" s="18" t="s">
        <v>95</v>
      </c>
      <c r="AS962" s="18" t="s">
        <v>83</v>
      </c>
      <c r="AT962" s="18" t="s">
        <v>83</v>
      </c>
      <c r="AU962" s="18" t="s">
        <v>81</v>
      </c>
      <c r="AV962" s="18" t="s">
        <v>95</v>
      </c>
      <c r="AW962" s="18"/>
      <c r="AX962" s="18"/>
      <c r="AY962" s="18" t="str">
        <f>Pospago[[#This Row],[NUM_TELEFONICO]]&amp;"POSPAGOSI"</f>
        <v>998367023POSPAGOSI</v>
      </c>
      <c r="AZ962" s="18" t="str">
        <f>VLOOKUP(Pospago[[#This Row],[NOM_PLAZA_FINAL]],[1]!Locales[#Data],3,0)</f>
        <v>TIENDA MACHALA</v>
      </c>
      <c r="BA962" s="18" t="str">
        <f>IFERROR(VLOOKUP(Pospago[[#This Row],[USUARIO]],[1]!Personal[#Data],6,0),"EJECUTIVO NO REGISTRADO")</f>
        <v>GONZAGA YUPANGUI LIZBETH KATHERINE</v>
      </c>
      <c r="BB962" s="18" t="str">
        <f>Pospago[[#This Row],[TIPO_MOVIMIENTO]]&amp;" "&amp;Pospago[[#This Row],[FORMA_PAGO_FINAL]]</f>
        <v>ALTAS DOMICILIADO</v>
      </c>
      <c r="BC962" s="18">
        <f>DAY(Pospago[[#This Row],[FECHA_ALTA]])</f>
        <v>7</v>
      </c>
      <c r="BD962" s="18">
        <f>IF(Pospago[[#This Row],[TARIFA_BASICA]]=11.42,1,0)</f>
        <v>0</v>
      </c>
      <c r="BE962" s="18">
        <f>IF(Pospago[[#This Row],[PLANES TELEVENTAS]]="SI",1,0)</f>
        <v>0</v>
      </c>
      <c r="BF962" s="18">
        <f>1</f>
        <v>1</v>
      </c>
      <c r="BG962" s="18">
        <f>IF(OR(Pospago[[#This Row],[TARIFA_BASICA]]=11.42,Pospago[[#This Row],[PLANES TELEVENTAS]]="SI"),1,0)</f>
        <v>0</v>
      </c>
      <c r="BH962" s="18" t="str">
        <f>IF(MID(Pospago[[#This Row],[PlanDesc]],1,4) = "PLAN","POSPAGO",IF(MID(Pospago[[#This Row],[PlanDesc]],1,4)="FULL","FULL MEGAS","PREVIOPAGO"))</f>
        <v>PREVIOPAGO</v>
      </c>
      <c r="BI9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9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62" s="21">
        <f>Pospago[[#This Row],[TARIFA_BASICA]]*1.5</f>
        <v>21.419999999999998</v>
      </c>
    </row>
    <row r="963" spans="1:63" x14ac:dyDescent="0.25">
      <c r="A963" s="18" t="s">
        <v>64</v>
      </c>
      <c r="B963" s="18" t="s">
        <v>6022</v>
      </c>
      <c r="C963" s="18" t="s">
        <v>6023</v>
      </c>
      <c r="D963" s="19">
        <v>44909</v>
      </c>
      <c r="E963" s="18" t="s">
        <v>67</v>
      </c>
      <c r="F963" s="18" t="s">
        <v>6024</v>
      </c>
      <c r="G963" s="18" t="s">
        <v>6025</v>
      </c>
      <c r="H963" s="18" t="s">
        <v>70</v>
      </c>
      <c r="I963" s="18" t="s">
        <v>160</v>
      </c>
      <c r="J963" s="18" t="s">
        <v>195</v>
      </c>
      <c r="K963" s="18" t="s">
        <v>132</v>
      </c>
      <c r="L963" s="20" t="s">
        <v>6026</v>
      </c>
      <c r="M963" s="18" t="s">
        <v>75</v>
      </c>
      <c r="N963" s="20" t="s">
        <v>6027</v>
      </c>
      <c r="O963" s="18" t="s">
        <v>77</v>
      </c>
      <c r="P963" s="18" t="s">
        <v>78</v>
      </c>
      <c r="Q963" s="19">
        <v>44914</v>
      </c>
      <c r="R963" s="21">
        <v>14.28</v>
      </c>
      <c r="S963" s="18" t="s">
        <v>79</v>
      </c>
      <c r="T963" s="18" t="s">
        <v>174</v>
      </c>
      <c r="U963" s="18" t="s">
        <v>81</v>
      </c>
      <c r="V963" s="18" t="s">
        <v>693</v>
      </c>
      <c r="W963" s="18" t="s">
        <v>83</v>
      </c>
      <c r="X963" s="18" t="s">
        <v>84</v>
      </c>
      <c r="Y963" s="18" t="s">
        <v>85</v>
      </c>
      <c r="Z963" s="18" t="s">
        <v>86</v>
      </c>
      <c r="AA963" s="18" t="s">
        <v>87</v>
      </c>
      <c r="AB963" s="18" t="s">
        <v>175</v>
      </c>
      <c r="AC963" s="18" t="s">
        <v>176</v>
      </c>
      <c r="AD963" s="18" t="s">
        <v>85</v>
      </c>
      <c r="AE963" s="18" t="s">
        <v>90</v>
      </c>
      <c r="AF963" s="18" t="s">
        <v>177</v>
      </c>
      <c r="AG963" s="18" t="s">
        <v>139</v>
      </c>
      <c r="AH963" s="18" t="s">
        <v>93</v>
      </c>
      <c r="AI963" s="18" t="s">
        <v>94</v>
      </c>
      <c r="AJ963" s="19">
        <v>44909</v>
      </c>
      <c r="AK963" s="22" t="s">
        <v>95</v>
      </c>
      <c r="AL963" s="18" t="s">
        <v>95</v>
      </c>
      <c r="AM963" s="18" t="s">
        <v>95</v>
      </c>
      <c r="AN963" s="18" t="s">
        <v>95</v>
      </c>
      <c r="AO963" s="18" t="s">
        <v>95</v>
      </c>
      <c r="AP963" s="18" t="s">
        <v>95</v>
      </c>
      <c r="AQ963" s="18" t="s">
        <v>95</v>
      </c>
      <c r="AR963" s="18" t="s">
        <v>95</v>
      </c>
      <c r="AS963" s="18" t="s">
        <v>83</v>
      </c>
      <c r="AT963" s="18" t="s">
        <v>83</v>
      </c>
      <c r="AU963" s="18" t="s">
        <v>81</v>
      </c>
      <c r="AV963" s="18" t="s">
        <v>95</v>
      </c>
      <c r="AW963" s="18"/>
      <c r="AX963" s="18"/>
      <c r="AY963" s="18" t="str">
        <f>Pospago[[#This Row],[NUM_TELEFONICO]]&amp;"POSPAGOSI"</f>
        <v>998378962POSPAGOSI</v>
      </c>
      <c r="AZ963" s="18" t="str">
        <f>VLOOKUP(Pospago[[#This Row],[NOM_PLAZA_FINAL]],[1]!Locales[#Data],3,0)</f>
        <v>TIENDA RECREO</v>
      </c>
      <c r="BA963" s="18" t="str">
        <f>IFERROR(VLOOKUP(Pospago[[#This Row],[USUARIO]],[1]!Personal[#Data],6,0),"EJECUTIVO NO REGISTRADO")</f>
        <v>VARGAS REYES LUIS EDUARDO</v>
      </c>
      <c r="BB963" s="18" t="str">
        <f>Pospago[[#This Row],[TIPO_MOVIMIENTO]]&amp;" "&amp;Pospago[[#This Row],[FORMA_PAGO_FINAL]]</f>
        <v>ALTAS DOMICILIADO</v>
      </c>
      <c r="BC963" s="18">
        <f>DAY(Pospago[[#This Row],[FECHA_ALTA]])</f>
        <v>14</v>
      </c>
      <c r="BD963" s="18">
        <f>IF(Pospago[[#This Row],[TARIFA_BASICA]]=11.42,1,0)</f>
        <v>0</v>
      </c>
      <c r="BE963" s="18">
        <f>IF(Pospago[[#This Row],[PLANES TELEVENTAS]]="SI",1,0)</f>
        <v>0</v>
      </c>
      <c r="BF963" s="18">
        <f>1</f>
        <v>1</v>
      </c>
      <c r="BG963" s="18">
        <f>IF(OR(Pospago[[#This Row],[TARIFA_BASICA]]=11.42,Pospago[[#This Row],[PLANES TELEVENTAS]]="SI"),1,0)</f>
        <v>0</v>
      </c>
      <c r="BH963" s="18" t="str">
        <f>IF(MID(Pospago[[#This Row],[PlanDesc]],1,4) = "PLAN","POSPAGO",IF(MID(Pospago[[#This Row],[PlanDesc]],1,4)="FULL","FULL MEGAS","PREVIOPAGO"))</f>
        <v>PREVIOPAGO</v>
      </c>
      <c r="BI9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63" s="21">
        <f>Pospago[[#This Row],[TARIFA_BASICA]]*1.5</f>
        <v>21.419999999999998</v>
      </c>
    </row>
    <row r="964" spans="1:63" x14ac:dyDescent="0.25">
      <c r="A964" s="18" t="s">
        <v>154</v>
      </c>
      <c r="B964" s="18" t="s">
        <v>6028</v>
      </c>
      <c r="C964" s="18" t="s">
        <v>6029</v>
      </c>
      <c r="D964" s="19">
        <v>44903</v>
      </c>
      <c r="E964" s="18" t="s">
        <v>67</v>
      </c>
      <c r="F964" s="18" t="s">
        <v>6030</v>
      </c>
      <c r="G964" s="18" t="s">
        <v>6031</v>
      </c>
      <c r="H964" s="18" t="s">
        <v>159</v>
      </c>
      <c r="I964" s="18" t="s">
        <v>112</v>
      </c>
      <c r="J964" s="18" t="s">
        <v>781</v>
      </c>
      <c r="K964" s="18" t="s">
        <v>73</v>
      </c>
      <c r="L964" s="20" t="s">
        <v>6032</v>
      </c>
      <c r="M964" s="18" t="s">
        <v>75</v>
      </c>
      <c r="N964" s="20" t="s">
        <v>6033</v>
      </c>
      <c r="O964" s="18" t="s">
        <v>164</v>
      </c>
      <c r="P964" s="18" t="s">
        <v>78</v>
      </c>
      <c r="Q964" s="19">
        <v>44914</v>
      </c>
      <c r="R964" s="21">
        <v>17.850000000000001</v>
      </c>
      <c r="S964" s="18" t="s">
        <v>79</v>
      </c>
      <c r="T964" s="18" t="s">
        <v>80</v>
      </c>
      <c r="U964" s="18" t="s">
        <v>83</v>
      </c>
      <c r="V964" s="18" t="s">
        <v>95</v>
      </c>
      <c r="W964" s="18" t="s">
        <v>95</v>
      </c>
      <c r="X964" s="18" t="s">
        <v>118</v>
      </c>
      <c r="Y964" s="18" t="s">
        <v>85</v>
      </c>
      <c r="Z964" s="18" t="s">
        <v>86</v>
      </c>
      <c r="AA964" s="18" t="s">
        <v>119</v>
      </c>
      <c r="AB964" s="18" t="s">
        <v>1020</v>
      </c>
      <c r="AC964" s="18" t="s">
        <v>1021</v>
      </c>
      <c r="AD964" s="18" t="s">
        <v>85</v>
      </c>
      <c r="AE964" s="18" t="s">
        <v>90</v>
      </c>
      <c r="AF964" s="18" t="s">
        <v>91</v>
      </c>
      <c r="AG964" s="18" t="s">
        <v>92</v>
      </c>
      <c r="AH964" s="18" t="s">
        <v>165</v>
      </c>
      <c r="AI964" s="18" t="s">
        <v>94</v>
      </c>
      <c r="AJ964" s="19">
        <v>44903</v>
      </c>
      <c r="AK964" s="22" t="s">
        <v>95</v>
      </c>
      <c r="AL964" s="18" t="s">
        <v>95</v>
      </c>
      <c r="AM964" s="18" t="s">
        <v>95</v>
      </c>
      <c r="AN964" s="18" t="s">
        <v>95</v>
      </c>
      <c r="AO964" s="18" t="s">
        <v>95</v>
      </c>
      <c r="AP964" s="18" t="s">
        <v>95</v>
      </c>
      <c r="AQ964" s="18" t="s">
        <v>95</v>
      </c>
      <c r="AR964" s="18" t="s">
        <v>95</v>
      </c>
      <c r="AS964" s="18" t="s">
        <v>83</v>
      </c>
      <c r="AT964" s="18" t="s">
        <v>83</v>
      </c>
      <c r="AU964" s="18" t="s">
        <v>81</v>
      </c>
      <c r="AV964" s="18" t="s">
        <v>95</v>
      </c>
      <c r="AW964" s="18"/>
      <c r="AX964" s="18"/>
      <c r="AY964" s="18" t="str">
        <f>Pospago[[#This Row],[NUM_TELEFONICO]]&amp;"POSPAGOSI"</f>
        <v>998413556POSPAGOSI</v>
      </c>
      <c r="AZ964" s="18" t="str">
        <f>VLOOKUP(Pospago[[#This Row],[NOM_PLAZA_FINAL]],[1]!Locales[#Data],3,0)</f>
        <v>TIENDA CUENCA CENTRO</v>
      </c>
      <c r="BA964" s="18" t="str">
        <f>IFERROR(VLOOKUP(Pospago[[#This Row],[USUARIO]],[1]!Personal[#Data],6,0),"EJECUTIVO NO REGISTRADO")</f>
        <v>GONZALES ALVARRACIN PAOLA YESSENIA</v>
      </c>
      <c r="BB964" s="18" t="str">
        <f>Pospago[[#This Row],[TIPO_MOVIMIENTO]]&amp;" "&amp;Pospago[[#This Row],[FORMA_PAGO_FINAL]]</f>
        <v>TRANSFERENCIAS PAGO EN CAJA</v>
      </c>
      <c r="BC964" s="18">
        <f>DAY(Pospago[[#This Row],[FECHA_ALTA]])</f>
        <v>8</v>
      </c>
      <c r="BD964" s="18">
        <f>IF(Pospago[[#This Row],[TARIFA_BASICA]]=11.42,1,0)</f>
        <v>0</v>
      </c>
      <c r="BE964" s="18">
        <f>IF(Pospago[[#This Row],[PLANES TELEVENTAS]]="SI",1,0)</f>
        <v>0</v>
      </c>
      <c r="BF964" s="18">
        <f>1</f>
        <v>1</v>
      </c>
      <c r="BG964" s="18">
        <f>IF(OR(Pospago[[#This Row],[TARIFA_BASICA]]=11.42,Pospago[[#This Row],[PLANES TELEVENTAS]]="SI"),1,0)</f>
        <v>0</v>
      </c>
      <c r="BH964" s="18" t="str">
        <f>IF(MID(Pospago[[#This Row],[PlanDesc]],1,4) = "PLAN","POSPAGO",IF(MID(Pospago[[#This Row],[PlanDesc]],1,4)="FULL","FULL MEGAS","PREVIOPAGO"))</f>
        <v>PREVIOPAGO</v>
      </c>
      <c r="BI9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7.88</v>
      </c>
      <c r="BJ9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64" s="21">
        <f>Pospago[[#This Row],[TARIFA_BASICA]]*1.5</f>
        <v>26.775000000000002</v>
      </c>
    </row>
    <row r="965" spans="1:63" x14ac:dyDescent="0.25">
      <c r="A965" s="18" t="s">
        <v>154</v>
      </c>
      <c r="B965" s="18" t="s">
        <v>6034</v>
      </c>
      <c r="C965" s="18" t="s">
        <v>6035</v>
      </c>
      <c r="D965" s="19">
        <v>44898</v>
      </c>
      <c r="E965" s="18" t="s">
        <v>67</v>
      </c>
      <c r="F965" s="18" t="s">
        <v>6036</v>
      </c>
      <c r="G965" s="18" t="s">
        <v>6037</v>
      </c>
      <c r="H965" s="18" t="s">
        <v>159</v>
      </c>
      <c r="I965" s="18" t="s">
        <v>160</v>
      </c>
      <c r="J965" s="18" t="s">
        <v>161</v>
      </c>
      <c r="K965" s="18" t="s">
        <v>95</v>
      </c>
      <c r="L965" s="20" t="s">
        <v>6038</v>
      </c>
      <c r="M965" s="18" t="s">
        <v>75</v>
      </c>
      <c r="N965" s="20" t="s">
        <v>6039</v>
      </c>
      <c r="O965" s="18" t="s">
        <v>164</v>
      </c>
      <c r="P965" s="18" t="s">
        <v>78</v>
      </c>
      <c r="Q965" s="19">
        <v>44914</v>
      </c>
      <c r="R965" s="21">
        <v>14.28</v>
      </c>
      <c r="S965" s="18" t="s">
        <v>79</v>
      </c>
      <c r="T965" s="18" t="s">
        <v>174</v>
      </c>
      <c r="U965" s="18" t="s">
        <v>83</v>
      </c>
      <c r="V965" s="18" t="s">
        <v>95</v>
      </c>
      <c r="W965" s="18" t="s">
        <v>95</v>
      </c>
      <c r="X965" s="18" t="s">
        <v>118</v>
      </c>
      <c r="Y965" s="18" t="s">
        <v>85</v>
      </c>
      <c r="Z965" s="18" t="s">
        <v>86</v>
      </c>
      <c r="AA965" s="18" t="s">
        <v>119</v>
      </c>
      <c r="AB965" s="18" t="s">
        <v>630</v>
      </c>
      <c r="AC965" s="18" t="s">
        <v>631</v>
      </c>
      <c r="AD965" s="18" t="s">
        <v>85</v>
      </c>
      <c r="AE965" s="18" t="s">
        <v>90</v>
      </c>
      <c r="AF965" s="18" t="s">
        <v>177</v>
      </c>
      <c r="AG965" s="18" t="s">
        <v>139</v>
      </c>
      <c r="AH965" s="18" t="s">
        <v>165</v>
      </c>
      <c r="AI965" s="18" t="s">
        <v>94</v>
      </c>
      <c r="AJ965" s="19">
        <v>44898</v>
      </c>
      <c r="AK965" s="22" t="s">
        <v>95</v>
      </c>
      <c r="AL965" s="18" t="s">
        <v>95</v>
      </c>
      <c r="AM965" s="18" t="s">
        <v>95</v>
      </c>
      <c r="AN965" s="18" t="s">
        <v>95</v>
      </c>
      <c r="AO965" s="18" t="s">
        <v>95</v>
      </c>
      <c r="AP965" s="18" t="s">
        <v>95</v>
      </c>
      <c r="AQ965" s="18" t="s">
        <v>95</v>
      </c>
      <c r="AR965" s="18" t="s">
        <v>95</v>
      </c>
      <c r="AS965" s="18" t="s">
        <v>83</v>
      </c>
      <c r="AT965" s="18" t="s">
        <v>83</v>
      </c>
      <c r="AU965" s="18" t="s">
        <v>81</v>
      </c>
      <c r="AV965" s="18" t="s">
        <v>95</v>
      </c>
      <c r="AW965" s="18"/>
      <c r="AX965" s="18"/>
      <c r="AY965" s="18" t="str">
        <f>Pospago[[#This Row],[NUM_TELEFONICO]]&amp;"POSPAGOSI"</f>
        <v>998424166POSPAGOSI</v>
      </c>
      <c r="AZ965" s="18" t="str">
        <f>VLOOKUP(Pospago[[#This Row],[NOM_PLAZA_FINAL]],[1]!Locales[#Data],3,0)</f>
        <v>TIENDA RECREO</v>
      </c>
      <c r="BA965" s="18" t="str">
        <f>IFERROR(VLOOKUP(Pospago[[#This Row],[USUARIO]],[1]!Personal[#Data],6,0),"EJECUTIVO NO REGISTRADO")</f>
        <v>LOAYZA AGUILAR JONATHAN FABIAN</v>
      </c>
      <c r="BB965" s="18" t="str">
        <f>Pospago[[#This Row],[TIPO_MOVIMIENTO]]&amp;" "&amp;Pospago[[#This Row],[FORMA_PAGO_FINAL]]</f>
        <v>TRANSFERENCIAS PAGO EN CAJA</v>
      </c>
      <c r="BC965" s="18">
        <f>DAY(Pospago[[#This Row],[FECHA_ALTA]])</f>
        <v>3</v>
      </c>
      <c r="BD965" s="18">
        <f>IF(Pospago[[#This Row],[TARIFA_BASICA]]=11.42,1,0)</f>
        <v>0</v>
      </c>
      <c r="BE965" s="18">
        <f>IF(Pospago[[#This Row],[PLANES TELEVENTAS]]="SI",1,0)</f>
        <v>0</v>
      </c>
      <c r="BF965" s="18">
        <f>1</f>
        <v>1</v>
      </c>
      <c r="BG965" s="18">
        <f>IF(OR(Pospago[[#This Row],[TARIFA_BASICA]]=11.42,Pospago[[#This Row],[PLANES TELEVENTAS]]="SI"),1,0)</f>
        <v>0</v>
      </c>
      <c r="BH965" s="18" t="str">
        <f>IF(MID(Pospago[[#This Row],[PlanDesc]],1,4) = "PLAN","POSPAGO",IF(MID(Pospago[[#This Row],[PlanDesc]],1,4)="FULL","FULL MEGAS","PREVIOPAGO"))</f>
        <v>PREVIOPAGO</v>
      </c>
      <c r="BI9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65" s="21">
        <f>Pospago[[#This Row],[TARIFA_BASICA]]*1.5</f>
        <v>21.419999999999998</v>
      </c>
    </row>
    <row r="966" spans="1:63" x14ac:dyDescent="0.25">
      <c r="A966" s="18" t="s">
        <v>154</v>
      </c>
      <c r="B966" s="18" t="s">
        <v>6040</v>
      </c>
      <c r="C966" s="18" t="s">
        <v>6041</v>
      </c>
      <c r="D966" s="19">
        <v>44911</v>
      </c>
      <c r="E966" s="18" t="s">
        <v>67</v>
      </c>
      <c r="F966" s="18" t="s">
        <v>6042</v>
      </c>
      <c r="G966" s="18" t="s">
        <v>6043</v>
      </c>
      <c r="H966" s="18" t="s">
        <v>159</v>
      </c>
      <c r="I966" s="18" t="s">
        <v>71</v>
      </c>
      <c r="J966" s="18" t="s">
        <v>258</v>
      </c>
      <c r="K966" s="18" t="s">
        <v>95</v>
      </c>
      <c r="L966" s="20" t="s">
        <v>6044</v>
      </c>
      <c r="M966" s="18" t="s">
        <v>75</v>
      </c>
      <c r="N966" s="20" t="s">
        <v>6045</v>
      </c>
      <c r="O966" s="18" t="s">
        <v>164</v>
      </c>
      <c r="P966" s="18" t="s">
        <v>78</v>
      </c>
      <c r="Q966" s="19">
        <v>44914</v>
      </c>
      <c r="R966" s="21">
        <v>11.42</v>
      </c>
      <c r="S966" s="18" t="s">
        <v>79</v>
      </c>
      <c r="T966" s="18" t="s">
        <v>174</v>
      </c>
      <c r="U966" s="18" t="s">
        <v>83</v>
      </c>
      <c r="V966" s="18" t="s">
        <v>95</v>
      </c>
      <c r="W966" s="18" t="s">
        <v>95</v>
      </c>
      <c r="X966" s="18" t="s">
        <v>118</v>
      </c>
      <c r="Y966" s="18" t="s">
        <v>85</v>
      </c>
      <c r="Z966" s="18" t="s">
        <v>86</v>
      </c>
      <c r="AA966" s="18" t="s">
        <v>119</v>
      </c>
      <c r="AB966" s="18" t="s">
        <v>822</v>
      </c>
      <c r="AC966" s="18" t="s">
        <v>823</v>
      </c>
      <c r="AD966" s="18" t="s">
        <v>85</v>
      </c>
      <c r="AE966" s="18" t="s">
        <v>90</v>
      </c>
      <c r="AF966" s="18" t="s">
        <v>177</v>
      </c>
      <c r="AG966" s="18" t="s">
        <v>139</v>
      </c>
      <c r="AH966" s="18" t="s">
        <v>165</v>
      </c>
      <c r="AI966" s="18" t="s">
        <v>94</v>
      </c>
      <c r="AJ966" s="19">
        <v>44911</v>
      </c>
      <c r="AK966" s="22" t="s">
        <v>95</v>
      </c>
      <c r="AL966" s="18" t="s">
        <v>95</v>
      </c>
      <c r="AM966" s="18" t="s">
        <v>95</v>
      </c>
      <c r="AN966" s="18" t="s">
        <v>95</v>
      </c>
      <c r="AO966" s="18" t="s">
        <v>95</v>
      </c>
      <c r="AP966" s="18" t="s">
        <v>95</v>
      </c>
      <c r="AQ966" s="18" t="s">
        <v>95</v>
      </c>
      <c r="AR966" s="18" t="s">
        <v>95</v>
      </c>
      <c r="AS966" s="18" t="s">
        <v>83</v>
      </c>
      <c r="AT966" s="18" t="s">
        <v>83</v>
      </c>
      <c r="AU966" s="18" t="s">
        <v>81</v>
      </c>
      <c r="AV966" s="18" t="s">
        <v>95</v>
      </c>
      <c r="AW966" s="18"/>
      <c r="AX966" s="18"/>
      <c r="AY966" s="18" t="str">
        <f>Pospago[[#This Row],[NUM_TELEFONICO]]&amp;"POSPAGOSI"</f>
        <v>998438749POSPAGOSI</v>
      </c>
      <c r="AZ966" s="18" t="str">
        <f>VLOOKUP(Pospago[[#This Row],[NOM_PLAZA_FINAL]],[1]!Locales[#Data],3,0)</f>
        <v>TIENDA RECREO</v>
      </c>
      <c r="BA966" s="18" t="str">
        <f>IFERROR(VLOOKUP(Pospago[[#This Row],[USUARIO]],[1]!Personal[#Data],6,0),"EJECUTIVO NO REGISTRADO")</f>
        <v>SALAS PARRA MARIA JOSE</v>
      </c>
      <c r="BB966" s="18" t="str">
        <f>Pospago[[#This Row],[TIPO_MOVIMIENTO]]&amp;" "&amp;Pospago[[#This Row],[FORMA_PAGO_FINAL]]</f>
        <v>TRANSFERENCIAS PAGO EN CAJA</v>
      </c>
      <c r="BC966" s="18">
        <f>DAY(Pospago[[#This Row],[FECHA_ALTA]])</f>
        <v>16</v>
      </c>
      <c r="BD966" s="18">
        <f>IF(Pospago[[#This Row],[TARIFA_BASICA]]=11.42,1,0)</f>
        <v>1</v>
      </c>
      <c r="BE966" s="18">
        <f>IF(Pospago[[#This Row],[PLANES TELEVENTAS]]="SI",1,0)</f>
        <v>0</v>
      </c>
      <c r="BF966" s="18">
        <f>1</f>
        <v>1</v>
      </c>
      <c r="BG966" s="18">
        <f>IF(OR(Pospago[[#This Row],[TARIFA_BASICA]]=11.42,Pospago[[#This Row],[PLANES TELEVENTAS]]="SI"),1,0)</f>
        <v>1</v>
      </c>
      <c r="BH966" s="18" t="str">
        <f>IF(MID(Pospago[[#This Row],[PlanDesc]],1,4) = "PLAN","POSPAGO",IF(MID(Pospago[[#This Row],[PlanDesc]],1,4)="FULL","FULL MEGAS","PREVIOPAGO"))</f>
        <v>PREVIOPAGO</v>
      </c>
      <c r="BI9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9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66" s="21">
        <f>Pospago[[#This Row],[TARIFA_BASICA]]*1.5</f>
        <v>17.13</v>
      </c>
    </row>
    <row r="967" spans="1:63" x14ac:dyDescent="0.25">
      <c r="A967" s="18" t="s">
        <v>64</v>
      </c>
      <c r="B967" s="18" t="s">
        <v>6046</v>
      </c>
      <c r="C967" s="18" t="s">
        <v>6047</v>
      </c>
      <c r="D967" s="19">
        <v>44896</v>
      </c>
      <c r="E967" s="18" t="s">
        <v>67</v>
      </c>
      <c r="F967" s="18" t="s">
        <v>2696</v>
      </c>
      <c r="G967" s="18" t="s">
        <v>2697</v>
      </c>
      <c r="H967" s="18" t="s">
        <v>70</v>
      </c>
      <c r="I967" s="18" t="s">
        <v>1357</v>
      </c>
      <c r="J967" s="18" t="s">
        <v>72</v>
      </c>
      <c r="K967" s="18" t="s">
        <v>114</v>
      </c>
      <c r="L967" s="20" t="s">
        <v>6048</v>
      </c>
      <c r="M967" s="18" t="s">
        <v>75</v>
      </c>
      <c r="N967" s="20" t="s">
        <v>6049</v>
      </c>
      <c r="O967" s="18" t="s">
        <v>77</v>
      </c>
      <c r="P967" s="18" t="s">
        <v>78</v>
      </c>
      <c r="Q967" s="19">
        <v>44914</v>
      </c>
      <c r="R967" s="21">
        <v>11.42</v>
      </c>
      <c r="S967" s="18" t="s">
        <v>79</v>
      </c>
      <c r="T967" s="18" t="s">
        <v>117</v>
      </c>
      <c r="U967" s="18" t="s">
        <v>83</v>
      </c>
      <c r="V967" s="18" t="s">
        <v>95</v>
      </c>
      <c r="W967" s="18" t="s">
        <v>83</v>
      </c>
      <c r="X967" s="18" t="s">
        <v>118</v>
      </c>
      <c r="Y967" s="18" t="s">
        <v>85</v>
      </c>
      <c r="Z967" s="18" t="s">
        <v>86</v>
      </c>
      <c r="AA967" s="18" t="s">
        <v>119</v>
      </c>
      <c r="AB967" s="18" t="s">
        <v>120</v>
      </c>
      <c r="AC967" s="18" t="s">
        <v>121</v>
      </c>
      <c r="AD967" s="18" t="s">
        <v>85</v>
      </c>
      <c r="AE967" s="18" t="s">
        <v>90</v>
      </c>
      <c r="AF967" s="18" t="s">
        <v>122</v>
      </c>
      <c r="AG967" s="18" t="s">
        <v>92</v>
      </c>
      <c r="AH967" s="18" t="s">
        <v>93</v>
      </c>
      <c r="AI967" s="18" t="s">
        <v>94</v>
      </c>
      <c r="AJ967" s="19">
        <v>44896</v>
      </c>
      <c r="AK967" s="22" t="s">
        <v>95</v>
      </c>
      <c r="AL967" s="18" t="s">
        <v>95</v>
      </c>
      <c r="AM967" s="18" t="s">
        <v>95</v>
      </c>
      <c r="AN967" s="18" t="s">
        <v>95</v>
      </c>
      <c r="AO967" s="18" t="s">
        <v>95</v>
      </c>
      <c r="AP967" s="18" t="s">
        <v>95</v>
      </c>
      <c r="AQ967" s="18" t="s">
        <v>95</v>
      </c>
      <c r="AR967" s="18" t="s">
        <v>95</v>
      </c>
      <c r="AS967" s="18" t="s">
        <v>83</v>
      </c>
      <c r="AT967" s="18" t="s">
        <v>81</v>
      </c>
      <c r="AU967" s="18" t="s">
        <v>81</v>
      </c>
      <c r="AV967" s="18" t="s">
        <v>95</v>
      </c>
      <c r="AW967" s="18"/>
      <c r="AX967" s="18"/>
      <c r="AY967" s="18" t="str">
        <f>Pospago[[#This Row],[NUM_TELEFONICO]]&amp;"POSPAGOSI"</f>
        <v>998446047POSPAGOSI</v>
      </c>
      <c r="AZ967" s="18" t="str">
        <f>VLOOKUP(Pospago[[#This Row],[NOM_PLAZA_FINAL]],[1]!Locales[#Data],3,0)</f>
        <v>TIENDA MACHALA</v>
      </c>
      <c r="BA967" s="18" t="str">
        <f>IFERROR(VLOOKUP(Pospago[[#This Row],[USUARIO]],[1]!Personal[#Data],6,0),"EJECUTIVO NO REGISTRADO")</f>
        <v>ARROBO VICENTE YADIRA ESPERANZA</v>
      </c>
      <c r="BB967" s="18" t="str">
        <f>Pospago[[#This Row],[TIPO_MOVIMIENTO]]&amp;" "&amp;Pospago[[#This Row],[FORMA_PAGO_FINAL]]</f>
        <v>ALTAS PAGO EN CAJA</v>
      </c>
      <c r="BC967" s="18">
        <f>DAY(Pospago[[#This Row],[FECHA_ALTA]])</f>
        <v>1</v>
      </c>
      <c r="BD967" s="18">
        <f>IF(Pospago[[#This Row],[TARIFA_BASICA]]=11.42,1,0)</f>
        <v>1</v>
      </c>
      <c r="BE967" s="18">
        <f>IF(Pospago[[#This Row],[PLANES TELEVENTAS]]="SI",1,0)</f>
        <v>1</v>
      </c>
      <c r="BF967" s="18">
        <f>1</f>
        <v>1</v>
      </c>
      <c r="BG967" s="18">
        <f>IF(OR(Pospago[[#This Row],[TARIFA_BASICA]]=11.42,Pospago[[#This Row],[PLANES TELEVENTAS]]="SI"),1,0)</f>
        <v>1</v>
      </c>
      <c r="BH967" s="18" t="str">
        <f>IF(MID(Pospago[[#This Row],[PlanDesc]],1,4) = "PLAN","POSPAGO",IF(MID(Pospago[[#This Row],[PlanDesc]],1,4)="FULL","FULL MEGAS","PREVIOPAGO"))</f>
        <v>PREVIOPAGO</v>
      </c>
      <c r="BI9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7.4879999999999995</v>
      </c>
      <c r="BJ9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67" s="21">
        <f>Pospago[[#This Row],[TARIFA_BASICA]]*1.5</f>
        <v>17.13</v>
      </c>
    </row>
    <row r="968" spans="1:63" x14ac:dyDescent="0.25">
      <c r="A968" s="18" t="s">
        <v>154</v>
      </c>
      <c r="B968" s="18" t="s">
        <v>6050</v>
      </c>
      <c r="C968" s="18" t="s">
        <v>6051</v>
      </c>
      <c r="D968" s="19">
        <v>44901</v>
      </c>
      <c r="E968" s="18" t="s">
        <v>67</v>
      </c>
      <c r="F968" s="18" t="s">
        <v>6052</v>
      </c>
      <c r="G968" s="18" t="s">
        <v>6053</v>
      </c>
      <c r="H968" s="18" t="s">
        <v>159</v>
      </c>
      <c r="I968" s="18" t="s">
        <v>160</v>
      </c>
      <c r="J968" s="18" t="s">
        <v>161</v>
      </c>
      <c r="K968" s="18" t="s">
        <v>95</v>
      </c>
      <c r="L968" s="20" t="s">
        <v>6054</v>
      </c>
      <c r="M968" s="18" t="s">
        <v>75</v>
      </c>
      <c r="N968" s="20" t="s">
        <v>6055</v>
      </c>
      <c r="O968" s="18" t="s">
        <v>164</v>
      </c>
      <c r="P968" s="18" t="s">
        <v>78</v>
      </c>
      <c r="Q968" s="19">
        <v>44914</v>
      </c>
      <c r="R968" s="21">
        <v>14.28</v>
      </c>
      <c r="S968" s="18" t="s">
        <v>79</v>
      </c>
      <c r="T968" s="18" t="s">
        <v>80</v>
      </c>
      <c r="U968" s="18" t="s">
        <v>83</v>
      </c>
      <c r="V968" s="18" t="s">
        <v>95</v>
      </c>
      <c r="W968" s="18" t="s">
        <v>95</v>
      </c>
      <c r="X968" s="18" t="s">
        <v>84</v>
      </c>
      <c r="Y968" s="18" t="s">
        <v>85</v>
      </c>
      <c r="Z968" s="18" t="s">
        <v>86</v>
      </c>
      <c r="AA968" s="18" t="s">
        <v>87</v>
      </c>
      <c r="AB968" s="18" t="s">
        <v>880</v>
      </c>
      <c r="AC968" s="18" t="s">
        <v>881</v>
      </c>
      <c r="AD968" s="18" t="s">
        <v>85</v>
      </c>
      <c r="AE968" s="18" t="s">
        <v>90</v>
      </c>
      <c r="AF968" s="18" t="s">
        <v>91</v>
      </c>
      <c r="AG968" s="18" t="s">
        <v>92</v>
      </c>
      <c r="AH968" s="18" t="s">
        <v>165</v>
      </c>
      <c r="AI968" s="18" t="s">
        <v>94</v>
      </c>
      <c r="AJ968" s="19">
        <v>44901</v>
      </c>
      <c r="AK968" s="22" t="s">
        <v>95</v>
      </c>
      <c r="AL968" s="18" t="s">
        <v>95</v>
      </c>
      <c r="AM968" s="18" t="s">
        <v>95</v>
      </c>
      <c r="AN968" s="18" t="s">
        <v>95</v>
      </c>
      <c r="AO968" s="18" t="s">
        <v>95</v>
      </c>
      <c r="AP968" s="18" t="s">
        <v>95</v>
      </c>
      <c r="AQ968" s="18" t="s">
        <v>95</v>
      </c>
      <c r="AR968" s="18" t="s">
        <v>95</v>
      </c>
      <c r="AS968" s="18" t="s">
        <v>83</v>
      </c>
      <c r="AT968" s="18" t="s">
        <v>83</v>
      </c>
      <c r="AU968" s="18" t="s">
        <v>81</v>
      </c>
      <c r="AV968" s="18" t="s">
        <v>95</v>
      </c>
      <c r="AW968" s="18"/>
      <c r="AX968" s="18"/>
      <c r="AY968" s="18" t="str">
        <f>Pospago[[#This Row],[NUM_TELEFONICO]]&amp;"POSPAGOSI"</f>
        <v>998448129POSPAGOSI</v>
      </c>
      <c r="AZ968" s="18" t="str">
        <f>VLOOKUP(Pospago[[#This Row],[NOM_PLAZA_FINAL]],[1]!Locales[#Data],3,0)</f>
        <v>TIENDA CUENCA CENTRO</v>
      </c>
      <c r="BA968" s="18" t="str">
        <f>IFERROR(VLOOKUP(Pospago[[#This Row],[USUARIO]],[1]!Personal[#Data],6,0),"EJECUTIVO NO REGISTRADO")</f>
        <v>LUNA JACHO ANDREA GABRIELA</v>
      </c>
      <c r="BB968" s="18" t="str">
        <f>Pospago[[#This Row],[TIPO_MOVIMIENTO]]&amp;" "&amp;Pospago[[#This Row],[FORMA_PAGO_FINAL]]</f>
        <v>TRANSFERENCIAS DOMICILIADO</v>
      </c>
      <c r="BC968" s="18">
        <f>DAY(Pospago[[#This Row],[FECHA_ALTA]])</f>
        <v>6</v>
      </c>
      <c r="BD968" s="18">
        <f>IF(Pospago[[#This Row],[TARIFA_BASICA]]=11.42,1,0)</f>
        <v>0</v>
      </c>
      <c r="BE968" s="18">
        <f>IF(Pospago[[#This Row],[PLANES TELEVENTAS]]="SI",1,0)</f>
        <v>0</v>
      </c>
      <c r="BF968" s="18">
        <f>1</f>
        <v>1</v>
      </c>
      <c r="BG968" s="18">
        <f>IF(OR(Pospago[[#This Row],[TARIFA_BASICA]]=11.42,Pospago[[#This Row],[PLANES TELEVENTAS]]="SI"),1,0)</f>
        <v>0</v>
      </c>
      <c r="BH968" s="18" t="str">
        <f>IF(MID(Pospago[[#This Row],[PlanDesc]],1,4) = "PLAN","POSPAGO",IF(MID(Pospago[[#This Row],[PlanDesc]],1,4)="FULL","FULL MEGAS","PREVIOPAGO"))</f>
        <v>PREVIOPAGO</v>
      </c>
      <c r="BI9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68" s="21">
        <f>Pospago[[#This Row],[TARIFA_BASICA]]*1.5</f>
        <v>21.419999999999998</v>
      </c>
    </row>
    <row r="969" spans="1:63" x14ac:dyDescent="0.25">
      <c r="A969" s="18" t="s">
        <v>64</v>
      </c>
      <c r="B969" s="18" t="s">
        <v>6056</v>
      </c>
      <c r="C969" s="18" t="s">
        <v>6057</v>
      </c>
      <c r="D969" s="19">
        <v>44896</v>
      </c>
      <c r="E969" s="18" t="s">
        <v>67</v>
      </c>
      <c r="F969" s="18" t="s">
        <v>6058</v>
      </c>
      <c r="G969" s="18" t="s">
        <v>6059</v>
      </c>
      <c r="H969" s="18" t="s">
        <v>70</v>
      </c>
      <c r="I969" s="18" t="s">
        <v>130</v>
      </c>
      <c r="J969" s="18" t="s">
        <v>131</v>
      </c>
      <c r="K969" s="18" t="s">
        <v>132</v>
      </c>
      <c r="L969" s="20" t="s">
        <v>6060</v>
      </c>
      <c r="M969" s="18" t="s">
        <v>75</v>
      </c>
      <c r="N969" s="20" t="s">
        <v>6061</v>
      </c>
      <c r="O969" s="18" t="s">
        <v>77</v>
      </c>
      <c r="P969" s="18" t="s">
        <v>78</v>
      </c>
      <c r="Q969" s="19">
        <v>44914</v>
      </c>
      <c r="R969" s="21">
        <v>15</v>
      </c>
      <c r="S969" s="18" t="s">
        <v>79</v>
      </c>
      <c r="T969" s="18" t="s">
        <v>174</v>
      </c>
      <c r="U969" s="18" t="s">
        <v>83</v>
      </c>
      <c r="V969" s="18" t="s">
        <v>95</v>
      </c>
      <c r="W969" s="18" t="s">
        <v>83</v>
      </c>
      <c r="X969" s="18" t="s">
        <v>84</v>
      </c>
      <c r="Y969" s="18" t="s">
        <v>85</v>
      </c>
      <c r="Z969" s="18" t="s">
        <v>86</v>
      </c>
      <c r="AA969" s="18" t="s">
        <v>87</v>
      </c>
      <c r="AB969" s="18" t="s">
        <v>926</v>
      </c>
      <c r="AC969" s="18" t="s">
        <v>927</v>
      </c>
      <c r="AD969" s="18" t="s">
        <v>85</v>
      </c>
      <c r="AE969" s="18" t="s">
        <v>90</v>
      </c>
      <c r="AF969" s="18" t="s">
        <v>177</v>
      </c>
      <c r="AG969" s="18" t="s">
        <v>139</v>
      </c>
      <c r="AH969" s="18" t="s">
        <v>93</v>
      </c>
      <c r="AI969" s="18" t="s">
        <v>94</v>
      </c>
      <c r="AJ969" s="19">
        <v>44896</v>
      </c>
      <c r="AK969" s="22" t="s">
        <v>95</v>
      </c>
      <c r="AL969" s="18" t="s">
        <v>95</v>
      </c>
      <c r="AM969" s="18" t="s">
        <v>95</v>
      </c>
      <c r="AN969" s="18" t="s">
        <v>95</v>
      </c>
      <c r="AO969" s="18" t="s">
        <v>95</v>
      </c>
      <c r="AP969" s="18" t="s">
        <v>95</v>
      </c>
      <c r="AQ969" s="18" t="s">
        <v>95</v>
      </c>
      <c r="AR969" s="18" t="s">
        <v>95</v>
      </c>
      <c r="AS969" s="18" t="s">
        <v>83</v>
      </c>
      <c r="AT969" s="18" t="s">
        <v>83</v>
      </c>
      <c r="AU969" s="18" t="s">
        <v>81</v>
      </c>
      <c r="AV969" s="18" t="s">
        <v>95</v>
      </c>
      <c r="AW969" s="18"/>
      <c r="AX969" s="18"/>
      <c r="AY969" s="18" t="str">
        <f>Pospago[[#This Row],[NUM_TELEFONICO]]&amp;"POSPAGOSI"</f>
        <v>998456827POSPAGOSI</v>
      </c>
      <c r="AZ969" s="18" t="str">
        <f>VLOOKUP(Pospago[[#This Row],[NOM_PLAZA_FINAL]],[1]!Locales[#Data],3,0)</f>
        <v>TIENDA RECREO</v>
      </c>
      <c r="BA969" s="18" t="str">
        <f>IFERROR(VLOOKUP(Pospago[[#This Row],[USUARIO]],[1]!Personal[#Data],6,0),"EJECUTIVO NO REGISTRADO")</f>
        <v>CABEZAS LOPEZ ROBERTO ALEJANDRO</v>
      </c>
      <c r="BB969" s="18" t="str">
        <f>Pospago[[#This Row],[TIPO_MOVIMIENTO]]&amp;" "&amp;Pospago[[#This Row],[FORMA_PAGO_FINAL]]</f>
        <v>ALTAS DOMICILIADO</v>
      </c>
      <c r="BC969" s="18">
        <f>DAY(Pospago[[#This Row],[FECHA_ALTA]])</f>
        <v>1</v>
      </c>
      <c r="BD969" s="18">
        <f>IF(Pospago[[#This Row],[TARIFA_BASICA]]=11.42,1,0)</f>
        <v>0</v>
      </c>
      <c r="BE969" s="18">
        <f>IF(Pospago[[#This Row],[PLANES TELEVENTAS]]="SI",1,0)</f>
        <v>0</v>
      </c>
      <c r="BF969" s="18">
        <f>1</f>
        <v>1</v>
      </c>
      <c r="BG969" s="18">
        <f>IF(OR(Pospago[[#This Row],[TARIFA_BASICA]]=11.42,Pospago[[#This Row],[PLANES TELEVENTAS]]="SI"),1,0)</f>
        <v>0</v>
      </c>
      <c r="BH969" s="18" t="str">
        <f>IF(MID(Pospago[[#This Row],[PlanDesc]],1,4) = "PLAN","POSPAGO",IF(MID(Pospago[[#This Row],[PlanDesc]],1,4)="FULL","FULL MEGAS","PREVIOPAGO"))</f>
        <v>PREVIOPAGO</v>
      </c>
      <c r="BI9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9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69" s="21">
        <f>Pospago[[#This Row],[TARIFA_BASICA]]*1.5</f>
        <v>22.5</v>
      </c>
    </row>
    <row r="970" spans="1:63" x14ac:dyDescent="0.25">
      <c r="A970" s="18" t="s">
        <v>154</v>
      </c>
      <c r="B970" s="18" t="s">
        <v>6062</v>
      </c>
      <c r="C970" s="18" t="s">
        <v>6063</v>
      </c>
      <c r="D970" s="19">
        <v>44908</v>
      </c>
      <c r="E970" s="18" t="s">
        <v>67</v>
      </c>
      <c r="F970" s="18" t="s">
        <v>6064</v>
      </c>
      <c r="G970" s="18" t="s">
        <v>6065</v>
      </c>
      <c r="H970" s="18" t="s">
        <v>159</v>
      </c>
      <c r="I970" s="18" t="s">
        <v>1357</v>
      </c>
      <c r="J970" s="18" t="s">
        <v>2022</v>
      </c>
      <c r="K970" s="18" t="s">
        <v>132</v>
      </c>
      <c r="L970" s="20" t="s">
        <v>6066</v>
      </c>
      <c r="M970" s="18" t="s">
        <v>75</v>
      </c>
      <c r="N970" s="20" t="s">
        <v>6067</v>
      </c>
      <c r="O970" s="18" t="s">
        <v>164</v>
      </c>
      <c r="P970" s="18" t="s">
        <v>78</v>
      </c>
      <c r="Q970" s="19">
        <v>44914</v>
      </c>
      <c r="R970" s="21">
        <v>11.42</v>
      </c>
      <c r="S970" s="18" t="s">
        <v>79</v>
      </c>
      <c r="T970" s="18" t="s">
        <v>174</v>
      </c>
      <c r="U970" s="18" t="s">
        <v>83</v>
      </c>
      <c r="V970" s="18" t="s">
        <v>95</v>
      </c>
      <c r="W970" s="18" t="s">
        <v>95</v>
      </c>
      <c r="X970" s="18" t="s">
        <v>118</v>
      </c>
      <c r="Y970" s="18" t="s">
        <v>85</v>
      </c>
      <c r="Z970" s="18" t="s">
        <v>86</v>
      </c>
      <c r="AA970" s="18" t="s">
        <v>119</v>
      </c>
      <c r="AB970" s="18" t="s">
        <v>187</v>
      </c>
      <c r="AC970" s="18" t="s">
        <v>188</v>
      </c>
      <c r="AD970" s="18" t="s">
        <v>85</v>
      </c>
      <c r="AE970" s="18" t="s">
        <v>90</v>
      </c>
      <c r="AF970" s="18" t="s">
        <v>177</v>
      </c>
      <c r="AG970" s="18" t="s">
        <v>139</v>
      </c>
      <c r="AH970" s="18" t="s">
        <v>165</v>
      </c>
      <c r="AI970" s="18" t="s">
        <v>94</v>
      </c>
      <c r="AJ970" s="19">
        <v>44908</v>
      </c>
      <c r="AK970" s="22" t="s">
        <v>95</v>
      </c>
      <c r="AL970" s="18" t="s">
        <v>95</v>
      </c>
      <c r="AM970" s="18" t="s">
        <v>95</v>
      </c>
      <c r="AN970" s="18" t="s">
        <v>95</v>
      </c>
      <c r="AO970" s="18" t="s">
        <v>95</v>
      </c>
      <c r="AP970" s="18" t="s">
        <v>95</v>
      </c>
      <c r="AQ970" s="18" t="s">
        <v>95</v>
      </c>
      <c r="AR970" s="18" t="s">
        <v>95</v>
      </c>
      <c r="AS970" s="18" t="s">
        <v>83</v>
      </c>
      <c r="AT970" s="18" t="s">
        <v>81</v>
      </c>
      <c r="AU970" s="18" t="s">
        <v>81</v>
      </c>
      <c r="AV970" s="18" t="s">
        <v>95</v>
      </c>
      <c r="AW970" s="18"/>
      <c r="AX970" s="18"/>
      <c r="AY970" s="18" t="str">
        <f>Pospago[[#This Row],[NUM_TELEFONICO]]&amp;"POSPAGOSI"</f>
        <v>998460155POSPAGOSI</v>
      </c>
      <c r="AZ970" s="18" t="str">
        <f>VLOOKUP(Pospago[[#This Row],[NOM_PLAZA_FINAL]],[1]!Locales[#Data],3,0)</f>
        <v>TIENDA RECREO</v>
      </c>
      <c r="BA970" s="18" t="str">
        <f>IFERROR(VLOOKUP(Pospago[[#This Row],[USUARIO]],[1]!Personal[#Data],6,0),"EJECUTIVO NO REGISTRADO")</f>
        <v>ESPINOZA MARTINES LAURA XIOMARA</v>
      </c>
      <c r="BB970" s="18" t="str">
        <f>Pospago[[#This Row],[TIPO_MOVIMIENTO]]&amp;" "&amp;Pospago[[#This Row],[FORMA_PAGO_FINAL]]</f>
        <v>TRANSFERENCIAS PAGO EN CAJA</v>
      </c>
      <c r="BC970" s="18">
        <f>DAY(Pospago[[#This Row],[FECHA_ALTA]])</f>
        <v>13</v>
      </c>
      <c r="BD970" s="18">
        <f>IF(Pospago[[#This Row],[TARIFA_BASICA]]=11.42,1,0)</f>
        <v>1</v>
      </c>
      <c r="BE970" s="18">
        <f>IF(Pospago[[#This Row],[PLANES TELEVENTAS]]="SI",1,0)</f>
        <v>1</v>
      </c>
      <c r="BF970" s="18">
        <f>1</f>
        <v>1</v>
      </c>
      <c r="BG970" s="18">
        <f>IF(OR(Pospago[[#This Row],[TARIFA_BASICA]]=11.42,Pospago[[#This Row],[PLANES TELEVENTAS]]="SI"),1,0)</f>
        <v>1</v>
      </c>
      <c r="BH970" s="18" t="str">
        <f>IF(MID(Pospago[[#This Row],[PlanDesc]],1,4) = "PLAN","POSPAGO",IF(MID(Pospago[[#This Row],[PlanDesc]],1,4)="FULL","FULL MEGAS","PREVIOPAGO"))</f>
        <v>PREVIOPAGO</v>
      </c>
      <c r="BI9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9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70" s="21">
        <f>Pospago[[#This Row],[TARIFA_BASICA]]*1.5</f>
        <v>17.13</v>
      </c>
    </row>
    <row r="971" spans="1:63" x14ac:dyDescent="0.25">
      <c r="A971" s="18" t="s">
        <v>154</v>
      </c>
      <c r="B971" s="18" t="s">
        <v>6068</v>
      </c>
      <c r="C971" s="18" t="s">
        <v>6069</v>
      </c>
      <c r="D971" s="19">
        <v>44909</v>
      </c>
      <c r="E971" s="18" t="s">
        <v>67</v>
      </c>
      <c r="F971" s="18" t="s">
        <v>6070</v>
      </c>
      <c r="G971" s="18" t="s">
        <v>6071</v>
      </c>
      <c r="H971" s="18" t="s">
        <v>159</v>
      </c>
      <c r="I971" s="18" t="s">
        <v>130</v>
      </c>
      <c r="J971" s="18" t="s">
        <v>433</v>
      </c>
      <c r="K971" s="18" t="s">
        <v>73</v>
      </c>
      <c r="L971" s="20" t="s">
        <v>6072</v>
      </c>
      <c r="M971" s="18" t="s">
        <v>75</v>
      </c>
      <c r="N971" s="20" t="s">
        <v>6073</v>
      </c>
      <c r="O971" s="18" t="s">
        <v>164</v>
      </c>
      <c r="P971" s="18" t="s">
        <v>78</v>
      </c>
      <c r="Q971" s="19">
        <v>44914</v>
      </c>
      <c r="R971" s="21">
        <v>15</v>
      </c>
      <c r="S971" s="18" t="s">
        <v>79</v>
      </c>
      <c r="T971" s="18" t="s">
        <v>80</v>
      </c>
      <c r="U971" s="18" t="s">
        <v>83</v>
      </c>
      <c r="V971" s="18" t="s">
        <v>95</v>
      </c>
      <c r="W971" s="18" t="s">
        <v>95</v>
      </c>
      <c r="X971" s="18" t="s">
        <v>118</v>
      </c>
      <c r="Y971" s="18" t="s">
        <v>85</v>
      </c>
      <c r="Z971" s="18" t="s">
        <v>86</v>
      </c>
      <c r="AA971" s="18" t="s">
        <v>119</v>
      </c>
      <c r="AB971" s="18" t="s">
        <v>242</v>
      </c>
      <c r="AC971" s="18" t="s">
        <v>243</v>
      </c>
      <c r="AD971" s="18" t="s">
        <v>85</v>
      </c>
      <c r="AE971" s="18" t="s">
        <v>90</v>
      </c>
      <c r="AF971" s="18" t="s">
        <v>91</v>
      </c>
      <c r="AG971" s="18" t="s">
        <v>92</v>
      </c>
      <c r="AH971" s="18" t="s">
        <v>165</v>
      </c>
      <c r="AI971" s="18" t="s">
        <v>94</v>
      </c>
      <c r="AJ971" s="19">
        <v>44909</v>
      </c>
      <c r="AK971" s="22" t="s">
        <v>95</v>
      </c>
      <c r="AL971" s="18" t="s">
        <v>95</v>
      </c>
      <c r="AM971" s="18" t="s">
        <v>95</v>
      </c>
      <c r="AN971" s="18" t="s">
        <v>95</v>
      </c>
      <c r="AO971" s="18" t="s">
        <v>95</v>
      </c>
      <c r="AP971" s="18" t="s">
        <v>95</v>
      </c>
      <c r="AQ971" s="18" t="s">
        <v>95</v>
      </c>
      <c r="AR971" s="18" t="s">
        <v>95</v>
      </c>
      <c r="AS971" s="18" t="s">
        <v>83</v>
      </c>
      <c r="AT971" s="18" t="s">
        <v>83</v>
      </c>
      <c r="AU971" s="18" t="s">
        <v>81</v>
      </c>
      <c r="AV971" s="18" t="s">
        <v>95</v>
      </c>
      <c r="AW971" s="18"/>
      <c r="AX971" s="18"/>
      <c r="AY971" s="18" t="str">
        <f>Pospago[[#This Row],[NUM_TELEFONICO]]&amp;"POSPAGOSI"</f>
        <v>998463655POSPAGOSI</v>
      </c>
      <c r="AZ971" s="18" t="str">
        <f>VLOOKUP(Pospago[[#This Row],[NOM_PLAZA_FINAL]],[1]!Locales[#Data],3,0)</f>
        <v>TIENDA CUENCA CENTRO</v>
      </c>
      <c r="BA971" s="18" t="str">
        <f>IFERROR(VLOOKUP(Pospago[[#This Row],[USUARIO]],[1]!Personal[#Data],6,0),"EJECUTIVO NO REGISTRADO")</f>
        <v>VALLEJO DELEG ROMAN NICOLAS</v>
      </c>
      <c r="BB971" s="18" t="str">
        <f>Pospago[[#This Row],[TIPO_MOVIMIENTO]]&amp;" "&amp;Pospago[[#This Row],[FORMA_PAGO_FINAL]]</f>
        <v>TRANSFERENCIAS PAGO EN CAJA</v>
      </c>
      <c r="BC971" s="18">
        <f>DAY(Pospago[[#This Row],[FECHA_ALTA]])</f>
        <v>14</v>
      </c>
      <c r="BD971" s="18">
        <f>IF(Pospago[[#This Row],[TARIFA_BASICA]]=11.42,1,0)</f>
        <v>0</v>
      </c>
      <c r="BE971" s="18">
        <f>IF(Pospago[[#This Row],[PLANES TELEVENTAS]]="SI",1,0)</f>
        <v>0</v>
      </c>
      <c r="BF971" s="18">
        <f>1</f>
        <v>1</v>
      </c>
      <c r="BG971" s="18">
        <f>IF(OR(Pospago[[#This Row],[TARIFA_BASICA]]=11.42,Pospago[[#This Row],[PLANES TELEVENTAS]]="SI"),1,0)</f>
        <v>0</v>
      </c>
      <c r="BH971" s="18" t="str">
        <f>IF(MID(Pospago[[#This Row],[PlanDesc]],1,4) = "PLAN","POSPAGO",IF(MID(Pospago[[#This Row],[PlanDesc]],1,4)="FULL","FULL MEGAS","PREVIOPAGO"))</f>
        <v>PREVIOPAGO</v>
      </c>
      <c r="BI9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9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71" s="21">
        <f>Pospago[[#This Row],[TARIFA_BASICA]]*1.5</f>
        <v>22.5</v>
      </c>
    </row>
    <row r="972" spans="1:63" x14ac:dyDescent="0.25">
      <c r="A972" s="18" t="s">
        <v>154</v>
      </c>
      <c r="B972" s="18" t="s">
        <v>6074</v>
      </c>
      <c r="C972" s="18" t="s">
        <v>6075</v>
      </c>
      <c r="D972" s="19">
        <v>44896</v>
      </c>
      <c r="E972" s="18" t="s">
        <v>67</v>
      </c>
      <c r="F972" s="18" t="s">
        <v>6076</v>
      </c>
      <c r="G972" s="18" t="s">
        <v>6077</v>
      </c>
      <c r="H972" s="18" t="s">
        <v>159</v>
      </c>
      <c r="I972" s="18" t="s">
        <v>160</v>
      </c>
      <c r="J972" s="18" t="s">
        <v>161</v>
      </c>
      <c r="K972" s="18" t="s">
        <v>132</v>
      </c>
      <c r="L972" s="20" t="s">
        <v>6078</v>
      </c>
      <c r="M972" s="18" t="s">
        <v>75</v>
      </c>
      <c r="N972" s="20" t="s">
        <v>6079</v>
      </c>
      <c r="O972" s="18" t="s">
        <v>164</v>
      </c>
      <c r="P972" s="18" t="s">
        <v>78</v>
      </c>
      <c r="Q972" s="19">
        <v>44914</v>
      </c>
      <c r="R972" s="21">
        <v>14.28</v>
      </c>
      <c r="S972" s="18" t="s">
        <v>79</v>
      </c>
      <c r="T972" s="18" t="s">
        <v>135</v>
      </c>
      <c r="U972" s="18" t="s">
        <v>83</v>
      </c>
      <c r="V972" s="18" t="s">
        <v>95</v>
      </c>
      <c r="W972" s="18" t="s">
        <v>95</v>
      </c>
      <c r="X972" s="18" t="s">
        <v>84</v>
      </c>
      <c r="Y972" s="18" t="s">
        <v>85</v>
      </c>
      <c r="Z972" s="18" t="s">
        <v>86</v>
      </c>
      <c r="AA972" s="18" t="s">
        <v>87</v>
      </c>
      <c r="AB972" s="18" t="s">
        <v>665</v>
      </c>
      <c r="AC972" s="18" t="s">
        <v>666</v>
      </c>
      <c r="AD972" s="18" t="s">
        <v>85</v>
      </c>
      <c r="AE972" s="18" t="s">
        <v>90</v>
      </c>
      <c r="AF972" s="18" t="s">
        <v>138</v>
      </c>
      <c r="AG972" s="18" t="s">
        <v>139</v>
      </c>
      <c r="AH972" s="18" t="s">
        <v>165</v>
      </c>
      <c r="AI972" s="18" t="s">
        <v>94</v>
      </c>
      <c r="AJ972" s="19">
        <v>44896</v>
      </c>
      <c r="AK972" s="22" t="s">
        <v>95</v>
      </c>
      <c r="AL972" s="18" t="s">
        <v>95</v>
      </c>
      <c r="AM972" s="18" t="s">
        <v>95</v>
      </c>
      <c r="AN972" s="18" t="s">
        <v>95</v>
      </c>
      <c r="AO972" s="18" t="s">
        <v>95</v>
      </c>
      <c r="AP972" s="18" t="s">
        <v>95</v>
      </c>
      <c r="AQ972" s="18" t="s">
        <v>95</v>
      </c>
      <c r="AR972" s="18" t="s">
        <v>95</v>
      </c>
      <c r="AS972" s="18" t="s">
        <v>83</v>
      </c>
      <c r="AT972" s="18" t="s">
        <v>83</v>
      </c>
      <c r="AU972" s="18" t="s">
        <v>81</v>
      </c>
      <c r="AV972" s="18" t="s">
        <v>95</v>
      </c>
      <c r="AW972" s="18"/>
      <c r="AX972" s="18"/>
      <c r="AY972" s="18" t="str">
        <f>Pospago[[#This Row],[NUM_TELEFONICO]]&amp;"POSPAGOSI"</f>
        <v>998464754POSPAGOSI</v>
      </c>
      <c r="AZ972" s="18" t="str">
        <f>VLOOKUP(Pospago[[#This Row],[NOM_PLAZA_FINAL]],[1]!Locales[#Data],3,0)</f>
        <v>TIENDA AMERICA</v>
      </c>
      <c r="BA972" s="18" t="str">
        <f>IFERROR(VLOOKUP(Pospago[[#This Row],[USUARIO]],[1]!Personal[#Data],6,0),"EJECUTIVO NO REGISTRADO")</f>
        <v>ROSERO CAICEDO JAIRO STEFANO</v>
      </c>
      <c r="BB972" s="18" t="str">
        <f>Pospago[[#This Row],[TIPO_MOVIMIENTO]]&amp;" "&amp;Pospago[[#This Row],[FORMA_PAGO_FINAL]]</f>
        <v>TRANSFERENCIAS DOMICILIADO</v>
      </c>
      <c r="BC972" s="18">
        <f>DAY(Pospago[[#This Row],[FECHA_ALTA]])</f>
        <v>1</v>
      </c>
      <c r="BD972" s="18">
        <f>IF(Pospago[[#This Row],[TARIFA_BASICA]]=11.42,1,0)</f>
        <v>0</v>
      </c>
      <c r="BE972" s="18">
        <f>IF(Pospago[[#This Row],[PLANES TELEVENTAS]]="SI",1,0)</f>
        <v>0</v>
      </c>
      <c r="BF972" s="18">
        <f>1</f>
        <v>1</v>
      </c>
      <c r="BG972" s="18">
        <f>IF(OR(Pospago[[#This Row],[TARIFA_BASICA]]=11.42,Pospago[[#This Row],[PLANES TELEVENTAS]]="SI"),1,0)</f>
        <v>0</v>
      </c>
      <c r="BH972" s="18" t="str">
        <f>IF(MID(Pospago[[#This Row],[PlanDesc]],1,4) = "PLAN","POSPAGO",IF(MID(Pospago[[#This Row],[PlanDesc]],1,4)="FULL","FULL MEGAS","PREVIOPAGO"))</f>
        <v>PREVIOPAGO</v>
      </c>
      <c r="BI9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72" s="21">
        <f>Pospago[[#This Row],[TARIFA_BASICA]]*1.5</f>
        <v>21.419999999999998</v>
      </c>
    </row>
    <row r="973" spans="1:63" x14ac:dyDescent="0.25">
      <c r="A973" s="18" t="s">
        <v>64</v>
      </c>
      <c r="B973" s="18" t="s">
        <v>6080</v>
      </c>
      <c r="C973" s="18" t="s">
        <v>6081</v>
      </c>
      <c r="D973" s="19">
        <v>44913</v>
      </c>
      <c r="E973" s="18" t="s">
        <v>67</v>
      </c>
      <c r="F973" s="18" t="s">
        <v>2723</v>
      </c>
      <c r="G973" s="18" t="s">
        <v>2724</v>
      </c>
      <c r="H973" s="18" t="s">
        <v>70</v>
      </c>
      <c r="I973" s="18" t="s">
        <v>194</v>
      </c>
      <c r="J973" s="18" t="s">
        <v>195</v>
      </c>
      <c r="K973" s="18" t="s">
        <v>73</v>
      </c>
      <c r="L973" s="20" t="s">
        <v>6082</v>
      </c>
      <c r="M973" s="18" t="s">
        <v>75</v>
      </c>
      <c r="N973" s="20" t="s">
        <v>6083</v>
      </c>
      <c r="O973" s="18" t="s">
        <v>77</v>
      </c>
      <c r="P973" s="18" t="s">
        <v>78</v>
      </c>
      <c r="Q973" s="19">
        <v>44914</v>
      </c>
      <c r="R973" s="21">
        <v>14.28</v>
      </c>
      <c r="S973" s="18" t="s">
        <v>79</v>
      </c>
      <c r="T973" s="18" t="s">
        <v>174</v>
      </c>
      <c r="U973" s="18" t="s">
        <v>83</v>
      </c>
      <c r="V973" s="18" t="s">
        <v>95</v>
      </c>
      <c r="W973" s="18" t="s">
        <v>83</v>
      </c>
      <c r="X973" s="18" t="s">
        <v>84</v>
      </c>
      <c r="Y973" s="18" t="s">
        <v>85</v>
      </c>
      <c r="Z973" s="18" t="s">
        <v>86</v>
      </c>
      <c r="AA973" s="18" t="s">
        <v>87</v>
      </c>
      <c r="AB973" s="18" t="s">
        <v>630</v>
      </c>
      <c r="AC973" s="18" t="s">
        <v>631</v>
      </c>
      <c r="AD973" s="18" t="s">
        <v>85</v>
      </c>
      <c r="AE973" s="18" t="s">
        <v>90</v>
      </c>
      <c r="AF973" s="18" t="s">
        <v>177</v>
      </c>
      <c r="AG973" s="18" t="s">
        <v>139</v>
      </c>
      <c r="AH973" s="18" t="s">
        <v>93</v>
      </c>
      <c r="AI973" s="18" t="s">
        <v>94</v>
      </c>
      <c r="AJ973" s="19">
        <v>44913</v>
      </c>
      <c r="AK973" s="22" t="s">
        <v>95</v>
      </c>
      <c r="AL973" s="18" t="s">
        <v>95</v>
      </c>
      <c r="AM973" s="18" t="s">
        <v>95</v>
      </c>
      <c r="AN973" s="18" t="s">
        <v>95</v>
      </c>
      <c r="AO973" s="18" t="s">
        <v>95</v>
      </c>
      <c r="AP973" s="18" t="s">
        <v>95</v>
      </c>
      <c r="AQ973" s="18" t="s">
        <v>95</v>
      </c>
      <c r="AR973" s="18" t="s">
        <v>95</v>
      </c>
      <c r="AS973" s="18" t="s">
        <v>83</v>
      </c>
      <c r="AT973" s="18" t="s">
        <v>81</v>
      </c>
      <c r="AU973" s="18" t="s">
        <v>81</v>
      </c>
      <c r="AV973" s="18" t="s">
        <v>95</v>
      </c>
      <c r="AW973" s="18"/>
      <c r="AX973" s="18"/>
      <c r="AY973" s="18" t="str">
        <f>Pospago[[#This Row],[NUM_TELEFONICO]]&amp;"POSPAGOSI"</f>
        <v>998471860POSPAGOSI</v>
      </c>
      <c r="AZ973" s="18" t="str">
        <f>VLOOKUP(Pospago[[#This Row],[NOM_PLAZA_FINAL]],[1]!Locales[#Data],3,0)</f>
        <v>TIENDA RECREO</v>
      </c>
      <c r="BA973" s="18" t="str">
        <f>IFERROR(VLOOKUP(Pospago[[#This Row],[USUARIO]],[1]!Personal[#Data],6,0),"EJECUTIVO NO REGISTRADO")</f>
        <v>LOAYZA AGUILAR JONATHAN FABIAN</v>
      </c>
      <c r="BB973" s="18" t="str">
        <f>Pospago[[#This Row],[TIPO_MOVIMIENTO]]&amp;" "&amp;Pospago[[#This Row],[FORMA_PAGO_FINAL]]</f>
        <v>ALTAS DOMICILIADO</v>
      </c>
      <c r="BC973" s="18">
        <f>DAY(Pospago[[#This Row],[FECHA_ALTA]])</f>
        <v>18</v>
      </c>
      <c r="BD973" s="18">
        <f>IF(Pospago[[#This Row],[TARIFA_BASICA]]=11.42,1,0)</f>
        <v>0</v>
      </c>
      <c r="BE973" s="18">
        <f>IF(Pospago[[#This Row],[PLANES TELEVENTAS]]="SI",1,0)</f>
        <v>1</v>
      </c>
      <c r="BF973" s="18">
        <f>1</f>
        <v>1</v>
      </c>
      <c r="BG973" s="18">
        <f>IF(OR(Pospago[[#This Row],[TARIFA_BASICA]]=11.42,Pospago[[#This Row],[PLANES TELEVENTAS]]="SI"),1,0)</f>
        <v>1</v>
      </c>
      <c r="BH973" s="18" t="str">
        <f>IF(MID(Pospago[[#This Row],[PlanDesc]],1,4) = "PLAN","POSPAGO",IF(MID(Pospago[[#This Row],[PlanDesc]],1,4)="FULL","FULL MEGAS","PREVIOPAGO"))</f>
        <v>PREVIOPAGO</v>
      </c>
      <c r="BI9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73" s="21">
        <f>Pospago[[#This Row],[TARIFA_BASICA]]*1.5</f>
        <v>21.419999999999998</v>
      </c>
    </row>
    <row r="974" spans="1:63" x14ac:dyDescent="0.25">
      <c r="A974" s="18" t="s">
        <v>154</v>
      </c>
      <c r="B974" s="18" t="s">
        <v>6084</v>
      </c>
      <c r="C974" s="18" t="s">
        <v>6085</v>
      </c>
      <c r="D974" s="19">
        <v>44901</v>
      </c>
      <c r="E974" s="18" t="s">
        <v>246</v>
      </c>
      <c r="F974" s="18" t="s">
        <v>6086</v>
      </c>
      <c r="G974" s="18" t="s">
        <v>6087</v>
      </c>
      <c r="H974" s="18" t="s">
        <v>159</v>
      </c>
      <c r="I974" s="18" t="s">
        <v>160</v>
      </c>
      <c r="J974" s="18" t="s">
        <v>161</v>
      </c>
      <c r="K974" s="18" t="s">
        <v>73</v>
      </c>
      <c r="L974" s="20" t="s">
        <v>6088</v>
      </c>
      <c r="M974" s="18" t="s">
        <v>75</v>
      </c>
      <c r="N974" s="20" t="s">
        <v>6089</v>
      </c>
      <c r="O974" s="18" t="s">
        <v>164</v>
      </c>
      <c r="P974" s="18" t="s">
        <v>78</v>
      </c>
      <c r="Q974" s="19">
        <v>44914</v>
      </c>
      <c r="R974" s="21">
        <v>14.28</v>
      </c>
      <c r="S974" s="18" t="s">
        <v>79</v>
      </c>
      <c r="T974" s="18" t="s">
        <v>174</v>
      </c>
      <c r="U974" s="18" t="s">
        <v>83</v>
      </c>
      <c r="V974" s="18" t="s">
        <v>95</v>
      </c>
      <c r="W974" s="18" t="s">
        <v>95</v>
      </c>
      <c r="X974" s="18" t="s">
        <v>118</v>
      </c>
      <c r="Y974" s="18" t="s">
        <v>85</v>
      </c>
      <c r="Z974" s="18" t="s">
        <v>86</v>
      </c>
      <c r="AA974" s="18" t="s">
        <v>119</v>
      </c>
      <c r="AB974" s="18" t="s">
        <v>369</v>
      </c>
      <c r="AC974" s="18" t="s">
        <v>370</v>
      </c>
      <c r="AD974" s="18" t="s">
        <v>85</v>
      </c>
      <c r="AE974" s="18" t="s">
        <v>90</v>
      </c>
      <c r="AF974" s="18" t="s">
        <v>177</v>
      </c>
      <c r="AG974" s="18" t="s">
        <v>139</v>
      </c>
      <c r="AH974" s="18" t="s">
        <v>165</v>
      </c>
      <c r="AI974" s="18" t="s">
        <v>94</v>
      </c>
      <c r="AJ974" s="19">
        <v>44901</v>
      </c>
      <c r="AK974" s="22" t="s">
        <v>95</v>
      </c>
      <c r="AL974" s="18" t="s">
        <v>95</v>
      </c>
      <c r="AM974" s="18" t="s">
        <v>95</v>
      </c>
      <c r="AN974" s="18" t="s">
        <v>95</v>
      </c>
      <c r="AO974" s="18" t="s">
        <v>95</v>
      </c>
      <c r="AP974" s="18" t="s">
        <v>95</v>
      </c>
      <c r="AQ974" s="18" t="s">
        <v>95</v>
      </c>
      <c r="AR974" s="18" t="s">
        <v>95</v>
      </c>
      <c r="AS974" s="18" t="s">
        <v>83</v>
      </c>
      <c r="AT974" s="18" t="s">
        <v>83</v>
      </c>
      <c r="AU974" s="18" t="s">
        <v>81</v>
      </c>
      <c r="AV974" s="18" t="s">
        <v>95</v>
      </c>
      <c r="AW974" s="18"/>
      <c r="AX974" s="18"/>
      <c r="AY974" s="18" t="str">
        <f>Pospago[[#This Row],[NUM_TELEFONICO]]&amp;"POSPAGOSI"</f>
        <v>998477265POSPAGOSI</v>
      </c>
      <c r="AZ974" s="18" t="str">
        <f>VLOOKUP(Pospago[[#This Row],[NOM_PLAZA_FINAL]],[1]!Locales[#Data],3,0)</f>
        <v>TIENDA RECREO</v>
      </c>
      <c r="BA974" s="18" t="str">
        <f>IFERROR(VLOOKUP(Pospago[[#This Row],[USUARIO]],[1]!Personal[#Data],6,0),"EJECUTIVO NO REGISTRADO")</f>
        <v>GUAIGUA REINOSO GENESIS CAROLINA</v>
      </c>
      <c r="BB974" s="18" t="str">
        <f>Pospago[[#This Row],[TIPO_MOVIMIENTO]]&amp;" "&amp;Pospago[[#This Row],[FORMA_PAGO_FINAL]]</f>
        <v>TRANSFERENCIAS PAGO EN CAJA</v>
      </c>
      <c r="BC974" s="18">
        <f>DAY(Pospago[[#This Row],[FECHA_ALTA]])</f>
        <v>6</v>
      </c>
      <c r="BD974" s="18">
        <f>IF(Pospago[[#This Row],[TARIFA_BASICA]]=11.42,1,0)</f>
        <v>0</v>
      </c>
      <c r="BE974" s="18">
        <f>IF(Pospago[[#This Row],[PLANES TELEVENTAS]]="SI",1,0)</f>
        <v>0</v>
      </c>
      <c r="BF974" s="18">
        <f>1</f>
        <v>1</v>
      </c>
      <c r="BG974" s="18">
        <f>IF(OR(Pospago[[#This Row],[TARIFA_BASICA]]=11.42,Pospago[[#This Row],[PLANES TELEVENTAS]]="SI"),1,0)</f>
        <v>0</v>
      </c>
      <c r="BH974" s="18" t="str">
        <f>IF(MID(Pospago[[#This Row],[PlanDesc]],1,4) = "PLAN","POSPAGO",IF(MID(Pospago[[#This Row],[PlanDesc]],1,4)="FULL","FULL MEGAS","PREVIOPAGO"))</f>
        <v>PREVIOPAGO</v>
      </c>
      <c r="BI9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74" s="21">
        <f>Pospago[[#This Row],[TARIFA_BASICA]]*1.5</f>
        <v>21.419999999999998</v>
      </c>
    </row>
    <row r="975" spans="1:63" x14ac:dyDescent="0.25">
      <c r="A975" s="18" t="s">
        <v>154</v>
      </c>
      <c r="B975" s="18" t="s">
        <v>6090</v>
      </c>
      <c r="C975" s="18" t="s">
        <v>6091</v>
      </c>
      <c r="D975" s="19">
        <v>44910</v>
      </c>
      <c r="E975" s="18" t="s">
        <v>67</v>
      </c>
      <c r="F975" s="18" t="s">
        <v>6092</v>
      </c>
      <c r="G975" s="18" t="s">
        <v>6093</v>
      </c>
      <c r="H975" s="18" t="s">
        <v>159</v>
      </c>
      <c r="I975" s="18" t="s">
        <v>194</v>
      </c>
      <c r="J975" s="18" t="s">
        <v>268</v>
      </c>
      <c r="K975" s="18" t="s">
        <v>73</v>
      </c>
      <c r="L975" s="20" t="s">
        <v>6094</v>
      </c>
      <c r="M975" s="18" t="s">
        <v>75</v>
      </c>
      <c r="N975" s="20" t="s">
        <v>6095</v>
      </c>
      <c r="O975" s="18" t="s">
        <v>164</v>
      </c>
      <c r="P975" s="18" t="s">
        <v>78</v>
      </c>
      <c r="Q975" s="19">
        <v>44914</v>
      </c>
      <c r="R975" s="21">
        <v>14.28</v>
      </c>
      <c r="S975" s="18" t="s">
        <v>79</v>
      </c>
      <c r="T975" s="18" t="s">
        <v>174</v>
      </c>
      <c r="U975" s="18" t="s">
        <v>83</v>
      </c>
      <c r="V975" s="18" t="s">
        <v>95</v>
      </c>
      <c r="W975" s="18" t="s">
        <v>95</v>
      </c>
      <c r="X975" s="18" t="s">
        <v>118</v>
      </c>
      <c r="Y975" s="18" t="s">
        <v>85</v>
      </c>
      <c r="Z975" s="18" t="s">
        <v>86</v>
      </c>
      <c r="AA975" s="18" t="s">
        <v>119</v>
      </c>
      <c r="AB975" s="18" t="s">
        <v>740</v>
      </c>
      <c r="AC975" s="18" t="s">
        <v>741</v>
      </c>
      <c r="AD975" s="18" t="s">
        <v>85</v>
      </c>
      <c r="AE975" s="18" t="s">
        <v>90</v>
      </c>
      <c r="AF975" s="18" t="s">
        <v>177</v>
      </c>
      <c r="AG975" s="18" t="s">
        <v>139</v>
      </c>
      <c r="AH975" s="18" t="s">
        <v>165</v>
      </c>
      <c r="AI975" s="18" t="s">
        <v>94</v>
      </c>
      <c r="AJ975" s="19">
        <v>44910</v>
      </c>
      <c r="AK975" s="22" t="s">
        <v>95</v>
      </c>
      <c r="AL975" s="18" t="s">
        <v>95</v>
      </c>
      <c r="AM975" s="18" t="s">
        <v>95</v>
      </c>
      <c r="AN975" s="18" t="s">
        <v>95</v>
      </c>
      <c r="AO975" s="18" t="s">
        <v>95</v>
      </c>
      <c r="AP975" s="18" t="s">
        <v>95</v>
      </c>
      <c r="AQ975" s="18" t="s">
        <v>95</v>
      </c>
      <c r="AR975" s="18" t="s">
        <v>95</v>
      </c>
      <c r="AS975" s="18" t="s">
        <v>83</v>
      </c>
      <c r="AT975" s="18" t="s">
        <v>81</v>
      </c>
      <c r="AU975" s="18" t="s">
        <v>81</v>
      </c>
      <c r="AV975" s="18" t="s">
        <v>95</v>
      </c>
      <c r="AW975" s="18"/>
      <c r="AX975" s="18"/>
      <c r="AY975" s="18" t="str">
        <f>Pospago[[#This Row],[NUM_TELEFONICO]]&amp;"POSPAGOSI"</f>
        <v>998499414POSPAGOSI</v>
      </c>
      <c r="AZ975" s="18" t="str">
        <f>VLOOKUP(Pospago[[#This Row],[NOM_PLAZA_FINAL]],[1]!Locales[#Data],3,0)</f>
        <v>TIENDA RECREO</v>
      </c>
      <c r="BA975" s="18" t="str">
        <f>IFERROR(VLOOKUP(Pospago[[#This Row],[USUARIO]],[1]!Personal[#Data],6,0),"EJECUTIVO NO REGISTRADO")</f>
        <v>CHAVEZ VASQUEZ YESSENIA KATHERINE</v>
      </c>
      <c r="BB975" s="18" t="str">
        <f>Pospago[[#This Row],[TIPO_MOVIMIENTO]]&amp;" "&amp;Pospago[[#This Row],[FORMA_PAGO_FINAL]]</f>
        <v>TRANSFERENCIAS PAGO EN CAJA</v>
      </c>
      <c r="BC975" s="18">
        <f>DAY(Pospago[[#This Row],[FECHA_ALTA]])</f>
        <v>15</v>
      </c>
      <c r="BD975" s="18">
        <f>IF(Pospago[[#This Row],[TARIFA_BASICA]]=11.42,1,0)</f>
        <v>0</v>
      </c>
      <c r="BE975" s="18">
        <f>IF(Pospago[[#This Row],[PLANES TELEVENTAS]]="SI",1,0)</f>
        <v>1</v>
      </c>
      <c r="BF975" s="18">
        <f>1</f>
        <v>1</v>
      </c>
      <c r="BG975" s="18">
        <f>IF(OR(Pospago[[#This Row],[TARIFA_BASICA]]=11.42,Pospago[[#This Row],[PLANES TELEVENTAS]]="SI"),1,0)</f>
        <v>1</v>
      </c>
      <c r="BH975" s="18" t="str">
        <f>IF(MID(Pospago[[#This Row],[PlanDesc]],1,4) = "PLAN","POSPAGO",IF(MID(Pospago[[#This Row],[PlanDesc]],1,4)="FULL","FULL MEGAS","PREVIOPAGO"))</f>
        <v>PREVIOPAGO</v>
      </c>
      <c r="BI9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75" s="21">
        <f>Pospago[[#This Row],[TARIFA_BASICA]]*1.5</f>
        <v>21.419999999999998</v>
      </c>
    </row>
    <row r="976" spans="1:63" x14ac:dyDescent="0.25">
      <c r="A976" s="18" t="s">
        <v>154</v>
      </c>
      <c r="B976" s="18" t="s">
        <v>6096</v>
      </c>
      <c r="C976" s="18" t="s">
        <v>6097</v>
      </c>
      <c r="D976" s="19">
        <v>44907</v>
      </c>
      <c r="E976" s="18" t="s">
        <v>67</v>
      </c>
      <c r="F976" s="18" t="s">
        <v>6098</v>
      </c>
      <c r="G976" s="18" t="s">
        <v>6099</v>
      </c>
      <c r="H976" s="18" t="s">
        <v>159</v>
      </c>
      <c r="I976" s="18" t="s">
        <v>130</v>
      </c>
      <c r="J976" s="18" t="s">
        <v>433</v>
      </c>
      <c r="K976" s="18" t="s">
        <v>132</v>
      </c>
      <c r="L976" s="20" t="s">
        <v>6100</v>
      </c>
      <c r="M976" s="18" t="s">
        <v>75</v>
      </c>
      <c r="N976" s="20" t="s">
        <v>6101</v>
      </c>
      <c r="O976" s="18" t="s">
        <v>164</v>
      </c>
      <c r="P976" s="18" t="s">
        <v>78</v>
      </c>
      <c r="Q976" s="19">
        <v>44914</v>
      </c>
      <c r="R976" s="21">
        <v>15</v>
      </c>
      <c r="S976" s="18" t="s">
        <v>79</v>
      </c>
      <c r="T976" s="18" t="s">
        <v>174</v>
      </c>
      <c r="U976" s="18" t="s">
        <v>83</v>
      </c>
      <c r="V976" s="18" t="s">
        <v>95</v>
      </c>
      <c r="W976" s="18" t="s">
        <v>95</v>
      </c>
      <c r="X976" s="18" t="s">
        <v>118</v>
      </c>
      <c r="Y976" s="18" t="s">
        <v>85</v>
      </c>
      <c r="Z976" s="18" t="s">
        <v>86</v>
      </c>
      <c r="AA976" s="18" t="s">
        <v>119</v>
      </c>
      <c r="AB976" s="18" t="s">
        <v>492</v>
      </c>
      <c r="AC976" s="18" t="s">
        <v>493</v>
      </c>
      <c r="AD976" s="18" t="s">
        <v>85</v>
      </c>
      <c r="AE976" s="18" t="s">
        <v>90</v>
      </c>
      <c r="AF976" s="18" t="s">
        <v>177</v>
      </c>
      <c r="AG976" s="18" t="s">
        <v>139</v>
      </c>
      <c r="AH976" s="18" t="s">
        <v>165</v>
      </c>
      <c r="AI976" s="18" t="s">
        <v>94</v>
      </c>
      <c r="AJ976" s="19">
        <v>44907</v>
      </c>
      <c r="AK976" s="22" t="s">
        <v>95</v>
      </c>
      <c r="AL976" s="18" t="s">
        <v>95</v>
      </c>
      <c r="AM976" s="18" t="s">
        <v>95</v>
      </c>
      <c r="AN976" s="18" t="s">
        <v>95</v>
      </c>
      <c r="AO976" s="18" t="s">
        <v>95</v>
      </c>
      <c r="AP976" s="18" t="s">
        <v>95</v>
      </c>
      <c r="AQ976" s="18" t="s">
        <v>95</v>
      </c>
      <c r="AR976" s="18" t="s">
        <v>95</v>
      </c>
      <c r="AS976" s="18" t="s">
        <v>83</v>
      </c>
      <c r="AT976" s="18" t="s">
        <v>83</v>
      </c>
      <c r="AU976" s="18" t="s">
        <v>81</v>
      </c>
      <c r="AV976" s="18" t="s">
        <v>95</v>
      </c>
      <c r="AW976" s="18"/>
      <c r="AX976" s="18"/>
      <c r="AY976" s="18" t="str">
        <f>Pospago[[#This Row],[NUM_TELEFONICO]]&amp;"POSPAGOSI"</f>
        <v>998509114POSPAGOSI</v>
      </c>
      <c r="AZ976" s="18" t="str">
        <f>VLOOKUP(Pospago[[#This Row],[NOM_PLAZA_FINAL]],[1]!Locales[#Data],3,0)</f>
        <v>TIENDA RECREO</v>
      </c>
      <c r="BA976" s="18" t="str">
        <f>IFERROR(VLOOKUP(Pospago[[#This Row],[USUARIO]],[1]!Personal[#Data],6,0),"EJECUTIVO NO REGISTRADO")</f>
        <v>CONDO GARCIA NICOLAS MATIAS</v>
      </c>
      <c r="BB976" s="18" t="str">
        <f>Pospago[[#This Row],[TIPO_MOVIMIENTO]]&amp;" "&amp;Pospago[[#This Row],[FORMA_PAGO_FINAL]]</f>
        <v>TRANSFERENCIAS PAGO EN CAJA</v>
      </c>
      <c r="BC976" s="18">
        <f>DAY(Pospago[[#This Row],[FECHA_ALTA]])</f>
        <v>12</v>
      </c>
      <c r="BD976" s="18">
        <f>IF(Pospago[[#This Row],[TARIFA_BASICA]]=11.42,1,0)</f>
        <v>0</v>
      </c>
      <c r="BE976" s="18">
        <f>IF(Pospago[[#This Row],[PLANES TELEVENTAS]]="SI",1,0)</f>
        <v>0</v>
      </c>
      <c r="BF976" s="18">
        <f>1</f>
        <v>1</v>
      </c>
      <c r="BG976" s="18">
        <f>IF(OR(Pospago[[#This Row],[TARIFA_BASICA]]=11.42,Pospago[[#This Row],[PLANES TELEVENTAS]]="SI"),1,0)</f>
        <v>0</v>
      </c>
      <c r="BH976" s="18" t="str">
        <f>IF(MID(Pospago[[#This Row],[PlanDesc]],1,4) = "PLAN","POSPAGO",IF(MID(Pospago[[#This Row],[PlanDesc]],1,4)="FULL","FULL MEGAS","PREVIOPAGO"))</f>
        <v>PREVIOPAGO</v>
      </c>
      <c r="BI9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9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76" s="21">
        <f>Pospago[[#This Row],[TARIFA_BASICA]]*1.5</f>
        <v>22.5</v>
      </c>
    </row>
    <row r="977" spans="1:63" x14ac:dyDescent="0.25">
      <c r="A977" s="18" t="s">
        <v>154</v>
      </c>
      <c r="B977" s="18" t="s">
        <v>6102</v>
      </c>
      <c r="C977" s="18" t="s">
        <v>6103</v>
      </c>
      <c r="D977" s="19">
        <v>44909</v>
      </c>
      <c r="E977" s="18" t="s">
        <v>67</v>
      </c>
      <c r="F977" s="18" t="s">
        <v>5404</v>
      </c>
      <c r="G977" s="18" t="s">
        <v>5405</v>
      </c>
      <c r="H977" s="18" t="s">
        <v>159</v>
      </c>
      <c r="I977" s="18" t="s">
        <v>71</v>
      </c>
      <c r="J977" s="18" t="s">
        <v>258</v>
      </c>
      <c r="K977" s="18" t="s">
        <v>132</v>
      </c>
      <c r="L977" s="20" t="s">
        <v>6104</v>
      </c>
      <c r="M977" s="18" t="s">
        <v>75</v>
      </c>
      <c r="N977" s="20" t="s">
        <v>6105</v>
      </c>
      <c r="O977" s="18" t="s">
        <v>1036</v>
      </c>
      <c r="P977" s="18" t="s">
        <v>78</v>
      </c>
      <c r="Q977" s="19">
        <v>44914</v>
      </c>
      <c r="R977" s="21">
        <v>11.42</v>
      </c>
      <c r="S977" s="18" t="s">
        <v>79</v>
      </c>
      <c r="T977" s="18" t="s">
        <v>117</v>
      </c>
      <c r="U977" s="18" t="s">
        <v>83</v>
      </c>
      <c r="V977" s="18" t="s">
        <v>95</v>
      </c>
      <c r="W977" s="18" t="s">
        <v>95</v>
      </c>
      <c r="X977" s="18" t="s">
        <v>84</v>
      </c>
      <c r="Y977" s="18" t="s">
        <v>85</v>
      </c>
      <c r="Z977" s="18" t="s">
        <v>86</v>
      </c>
      <c r="AA977" s="18" t="s">
        <v>87</v>
      </c>
      <c r="AB977" s="18" t="s">
        <v>808</v>
      </c>
      <c r="AC977" s="18" t="s">
        <v>809</v>
      </c>
      <c r="AD977" s="18" t="s">
        <v>85</v>
      </c>
      <c r="AE977" s="18" t="s">
        <v>90</v>
      </c>
      <c r="AF977" s="18" t="s">
        <v>122</v>
      </c>
      <c r="AG977" s="18" t="s">
        <v>92</v>
      </c>
      <c r="AH977" s="18" t="s">
        <v>165</v>
      </c>
      <c r="AI977" s="18" t="s">
        <v>94</v>
      </c>
      <c r="AJ977" s="19">
        <v>44909</v>
      </c>
      <c r="AK977" s="22" t="s">
        <v>95</v>
      </c>
      <c r="AL977" s="18" t="s">
        <v>95</v>
      </c>
      <c r="AM977" s="18" t="s">
        <v>95</v>
      </c>
      <c r="AN977" s="18" t="s">
        <v>95</v>
      </c>
      <c r="AO977" s="18" t="s">
        <v>95</v>
      </c>
      <c r="AP977" s="18" t="s">
        <v>95</v>
      </c>
      <c r="AQ977" s="18" t="s">
        <v>95</v>
      </c>
      <c r="AR977" s="18" t="s">
        <v>95</v>
      </c>
      <c r="AS977" s="18" t="s">
        <v>83</v>
      </c>
      <c r="AT977" s="18" t="s">
        <v>83</v>
      </c>
      <c r="AU977" s="18" t="s">
        <v>81</v>
      </c>
      <c r="AV977" s="18" t="s">
        <v>95</v>
      </c>
      <c r="AW977" s="18"/>
      <c r="AX977" s="18"/>
      <c r="AY977" s="18" t="str">
        <f>Pospago[[#This Row],[NUM_TELEFONICO]]&amp;"POSPAGOSI"</f>
        <v>998510304POSPAGOSI</v>
      </c>
      <c r="AZ977" s="18" t="str">
        <f>VLOOKUP(Pospago[[#This Row],[NOM_PLAZA_FINAL]],[1]!Locales[#Data],3,0)</f>
        <v>TIENDA MACHALA</v>
      </c>
      <c r="BA977" s="18" t="str">
        <f>IFERROR(VLOOKUP(Pospago[[#This Row],[USUARIO]],[1]!Personal[#Data],6,0),"EJECUTIVO NO REGISTRADO")</f>
        <v>ALICIA ROMINA GONZALEZ SANDOYA</v>
      </c>
      <c r="BB977" s="18" t="str">
        <f>Pospago[[#This Row],[TIPO_MOVIMIENTO]]&amp;" "&amp;Pospago[[#This Row],[FORMA_PAGO_FINAL]]</f>
        <v>TRANSFERENCIAS DOMICILIADO</v>
      </c>
      <c r="BC977" s="18">
        <f>DAY(Pospago[[#This Row],[FECHA_ALTA]])</f>
        <v>14</v>
      </c>
      <c r="BD977" s="18">
        <f>IF(Pospago[[#This Row],[TARIFA_BASICA]]=11.42,1,0)</f>
        <v>1</v>
      </c>
      <c r="BE977" s="18">
        <f>IF(Pospago[[#This Row],[PLANES TELEVENTAS]]="SI",1,0)</f>
        <v>0</v>
      </c>
      <c r="BF977" s="18">
        <f>1</f>
        <v>1</v>
      </c>
      <c r="BG977" s="18">
        <f>IF(OR(Pospago[[#This Row],[TARIFA_BASICA]]=11.42,Pospago[[#This Row],[PLANES TELEVENTAS]]="SI"),1,0)</f>
        <v>1</v>
      </c>
      <c r="BH977" s="18" t="str">
        <f>IF(MID(Pospago[[#This Row],[PlanDesc]],1,4) = "PLAN","POSPAGO",IF(MID(Pospago[[#This Row],[PlanDesc]],1,4)="FULL","FULL MEGAS","PREVIOPAGO"))</f>
        <v>PREVIOPAGO</v>
      </c>
      <c r="BI9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4.992</v>
      </c>
      <c r="BJ9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77" s="21">
        <f>Pospago[[#This Row],[TARIFA_BASICA]]*1.5</f>
        <v>17.13</v>
      </c>
    </row>
    <row r="978" spans="1:63" x14ac:dyDescent="0.25">
      <c r="A978" s="18" t="s">
        <v>64</v>
      </c>
      <c r="B978" s="18" t="s">
        <v>6106</v>
      </c>
      <c r="C978" s="18" t="s">
        <v>6107</v>
      </c>
      <c r="D978" s="19">
        <v>44898</v>
      </c>
      <c r="E978" s="18" t="s">
        <v>67</v>
      </c>
      <c r="F978" s="18" t="s">
        <v>6108</v>
      </c>
      <c r="G978" s="18" t="s">
        <v>6109</v>
      </c>
      <c r="H978" s="18" t="s">
        <v>70</v>
      </c>
      <c r="I978" s="18" t="s">
        <v>160</v>
      </c>
      <c r="J978" s="18" t="s">
        <v>195</v>
      </c>
      <c r="K978" s="18" t="s">
        <v>132</v>
      </c>
      <c r="L978" s="20" t="s">
        <v>6110</v>
      </c>
      <c r="M978" s="18" t="s">
        <v>75</v>
      </c>
      <c r="N978" s="20" t="s">
        <v>6111</v>
      </c>
      <c r="O978" s="18" t="s">
        <v>77</v>
      </c>
      <c r="P978" s="18" t="s">
        <v>78</v>
      </c>
      <c r="Q978" s="19">
        <v>44914</v>
      </c>
      <c r="R978" s="21">
        <v>14.28</v>
      </c>
      <c r="S978" s="18" t="s">
        <v>79</v>
      </c>
      <c r="T978" s="18" t="s">
        <v>174</v>
      </c>
      <c r="U978" s="18" t="s">
        <v>83</v>
      </c>
      <c r="V978" s="18" t="s">
        <v>95</v>
      </c>
      <c r="W978" s="18" t="s">
        <v>83</v>
      </c>
      <c r="X978" s="18" t="s">
        <v>84</v>
      </c>
      <c r="Y978" s="18" t="s">
        <v>85</v>
      </c>
      <c r="Z978" s="18" t="s">
        <v>86</v>
      </c>
      <c r="AA978" s="18" t="s">
        <v>87</v>
      </c>
      <c r="AB978" s="18" t="s">
        <v>2159</v>
      </c>
      <c r="AC978" s="18" t="s">
        <v>2160</v>
      </c>
      <c r="AD978" s="18" t="s">
        <v>85</v>
      </c>
      <c r="AE978" s="18" t="s">
        <v>90</v>
      </c>
      <c r="AF978" s="18" t="s">
        <v>177</v>
      </c>
      <c r="AG978" s="18" t="s">
        <v>139</v>
      </c>
      <c r="AH978" s="18" t="s">
        <v>93</v>
      </c>
      <c r="AI978" s="18" t="s">
        <v>94</v>
      </c>
      <c r="AJ978" s="19">
        <v>44898</v>
      </c>
      <c r="AK978" s="22" t="s">
        <v>95</v>
      </c>
      <c r="AL978" s="18" t="s">
        <v>95</v>
      </c>
      <c r="AM978" s="18" t="s">
        <v>95</v>
      </c>
      <c r="AN978" s="18" t="s">
        <v>95</v>
      </c>
      <c r="AO978" s="18" t="s">
        <v>95</v>
      </c>
      <c r="AP978" s="18" t="s">
        <v>95</v>
      </c>
      <c r="AQ978" s="18" t="s">
        <v>95</v>
      </c>
      <c r="AR978" s="18" t="s">
        <v>95</v>
      </c>
      <c r="AS978" s="18" t="s">
        <v>83</v>
      </c>
      <c r="AT978" s="18" t="s">
        <v>83</v>
      </c>
      <c r="AU978" s="18" t="s">
        <v>81</v>
      </c>
      <c r="AV978" s="18" t="s">
        <v>95</v>
      </c>
      <c r="AW978" s="18"/>
      <c r="AX978" s="18"/>
      <c r="AY978" s="18" t="str">
        <f>Pospago[[#This Row],[NUM_TELEFONICO]]&amp;"POSPAGOSI"</f>
        <v>998514741POSPAGOSI</v>
      </c>
      <c r="AZ978" s="18" t="str">
        <f>VLOOKUP(Pospago[[#This Row],[NOM_PLAZA_FINAL]],[1]!Locales[#Data],3,0)</f>
        <v>TIENDA RECREO</v>
      </c>
      <c r="BA978" s="18" t="str">
        <f>IFERROR(VLOOKUP(Pospago[[#This Row],[USUARIO]],[1]!Personal[#Data],6,0),"EJECUTIVO NO REGISTRADO")</f>
        <v>GUEVARA MAZA CRISTIAN FABIAN</v>
      </c>
      <c r="BB978" s="18" t="str">
        <f>Pospago[[#This Row],[TIPO_MOVIMIENTO]]&amp;" "&amp;Pospago[[#This Row],[FORMA_PAGO_FINAL]]</f>
        <v>ALTAS DOMICILIADO</v>
      </c>
      <c r="BC978" s="18">
        <f>DAY(Pospago[[#This Row],[FECHA_ALTA]])</f>
        <v>3</v>
      </c>
      <c r="BD978" s="18">
        <f>IF(Pospago[[#This Row],[TARIFA_BASICA]]=11.42,1,0)</f>
        <v>0</v>
      </c>
      <c r="BE978" s="18">
        <f>IF(Pospago[[#This Row],[PLANES TELEVENTAS]]="SI",1,0)</f>
        <v>0</v>
      </c>
      <c r="BF978" s="18">
        <f>1</f>
        <v>1</v>
      </c>
      <c r="BG978" s="18">
        <f>IF(OR(Pospago[[#This Row],[TARIFA_BASICA]]=11.42,Pospago[[#This Row],[PLANES TELEVENTAS]]="SI"),1,0)</f>
        <v>0</v>
      </c>
      <c r="BH978" s="18" t="str">
        <f>IF(MID(Pospago[[#This Row],[PlanDesc]],1,4) = "PLAN","POSPAGO",IF(MID(Pospago[[#This Row],[PlanDesc]],1,4)="FULL","FULL MEGAS","PREVIOPAGO"))</f>
        <v>PREVIOPAGO</v>
      </c>
      <c r="BI9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78" s="21">
        <f>Pospago[[#This Row],[TARIFA_BASICA]]*1.5</f>
        <v>21.419999999999998</v>
      </c>
    </row>
    <row r="979" spans="1:63" x14ac:dyDescent="0.25">
      <c r="A979" s="18" t="s">
        <v>154</v>
      </c>
      <c r="B979" s="18" t="s">
        <v>6112</v>
      </c>
      <c r="C979" s="18" t="s">
        <v>6113</v>
      </c>
      <c r="D979" s="19">
        <v>44907</v>
      </c>
      <c r="E979" s="18" t="s">
        <v>67</v>
      </c>
      <c r="F979" s="18" t="s">
        <v>6114</v>
      </c>
      <c r="G979" s="18" t="s">
        <v>6115</v>
      </c>
      <c r="H979" s="18" t="s">
        <v>159</v>
      </c>
      <c r="I979" s="18" t="s">
        <v>130</v>
      </c>
      <c r="J979" s="18" t="s">
        <v>433</v>
      </c>
      <c r="K979" s="18" t="s">
        <v>132</v>
      </c>
      <c r="L979" s="20" t="s">
        <v>6116</v>
      </c>
      <c r="M979" s="18" t="s">
        <v>75</v>
      </c>
      <c r="N979" s="20" t="s">
        <v>6117</v>
      </c>
      <c r="O979" s="18" t="s">
        <v>164</v>
      </c>
      <c r="P979" s="18" t="s">
        <v>78</v>
      </c>
      <c r="Q979" s="19">
        <v>44914</v>
      </c>
      <c r="R979" s="21">
        <v>15</v>
      </c>
      <c r="S979" s="18" t="s">
        <v>79</v>
      </c>
      <c r="T979" s="18" t="s">
        <v>148</v>
      </c>
      <c r="U979" s="18" t="s">
        <v>83</v>
      </c>
      <c r="V979" s="18" t="s">
        <v>95</v>
      </c>
      <c r="W979" s="18" t="s">
        <v>95</v>
      </c>
      <c r="X979" s="18" t="s">
        <v>84</v>
      </c>
      <c r="Y979" s="18" t="s">
        <v>85</v>
      </c>
      <c r="Z979" s="18" t="s">
        <v>86</v>
      </c>
      <c r="AA979" s="18" t="s">
        <v>87</v>
      </c>
      <c r="AB979" s="18" t="s">
        <v>420</v>
      </c>
      <c r="AC979" s="18" t="s">
        <v>421</v>
      </c>
      <c r="AD979" s="18" t="s">
        <v>85</v>
      </c>
      <c r="AE979" s="18" t="s">
        <v>90</v>
      </c>
      <c r="AF979" s="18" t="s">
        <v>151</v>
      </c>
      <c r="AG979" s="18" t="s">
        <v>92</v>
      </c>
      <c r="AH979" s="18" t="s">
        <v>165</v>
      </c>
      <c r="AI979" s="18" t="s">
        <v>94</v>
      </c>
      <c r="AJ979" s="19">
        <v>44907</v>
      </c>
      <c r="AK979" s="22" t="s">
        <v>95</v>
      </c>
      <c r="AL979" s="18" t="s">
        <v>95</v>
      </c>
      <c r="AM979" s="18" t="s">
        <v>95</v>
      </c>
      <c r="AN979" s="18" t="s">
        <v>95</v>
      </c>
      <c r="AO979" s="18" t="s">
        <v>95</v>
      </c>
      <c r="AP979" s="18" t="s">
        <v>95</v>
      </c>
      <c r="AQ979" s="18" t="s">
        <v>95</v>
      </c>
      <c r="AR979" s="18" t="s">
        <v>95</v>
      </c>
      <c r="AS979" s="18" t="s">
        <v>83</v>
      </c>
      <c r="AT979" s="18" t="s">
        <v>83</v>
      </c>
      <c r="AU979" s="18" t="s">
        <v>81</v>
      </c>
      <c r="AV979" s="18" t="s">
        <v>95</v>
      </c>
      <c r="AW979" s="18"/>
      <c r="AX979" s="18"/>
      <c r="AY979" s="18" t="str">
        <f>Pospago[[#This Row],[NUM_TELEFONICO]]&amp;"POSPAGOSI"</f>
        <v>998521455POSPAGOSI</v>
      </c>
      <c r="AZ979" s="18" t="str">
        <f>VLOOKUP(Pospago[[#This Row],[NOM_PLAZA_FINAL]],[1]!Locales[#Data],3,0)</f>
        <v>TIENDA CUENCA REMIGIO</v>
      </c>
      <c r="BA979" s="18" t="str">
        <f>IFERROR(VLOOKUP(Pospago[[#This Row],[USUARIO]],[1]!Personal[#Data],6,0),"EJECUTIVO NO REGISTRADO")</f>
        <v>YEPEZ PALOMEQUE DIANA PATRICIA</v>
      </c>
      <c r="BB979" s="18" t="str">
        <f>Pospago[[#This Row],[TIPO_MOVIMIENTO]]&amp;" "&amp;Pospago[[#This Row],[FORMA_PAGO_FINAL]]</f>
        <v>TRANSFERENCIAS DOMICILIADO</v>
      </c>
      <c r="BC979" s="18">
        <f>DAY(Pospago[[#This Row],[FECHA_ALTA]])</f>
        <v>12</v>
      </c>
      <c r="BD979" s="18">
        <f>IF(Pospago[[#This Row],[TARIFA_BASICA]]=11.42,1,0)</f>
        <v>0</v>
      </c>
      <c r="BE979" s="18">
        <f>IF(Pospago[[#This Row],[PLANES TELEVENTAS]]="SI",1,0)</f>
        <v>0</v>
      </c>
      <c r="BF979" s="18">
        <f>1</f>
        <v>1</v>
      </c>
      <c r="BG979" s="18">
        <f>IF(OR(Pospago[[#This Row],[TARIFA_BASICA]]=11.42,Pospago[[#This Row],[PLANES TELEVENTAS]]="SI"),1,0)</f>
        <v>0</v>
      </c>
      <c r="BH979" s="18" t="str">
        <f>IF(MID(Pospago[[#This Row],[PlanDesc]],1,4) = "PLAN","POSPAGO",IF(MID(Pospago[[#This Row],[PlanDesc]],1,4)="FULL","FULL MEGAS","PREVIOPAGO"))</f>
        <v>PREVIOPAGO</v>
      </c>
      <c r="BI9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9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79" s="21">
        <f>Pospago[[#This Row],[TARIFA_BASICA]]*1.5</f>
        <v>22.5</v>
      </c>
    </row>
    <row r="980" spans="1:63" x14ac:dyDescent="0.25">
      <c r="A980" s="18" t="s">
        <v>154</v>
      </c>
      <c r="B980" s="18" t="s">
        <v>6118</v>
      </c>
      <c r="C980" s="18" t="s">
        <v>6119</v>
      </c>
      <c r="D980" s="19">
        <v>44908</v>
      </c>
      <c r="E980" s="18" t="s">
        <v>67</v>
      </c>
      <c r="F980" s="18" t="s">
        <v>6120</v>
      </c>
      <c r="G980" s="18" t="s">
        <v>6121</v>
      </c>
      <c r="H980" s="18" t="s">
        <v>159</v>
      </c>
      <c r="I980" s="18" t="s">
        <v>359</v>
      </c>
      <c r="J980" s="18" t="s">
        <v>360</v>
      </c>
      <c r="K980" s="18" t="s">
        <v>73</v>
      </c>
      <c r="L980" s="20" t="s">
        <v>6122</v>
      </c>
      <c r="M980" s="18" t="s">
        <v>75</v>
      </c>
      <c r="N980" s="20" t="s">
        <v>6123</v>
      </c>
      <c r="O980" s="18" t="s">
        <v>1532</v>
      </c>
      <c r="P980" s="18" t="s">
        <v>78</v>
      </c>
      <c r="Q980" s="19">
        <v>44914</v>
      </c>
      <c r="R980" s="21">
        <v>14.28</v>
      </c>
      <c r="S980" s="18" t="s">
        <v>79</v>
      </c>
      <c r="T980" s="18" t="s">
        <v>80</v>
      </c>
      <c r="U980" s="18" t="s">
        <v>83</v>
      </c>
      <c r="V980" s="18" t="s">
        <v>95</v>
      </c>
      <c r="W980" s="18" t="s">
        <v>95</v>
      </c>
      <c r="X980" s="18" t="s">
        <v>118</v>
      </c>
      <c r="Y980" s="18" t="s">
        <v>85</v>
      </c>
      <c r="Z980" s="18" t="s">
        <v>86</v>
      </c>
      <c r="AA980" s="18" t="s">
        <v>119</v>
      </c>
      <c r="AB980" s="18" t="s">
        <v>1415</v>
      </c>
      <c r="AC980" s="18" t="s">
        <v>1416</v>
      </c>
      <c r="AD980" s="18" t="s">
        <v>85</v>
      </c>
      <c r="AE980" s="18" t="s">
        <v>90</v>
      </c>
      <c r="AF980" s="18" t="s">
        <v>91</v>
      </c>
      <c r="AG980" s="18" t="s">
        <v>92</v>
      </c>
      <c r="AH980" s="18" t="s">
        <v>165</v>
      </c>
      <c r="AI980" s="18" t="s">
        <v>94</v>
      </c>
      <c r="AJ980" s="19">
        <v>44908</v>
      </c>
      <c r="AK980" s="22" t="s">
        <v>95</v>
      </c>
      <c r="AL980" s="18" t="s">
        <v>95</v>
      </c>
      <c r="AM980" s="18" t="s">
        <v>95</v>
      </c>
      <c r="AN980" s="18" t="s">
        <v>95</v>
      </c>
      <c r="AO980" s="18" t="s">
        <v>95</v>
      </c>
      <c r="AP980" s="18" t="s">
        <v>95</v>
      </c>
      <c r="AQ980" s="18" t="s">
        <v>95</v>
      </c>
      <c r="AR980" s="18" t="s">
        <v>95</v>
      </c>
      <c r="AS980" s="18" t="s">
        <v>83</v>
      </c>
      <c r="AT980" s="18" t="s">
        <v>83</v>
      </c>
      <c r="AU980" s="18" t="s">
        <v>83</v>
      </c>
      <c r="AV980" s="18" t="s">
        <v>95</v>
      </c>
      <c r="AW980" s="18"/>
      <c r="AX980" s="18"/>
      <c r="AY980" s="18" t="str">
        <f>Pospago[[#This Row],[NUM_TELEFONICO]]&amp;"POSPAGOSI"</f>
        <v>998540397POSPAGOSI</v>
      </c>
      <c r="AZ980" s="18" t="str">
        <f>VLOOKUP(Pospago[[#This Row],[NOM_PLAZA_FINAL]],[1]!Locales[#Data],3,0)</f>
        <v>TIENDA CUENCA CENTRO</v>
      </c>
      <c r="BA980" s="18" t="str">
        <f>IFERROR(VLOOKUP(Pospago[[#This Row],[USUARIO]],[1]!Personal[#Data],6,0),"EJECUTIVO NO REGISTRADO")</f>
        <v>PATIÑO URGILES DIANA CATALINA</v>
      </c>
      <c r="BB980" s="18" t="str">
        <f>Pospago[[#This Row],[TIPO_MOVIMIENTO]]&amp;" "&amp;Pospago[[#This Row],[FORMA_PAGO_FINAL]]</f>
        <v>TRANSFERENCIAS PAGO EN CAJA</v>
      </c>
      <c r="BC980" s="18">
        <f>DAY(Pospago[[#This Row],[FECHA_ALTA]])</f>
        <v>13</v>
      </c>
      <c r="BD980" s="18">
        <f>IF(Pospago[[#This Row],[TARIFA_BASICA]]=11.42,1,0)</f>
        <v>0</v>
      </c>
      <c r="BE980" s="18">
        <f>IF(Pospago[[#This Row],[PLANES TELEVENTAS]]="SI",1,0)</f>
        <v>0</v>
      </c>
      <c r="BF980" s="18">
        <f>1</f>
        <v>1</v>
      </c>
      <c r="BG980" s="18">
        <f>IF(OR(Pospago[[#This Row],[TARIFA_BASICA]]=11.42,Pospago[[#This Row],[PLANES TELEVENTAS]]="SI"),1,0)</f>
        <v>0</v>
      </c>
      <c r="BH980" s="18" t="str">
        <f>IF(MID(Pospago[[#This Row],[PlanDesc]],1,4) = "PLAN","POSPAGO",IF(MID(Pospago[[#This Row],[PlanDesc]],1,4)="FULL","FULL MEGAS","PREVIOPAGO"))</f>
        <v>POSPAGO</v>
      </c>
      <c r="BI9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0" s="21">
        <f>Pospago[[#This Row],[TARIFA_BASICA]]*1.5</f>
        <v>21.419999999999998</v>
      </c>
    </row>
    <row r="981" spans="1:63" x14ac:dyDescent="0.25">
      <c r="A981" s="18" t="s">
        <v>64</v>
      </c>
      <c r="B981" s="18" t="s">
        <v>6124</v>
      </c>
      <c r="C981" s="18" t="s">
        <v>5417</v>
      </c>
      <c r="D981" s="19">
        <v>44900</v>
      </c>
      <c r="E981" s="18" t="s">
        <v>67</v>
      </c>
      <c r="F981" s="18" t="s">
        <v>5418</v>
      </c>
      <c r="G981" s="18" t="s">
        <v>5419</v>
      </c>
      <c r="H981" s="18" t="s">
        <v>70</v>
      </c>
      <c r="I981" s="18" t="s">
        <v>606</v>
      </c>
      <c r="J981" s="18" t="s">
        <v>607</v>
      </c>
      <c r="K981" s="18" t="s">
        <v>73</v>
      </c>
      <c r="L981" s="20" t="s">
        <v>6125</v>
      </c>
      <c r="M981" s="18" t="s">
        <v>75</v>
      </c>
      <c r="N981" s="20" t="s">
        <v>6126</v>
      </c>
      <c r="O981" s="18" t="s">
        <v>77</v>
      </c>
      <c r="P981" s="18" t="s">
        <v>78</v>
      </c>
      <c r="Q981" s="19">
        <v>44914</v>
      </c>
      <c r="R981" s="21">
        <v>26.78</v>
      </c>
      <c r="S981" s="18" t="s">
        <v>79</v>
      </c>
      <c r="T981" s="18" t="s">
        <v>148</v>
      </c>
      <c r="U981" s="18" t="s">
        <v>83</v>
      </c>
      <c r="V981" s="18" t="s">
        <v>95</v>
      </c>
      <c r="W981" s="18" t="s">
        <v>83</v>
      </c>
      <c r="X981" s="18" t="s">
        <v>84</v>
      </c>
      <c r="Y981" s="18" t="s">
        <v>85</v>
      </c>
      <c r="Z981" s="18" t="s">
        <v>86</v>
      </c>
      <c r="AA981" s="18" t="s">
        <v>87</v>
      </c>
      <c r="AB981" s="18" t="s">
        <v>420</v>
      </c>
      <c r="AC981" s="18" t="s">
        <v>421</v>
      </c>
      <c r="AD981" s="18" t="s">
        <v>85</v>
      </c>
      <c r="AE981" s="18" t="s">
        <v>90</v>
      </c>
      <c r="AF981" s="18" t="s">
        <v>151</v>
      </c>
      <c r="AG981" s="18" t="s">
        <v>92</v>
      </c>
      <c r="AH981" s="18" t="s">
        <v>93</v>
      </c>
      <c r="AI981" s="18" t="s">
        <v>94</v>
      </c>
      <c r="AJ981" s="19">
        <v>44900</v>
      </c>
      <c r="AK981" s="22" t="s">
        <v>95</v>
      </c>
      <c r="AL981" s="18" t="s">
        <v>95</v>
      </c>
      <c r="AM981" s="18" t="s">
        <v>95</v>
      </c>
      <c r="AN981" s="18" t="s">
        <v>95</v>
      </c>
      <c r="AO981" s="18" t="s">
        <v>95</v>
      </c>
      <c r="AP981" s="18" t="s">
        <v>95</v>
      </c>
      <c r="AQ981" s="18" t="s">
        <v>95</v>
      </c>
      <c r="AR981" s="18" t="s">
        <v>95</v>
      </c>
      <c r="AS981" s="18" t="s">
        <v>83</v>
      </c>
      <c r="AT981" s="18" t="s">
        <v>83</v>
      </c>
      <c r="AU981" s="18" t="s">
        <v>81</v>
      </c>
      <c r="AV981" s="18" t="s">
        <v>95</v>
      </c>
      <c r="AW981" s="18"/>
      <c r="AX981" s="18"/>
      <c r="AY981" s="18" t="str">
        <f>Pospago[[#This Row],[NUM_TELEFONICO]]&amp;"POSPAGOSI"</f>
        <v>998541357POSPAGOSI</v>
      </c>
      <c r="AZ981" s="18" t="str">
        <f>VLOOKUP(Pospago[[#This Row],[NOM_PLAZA_FINAL]],[1]!Locales[#Data],3,0)</f>
        <v>TIENDA CUENCA REMIGIO</v>
      </c>
      <c r="BA981" s="18" t="str">
        <f>IFERROR(VLOOKUP(Pospago[[#This Row],[USUARIO]],[1]!Personal[#Data],6,0),"EJECUTIVO NO REGISTRADO")</f>
        <v>YEPEZ PALOMEQUE DIANA PATRICIA</v>
      </c>
      <c r="BB981" s="18" t="str">
        <f>Pospago[[#This Row],[TIPO_MOVIMIENTO]]&amp;" "&amp;Pospago[[#This Row],[FORMA_PAGO_FINAL]]</f>
        <v>ALTAS DOMICILIADO</v>
      </c>
      <c r="BC981" s="18">
        <f>DAY(Pospago[[#This Row],[FECHA_ALTA]])</f>
        <v>5</v>
      </c>
      <c r="BD981" s="18">
        <f>IF(Pospago[[#This Row],[TARIFA_BASICA]]=11.42,1,0)</f>
        <v>0</v>
      </c>
      <c r="BE981" s="18">
        <f>IF(Pospago[[#This Row],[PLANES TELEVENTAS]]="SI",1,0)</f>
        <v>0</v>
      </c>
      <c r="BF981" s="18">
        <f>1</f>
        <v>1</v>
      </c>
      <c r="BG981" s="18">
        <f>IF(OR(Pospago[[#This Row],[TARIFA_BASICA]]=11.42,Pospago[[#This Row],[PLANES TELEVENTAS]]="SI"),1,0)</f>
        <v>0</v>
      </c>
      <c r="BH981" s="18" t="str">
        <f>IF(MID(Pospago[[#This Row],[PlanDesc]],1,4) = "PLAN","POSPAGO",IF(MID(Pospago[[#This Row],[PlanDesc]],1,4)="FULL","FULL MEGAS","PREVIOPAGO"))</f>
        <v>PREVIOPAGO</v>
      </c>
      <c r="BI9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9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1" s="21">
        <f>Pospago[[#This Row],[TARIFA_BASICA]]*1.5</f>
        <v>40.17</v>
      </c>
    </row>
    <row r="982" spans="1:63" x14ac:dyDescent="0.25">
      <c r="A982" s="18" t="s">
        <v>154</v>
      </c>
      <c r="B982" s="18" t="s">
        <v>6127</v>
      </c>
      <c r="C982" s="18" t="s">
        <v>6128</v>
      </c>
      <c r="D982" s="19">
        <v>44900</v>
      </c>
      <c r="E982" s="18" t="s">
        <v>67</v>
      </c>
      <c r="F982" s="18" t="s">
        <v>6129</v>
      </c>
      <c r="G982" s="18" t="s">
        <v>6130</v>
      </c>
      <c r="H982" s="18" t="s">
        <v>159</v>
      </c>
      <c r="I982" s="18" t="s">
        <v>698</v>
      </c>
      <c r="J982" s="18" t="s">
        <v>699</v>
      </c>
      <c r="K982" s="18" t="s">
        <v>73</v>
      </c>
      <c r="L982" s="20" t="s">
        <v>6131</v>
      </c>
      <c r="M982" s="18" t="s">
        <v>75</v>
      </c>
      <c r="N982" s="20" t="s">
        <v>6132</v>
      </c>
      <c r="O982" s="18" t="s">
        <v>164</v>
      </c>
      <c r="P982" s="18" t="s">
        <v>78</v>
      </c>
      <c r="Q982" s="19">
        <v>44914</v>
      </c>
      <c r="R982" s="21">
        <v>26.78</v>
      </c>
      <c r="S982" s="18" t="s">
        <v>79</v>
      </c>
      <c r="T982" s="18" t="s">
        <v>80</v>
      </c>
      <c r="U982" s="18" t="s">
        <v>83</v>
      </c>
      <c r="V982" s="18" t="s">
        <v>95</v>
      </c>
      <c r="W982" s="18" t="s">
        <v>95</v>
      </c>
      <c r="X982" s="18" t="s">
        <v>84</v>
      </c>
      <c r="Y982" s="18" t="s">
        <v>85</v>
      </c>
      <c r="Z982" s="18" t="s">
        <v>86</v>
      </c>
      <c r="AA982" s="18" t="s">
        <v>87</v>
      </c>
      <c r="AB982" s="18" t="s">
        <v>1020</v>
      </c>
      <c r="AC982" s="18" t="s">
        <v>1021</v>
      </c>
      <c r="AD982" s="18" t="s">
        <v>85</v>
      </c>
      <c r="AE982" s="18" t="s">
        <v>90</v>
      </c>
      <c r="AF982" s="18" t="s">
        <v>91</v>
      </c>
      <c r="AG982" s="18" t="s">
        <v>92</v>
      </c>
      <c r="AH982" s="18" t="s">
        <v>165</v>
      </c>
      <c r="AI982" s="18" t="s">
        <v>94</v>
      </c>
      <c r="AJ982" s="19">
        <v>44900</v>
      </c>
      <c r="AK982" s="22" t="s">
        <v>95</v>
      </c>
      <c r="AL982" s="18" t="s">
        <v>95</v>
      </c>
      <c r="AM982" s="18" t="s">
        <v>95</v>
      </c>
      <c r="AN982" s="18" t="s">
        <v>95</v>
      </c>
      <c r="AO982" s="18" t="s">
        <v>95</v>
      </c>
      <c r="AP982" s="18" t="s">
        <v>95</v>
      </c>
      <c r="AQ982" s="18" t="s">
        <v>95</v>
      </c>
      <c r="AR982" s="18" t="s">
        <v>95</v>
      </c>
      <c r="AS982" s="18" t="s">
        <v>83</v>
      </c>
      <c r="AT982" s="18" t="s">
        <v>81</v>
      </c>
      <c r="AU982" s="18" t="s">
        <v>81</v>
      </c>
      <c r="AV982" s="18" t="s">
        <v>95</v>
      </c>
      <c r="AW982" s="18"/>
      <c r="AX982" s="18"/>
      <c r="AY982" s="18" t="str">
        <f>Pospago[[#This Row],[NUM_TELEFONICO]]&amp;"POSPAGOSI"</f>
        <v>998542156POSPAGOSI</v>
      </c>
      <c r="AZ982" s="18" t="str">
        <f>VLOOKUP(Pospago[[#This Row],[NOM_PLAZA_FINAL]],[1]!Locales[#Data],3,0)</f>
        <v>TIENDA CUENCA CENTRO</v>
      </c>
      <c r="BA982" s="18" t="str">
        <f>IFERROR(VLOOKUP(Pospago[[#This Row],[USUARIO]],[1]!Personal[#Data],6,0),"EJECUTIVO NO REGISTRADO")</f>
        <v>GONZALES ALVARRACIN PAOLA YESSENIA</v>
      </c>
      <c r="BB982" s="18" t="str">
        <f>Pospago[[#This Row],[TIPO_MOVIMIENTO]]&amp;" "&amp;Pospago[[#This Row],[FORMA_PAGO_FINAL]]</f>
        <v>TRANSFERENCIAS DOMICILIADO</v>
      </c>
      <c r="BC982" s="18">
        <f>DAY(Pospago[[#This Row],[FECHA_ALTA]])</f>
        <v>5</v>
      </c>
      <c r="BD982" s="18">
        <f>IF(Pospago[[#This Row],[TARIFA_BASICA]]=11.42,1,0)</f>
        <v>0</v>
      </c>
      <c r="BE982" s="18">
        <f>IF(Pospago[[#This Row],[PLANES TELEVENTAS]]="SI",1,0)</f>
        <v>1</v>
      </c>
      <c r="BF982" s="18">
        <f>1</f>
        <v>1</v>
      </c>
      <c r="BG982" s="18">
        <f>IF(OR(Pospago[[#This Row],[TARIFA_BASICA]]=11.42,Pospago[[#This Row],[PLANES TELEVENTAS]]="SI"),1,0)</f>
        <v>1</v>
      </c>
      <c r="BH982" s="18" t="str">
        <f>IF(MID(Pospago[[#This Row],[PlanDesc]],1,4) = "PLAN","POSPAGO",IF(MID(Pospago[[#This Row],[PlanDesc]],1,4)="FULL","FULL MEGAS","PREVIOPAGO"))</f>
        <v>PREVIOPAGO</v>
      </c>
      <c r="BI9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22.76</v>
      </c>
      <c r="BJ9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2" s="21">
        <f>Pospago[[#This Row],[TARIFA_BASICA]]*1.5</f>
        <v>40.17</v>
      </c>
    </row>
    <row r="983" spans="1:63" x14ac:dyDescent="0.25">
      <c r="A983" s="18" t="s">
        <v>64</v>
      </c>
      <c r="B983" s="18" t="s">
        <v>6133</v>
      </c>
      <c r="C983" s="18" t="s">
        <v>6134</v>
      </c>
      <c r="D983" s="19">
        <v>44910</v>
      </c>
      <c r="E983" s="18" t="s">
        <v>67</v>
      </c>
      <c r="F983" s="18" t="s">
        <v>6135</v>
      </c>
      <c r="G983" s="18" t="s">
        <v>6136</v>
      </c>
      <c r="H983" s="18" t="s">
        <v>70</v>
      </c>
      <c r="I983" s="18" t="s">
        <v>160</v>
      </c>
      <c r="J983" s="18" t="s">
        <v>195</v>
      </c>
      <c r="K983" s="18" t="s">
        <v>132</v>
      </c>
      <c r="L983" s="20" t="s">
        <v>6137</v>
      </c>
      <c r="M983" s="18" t="s">
        <v>75</v>
      </c>
      <c r="N983" s="20" t="s">
        <v>6138</v>
      </c>
      <c r="O983" s="18" t="s">
        <v>77</v>
      </c>
      <c r="P983" s="18" t="s">
        <v>78</v>
      </c>
      <c r="Q983" s="19">
        <v>44914</v>
      </c>
      <c r="R983" s="21">
        <v>14.28</v>
      </c>
      <c r="S983" s="18" t="s">
        <v>79</v>
      </c>
      <c r="T983" s="18" t="s">
        <v>174</v>
      </c>
      <c r="U983" s="18" t="s">
        <v>81</v>
      </c>
      <c r="V983" s="18" t="s">
        <v>82</v>
      </c>
      <c r="W983" s="18" t="s">
        <v>83</v>
      </c>
      <c r="X983" s="18" t="s">
        <v>84</v>
      </c>
      <c r="Y983" s="18" t="s">
        <v>85</v>
      </c>
      <c r="Z983" s="18" t="s">
        <v>86</v>
      </c>
      <c r="AA983" s="18" t="s">
        <v>87</v>
      </c>
      <c r="AB983" s="18" t="s">
        <v>740</v>
      </c>
      <c r="AC983" s="18" t="s">
        <v>741</v>
      </c>
      <c r="AD983" s="18" t="s">
        <v>85</v>
      </c>
      <c r="AE983" s="18" t="s">
        <v>90</v>
      </c>
      <c r="AF983" s="18" t="s">
        <v>177</v>
      </c>
      <c r="AG983" s="18" t="s">
        <v>139</v>
      </c>
      <c r="AH983" s="18" t="s">
        <v>93</v>
      </c>
      <c r="AI983" s="18" t="s">
        <v>94</v>
      </c>
      <c r="AJ983" s="19">
        <v>44910</v>
      </c>
      <c r="AK983" s="22" t="s">
        <v>95</v>
      </c>
      <c r="AL983" s="18" t="s">
        <v>95</v>
      </c>
      <c r="AM983" s="18" t="s">
        <v>95</v>
      </c>
      <c r="AN983" s="18" t="s">
        <v>95</v>
      </c>
      <c r="AO983" s="18" t="s">
        <v>95</v>
      </c>
      <c r="AP983" s="18" t="s">
        <v>95</v>
      </c>
      <c r="AQ983" s="18" t="s">
        <v>95</v>
      </c>
      <c r="AR983" s="18" t="s">
        <v>95</v>
      </c>
      <c r="AS983" s="18" t="s">
        <v>83</v>
      </c>
      <c r="AT983" s="18" t="s">
        <v>83</v>
      </c>
      <c r="AU983" s="18" t="s">
        <v>81</v>
      </c>
      <c r="AV983" s="18" t="s">
        <v>95</v>
      </c>
      <c r="AW983" s="18"/>
      <c r="AX983" s="18"/>
      <c r="AY983" s="18" t="str">
        <f>Pospago[[#This Row],[NUM_TELEFONICO]]&amp;"POSPAGOSI"</f>
        <v>998549624POSPAGOSI</v>
      </c>
      <c r="AZ983" s="18" t="str">
        <f>VLOOKUP(Pospago[[#This Row],[NOM_PLAZA_FINAL]],[1]!Locales[#Data],3,0)</f>
        <v>TIENDA RECREO</v>
      </c>
      <c r="BA983" s="18" t="str">
        <f>IFERROR(VLOOKUP(Pospago[[#This Row],[USUARIO]],[1]!Personal[#Data],6,0),"EJECUTIVO NO REGISTRADO")</f>
        <v>CHAVEZ VASQUEZ YESSENIA KATHERINE</v>
      </c>
      <c r="BB983" s="18" t="str">
        <f>Pospago[[#This Row],[TIPO_MOVIMIENTO]]&amp;" "&amp;Pospago[[#This Row],[FORMA_PAGO_FINAL]]</f>
        <v>ALTAS DOMICILIADO</v>
      </c>
      <c r="BC983" s="18">
        <f>DAY(Pospago[[#This Row],[FECHA_ALTA]])</f>
        <v>15</v>
      </c>
      <c r="BD983" s="18">
        <f>IF(Pospago[[#This Row],[TARIFA_BASICA]]=11.42,1,0)</f>
        <v>0</v>
      </c>
      <c r="BE983" s="18">
        <f>IF(Pospago[[#This Row],[PLANES TELEVENTAS]]="SI",1,0)</f>
        <v>0</v>
      </c>
      <c r="BF983" s="18">
        <f>1</f>
        <v>1</v>
      </c>
      <c r="BG983" s="18">
        <f>IF(OR(Pospago[[#This Row],[TARIFA_BASICA]]=11.42,Pospago[[#This Row],[PLANES TELEVENTAS]]="SI"),1,0)</f>
        <v>0</v>
      </c>
      <c r="BH983" s="18" t="str">
        <f>IF(MID(Pospago[[#This Row],[PlanDesc]],1,4) = "PLAN","POSPAGO",IF(MID(Pospago[[#This Row],[PlanDesc]],1,4)="FULL","FULL MEGAS","PREVIOPAGO"))</f>
        <v>PREVIOPAGO</v>
      </c>
      <c r="BI9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3" s="21">
        <f>Pospago[[#This Row],[TARIFA_BASICA]]*1.5</f>
        <v>21.419999999999998</v>
      </c>
    </row>
    <row r="984" spans="1:63" x14ac:dyDescent="0.25">
      <c r="A984" s="18" t="s">
        <v>64</v>
      </c>
      <c r="B984" s="18" t="s">
        <v>6139</v>
      </c>
      <c r="C984" s="18" t="s">
        <v>6140</v>
      </c>
      <c r="D984" s="19">
        <v>44897</v>
      </c>
      <c r="E984" s="18" t="s">
        <v>67</v>
      </c>
      <c r="F984" s="18" t="s">
        <v>6141</v>
      </c>
      <c r="G984" s="18" t="s">
        <v>6142</v>
      </c>
      <c r="H984" s="18" t="s">
        <v>70</v>
      </c>
      <c r="I984" s="18" t="s">
        <v>359</v>
      </c>
      <c r="J984" s="18" t="s">
        <v>360</v>
      </c>
      <c r="K984" s="18" t="s">
        <v>73</v>
      </c>
      <c r="L984" s="20" t="s">
        <v>6143</v>
      </c>
      <c r="M984" s="18" t="s">
        <v>75</v>
      </c>
      <c r="N984" s="20" t="s">
        <v>6144</v>
      </c>
      <c r="O984" s="18" t="s">
        <v>311</v>
      </c>
      <c r="P984" s="18" t="s">
        <v>78</v>
      </c>
      <c r="Q984" s="19">
        <v>44914</v>
      </c>
      <c r="R984" s="21">
        <v>14.28</v>
      </c>
      <c r="S984" s="18" t="s">
        <v>79</v>
      </c>
      <c r="T984" s="18" t="s">
        <v>148</v>
      </c>
      <c r="U984" s="18" t="s">
        <v>83</v>
      </c>
      <c r="V984" s="18" t="s">
        <v>95</v>
      </c>
      <c r="W984" s="18" t="s">
        <v>83</v>
      </c>
      <c r="X984" s="18" t="s">
        <v>84</v>
      </c>
      <c r="Y984" s="18" t="s">
        <v>85</v>
      </c>
      <c r="Z984" s="18" t="s">
        <v>86</v>
      </c>
      <c r="AA984" s="18" t="s">
        <v>87</v>
      </c>
      <c r="AB984" s="18" t="s">
        <v>420</v>
      </c>
      <c r="AC984" s="18" t="s">
        <v>421</v>
      </c>
      <c r="AD984" s="18" t="s">
        <v>85</v>
      </c>
      <c r="AE984" s="18" t="s">
        <v>90</v>
      </c>
      <c r="AF984" s="18" t="s">
        <v>151</v>
      </c>
      <c r="AG984" s="18" t="s">
        <v>92</v>
      </c>
      <c r="AH984" s="18" t="s">
        <v>93</v>
      </c>
      <c r="AI984" s="18" t="s">
        <v>94</v>
      </c>
      <c r="AJ984" s="19">
        <v>44897</v>
      </c>
      <c r="AK984" s="22" t="s">
        <v>95</v>
      </c>
      <c r="AL984" s="18" t="s">
        <v>95</v>
      </c>
      <c r="AM984" s="18" t="s">
        <v>95</v>
      </c>
      <c r="AN984" s="18" t="s">
        <v>95</v>
      </c>
      <c r="AO984" s="18" t="s">
        <v>95</v>
      </c>
      <c r="AP984" s="18" t="s">
        <v>95</v>
      </c>
      <c r="AQ984" s="18" t="s">
        <v>95</v>
      </c>
      <c r="AR984" s="18" t="s">
        <v>95</v>
      </c>
      <c r="AS984" s="18" t="s">
        <v>83</v>
      </c>
      <c r="AT984" s="18" t="s">
        <v>83</v>
      </c>
      <c r="AU984" s="18" t="s">
        <v>83</v>
      </c>
      <c r="AV984" s="18" t="s">
        <v>95</v>
      </c>
      <c r="AW984" s="18"/>
      <c r="AX984" s="18"/>
      <c r="AY984" s="18" t="str">
        <f>Pospago[[#This Row],[NUM_TELEFONICO]]&amp;"POSPAGOSI"</f>
        <v>998550415POSPAGOSI</v>
      </c>
      <c r="AZ984" s="18" t="str">
        <f>VLOOKUP(Pospago[[#This Row],[NOM_PLAZA_FINAL]],[1]!Locales[#Data],3,0)</f>
        <v>TIENDA CUENCA REMIGIO</v>
      </c>
      <c r="BA984" s="18" t="str">
        <f>IFERROR(VLOOKUP(Pospago[[#This Row],[USUARIO]],[1]!Personal[#Data],6,0),"EJECUTIVO NO REGISTRADO")</f>
        <v>YEPEZ PALOMEQUE DIANA PATRICIA</v>
      </c>
      <c r="BB984" s="18" t="str">
        <f>Pospago[[#This Row],[TIPO_MOVIMIENTO]]&amp;" "&amp;Pospago[[#This Row],[FORMA_PAGO_FINAL]]</f>
        <v>ALTAS DOMICILIADO</v>
      </c>
      <c r="BC984" s="18">
        <f>DAY(Pospago[[#This Row],[FECHA_ALTA]])</f>
        <v>2</v>
      </c>
      <c r="BD984" s="18">
        <f>IF(Pospago[[#This Row],[TARIFA_BASICA]]=11.42,1,0)</f>
        <v>0</v>
      </c>
      <c r="BE984" s="18">
        <f>IF(Pospago[[#This Row],[PLANES TELEVENTAS]]="SI",1,0)</f>
        <v>0</v>
      </c>
      <c r="BF984" s="18">
        <f>1</f>
        <v>1</v>
      </c>
      <c r="BG984" s="18">
        <f>IF(OR(Pospago[[#This Row],[TARIFA_BASICA]]=11.42,Pospago[[#This Row],[PLANES TELEVENTAS]]="SI"),1,0)</f>
        <v>0</v>
      </c>
      <c r="BH984" s="18" t="str">
        <f>IF(MID(Pospago[[#This Row],[PlanDesc]],1,4) = "PLAN","POSPAGO",IF(MID(Pospago[[#This Row],[PlanDesc]],1,4)="FULL","FULL MEGAS","PREVIOPAGO"))</f>
        <v>POSPAGO</v>
      </c>
      <c r="BI9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4" s="21">
        <f>Pospago[[#This Row],[TARIFA_BASICA]]*1.5</f>
        <v>21.419999999999998</v>
      </c>
    </row>
    <row r="985" spans="1:63" x14ac:dyDescent="0.25">
      <c r="A985" s="18" t="s">
        <v>154</v>
      </c>
      <c r="B985" s="18" t="s">
        <v>6145</v>
      </c>
      <c r="C985" s="18" t="s">
        <v>6146</v>
      </c>
      <c r="D985" s="19">
        <v>44909</v>
      </c>
      <c r="E985" s="18" t="s">
        <v>67</v>
      </c>
      <c r="F985" s="18" t="s">
        <v>6147</v>
      </c>
      <c r="G985" s="18" t="s">
        <v>6148</v>
      </c>
      <c r="H985" s="18" t="s">
        <v>159</v>
      </c>
      <c r="I985" s="18" t="s">
        <v>130</v>
      </c>
      <c r="J985" s="18" t="s">
        <v>433</v>
      </c>
      <c r="K985" s="18" t="s">
        <v>132</v>
      </c>
      <c r="L985" s="20" t="s">
        <v>6149</v>
      </c>
      <c r="M985" s="18" t="s">
        <v>75</v>
      </c>
      <c r="N985" s="20" t="s">
        <v>6150</v>
      </c>
      <c r="O985" s="18" t="s">
        <v>164</v>
      </c>
      <c r="P985" s="18" t="s">
        <v>78</v>
      </c>
      <c r="Q985" s="19">
        <v>44914</v>
      </c>
      <c r="R985" s="21">
        <v>15</v>
      </c>
      <c r="S985" s="18" t="s">
        <v>79</v>
      </c>
      <c r="T985" s="18" t="s">
        <v>174</v>
      </c>
      <c r="U985" s="18" t="s">
        <v>83</v>
      </c>
      <c r="V985" s="18" t="s">
        <v>95</v>
      </c>
      <c r="W985" s="18" t="s">
        <v>95</v>
      </c>
      <c r="X985" s="18" t="s">
        <v>118</v>
      </c>
      <c r="Y985" s="18" t="s">
        <v>85</v>
      </c>
      <c r="Z985" s="18" t="s">
        <v>86</v>
      </c>
      <c r="AA985" s="18" t="s">
        <v>119</v>
      </c>
      <c r="AB985" s="18" t="s">
        <v>175</v>
      </c>
      <c r="AC985" s="18" t="s">
        <v>176</v>
      </c>
      <c r="AD985" s="18" t="s">
        <v>85</v>
      </c>
      <c r="AE985" s="18" t="s">
        <v>90</v>
      </c>
      <c r="AF985" s="18" t="s">
        <v>177</v>
      </c>
      <c r="AG985" s="18" t="s">
        <v>139</v>
      </c>
      <c r="AH985" s="18" t="s">
        <v>165</v>
      </c>
      <c r="AI985" s="18" t="s">
        <v>94</v>
      </c>
      <c r="AJ985" s="19">
        <v>44909</v>
      </c>
      <c r="AK985" s="22" t="s">
        <v>95</v>
      </c>
      <c r="AL985" s="18" t="s">
        <v>95</v>
      </c>
      <c r="AM985" s="18" t="s">
        <v>95</v>
      </c>
      <c r="AN985" s="18" t="s">
        <v>95</v>
      </c>
      <c r="AO985" s="18" t="s">
        <v>95</v>
      </c>
      <c r="AP985" s="18" t="s">
        <v>95</v>
      </c>
      <c r="AQ985" s="18" t="s">
        <v>95</v>
      </c>
      <c r="AR985" s="18" t="s">
        <v>95</v>
      </c>
      <c r="AS985" s="18" t="s">
        <v>83</v>
      </c>
      <c r="AT985" s="18" t="s">
        <v>83</v>
      </c>
      <c r="AU985" s="18" t="s">
        <v>81</v>
      </c>
      <c r="AV985" s="18" t="s">
        <v>95</v>
      </c>
      <c r="AW985" s="18"/>
      <c r="AX985" s="18"/>
      <c r="AY985" s="18" t="str">
        <f>Pospago[[#This Row],[NUM_TELEFONICO]]&amp;"POSPAGOSI"</f>
        <v>998560891POSPAGOSI</v>
      </c>
      <c r="AZ985" s="18" t="str">
        <f>VLOOKUP(Pospago[[#This Row],[NOM_PLAZA_FINAL]],[1]!Locales[#Data],3,0)</f>
        <v>TIENDA RECREO</v>
      </c>
      <c r="BA985" s="18" t="str">
        <f>IFERROR(VLOOKUP(Pospago[[#This Row],[USUARIO]],[1]!Personal[#Data],6,0),"EJECUTIVO NO REGISTRADO")</f>
        <v>VARGAS REYES LUIS EDUARDO</v>
      </c>
      <c r="BB985" s="18" t="str">
        <f>Pospago[[#This Row],[TIPO_MOVIMIENTO]]&amp;" "&amp;Pospago[[#This Row],[FORMA_PAGO_FINAL]]</f>
        <v>TRANSFERENCIAS PAGO EN CAJA</v>
      </c>
      <c r="BC985" s="18">
        <f>DAY(Pospago[[#This Row],[FECHA_ALTA]])</f>
        <v>14</v>
      </c>
      <c r="BD985" s="18">
        <f>IF(Pospago[[#This Row],[TARIFA_BASICA]]=11.42,1,0)</f>
        <v>0</v>
      </c>
      <c r="BE985" s="18">
        <f>IF(Pospago[[#This Row],[PLANES TELEVENTAS]]="SI",1,0)</f>
        <v>0</v>
      </c>
      <c r="BF985" s="18">
        <f>1</f>
        <v>1</v>
      </c>
      <c r="BG985" s="18">
        <f>IF(OR(Pospago[[#This Row],[TARIFA_BASICA]]=11.42,Pospago[[#This Row],[PLANES TELEVENTAS]]="SI"),1,0)</f>
        <v>0</v>
      </c>
      <c r="BH985" s="18" t="str">
        <f>IF(MID(Pospago[[#This Row],[PlanDesc]],1,4) = "PLAN","POSPAGO",IF(MID(Pospago[[#This Row],[PlanDesc]],1,4)="FULL","FULL MEGAS","PREVIOPAGO"))</f>
        <v>PREVIOPAGO</v>
      </c>
      <c r="BI9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9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5" s="21">
        <f>Pospago[[#This Row],[TARIFA_BASICA]]*1.5</f>
        <v>22.5</v>
      </c>
    </row>
    <row r="986" spans="1:63" x14ac:dyDescent="0.25">
      <c r="A986" s="18" t="s">
        <v>64</v>
      </c>
      <c r="B986" s="18" t="s">
        <v>6151</v>
      </c>
      <c r="C986" s="18" t="s">
        <v>6152</v>
      </c>
      <c r="D986" s="19">
        <v>44897</v>
      </c>
      <c r="E986" s="18" t="s">
        <v>246</v>
      </c>
      <c r="F986" s="18" t="s">
        <v>6153</v>
      </c>
      <c r="G986" s="18" t="s">
        <v>6154</v>
      </c>
      <c r="H986" s="18" t="s">
        <v>70</v>
      </c>
      <c r="I986" s="18" t="s">
        <v>71</v>
      </c>
      <c r="J986" s="18" t="s">
        <v>72</v>
      </c>
      <c r="K986" s="18" t="s">
        <v>95</v>
      </c>
      <c r="L986" s="20" t="s">
        <v>6155</v>
      </c>
      <c r="M986" s="18" t="s">
        <v>75</v>
      </c>
      <c r="N986" s="20" t="s">
        <v>6156</v>
      </c>
      <c r="O986" s="18" t="s">
        <v>77</v>
      </c>
      <c r="P986" s="18" t="s">
        <v>78</v>
      </c>
      <c r="Q986" s="19">
        <v>44914</v>
      </c>
      <c r="R986" s="21">
        <v>11.42</v>
      </c>
      <c r="S986" s="18" t="s">
        <v>79</v>
      </c>
      <c r="T986" s="18" t="s">
        <v>174</v>
      </c>
      <c r="U986" s="18" t="s">
        <v>83</v>
      </c>
      <c r="V986" s="18" t="s">
        <v>95</v>
      </c>
      <c r="W986" s="18" t="s">
        <v>83</v>
      </c>
      <c r="X986" s="18" t="s">
        <v>118</v>
      </c>
      <c r="Y986" s="18" t="s">
        <v>85</v>
      </c>
      <c r="Z986" s="18" t="s">
        <v>86</v>
      </c>
      <c r="AA986" s="18" t="s">
        <v>119</v>
      </c>
      <c r="AB986" s="18" t="s">
        <v>369</v>
      </c>
      <c r="AC986" s="18" t="s">
        <v>370</v>
      </c>
      <c r="AD986" s="18" t="s">
        <v>85</v>
      </c>
      <c r="AE986" s="18" t="s">
        <v>90</v>
      </c>
      <c r="AF986" s="18" t="s">
        <v>177</v>
      </c>
      <c r="AG986" s="18" t="s">
        <v>139</v>
      </c>
      <c r="AH986" s="18" t="s">
        <v>93</v>
      </c>
      <c r="AI986" s="18" t="s">
        <v>94</v>
      </c>
      <c r="AJ986" s="19">
        <v>44897</v>
      </c>
      <c r="AK986" s="22" t="s">
        <v>95</v>
      </c>
      <c r="AL986" s="18" t="s">
        <v>95</v>
      </c>
      <c r="AM986" s="18" t="s">
        <v>95</v>
      </c>
      <c r="AN986" s="18" t="s">
        <v>95</v>
      </c>
      <c r="AO986" s="18" t="s">
        <v>95</v>
      </c>
      <c r="AP986" s="18" t="s">
        <v>95</v>
      </c>
      <c r="AQ986" s="18" t="s">
        <v>95</v>
      </c>
      <c r="AR986" s="18" t="s">
        <v>95</v>
      </c>
      <c r="AS986" s="18" t="s">
        <v>83</v>
      </c>
      <c r="AT986" s="18" t="s">
        <v>83</v>
      </c>
      <c r="AU986" s="18" t="s">
        <v>81</v>
      </c>
      <c r="AV986" s="18" t="s">
        <v>95</v>
      </c>
      <c r="AW986" s="18"/>
      <c r="AX986" s="18"/>
      <c r="AY986" s="18" t="str">
        <f>Pospago[[#This Row],[NUM_TELEFONICO]]&amp;"POSPAGOSI"</f>
        <v>998562696POSPAGOSI</v>
      </c>
      <c r="AZ986" s="18" t="str">
        <f>VLOOKUP(Pospago[[#This Row],[NOM_PLAZA_FINAL]],[1]!Locales[#Data],3,0)</f>
        <v>TIENDA RECREO</v>
      </c>
      <c r="BA986" s="18" t="str">
        <f>IFERROR(VLOOKUP(Pospago[[#This Row],[USUARIO]],[1]!Personal[#Data],6,0),"EJECUTIVO NO REGISTRADO")</f>
        <v>GUAIGUA REINOSO GENESIS CAROLINA</v>
      </c>
      <c r="BB986" s="18" t="str">
        <f>Pospago[[#This Row],[TIPO_MOVIMIENTO]]&amp;" "&amp;Pospago[[#This Row],[FORMA_PAGO_FINAL]]</f>
        <v>ALTAS PAGO EN CAJA</v>
      </c>
      <c r="BC986" s="18">
        <f>DAY(Pospago[[#This Row],[FECHA_ALTA]])</f>
        <v>2</v>
      </c>
      <c r="BD986" s="18">
        <f>IF(Pospago[[#This Row],[TARIFA_BASICA]]=11.42,1,0)</f>
        <v>1</v>
      </c>
      <c r="BE986" s="18">
        <f>IF(Pospago[[#This Row],[PLANES TELEVENTAS]]="SI",1,0)</f>
        <v>0</v>
      </c>
      <c r="BF986" s="18">
        <f>1</f>
        <v>1</v>
      </c>
      <c r="BG986" s="18">
        <f>IF(OR(Pospago[[#This Row],[TARIFA_BASICA]]=11.42,Pospago[[#This Row],[PLANES TELEVENTAS]]="SI"),1,0)</f>
        <v>1</v>
      </c>
      <c r="BH986" s="18" t="str">
        <f>IF(MID(Pospago[[#This Row],[PlanDesc]],1,4) = "PLAN","POSPAGO",IF(MID(Pospago[[#This Row],[PlanDesc]],1,4)="FULL","FULL MEGAS","PREVIOPAGO"))</f>
        <v>PREVIOPAGO</v>
      </c>
      <c r="BI9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9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86" s="21">
        <f>Pospago[[#This Row],[TARIFA_BASICA]]*1.5</f>
        <v>17.13</v>
      </c>
    </row>
    <row r="987" spans="1:63" x14ac:dyDescent="0.25">
      <c r="A987" s="18" t="s">
        <v>64</v>
      </c>
      <c r="B987" s="18" t="s">
        <v>6157</v>
      </c>
      <c r="C987" s="18" t="s">
        <v>6158</v>
      </c>
      <c r="D987" s="19">
        <v>44907</v>
      </c>
      <c r="E987" s="18" t="s">
        <v>67</v>
      </c>
      <c r="F987" s="18" t="s">
        <v>6159</v>
      </c>
      <c r="G987" s="18" t="s">
        <v>6160</v>
      </c>
      <c r="H987" s="18" t="s">
        <v>70</v>
      </c>
      <c r="I987" s="18" t="s">
        <v>160</v>
      </c>
      <c r="J987" s="18" t="s">
        <v>195</v>
      </c>
      <c r="K987" s="18" t="s">
        <v>132</v>
      </c>
      <c r="L987" s="20" t="s">
        <v>6161</v>
      </c>
      <c r="M987" s="18" t="s">
        <v>75</v>
      </c>
      <c r="N987" s="20" t="s">
        <v>6162</v>
      </c>
      <c r="O987" s="18" t="s">
        <v>77</v>
      </c>
      <c r="P987" s="18" t="s">
        <v>78</v>
      </c>
      <c r="Q987" s="19">
        <v>44914</v>
      </c>
      <c r="R987" s="21">
        <v>14.28</v>
      </c>
      <c r="S987" s="18" t="s">
        <v>79</v>
      </c>
      <c r="T987" s="18" t="s">
        <v>135</v>
      </c>
      <c r="U987" s="18" t="s">
        <v>83</v>
      </c>
      <c r="V987" s="18" t="s">
        <v>95</v>
      </c>
      <c r="W987" s="18" t="s">
        <v>83</v>
      </c>
      <c r="X987" s="18" t="s">
        <v>84</v>
      </c>
      <c r="Y987" s="18" t="s">
        <v>85</v>
      </c>
      <c r="Z987" s="18" t="s">
        <v>86</v>
      </c>
      <c r="AA987" s="18" t="s">
        <v>87</v>
      </c>
      <c r="AB987" s="18" t="s">
        <v>478</v>
      </c>
      <c r="AC987" s="18" t="s">
        <v>479</v>
      </c>
      <c r="AD987" s="18" t="s">
        <v>85</v>
      </c>
      <c r="AE987" s="18" t="s">
        <v>90</v>
      </c>
      <c r="AF987" s="18" t="s">
        <v>138</v>
      </c>
      <c r="AG987" s="18" t="s">
        <v>139</v>
      </c>
      <c r="AH987" s="18" t="s">
        <v>93</v>
      </c>
      <c r="AI987" s="18" t="s">
        <v>94</v>
      </c>
      <c r="AJ987" s="19">
        <v>44907</v>
      </c>
      <c r="AK987" s="22" t="s">
        <v>95</v>
      </c>
      <c r="AL987" s="18" t="s">
        <v>95</v>
      </c>
      <c r="AM987" s="18" t="s">
        <v>95</v>
      </c>
      <c r="AN987" s="18" t="s">
        <v>95</v>
      </c>
      <c r="AO987" s="18" t="s">
        <v>95</v>
      </c>
      <c r="AP987" s="18" t="s">
        <v>95</v>
      </c>
      <c r="AQ987" s="18" t="s">
        <v>95</v>
      </c>
      <c r="AR987" s="18" t="s">
        <v>95</v>
      </c>
      <c r="AS987" s="18" t="s">
        <v>83</v>
      </c>
      <c r="AT987" s="18" t="s">
        <v>83</v>
      </c>
      <c r="AU987" s="18" t="s">
        <v>81</v>
      </c>
      <c r="AV987" s="18" t="s">
        <v>95</v>
      </c>
      <c r="AW987" s="18"/>
      <c r="AX987" s="18"/>
      <c r="AY987" s="18" t="str">
        <f>Pospago[[#This Row],[NUM_TELEFONICO]]&amp;"POSPAGOSI"</f>
        <v>998563499POSPAGOSI</v>
      </c>
      <c r="AZ987" s="18" t="str">
        <f>VLOOKUP(Pospago[[#This Row],[NOM_PLAZA_FINAL]],[1]!Locales[#Data],3,0)</f>
        <v>TIENDA AMERICA</v>
      </c>
      <c r="BA987" s="18" t="str">
        <f>IFERROR(VLOOKUP(Pospago[[#This Row],[USUARIO]],[1]!Personal[#Data],6,0),"EJECUTIVO NO REGISTRADO")</f>
        <v>REINO TUFINO PAULTEH KATHERINE</v>
      </c>
      <c r="BB987" s="18" t="str">
        <f>Pospago[[#This Row],[TIPO_MOVIMIENTO]]&amp;" "&amp;Pospago[[#This Row],[FORMA_PAGO_FINAL]]</f>
        <v>ALTAS DOMICILIADO</v>
      </c>
      <c r="BC987" s="18">
        <f>DAY(Pospago[[#This Row],[FECHA_ALTA]])</f>
        <v>12</v>
      </c>
      <c r="BD987" s="18">
        <f>IF(Pospago[[#This Row],[TARIFA_BASICA]]=11.42,1,0)</f>
        <v>0</v>
      </c>
      <c r="BE987" s="18">
        <f>IF(Pospago[[#This Row],[PLANES TELEVENTAS]]="SI",1,0)</f>
        <v>0</v>
      </c>
      <c r="BF987" s="18">
        <f>1</f>
        <v>1</v>
      </c>
      <c r="BG987" s="18">
        <f>IF(OR(Pospago[[#This Row],[TARIFA_BASICA]]=11.42,Pospago[[#This Row],[PLANES TELEVENTAS]]="SI"),1,0)</f>
        <v>0</v>
      </c>
      <c r="BH987" s="18" t="str">
        <f>IF(MID(Pospago[[#This Row],[PlanDesc]],1,4) = "PLAN","POSPAGO",IF(MID(Pospago[[#This Row],[PlanDesc]],1,4)="FULL","FULL MEGAS","PREVIOPAGO"))</f>
        <v>PREVIOPAGO</v>
      </c>
      <c r="BI9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7" s="21">
        <f>Pospago[[#This Row],[TARIFA_BASICA]]*1.5</f>
        <v>21.419999999999998</v>
      </c>
    </row>
    <row r="988" spans="1:63" x14ac:dyDescent="0.25">
      <c r="A988" s="18" t="s">
        <v>154</v>
      </c>
      <c r="B988" s="18" t="s">
        <v>6163</v>
      </c>
      <c r="C988" s="18" t="s">
        <v>6164</v>
      </c>
      <c r="D988" s="19">
        <v>44912</v>
      </c>
      <c r="E988" s="18" t="s">
        <v>67</v>
      </c>
      <c r="F988" s="18" t="s">
        <v>6165</v>
      </c>
      <c r="G988" s="18" t="s">
        <v>6166</v>
      </c>
      <c r="H988" s="18" t="s">
        <v>159</v>
      </c>
      <c r="I988" s="18" t="s">
        <v>160</v>
      </c>
      <c r="J988" s="18" t="s">
        <v>161</v>
      </c>
      <c r="K988" s="18" t="s">
        <v>132</v>
      </c>
      <c r="L988" s="20" t="s">
        <v>6167</v>
      </c>
      <c r="M988" s="18" t="s">
        <v>75</v>
      </c>
      <c r="N988" s="20" t="s">
        <v>6168</v>
      </c>
      <c r="O988" s="18" t="s">
        <v>164</v>
      </c>
      <c r="P988" s="18" t="s">
        <v>78</v>
      </c>
      <c r="Q988" s="19">
        <v>44914</v>
      </c>
      <c r="R988" s="21">
        <v>14.28</v>
      </c>
      <c r="S988" s="18" t="s">
        <v>79</v>
      </c>
      <c r="T988" s="18" t="s">
        <v>174</v>
      </c>
      <c r="U988" s="18" t="s">
        <v>83</v>
      </c>
      <c r="V988" s="18" t="s">
        <v>95</v>
      </c>
      <c r="W988" s="18" t="s">
        <v>95</v>
      </c>
      <c r="X988" s="18" t="s">
        <v>118</v>
      </c>
      <c r="Y988" s="18" t="s">
        <v>85</v>
      </c>
      <c r="Z988" s="18" t="s">
        <v>86</v>
      </c>
      <c r="AA988" s="18" t="s">
        <v>119</v>
      </c>
      <c r="AB988" s="18" t="s">
        <v>630</v>
      </c>
      <c r="AC988" s="18" t="s">
        <v>631</v>
      </c>
      <c r="AD988" s="18" t="s">
        <v>85</v>
      </c>
      <c r="AE988" s="18" t="s">
        <v>90</v>
      </c>
      <c r="AF988" s="18" t="s">
        <v>177</v>
      </c>
      <c r="AG988" s="18" t="s">
        <v>139</v>
      </c>
      <c r="AH988" s="18" t="s">
        <v>165</v>
      </c>
      <c r="AI988" s="18" t="s">
        <v>94</v>
      </c>
      <c r="AJ988" s="19">
        <v>44912</v>
      </c>
      <c r="AK988" s="22" t="s">
        <v>95</v>
      </c>
      <c r="AL988" s="18" t="s">
        <v>95</v>
      </c>
      <c r="AM988" s="18" t="s">
        <v>95</v>
      </c>
      <c r="AN988" s="18" t="s">
        <v>95</v>
      </c>
      <c r="AO988" s="18" t="s">
        <v>95</v>
      </c>
      <c r="AP988" s="18" t="s">
        <v>95</v>
      </c>
      <c r="AQ988" s="18" t="s">
        <v>95</v>
      </c>
      <c r="AR988" s="18" t="s">
        <v>95</v>
      </c>
      <c r="AS988" s="18" t="s">
        <v>83</v>
      </c>
      <c r="AT988" s="18" t="s">
        <v>83</v>
      </c>
      <c r="AU988" s="18" t="s">
        <v>81</v>
      </c>
      <c r="AV988" s="18" t="s">
        <v>95</v>
      </c>
      <c r="AW988" s="18"/>
      <c r="AX988" s="18"/>
      <c r="AY988" s="18" t="str">
        <f>Pospago[[#This Row],[NUM_TELEFONICO]]&amp;"POSPAGOSI"</f>
        <v>998570429POSPAGOSI</v>
      </c>
      <c r="AZ988" s="18" t="str">
        <f>VLOOKUP(Pospago[[#This Row],[NOM_PLAZA_FINAL]],[1]!Locales[#Data],3,0)</f>
        <v>TIENDA RECREO</v>
      </c>
      <c r="BA988" s="18" t="str">
        <f>IFERROR(VLOOKUP(Pospago[[#This Row],[USUARIO]],[1]!Personal[#Data],6,0),"EJECUTIVO NO REGISTRADO")</f>
        <v>LOAYZA AGUILAR JONATHAN FABIAN</v>
      </c>
      <c r="BB988" s="18" t="str">
        <f>Pospago[[#This Row],[TIPO_MOVIMIENTO]]&amp;" "&amp;Pospago[[#This Row],[FORMA_PAGO_FINAL]]</f>
        <v>TRANSFERENCIAS PAGO EN CAJA</v>
      </c>
      <c r="BC988" s="18">
        <f>DAY(Pospago[[#This Row],[FECHA_ALTA]])</f>
        <v>17</v>
      </c>
      <c r="BD988" s="18">
        <f>IF(Pospago[[#This Row],[TARIFA_BASICA]]=11.42,1,0)</f>
        <v>0</v>
      </c>
      <c r="BE988" s="18">
        <f>IF(Pospago[[#This Row],[PLANES TELEVENTAS]]="SI",1,0)</f>
        <v>0</v>
      </c>
      <c r="BF988" s="18">
        <f>1</f>
        <v>1</v>
      </c>
      <c r="BG988" s="18">
        <f>IF(OR(Pospago[[#This Row],[TARIFA_BASICA]]=11.42,Pospago[[#This Row],[PLANES TELEVENTAS]]="SI"),1,0)</f>
        <v>0</v>
      </c>
      <c r="BH988" s="18" t="str">
        <f>IF(MID(Pospago[[#This Row],[PlanDesc]],1,4) = "PLAN","POSPAGO",IF(MID(Pospago[[#This Row],[PlanDesc]],1,4)="FULL","FULL MEGAS","PREVIOPAGO"))</f>
        <v>PREVIOPAGO</v>
      </c>
      <c r="BI9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8" s="21">
        <f>Pospago[[#This Row],[TARIFA_BASICA]]*1.5</f>
        <v>21.419999999999998</v>
      </c>
    </row>
    <row r="989" spans="1:63" x14ac:dyDescent="0.25">
      <c r="A989" s="18" t="s">
        <v>64</v>
      </c>
      <c r="B989" s="18" t="s">
        <v>6169</v>
      </c>
      <c r="C989" s="18" t="s">
        <v>6170</v>
      </c>
      <c r="D989" s="19">
        <v>44909</v>
      </c>
      <c r="E989" s="18" t="s">
        <v>67</v>
      </c>
      <c r="F989" s="18" t="s">
        <v>6171</v>
      </c>
      <c r="G989" s="18" t="s">
        <v>6172</v>
      </c>
      <c r="H989" s="18" t="s">
        <v>70</v>
      </c>
      <c r="I989" s="18" t="s">
        <v>227</v>
      </c>
      <c r="J989" s="18" t="s">
        <v>228</v>
      </c>
      <c r="K989" s="18" t="s">
        <v>73</v>
      </c>
      <c r="L989" s="20" t="s">
        <v>6173</v>
      </c>
      <c r="M989" s="18" t="s">
        <v>75</v>
      </c>
      <c r="N989" s="20" t="s">
        <v>6174</v>
      </c>
      <c r="O989" s="18" t="s">
        <v>77</v>
      </c>
      <c r="P989" s="18" t="s">
        <v>78</v>
      </c>
      <c r="Q989" s="19">
        <v>44914</v>
      </c>
      <c r="R989" s="21">
        <v>21.42</v>
      </c>
      <c r="S989" s="18" t="s">
        <v>79</v>
      </c>
      <c r="T989" s="18" t="s">
        <v>148</v>
      </c>
      <c r="U989" s="18" t="s">
        <v>83</v>
      </c>
      <c r="V989" s="18" t="s">
        <v>95</v>
      </c>
      <c r="W989" s="18" t="s">
        <v>83</v>
      </c>
      <c r="X989" s="18" t="s">
        <v>215</v>
      </c>
      <c r="Y989" s="18" t="s">
        <v>85</v>
      </c>
      <c r="Z989" s="18" t="s">
        <v>86</v>
      </c>
      <c r="AA989" s="18" t="s">
        <v>87</v>
      </c>
      <c r="AB989" s="18" t="s">
        <v>610</v>
      </c>
      <c r="AC989" s="18" t="s">
        <v>611</v>
      </c>
      <c r="AD989" s="18" t="s">
        <v>85</v>
      </c>
      <c r="AE989" s="18" t="s">
        <v>90</v>
      </c>
      <c r="AF989" s="18" t="s">
        <v>151</v>
      </c>
      <c r="AG989" s="18" t="s">
        <v>92</v>
      </c>
      <c r="AH989" s="18" t="s">
        <v>93</v>
      </c>
      <c r="AI989" s="18" t="s">
        <v>94</v>
      </c>
      <c r="AJ989" s="19">
        <v>44909</v>
      </c>
      <c r="AK989" s="22" t="s">
        <v>95</v>
      </c>
      <c r="AL989" s="18" t="s">
        <v>95</v>
      </c>
      <c r="AM989" s="18" t="s">
        <v>95</v>
      </c>
      <c r="AN989" s="18" t="s">
        <v>95</v>
      </c>
      <c r="AO989" s="18" t="s">
        <v>95</v>
      </c>
      <c r="AP989" s="18" t="s">
        <v>95</v>
      </c>
      <c r="AQ989" s="18" t="s">
        <v>95</v>
      </c>
      <c r="AR989" s="18" t="s">
        <v>95</v>
      </c>
      <c r="AS989" s="18" t="s">
        <v>83</v>
      </c>
      <c r="AT989" s="18" t="s">
        <v>83</v>
      </c>
      <c r="AU989" s="18" t="s">
        <v>81</v>
      </c>
      <c r="AV989" s="18" t="s">
        <v>95</v>
      </c>
      <c r="AW989" s="18"/>
      <c r="AX989" s="18"/>
      <c r="AY989" s="18" t="str">
        <f>Pospago[[#This Row],[NUM_TELEFONICO]]&amp;"POSPAGOSI"</f>
        <v>998571250POSPAGOSI</v>
      </c>
      <c r="AZ989" s="18" t="str">
        <f>VLOOKUP(Pospago[[#This Row],[NOM_PLAZA_FINAL]],[1]!Locales[#Data],3,0)</f>
        <v>TIENDA CUENCA REMIGIO</v>
      </c>
      <c r="BA989" s="18" t="str">
        <f>IFERROR(VLOOKUP(Pospago[[#This Row],[USUARIO]],[1]!Personal[#Data],6,0),"EJECUTIVO NO REGISTRADO")</f>
        <v>PATIÑO TAPIA ANDRES SANTIAGO</v>
      </c>
      <c r="BB989" s="18" t="str">
        <f>Pospago[[#This Row],[TIPO_MOVIMIENTO]]&amp;" "&amp;Pospago[[#This Row],[FORMA_PAGO_FINAL]]</f>
        <v>ALTAS DOMICILIADO</v>
      </c>
      <c r="BC989" s="18">
        <f>DAY(Pospago[[#This Row],[FECHA_ALTA]])</f>
        <v>14</v>
      </c>
      <c r="BD989" s="18">
        <f>IF(Pospago[[#This Row],[TARIFA_BASICA]]=11.42,1,0)</f>
        <v>0</v>
      </c>
      <c r="BE989" s="18">
        <f>IF(Pospago[[#This Row],[PLANES TELEVENTAS]]="SI",1,0)</f>
        <v>0</v>
      </c>
      <c r="BF989" s="18">
        <f>1</f>
        <v>1</v>
      </c>
      <c r="BG989" s="18">
        <f>IF(OR(Pospago[[#This Row],[TARIFA_BASICA]]=11.42,Pospago[[#This Row],[PLANES TELEVENTAS]]="SI"),1,0)</f>
        <v>0</v>
      </c>
      <c r="BH989" s="18" t="str">
        <f>IF(MID(Pospago[[#This Row],[PlanDesc]],1,4) = "PLAN","POSPAGO",IF(MID(Pospago[[#This Row],[PlanDesc]],1,4)="FULL","FULL MEGAS","PREVIOPAGO"))</f>
        <v>PREVIOPAGO</v>
      </c>
      <c r="BI9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9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89" s="21">
        <f>Pospago[[#This Row],[TARIFA_BASICA]]*1.5</f>
        <v>32.130000000000003</v>
      </c>
    </row>
    <row r="990" spans="1:63" x14ac:dyDescent="0.25">
      <c r="A990" s="18" t="s">
        <v>64</v>
      </c>
      <c r="B990" s="18" t="s">
        <v>6175</v>
      </c>
      <c r="C990" s="18" t="s">
        <v>6176</v>
      </c>
      <c r="D990" s="19">
        <v>44903</v>
      </c>
      <c r="E990" s="18" t="s">
        <v>67</v>
      </c>
      <c r="F990" s="18" t="s">
        <v>6177</v>
      </c>
      <c r="G990" s="18" t="s">
        <v>6178</v>
      </c>
      <c r="H990" s="18" t="s">
        <v>193</v>
      </c>
      <c r="I990" s="18" t="s">
        <v>1357</v>
      </c>
      <c r="J990" s="18" t="s">
        <v>72</v>
      </c>
      <c r="K990" s="18" t="s">
        <v>132</v>
      </c>
      <c r="L990" s="20" t="s">
        <v>6179</v>
      </c>
      <c r="M990" s="18" t="s">
        <v>75</v>
      </c>
      <c r="N990" s="20" t="s">
        <v>6180</v>
      </c>
      <c r="O990" s="18" t="s">
        <v>77</v>
      </c>
      <c r="P990" s="18" t="s">
        <v>78</v>
      </c>
      <c r="Q990" s="19">
        <v>44914</v>
      </c>
      <c r="R990" s="21">
        <v>11.42</v>
      </c>
      <c r="S990" s="18" t="s">
        <v>79</v>
      </c>
      <c r="T990" s="18" t="s">
        <v>174</v>
      </c>
      <c r="U990" s="18" t="s">
        <v>83</v>
      </c>
      <c r="V990" s="18" t="s">
        <v>95</v>
      </c>
      <c r="W990" s="18" t="s">
        <v>83</v>
      </c>
      <c r="X990" s="18" t="s">
        <v>84</v>
      </c>
      <c r="Y990" s="18" t="s">
        <v>85</v>
      </c>
      <c r="Z990" s="18" t="s">
        <v>86</v>
      </c>
      <c r="AA990" s="18" t="s">
        <v>87</v>
      </c>
      <c r="AB990" s="18" t="s">
        <v>175</v>
      </c>
      <c r="AC990" s="18" t="s">
        <v>176</v>
      </c>
      <c r="AD990" s="18" t="s">
        <v>85</v>
      </c>
      <c r="AE990" s="18" t="s">
        <v>90</v>
      </c>
      <c r="AF990" s="18" t="s">
        <v>177</v>
      </c>
      <c r="AG990" s="18" t="s">
        <v>139</v>
      </c>
      <c r="AH990" s="18" t="s">
        <v>93</v>
      </c>
      <c r="AI990" s="18" t="s">
        <v>94</v>
      </c>
      <c r="AJ990" s="19">
        <v>44903</v>
      </c>
      <c r="AK990" s="22" t="s">
        <v>95</v>
      </c>
      <c r="AL990" s="18" t="s">
        <v>95</v>
      </c>
      <c r="AM990" s="18" t="s">
        <v>95</v>
      </c>
      <c r="AN990" s="18" t="s">
        <v>95</v>
      </c>
      <c r="AO990" s="18" t="s">
        <v>95</v>
      </c>
      <c r="AP990" s="18" t="s">
        <v>95</v>
      </c>
      <c r="AQ990" s="18" t="s">
        <v>95</v>
      </c>
      <c r="AR990" s="18" t="s">
        <v>95</v>
      </c>
      <c r="AS990" s="18" t="s">
        <v>83</v>
      </c>
      <c r="AT990" s="18" t="s">
        <v>81</v>
      </c>
      <c r="AU990" s="18" t="s">
        <v>81</v>
      </c>
      <c r="AV990" s="18" t="s">
        <v>95</v>
      </c>
      <c r="AW990" s="18"/>
      <c r="AX990" s="18"/>
      <c r="AY990" s="18" t="str">
        <f>Pospago[[#This Row],[NUM_TELEFONICO]]&amp;"POSPAGOSI"</f>
        <v>998584368POSPAGOSI</v>
      </c>
      <c r="AZ990" s="18" t="str">
        <f>VLOOKUP(Pospago[[#This Row],[NOM_PLAZA_FINAL]],[1]!Locales[#Data],3,0)</f>
        <v>TIENDA RECREO</v>
      </c>
      <c r="BA990" s="18" t="str">
        <f>IFERROR(VLOOKUP(Pospago[[#This Row],[USUARIO]],[1]!Personal[#Data],6,0),"EJECUTIVO NO REGISTRADO")</f>
        <v>VARGAS REYES LUIS EDUARDO</v>
      </c>
      <c r="BB990" s="18" t="str">
        <f>Pospago[[#This Row],[TIPO_MOVIMIENTO]]&amp;" "&amp;Pospago[[#This Row],[FORMA_PAGO_FINAL]]</f>
        <v>ALTAS DOMICILIADO</v>
      </c>
      <c r="BC990" s="18">
        <f>DAY(Pospago[[#This Row],[FECHA_ALTA]])</f>
        <v>8</v>
      </c>
      <c r="BD990" s="18">
        <f>IF(Pospago[[#This Row],[TARIFA_BASICA]]=11.42,1,0)</f>
        <v>1</v>
      </c>
      <c r="BE990" s="18">
        <f>IF(Pospago[[#This Row],[PLANES TELEVENTAS]]="SI",1,0)</f>
        <v>1</v>
      </c>
      <c r="BF990" s="18">
        <f>1</f>
        <v>1</v>
      </c>
      <c r="BG990" s="18">
        <f>IF(OR(Pospago[[#This Row],[TARIFA_BASICA]]=11.42,Pospago[[#This Row],[PLANES TELEVENTAS]]="SI"),1,0)</f>
        <v>1</v>
      </c>
      <c r="BH990" s="18" t="str">
        <f>IF(MID(Pospago[[#This Row],[PlanDesc]],1,4) = "PLAN","POSPAGO",IF(MID(Pospago[[#This Row],[PlanDesc]],1,4)="FULL","FULL MEGAS","PREVIOPAGO"))</f>
        <v>PREVIOPAGO</v>
      </c>
      <c r="BI9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9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990" s="21">
        <f>Pospago[[#This Row],[TARIFA_BASICA]]*1.5</f>
        <v>17.13</v>
      </c>
    </row>
    <row r="991" spans="1:63" x14ac:dyDescent="0.25">
      <c r="A991" s="18" t="s">
        <v>154</v>
      </c>
      <c r="B991" s="18" t="s">
        <v>6181</v>
      </c>
      <c r="C991" s="18" t="s">
        <v>6182</v>
      </c>
      <c r="D991" s="19">
        <v>44907</v>
      </c>
      <c r="E991" s="18" t="s">
        <v>67</v>
      </c>
      <c r="F991" s="18" t="s">
        <v>6183</v>
      </c>
      <c r="G991" s="18" t="s">
        <v>6184</v>
      </c>
      <c r="H991" s="18" t="s">
        <v>159</v>
      </c>
      <c r="I991" s="18" t="s">
        <v>160</v>
      </c>
      <c r="J991" s="18" t="s">
        <v>161</v>
      </c>
      <c r="K991" s="18" t="s">
        <v>132</v>
      </c>
      <c r="L991" s="20" t="s">
        <v>6185</v>
      </c>
      <c r="M991" s="18" t="s">
        <v>75</v>
      </c>
      <c r="N991" s="20" t="s">
        <v>6186</v>
      </c>
      <c r="O991" s="18" t="s">
        <v>164</v>
      </c>
      <c r="P991" s="18" t="s">
        <v>78</v>
      </c>
      <c r="Q991" s="19">
        <v>44914</v>
      </c>
      <c r="R991" s="21">
        <v>14.28</v>
      </c>
      <c r="S991" s="18" t="s">
        <v>79</v>
      </c>
      <c r="T991" s="18" t="s">
        <v>174</v>
      </c>
      <c r="U991" s="18" t="s">
        <v>83</v>
      </c>
      <c r="V991" s="18" t="s">
        <v>95</v>
      </c>
      <c r="W991" s="18" t="s">
        <v>95</v>
      </c>
      <c r="X991" s="18" t="s">
        <v>118</v>
      </c>
      <c r="Y991" s="18" t="s">
        <v>85</v>
      </c>
      <c r="Z991" s="18" t="s">
        <v>86</v>
      </c>
      <c r="AA991" s="18" t="s">
        <v>119</v>
      </c>
      <c r="AB991" s="18" t="s">
        <v>303</v>
      </c>
      <c r="AC991" s="18" t="s">
        <v>304</v>
      </c>
      <c r="AD991" s="18" t="s">
        <v>85</v>
      </c>
      <c r="AE991" s="18" t="s">
        <v>90</v>
      </c>
      <c r="AF991" s="18" t="s">
        <v>177</v>
      </c>
      <c r="AG991" s="18" t="s">
        <v>139</v>
      </c>
      <c r="AH991" s="18" t="s">
        <v>165</v>
      </c>
      <c r="AI991" s="18" t="s">
        <v>94</v>
      </c>
      <c r="AJ991" s="19">
        <v>44907</v>
      </c>
      <c r="AK991" s="22" t="s">
        <v>95</v>
      </c>
      <c r="AL991" s="18" t="s">
        <v>95</v>
      </c>
      <c r="AM991" s="18" t="s">
        <v>95</v>
      </c>
      <c r="AN991" s="18" t="s">
        <v>95</v>
      </c>
      <c r="AO991" s="18" t="s">
        <v>95</v>
      </c>
      <c r="AP991" s="18" t="s">
        <v>95</v>
      </c>
      <c r="AQ991" s="18" t="s">
        <v>95</v>
      </c>
      <c r="AR991" s="18" t="s">
        <v>95</v>
      </c>
      <c r="AS991" s="18" t="s">
        <v>83</v>
      </c>
      <c r="AT991" s="18" t="s">
        <v>83</v>
      </c>
      <c r="AU991" s="18" t="s">
        <v>81</v>
      </c>
      <c r="AV991" s="18" t="s">
        <v>95</v>
      </c>
      <c r="AW991" s="18"/>
      <c r="AX991" s="18"/>
      <c r="AY991" s="18" t="str">
        <f>Pospago[[#This Row],[NUM_TELEFONICO]]&amp;"POSPAGOSI"</f>
        <v>998585388POSPAGOSI</v>
      </c>
      <c r="AZ991" s="18" t="str">
        <f>VLOOKUP(Pospago[[#This Row],[NOM_PLAZA_FINAL]],[1]!Locales[#Data],3,0)</f>
        <v>TIENDA RECREO</v>
      </c>
      <c r="BA991" s="18" t="str">
        <f>IFERROR(VLOOKUP(Pospago[[#This Row],[USUARIO]],[1]!Personal[#Data],6,0),"EJECUTIVO NO REGISTRADO")</f>
        <v>CORDOVA GAIBOR JONATHAN HERNAN</v>
      </c>
      <c r="BB991" s="18" t="str">
        <f>Pospago[[#This Row],[TIPO_MOVIMIENTO]]&amp;" "&amp;Pospago[[#This Row],[FORMA_PAGO_FINAL]]</f>
        <v>TRANSFERENCIAS PAGO EN CAJA</v>
      </c>
      <c r="BC991" s="18">
        <f>DAY(Pospago[[#This Row],[FECHA_ALTA]])</f>
        <v>12</v>
      </c>
      <c r="BD991" s="18">
        <f>IF(Pospago[[#This Row],[TARIFA_BASICA]]=11.42,1,0)</f>
        <v>0</v>
      </c>
      <c r="BE991" s="18">
        <f>IF(Pospago[[#This Row],[PLANES TELEVENTAS]]="SI",1,0)</f>
        <v>0</v>
      </c>
      <c r="BF991" s="18">
        <f>1</f>
        <v>1</v>
      </c>
      <c r="BG991" s="18">
        <f>IF(OR(Pospago[[#This Row],[TARIFA_BASICA]]=11.42,Pospago[[#This Row],[PLANES TELEVENTAS]]="SI"),1,0)</f>
        <v>0</v>
      </c>
      <c r="BH991" s="18" t="str">
        <f>IF(MID(Pospago[[#This Row],[PlanDesc]],1,4) = "PLAN","POSPAGO",IF(MID(Pospago[[#This Row],[PlanDesc]],1,4)="FULL","FULL MEGAS","PREVIOPAGO"))</f>
        <v>PREVIOPAGO</v>
      </c>
      <c r="BI9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9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91" s="21">
        <f>Pospago[[#This Row],[TARIFA_BASICA]]*1.5</f>
        <v>21.419999999999998</v>
      </c>
    </row>
    <row r="992" spans="1:63" x14ac:dyDescent="0.25">
      <c r="A992" s="18" t="s">
        <v>154</v>
      </c>
      <c r="B992" s="18" t="s">
        <v>6187</v>
      </c>
      <c r="C992" s="18" t="s">
        <v>6188</v>
      </c>
      <c r="D992" s="19">
        <v>44902</v>
      </c>
      <c r="E992" s="18" t="s">
        <v>67</v>
      </c>
      <c r="F992" s="18" t="s">
        <v>6189</v>
      </c>
      <c r="G992" s="18" t="s">
        <v>6190</v>
      </c>
      <c r="H992" s="18" t="s">
        <v>159</v>
      </c>
      <c r="I992" s="18" t="s">
        <v>160</v>
      </c>
      <c r="J992" s="18" t="s">
        <v>161</v>
      </c>
      <c r="K992" s="18" t="s">
        <v>73</v>
      </c>
      <c r="L992" s="20" t="s">
        <v>6191</v>
      </c>
      <c r="M992" s="18" t="s">
        <v>287</v>
      </c>
      <c r="N992" s="20" t="s">
        <v>6192</v>
      </c>
      <c r="O992" s="18" t="s">
        <v>164</v>
      </c>
      <c r="P992" s="18" t="s">
        <v>78</v>
      </c>
      <c r="Q992" s="19">
        <v>44914</v>
      </c>
      <c r="R992" s="21">
        <v>14.28</v>
      </c>
      <c r="S992" s="18" t="s">
        <v>79</v>
      </c>
      <c r="T992" s="18" t="s">
        <v>174</v>
      </c>
      <c r="U992" s="18" t="s">
        <v>83</v>
      </c>
      <c r="V992" s="18" t="s">
        <v>95</v>
      </c>
      <c r="W992" s="18" t="s">
        <v>95</v>
      </c>
      <c r="X992" s="18" t="s">
        <v>84</v>
      </c>
      <c r="Y992" s="18" t="s">
        <v>85</v>
      </c>
      <c r="Z992" s="18" t="s">
        <v>86</v>
      </c>
      <c r="AA992" s="18" t="s">
        <v>87</v>
      </c>
      <c r="AB992" s="18" t="s">
        <v>262</v>
      </c>
      <c r="AC992" s="18" t="s">
        <v>263</v>
      </c>
      <c r="AD992" s="18" t="s">
        <v>85</v>
      </c>
      <c r="AE992" s="18" t="s">
        <v>90</v>
      </c>
      <c r="AF992" s="18" t="s">
        <v>177</v>
      </c>
      <c r="AG992" s="18" t="s">
        <v>139</v>
      </c>
      <c r="AH992" s="18" t="s">
        <v>165</v>
      </c>
      <c r="AI992" s="18" t="s">
        <v>94</v>
      </c>
      <c r="AJ992" s="19">
        <v>44902</v>
      </c>
      <c r="AK992" s="22">
        <v>44902</v>
      </c>
      <c r="AL992" s="18" t="s">
        <v>291</v>
      </c>
      <c r="AM992" s="18" t="s">
        <v>292</v>
      </c>
      <c r="AN992" s="18" t="s">
        <v>293</v>
      </c>
      <c r="AO992" s="18" t="s">
        <v>543</v>
      </c>
      <c r="AP992" s="18">
        <v>1</v>
      </c>
      <c r="AQ992" s="18">
        <v>205.35713999999999</v>
      </c>
      <c r="AR992" s="18" t="s">
        <v>295</v>
      </c>
      <c r="AS992" s="18" t="s">
        <v>81</v>
      </c>
      <c r="AT992" s="18" t="s">
        <v>83</v>
      </c>
      <c r="AU992" s="18" t="s">
        <v>81</v>
      </c>
      <c r="AV992" s="18" t="s">
        <v>95</v>
      </c>
      <c r="AW992" s="18"/>
      <c r="AX992" s="18"/>
      <c r="AY992" s="18" t="str">
        <f>Pospago[[#This Row],[NUM_TELEFONICO]]&amp;"POSPAGOSI"</f>
        <v>998590739POSPAGOSI</v>
      </c>
      <c r="AZ992" s="18" t="str">
        <f>VLOOKUP(Pospago[[#This Row],[NOM_PLAZA_FINAL]],[1]!Locales[#Data],3,0)</f>
        <v>TIENDA RECREO</v>
      </c>
      <c r="BA992" s="18" t="str">
        <f>IFERROR(VLOOKUP(Pospago[[#This Row],[USUARIO]],[1]!Personal[#Data],6,0),"EJECUTIVO NO REGISTRADO")</f>
        <v>CHICAIZA TOAPANTA ALEX DANILO</v>
      </c>
      <c r="BB992" s="18" t="str">
        <f>Pospago[[#This Row],[TIPO_MOVIMIENTO]]&amp;" "&amp;Pospago[[#This Row],[FORMA_PAGO_FINAL]]</f>
        <v>TRANSFERENCIAS DOMICILIADO</v>
      </c>
      <c r="BC992" s="18">
        <f>DAY(Pospago[[#This Row],[FECHA_ALTA]])</f>
        <v>7</v>
      </c>
      <c r="BD992" s="18">
        <f>IF(Pospago[[#This Row],[TARIFA_BASICA]]=11.42,1,0)</f>
        <v>0</v>
      </c>
      <c r="BE992" s="18">
        <f>IF(Pospago[[#This Row],[PLANES TELEVENTAS]]="SI",1,0)</f>
        <v>0</v>
      </c>
      <c r="BF992" s="18">
        <f>1</f>
        <v>1</v>
      </c>
      <c r="BG992" s="18">
        <f>IF(OR(Pospago[[#This Row],[TARIFA_BASICA]]=11.42,Pospago[[#This Row],[PLANES TELEVENTAS]]="SI"),1,0)</f>
        <v>0</v>
      </c>
      <c r="BH992" s="18" t="str">
        <f>IF(MID(Pospago[[#This Row],[PlanDesc]],1,4) = "PLAN","POSPAGO",IF(MID(Pospago[[#This Row],[PlanDesc]],1,4)="FULL","FULL MEGAS","PREVIOPAGO"))</f>
        <v>PREVIOPAGO</v>
      </c>
      <c r="BI9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92" s="21">
        <f>Pospago[[#This Row],[TARIFA_BASICA]]*1.5</f>
        <v>21.419999999999998</v>
      </c>
    </row>
    <row r="993" spans="1:63" x14ac:dyDescent="0.25">
      <c r="A993" s="18" t="s">
        <v>154</v>
      </c>
      <c r="B993" s="18" t="s">
        <v>6193</v>
      </c>
      <c r="C993" s="18" t="s">
        <v>6194</v>
      </c>
      <c r="D993" s="19">
        <v>44904</v>
      </c>
      <c r="E993" s="18" t="s">
        <v>67</v>
      </c>
      <c r="F993" s="18" t="s">
        <v>6195</v>
      </c>
      <c r="G993" s="18" t="s">
        <v>6196</v>
      </c>
      <c r="H993" s="18" t="s">
        <v>159</v>
      </c>
      <c r="I993" s="18" t="s">
        <v>160</v>
      </c>
      <c r="J993" s="18" t="s">
        <v>161</v>
      </c>
      <c r="K993" s="18" t="s">
        <v>132</v>
      </c>
      <c r="L993" s="20" t="s">
        <v>6197</v>
      </c>
      <c r="M993" s="18" t="s">
        <v>75</v>
      </c>
      <c r="N993" s="20" t="s">
        <v>6198</v>
      </c>
      <c r="O993" s="18" t="s">
        <v>2241</v>
      </c>
      <c r="P993" s="18" t="s">
        <v>78</v>
      </c>
      <c r="Q993" s="19">
        <v>44914</v>
      </c>
      <c r="R993" s="21">
        <v>14.28</v>
      </c>
      <c r="S993" s="18" t="s">
        <v>79</v>
      </c>
      <c r="T993" s="18" t="s">
        <v>135</v>
      </c>
      <c r="U993" s="18" t="s">
        <v>83</v>
      </c>
      <c r="V993" s="18" t="s">
        <v>95</v>
      </c>
      <c r="W993" s="18" t="s">
        <v>95</v>
      </c>
      <c r="X993" s="18" t="s">
        <v>84</v>
      </c>
      <c r="Y993" s="18" t="s">
        <v>85</v>
      </c>
      <c r="Z993" s="18" t="s">
        <v>86</v>
      </c>
      <c r="AA993" s="18" t="s">
        <v>87</v>
      </c>
      <c r="AB993" s="18" t="s">
        <v>665</v>
      </c>
      <c r="AC993" s="18" t="s">
        <v>666</v>
      </c>
      <c r="AD993" s="18" t="s">
        <v>85</v>
      </c>
      <c r="AE993" s="18" t="s">
        <v>90</v>
      </c>
      <c r="AF993" s="18" t="s">
        <v>138</v>
      </c>
      <c r="AG993" s="18" t="s">
        <v>139</v>
      </c>
      <c r="AH993" s="18" t="s">
        <v>165</v>
      </c>
      <c r="AI993" s="18" t="s">
        <v>94</v>
      </c>
      <c r="AJ993" s="19">
        <v>44904</v>
      </c>
      <c r="AK993" s="22" t="s">
        <v>95</v>
      </c>
      <c r="AL993" s="18" t="s">
        <v>95</v>
      </c>
      <c r="AM993" s="18" t="s">
        <v>95</v>
      </c>
      <c r="AN993" s="18" t="s">
        <v>95</v>
      </c>
      <c r="AO993" s="18" t="s">
        <v>95</v>
      </c>
      <c r="AP993" s="18" t="s">
        <v>95</v>
      </c>
      <c r="AQ993" s="18" t="s">
        <v>95</v>
      </c>
      <c r="AR993" s="18" t="s">
        <v>95</v>
      </c>
      <c r="AS993" s="18" t="s">
        <v>83</v>
      </c>
      <c r="AT993" s="18" t="s">
        <v>83</v>
      </c>
      <c r="AU993" s="18" t="s">
        <v>81</v>
      </c>
      <c r="AV993" s="18" t="s">
        <v>95</v>
      </c>
      <c r="AW993" s="18"/>
      <c r="AX993" s="18"/>
      <c r="AY993" s="18" t="str">
        <f>Pospago[[#This Row],[NUM_TELEFONICO]]&amp;"POSPAGOSI"</f>
        <v>998601913POSPAGOSI</v>
      </c>
      <c r="AZ993" s="18" t="str">
        <f>VLOOKUP(Pospago[[#This Row],[NOM_PLAZA_FINAL]],[1]!Locales[#Data],3,0)</f>
        <v>TIENDA AMERICA</v>
      </c>
      <c r="BA993" s="18" t="str">
        <f>IFERROR(VLOOKUP(Pospago[[#This Row],[USUARIO]],[1]!Personal[#Data],6,0),"EJECUTIVO NO REGISTRADO")</f>
        <v>ROSERO CAICEDO JAIRO STEFANO</v>
      </c>
      <c r="BB993" s="18" t="str">
        <f>Pospago[[#This Row],[TIPO_MOVIMIENTO]]&amp;" "&amp;Pospago[[#This Row],[FORMA_PAGO_FINAL]]</f>
        <v>TRANSFERENCIAS DOMICILIADO</v>
      </c>
      <c r="BC993" s="18">
        <f>DAY(Pospago[[#This Row],[FECHA_ALTA]])</f>
        <v>9</v>
      </c>
      <c r="BD993" s="18">
        <f>IF(Pospago[[#This Row],[TARIFA_BASICA]]=11.42,1,0)</f>
        <v>0</v>
      </c>
      <c r="BE993" s="18">
        <f>IF(Pospago[[#This Row],[PLANES TELEVENTAS]]="SI",1,0)</f>
        <v>0</v>
      </c>
      <c r="BF993" s="18">
        <f>1</f>
        <v>1</v>
      </c>
      <c r="BG993" s="18">
        <f>IF(OR(Pospago[[#This Row],[TARIFA_BASICA]]=11.42,Pospago[[#This Row],[PLANES TELEVENTAS]]="SI"),1,0)</f>
        <v>0</v>
      </c>
      <c r="BH993" s="18" t="str">
        <f>IF(MID(Pospago[[#This Row],[PlanDesc]],1,4) = "PLAN","POSPAGO",IF(MID(Pospago[[#This Row],[PlanDesc]],1,4)="FULL","FULL MEGAS","PREVIOPAGO"))</f>
        <v>PREVIOPAGO</v>
      </c>
      <c r="BI9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93" s="21">
        <f>Pospago[[#This Row],[TARIFA_BASICA]]*1.5</f>
        <v>21.419999999999998</v>
      </c>
    </row>
    <row r="994" spans="1:63" x14ac:dyDescent="0.25">
      <c r="A994" s="18" t="s">
        <v>154</v>
      </c>
      <c r="B994" s="18" t="s">
        <v>6199</v>
      </c>
      <c r="C994" s="18" t="s">
        <v>6200</v>
      </c>
      <c r="D994" s="19">
        <v>44908</v>
      </c>
      <c r="E994" s="18" t="s">
        <v>67</v>
      </c>
      <c r="F994" s="18" t="s">
        <v>6201</v>
      </c>
      <c r="G994" s="18" t="s">
        <v>6202</v>
      </c>
      <c r="H994" s="18" t="s">
        <v>159</v>
      </c>
      <c r="I994" s="18" t="s">
        <v>160</v>
      </c>
      <c r="J994" s="18" t="s">
        <v>161</v>
      </c>
      <c r="K994" s="18" t="s">
        <v>95</v>
      </c>
      <c r="L994" s="20" t="s">
        <v>6203</v>
      </c>
      <c r="M994" s="18" t="s">
        <v>75</v>
      </c>
      <c r="N994" s="20" t="s">
        <v>6204</v>
      </c>
      <c r="O994" s="18" t="s">
        <v>164</v>
      </c>
      <c r="P994" s="18" t="s">
        <v>78</v>
      </c>
      <c r="Q994" s="19">
        <v>44914</v>
      </c>
      <c r="R994" s="21">
        <v>14.28</v>
      </c>
      <c r="S994" s="18" t="s">
        <v>79</v>
      </c>
      <c r="T994" s="18" t="s">
        <v>117</v>
      </c>
      <c r="U994" s="18" t="s">
        <v>83</v>
      </c>
      <c r="V994" s="18" t="s">
        <v>95</v>
      </c>
      <c r="W994" s="18" t="s">
        <v>95</v>
      </c>
      <c r="X994" s="18" t="s">
        <v>118</v>
      </c>
      <c r="Y994" s="18" t="s">
        <v>85</v>
      </c>
      <c r="Z994" s="18" t="s">
        <v>86</v>
      </c>
      <c r="AA994" s="18" t="s">
        <v>119</v>
      </c>
      <c r="AB994" s="18" t="s">
        <v>120</v>
      </c>
      <c r="AC994" s="18" t="s">
        <v>121</v>
      </c>
      <c r="AD994" s="18" t="s">
        <v>85</v>
      </c>
      <c r="AE994" s="18" t="s">
        <v>90</v>
      </c>
      <c r="AF994" s="18" t="s">
        <v>122</v>
      </c>
      <c r="AG994" s="18" t="s">
        <v>92</v>
      </c>
      <c r="AH994" s="18" t="s">
        <v>165</v>
      </c>
      <c r="AI994" s="18" t="s">
        <v>94</v>
      </c>
      <c r="AJ994" s="19">
        <v>44908</v>
      </c>
      <c r="AK994" s="22" t="s">
        <v>95</v>
      </c>
      <c r="AL994" s="18" t="s">
        <v>95</v>
      </c>
      <c r="AM994" s="18" t="s">
        <v>95</v>
      </c>
      <c r="AN994" s="18" t="s">
        <v>95</v>
      </c>
      <c r="AO994" s="18" t="s">
        <v>95</v>
      </c>
      <c r="AP994" s="18" t="s">
        <v>95</v>
      </c>
      <c r="AQ994" s="18" t="s">
        <v>95</v>
      </c>
      <c r="AR994" s="18" t="s">
        <v>95</v>
      </c>
      <c r="AS994" s="18" t="s">
        <v>83</v>
      </c>
      <c r="AT994" s="18" t="s">
        <v>83</v>
      </c>
      <c r="AU994" s="18" t="s">
        <v>81</v>
      </c>
      <c r="AV994" s="18" t="s">
        <v>95</v>
      </c>
      <c r="AW994" s="18"/>
      <c r="AX994" s="18"/>
      <c r="AY994" s="18" t="str">
        <f>Pospago[[#This Row],[NUM_TELEFONICO]]&amp;"POSPAGOSI"</f>
        <v>998634732POSPAGOSI</v>
      </c>
      <c r="AZ994" s="18" t="str">
        <f>VLOOKUP(Pospago[[#This Row],[NOM_PLAZA_FINAL]],[1]!Locales[#Data],3,0)</f>
        <v>TIENDA MACHALA</v>
      </c>
      <c r="BA994" s="18" t="str">
        <f>IFERROR(VLOOKUP(Pospago[[#This Row],[USUARIO]],[1]!Personal[#Data],6,0),"EJECUTIVO NO REGISTRADO")</f>
        <v>ARROBO VICENTE YADIRA ESPERANZA</v>
      </c>
      <c r="BB994" s="18" t="str">
        <f>Pospago[[#This Row],[TIPO_MOVIMIENTO]]&amp;" "&amp;Pospago[[#This Row],[FORMA_PAGO_FINAL]]</f>
        <v>TRANSFERENCIAS PAGO EN CAJA</v>
      </c>
      <c r="BC994" s="18">
        <f>DAY(Pospago[[#This Row],[FECHA_ALTA]])</f>
        <v>13</v>
      </c>
      <c r="BD994" s="18">
        <f>IF(Pospago[[#This Row],[TARIFA_BASICA]]=11.42,1,0)</f>
        <v>0</v>
      </c>
      <c r="BE994" s="18">
        <f>IF(Pospago[[#This Row],[PLANES TELEVENTAS]]="SI",1,0)</f>
        <v>0</v>
      </c>
      <c r="BF994" s="18">
        <f>1</f>
        <v>1</v>
      </c>
      <c r="BG994" s="18">
        <f>IF(OR(Pospago[[#This Row],[TARIFA_BASICA]]=11.42,Pospago[[#This Row],[PLANES TELEVENTAS]]="SI"),1,0)</f>
        <v>0</v>
      </c>
      <c r="BH994" s="18" t="str">
        <f>IF(MID(Pospago[[#This Row],[PlanDesc]],1,4) = "PLAN","POSPAGO",IF(MID(Pospago[[#This Row],[PlanDesc]],1,4)="FULL","FULL MEGAS","PREVIOPAGO"))</f>
        <v>PREVIOPAGO</v>
      </c>
      <c r="BI9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5.4359999999999999</v>
      </c>
      <c r="BJ9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94" s="21">
        <f>Pospago[[#This Row],[TARIFA_BASICA]]*1.5</f>
        <v>21.419999999999998</v>
      </c>
    </row>
    <row r="995" spans="1:63" x14ac:dyDescent="0.25">
      <c r="A995" s="18" t="s">
        <v>154</v>
      </c>
      <c r="B995" s="18" t="s">
        <v>6205</v>
      </c>
      <c r="C995" s="18" t="s">
        <v>6206</v>
      </c>
      <c r="D995" s="19">
        <v>44912</v>
      </c>
      <c r="E995" s="18" t="s">
        <v>67</v>
      </c>
      <c r="F995" s="18" t="s">
        <v>6207</v>
      </c>
      <c r="G995" s="18" t="s">
        <v>6208</v>
      </c>
      <c r="H995" s="18" t="s">
        <v>159</v>
      </c>
      <c r="I995" s="18" t="s">
        <v>227</v>
      </c>
      <c r="J995" s="18" t="s">
        <v>426</v>
      </c>
      <c r="K995" s="18" t="s">
        <v>132</v>
      </c>
      <c r="L995" s="20" t="s">
        <v>6209</v>
      </c>
      <c r="M995" s="18" t="s">
        <v>75</v>
      </c>
      <c r="N995" s="20" t="s">
        <v>6210</v>
      </c>
      <c r="O995" s="18" t="s">
        <v>164</v>
      </c>
      <c r="P995" s="18" t="s">
        <v>78</v>
      </c>
      <c r="Q995" s="19">
        <v>44914</v>
      </c>
      <c r="R995" s="21">
        <v>21.42</v>
      </c>
      <c r="S995" s="18" t="s">
        <v>79</v>
      </c>
      <c r="T995" s="18" t="s">
        <v>174</v>
      </c>
      <c r="U995" s="18" t="s">
        <v>83</v>
      </c>
      <c r="V995" s="18" t="s">
        <v>95</v>
      </c>
      <c r="W995" s="18" t="s">
        <v>95</v>
      </c>
      <c r="X995" s="18" t="s">
        <v>84</v>
      </c>
      <c r="Y995" s="18" t="s">
        <v>85</v>
      </c>
      <c r="Z995" s="18" t="s">
        <v>86</v>
      </c>
      <c r="AA995" s="18" t="s">
        <v>87</v>
      </c>
      <c r="AB995" s="18" t="s">
        <v>251</v>
      </c>
      <c r="AC995" s="18" t="s">
        <v>252</v>
      </c>
      <c r="AD995" s="18" t="s">
        <v>85</v>
      </c>
      <c r="AE995" s="18" t="s">
        <v>90</v>
      </c>
      <c r="AF995" s="18" t="s">
        <v>177</v>
      </c>
      <c r="AG995" s="18" t="s">
        <v>139</v>
      </c>
      <c r="AH995" s="18" t="s">
        <v>165</v>
      </c>
      <c r="AI995" s="18" t="s">
        <v>94</v>
      </c>
      <c r="AJ995" s="19">
        <v>44912</v>
      </c>
      <c r="AK995" s="22" t="s">
        <v>95</v>
      </c>
      <c r="AL995" s="18" t="s">
        <v>95</v>
      </c>
      <c r="AM995" s="18" t="s">
        <v>95</v>
      </c>
      <c r="AN995" s="18" t="s">
        <v>95</v>
      </c>
      <c r="AO995" s="18" t="s">
        <v>95</v>
      </c>
      <c r="AP995" s="18" t="s">
        <v>95</v>
      </c>
      <c r="AQ995" s="18" t="s">
        <v>95</v>
      </c>
      <c r="AR995" s="18" t="s">
        <v>95</v>
      </c>
      <c r="AS995" s="18" t="s">
        <v>83</v>
      </c>
      <c r="AT995" s="18" t="s">
        <v>83</v>
      </c>
      <c r="AU995" s="18" t="s">
        <v>81</v>
      </c>
      <c r="AV995" s="18" t="s">
        <v>95</v>
      </c>
      <c r="AW995" s="18"/>
      <c r="AX995" s="18"/>
      <c r="AY995" s="18" t="str">
        <f>Pospago[[#This Row],[NUM_TELEFONICO]]&amp;"POSPAGOSI"</f>
        <v>998637441POSPAGOSI</v>
      </c>
      <c r="AZ995" s="18" t="str">
        <f>VLOOKUP(Pospago[[#This Row],[NOM_PLAZA_FINAL]],[1]!Locales[#Data],3,0)</f>
        <v>TIENDA RECREO</v>
      </c>
      <c r="BA995" s="18" t="str">
        <f>IFERROR(VLOOKUP(Pospago[[#This Row],[USUARIO]],[1]!Personal[#Data],6,0),"EJECUTIVO NO REGISTRADO")</f>
        <v>CRUZ MONTUFAR KATHERINE ALEJANDRA</v>
      </c>
      <c r="BB995" s="18" t="str">
        <f>Pospago[[#This Row],[TIPO_MOVIMIENTO]]&amp;" "&amp;Pospago[[#This Row],[FORMA_PAGO_FINAL]]</f>
        <v>TRANSFERENCIAS DOMICILIADO</v>
      </c>
      <c r="BC995" s="18">
        <f>DAY(Pospago[[#This Row],[FECHA_ALTA]])</f>
        <v>17</v>
      </c>
      <c r="BD995" s="18">
        <f>IF(Pospago[[#This Row],[TARIFA_BASICA]]=11.42,1,0)</f>
        <v>0</v>
      </c>
      <c r="BE995" s="18">
        <f>IF(Pospago[[#This Row],[PLANES TELEVENTAS]]="SI",1,0)</f>
        <v>0</v>
      </c>
      <c r="BF995" s="18">
        <f>1</f>
        <v>1</v>
      </c>
      <c r="BG995" s="18">
        <f>IF(OR(Pospago[[#This Row],[TARIFA_BASICA]]=11.42,Pospago[[#This Row],[PLANES TELEVENTAS]]="SI"),1,0)</f>
        <v>0</v>
      </c>
      <c r="BH995" s="18" t="str">
        <f>IF(MID(Pospago[[#This Row],[PlanDesc]],1,4) = "PLAN","POSPAGO",IF(MID(Pospago[[#This Row],[PlanDesc]],1,4)="FULL","FULL MEGAS","PREVIOPAGO"))</f>
        <v>PREVIOPAGO</v>
      </c>
      <c r="BI9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15</v>
      </c>
      <c r="BJ9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95" s="21">
        <f>Pospago[[#This Row],[TARIFA_BASICA]]*1.5</f>
        <v>32.130000000000003</v>
      </c>
    </row>
    <row r="996" spans="1:63" x14ac:dyDescent="0.25">
      <c r="A996" s="18" t="s">
        <v>64</v>
      </c>
      <c r="B996" s="18" t="s">
        <v>6211</v>
      </c>
      <c r="C996" s="18" t="s">
        <v>6212</v>
      </c>
      <c r="D996" s="19">
        <v>44908</v>
      </c>
      <c r="E996" s="18" t="s">
        <v>67</v>
      </c>
      <c r="F996" s="18" t="s">
        <v>6213</v>
      </c>
      <c r="G996" s="18" t="s">
        <v>6214</v>
      </c>
      <c r="H996" s="18" t="s">
        <v>70</v>
      </c>
      <c r="I996" s="18" t="s">
        <v>160</v>
      </c>
      <c r="J996" s="18" t="s">
        <v>195</v>
      </c>
      <c r="K996" s="18" t="s">
        <v>132</v>
      </c>
      <c r="L996" s="20" t="s">
        <v>6215</v>
      </c>
      <c r="M996" s="18" t="s">
        <v>75</v>
      </c>
      <c r="N996" s="20" t="s">
        <v>6216</v>
      </c>
      <c r="O996" s="18" t="s">
        <v>77</v>
      </c>
      <c r="P996" s="18" t="s">
        <v>78</v>
      </c>
      <c r="Q996" s="19">
        <v>44914</v>
      </c>
      <c r="R996" s="21">
        <v>14.28</v>
      </c>
      <c r="S996" s="18" t="s">
        <v>79</v>
      </c>
      <c r="T996" s="18" t="s">
        <v>232</v>
      </c>
      <c r="U996" s="18" t="s">
        <v>83</v>
      </c>
      <c r="V996" s="18" t="s">
        <v>95</v>
      </c>
      <c r="W996" s="18" t="s">
        <v>83</v>
      </c>
      <c r="X996" s="18" t="s">
        <v>84</v>
      </c>
      <c r="Y996" s="18" t="s">
        <v>85</v>
      </c>
      <c r="Z996" s="18" t="s">
        <v>86</v>
      </c>
      <c r="AA996" s="18" t="s">
        <v>87</v>
      </c>
      <c r="AB996" s="18" t="s">
        <v>412</v>
      </c>
      <c r="AC996" s="18" t="s">
        <v>413</v>
      </c>
      <c r="AD996" s="18" t="s">
        <v>85</v>
      </c>
      <c r="AE996" s="18" t="s">
        <v>90</v>
      </c>
      <c r="AF996" s="18" t="s">
        <v>235</v>
      </c>
      <c r="AG996" s="18" t="s">
        <v>139</v>
      </c>
      <c r="AH996" s="18" t="s">
        <v>93</v>
      </c>
      <c r="AI996" s="18" t="s">
        <v>94</v>
      </c>
      <c r="AJ996" s="19">
        <v>44908</v>
      </c>
      <c r="AK996" s="22" t="s">
        <v>95</v>
      </c>
      <c r="AL996" s="18" t="s">
        <v>95</v>
      </c>
      <c r="AM996" s="18" t="s">
        <v>95</v>
      </c>
      <c r="AN996" s="18" t="s">
        <v>95</v>
      </c>
      <c r="AO996" s="18" t="s">
        <v>95</v>
      </c>
      <c r="AP996" s="18" t="s">
        <v>95</v>
      </c>
      <c r="AQ996" s="18" t="s">
        <v>95</v>
      </c>
      <c r="AR996" s="18" t="s">
        <v>95</v>
      </c>
      <c r="AS996" s="18" t="s">
        <v>83</v>
      </c>
      <c r="AT996" s="18" t="s">
        <v>83</v>
      </c>
      <c r="AU996" s="18" t="s">
        <v>81</v>
      </c>
      <c r="AV996" s="18" t="s">
        <v>95</v>
      </c>
      <c r="AW996" s="18"/>
      <c r="AX996" s="18"/>
      <c r="AY996" s="18" t="str">
        <f>Pospago[[#This Row],[NUM_TELEFONICO]]&amp;"POSPAGOSI"</f>
        <v>998638518POSPAGOSI</v>
      </c>
      <c r="AZ996" s="18" t="str">
        <f>VLOOKUP(Pospago[[#This Row],[NOM_PLAZA_FINAL]],[1]!Locales[#Data],3,0)</f>
        <v>TIENDA CONDADO</v>
      </c>
      <c r="BA996" s="18" t="str">
        <f>IFERROR(VLOOKUP(Pospago[[#This Row],[USUARIO]],[1]!Personal[#Data],6,0),"EJECUTIVO NO REGISTRADO")</f>
        <v>PADILLA MALDONADO HENRY LEOPOLDO</v>
      </c>
      <c r="BB996" s="18" t="str">
        <f>Pospago[[#This Row],[TIPO_MOVIMIENTO]]&amp;" "&amp;Pospago[[#This Row],[FORMA_PAGO_FINAL]]</f>
        <v>ALTAS DOMICILIADO</v>
      </c>
      <c r="BC996" s="18">
        <f>DAY(Pospago[[#This Row],[FECHA_ALTA]])</f>
        <v>13</v>
      </c>
      <c r="BD996" s="18">
        <f>IF(Pospago[[#This Row],[TARIFA_BASICA]]=11.42,1,0)</f>
        <v>0</v>
      </c>
      <c r="BE996" s="18">
        <f>IF(Pospago[[#This Row],[PLANES TELEVENTAS]]="SI",1,0)</f>
        <v>0</v>
      </c>
      <c r="BF996" s="18">
        <f>1</f>
        <v>1</v>
      </c>
      <c r="BG996" s="18">
        <f>IF(OR(Pospago[[#This Row],[TARIFA_BASICA]]=11.42,Pospago[[#This Row],[PLANES TELEVENTAS]]="SI"),1,0)</f>
        <v>0</v>
      </c>
      <c r="BH996" s="18" t="str">
        <f>IF(MID(Pospago[[#This Row],[PlanDesc]],1,4) = "PLAN","POSPAGO",IF(MID(Pospago[[#This Row],[PlanDesc]],1,4)="FULL","FULL MEGAS","PREVIOPAGO"))</f>
        <v>PREVIOPAGO</v>
      </c>
      <c r="BI9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96" s="21">
        <f>Pospago[[#This Row],[TARIFA_BASICA]]*1.5</f>
        <v>21.419999999999998</v>
      </c>
    </row>
    <row r="997" spans="1:63" x14ac:dyDescent="0.25">
      <c r="A997" s="18" t="s">
        <v>64</v>
      </c>
      <c r="B997" s="18" t="s">
        <v>6217</v>
      </c>
      <c r="C997" s="18" t="s">
        <v>6218</v>
      </c>
      <c r="D997" s="19">
        <v>44900</v>
      </c>
      <c r="E997" s="18" t="s">
        <v>67</v>
      </c>
      <c r="F997" s="18" t="s">
        <v>6219</v>
      </c>
      <c r="G997" s="18" t="s">
        <v>6220</v>
      </c>
      <c r="H997" s="18" t="s">
        <v>70</v>
      </c>
      <c r="I997" s="18" t="s">
        <v>160</v>
      </c>
      <c r="J997" s="18" t="s">
        <v>195</v>
      </c>
      <c r="K997" s="18" t="s">
        <v>3334</v>
      </c>
      <c r="L997" s="20" t="s">
        <v>6221</v>
      </c>
      <c r="M997" s="18" t="s">
        <v>75</v>
      </c>
      <c r="N997" s="20" t="s">
        <v>6222</v>
      </c>
      <c r="O997" s="18" t="s">
        <v>768</v>
      </c>
      <c r="P997" s="18" t="s">
        <v>78</v>
      </c>
      <c r="Q997" s="19">
        <v>44914</v>
      </c>
      <c r="R997" s="21">
        <v>14.28</v>
      </c>
      <c r="S997" s="18" t="s">
        <v>79</v>
      </c>
      <c r="T997" s="18" t="s">
        <v>117</v>
      </c>
      <c r="U997" s="18" t="s">
        <v>83</v>
      </c>
      <c r="V997" s="18" t="s">
        <v>95</v>
      </c>
      <c r="W997" s="18" t="s">
        <v>83</v>
      </c>
      <c r="X997" s="18" t="s">
        <v>84</v>
      </c>
      <c r="Y997" s="18" t="s">
        <v>85</v>
      </c>
      <c r="Z997" s="18" t="s">
        <v>86</v>
      </c>
      <c r="AA997" s="18" t="s">
        <v>87</v>
      </c>
      <c r="AB997" s="18" t="s">
        <v>352</v>
      </c>
      <c r="AC997" s="18" t="s">
        <v>353</v>
      </c>
      <c r="AD997" s="18" t="s">
        <v>85</v>
      </c>
      <c r="AE997" s="18" t="s">
        <v>90</v>
      </c>
      <c r="AF997" s="18" t="s">
        <v>122</v>
      </c>
      <c r="AG997" s="18" t="s">
        <v>92</v>
      </c>
      <c r="AH997" s="18" t="s">
        <v>93</v>
      </c>
      <c r="AI997" s="18" t="s">
        <v>94</v>
      </c>
      <c r="AJ997" s="19">
        <v>44900</v>
      </c>
      <c r="AK997" s="22" t="s">
        <v>95</v>
      </c>
      <c r="AL997" s="18" t="s">
        <v>95</v>
      </c>
      <c r="AM997" s="18" t="s">
        <v>95</v>
      </c>
      <c r="AN997" s="18" t="s">
        <v>95</v>
      </c>
      <c r="AO997" s="18" t="s">
        <v>95</v>
      </c>
      <c r="AP997" s="18" t="s">
        <v>95</v>
      </c>
      <c r="AQ997" s="18" t="s">
        <v>95</v>
      </c>
      <c r="AR997" s="18" t="s">
        <v>95</v>
      </c>
      <c r="AS997" s="18" t="s">
        <v>83</v>
      </c>
      <c r="AT997" s="18" t="s">
        <v>83</v>
      </c>
      <c r="AU997" s="18" t="s">
        <v>81</v>
      </c>
      <c r="AV997" s="18" t="s">
        <v>95</v>
      </c>
      <c r="AW997" s="18"/>
      <c r="AX997" s="18"/>
      <c r="AY997" s="18" t="str">
        <f>Pospago[[#This Row],[NUM_TELEFONICO]]&amp;"POSPAGOSI"</f>
        <v>998638542POSPAGOSI</v>
      </c>
      <c r="AZ997" s="18" t="str">
        <f>VLOOKUP(Pospago[[#This Row],[NOM_PLAZA_FINAL]],[1]!Locales[#Data],3,0)</f>
        <v>TIENDA MACHALA</v>
      </c>
      <c r="BA997" s="18" t="str">
        <f>IFERROR(VLOOKUP(Pospago[[#This Row],[USUARIO]],[1]!Personal[#Data],6,0),"EJECUTIVO NO REGISTRADO")</f>
        <v>TENORIO MARIA DEL PILAR</v>
      </c>
      <c r="BB997" s="18" t="str">
        <f>Pospago[[#This Row],[TIPO_MOVIMIENTO]]&amp;" "&amp;Pospago[[#This Row],[FORMA_PAGO_FINAL]]</f>
        <v>ALTAS DOMICILIADO</v>
      </c>
      <c r="BC997" s="18">
        <f>DAY(Pospago[[#This Row],[FECHA_ALTA]])</f>
        <v>5</v>
      </c>
      <c r="BD997" s="18">
        <f>IF(Pospago[[#This Row],[TARIFA_BASICA]]=11.42,1,0)</f>
        <v>0</v>
      </c>
      <c r="BE997" s="18">
        <f>IF(Pospago[[#This Row],[PLANES TELEVENTAS]]="SI",1,0)</f>
        <v>0</v>
      </c>
      <c r="BF997" s="18">
        <f>1</f>
        <v>1</v>
      </c>
      <c r="BG997" s="18">
        <f>IF(OR(Pospago[[#This Row],[TARIFA_BASICA]]=11.42,Pospago[[#This Row],[PLANES TELEVENTAS]]="SI"),1,0)</f>
        <v>0</v>
      </c>
      <c r="BH997" s="18" t="str">
        <f>IF(MID(Pospago[[#This Row],[PlanDesc]],1,4) = "PLAN","POSPAGO",IF(MID(Pospago[[#This Row],[PlanDesc]],1,4)="FULL","FULL MEGAS","PREVIOPAGO"))</f>
        <v>PREVIOPAGO</v>
      </c>
      <c r="BI9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9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97" s="21">
        <f>Pospago[[#This Row],[TARIFA_BASICA]]*1.5</f>
        <v>21.419999999999998</v>
      </c>
    </row>
    <row r="998" spans="1:63" x14ac:dyDescent="0.25">
      <c r="A998" s="18" t="s">
        <v>154</v>
      </c>
      <c r="B998" s="18" t="s">
        <v>6223</v>
      </c>
      <c r="C998" s="18" t="s">
        <v>6224</v>
      </c>
      <c r="D998" s="19">
        <v>44910</v>
      </c>
      <c r="E998" s="18" t="s">
        <v>67</v>
      </c>
      <c r="F998" s="18" t="s">
        <v>6225</v>
      </c>
      <c r="G998" s="18" t="s">
        <v>6226</v>
      </c>
      <c r="H998" s="18" t="s">
        <v>159</v>
      </c>
      <c r="I998" s="18" t="s">
        <v>160</v>
      </c>
      <c r="J998" s="18" t="s">
        <v>161</v>
      </c>
      <c r="K998" s="18" t="s">
        <v>73</v>
      </c>
      <c r="L998" s="20" t="s">
        <v>6227</v>
      </c>
      <c r="M998" s="18" t="s">
        <v>75</v>
      </c>
      <c r="N998" s="20" t="s">
        <v>6228</v>
      </c>
      <c r="O998" s="18" t="s">
        <v>164</v>
      </c>
      <c r="P998" s="18" t="s">
        <v>78</v>
      </c>
      <c r="Q998" s="19">
        <v>44914</v>
      </c>
      <c r="R998" s="21">
        <v>14.28</v>
      </c>
      <c r="S998" s="18" t="s">
        <v>79</v>
      </c>
      <c r="T998" s="18" t="s">
        <v>80</v>
      </c>
      <c r="U998" s="18" t="s">
        <v>83</v>
      </c>
      <c r="V998" s="18" t="s">
        <v>95</v>
      </c>
      <c r="W998" s="18" t="s">
        <v>95</v>
      </c>
      <c r="X998" s="18" t="s">
        <v>84</v>
      </c>
      <c r="Y998" s="18" t="s">
        <v>85</v>
      </c>
      <c r="Z998" s="18" t="s">
        <v>86</v>
      </c>
      <c r="AA998" s="18" t="s">
        <v>87</v>
      </c>
      <c r="AB998" s="18" t="s">
        <v>1020</v>
      </c>
      <c r="AC998" s="18" t="s">
        <v>1021</v>
      </c>
      <c r="AD998" s="18" t="s">
        <v>85</v>
      </c>
      <c r="AE998" s="18" t="s">
        <v>90</v>
      </c>
      <c r="AF998" s="18" t="s">
        <v>91</v>
      </c>
      <c r="AG998" s="18" t="s">
        <v>92</v>
      </c>
      <c r="AH998" s="18" t="s">
        <v>165</v>
      </c>
      <c r="AI998" s="18" t="s">
        <v>94</v>
      </c>
      <c r="AJ998" s="19">
        <v>44910</v>
      </c>
      <c r="AK998" s="22" t="s">
        <v>95</v>
      </c>
      <c r="AL998" s="18" t="s">
        <v>95</v>
      </c>
      <c r="AM998" s="18" t="s">
        <v>95</v>
      </c>
      <c r="AN998" s="18" t="s">
        <v>95</v>
      </c>
      <c r="AO998" s="18" t="s">
        <v>95</v>
      </c>
      <c r="AP998" s="18" t="s">
        <v>95</v>
      </c>
      <c r="AQ998" s="18" t="s">
        <v>95</v>
      </c>
      <c r="AR998" s="18" t="s">
        <v>95</v>
      </c>
      <c r="AS998" s="18" t="s">
        <v>83</v>
      </c>
      <c r="AT998" s="18" t="s">
        <v>83</v>
      </c>
      <c r="AU998" s="18" t="s">
        <v>81</v>
      </c>
      <c r="AV998" s="18" t="s">
        <v>95</v>
      </c>
      <c r="AW998" s="18"/>
      <c r="AX998" s="18"/>
      <c r="AY998" s="18" t="str">
        <f>Pospago[[#This Row],[NUM_TELEFONICO]]&amp;"POSPAGOSI"</f>
        <v>998642420POSPAGOSI</v>
      </c>
      <c r="AZ998" s="18" t="str">
        <f>VLOOKUP(Pospago[[#This Row],[NOM_PLAZA_FINAL]],[1]!Locales[#Data],3,0)</f>
        <v>TIENDA CUENCA CENTRO</v>
      </c>
      <c r="BA998" s="18" t="str">
        <f>IFERROR(VLOOKUP(Pospago[[#This Row],[USUARIO]],[1]!Personal[#Data],6,0),"EJECUTIVO NO REGISTRADO")</f>
        <v>GONZALES ALVARRACIN PAOLA YESSENIA</v>
      </c>
      <c r="BB998" s="18" t="str">
        <f>Pospago[[#This Row],[TIPO_MOVIMIENTO]]&amp;" "&amp;Pospago[[#This Row],[FORMA_PAGO_FINAL]]</f>
        <v>TRANSFERENCIAS DOMICILIADO</v>
      </c>
      <c r="BC998" s="18">
        <f>DAY(Pospago[[#This Row],[FECHA_ALTA]])</f>
        <v>15</v>
      </c>
      <c r="BD998" s="18">
        <f>IF(Pospago[[#This Row],[TARIFA_BASICA]]=11.42,1,0)</f>
        <v>0</v>
      </c>
      <c r="BE998" s="18">
        <f>IF(Pospago[[#This Row],[PLANES TELEVENTAS]]="SI",1,0)</f>
        <v>0</v>
      </c>
      <c r="BF998" s="18">
        <f>1</f>
        <v>1</v>
      </c>
      <c r="BG998" s="18">
        <f>IF(OR(Pospago[[#This Row],[TARIFA_BASICA]]=11.42,Pospago[[#This Row],[PLANES TELEVENTAS]]="SI"),1,0)</f>
        <v>0</v>
      </c>
      <c r="BH998" s="18" t="str">
        <f>IF(MID(Pospago[[#This Row],[PlanDesc]],1,4) = "PLAN","POSPAGO",IF(MID(Pospago[[#This Row],[PlanDesc]],1,4)="FULL","FULL MEGAS","PREVIOPAGO"))</f>
        <v>PREVIOPAGO</v>
      </c>
      <c r="BI9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9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98" s="21">
        <f>Pospago[[#This Row],[TARIFA_BASICA]]*1.5</f>
        <v>21.419999999999998</v>
      </c>
    </row>
    <row r="999" spans="1:63" x14ac:dyDescent="0.25">
      <c r="A999" s="18" t="s">
        <v>64</v>
      </c>
      <c r="B999" s="18" t="s">
        <v>6229</v>
      </c>
      <c r="C999" s="18" t="s">
        <v>6230</v>
      </c>
      <c r="D999" s="19">
        <v>44911</v>
      </c>
      <c r="E999" s="18" t="s">
        <v>67</v>
      </c>
      <c r="F999" s="18" t="s">
        <v>6231</v>
      </c>
      <c r="G999" s="18" t="s">
        <v>6232</v>
      </c>
      <c r="H999" s="18" t="s">
        <v>70</v>
      </c>
      <c r="I999" s="18" t="s">
        <v>160</v>
      </c>
      <c r="J999" s="18" t="s">
        <v>195</v>
      </c>
      <c r="K999" s="18" t="s">
        <v>95</v>
      </c>
      <c r="L999" s="20" t="s">
        <v>6233</v>
      </c>
      <c r="M999" s="18" t="s">
        <v>75</v>
      </c>
      <c r="N999" s="20" t="s">
        <v>6234</v>
      </c>
      <c r="O999" s="18" t="s">
        <v>77</v>
      </c>
      <c r="P999" s="18" t="s">
        <v>78</v>
      </c>
      <c r="Q999" s="19">
        <v>44914</v>
      </c>
      <c r="R999" s="21">
        <v>14.28</v>
      </c>
      <c r="S999" s="18" t="s">
        <v>79</v>
      </c>
      <c r="T999" s="18" t="s">
        <v>148</v>
      </c>
      <c r="U999" s="18" t="s">
        <v>81</v>
      </c>
      <c r="V999" s="18" t="s">
        <v>1029</v>
      </c>
      <c r="W999" s="18" t="s">
        <v>83</v>
      </c>
      <c r="X999" s="18" t="s">
        <v>84</v>
      </c>
      <c r="Y999" s="18" t="s">
        <v>85</v>
      </c>
      <c r="Z999" s="18" t="s">
        <v>86</v>
      </c>
      <c r="AA999" s="18" t="s">
        <v>87</v>
      </c>
      <c r="AB999" s="18" t="s">
        <v>385</v>
      </c>
      <c r="AC999" s="18" t="s">
        <v>386</v>
      </c>
      <c r="AD999" s="18" t="s">
        <v>85</v>
      </c>
      <c r="AE999" s="18" t="s">
        <v>90</v>
      </c>
      <c r="AF999" s="18" t="s">
        <v>151</v>
      </c>
      <c r="AG999" s="18" t="s">
        <v>92</v>
      </c>
      <c r="AH999" s="18" t="s">
        <v>93</v>
      </c>
      <c r="AI999" s="18" t="s">
        <v>94</v>
      </c>
      <c r="AJ999" s="19">
        <v>44911</v>
      </c>
      <c r="AK999" s="22" t="s">
        <v>95</v>
      </c>
      <c r="AL999" s="18" t="s">
        <v>95</v>
      </c>
      <c r="AM999" s="18" t="s">
        <v>95</v>
      </c>
      <c r="AN999" s="18" t="s">
        <v>95</v>
      </c>
      <c r="AO999" s="18" t="s">
        <v>95</v>
      </c>
      <c r="AP999" s="18" t="s">
        <v>95</v>
      </c>
      <c r="AQ999" s="18" t="s">
        <v>95</v>
      </c>
      <c r="AR999" s="18" t="s">
        <v>95</v>
      </c>
      <c r="AS999" s="18" t="s">
        <v>83</v>
      </c>
      <c r="AT999" s="18" t="s">
        <v>83</v>
      </c>
      <c r="AU999" s="18" t="s">
        <v>81</v>
      </c>
      <c r="AV999" s="18" t="s">
        <v>95</v>
      </c>
      <c r="AW999" s="18"/>
      <c r="AX999" s="18"/>
      <c r="AY999" s="18" t="str">
        <f>Pospago[[#This Row],[NUM_TELEFONICO]]&amp;"POSPAGOSI"</f>
        <v>998643723POSPAGOSI</v>
      </c>
      <c r="AZ999" s="18" t="str">
        <f>VLOOKUP(Pospago[[#This Row],[NOM_PLAZA_FINAL]],[1]!Locales[#Data],3,0)</f>
        <v>TIENDA CUENCA REMIGIO</v>
      </c>
      <c r="BA999" s="18" t="str">
        <f>IFERROR(VLOOKUP(Pospago[[#This Row],[USUARIO]],[1]!Personal[#Data],6,0),"EJECUTIVO NO REGISTRADO")</f>
        <v>RAMIREZ RUBIO NELLY LILIANA</v>
      </c>
      <c r="BB999" s="18" t="str">
        <f>Pospago[[#This Row],[TIPO_MOVIMIENTO]]&amp;" "&amp;Pospago[[#This Row],[FORMA_PAGO_FINAL]]</f>
        <v>ALTAS DOMICILIADO</v>
      </c>
      <c r="BC999" s="18">
        <f>DAY(Pospago[[#This Row],[FECHA_ALTA]])</f>
        <v>16</v>
      </c>
      <c r="BD999" s="18">
        <f>IF(Pospago[[#This Row],[TARIFA_BASICA]]=11.42,1,0)</f>
        <v>0</v>
      </c>
      <c r="BE999" s="18">
        <f>IF(Pospago[[#This Row],[PLANES TELEVENTAS]]="SI",1,0)</f>
        <v>0</v>
      </c>
      <c r="BF999" s="18">
        <f>1</f>
        <v>1</v>
      </c>
      <c r="BG999" s="18">
        <f>IF(OR(Pospago[[#This Row],[TARIFA_BASICA]]=11.42,Pospago[[#This Row],[PLANES TELEVENTAS]]="SI"),1,0)</f>
        <v>0</v>
      </c>
      <c r="BH999" s="18" t="str">
        <f>IF(MID(Pospago[[#This Row],[PlanDesc]],1,4) = "PLAN","POSPAGO",IF(MID(Pospago[[#This Row],[PlanDesc]],1,4)="FULL","FULL MEGAS","PREVIOPAGO"))</f>
        <v>PREVIOPAGO</v>
      </c>
      <c r="BI9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9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999" s="21">
        <f>Pospago[[#This Row],[TARIFA_BASICA]]*1.5</f>
        <v>21.419999999999998</v>
      </c>
    </row>
    <row r="1000" spans="1:63" x14ac:dyDescent="0.25">
      <c r="A1000" s="18" t="s">
        <v>64</v>
      </c>
      <c r="B1000" s="18" t="s">
        <v>6235</v>
      </c>
      <c r="C1000" s="18" t="s">
        <v>6236</v>
      </c>
      <c r="D1000" s="19">
        <v>44907</v>
      </c>
      <c r="E1000" s="18" t="s">
        <v>67</v>
      </c>
      <c r="F1000" s="18" t="s">
        <v>6237</v>
      </c>
      <c r="G1000" s="18" t="s">
        <v>6238</v>
      </c>
      <c r="H1000" s="18" t="s">
        <v>70</v>
      </c>
      <c r="I1000" s="18" t="s">
        <v>1357</v>
      </c>
      <c r="J1000" s="18" t="s">
        <v>72</v>
      </c>
      <c r="K1000" s="18" t="s">
        <v>73</v>
      </c>
      <c r="L1000" s="20" t="s">
        <v>6239</v>
      </c>
      <c r="M1000" s="18" t="s">
        <v>287</v>
      </c>
      <c r="N1000" s="20" t="s">
        <v>6240</v>
      </c>
      <c r="O1000" s="18" t="s">
        <v>77</v>
      </c>
      <c r="P1000" s="18" t="s">
        <v>78</v>
      </c>
      <c r="Q1000" s="19">
        <v>44914</v>
      </c>
      <c r="R1000" s="21">
        <v>11.42</v>
      </c>
      <c r="S1000" s="18" t="s">
        <v>79</v>
      </c>
      <c r="T1000" s="18" t="s">
        <v>80</v>
      </c>
      <c r="U1000" s="18" t="s">
        <v>83</v>
      </c>
      <c r="V1000" s="18" t="s">
        <v>95</v>
      </c>
      <c r="W1000" s="18" t="s">
        <v>83</v>
      </c>
      <c r="X1000" s="18" t="s">
        <v>118</v>
      </c>
      <c r="Y1000" s="18" t="s">
        <v>85</v>
      </c>
      <c r="Z1000" s="18" t="s">
        <v>86</v>
      </c>
      <c r="AA1000" s="18" t="s">
        <v>119</v>
      </c>
      <c r="AB1000" s="18" t="s">
        <v>880</v>
      </c>
      <c r="AC1000" s="18" t="s">
        <v>881</v>
      </c>
      <c r="AD1000" s="18" t="s">
        <v>85</v>
      </c>
      <c r="AE1000" s="18" t="s">
        <v>90</v>
      </c>
      <c r="AF1000" s="18" t="s">
        <v>91</v>
      </c>
      <c r="AG1000" s="18" t="s">
        <v>92</v>
      </c>
      <c r="AH1000" s="18" t="s">
        <v>93</v>
      </c>
      <c r="AI1000" s="18" t="s">
        <v>94</v>
      </c>
      <c r="AJ1000" s="19">
        <v>44907</v>
      </c>
      <c r="AK1000" s="22">
        <v>44903</v>
      </c>
      <c r="AL1000" s="18" t="s">
        <v>291</v>
      </c>
      <c r="AM1000" s="18" t="s">
        <v>292</v>
      </c>
      <c r="AN1000" s="18" t="s">
        <v>494</v>
      </c>
      <c r="AO1000" s="18" t="s">
        <v>6241</v>
      </c>
      <c r="AP1000" s="18">
        <v>1</v>
      </c>
      <c r="AQ1000" s="18">
        <v>281.25</v>
      </c>
      <c r="AR1000" s="18" t="s">
        <v>496</v>
      </c>
      <c r="AS1000" s="18" t="s">
        <v>81</v>
      </c>
      <c r="AT1000" s="18" t="s">
        <v>81</v>
      </c>
      <c r="AU1000" s="18" t="s">
        <v>81</v>
      </c>
      <c r="AV1000" s="18" t="s">
        <v>95</v>
      </c>
      <c r="AW1000" s="18"/>
      <c r="AX1000" s="18"/>
      <c r="AY1000" s="18" t="str">
        <f>Pospago[[#This Row],[NUM_TELEFONICO]]&amp;"POSPAGOSI"</f>
        <v>998645377POSPAGOSI</v>
      </c>
      <c r="AZ1000" s="18" t="str">
        <f>VLOOKUP(Pospago[[#This Row],[NOM_PLAZA_FINAL]],[1]!Locales[#Data],3,0)</f>
        <v>TIENDA CUENCA CENTRO</v>
      </c>
      <c r="BA1000" s="18" t="str">
        <f>IFERROR(VLOOKUP(Pospago[[#This Row],[USUARIO]],[1]!Personal[#Data],6,0),"EJECUTIVO NO REGISTRADO")</f>
        <v>LUNA JACHO ANDREA GABRIELA</v>
      </c>
      <c r="BB1000" s="18" t="str">
        <f>Pospago[[#This Row],[TIPO_MOVIMIENTO]]&amp;" "&amp;Pospago[[#This Row],[FORMA_PAGO_FINAL]]</f>
        <v>ALTAS PAGO EN CAJA</v>
      </c>
      <c r="BC1000" s="18">
        <f>DAY(Pospago[[#This Row],[FECHA_ALTA]])</f>
        <v>12</v>
      </c>
      <c r="BD1000" s="18">
        <f>IF(Pospago[[#This Row],[TARIFA_BASICA]]=11.42,1,0)</f>
        <v>1</v>
      </c>
      <c r="BE1000" s="18">
        <f>IF(Pospago[[#This Row],[PLANES TELEVENTAS]]="SI",1,0)</f>
        <v>1</v>
      </c>
      <c r="BF1000" s="18">
        <f>1</f>
        <v>1</v>
      </c>
      <c r="BG1000" s="18">
        <f>IF(OR(Pospago[[#This Row],[TARIFA_BASICA]]=11.42,Pospago[[#This Row],[PLANES TELEVENTAS]]="SI"),1,0)</f>
        <v>1</v>
      </c>
      <c r="BH1000" s="18" t="str">
        <f>IF(MID(Pospago[[#This Row],[PlanDesc]],1,4) = "PLAN","POSPAGO",IF(MID(Pospago[[#This Row],[PlanDesc]],1,4)="FULL","FULL MEGAS","PREVIOPAGO"))</f>
        <v>PREVIOPAGO</v>
      </c>
      <c r="BI10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0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00" s="21">
        <f>Pospago[[#This Row],[TARIFA_BASICA]]*1.5</f>
        <v>17.13</v>
      </c>
    </row>
    <row r="1001" spans="1:63" x14ac:dyDescent="0.25">
      <c r="A1001" s="18" t="s">
        <v>154</v>
      </c>
      <c r="B1001" s="18" t="s">
        <v>6242</v>
      </c>
      <c r="C1001" s="18" t="s">
        <v>6243</v>
      </c>
      <c r="D1001" s="19">
        <v>44907</v>
      </c>
      <c r="E1001" s="18" t="s">
        <v>67</v>
      </c>
      <c r="F1001" s="18" t="s">
        <v>6244</v>
      </c>
      <c r="G1001" s="18" t="s">
        <v>6245</v>
      </c>
      <c r="H1001" s="18" t="s">
        <v>159</v>
      </c>
      <c r="I1001" s="18" t="s">
        <v>130</v>
      </c>
      <c r="J1001" s="18" t="s">
        <v>433</v>
      </c>
      <c r="K1001" s="18" t="s">
        <v>73</v>
      </c>
      <c r="L1001" s="20" t="s">
        <v>6246</v>
      </c>
      <c r="M1001" s="18" t="s">
        <v>75</v>
      </c>
      <c r="N1001" s="20" t="s">
        <v>6247</v>
      </c>
      <c r="O1001" s="18" t="s">
        <v>164</v>
      </c>
      <c r="P1001" s="18" t="s">
        <v>78</v>
      </c>
      <c r="Q1001" s="19">
        <v>44914</v>
      </c>
      <c r="R1001" s="21">
        <v>15</v>
      </c>
      <c r="S1001" s="18" t="s">
        <v>79</v>
      </c>
      <c r="T1001" s="18" t="s">
        <v>80</v>
      </c>
      <c r="U1001" s="18" t="s">
        <v>83</v>
      </c>
      <c r="V1001" s="18" t="s">
        <v>95</v>
      </c>
      <c r="W1001" s="18" t="s">
        <v>95</v>
      </c>
      <c r="X1001" s="18" t="s">
        <v>118</v>
      </c>
      <c r="Y1001" s="18" t="s">
        <v>85</v>
      </c>
      <c r="Z1001" s="18" t="s">
        <v>86</v>
      </c>
      <c r="AA1001" s="18" t="s">
        <v>119</v>
      </c>
      <c r="AB1001" s="18" t="s">
        <v>1020</v>
      </c>
      <c r="AC1001" s="18" t="s">
        <v>1021</v>
      </c>
      <c r="AD1001" s="18" t="s">
        <v>85</v>
      </c>
      <c r="AE1001" s="18" t="s">
        <v>90</v>
      </c>
      <c r="AF1001" s="18" t="s">
        <v>91</v>
      </c>
      <c r="AG1001" s="18" t="s">
        <v>92</v>
      </c>
      <c r="AH1001" s="18" t="s">
        <v>165</v>
      </c>
      <c r="AI1001" s="18" t="s">
        <v>94</v>
      </c>
      <c r="AJ1001" s="19">
        <v>44907</v>
      </c>
      <c r="AK1001" s="22" t="s">
        <v>95</v>
      </c>
      <c r="AL1001" s="18" t="s">
        <v>95</v>
      </c>
      <c r="AM1001" s="18" t="s">
        <v>95</v>
      </c>
      <c r="AN1001" s="18" t="s">
        <v>95</v>
      </c>
      <c r="AO1001" s="18" t="s">
        <v>95</v>
      </c>
      <c r="AP1001" s="18" t="s">
        <v>95</v>
      </c>
      <c r="AQ1001" s="18" t="s">
        <v>95</v>
      </c>
      <c r="AR1001" s="18" t="s">
        <v>95</v>
      </c>
      <c r="AS1001" s="18" t="s">
        <v>83</v>
      </c>
      <c r="AT1001" s="18" t="s">
        <v>83</v>
      </c>
      <c r="AU1001" s="18" t="s">
        <v>81</v>
      </c>
      <c r="AV1001" s="18" t="s">
        <v>95</v>
      </c>
      <c r="AW1001" s="18"/>
      <c r="AX1001" s="18"/>
      <c r="AY1001" s="18" t="str">
        <f>Pospago[[#This Row],[NUM_TELEFONICO]]&amp;"POSPAGOSI"</f>
        <v>998647478POSPAGOSI</v>
      </c>
      <c r="AZ1001" s="18" t="str">
        <f>VLOOKUP(Pospago[[#This Row],[NOM_PLAZA_FINAL]],[1]!Locales[#Data],3,0)</f>
        <v>TIENDA CUENCA CENTRO</v>
      </c>
      <c r="BA1001" s="18" t="str">
        <f>IFERROR(VLOOKUP(Pospago[[#This Row],[USUARIO]],[1]!Personal[#Data],6,0),"EJECUTIVO NO REGISTRADO")</f>
        <v>GONZALES ALVARRACIN PAOLA YESSENIA</v>
      </c>
      <c r="BB1001" s="18" t="str">
        <f>Pospago[[#This Row],[TIPO_MOVIMIENTO]]&amp;" "&amp;Pospago[[#This Row],[FORMA_PAGO_FINAL]]</f>
        <v>TRANSFERENCIAS PAGO EN CAJA</v>
      </c>
      <c r="BC1001" s="18">
        <f>DAY(Pospago[[#This Row],[FECHA_ALTA]])</f>
        <v>12</v>
      </c>
      <c r="BD1001" s="18">
        <f>IF(Pospago[[#This Row],[TARIFA_BASICA]]=11.42,1,0)</f>
        <v>0</v>
      </c>
      <c r="BE1001" s="18">
        <f>IF(Pospago[[#This Row],[PLANES TELEVENTAS]]="SI",1,0)</f>
        <v>0</v>
      </c>
      <c r="BF1001" s="18">
        <f>1</f>
        <v>1</v>
      </c>
      <c r="BG1001" s="18">
        <f>IF(OR(Pospago[[#This Row],[TARIFA_BASICA]]=11.42,Pospago[[#This Row],[PLANES TELEVENTAS]]="SI"),1,0)</f>
        <v>0</v>
      </c>
      <c r="BH1001" s="18" t="str">
        <f>IF(MID(Pospago[[#This Row],[PlanDesc]],1,4) = "PLAN","POSPAGO",IF(MID(Pospago[[#This Row],[PlanDesc]],1,4)="FULL","FULL MEGAS","PREVIOPAGO"))</f>
        <v>PREVIOPAGO</v>
      </c>
      <c r="BI10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0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01" s="21">
        <f>Pospago[[#This Row],[TARIFA_BASICA]]*1.5</f>
        <v>22.5</v>
      </c>
    </row>
    <row r="1002" spans="1:63" x14ac:dyDescent="0.25">
      <c r="A1002" s="18" t="s">
        <v>64</v>
      </c>
      <c r="B1002" s="18" t="s">
        <v>6248</v>
      </c>
      <c r="C1002" s="18" t="s">
        <v>5981</v>
      </c>
      <c r="D1002" s="19">
        <v>44912</v>
      </c>
      <c r="E1002" s="18" t="s">
        <v>67</v>
      </c>
      <c r="F1002" s="18" t="s">
        <v>5982</v>
      </c>
      <c r="G1002" s="18" t="s">
        <v>5983</v>
      </c>
      <c r="H1002" s="18" t="s">
        <v>70</v>
      </c>
      <c r="I1002" s="18" t="s">
        <v>194</v>
      </c>
      <c r="J1002" s="18" t="s">
        <v>195</v>
      </c>
      <c r="K1002" s="18" t="s">
        <v>132</v>
      </c>
      <c r="L1002" s="20" t="s">
        <v>6249</v>
      </c>
      <c r="M1002" s="18" t="s">
        <v>75</v>
      </c>
      <c r="N1002" s="20" t="s">
        <v>6250</v>
      </c>
      <c r="O1002" s="18" t="s">
        <v>77</v>
      </c>
      <c r="P1002" s="18" t="s">
        <v>78</v>
      </c>
      <c r="Q1002" s="19">
        <v>44914</v>
      </c>
      <c r="R1002" s="21">
        <v>14.28</v>
      </c>
      <c r="S1002" s="18" t="s">
        <v>79</v>
      </c>
      <c r="T1002" s="18" t="s">
        <v>232</v>
      </c>
      <c r="U1002" s="18" t="s">
        <v>83</v>
      </c>
      <c r="V1002" s="18" t="s">
        <v>95</v>
      </c>
      <c r="W1002" s="18" t="s">
        <v>83</v>
      </c>
      <c r="X1002" s="18" t="s">
        <v>84</v>
      </c>
      <c r="Y1002" s="18" t="s">
        <v>85</v>
      </c>
      <c r="Z1002" s="18" t="s">
        <v>86</v>
      </c>
      <c r="AA1002" s="18" t="s">
        <v>87</v>
      </c>
      <c r="AB1002" s="18" t="s">
        <v>377</v>
      </c>
      <c r="AC1002" s="18" t="s">
        <v>378</v>
      </c>
      <c r="AD1002" s="18" t="s">
        <v>85</v>
      </c>
      <c r="AE1002" s="18" t="s">
        <v>90</v>
      </c>
      <c r="AF1002" s="18" t="s">
        <v>235</v>
      </c>
      <c r="AG1002" s="18" t="s">
        <v>139</v>
      </c>
      <c r="AH1002" s="18" t="s">
        <v>93</v>
      </c>
      <c r="AI1002" s="18" t="s">
        <v>94</v>
      </c>
      <c r="AJ1002" s="19">
        <v>44912</v>
      </c>
      <c r="AK1002" s="22" t="s">
        <v>95</v>
      </c>
      <c r="AL1002" s="18" t="s">
        <v>95</v>
      </c>
      <c r="AM1002" s="18" t="s">
        <v>95</v>
      </c>
      <c r="AN1002" s="18" t="s">
        <v>95</v>
      </c>
      <c r="AO1002" s="18" t="s">
        <v>95</v>
      </c>
      <c r="AP1002" s="18" t="s">
        <v>95</v>
      </c>
      <c r="AQ1002" s="18" t="s">
        <v>95</v>
      </c>
      <c r="AR1002" s="18" t="s">
        <v>95</v>
      </c>
      <c r="AS1002" s="18" t="s">
        <v>83</v>
      </c>
      <c r="AT1002" s="18" t="s">
        <v>81</v>
      </c>
      <c r="AU1002" s="18" t="s">
        <v>81</v>
      </c>
      <c r="AV1002" s="18" t="s">
        <v>95</v>
      </c>
      <c r="AW1002" s="18"/>
      <c r="AX1002" s="18"/>
      <c r="AY1002" s="18" t="str">
        <f>Pospago[[#This Row],[NUM_TELEFONICO]]&amp;"POSPAGOSI"</f>
        <v>998677890POSPAGOSI</v>
      </c>
      <c r="AZ1002" s="18" t="str">
        <f>VLOOKUP(Pospago[[#This Row],[NOM_PLAZA_FINAL]],[1]!Locales[#Data],3,0)</f>
        <v>TIENDA CONDADO</v>
      </c>
      <c r="BA1002" s="18" t="str">
        <f>IFERROR(VLOOKUP(Pospago[[#This Row],[USUARIO]],[1]!Personal[#Data],6,0),"EJECUTIVO NO REGISTRADO")</f>
        <v>MELCHIADE ISAAC VALMORE</v>
      </c>
      <c r="BB1002" s="18" t="str">
        <f>Pospago[[#This Row],[TIPO_MOVIMIENTO]]&amp;" "&amp;Pospago[[#This Row],[FORMA_PAGO_FINAL]]</f>
        <v>ALTAS DOMICILIADO</v>
      </c>
      <c r="BC1002" s="18">
        <f>DAY(Pospago[[#This Row],[FECHA_ALTA]])</f>
        <v>17</v>
      </c>
      <c r="BD1002" s="18">
        <f>IF(Pospago[[#This Row],[TARIFA_BASICA]]=11.42,1,0)</f>
        <v>0</v>
      </c>
      <c r="BE1002" s="18">
        <f>IF(Pospago[[#This Row],[PLANES TELEVENTAS]]="SI",1,0)</f>
        <v>1</v>
      </c>
      <c r="BF1002" s="18">
        <f>1</f>
        <v>1</v>
      </c>
      <c r="BG1002" s="18">
        <f>IF(OR(Pospago[[#This Row],[TARIFA_BASICA]]=11.42,Pospago[[#This Row],[PLANES TELEVENTAS]]="SI"),1,0)</f>
        <v>1</v>
      </c>
      <c r="BH1002" s="18" t="str">
        <f>IF(MID(Pospago[[#This Row],[PlanDesc]],1,4) = "PLAN","POSPAGO",IF(MID(Pospago[[#This Row],[PlanDesc]],1,4)="FULL","FULL MEGAS","PREVIOPAGO"))</f>
        <v>PREVIOPAGO</v>
      </c>
      <c r="BI10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02" s="21">
        <f>Pospago[[#This Row],[TARIFA_BASICA]]*1.5</f>
        <v>21.419999999999998</v>
      </c>
    </row>
    <row r="1003" spans="1:63" x14ac:dyDescent="0.25">
      <c r="A1003" s="18" t="s">
        <v>64</v>
      </c>
      <c r="B1003" s="18" t="s">
        <v>6251</v>
      </c>
      <c r="C1003" s="18" t="s">
        <v>6252</v>
      </c>
      <c r="D1003" s="19">
        <v>44907</v>
      </c>
      <c r="E1003" s="18" t="s">
        <v>67</v>
      </c>
      <c r="F1003" s="18" t="s">
        <v>6253</v>
      </c>
      <c r="G1003" s="18" t="s">
        <v>6254</v>
      </c>
      <c r="H1003" s="18" t="s">
        <v>70</v>
      </c>
      <c r="I1003" s="18" t="s">
        <v>160</v>
      </c>
      <c r="J1003" s="18" t="s">
        <v>195</v>
      </c>
      <c r="K1003" s="18" t="s">
        <v>73</v>
      </c>
      <c r="L1003" s="20" t="s">
        <v>6255</v>
      </c>
      <c r="M1003" s="18" t="s">
        <v>75</v>
      </c>
      <c r="N1003" s="20" t="s">
        <v>6256</v>
      </c>
      <c r="O1003" s="18" t="s">
        <v>77</v>
      </c>
      <c r="P1003" s="18" t="s">
        <v>78</v>
      </c>
      <c r="Q1003" s="19">
        <v>44914</v>
      </c>
      <c r="R1003" s="21">
        <v>14.28</v>
      </c>
      <c r="S1003" s="18" t="s">
        <v>79</v>
      </c>
      <c r="T1003" s="18" t="s">
        <v>135</v>
      </c>
      <c r="U1003" s="18" t="s">
        <v>83</v>
      </c>
      <c r="V1003" s="18" t="s">
        <v>95</v>
      </c>
      <c r="W1003" s="18" t="s">
        <v>83</v>
      </c>
      <c r="X1003" s="18" t="s">
        <v>84</v>
      </c>
      <c r="Y1003" s="18" t="s">
        <v>85</v>
      </c>
      <c r="Z1003" s="18" t="s">
        <v>86</v>
      </c>
      <c r="AA1003" s="18" t="s">
        <v>87</v>
      </c>
      <c r="AB1003" s="18" t="s">
        <v>136</v>
      </c>
      <c r="AC1003" s="18" t="s">
        <v>137</v>
      </c>
      <c r="AD1003" s="18" t="s">
        <v>85</v>
      </c>
      <c r="AE1003" s="18" t="s">
        <v>90</v>
      </c>
      <c r="AF1003" s="18" t="s">
        <v>138</v>
      </c>
      <c r="AG1003" s="18" t="s">
        <v>139</v>
      </c>
      <c r="AH1003" s="18" t="s">
        <v>93</v>
      </c>
      <c r="AI1003" s="18" t="s">
        <v>94</v>
      </c>
      <c r="AJ1003" s="19">
        <v>44907</v>
      </c>
      <c r="AK1003" s="22" t="s">
        <v>95</v>
      </c>
      <c r="AL1003" s="18" t="s">
        <v>95</v>
      </c>
      <c r="AM1003" s="18" t="s">
        <v>95</v>
      </c>
      <c r="AN1003" s="18" t="s">
        <v>95</v>
      </c>
      <c r="AO1003" s="18" t="s">
        <v>95</v>
      </c>
      <c r="AP1003" s="18" t="s">
        <v>95</v>
      </c>
      <c r="AQ1003" s="18" t="s">
        <v>95</v>
      </c>
      <c r="AR1003" s="18" t="s">
        <v>95</v>
      </c>
      <c r="AS1003" s="18" t="s">
        <v>83</v>
      </c>
      <c r="AT1003" s="18" t="s">
        <v>83</v>
      </c>
      <c r="AU1003" s="18" t="s">
        <v>81</v>
      </c>
      <c r="AV1003" s="18" t="s">
        <v>95</v>
      </c>
      <c r="AW1003" s="18"/>
      <c r="AX1003" s="18"/>
      <c r="AY1003" s="18" t="str">
        <f>Pospago[[#This Row],[NUM_TELEFONICO]]&amp;"POSPAGOSI"</f>
        <v>998683169POSPAGOSI</v>
      </c>
      <c r="AZ1003" s="18" t="str">
        <f>VLOOKUP(Pospago[[#This Row],[NOM_PLAZA_FINAL]],[1]!Locales[#Data],3,0)</f>
        <v>TIENDA AMERICA</v>
      </c>
      <c r="BA1003" s="18" t="str">
        <f>IFERROR(VLOOKUP(Pospago[[#This Row],[USUARIO]],[1]!Personal[#Data],6,0),"EJECUTIVO NO REGISTRADO")</f>
        <v>SALVATIERRA GUERRA JULIAN ENRIQUE</v>
      </c>
      <c r="BB1003" s="18" t="str">
        <f>Pospago[[#This Row],[TIPO_MOVIMIENTO]]&amp;" "&amp;Pospago[[#This Row],[FORMA_PAGO_FINAL]]</f>
        <v>ALTAS DOMICILIADO</v>
      </c>
      <c r="BC1003" s="18">
        <f>DAY(Pospago[[#This Row],[FECHA_ALTA]])</f>
        <v>12</v>
      </c>
      <c r="BD1003" s="18">
        <f>IF(Pospago[[#This Row],[TARIFA_BASICA]]=11.42,1,0)</f>
        <v>0</v>
      </c>
      <c r="BE1003" s="18">
        <f>IF(Pospago[[#This Row],[PLANES TELEVENTAS]]="SI",1,0)</f>
        <v>0</v>
      </c>
      <c r="BF1003" s="18">
        <f>1</f>
        <v>1</v>
      </c>
      <c r="BG1003" s="18">
        <f>IF(OR(Pospago[[#This Row],[TARIFA_BASICA]]=11.42,Pospago[[#This Row],[PLANES TELEVENTAS]]="SI"),1,0)</f>
        <v>0</v>
      </c>
      <c r="BH1003" s="18" t="str">
        <f>IF(MID(Pospago[[#This Row],[PlanDesc]],1,4) = "PLAN","POSPAGO",IF(MID(Pospago[[#This Row],[PlanDesc]],1,4)="FULL","FULL MEGAS","PREVIOPAGO"))</f>
        <v>PREVIOPAGO</v>
      </c>
      <c r="BI10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03" s="21">
        <f>Pospago[[#This Row],[TARIFA_BASICA]]*1.5</f>
        <v>21.419999999999998</v>
      </c>
    </row>
    <row r="1004" spans="1:63" x14ac:dyDescent="0.25">
      <c r="A1004" s="18" t="s">
        <v>64</v>
      </c>
      <c r="B1004" s="18" t="s">
        <v>6257</v>
      </c>
      <c r="C1004" s="18" t="s">
        <v>6258</v>
      </c>
      <c r="D1004" s="19">
        <v>44903</v>
      </c>
      <c r="E1004" s="18" t="s">
        <v>67</v>
      </c>
      <c r="F1004" s="18" t="s">
        <v>6259</v>
      </c>
      <c r="G1004" s="18" t="s">
        <v>6260</v>
      </c>
      <c r="H1004" s="18" t="s">
        <v>70</v>
      </c>
      <c r="I1004" s="18" t="s">
        <v>359</v>
      </c>
      <c r="J1004" s="18" t="s">
        <v>360</v>
      </c>
      <c r="K1004" s="18" t="s">
        <v>114</v>
      </c>
      <c r="L1004" s="20" t="s">
        <v>6261</v>
      </c>
      <c r="M1004" s="18" t="s">
        <v>75</v>
      </c>
      <c r="N1004" s="20" t="s">
        <v>6262</v>
      </c>
      <c r="O1004" s="18" t="s">
        <v>77</v>
      </c>
      <c r="P1004" s="18" t="s">
        <v>78</v>
      </c>
      <c r="Q1004" s="19">
        <v>44914</v>
      </c>
      <c r="R1004" s="21">
        <v>14.28</v>
      </c>
      <c r="S1004" s="18" t="s">
        <v>79</v>
      </c>
      <c r="T1004" s="18" t="s">
        <v>117</v>
      </c>
      <c r="U1004" s="18" t="s">
        <v>83</v>
      </c>
      <c r="V1004" s="18" t="s">
        <v>95</v>
      </c>
      <c r="W1004" s="18" t="s">
        <v>83</v>
      </c>
      <c r="X1004" s="18" t="s">
        <v>84</v>
      </c>
      <c r="Y1004" s="18" t="s">
        <v>85</v>
      </c>
      <c r="Z1004" s="18" t="s">
        <v>86</v>
      </c>
      <c r="AA1004" s="18" t="s">
        <v>87</v>
      </c>
      <c r="AB1004" s="18" t="s">
        <v>120</v>
      </c>
      <c r="AC1004" s="18" t="s">
        <v>121</v>
      </c>
      <c r="AD1004" s="18" t="s">
        <v>85</v>
      </c>
      <c r="AE1004" s="18" t="s">
        <v>90</v>
      </c>
      <c r="AF1004" s="18" t="s">
        <v>122</v>
      </c>
      <c r="AG1004" s="18" t="s">
        <v>92</v>
      </c>
      <c r="AH1004" s="18" t="s">
        <v>93</v>
      </c>
      <c r="AI1004" s="18" t="s">
        <v>94</v>
      </c>
      <c r="AJ1004" s="19">
        <v>44903</v>
      </c>
      <c r="AK1004" s="22" t="s">
        <v>95</v>
      </c>
      <c r="AL1004" s="18" t="s">
        <v>95</v>
      </c>
      <c r="AM1004" s="18" t="s">
        <v>95</v>
      </c>
      <c r="AN1004" s="18" t="s">
        <v>95</v>
      </c>
      <c r="AO1004" s="18" t="s">
        <v>95</v>
      </c>
      <c r="AP1004" s="18" t="s">
        <v>95</v>
      </c>
      <c r="AQ1004" s="18" t="s">
        <v>95</v>
      </c>
      <c r="AR1004" s="18" t="s">
        <v>95</v>
      </c>
      <c r="AS1004" s="18" t="s">
        <v>83</v>
      </c>
      <c r="AT1004" s="18" t="s">
        <v>83</v>
      </c>
      <c r="AU1004" s="18" t="s">
        <v>83</v>
      </c>
      <c r="AV1004" s="18" t="s">
        <v>95</v>
      </c>
      <c r="AW1004" s="18"/>
      <c r="AX1004" s="18"/>
      <c r="AY1004" s="18" t="str">
        <f>Pospago[[#This Row],[NUM_TELEFONICO]]&amp;"POSPAGOSI"</f>
        <v>998684900POSPAGOSI</v>
      </c>
      <c r="AZ1004" s="18" t="str">
        <f>VLOOKUP(Pospago[[#This Row],[NOM_PLAZA_FINAL]],[1]!Locales[#Data],3,0)</f>
        <v>TIENDA MACHALA</v>
      </c>
      <c r="BA1004" s="18" t="str">
        <f>IFERROR(VLOOKUP(Pospago[[#This Row],[USUARIO]],[1]!Personal[#Data],6,0),"EJECUTIVO NO REGISTRADO")</f>
        <v>ARROBO VICENTE YADIRA ESPERANZA</v>
      </c>
      <c r="BB1004" s="18" t="str">
        <f>Pospago[[#This Row],[TIPO_MOVIMIENTO]]&amp;" "&amp;Pospago[[#This Row],[FORMA_PAGO_FINAL]]</f>
        <v>ALTAS DOMICILIADO</v>
      </c>
      <c r="BC1004" s="18">
        <f>DAY(Pospago[[#This Row],[FECHA_ALTA]])</f>
        <v>8</v>
      </c>
      <c r="BD1004" s="18">
        <f>IF(Pospago[[#This Row],[TARIFA_BASICA]]=11.42,1,0)</f>
        <v>0</v>
      </c>
      <c r="BE1004" s="18">
        <f>IF(Pospago[[#This Row],[PLANES TELEVENTAS]]="SI",1,0)</f>
        <v>0</v>
      </c>
      <c r="BF1004" s="18">
        <f>1</f>
        <v>1</v>
      </c>
      <c r="BG1004" s="18">
        <f>IF(OR(Pospago[[#This Row],[TARIFA_BASICA]]=11.42,Pospago[[#This Row],[PLANES TELEVENTAS]]="SI"),1,0)</f>
        <v>0</v>
      </c>
      <c r="BH1004" s="18" t="str">
        <f>IF(MID(Pospago[[#This Row],[PlanDesc]],1,4) = "PLAN","POSPAGO",IF(MID(Pospago[[#This Row],[PlanDesc]],1,4)="FULL","FULL MEGAS","PREVIOPAGO"))</f>
        <v>POSPAGO</v>
      </c>
      <c r="BI10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10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04" s="21">
        <f>Pospago[[#This Row],[TARIFA_BASICA]]*1.5</f>
        <v>21.419999999999998</v>
      </c>
    </row>
    <row r="1005" spans="1:63" x14ac:dyDescent="0.25">
      <c r="A1005" s="18" t="s">
        <v>154</v>
      </c>
      <c r="B1005" s="18" t="s">
        <v>6263</v>
      </c>
      <c r="C1005" s="18" t="s">
        <v>6264</v>
      </c>
      <c r="D1005" s="19">
        <v>44910</v>
      </c>
      <c r="E1005" s="18" t="s">
        <v>67</v>
      </c>
      <c r="F1005" s="18" t="s">
        <v>6265</v>
      </c>
      <c r="G1005" s="18" t="s">
        <v>6266</v>
      </c>
      <c r="H1005" s="18" t="s">
        <v>159</v>
      </c>
      <c r="I1005" s="18" t="s">
        <v>71</v>
      </c>
      <c r="J1005" s="18" t="s">
        <v>258</v>
      </c>
      <c r="K1005" s="18" t="s">
        <v>95</v>
      </c>
      <c r="L1005" s="20" t="s">
        <v>6267</v>
      </c>
      <c r="M1005" s="18" t="s">
        <v>75</v>
      </c>
      <c r="N1005" s="20" t="s">
        <v>6268</v>
      </c>
      <c r="O1005" s="18" t="s">
        <v>164</v>
      </c>
      <c r="P1005" s="18" t="s">
        <v>78</v>
      </c>
      <c r="Q1005" s="19">
        <v>44914</v>
      </c>
      <c r="R1005" s="21">
        <v>11.42</v>
      </c>
      <c r="S1005" s="18" t="s">
        <v>79</v>
      </c>
      <c r="T1005" s="18" t="s">
        <v>80</v>
      </c>
      <c r="U1005" s="18" t="s">
        <v>83</v>
      </c>
      <c r="V1005" s="18" t="s">
        <v>95</v>
      </c>
      <c r="W1005" s="18" t="s">
        <v>95</v>
      </c>
      <c r="X1005" s="18" t="s">
        <v>118</v>
      </c>
      <c r="Y1005" s="18" t="s">
        <v>85</v>
      </c>
      <c r="Z1005" s="18" t="s">
        <v>86</v>
      </c>
      <c r="AA1005" s="18" t="s">
        <v>119</v>
      </c>
      <c r="AB1005" s="18" t="s">
        <v>880</v>
      </c>
      <c r="AC1005" s="18" t="s">
        <v>881</v>
      </c>
      <c r="AD1005" s="18" t="s">
        <v>85</v>
      </c>
      <c r="AE1005" s="18" t="s">
        <v>90</v>
      </c>
      <c r="AF1005" s="18" t="s">
        <v>91</v>
      </c>
      <c r="AG1005" s="18" t="s">
        <v>92</v>
      </c>
      <c r="AH1005" s="18" t="s">
        <v>165</v>
      </c>
      <c r="AI1005" s="18" t="s">
        <v>94</v>
      </c>
      <c r="AJ1005" s="19">
        <v>44910</v>
      </c>
      <c r="AK1005" s="22" t="s">
        <v>95</v>
      </c>
      <c r="AL1005" s="18" t="s">
        <v>95</v>
      </c>
      <c r="AM1005" s="18" t="s">
        <v>95</v>
      </c>
      <c r="AN1005" s="18" t="s">
        <v>95</v>
      </c>
      <c r="AO1005" s="18" t="s">
        <v>95</v>
      </c>
      <c r="AP1005" s="18" t="s">
        <v>95</v>
      </c>
      <c r="AQ1005" s="18" t="s">
        <v>95</v>
      </c>
      <c r="AR1005" s="18" t="s">
        <v>95</v>
      </c>
      <c r="AS1005" s="18" t="s">
        <v>83</v>
      </c>
      <c r="AT1005" s="18" t="s">
        <v>83</v>
      </c>
      <c r="AU1005" s="18" t="s">
        <v>81</v>
      </c>
      <c r="AV1005" s="18" t="s">
        <v>95</v>
      </c>
      <c r="AW1005" s="18"/>
      <c r="AX1005" s="18"/>
      <c r="AY1005" s="18" t="str">
        <f>Pospago[[#This Row],[NUM_TELEFONICO]]&amp;"POSPAGOSI"</f>
        <v>998689656POSPAGOSI</v>
      </c>
      <c r="AZ1005" s="18" t="str">
        <f>VLOOKUP(Pospago[[#This Row],[NOM_PLAZA_FINAL]],[1]!Locales[#Data],3,0)</f>
        <v>TIENDA CUENCA CENTRO</v>
      </c>
      <c r="BA1005" s="18" t="str">
        <f>IFERROR(VLOOKUP(Pospago[[#This Row],[USUARIO]],[1]!Personal[#Data],6,0),"EJECUTIVO NO REGISTRADO")</f>
        <v>LUNA JACHO ANDREA GABRIELA</v>
      </c>
      <c r="BB1005" s="18" t="str">
        <f>Pospago[[#This Row],[TIPO_MOVIMIENTO]]&amp;" "&amp;Pospago[[#This Row],[FORMA_PAGO_FINAL]]</f>
        <v>TRANSFERENCIAS PAGO EN CAJA</v>
      </c>
      <c r="BC1005" s="18">
        <f>DAY(Pospago[[#This Row],[FECHA_ALTA]])</f>
        <v>15</v>
      </c>
      <c r="BD1005" s="18">
        <f>IF(Pospago[[#This Row],[TARIFA_BASICA]]=11.42,1,0)</f>
        <v>1</v>
      </c>
      <c r="BE1005" s="18">
        <f>IF(Pospago[[#This Row],[PLANES TELEVENTAS]]="SI",1,0)</f>
        <v>0</v>
      </c>
      <c r="BF1005" s="18">
        <f>1</f>
        <v>1</v>
      </c>
      <c r="BG1005" s="18">
        <f>IF(OR(Pospago[[#This Row],[TARIFA_BASICA]]=11.42,Pospago[[#This Row],[PLANES TELEVENTAS]]="SI"),1,0)</f>
        <v>1</v>
      </c>
      <c r="BH1005" s="18" t="str">
        <f>IF(MID(Pospago[[#This Row],[PlanDesc]],1,4) = "PLAN","POSPAGO",IF(MID(Pospago[[#This Row],[PlanDesc]],1,4)="FULL","FULL MEGAS","PREVIOPAGO"))</f>
        <v>PREVIOPAGO</v>
      </c>
      <c r="BI10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05" s="21">
        <f>Pospago[[#This Row],[TARIFA_BASICA]]*1.5</f>
        <v>17.13</v>
      </c>
    </row>
    <row r="1006" spans="1:63" x14ac:dyDescent="0.25">
      <c r="A1006" s="18" t="s">
        <v>64</v>
      </c>
      <c r="B1006" s="18" t="s">
        <v>6269</v>
      </c>
      <c r="C1006" s="18" t="s">
        <v>6270</v>
      </c>
      <c r="D1006" s="19">
        <v>44897</v>
      </c>
      <c r="E1006" s="18" t="s">
        <v>67</v>
      </c>
      <c r="F1006" s="18" t="s">
        <v>6271</v>
      </c>
      <c r="G1006" s="18" t="s">
        <v>6272</v>
      </c>
      <c r="H1006" s="18" t="s">
        <v>70</v>
      </c>
      <c r="I1006" s="18" t="s">
        <v>130</v>
      </c>
      <c r="J1006" s="18" t="s">
        <v>131</v>
      </c>
      <c r="K1006" s="18" t="s">
        <v>95</v>
      </c>
      <c r="L1006" s="20" t="s">
        <v>6273</v>
      </c>
      <c r="M1006" s="18" t="s">
        <v>75</v>
      </c>
      <c r="N1006" s="20" t="s">
        <v>6274</v>
      </c>
      <c r="O1006" s="18" t="s">
        <v>77</v>
      </c>
      <c r="P1006" s="18" t="s">
        <v>78</v>
      </c>
      <c r="Q1006" s="19">
        <v>44914</v>
      </c>
      <c r="R1006" s="21">
        <v>15</v>
      </c>
      <c r="S1006" s="18" t="s">
        <v>79</v>
      </c>
      <c r="T1006" s="18" t="s">
        <v>148</v>
      </c>
      <c r="U1006" s="18" t="s">
        <v>83</v>
      </c>
      <c r="V1006" s="18" t="s">
        <v>95</v>
      </c>
      <c r="W1006" s="18" t="s">
        <v>83</v>
      </c>
      <c r="X1006" s="18" t="s">
        <v>118</v>
      </c>
      <c r="Y1006" s="18" t="s">
        <v>85</v>
      </c>
      <c r="Z1006" s="18" t="s">
        <v>86</v>
      </c>
      <c r="AA1006" s="18" t="s">
        <v>119</v>
      </c>
      <c r="AB1006" s="18" t="s">
        <v>385</v>
      </c>
      <c r="AC1006" s="18" t="s">
        <v>386</v>
      </c>
      <c r="AD1006" s="18" t="s">
        <v>85</v>
      </c>
      <c r="AE1006" s="18" t="s">
        <v>90</v>
      </c>
      <c r="AF1006" s="18" t="s">
        <v>151</v>
      </c>
      <c r="AG1006" s="18" t="s">
        <v>92</v>
      </c>
      <c r="AH1006" s="18" t="s">
        <v>93</v>
      </c>
      <c r="AI1006" s="18" t="s">
        <v>94</v>
      </c>
      <c r="AJ1006" s="19">
        <v>44897</v>
      </c>
      <c r="AK1006" s="22" t="s">
        <v>95</v>
      </c>
      <c r="AL1006" s="18" t="s">
        <v>95</v>
      </c>
      <c r="AM1006" s="18" t="s">
        <v>95</v>
      </c>
      <c r="AN1006" s="18" t="s">
        <v>95</v>
      </c>
      <c r="AO1006" s="18" t="s">
        <v>95</v>
      </c>
      <c r="AP1006" s="18" t="s">
        <v>95</v>
      </c>
      <c r="AQ1006" s="18" t="s">
        <v>95</v>
      </c>
      <c r="AR1006" s="18" t="s">
        <v>95</v>
      </c>
      <c r="AS1006" s="18" t="s">
        <v>83</v>
      </c>
      <c r="AT1006" s="18" t="s">
        <v>83</v>
      </c>
      <c r="AU1006" s="18" t="s">
        <v>81</v>
      </c>
      <c r="AV1006" s="18" t="s">
        <v>95</v>
      </c>
      <c r="AW1006" s="18"/>
      <c r="AX1006" s="18"/>
      <c r="AY1006" s="18" t="str">
        <f>Pospago[[#This Row],[NUM_TELEFONICO]]&amp;"POSPAGOSI"</f>
        <v>998733137POSPAGOSI</v>
      </c>
      <c r="AZ1006" s="18" t="str">
        <f>VLOOKUP(Pospago[[#This Row],[NOM_PLAZA_FINAL]],[1]!Locales[#Data],3,0)</f>
        <v>TIENDA CUENCA REMIGIO</v>
      </c>
      <c r="BA1006" s="18" t="str">
        <f>IFERROR(VLOOKUP(Pospago[[#This Row],[USUARIO]],[1]!Personal[#Data],6,0),"EJECUTIVO NO REGISTRADO")</f>
        <v>RAMIREZ RUBIO NELLY LILIANA</v>
      </c>
      <c r="BB1006" s="18" t="str">
        <f>Pospago[[#This Row],[TIPO_MOVIMIENTO]]&amp;" "&amp;Pospago[[#This Row],[FORMA_PAGO_FINAL]]</f>
        <v>ALTAS PAGO EN CAJA</v>
      </c>
      <c r="BC1006" s="18">
        <f>DAY(Pospago[[#This Row],[FECHA_ALTA]])</f>
        <v>2</v>
      </c>
      <c r="BD1006" s="18">
        <f>IF(Pospago[[#This Row],[TARIFA_BASICA]]=11.42,1,0)</f>
        <v>0</v>
      </c>
      <c r="BE1006" s="18">
        <f>IF(Pospago[[#This Row],[PLANES TELEVENTAS]]="SI",1,0)</f>
        <v>0</v>
      </c>
      <c r="BF1006" s="18">
        <f>1</f>
        <v>1</v>
      </c>
      <c r="BG1006" s="18">
        <f>IF(OR(Pospago[[#This Row],[TARIFA_BASICA]]=11.42,Pospago[[#This Row],[PLANES TELEVENTAS]]="SI"),1,0)</f>
        <v>0</v>
      </c>
      <c r="BH1006" s="18" t="str">
        <f>IF(MID(Pospago[[#This Row],[PlanDesc]],1,4) = "PLAN","POSPAGO",IF(MID(Pospago[[#This Row],[PlanDesc]],1,4)="FULL","FULL MEGAS","PREVIOPAGO"))</f>
        <v>PREVIOPAGO</v>
      </c>
      <c r="BI10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10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06" s="21">
        <f>Pospago[[#This Row],[TARIFA_BASICA]]*1.5</f>
        <v>22.5</v>
      </c>
    </row>
    <row r="1007" spans="1:63" x14ac:dyDescent="0.25">
      <c r="A1007" s="18" t="s">
        <v>154</v>
      </c>
      <c r="B1007" s="18" t="s">
        <v>6275</v>
      </c>
      <c r="C1007" s="18" t="s">
        <v>6276</v>
      </c>
      <c r="D1007" s="19">
        <v>44913</v>
      </c>
      <c r="E1007" s="18" t="s">
        <v>67</v>
      </c>
      <c r="F1007" s="18" t="s">
        <v>6277</v>
      </c>
      <c r="G1007" s="18" t="s">
        <v>6278</v>
      </c>
      <c r="H1007" s="18" t="s">
        <v>159</v>
      </c>
      <c r="I1007" s="18" t="s">
        <v>160</v>
      </c>
      <c r="J1007" s="18" t="s">
        <v>161</v>
      </c>
      <c r="K1007" s="18" t="s">
        <v>95</v>
      </c>
      <c r="L1007" s="20" t="s">
        <v>6279</v>
      </c>
      <c r="M1007" s="18" t="s">
        <v>75</v>
      </c>
      <c r="N1007" s="20" t="s">
        <v>6280</v>
      </c>
      <c r="O1007" s="18" t="s">
        <v>164</v>
      </c>
      <c r="P1007" s="18" t="s">
        <v>78</v>
      </c>
      <c r="Q1007" s="19">
        <v>44914</v>
      </c>
      <c r="R1007" s="21">
        <v>14.28</v>
      </c>
      <c r="S1007" s="18" t="s">
        <v>79</v>
      </c>
      <c r="T1007" s="18" t="s">
        <v>174</v>
      </c>
      <c r="U1007" s="18" t="s">
        <v>83</v>
      </c>
      <c r="V1007" s="18" t="s">
        <v>95</v>
      </c>
      <c r="W1007" s="18" t="s">
        <v>95</v>
      </c>
      <c r="X1007" s="18" t="s">
        <v>84</v>
      </c>
      <c r="Y1007" s="18" t="s">
        <v>85</v>
      </c>
      <c r="Z1007" s="18" t="s">
        <v>86</v>
      </c>
      <c r="AA1007" s="18" t="s">
        <v>87</v>
      </c>
      <c r="AB1007" s="18" t="s">
        <v>822</v>
      </c>
      <c r="AC1007" s="18" t="s">
        <v>823</v>
      </c>
      <c r="AD1007" s="18" t="s">
        <v>85</v>
      </c>
      <c r="AE1007" s="18" t="s">
        <v>90</v>
      </c>
      <c r="AF1007" s="18" t="s">
        <v>177</v>
      </c>
      <c r="AG1007" s="18" t="s">
        <v>139</v>
      </c>
      <c r="AH1007" s="18" t="s">
        <v>165</v>
      </c>
      <c r="AI1007" s="18" t="s">
        <v>94</v>
      </c>
      <c r="AJ1007" s="19">
        <v>44913</v>
      </c>
      <c r="AK1007" s="22" t="s">
        <v>95</v>
      </c>
      <c r="AL1007" s="18" t="s">
        <v>95</v>
      </c>
      <c r="AM1007" s="18" t="s">
        <v>95</v>
      </c>
      <c r="AN1007" s="18" t="s">
        <v>95</v>
      </c>
      <c r="AO1007" s="18" t="s">
        <v>95</v>
      </c>
      <c r="AP1007" s="18" t="s">
        <v>95</v>
      </c>
      <c r="AQ1007" s="18" t="s">
        <v>95</v>
      </c>
      <c r="AR1007" s="18" t="s">
        <v>95</v>
      </c>
      <c r="AS1007" s="18" t="s">
        <v>83</v>
      </c>
      <c r="AT1007" s="18" t="s">
        <v>83</v>
      </c>
      <c r="AU1007" s="18" t="s">
        <v>81</v>
      </c>
      <c r="AV1007" s="18" t="s">
        <v>95</v>
      </c>
      <c r="AW1007" s="18"/>
      <c r="AX1007" s="18"/>
      <c r="AY1007" s="18" t="str">
        <f>Pospago[[#This Row],[NUM_TELEFONICO]]&amp;"POSPAGOSI"</f>
        <v>998735739POSPAGOSI</v>
      </c>
      <c r="AZ1007" s="18" t="str">
        <f>VLOOKUP(Pospago[[#This Row],[NOM_PLAZA_FINAL]],[1]!Locales[#Data],3,0)</f>
        <v>TIENDA RECREO</v>
      </c>
      <c r="BA1007" s="18" t="str">
        <f>IFERROR(VLOOKUP(Pospago[[#This Row],[USUARIO]],[1]!Personal[#Data],6,0),"EJECUTIVO NO REGISTRADO")</f>
        <v>SALAS PARRA MARIA JOSE</v>
      </c>
      <c r="BB1007" s="18" t="str">
        <f>Pospago[[#This Row],[TIPO_MOVIMIENTO]]&amp;" "&amp;Pospago[[#This Row],[FORMA_PAGO_FINAL]]</f>
        <v>TRANSFERENCIAS DOMICILIADO</v>
      </c>
      <c r="BC1007" s="18">
        <f>DAY(Pospago[[#This Row],[FECHA_ALTA]])</f>
        <v>18</v>
      </c>
      <c r="BD1007" s="18">
        <f>IF(Pospago[[#This Row],[TARIFA_BASICA]]=11.42,1,0)</f>
        <v>0</v>
      </c>
      <c r="BE1007" s="18">
        <f>IF(Pospago[[#This Row],[PLANES TELEVENTAS]]="SI",1,0)</f>
        <v>0</v>
      </c>
      <c r="BF1007" s="18">
        <f>1</f>
        <v>1</v>
      </c>
      <c r="BG1007" s="18">
        <f>IF(OR(Pospago[[#This Row],[TARIFA_BASICA]]=11.42,Pospago[[#This Row],[PLANES TELEVENTAS]]="SI"),1,0)</f>
        <v>0</v>
      </c>
      <c r="BH1007" s="18" t="str">
        <f>IF(MID(Pospago[[#This Row],[PlanDesc]],1,4) = "PLAN","POSPAGO",IF(MID(Pospago[[#This Row],[PlanDesc]],1,4)="FULL","FULL MEGAS","PREVIOPAGO"))</f>
        <v>PREVIOPAGO</v>
      </c>
      <c r="BI10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07" s="21">
        <f>Pospago[[#This Row],[TARIFA_BASICA]]*1.5</f>
        <v>21.419999999999998</v>
      </c>
    </row>
    <row r="1008" spans="1:63" x14ac:dyDescent="0.25">
      <c r="A1008" s="18" t="s">
        <v>154</v>
      </c>
      <c r="B1008" s="18" t="s">
        <v>6281</v>
      </c>
      <c r="C1008" s="18" t="s">
        <v>6282</v>
      </c>
      <c r="D1008" s="19">
        <v>44897</v>
      </c>
      <c r="E1008" s="18" t="s">
        <v>67</v>
      </c>
      <c r="F1008" s="18" t="s">
        <v>6283</v>
      </c>
      <c r="G1008" s="18" t="s">
        <v>6284</v>
      </c>
      <c r="H1008" s="18" t="s">
        <v>159</v>
      </c>
      <c r="I1008" s="18" t="s">
        <v>71</v>
      </c>
      <c r="J1008" s="18" t="s">
        <v>258</v>
      </c>
      <c r="K1008" s="18" t="s">
        <v>132</v>
      </c>
      <c r="L1008" s="20" t="s">
        <v>6285</v>
      </c>
      <c r="M1008" s="18" t="s">
        <v>75</v>
      </c>
      <c r="N1008" s="20" t="s">
        <v>6286</v>
      </c>
      <c r="O1008" s="18" t="s">
        <v>1378</v>
      </c>
      <c r="P1008" s="18" t="s">
        <v>78</v>
      </c>
      <c r="Q1008" s="19">
        <v>44914</v>
      </c>
      <c r="R1008" s="21">
        <v>11.42</v>
      </c>
      <c r="S1008" s="18" t="s">
        <v>79</v>
      </c>
      <c r="T1008" s="18" t="s">
        <v>232</v>
      </c>
      <c r="U1008" s="18" t="s">
        <v>83</v>
      </c>
      <c r="V1008" s="18" t="s">
        <v>95</v>
      </c>
      <c r="W1008" s="18" t="s">
        <v>95</v>
      </c>
      <c r="X1008" s="18" t="s">
        <v>118</v>
      </c>
      <c r="Y1008" s="18" t="s">
        <v>85</v>
      </c>
      <c r="Z1008" s="18" t="s">
        <v>86</v>
      </c>
      <c r="AA1008" s="18" t="s">
        <v>119</v>
      </c>
      <c r="AB1008" s="18" t="s">
        <v>233</v>
      </c>
      <c r="AC1008" s="18" t="s">
        <v>234</v>
      </c>
      <c r="AD1008" s="18" t="s">
        <v>85</v>
      </c>
      <c r="AE1008" s="18" t="s">
        <v>90</v>
      </c>
      <c r="AF1008" s="18" t="s">
        <v>235</v>
      </c>
      <c r="AG1008" s="18" t="s">
        <v>139</v>
      </c>
      <c r="AH1008" s="18" t="s">
        <v>165</v>
      </c>
      <c r="AI1008" s="18" t="s">
        <v>94</v>
      </c>
      <c r="AJ1008" s="19">
        <v>44897</v>
      </c>
      <c r="AK1008" s="22" t="s">
        <v>95</v>
      </c>
      <c r="AL1008" s="18" t="s">
        <v>95</v>
      </c>
      <c r="AM1008" s="18" t="s">
        <v>95</v>
      </c>
      <c r="AN1008" s="18" t="s">
        <v>95</v>
      </c>
      <c r="AO1008" s="18" t="s">
        <v>95</v>
      </c>
      <c r="AP1008" s="18" t="s">
        <v>95</v>
      </c>
      <c r="AQ1008" s="18" t="s">
        <v>95</v>
      </c>
      <c r="AR1008" s="18" t="s">
        <v>95</v>
      </c>
      <c r="AS1008" s="18" t="s">
        <v>83</v>
      </c>
      <c r="AT1008" s="18" t="s">
        <v>83</v>
      </c>
      <c r="AU1008" s="18" t="s">
        <v>81</v>
      </c>
      <c r="AV1008" s="18" t="s">
        <v>95</v>
      </c>
      <c r="AW1008" s="18"/>
      <c r="AX1008" s="18"/>
      <c r="AY1008" s="18" t="str">
        <f>Pospago[[#This Row],[NUM_TELEFONICO]]&amp;"POSPAGOSI"</f>
        <v>998739137POSPAGOSI</v>
      </c>
      <c r="AZ1008" s="18" t="str">
        <f>VLOOKUP(Pospago[[#This Row],[NOM_PLAZA_FINAL]],[1]!Locales[#Data],3,0)</f>
        <v>TIENDA CONDADO</v>
      </c>
      <c r="BA1008" s="18" t="str">
        <f>IFERROR(VLOOKUP(Pospago[[#This Row],[USUARIO]],[1]!Personal[#Data],6,0),"EJECUTIVO NO REGISTRADO")</f>
        <v>ROSALES MALDONADO JESSICA GABRIELA</v>
      </c>
      <c r="BB1008" s="18" t="str">
        <f>Pospago[[#This Row],[TIPO_MOVIMIENTO]]&amp;" "&amp;Pospago[[#This Row],[FORMA_PAGO_FINAL]]</f>
        <v>TRANSFERENCIAS PAGO EN CAJA</v>
      </c>
      <c r="BC1008" s="18">
        <f>DAY(Pospago[[#This Row],[FECHA_ALTA]])</f>
        <v>2</v>
      </c>
      <c r="BD1008" s="18">
        <f>IF(Pospago[[#This Row],[TARIFA_BASICA]]=11.42,1,0)</f>
        <v>1</v>
      </c>
      <c r="BE1008" s="18">
        <f>IF(Pospago[[#This Row],[PLANES TELEVENTAS]]="SI",1,0)</f>
        <v>0</v>
      </c>
      <c r="BF1008" s="18">
        <f>1</f>
        <v>1</v>
      </c>
      <c r="BG1008" s="18">
        <f>IF(OR(Pospago[[#This Row],[TARIFA_BASICA]]=11.42,Pospago[[#This Row],[PLANES TELEVENTAS]]="SI"),1,0)</f>
        <v>1</v>
      </c>
      <c r="BH1008" s="18" t="str">
        <f>IF(MID(Pospago[[#This Row],[PlanDesc]],1,4) = "PLAN","POSPAGO",IF(MID(Pospago[[#This Row],[PlanDesc]],1,4)="FULL","FULL MEGAS","PREVIOPAGO"))</f>
        <v>PREVIOPAGO</v>
      </c>
      <c r="BI10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08" s="21">
        <f>Pospago[[#This Row],[TARIFA_BASICA]]*1.5</f>
        <v>17.13</v>
      </c>
    </row>
    <row r="1009" spans="1:63" x14ac:dyDescent="0.25">
      <c r="A1009" s="18" t="s">
        <v>154</v>
      </c>
      <c r="B1009" s="18" t="s">
        <v>6287</v>
      </c>
      <c r="C1009" s="18" t="s">
        <v>6288</v>
      </c>
      <c r="D1009" s="19">
        <v>44908</v>
      </c>
      <c r="E1009" s="18" t="s">
        <v>67</v>
      </c>
      <c r="F1009" s="18" t="s">
        <v>6289</v>
      </c>
      <c r="G1009" s="18" t="s">
        <v>6290</v>
      </c>
      <c r="H1009" s="18" t="s">
        <v>159</v>
      </c>
      <c r="I1009" s="18" t="s">
        <v>160</v>
      </c>
      <c r="J1009" s="18" t="s">
        <v>161</v>
      </c>
      <c r="K1009" s="18" t="s">
        <v>132</v>
      </c>
      <c r="L1009" s="20" t="s">
        <v>6291</v>
      </c>
      <c r="M1009" s="18" t="s">
        <v>287</v>
      </c>
      <c r="N1009" s="20" t="s">
        <v>6292</v>
      </c>
      <c r="O1009" s="18" t="s">
        <v>164</v>
      </c>
      <c r="P1009" s="18" t="s">
        <v>78</v>
      </c>
      <c r="Q1009" s="19">
        <v>44914</v>
      </c>
      <c r="R1009" s="21">
        <v>14.28</v>
      </c>
      <c r="S1009" s="18" t="s">
        <v>79</v>
      </c>
      <c r="T1009" s="18" t="s">
        <v>232</v>
      </c>
      <c r="U1009" s="18" t="s">
        <v>83</v>
      </c>
      <c r="V1009" s="18" t="s">
        <v>95</v>
      </c>
      <c r="W1009" s="18" t="s">
        <v>95</v>
      </c>
      <c r="X1009" s="18" t="s">
        <v>84</v>
      </c>
      <c r="Y1009" s="18" t="s">
        <v>85</v>
      </c>
      <c r="Z1009" s="18" t="s">
        <v>86</v>
      </c>
      <c r="AA1009" s="18" t="s">
        <v>87</v>
      </c>
      <c r="AB1009" s="18" t="s">
        <v>233</v>
      </c>
      <c r="AC1009" s="18" t="s">
        <v>234</v>
      </c>
      <c r="AD1009" s="18" t="s">
        <v>85</v>
      </c>
      <c r="AE1009" s="18" t="s">
        <v>90</v>
      </c>
      <c r="AF1009" s="18" t="s">
        <v>235</v>
      </c>
      <c r="AG1009" s="18" t="s">
        <v>139</v>
      </c>
      <c r="AH1009" s="18" t="s">
        <v>165</v>
      </c>
      <c r="AI1009" s="18" t="s">
        <v>94</v>
      </c>
      <c r="AJ1009" s="19">
        <v>44908</v>
      </c>
      <c r="AK1009" s="22" t="s">
        <v>95</v>
      </c>
      <c r="AL1009" s="18" t="s">
        <v>95</v>
      </c>
      <c r="AM1009" s="18" t="s">
        <v>95</v>
      </c>
      <c r="AN1009" s="18" t="s">
        <v>95</v>
      </c>
      <c r="AO1009" s="18" t="s">
        <v>95</v>
      </c>
      <c r="AP1009" s="18" t="s">
        <v>95</v>
      </c>
      <c r="AQ1009" s="18" t="s">
        <v>95</v>
      </c>
      <c r="AR1009" s="18" t="s">
        <v>95</v>
      </c>
      <c r="AS1009" s="18" t="s">
        <v>83</v>
      </c>
      <c r="AT1009" s="18" t="s">
        <v>83</v>
      </c>
      <c r="AU1009" s="18" t="s">
        <v>81</v>
      </c>
      <c r="AV1009" s="18" t="s">
        <v>95</v>
      </c>
      <c r="AW1009" s="18"/>
      <c r="AX1009" s="18"/>
      <c r="AY1009" s="18" t="str">
        <f>Pospago[[#This Row],[NUM_TELEFONICO]]&amp;"POSPAGOSI"</f>
        <v>998745143POSPAGOSI</v>
      </c>
      <c r="AZ1009" s="18" t="str">
        <f>VLOOKUP(Pospago[[#This Row],[NOM_PLAZA_FINAL]],[1]!Locales[#Data],3,0)</f>
        <v>TIENDA CONDADO</v>
      </c>
      <c r="BA1009" s="18" t="str">
        <f>IFERROR(VLOOKUP(Pospago[[#This Row],[USUARIO]],[1]!Personal[#Data],6,0),"EJECUTIVO NO REGISTRADO")</f>
        <v>ROSALES MALDONADO JESSICA GABRIELA</v>
      </c>
      <c r="BB1009" s="18" t="str">
        <f>Pospago[[#This Row],[TIPO_MOVIMIENTO]]&amp;" "&amp;Pospago[[#This Row],[FORMA_PAGO_FINAL]]</f>
        <v>TRANSFERENCIAS DOMICILIADO</v>
      </c>
      <c r="BC1009" s="18">
        <f>DAY(Pospago[[#This Row],[FECHA_ALTA]])</f>
        <v>13</v>
      </c>
      <c r="BD1009" s="18">
        <f>IF(Pospago[[#This Row],[TARIFA_BASICA]]=11.42,1,0)</f>
        <v>0</v>
      </c>
      <c r="BE1009" s="18">
        <f>IF(Pospago[[#This Row],[PLANES TELEVENTAS]]="SI",1,0)</f>
        <v>0</v>
      </c>
      <c r="BF1009" s="18">
        <f>1</f>
        <v>1</v>
      </c>
      <c r="BG1009" s="18">
        <f>IF(OR(Pospago[[#This Row],[TARIFA_BASICA]]=11.42,Pospago[[#This Row],[PLANES TELEVENTAS]]="SI"),1,0)</f>
        <v>0</v>
      </c>
      <c r="BH1009" s="18" t="str">
        <f>IF(MID(Pospago[[#This Row],[PlanDesc]],1,4) = "PLAN","POSPAGO",IF(MID(Pospago[[#This Row],[PlanDesc]],1,4)="FULL","FULL MEGAS","PREVIOPAGO"))</f>
        <v>PREVIOPAGO</v>
      </c>
      <c r="BI10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09" s="21">
        <f>Pospago[[#This Row],[TARIFA_BASICA]]*1.5</f>
        <v>21.419999999999998</v>
      </c>
    </row>
    <row r="1010" spans="1:63" x14ac:dyDescent="0.25">
      <c r="A1010" s="18" t="s">
        <v>64</v>
      </c>
      <c r="B1010" s="18" t="s">
        <v>6293</v>
      </c>
      <c r="C1010" s="18" t="s">
        <v>6294</v>
      </c>
      <c r="D1010" s="19">
        <v>44910</v>
      </c>
      <c r="E1010" s="18" t="s">
        <v>67</v>
      </c>
      <c r="F1010" s="18" t="s">
        <v>6295</v>
      </c>
      <c r="G1010" s="18" t="s">
        <v>6296</v>
      </c>
      <c r="H1010" s="18" t="s">
        <v>70</v>
      </c>
      <c r="I1010" s="18" t="s">
        <v>160</v>
      </c>
      <c r="J1010" s="18" t="s">
        <v>195</v>
      </c>
      <c r="K1010" s="18" t="s">
        <v>73</v>
      </c>
      <c r="L1010" s="20" t="s">
        <v>6297</v>
      </c>
      <c r="M1010" s="18" t="s">
        <v>75</v>
      </c>
      <c r="N1010" s="20" t="s">
        <v>6298</v>
      </c>
      <c r="O1010" s="18" t="s">
        <v>77</v>
      </c>
      <c r="P1010" s="18" t="s">
        <v>78</v>
      </c>
      <c r="Q1010" s="19">
        <v>44914</v>
      </c>
      <c r="R1010" s="21">
        <v>14.28</v>
      </c>
      <c r="S1010" s="18" t="s">
        <v>79</v>
      </c>
      <c r="T1010" s="18" t="s">
        <v>80</v>
      </c>
      <c r="U1010" s="18" t="s">
        <v>83</v>
      </c>
      <c r="V1010" s="18" t="s">
        <v>95</v>
      </c>
      <c r="W1010" s="18" t="s">
        <v>83</v>
      </c>
      <c r="X1010" s="18" t="s">
        <v>84</v>
      </c>
      <c r="Y1010" s="18" t="s">
        <v>85</v>
      </c>
      <c r="Z1010" s="18" t="s">
        <v>86</v>
      </c>
      <c r="AA1010" s="18" t="s">
        <v>87</v>
      </c>
      <c r="AB1010" s="18" t="s">
        <v>242</v>
      </c>
      <c r="AC1010" s="18" t="s">
        <v>243</v>
      </c>
      <c r="AD1010" s="18" t="s">
        <v>85</v>
      </c>
      <c r="AE1010" s="18" t="s">
        <v>90</v>
      </c>
      <c r="AF1010" s="18" t="s">
        <v>91</v>
      </c>
      <c r="AG1010" s="18" t="s">
        <v>92</v>
      </c>
      <c r="AH1010" s="18" t="s">
        <v>93</v>
      </c>
      <c r="AI1010" s="18" t="s">
        <v>94</v>
      </c>
      <c r="AJ1010" s="19">
        <v>44910</v>
      </c>
      <c r="AK1010" s="22" t="s">
        <v>95</v>
      </c>
      <c r="AL1010" s="18" t="s">
        <v>95</v>
      </c>
      <c r="AM1010" s="18" t="s">
        <v>95</v>
      </c>
      <c r="AN1010" s="18" t="s">
        <v>95</v>
      </c>
      <c r="AO1010" s="18" t="s">
        <v>95</v>
      </c>
      <c r="AP1010" s="18" t="s">
        <v>95</v>
      </c>
      <c r="AQ1010" s="18" t="s">
        <v>95</v>
      </c>
      <c r="AR1010" s="18" t="s">
        <v>95</v>
      </c>
      <c r="AS1010" s="18" t="s">
        <v>83</v>
      </c>
      <c r="AT1010" s="18" t="s">
        <v>83</v>
      </c>
      <c r="AU1010" s="18" t="s">
        <v>81</v>
      </c>
      <c r="AV1010" s="18" t="s">
        <v>95</v>
      </c>
      <c r="AW1010" s="18"/>
      <c r="AX1010" s="18"/>
      <c r="AY1010" s="18" t="str">
        <f>Pospago[[#This Row],[NUM_TELEFONICO]]&amp;"POSPAGOSI"</f>
        <v>998753786POSPAGOSI</v>
      </c>
      <c r="AZ1010" s="18" t="str">
        <f>VLOOKUP(Pospago[[#This Row],[NOM_PLAZA_FINAL]],[1]!Locales[#Data],3,0)</f>
        <v>TIENDA CUENCA CENTRO</v>
      </c>
      <c r="BA1010" s="18" t="str">
        <f>IFERROR(VLOOKUP(Pospago[[#This Row],[USUARIO]],[1]!Personal[#Data],6,0),"EJECUTIVO NO REGISTRADO")</f>
        <v>VALLEJO DELEG ROMAN NICOLAS</v>
      </c>
      <c r="BB1010" s="18" t="str">
        <f>Pospago[[#This Row],[TIPO_MOVIMIENTO]]&amp;" "&amp;Pospago[[#This Row],[FORMA_PAGO_FINAL]]</f>
        <v>ALTAS DOMICILIADO</v>
      </c>
      <c r="BC1010" s="18">
        <f>DAY(Pospago[[#This Row],[FECHA_ALTA]])</f>
        <v>15</v>
      </c>
      <c r="BD1010" s="18">
        <f>IF(Pospago[[#This Row],[TARIFA_BASICA]]=11.42,1,0)</f>
        <v>0</v>
      </c>
      <c r="BE1010" s="18">
        <f>IF(Pospago[[#This Row],[PLANES TELEVENTAS]]="SI",1,0)</f>
        <v>0</v>
      </c>
      <c r="BF1010" s="18">
        <f>1</f>
        <v>1</v>
      </c>
      <c r="BG1010" s="18">
        <f>IF(OR(Pospago[[#This Row],[TARIFA_BASICA]]=11.42,Pospago[[#This Row],[PLANES TELEVENTAS]]="SI"),1,0)</f>
        <v>0</v>
      </c>
      <c r="BH1010" s="18" t="str">
        <f>IF(MID(Pospago[[#This Row],[PlanDesc]],1,4) = "PLAN","POSPAGO",IF(MID(Pospago[[#This Row],[PlanDesc]],1,4)="FULL","FULL MEGAS","PREVIOPAGO"))</f>
        <v>PREVIOPAGO</v>
      </c>
      <c r="BI10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0" s="21">
        <f>Pospago[[#This Row],[TARIFA_BASICA]]*1.5</f>
        <v>21.419999999999998</v>
      </c>
    </row>
    <row r="1011" spans="1:63" x14ac:dyDescent="0.25">
      <c r="A1011" s="18" t="s">
        <v>154</v>
      </c>
      <c r="B1011" s="18" t="s">
        <v>6299</v>
      </c>
      <c r="C1011" s="18" t="s">
        <v>6300</v>
      </c>
      <c r="D1011" s="19">
        <v>44909</v>
      </c>
      <c r="E1011" s="18" t="s">
        <v>67</v>
      </c>
      <c r="F1011" s="18" t="s">
        <v>6301</v>
      </c>
      <c r="G1011" s="18" t="s">
        <v>6302</v>
      </c>
      <c r="H1011" s="18" t="s">
        <v>159</v>
      </c>
      <c r="I1011" s="18" t="s">
        <v>160</v>
      </c>
      <c r="J1011" s="18" t="s">
        <v>161</v>
      </c>
      <c r="K1011" s="18" t="s">
        <v>95</v>
      </c>
      <c r="L1011" s="20" t="s">
        <v>6303</v>
      </c>
      <c r="M1011" s="18" t="s">
        <v>287</v>
      </c>
      <c r="N1011" s="20" t="s">
        <v>6304</v>
      </c>
      <c r="O1011" s="18" t="s">
        <v>164</v>
      </c>
      <c r="P1011" s="18" t="s">
        <v>78</v>
      </c>
      <c r="Q1011" s="19">
        <v>44914</v>
      </c>
      <c r="R1011" s="21">
        <v>14.28</v>
      </c>
      <c r="S1011" s="18" t="s">
        <v>79</v>
      </c>
      <c r="T1011" s="18" t="s">
        <v>135</v>
      </c>
      <c r="U1011" s="18" t="s">
        <v>83</v>
      </c>
      <c r="V1011" s="18" t="s">
        <v>95</v>
      </c>
      <c r="W1011" s="18" t="s">
        <v>95</v>
      </c>
      <c r="X1011" s="18" t="s">
        <v>84</v>
      </c>
      <c r="Y1011" s="18" t="s">
        <v>85</v>
      </c>
      <c r="Z1011" s="18" t="s">
        <v>86</v>
      </c>
      <c r="AA1011" s="18" t="s">
        <v>87</v>
      </c>
      <c r="AB1011" s="18" t="s">
        <v>665</v>
      </c>
      <c r="AC1011" s="18" t="s">
        <v>666</v>
      </c>
      <c r="AD1011" s="18" t="s">
        <v>85</v>
      </c>
      <c r="AE1011" s="18" t="s">
        <v>90</v>
      </c>
      <c r="AF1011" s="18" t="s">
        <v>138</v>
      </c>
      <c r="AG1011" s="18" t="s">
        <v>139</v>
      </c>
      <c r="AH1011" s="18" t="s">
        <v>165</v>
      </c>
      <c r="AI1011" s="18" t="s">
        <v>94</v>
      </c>
      <c r="AJ1011" s="19">
        <v>44909</v>
      </c>
      <c r="AK1011" s="22">
        <v>44909</v>
      </c>
      <c r="AL1011" s="18" t="s">
        <v>291</v>
      </c>
      <c r="AM1011" s="18" t="s">
        <v>292</v>
      </c>
      <c r="AN1011" s="18" t="s">
        <v>494</v>
      </c>
      <c r="AO1011" s="18" t="s">
        <v>354</v>
      </c>
      <c r="AP1011" s="18">
        <v>1</v>
      </c>
      <c r="AQ1011" s="18">
        <v>205.35713999999999</v>
      </c>
      <c r="AR1011" s="18" t="s">
        <v>496</v>
      </c>
      <c r="AS1011" s="18" t="s">
        <v>81</v>
      </c>
      <c r="AT1011" s="18" t="s">
        <v>83</v>
      </c>
      <c r="AU1011" s="18" t="s">
        <v>81</v>
      </c>
      <c r="AV1011" s="18" t="s">
        <v>95</v>
      </c>
      <c r="AW1011" s="18"/>
      <c r="AX1011" s="18"/>
      <c r="AY1011" s="18" t="str">
        <f>Pospago[[#This Row],[NUM_TELEFONICO]]&amp;"POSPAGOSI"</f>
        <v>998761631POSPAGOSI</v>
      </c>
      <c r="AZ1011" s="18" t="str">
        <f>VLOOKUP(Pospago[[#This Row],[NOM_PLAZA_FINAL]],[1]!Locales[#Data],3,0)</f>
        <v>TIENDA AMERICA</v>
      </c>
      <c r="BA1011" s="18" t="str">
        <f>IFERROR(VLOOKUP(Pospago[[#This Row],[USUARIO]],[1]!Personal[#Data],6,0),"EJECUTIVO NO REGISTRADO")</f>
        <v>ROSERO CAICEDO JAIRO STEFANO</v>
      </c>
      <c r="BB1011" s="18" t="str">
        <f>Pospago[[#This Row],[TIPO_MOVIMIENTO]]&amp;" "&amp;Pospago[[#This Row],[FORMA_PAGO_FINAL]]</f>
        <v>TRANSFERENCIAS DOMICILIADO</v>
      </c>
      <c r="BC1011" s="18">
        <f>DAY(Pospago[[#This Row],[FECHA_ALTA]])</f>
        <v>14</v>
      </c>
      <c r="BD1011" s="18">
        <f>IF(Pospago[[#This Row],[TARIFA_BASICA]]=11.42,1,0)</f>
        <v>0</v>
      </c>
      <c r="BE1011" s="18">
        <f>IF(Pospago[[#This Row],[PLANES TELEVENTAS]]="SI",1,0)</f>
        <v>0</v>
      </c>
      <c r="BF1011" s="18">
        <f>1</f>
        <v>1</v>
      </c>
      <c r="BG1011" s="18">
        <f>IF(OR(Pospago[[#This Row],[TARIFA_BASICA]]=11.42,Pospago[[#This Row],[PLANES TELEVENTAS]]="SI"),1,0)</f>
        <v>0</v>
      </c>
      <c r="BH1011" s="18" t="str">
        <f>IF(MID(Pospago[[#This Row],[PlanDesc]],1,4) = "PLAN","POSPAGO",IF(MID(Pospago[[#This Row],[PlanDesc]],1,4)="FULL","FULL MEGAS","PREVIOPAGO"))</f>
        <v>PREVIOPAGO</v>
      </c>
      <c r="BI10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1" s="21">
        <f>Pospago[[#This Row],[TARIFA_BASICA]]*1.5</f>
        <v>21.419999999999998</v>
      </c>
    </row>
    <row r="1012" spans="1:63" x14ac:dyDescent="0.25">
      <c r="A1012" s="18" t="s">
        <v>64</v>
      </c>
      <c r="B1012" s="18" t="s">
        <v>6305</v>
      </c>
      <c r="C1012" s="18" t="s">
        <v>6306</v>
      </c>
      <c r="D1012" s="19">
        <v>44907</v>
      </c>
      <c r="E1012" s="18" t="s">
        <v>67</v>
      </c>
      <c r="F1012" s="18" t="s">
        <v>6307</v>
      </c>
      <c r="G1012" s="18" t="s">
        <v>6308</v>
      </c>
      <c r="H1012" s="18" t="s">
        <v>70</v>
      </c>
      <c r="I1012" s="18" t="s">
        <v>112</v>
      </c>
      <c r="J1012" s="18" t="s">
        <v>113</v>
      </c>
      <c r="K1012" s="18" t="s">
        <v>73</v>
      </c>
      <c r="L1012" s="20" t="s">
        <v>6309</v>
      </c>
      <c r="M1012" s="18" t="s">
        <v>75</v>
      </c>
      <c r="N1012" s="20" t="s">
        <v>6310</v>
      </c>
      <c r="O1012" s="18" t="s">
        <v>77</v>
      </c>
      <c r="P1012" s="18" t="s">
        <v>78</v>
      </c>
      <c r="Q1012" s="19">
        <v>44914</v>
      </c>
      <c r="R1012" s="21">
        <v>17.850000000000001</v>
      </c>
      <c r="S1012" s="18" t="s">
        <v>79</v>
      </c>
      <c r="T1012" s="18" t="s">
        <v>232</v>
      </c>
      <c r="U1012" s="18" t="s">
        <v>83</v>
      </c>
      <c r="V1012" s="18" t="s">
        <v>95</v>
      </c>
      <c r="W1012" s="18" t="s">
        <v>83</v>
      </c>
      <c r="X1012" s="18" t="s">
        <v>215</v>
      </c>
      <c r="Y1012" s="18" t="s">
        <v>85</v>
      </c>
      <c r="Z1012" s="18" t="s">
        <v>86</v>
      </c>
      <c r="AA1012" s="18" t="s">
        <v>87</v>
      </c>
      <c r="AB1012" s="18" t="s">
        <v>377</v>
      </c>
      <c r="AC1012" s="18" t="s">
        <v>378</v>
      </c>
      <c r="AD1012" s="18" t="s">
        <v>85</v>
      </c>
      <c r="AE1012" s="18" t="s">
        <v>90</v>
      </c>
      <c r="AF1012" s="18" t="s">
        <v>235</v>
      </c>
      <c r="AG1012" s="18" t="s">
        <v>139</v>
      </c>
      <c r="AH1012" s="18" t="s">
        <v>93</v>
      </c>
      <c r="AI1012" s="18" t="s">
        <v>94</v>
      </c>
      <c r="AJ1012" s="19">
        <v>44907</v>
      </c>
      <c r="AK1012" s="22" t="s">
        <v>95</v>
      </c>
      <c r="AL1012" s="18" t="s">
        <v>95</v>
      </c>
      <c r="AM1012" s="18" t="s">
        <v>95</v>
      </c>
      <c r="AN1012" s="18" t="s">
        <v>95</v>
      </c>
      <c r="AO1012" s="18" t="s">
        <v>95</v>
      </c>
      <c r="AP1012" s="18" t="s">
        <v>95</v>
      </c>
      <c r="AQ1012" s="18" t="s">
        <v>95</v>
      </c>
      <c r="AR1012" s="18" t="s">
        <v>95</v>
      </c>
      <c r="AS1012" s="18" t="s">
        <v>83</v>
      </c>
      <c r="AT1012" s="18" t="s">
        <v>83</v>
      </c>
      <c r="AU1012" s="18" t="s">
        <v>81</v>
      </c>
      <c r="AV1012" s="18" t="s">
        <v>95</v>
      </c>
      <c r="AW1012" s="18"/>
      <c r="AX1012" s="18"/>
      <c r="AY1012" s="18" t="str">
        <f>Pospago[[#This Row],[NUM_TELEFONICO]]&amp;"POSPAGOSI"</f>
        <v>998765116POSPAGOSI</v>
      </c>
      <c r="AZ1012" s="18" t="str">
        <f>VLOOKUP(Pospago[[#This Row],[NOM_PLAZA_FINAL]],[1]!Locales[#Data],3,0)</f>
        <v>TIENDA CONDADO</v>
      </c>
      <c r="BA1012" s="18" t="str">
        <f>IFERROR(VLOOKUP(Pospago[[#This Row],[USUARIO]],[1]!Personal[#Data],6,0),"EJECUTIVO NO REGISTRADO")</f>
        <v>MELCHIADE ISAAC VALMORE</v>
      </c>
      <c r="BB1012" s="18" t="str">
        <f>Pospago[[#This Row],[TIPO_MOVIMIENTO]]&amp;" "&amp;Pospago[[#This Row],[FORMA_PAGO_FINAL]]</f>
        <v>ALTAS DOMICILIADO</v>
      </c>
      <c r="BC1012" s="18">
        <f>DAY(Pospago[[#This Row],[FECHA_ALTA]])</f>
        <v>12</v>
      </c>
      <c r="BD1012" s="18">
        <f>IF(Pospago[[#This Row],[TARIFA_BASICA]]=11.42,1,0)</f>
        <v>0</v>
      </c>
      <c r="BE1012" s="18">
        <f>IF(Pospago[[#This Row],[PLANES TELEVENTAS]]="SI",1,0)</f>
        <v>0</v>
      </c>
      <c r="BF1012" s="18">
        <f>1</f>
        <v>1</v>
      </c>
      <c r="BG1012" s="18">
        <f>IF(OR(Pospago[[#This Row],[TARIFA_BASICA]]=11.42,Pospago[[#This Row],[PLANES TELEVENTAS]]="SI"),1,0)</f>
        <v>0</v>
      </c>
      <c r="BH1012" s="18" t="str">
        <f>IF(MID(Pospago[[#This Row],[PlanDesc]],1,4) = "PLAN","POSPAGO",IF(MID(Pospago[[#This Row],[PlanDesc]],1,4)="FULL","FULL MEGAS","PREVIOPAGO"))</f>
        <v>PREVIOPAGO</v>
      </c>
      <c r="BI10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0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2" s="21">
        <f>Pospago[[#This Row],[TARIFA_BASICA]]*1.5</f>
        <v>26.775000000000002</v>
      </c>
    </row>
    <row r="1013" spans="1:63" x14ac:dyDescent="0.25">
      <c r="A1013" s="18" t="s">
        <v>154</v>
      </c>
      <c r="B1013" s="18" t="s">
        <v>6311</v>
      </c>
      <c r="C1013" s="18" t="s">
        <v>6312</v>
      </c>
      <c r="D1013" s="19">
        <v>44901</v>
      </c>
      <c r="E1013" s="18" t="s">
        <v>67</v>
      </c>
      <c r="F1013" s="18" t="s">
        <v>6313</v>
      </c>
      <c r="G1013" s="18" t="s">
        <v>6314</v>
      </c>
      <c r="H1013" s="18" t="s">
        <v>159</v>
      </c>
      <c r="I1013" s="18" t="s">
        <v>130</v>
      </c>
      <c r="J1013" s="18" t="s">
        <v>433</v>
      </c>
      <c r="K1013" s="18" t="s">
        <v>73</v>
      </c>
      <c r="L1013" s="20" t="s">
        <v>6315</v>
      </c>
      <c r="M1013" s="18" t="s">
        <v>75</v>
      </c>
      <c r="N1013" s="20" t="s">
        <v>6316</v>
      </c>
      <c r="O1013" s="18" t="s">
        <v>164</v>
      </c>
      <c r="P1013" s="18" t="s">
        <v>78</v>
      </c>
      <c r="Q1013" s="19">
        <v>44914</v>
      </c>
      <c r="R1013" s="21">
        <v>15</v>
      </c>
      <c r="S1013" s="18" t="s">
        <v>79</v>
      </c>
      <c r="T1013" s="18" t="s">
        <v>148</v>
      </c>
      <c r="U1013" s="18" t="s">
        <v>83</v>
      </c>
      <c r="V1013" s="18" t="s">
        <v>95</v>
      </c>
      <c r="W1013" s="18" t="s">
        <v>95</v>
      </c>
      <c r="X1013" s="18" t="s">
        <v>84</v>
      </c>
      <c r="Y1013" s="18" t="s">
        <v>85</v>
      </c>
      <c r="Z1013" s="18" t="s">
        <v>86</v>
      </c>
      <c r="AA1013" s="18" t="s">
        <v>87</v>
      </c>
      <c r="AB1013" s="18" t="s">
        <v>149</v>
      </c>
      <c r="AC1013" s="18" t="s">
        <v>150</v>
      </c>
      <c r="AD1013" s="18" t="s">
        <v>85</v>
      </c>
      <c r="AE1013" s="18" t="s">
        <v>90</v>
      </c>
      <c r="AF1013" s="18" t="s">
        <v>151</v>
      </c>
      <c r="AG1013" s="18" t="s">
        <v>92</v>
      </c>
      <c r="AH1013" s="18" t="s">
        <v>165</v>
      </c>
      <c r="AI1013" s="18" t="s">
        <v>94</v>
      </c>
      <c r="AJ1013" s="19">
        <v>44901</v>
      </c>
      <c r="AK1013" s="22" t="s">
        <v>95</v>
      </c>
      <c r="AL1013" s="18" t="s">
        <v>95</v>
      </c>
      <c r="AM1013" s="18" t="s">
        <v>95</v>
      </c>
      <c r="AN1013" s="18" t="s">
        <v>95</v>
      </c>
      <c r="AO1013" s="18" t="s">
        <v>95</v>
      </c>
      <c r="AP1013" s="18" t="s">
        <v>95</v>
      </c>
      <c r="AQ1013" s="18" t="s">
        <v>95</v>
      </c>
      <c r="AR1013" s="18" t="s">
        <v>95</v>
      </c>
      <c r="AS1013" s="18" t="s">
        <v>83</v>
      </c>
      <c r="AT1013" s="18" t="s">
        <v>83</v>
      </c>
      <c r="AU1013" s="18" t="s">
        <v>81</v>
      </c>
      <c r="AV1013" s="18" t="s">
        <v>95</v>
      </c>
      <c r="AW1013" s="18"/>
      <c r="AX1013" s="18"/>
      <c r="AY1013" s="18" t="str">
        <f>Pospago[[#This Row],[NUM_TELEFONICO]]&amp;"POSPAGOSI"</f>
        <v>998765374POSPAGOSI</v>
      </c>
      <c r="AZ1013" s="18" t="str">
        <f>VLOOKUP(Pospago[[#This Row],[NOM_PLAZA_FINAL]],[1]!Locales[#Data],3,0)</f>
        <v>TIENDA CUENCA REMIGIO</v>
      </c>
      <c r="BA1013" s="18" t="str">
        <f>IFERROR(VLOOKUP(Pospago[[#This Row],[USUARIO]],[1]!Personal[#Data],6,0),"EJECUTIVO NO REGISTRADO")</f>
        <v>OSORIO TEJADA ANA ESTEFANIA</v>
      </c>
      <c r="BB1013" s="18" t="str">
        <f>Pospago[[#This Row],[TIPO_MOVIMIENTO]]&amp;" "&amp;Pospago[[#This Row],[FORMA_PAGO_FINAL]]</f>
        <v>TRANSFERENCIAS DOMICILIADO</v>
      </c>
      <c r="BC1013" s="18">
        <f>DAY(Pospago[[#This Row],[FECHA_ALTA]])</f>
        <v>6</v>
      </c>
      <c r="BD1013" s="18">
        <f>IF(Pospago[[#This Row],[TARIFA_BASICA]]=11.42,1,0)</f>
        <v>0</v>
      </c>
      <c r="BE1013" s="18">
        <f>IF(Pospago[[#This Row],[PLANES TELEVENTAS]]="SI",1,0)</f>
        <v>0</v>
      </c>
      <c r="BF1013" s="18">
        <f>1</f>
        <v>1</v>
      </c>
      <c r="BG1013" s="18">
        <f>IF(OR(Pospago[[#This Row],[TARIFA_BASICA]]=11.42,Pospago[[#This Row],[PLANES TELEVENTAS]]="SI"),1,0)</f>
        <v>0</v>
      </c>
      <c r="BH1013" s="18" t="str">
        <f>IF(MID(Pospago[[#This Row],[PlanDesc]],1,4) = "PLAN","POSPAGO",IF(MID(Pospago[[#This Row],[PlanDesc]],1,4)="FULL","FULL MEGAS","PREVIOPAGO"))</f>
        <v>PREVIOPAGO</v>
      </c>
      <c r="BI10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10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3" s="21">
        <f>Pospago[[#This Row],[TARIFA_BASICA]]*1.5</f>
        <v>22.5</v>
      </c>
    </row>
    <row r="1014" spans="1:63" x14ac:dyDescent="0.25">
      <c r="A1014" s="18" t="s">
        <v>64</v>
      </c>
      <c r="B1014" s="18" t="s">
        <v>6317</v>
      </c>
      <c r="C1014" s="18" t="s">
        <v>6318</v>
      </c>
      <c r="D1014" s="19">
        <v>44910</v>
      </c>
      <c r="E1014" s="18" t="s">
        <v>67</v>
      </c>
      <c r="F1014" s="18" t="s">
        <v>6319</v>
      </c>
      <c r="G1014" s="18" t="s">
        <v>6320</v>
      </c>
      <c r="H1014" s="18" t="s">
        <v>70</v>
      </c>
      <c r="I1014" s="18" t="s">
        <v>698</v>
      </c>
      <c r="J1014" s="18" t="s">
        <v>607</v>
      </c>
      <c r="K1014" s="18" t="s">
        <v>1727</v>
      </c>
      <c r="L1014" s="20" t="s">
        <v>6321</v>
      </c>
      <c r="M1014" s="18" t="s">
        <v>75</v>
      </c>
      <c r="N1014" s="20" t="s">
        <v>6322</v>
      </c>
      <c r="O1014" s="18" t="s">
        <v>77</v>
      </c>
      <c r="P1014" s="18" t="s">
        <v>78</v>
      </c>
      <c r="Q1014" s="19">
        <v>44914</v>
      </c>
      <c r="R1014" s="21">
        <v>26.78</v>
      </c>
      <c r="S1014" s="18" t="s">
        <v>79</v>
      </c>
      <c r="T1014" s="18" t="s">
        <v>80</v>
      </c>
      <c r="U1014" s="18" t="s">
        <v>83</v>
      </c>
      <c r="V1014" s="18" t="s">
        <v>95</v>
      </c>
      <c r="W1014" s="18" t="s">
        <v>83</v>
      </c>
      <c r="X1014" s="18" t="s">
        <v>84</v>
      </c>
      <c r="Y1014" s="18" t="s">
        <v>85</v>
      </c>
      <c r="Z1014" s="18" t="s">
        <v>86</v>
      </c>
      <c r="AA1014" s="18" t="s">
        <v>87</v>
      </c>
      <c r="AB1014" s="18" t="s">
        <v>880</v>
      </c>
      <c r="AC1014" s="18" t="s">
        <v>881</v>
      </c>
      <c r="AD1014" s="18" t="s">
        <v>85</v>
      </c>
      <c r="AE1014" s="18" t="s">
        <v>90</v>
      </c>
      <c r="AF1014" s="18" t="s">
        <v>91</v>
      </c>
      <c r="AG1014" s="18" t="s">
        <v>92</v>
      </c>
      <c r="AH1014" s="18" t="s">
        <v>93</v>
      </c>
      <c r="AI1014" s="18" t="s">
        <v>94</v>
      </c>
      <c r="AJ1014" s="19">
        <v>44910</v>
      </c>
      <c r="AK1014" s="22" t="s">
        <v>95</v>
      </c>
      <c r="AL1014" s="18" t="s">
        <v>95</v>
      </c>
      <c r="AM1014" s="18" t="s">
        <v>95</v>
      </c>
      <c r="AN1014" s="18" t="s">
        <v>95</v>
      </c>
      <c r="AO1014" s="18" t="s">
        <v>95</v>
      </c>
      <c r="AP1014" s="18" t="s">
        <v>95</v>
      </c>
      <c r="AQ1014" s="18" t="s">
        <v>95</v>
      </c>
      <c r="AR1014" s="18" t="s">
        <v>95</v>
      </c>
      <c r="AS1014" s="18" t="s">
        <v>83</v>
      </c>
      <c r="AT1014" s="18" t="s">
        <v>81</v>
      </c>
      <c r="AU1014" s="18" t="s">
        <v>81</v>
      </c>
      <c r="AV1014" s="18" t="s">
        <v>95</v>
      </c>
      <c r="AW1014" s="18"/>
      <c r="AX1014" s="18"/>
      <c r="AY1014" s="18" t="str">
        <f>Pospago[[#This Row],[NUM_TELEFONICO]]&amp;"POSPAGOSI"</f>
        <v>998770633POSPAGOSI</v>
      </c>
      <c r="AZ1014" s="18" t="str">
        <f>VLOOKUP(Pospago[[#This Row],[NOM_PLAZA_FINAL]],[1]!Locales[#Data],3,0)</f>
        <v>TIENDA CUENCA CENTRO</v>
      </c>
      <c r="BA1014" s="18" t="str">
        <f>IFERROR(VLOOKUP(Pospago[[#This Row],[USUARIO]],[1]!Personal[#Data],6,0),"EJECUTIVO NO REGISTRADO")</f>
        <v>LUNA JACHO ANDREA GABRIELA</v>
      </c>
      <c r="BB1014" s="18" t="str">
        <f>Pospago[[#This Row],[TIPO_MOVIMIENTO]]&amp;" "&amp;Pospago[[#This Row],[FORMA_PAGO_FINAL]]</f>
        <v>ALTAS DOMICILIADO</v>
      </c>
      <c r="BC1014" s="18">
        <f>DAY(Pospago[[#This Row],[FECHA_ALTA]])</f>
        <v>15</v>
      </c>
      <c r="BD1014" s="18">
        <f>IF(Pospago[[#This Row],[TARIFA_BASICA]]=11.42,1,0)</f>
        <v>0</v>
      </c>
      <c r="BE1014" s="18">
        <f>IF(Pospago[[#This Row],[PLANES TELEVENTAS]]="SI",1,0)</f>
        <v>1</v>
      </c>
      <c r="BF1014" s="18">
        <f>1</f>
        <v>1</v>
      </c>
      <c r="BG1014" s="18">
        <f>IF(OR(Pospago[[#This Row],[TARIFA_BASICA]]=11.42,Pospago[[#This Row],[PLANES TELEVENTAS]]="SI"),1,0)</f>
        <v>1</v>
      </c>
      <c r="BH1014" s="18" t="str">
        <f>IF(MID(Pospago[[#This Row],[PlanDesc]],1,4) = "PLAN","POSPAGO",IF(MID(Pospago[[#This Row],[PlanDesc]],1,4)="FULL","FULL MEGAS","PREVIOPAGO"))</f>
        <v>PREVIOPAGO</v>
      </c>
      <c r="BI10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10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4" s="21">
        <f>Pospago[[#This Row],[TARIFA_BASICA]]*1.5</f>
        <v>40.17</v>
      </c>
    </row>
    <row r="1015" spans="1:63" x14ac:dyDescent="0.25">
      <c r="A1015" s="18" t="s">
        <v>154</v>
      </c>
      <c r="B1015" s="18" t="s">
        <v>6323</v>
      </c>
      <c r="C1015" s="18" t="s">
        <v>6324</v>
      </c>
      <c r="D1015" s="19">
        <v>44908</v>
      </c>
      <c r="E1015" s="18" t="s">
        <v>67</v>
      </c>
      <c r="F1015" s="18" t="s">
        <v>2484</v>
      </c>
      <c r="G1015" s="18" t="s">
        <v>2485</v>
      </c>
      <c r="H1015" s="18" t="s">
        <v>159</v>
      </c>
      <c r="I1015" s="18" t="s">
        <v>359</v>
      </c>
      <c r="J1015" s="18" t="s">
        <v>360</v>
      </c>
      <c r="K1015" s="18" t="s">
        <v>73</v>
      </c>
      <c r="L1015" s="20" t="s">
        <v>6325</v>
      </c>
      <c r="M1015" s="18" t="s">
        <v>75</v>
      </c>
      <c r="N1015" s="20" t="s">
        <v>6326</v>
      </c>
      <c r="O1015" s="18" t="s">
        <v>311</v>
      </c>
      <c r="P1015" s="18" t="s">
        <v>78</v>
      </c>
      <c r="Q1015" s="19">
        <v>44914</v>
      </c>
      <c r="R1015" s="21">
        <v>14.28</v>
      </c>
      <c r="S1015" s="18" t="s">
        <v>79</v>
      </c>
      <c r="T1015" s="18" t="s">
        <v>148</v>
      </c>
      <c r="U1015" s="18" t="s">
        <v>83</v>
      </c>
      <c r="V1015" s="18" t="s">
        <v>95</v>
      </c>
      <c r="W1015" s="18" t="s">
        <v>95</v>
      </c>
      <c r="X1015" s="18" t="s">
        <v>84</v>
      </c>
      <c r="Y1015" s="18" t="s">
        <v>85</v>
      </c>
      <c r="Z1015" s="18" t="s">
        <v>86</v>
      </c>
      <c r="AA1015" s="18" t="s">
        <v>87</v>
      </c>
      <c r="AB1015" s="18" t="s">
        <v>610</v>
      </c>
      <c r="AC1015" s="18" t="s">
        <v>611</v>
      </c>
      <c r="AD1015" s="18" t="s">
        <v>85</v>
      </c>
      <c r="AE1015" s="18" t="s">
        <v>90</v>
      </c>
      <c r="AF1015" s="18" t="s">
        <v>151</v>
      </c>
      <c r="AG1015" s="18" t="s">
        <v>92</v>
      </c>
      <c r="AH1015" s="18" t="s">
        <v>165</v>
      </c>
      <c r="AI1015" s="18" t="s">
        <v>94</v>
      </c>
      <c r="AJ1015" s="19">
        <v>44908</v>
      </c>
      <c r="AK1015" s="22" t="s">
        <v>95</v>
      </c>
      <c r="AL1015" s="18" t="s">
        <v>95</v>
      </c>
      <c r="AM1015" s="18" t="s">
        <v>95</v>
      </c>
      <c r="AN1015" s="18" t="s">
        <v>95</v>
      </c>
      <c r="AO1015" s="18" t="s">
        <v>95</v>
      </c>
      <c r="AP1015" s="18" t="s">
        <v>95</v>
      </c>
      <c r="AQ1015" s="18" t="s">
        <v>95</v>
      </c>
      <c r="AR1015" s="18" t="s">
        <v>95</v>
      </c>
      <c r="AS1015" s="18" t="s">
        <v>83</v>
      </c>
      <c r="AT1015" s="18" t="s">
        <v>83</v>
      </c>
      <c r="AU1015" s="18" t="s">
        <v>83</v>
      </c>
      <c r="AV1015" s="18" t="s">
        <v>95</v>
      </c>
      <c r="AW1015" s="18"/>
      <c r="AX1015" s="18"/>
      <c r="AY1015" s="18" t="str">
        <f>Pospago[[#This Row],[NUM_TELEFONICO]]&amp;"POSPAGOSI"</f>
        <v>998771789POSPAGOSI</v>
      </c>
      <c r="AZ1015" s="18" t="str">
        <f>VLOOKUP(Pospago[[#This Row],[NOM_PLAZA_FINAL]],[1]!Locales[#Data],3,0)</f>
        <v>TIENDA CUENCA REMIGIO</v>
      </c>
      <c r="BA1015" s="18" t="str">
        <f>IFERROR(VLOOKUP(Pospago[[#This Row],[USUARIO]],[1]!Personal[#Data],6,0),"EJECUTIVO NO REGISTRADO")</f>
        <v>PATIÑO TAPIA ANDRES SANTIAGO</v>
      </c>
      <c r="BB1015" s="18" t="str">
        <f>Pospago[[#This Row],[TIPO_MOVIMIENTO]]&amp;" "&amp;Pospago[[#This Row],[FORMA_PAGO_FINAL]]</f>
        <v>TRANSFERENCIAS DOMICILIADO</v>
      </c>
      <c r="BC1015" s="18">
        <f>DAY(Pospago[[#This Row],[FECHA_ALTA]])</f>
        <v>13</v>
      </c>
      <c r="BD1015" s="18">
        <f>IF(Pospago[[#This Row],[TARIFA_BASICA]]=11.42,1,0)</f>
        <v>0</v>
      </c>
      <c r="BE1015" s="18">
        <f>IF(Pospago[[#This Row],[PLANES TELEVENTAS]]="SI",1,0)</f>
        <v>0</v>
      </c>
      <c r="BF1015" s="18">
        <f>1</f>
        <v>1</v>
      </c>
      <c r="BG1015" s="18">
        <f>IF(OR(Pospago[[#This Row],[TARIFA_BASICA]]=11.42,Pospago[[#This Row],[PLANES TELEVENTAS]]="SI"),1,0)</f>
        <v>0</v>
      </c>
      <c r="BH1015" s="18" t="str">
        <f>IF(MID(Pospago[[#This Row],[PlanDesc]],1,4) = "PLAN","POSPAGO",IF(MID(Pospago[[#This Row],[PlanDesc]],1,4)="FULL","FULL MEGAS","PREVIOPAGO"))</f>
        <v>POSPAGO</v>
      </c>
      <c r="BI10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5" s="21">
        <f>Pospago[[#This Row],[TARIFA_BASICA]]*1.5</f>
        <v>21.419999999999998</v>
      </c>
    </row>
    <row r="1016" spans="1:63" x14ac:dyDescent="0.25">
      <c r="A1016" s="18" t="s">
        <v>154</v>
      </c>
      <c r="B1016" s="18" t="s">
        <v>6327</v>
      </c>
      <c r="C1016" s="18" t="s">
        <v>6328</v>
      </c>
      <c r="D1016" s="19">
        <v>44912</v>
      </c>
      <c r="E1016" s="18" t="s">
        <v>67</v>
      </c>
      <c r="F1016" s="18" t="s">
        <v>6329</v>
      </c>
      <c r="G1016" s="18" t="s">
        <v>6330</v>
      </c>
      <c r="H1016" s="18" t="s">
        <v>159</v>
      </c>
      <c r="I1016" s="18" t="s">
        <v>130</v>
      </c>
      <c r="J1016" s="18" t="s">
        <v>433</v>
      </c>
      <c r="K1016" s="18" t="s">
        <v>132</v>
      </c>
      <c r="L1016" s="20" t="s">
        <v>6331</v>
      </c>
      <c r="M1016" s="18" t="s">
        <v>75</v>
      </c>
      <c r="N1016" s="20" t="s">
        <v>6332</v>
      </c>
      <c r="O1016" s="18" t="s">
        <v>164</v>
      </c>
      <c r="P1016" s="18" t="s">
        <v>78</v>
      </c>
      <c r="Q1016" s="19">
        <v>44914</v>
      </c>
      <c r="R1016" s="21">
        <v>15</v>
      </c>
      <c r="S1016" s="18" t="s">
        <v>79</v>
      </c>
      <c r="T1016" s="18" t="s">
        <v>174</v>
      </c>
      <c r="U1016" s="18" t="s">
        <v>83</v>
      </c>
      <c r="V1016" s="18" t="s">
        <v>95</v>
      </c>
      <c r="W1016" s="18" t="s">
        <v>95</v>
      </c>
      <c r="X1016" s="18" t="s">
        <v>84</v>
      </c>
      <c r="Y1016" s="18" t="s">
        <v>85</v>
      </c>
      <c r="Z1016" s="18" t="s">
        <v>86</v>
      </c>
      <c r="AA1016" s="18" t="s">
        <v>87</v>
      </c>
      <c r="AB1016" s="18" t="s">
        <v>492</v>
      </c>
      <c r="AC1016" s="18" t="s">
        <v>493</v>
      </c>
      <c r="AD1016" s="18" t="s">
        <v>85</v>
      </c>
      <c r="AE1016" s="18" t="s">
        <v>90</v>
      </c>
      <c r="AF1016" s="18" t="s">
        <v>177</v>
      </c>
      <c r="AG1016" s="18" t="s">
        <v>139</v>
      </c>
      <c r="AH1016" s="18" t="s">
        <v>165</v>
      </c>
      <c r="AI1016" s="18" t="s">
        <v>94</v>
      </c>
      <c r="AJ1016" s="19">
        <v>44912</v>
      </c>
      <c r="AK1016" s="22" t="s">
        <v>95</v>
      </c>
      <c r="AL1016" s="18" t="s">
        <v>95</v>
      </c>
      <c r="AM1016" s="18" t="s">
        <v>95</v>
      </c>
      <c r="AN1016" s="18" t="s">
        <v>95</v>
      </c>
      <c r="AO1016" s="18" t="s">
        <v>95</v>
      </c>
      <c r="AP1016" s="18" t="s">
        <v>95</v>
      </c>
      <c r="AQ1016" s="18" t="s">
        <v>95</v>
      </c>
      <c r="AR1016" s="18" t="s">
        <v>95</v>
      </c>
      <c r="AS1016" s="18" t="s">
        <v>83</v>
      </c>
      <c r="AT1016" s="18" t="s">
        <v>83</v>
      </c>
      <c r="AU1016" s="18" t="s">
        <v>81</v>
      </c>
      <c r="AV1016" s="18" t="s">
        <v>95</v>
      </c>
      <c r="AW1016" s="18"/>
      <c r="AX1016" s="18"/>
      <c r="AY1016" s="18" t="str">
        <f>Pospago[[#This Row],[NUM_TELEFONICO]]&amp;"POSPAGOSI"</f>
        <v>998776872POSPAGOSI</v>
      </c>
      <c r="AZ1016" s="18" t="str">
        <f>VLOOKUP(Pospago[[#This Row],[NOM_PLAZA_FINAL]],[1]!Locales[#Data],3,0)</f>
        <v>TIENDA RECREO</v>
      </c>
      <c r="BA1016" s="18" t="str">
        <f>IFERROR(VLOOKUP(Pospago[[#This Row],[USUARIO]],[1]!Personal[#Data],6,0),"EJECUTIVO NO REGISTRADO")</f>
        <v>CONDO GARCIA NICOLAS MATIAS</v>
      </c>
      <c r="BB1016" s="18" t="str">
        <f>Pospago[[#This Row],[TIPO_MOVIMIENTO]]&amp;" "&amp;Pospago[[#This Row],[FORMA_PAGO_FINAL]]</f>
        <v>TRANSFERENCIAS DOMICILIADO</v>
      </c>
      <c r="BC1016" s="18">
        <f>DAY(Pospago[[#This Row],[FECHA_ALTA]])</f>
        <v>17</v>
      </c>
      <c r="BD1016" s="18">
        <f>IF(Pospago[[#This Row],[TARIFA_BASICA]]=11.42,1,0)</f>
        <v>0</v>
      </c>
      <c r="BE1016" s="18">
        <f>IF(Pospago[[#This Row],[PLANES TELEVENTAS]]="SI",1,0)</f>
        <v>0</v>
      </c>
      <c r="BF1016" s="18">
        <f>1</f>
        <v>1</v>
      </c>
      <c r="BG1016" s="18">
        <f>IF(OR(Pospago[[#This Row],[TARIFA_BASICA]]=11.42,Pospago[[#This Row],[PLANES TELEVENTAS]]="SI"),1,0)</f>
        <v>0</v>
      </c>
      <c r="BH1016" s="18" t="str">
        <f>IF(MID(Pospago[[#This Row],[PlanDesc]],1,4) = "PLAN","POSPAGO",IF(MID(Pospago[[#This Row],[PlanDesc]],1,4)="FULL","FULL MEGAS","PREVIOPAGO"))</f>
        <v>PREVIOPAGO</v>
      </c>
      <c r="BI10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10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6" s="21">
        <f>Pospago[[#This Row],[TARIFA_BASICA]]*1.5</f>
        <v>22.5</v>
      </c>
    </row>
    <row r="1017" spans="1:63" x14ac:dyDescent="0.25">
      <c r="A1017" s="18" t="s">
        <v>64</v>
      </c>
      <c r="B1017" s="18" t="s">
        <v>6333</v>
      </c>
      <c r="C1017" s="18" t="s">
        <v>6218</v>
      </c>
      <c r="D1017" s="19">
        <v>44900</v>
      </c>
      <c r="E1017" s="18" t="s">
        <v>67</v>
      </c>
      <c r="F1017" s="18" t="s">
        <v>6219</v>
      </c>
      <c r="G1017" s="18" t="s">
        <v>6220</v>
      </c>
      <c r="H1017" s="18" t="s">
        <v>70</v>
      </c>
      <c r="I1017" s="18" t="s">
        <v>160</v>
      </c>
      <c r="J1017" s="18" t="s">
        <v>195</v>
      </c>
      <c r="K1017" s="18" t="s">
        <v>3334</v>
      </c>
      <c r="L1017" s="20" t="s">
        <v>6334</v>
      </c>
      <c r="M1017" s="18" t="s">
        <v>75</v>
      </c>
      <c r="N1017" s="20" t="s">
        <v>6335</v>
      </c>
      <c r="O1017" s="18" t="s">
        <v>768</v>
      </c>
      <c r="P1017" s="18" t="s">
        <v>78</v>
      </c>
      <c r="Q1017" s="19">
        <v>44914</v>
      </c>
      <c r="R1017" s="21">
        <v>14.28</v>
      </c>
      <c r="S1017" s="18" t="s">
        <v>79</v>
      </c>
      <c r="T1017" s="18" t="s">
        <v>117</v>
      </c>
      <c r="U1017" s="18" t="s">
        <v>83</v>
      </c>
      <c r="V1017" s="18" t="s">
        <v>95</v>
      </c>
      <c r="W1017" s="18" t="s">
        <v>83</v>
      </c>
      <c r="X1017" s="18" t="s">
        <v>84</v>
      </c>
      <c r="Y1017" s="18" t="s">
        <v>85</v>
      </c>
      <c r="Z1017" s="18" t="s">
        <v>86</v>
      </c>
      <c r="AA1017" s="18" t="s">
        <v>87</v>
      </c>
      <c r="AB1017" s="18" t="s">
        <v>352</v>
      </c>
      <c r="AC1017" s="18" t="s">
        <v>353</v>
      </c>
      <c r="AD1017" s="18" t="s">
        <v>85</v>
      </c>
      <c r="AE1017" s="18" t="s">
        <v>90</v>
      </c>
      <c r="AF1017" s="18" t="s">
        <v>122</v>
      </c>
      <c r="AG1017" s="18" t="s">
        <v>92</v>
      </c>
      <c r="AH1017" s="18" t="s">
        <v>93</v>
      </c>
      <c r="AI1017" s="18" t="s">
        <v>94</v>
      </c>
      <c r="AJ1017" s="19">
        <v>44900</v>
      </c>
      <c r="AK1017" s="22" t="s">
        <v>95</v>
      </c>
      <c r="AL1017" s="18" t="s">
        <v>95</v>
      </c>
      <c r="AM1017" s="18" t="s">
        <v>95</v>
      </c>
      <c r="AN1017" s="18" t="s">
        <v>95</v>
      </c>
      <c r="AO1017" s="18" t="s">
        <v>95</v>
      </c>
      <c r="AP1017" s="18" t="s">
        <v>95</v>
      </c>
      <c r="AQ1017" s="18" t="s">
        <v>95</v>
      </c>
      <c r="AR1017" s="18" t="s">
        <v>95</v>
      </c>
      <c r="AS1017" s="18" t="s">
        <v>83</v>
      </c>
      <c r="AT1017" s="18" t="s">
        <v>83</v>
      </c>
      <c r="AU1017" s="18" t="s">
        <v>81</v>
      </c>
      <c r="AV1017" s="18" t="s">
        <v>95</v>
      </c>
      <c r="AW1017" s="18"/>
      <c r="AX1017" s="18"/>
      <c r="AY1017" s="18" t="str">
        <f>Pospago[[#This Row],[NUM_TELEFONICO]]&amp;"POSPAGOSI"</f>
        <v>998779870POSPAGOSI</v>
      </c>
      <c r="AZ1017" s="18" t="str">
        <f>VLOOKUP(Pospago[[#This Row],[NOM_PLAZA_FINAL]],[1]!Locales[#Data],3,0)</f>
        <v>TIENDA MACHALA</v>
      </c>
      <c r="BA1017" s="18" t="str">
        <f>IFERROR(VLOOKUP(Pospago[[#This Row],[USUARIO]],[1]!Personal[#Data],6,0),"EJECUTIVO NO REGISTRADO")</f>
        <v>TENORIO MARIA DEL PILAR</v>
      </c>
      <c r="BB1017" s="18" t="str">
        <f>Pospago[[#This Row],[TIPO_MOVIMIENTO]]&amp;" "&amp;Pospago[[#This Row],[FORMA_PAGO_FINAL]]</f>
        <v>ALTAS DOMICILIADO</v>
      </c>
      <c r="BC1017" s="18">
        <f>DAY(Pospago[[#This Row],[FECHA_ALTA]])</f>
        <v>5</v>
      </c>
      <c r="BD1017" s="18">
        <f>IF(Pospago[[#This Row],[TARIFA_BASICA]]=11.42,1,0)</f>
        <v>0</v>
      </c>
      <c r="BE1017" s="18">
        <f>IF(Pospago[[#This Row],[PLANES TELEVENTAS]]="SI",1,0)</f>
        <v>0</v>
      </c>
      <c r="BF1017" s="18">
        <f>1</f>
        <v>1</v>
      </c>
      <c r="BG1017" s="18">
        <f>IF(OR(Pospago[[#This Row],[TARIFA_BASICA]]=11.42,Pospago[[#This Row],[PLANES TELEVENTAS]]="SI"),1,0)</f>
        <v>0</v>
      </c>
      <c r="BH1017" s="18" t="str">
        <f>IF(MID(Pospago[[#This Row],[PlanDesc]],1,4) = "PLAN","POSPAGO",IF(MID(Pospago[[#This Row],[PlanDesc]],1,4)="FULL","FULL MEGAS","PREVIOPAGO"))</f>
        <v>PREVIOPAGO</v>
      </c>
      <c r="BI10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10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7" s="21">
        <f>Pospago[[#This Row],[TARIFA_BASICA]]*1.5</f>
        <v>21.419999999999998</v>
      </c>
    </row>
    <row r="1018" spans="1:63" x14ac:dyDescent="0.25">
      <c r="A1018" s="18" t="s">
        <v>154</v>
      </c>
      <c r="B1018" s="18" t="s">
        <v>6336</v>
      </c>
      <c r="C1018" s="18" t="s">
        <v>6337</v>
      </c>
      <c r="D1018" s="19">
        <v>44905</v>
      </c>
      <c r="E1018" s="18" t="s">
        <v>67</v>
      </c>
      <c r="F1018" s="18" t="s">
        <v>6338</v>
      </c>
      <c r="G1018" s="18" t="s">
        <v>6339</v>
      </c>
      <c r="H1018" s="18" t="s">
        <v>159</v>
      </c>
      <c r="I1018" s="18" t="s">
        <v>160</v>
      </c>
      <c r="J1018" s="18" t="s">
        <v>161</v>
      </c>
      <c r="K1018" s="18" t="s">
        <v>73</v>
      </c>
      <c r="L1018" s="20" t="s">
        <v>6340</v>
      </c>
      <c r="M1018" s="18" t="s">
        <v>75</v>
      </c>
      <c r="N1018" s="20" t="s">
        <v>6341</v>
      </c>
      <c r="O1018" s="18" t="s">
        <v>164</v>
      </c>
      <c r="P1018" s="18" t="s">
        <v>78</v>
      </c>
      <c r="Q1018" s="19">
        <v>44914</v>
      </c>
      <c r="R1018" s="21">
        <v>14.28</v>
      </c>
      <c r="S1018" s="18" t="s">
        <v>79</v>
      </c>
      <c r="T1018" s="18" t="s">
        <v>232</v>
      </c>
      <c r="U1018" s="18" t="s">
        <v>83</v>
      </c>
      <c r="V1018" s="18" t="s">
        <v>95</v>
      </c>
      <c r="W1018" s="18" t="s">
        <v>95</v>
      </c>
      <c r="X1018" s="18" t="s">
        <v>84</v>
      </c>
      <c r="Y1018" s="18" t="s">
        <v>85</v>
      </c>
      <c r="Z1018" s="18" t="s">
        <v>86</v>
      </c>
      <c r="AA1018" s="18" t="s">
        <v>87</v>
      </c>
      <c r="AB1018" s="18" t="s">
        <v>233</v>
      </c>
      <c r="AC1018" s="18" t="s">
        <v>234</v>
      </c>
      <c r="AD1018" s="18" t="s">
        <v>85</v>
      </c>
      <c r="AE1018" s="18" t="s">
        <v>90</v>
      </c>
      <c r="AF1018" s="18" t="s">
        <v>235</v>
      </c>
      <c r="AG1018" s="18" t="s">
        <v>139</v>
      </c>
      <c r="AH1018" s="18" t="s">
        <v>165</v>
      </c>
      <c r="AI1018" s="18" t="s">
        <v>94</v>
      </c>
      <c r="AJ1018" s="19">
        <v>44905</v>
      </c>
      <c r="AK1018" s="22" t="s">
        <v>95</v>
      </c>
      <c r="AL1018" s="18" t="s">
        <v>95</v>
      </c>
      <c r="AM1018" s="18" t="s">
        <v>95</v>
      </c>
      <c r="AN1018" s="18" t="s">
        <v>95</v>
      </c>
      <c r="AO1018" s="18" t="s">
        <v>95</v>
      </c>
      <c r="AP1018" s="18" t="s">
        <v>95</v>
      </c>
      <c r="AQ1018" s="18" t="s">
        <v>95</v>
      </c>
      <c r="AR1018" s="18" t="s">
        <v>95</v>
      </c>
      <c r="AS1018" s="18" t="s">
        <v>83</v>
      </c>
      <c r="AT1018" s="18" t="s">
        <v>83</v>
      </c>
      <c r="AU1018" s="18" t="s">
        <v>81</v>
      </c>
      <c r="AV1018" s="18" t="s">
        <v>95</v>
      </c>
      <c r="AW1018" s="18"/>
      <c r="AX1018" s="18"/>
      <c r="AY1018" s="18" t="str">
        <f>Pospago[[#This Row],[NUM_TELEFONICO]]&amp;"POSPAGOSI"</f>
        <v>998823374POSPAGOSI</v>
      </c>
      <c r="AZ1018" s="18" t="str">
        <f>VLOOKUP(Pospago[[#This Row],[NOM_PLAZA_FINAL]],[1]!Locales[#Data],3,0)</f>
        <v>TIENDA CONDADO</v>
      </c>
      <c r="BA1018" s="18" t="str">
        <f>IFERROR(VLOOKUP(Pospago[[#This Row],[USUARIO]],[1]!Personal[#Data],6,0),"EJECUTIVO NO REGISTRADO")</f>
        <v>ROSALES MALDONADO JESSICA GABRIELA</v>
      </c>
      <c r="BB1018" s="18" t="str">
        <f>Pospago[[#This Row],[TIPO_MOVIMIENTO]]&amp;" "&amp;Pospago[[#This Row],[FORMA_PAGO_FINAL]]</f>
        <v>TRANSFERENCIAS DOMICILIADO</v>
      </c>
      <c r="BC1018" s="18">
        <f>DAY(Pospago[[#This Row],[FECHA_ALTA]])</f>
        <v>10</v>
      </c>
      <c r="BD1018" s="18">
        <f>IF(Pospago[[#This Row],[TARIFA_BASICA]]=11.42,1,0)</f>
        <v>0</v>
      </c>
      <c r="BE1018" s="18">
        <f>IF(Pospago[[#This Row],[PLANES TELEVENTAS]]="SI",1,0)</f>
        <v>0</v>
      </c>
      <c r="BF1018" s="18">
        <f>1</f>
        <v>1</v>
      </c>
      <c r="BG1018" s="18">
        <f>IF(OR(Pospago[[#This Row],[TARIFA_BASICA]]=11.42,Pospago[[#This Row],[PLANES TELEVENTAS]]="SI"),1,0)</f>
        <v>0</v>
      </c>
      <c r="BH1018" s="18" t="str">
        <f>IF(MID(Pospago[[#This Row],[PlanDesc]],1,4) = "PLAN","POSPAGO",IF(MID(Pospago[[#This Row],[PlanDesc]],1,4)="FULL","FULL MEGAS","PREVIOPAGO"))</f>
        <v>PREVIOPAGO</v>
      </c>
      <c r="BI10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8" s="21">
        <f>Pospago[[#This Row],[TARIFA_BASICA]]*1.5</f>
        <v>21.419999999999998</v>
      </c>
    </row>
    <row r="1019" spans="1:63" x14ac:dyDescent="0.25">
      <c r="A1019" s="18" t="s">
        <v>154</v>
      </c>
      <c r="B1019" s="18" t="s">
        <v>6342</v>
      </c>
      <c r="C1019" s="18" t="s">
        <v>6343</v>
      </c>
      <c r="D1019" s="19">
        <v>44907</v>
      </c>
      <c r="E1019" s="18" t="s">
        <v>67</v>
      </c>
      <c r="F1019" s="18" t="s">
        <v>6344</v>
      </c>
      <c r="G1019" s="18" t="s">
        <v>6345</v>
      </c>
      <c r="H1019" s="18" t="s">
        <v>159</v>
      </c>
      <c r="I1019" s="18" t="s">
        <v>160</v>
      </c>
      <c r="J1019" s="18" t="s">
        <v>161</v>
      </c>
      <c r="K1019" s="18" t="s">
        <v>132</v>
      </c>
      <c r="L1019" s="20" t="s">
        <v>6346</v>
      </c>
      <c r="M1019" s="18" t="s">
        <v>75</v>
      </c>
      <c r="N1019" s="20" t="s">
        <v>6347</v>
      </c>
      <c r="O1019" s="18" t="s">
        <v>164</v>
      </c>
      <c r="P1019" s="18" t="s">
        <v>78</v>
      </c>
      <c r="Q1019" s="19">
        <v>44914</v>
      </c>
      <c r="R1019" s="21">
        <v>14.28</v>
      </c>
      <c r="S1019" s="18" t="s">
        <v>79</v>
      </c>
      <c r="T1019" s="18" t="s">
        <v>174</v>
      </c>
      <c r="U1019" s="18" t="s">
        <v>83</v>
      </c>
      <c r="V1019" s="18" t="s">
        <v>95</v>
      </c>
      <c r="W1019" s="18" t="s">
        <v>95</v>
      </c>
      <c r="X1019" s="18" t="s">
        <v>84</v>
      </c>
      <c r="Y1019" s="18" t="s">
        <v>85</v>
      </c>
      <c r="Z1019" s="18" t="s">
        <v>86</v>
      </c>
      <c r="AA1019" s="18" t="s">
        <v>87</v>
      </c>
      <c r="AB1019" s="18" t="s">
        <v>760</v>
      </c>
      <c r="AC1019" s="18" t="s">
        <v>761</v>
      </c>
      <c r="AD1019" s="18" t="s">
        <v>85</v>
      </c>
      <c r="AE1019" s="18" t="s">
        <v>90</v>
      </c>
      <c r="AF1019" s="18" t="s">
        <v>177</v>
      </c>
      <c r="AG1019" s="18" t="s">
        <v>139</v>
      </c>
      <c r="AH1019" s="18" t="s">
        <v>165</v>
      </c>
      <c r="AI1019" s="18" t="s">
        <v>94</v>
      </c>
      <c r="AJ1019" s="19">
        <v>44907</v>
      </c>
      <c r="AK1019" s="22" t="s">
        <v>95</v>
      </c>
      <c r="AL1019" s="18" t="s">
        <v>95</v>
      </c>
      <c r="AM1019" s="18" t="s">
        <v>95</v>
      </c>
      <c r="AN1019" s="18" t="s">
        <v>95</v>
      </c>
      <c r="AO1019" s="18" t="s">
        <v>95</v>
      </c>
      <c r="AP1019" s="18" t="s">
        <v>95</v>
      </c>
      <c r="AQ1019" s="18" t="s">
        <v>95</v>
      </c>
      <c r="AR1019" s="18" t="s">
        <v>95</v>
      </c>
      <c r="AS1019" s="18" t="s">
        <v>83</v>
      </c>
      <c r="AT1019" s="18" t="s">
        <v>83</v>
      </c>
      <c r="AU1019" s="18" t="s">
        <v>81</v>
      </c>
      <c r="AV1019" s="18" t="s">
        <v>95</v>
      </c>
      <c r="AW1019" s="18"/>
      <c r="AX1019" s="18"/>
      <c r="AY1019" s="18" t="str">
        <f>Pospago[[#This Row],[NUM_TELEFONICO]]&amp;"POSPAGOSI"</f>
        <v>998826665POSPAGOSI</v>
      </c>
      <c r="AZ1019" s="18" t="str">
        <f>VLOOKUP(Pospago[[#This Row],[NOM_PLAZA_FINAL]],[1]!Locales[#Data],3,0)</f>
        <v>TIENDA RECREO</v>
      </c>
      <c r="BA1019" s="18" t="str">
        <f>IFERROR(VLOOKUP(Pospago[[#This Row],[USUARIO]],[1]!Personal[#Data],6,0),"EJECUTIVO NO REGISTRADO")</f>
        <v>VALBUENA SANCHEZ ALBERT ANTHONY</v>
      </c>
      <c r="BB1019" s="18" t="str">
        <f>Pospago[[#This Row],[TIPO_MOVIMIENTO]]&amp;" "&amp;Pospago[[#This Row],[FORMA_PAGO_FINAL]]</f>
        <v>TRANSFERENCIAS DOMICILIADO</v>
      </c>
      <c r="BC1019" s="18">
        <f>DAY(Pospago[[#This Row],[FECHA_ALTA]])</f>
        <v>12</v>
      </c>
      <c r="BD1019" s="18">
        <f>IF(Pospago[[#This Row],[TARIFA_BASICA]]=11.42,1,0)</f>
        <v>0</v>
      </c>
      <c r="BE1019" s="18">
        <f>IF(Pospago[[#This Row],[PLANES TELEVENTAS]]="SI",1,0)</f>
        <v>0</v>
      </c>
      <c r="BF1019" s="18">
        <f>1</f>
        <v>1</v>
      </c>
      <c r="BG1019" s="18">
        <f>IF(OR(Pospago[[#This Row],[TARIFA_BASICA]]=11.42,Pospago[[#This Row],[PLANES TELEVENTAS]]="SI"),1,0)</f>
        <v>0</v>
      </c>
      <c r="BH1019" s="18" t="str">
        <f>IF(MID(Pospago[[#This Row],[PlanDesc]],1,4) = "PLAN","POSPAGO",IF(MID(Pospago[[#This Row],[PlanDesc]],1,4)="FULL","FULL MEGAS","PREVIOPAGO"))</f>
        <v>PREVIOPAGO</v>
      </c>
      <c r="BI10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19" s="21">
        <f>Pospago[[#This Row],[TARIFA_BASICA]]*1.5</f>
        <v>21.419999999999998</v>
      </c>
    </row>
    <row r="1020" spans="1:63" x14ac:dyDescent="0.25">
      <c r="A1020" s="18" t="s">
        <v>64</v>
      </c>
      <c r="B1020" s="18" t="s">
        <v>6348</v>
      </c>
      <c r="C1020" s="18" t="s">
        <v>6349</v>
      </c>
      <c r="D1020" s="19">
        <v>44900</v>
      </c>
      <c r="E1020" s="18" t="s">
        <v>67</v>
      </c>
      <c r="F1020" s="18" t="s">
        <v>6350</v>
      </c>
      <c r="G1020" s="18" t="s">
        <v>6351</v>
      </c>
      <c r="H1020" s="18" t="s">
        <v>70</v>
      </c>
      <c r="I1020" s="18" t="s">
        <v>160</v>
      </c>
      <c r="J1020" s="18" t="s">
        <v>195</v>
      </c>
      <c r="K1020" s="18" t="s">
        <v>6352</v>
      </c>
      <c r="L1020" s="20" t="s">
        <v>6353</v>
      </c>
      <c r="M1020" s="18" t="s">
        <v>75</v>
      </c>
      <c r="N1020" s="20" t="s">
        <v>6354</v>
      </c>
      <c r="O1020" s="18" t="s">
        <v>77</v>
      </c>
      <c r="P1020" s="18" t="s">
        <v>78</v>
      </c>
      <c r="Q1020" s="19">
        <v>44914</v>
      </c>
      <c r="R1020" s="21">
        <v>14.28</v>
      </c>
      <c r="S1020" s="18" t="s">
        <v>79</v>
      </c>
      <c r="T1020" s="18" t="s">
        <v>148</v>
      </c>
      <c r="U1020" s="18" t="s">
        <v>83</v>
      </c>
      <c r="V1020" s="18" t="s">
        <v>95</v>
      </c>
      <c r="W1020" s="18" t="s">
        <v>83</v>
      </c>
      <c r="X1020" s="18" t="s">
        <v>84</v>
      </c>
      <c r="Y1020" s="18" t="s">
        <v>85</v>
      </c>
      <c r="Z1020" s="18" t="s">
        <v>86</v>
      </c>
      <c r="AA1020" s="18" t="s">
        <v>87</v>
      </c>
      <c r="AB1020" s="18" t="s">
        <v>610</v>
      </c>
      <c r="AC1020" s="18" t="s">
        <v>611</v>
      </c>
      <c r="AD1020" s="18" t="s">
        <v>85</v>
      </c>
      <c r="AE1020" s="18" t="s">
        <v>90</v>
      </c>
      <c r="AF1020" s="18" t="s">
        <v>151</v>
      </c>
      <c r="AG1020" s="18" t="s">
        <v>92</v>
      </c>
      <c r="AH1020" s="18" t="s">
        <v>93</v>
      </c>
      <c r="AI1020" s="18" t="s">
        <v>94</v>
      </c>
      <c r="AJ1020" s="19">
        <v>44900</v>
      </c>
      <c r="AK1020" s="22" t="s">
        <v>95</v>
      </c>
      <c r="AL1020" s="18" t="s">
        <v>95</v>
      </c>
      <c r="AM1020" s="18" t="s">
        <v>95</v>
      </c>
      <c r="AN1020" s="18" t="s">
        <v>95</v>
      </c>
      <c r="AO1020" s="18" t="s">
        <v>95</v>
      </c>
      <c r="AP1020" s="18" t="s">
        <v>95</v>
      </c>
      <c r="AQ1020" s="18" t="s">
        <v>95</v>
      </c>
      <c r="AR1020" s="18" t="s">
        <v>95</v>
      </c>
      <c r="AS1020" s="18" t="s">
        <v>83</v>
      </c>
      <c r="AT1020" s="18" t="s">
        <v>83</v>
      </c>
      <c r="AU1020" s="18" t="s">
        <v>81</v>
      </c>
      <c r="AV1020" s="18" t="s">
        <v>95</v>
      </c>
      <c r="AW1020" s="18"/>
      <c r="AX1020" s="18"/>
      <c r="AY1020" s="18" t="str">
        <f>Pospago[[#This Row],[NUM_TELEFONICO]]&amp;"POSPAGOSI"</f>
        <v>998829961POSPAGOSI</v>
      </c>
      <c r="AZ1020" s="18" t="str">
        <f>VLOOKUP(Pospago[[#This Row],[NOM_PLAZA_FINAL]],[1]!Locales[#Data],3,0)</f>
        <v>TIENDA CUENCA REMIGIO</v>
      </c>
      <c r="BA1020" s="18" t="str">
        <f>IFERROR(VLOOKUP(Pospago[[#This Row],[USUARIO]],[1]!Personal[#Data],6,0),"EJECUTIVO NO REGISTRADO")</f>
        <v>PATIÑO TAPIA ANDRES SANTIAGO</v>
      </c>
      <c r="BB1020" s="18" t="str">
        <f>Pospago[[#This Row],[TIPO_MOVIMIENTO]]&amp;" "&amp;Pospago[[#This Row],[FORMA_PAGO_FINAL]]</f>
        <v>ALTAS DOMICILIADO</v>
      </c>
      <c r="BC1020" s="18">
        <f>DAY(Pospago[[#This Row],[FECHA_ALTA]])</f>
        <v>5</v>
      </c>
      <c r="BD1020" s="18">
        <f>IF(Pospago[[#This Row],[TARIFA_BASICA]]=11.42,1,0)</f>
        <v>0</v>
      </c>
      <c r="BE1020" s="18">
        <f>IF(Pospago[[#This Row],[PLANES TELEVENTAS]]="SI",1,0)</f>
        <v>0</v>
      </c>
      <c r="BF1020" s="18">
        <f>1</f>
        <v>1</v>
      </c>
      <c r="BG1020" s="18">
        <f>IF(OR(Pospago[[#This Row],[TARIFA_BASICA]]=11.42,Pospago[[#This Row],[PLANES TELEVENTAS]]="SI"),1,0)</f>
        <v>0</v>
      </c>
      <c r="BH1020" s="18" t="str">
        <f>IF(MID(Pospago[[#This Row],[PlanDesc]],1,4) = "PLAN","POSPAGO",IF(MID(Pospago[[#This Row],[PlanDesc]],1,4)="FULL","FULL MEGAS","PREVIOPAGO"))</f>
        <v>PREVIOPAGO</v>
      </c>
      <c r="BI10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20" s="21">
        <f>Pospago[[#This Row],[TARIFA_BASICA]]*1.5</f>
        <v>21.419999999999998</v>
      </c>
    </row>
    <row r="1021" spans="1:63" x14ac:dyDescent="0.25">
      <c r="A1021" s="18" t="s">
        <v>154</v>
      </c>
      <c r="B1021" s="18" t="s">
        <v>6355</v>
      </c>
      <c r="C1021" s="18" t="s">
        <v>6356</v>
      </c>
      <c r="D1021" s="19">
        <v>44903</v>
      </c>
      <c r="E1021" s="18" t="s">
        <v>67</v>
      </c>
      <c r="F1021" s="18" t="s">
        <v>6357</v>
      </c>
      <c r="G1021" s="18" t="s">
        <v>6358</v>
      </c>
      <c r="H1021" s="18" t="s">
        <v>159</v>
      </c>
      <c r="I1021" s="18" t="s">
        <v>71</v>
      </c>
      <c r="J1021" s="18" t="s">
        <v>258</v>
      </c>
      <c r="K1021" s="18" t="s">
        <v>132</v>
      </c>
      <c r="L1021" s="20" t="s">
        <v>6359</v>
      </c>
      <c r="M1021" s="18" t="s">
        <v>75</v>
      </c>
      <c r="N1021" s="20" t="s">
        <v>6360</v>
      </c>
      <c r="O1021" s="18" t="s">
        <v>164</v>
      </c>
      <c r="P1021" s="18" t="s">
        <v>78</v>
      </c>
      <c r="Q1021" s="19">
        <v>44914</v>
      </c>
      <c r="R1021" s="21">
        <v>11.42</v>
      </c>
      <c r="S1021" s="18" t="s">
        <v>79</v>
      </c>
      <c r="T1021" s="18" t="s">
        <v>174</v>
      </c>
      <c r="U1021" s="18" t="s">
        <v>83</v>
      </c>
      <c r="V1021" s="18" t="s">
        <v>95</v>
      </c>
      <c r="W1021" s="18" t="s">
        <v>95</v>
      </c>
      <c r="X1021" s="18" t="s">
        <v>118</v>
      </c>
      <c r="Y1021" s="18" t="s">
        <v>85</v>
      </c>
      <c r="Z1021" s="18" t="s">
        <v>86</v>
      </c>
      <c r="AA1021" s="18" t="s">
        <v>119</v>
      </c>
      <c r="AB1021" s="18" t="s">
        <v>187</v>
      </c>
      <c r="AC1021" s="18" t="s">
        <v>188</v>
      </c>
      <c r="AD1021" s="18" t="s">
        <v>85</v>
      </c>
      <c r="AE1021" s="18" t="s">
        <v>90</v>
      </c>
      <c r="AF1021" s="18" t="s">
        <v>177</v>
      </c>
      <c r="AG1021" s="18" t="s">
        <v>139</v>
      </c>
      <c r="AH1021" s="18" t="s">
        <v>165</v>
      </c>
      <c r="AI1021" s="18" t="s">
        <v>94</v>
      </c>
      <c r="AJ1021" s="19">
        <v>44903</v>
      </c>
      <c r="AK1021" s="22" t="s">
        <v>95</v>
      </c>
      <c r="AL1021" s="18" t="s">
        <v>95</v>
      </c>
      <c r="AM1021" s="18" t="s">
        <v>95</v>
      </c>
      <c r="AN1021" s="18" t="s">
        <v>95</v>
      </c>
      <c r="AO1021" s="18" t="s">
        <v>95</v>
      </c>
      <c r="AP1021" s="18" t="s">
        <v>95</v>
      </c>
      <c r="AQ1021" s="18" t="s">
        <v>95</v>
      </c>
      <c r="AR1021" s="18" t="s">
        <v>95</v>
      </c>
      <c r="AS1021" s="18" t="s">
        <v>83</v>
      </c>
      <c r="AT1021" s="18" t="s">
        <v>83</v>
      </c>
      <c r="AU1021" s="18" t="s">
        <v>81</v>
      </c>
      <c r="AV1021" s="18" t="s">
        <v>95</v>
      </c>
      <c r="AW1021" s="18"/>
      <c r="AX1021" s="18"/>
      <c r="AY1021" s="18" t="str">
        <f>Pospago[[#This Row],[NUM_TELEFONICO]]&amp;"POSPAGOSI"</f>
        <v>998838945POSPAGOSI</v>
      </c>
      <c r="AZ1021" s="18" t="str">
        <f>VLOOKUP(Pospago[[#This Row],[NOM_PLAZA_FINAL]],[1]!Locales[#Data],3,0)</f>
        <v>TIENDA RECREO</v>
      </c>
      <c r="BA1021" s="18" t="str">
        <f>IFERROR(VLOOKUP(Pospago[[#This Row],[USUARIO]],[1]!Personal[#Data],6,0),"EJECUTIVO NO REGISTRADO")</f>
        <v>ESPINOZA MARTINES LAURA XIOMARA</v>
      </c>
      <c r="BB1021" s="18" t="str">
        <f>Pospago[[#This Row],[TIPO_MOVIMIENTO]]&amp;" "&amp;Pospago[[#This Row],[FORMA_PAGO_FINAL]]</f>
        <v>TRANSFERENCIAS PAGO EN CAJA</v>
      </c>
      <c r="BC1021" s="18">
        <f>DAY(Pospago[[#This Row],[FECHA_ALTA]])</f>
        <v>8</v>
      </c>
      <c r="BD1021" s="18">
        <f>IF(Pospago[[#This Row],[TARIFA_BASICA]]=11.42,1,0)</f>
        <v>1</v>
      </c>
      <c r="BE1021" s="18">
        <f>IF(Pospago[[#This Row],[PLANES TELEVENTAS]]="SI",1,0)</f>
        <v>0</v>
      </c>
      <c r="BF1021" s="18">
        <f>1</f>
        <v>1</v>
      </c>
      <c r="BG1021" s="18">
        <f>IF(OR(Pospago[[#This Row],[TARIFA_BASICA]]=11.42,Pospago[[#This Row],[PLANES TELEVENTAS]]="SI"),1,0)</f>
        <v>1</v>
      </c>
      <c r="BH1021" s="18" t="str">
        <f>IF(MID(Pospago[[#This Row],[PlanDesc]],1,4) = "PLAN","POSPAGO",IF(MID(Pospago[[#This Row],[PlanDesc]],1,4)="FULL","FULL MEGAS","PREVIOPAGO"))</f>
        <v>PREVIOPAGO</v>
      </c>
      <c r="BI10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21" s="21">
        <f>Pospago[[#This Row],[TARIFA_BASICA]]*1.5</f>
        <v>17.13</v>
      </c>
    </row>
    <row r="1022" spans="1:63" x14ac:dyDescent="0.25">
      <c r="A1022" s="18" t="s">
        <v>154</v>
      </c>
      <c r="B1022" s="18" t="s">
        <v>6361</v>
      </c>
      <c r="C1022" s="18" t="s">
        <v>6362</v>
      </c>
      <c r="D1022" s="19">
        <v>44898</v>
      </c>
      <c r="E1022" s="18" t="s">
        <v>67</v>
      </c>
      <c r="F1022" s="18" t="s">
        <v>6363</v>
      </c>
      <c r="G1022" s="18" t="s">
        <v>6364</v>
      </c>
      <c r="H1022" s="18" t="s">
        <v>159</v>
      </c>
      <c r="I1022" s="18" t="s">
        <v>130</v>
      </c>
      <c r="J1022" s="18" t="s">
        <v>433</v>
      </c>
      <c r="K1022" s="18" t="s">
        <v>132</v>
      </c>
      <c r="L1022" s="20" t="s">
        <v>6365</v>
      </c>
      <c r="M1022" s="18" t="s">
        <v>287</v>
      </c>
      <c r="N1022" s="20" t="s">
        <v>6366</v>
      </c>
      <c r="O1022" s="18" t="s">
        <v>164</v>
      </c>
      <c r="P1022" s="18" t="s">
        <v>78</v>
      </c>
      <c r="Q1022" s="19">
        <v>44914</v>
      </c>
      <c r="R1022" s="21">
        <v>15</v>
      </c>
      <c r="S1022" s="18" t="s">
        <v>79</v>
      </c>
      <c r="T1022" s="18" t="s">
        <v>174</v>
      </c>
      <c r="U1022" s="18" t="s">
        <v>83</v>
      </c>
      <c r="V1022" s="18" t="s">
        <v>95</v>
      </c>
      <c r="W1022" s="18" t="s">
        <v>95</v>
      </c>
      <c r="X1022" s="18" t="s">
        <v>84</v>
      </c>
      <c r="Y1022" s="18" t="s">
        <v>85</v>
      </c>
      <c r="Z1022" s="18" t="s">
        <v>86</v>
      </c>
      <c r="AA1022" s="18" t="s">
        <v>87</v>
      </c>
      <c r="AB1022" s="18" t="s">
        <v>396</v>
      </c>
      <c r="AC1022" s="18" t="s">
        <v>397</v>
      </c>
      <c r="AD1022" s="18" t="s">
        <v>85</v>
      </c>
      <c r="AE1022" s="18" t="s">
        <v>90</v>
      </c>
      <c r="AF1022" s="18" t="s">
        <v>177</v>
      </c>
      <c r="AG1022" s="18" t="s">
        <v>139</v>
      </c>
      <c r="AH1022" s="18" t="s">
        <v>165</v>
      </c>
      <c r="AI1022" s="18" t="s">
        <v>94</v>
      </c>
      <c r="AJ1022" s="19">
        <v>44898</v>
      </c>
      <c r="AK1022" s="22" t="s">
        <v>95</v>
      </c>
      <c r="AL1022" s="18" t="s">
        <v>95</v>
      </c>
      <c r="AM1022" s="18" t="s">
        <v>95</v>
      </c>
      <c r="AN1022" s="18" t="s">
        <v>95</v>
      </c>
      <c r="AO1022" s="18" t="s">
        <v>95</v>
      </c>
      <c r="AP1022" s="18" t="s">
        <v>95</v>
      </c>
      <c r="AQ1022" s="18" t="s">
        <v>95</v>
      </c>
      <c r="AR1022" s="18" t="s">
        <v>95</v>
      </c>
      <c r="AS1022" s="18" t="s">
        <v>83</v>
      </c>
      <c r="AT1022" s="18" t="s">
        <v>83</v>
      </c>
      <c r="AU1022" s="18" t="s">
        <v>81</v>
      </c>
      <c r="AV1022" s="18" t="s">
        <v>95</v>
      </c>
      <c r="AW1022" s="18"/>
      <c r="AX1022" s="18"/>
      <c r="AY1022" s="18" t="str">
        <f>Pospago[[#This Row],[NUM_TELEFONICO]]&amp;"POSPAGOSI"</f>
        <v>998840415POSPAGOSI</v>
      </c>
      <c r="AZ1022" s="18" t="str">
        <f>VLOOKUP(Pospago[[#This Row],[NOM_PLAZA_FINAL]],[1]!Locales[#Data],3,0)</f>
        <v>TIENDA RECREO</v>
      </c>
      <c r="BA1022" s="18" t="str">
        <f>IFERROR(VLOOKUP(Pospago[[#This Row],[USUARIO]],[1]!Personal[#Data],6,0),"EJECUTIVO NO REGISTRADO")</f>
        <v>VINUEZA VELASCO ANGY DAYANA</v>
      </c>
      <c r="BB1022" s="18" t="str">
        <f>Pospago[[#This Row],[TIPO_MOVIMIENTO]]&amp;" "&amp;Pospago[[#This Row],[FORMA_PAGO_FINAL]]</f>
        <v>TRANSFERENCIAS DOMICILIADO</v>
      </c>
      <c r="BC1022" s="18">
        <f>DAY(Pospago[[#This Row],[FECHA_ALTA]])</f>
        <v>3</v>
      </c>
      <c r="BD1022" s="18">
        <f>IF(Pospago[[#This Row],[TARIFA_BASICA]]=11.42,1,0)</f>
        <v>0</v>
      </c>
      <c r="BE1022" s="18">
        <f>IF(Pospago[[#This Row],[PLANES TELEVENTAS]]="SI",1,0)</f>
        <v>0</v>
      </c>
      <c r="BF1022" s="18">
        <f>1</f>
        <v>1</v>
      </c>
      <c r="BG1022" s="18">
        <f>IF(OR(Pospago[[#This Row],[TARIFA_BASICA]]=11.42,Pospago[[#This Row],[PLANES TELEVENTAS]]="SI"),1,0)</f>
        <v>0</v>
      </c>
      <c r="BH1022" s="18" t="str">
        <f>IF(MID(Pospago[[#This Row],[PlanDesc]],1,4) = "PLAN","POSPAGO",IF(MID(Pospago[[#This Row],[PlanDesc]],1,4)="FULL","FULL MEGAS","PREVIOPAGO"))</f>
        <v>PREVIOPAGO</v>
      </c>
      <c r="BI10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10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22" s="21">
        <f>Pospago[[#This Row],[TARIFA_BASICA]]*1.5</f>
        <v>22.5</v>
      </c>
    </row>
    <row r="1023" spans="1:63" x14ac:dyDescent="0.25">
      <c r="A1023" s="18" t="s">
        <v>154</v>
      </c>
      <c r="B1023" s="18" t="s">
        <v>6367</v>
      </c>
      <c r="C1023" s="18" t="s">
        <v>6368</v>
      </c>
      <c r="D1023" s="19">
        <v>44906</v>
      </c>
      <c r="E1023" s="18" t="s">
        <v>67</v>
      </c>
      <c r="F1023" s="18" t="s">
        <v>6369</v>
      </c>
      <c r="G1023" s="18" t="s">
        <v>6370</v>
      </c>
      <c r="H1023" s="18" t="s">
        <v>159</v>
      </c>
      <c r="I1023" s="18" t="s">
        <v>359</v>
      </c>
      <c r="J1023" s="18" t="s">
        <v>360</v>
      </c>
      <c r="K1023" s="18" t="s">
        <v>132</v>
      </c>
      <c r="L1023" s="20" t="s">
        <v>6371</v>
      </c>
      <c r="M1023" s="18" t="s">
        <v>75</v>
      </c>
      <c r="N1023" s="20" t="s">
        <v>6372</v>
      </c>
      <c r="O1023" s="18" t="s">
        <v>4453</v>
      </c>
      <c r="P1023" s="18" t="s">
        <v>78</v>
      </c>
      <c r="Q1023" s="19">
        <v>44914</v>
      </c>
      <c r="R1023" s="21">
        <v>14.28</v>
      </c>
      <c r="S1023" s="18" t="s">
        <v>79</v>
      </c>
      <c r="T1023" s="18" t="s">
        <v>174</v>
      </c>
      <c r="U1023" s="18" t="s">
        <v>83</v>
      </c>
      <c r="V1023" s="18" t="s">
        <v>95</v>
      </c>
      <c r="W1023" s="18" t="s">
        <v>95</v>
      </c>
      <c r="X1023" s="18" t="s">
        <v>84</v>
      </c>
      <c r="Y1023" s="18" t="s">
        <v>85</v>
      </c>
      <c r="Z1023" s="18" t="s">
        <v>86</v>
      </c>
      <c r="AA1023" s="18" t="s">
        <v>87</v>
      </c>
      <c r="AB1023" s="18" t="s">
        <v>918</v>
      </c>
      <c r="AC1023" s="18" t="s">
        <v>919</v>
      </c>
      <c r="AD1023" s="18" t="s">
        <v>85</v>
      </c>
      <c r="AE1023" s="18" t="s">
        <v>90</v>
      </c>
      <c r="AF1023" s="18" t="s">
        <v>177</v>
      </c>
      <c r="AG1023" s="18" t="s">
        <v>139</v>
      </c>
      <c r="AH1023" s="18" t="s">
        <v>165</v>
      </c>
      <c r="AI1023" s="18" t="s">
        <v>94</v>
      </c>
      <c r="AJ1023" s="19">
        <v>44906</v>
      </c>
      <c r="AK1023" s="22" t="s">
        <v>95</v>
      </c>
      <c r="AL1023" s="18" t="s">
        <v>95</v>
      </c>
      <c r="AM1023" s="18" t="s">
        <v>95</v>
      </c>
      <c r="AN1023" s="18" t="s">
        <v>95</v>
      </c>
      <c r="AO1023" s="18" t="s">
        <v>95</v>
      </c>
      <c r="AP1023" s="18" t="s">
        <v>95</v>
      </c>
      <c r="AQ1023" s="18" t="s">
        <v>95</v>
      </c>
      <c r="AR1023" s="18" t="s">
        <v>95</v>
      </c>
      <c r="AS1023" s="18" t="s">
        <v>83</v>
      </c>
      <c r="AT1023" s="18" t="s">
        <v>83</v>
      </c>
      <c r="AU1023" s="18" t="s">
        <v>83</v>
      </c>
      <c r="AV1023" s="18" t="s">
        <v>95</v>
      </c>
      <c r="AW1023" s="18"/>
      <c r="AX1023" s="18"/>
      <c r="AY1023" s="18" t="str">
        <f>Pospago[[#This Row],[NUM_TELEFONICO]]&amp;"POSPAGOSI"</f>
        <v>998856911POSPAGOSI</v>
      </c>
      <c r="AZ1023" s="18" t="str">
        <f>VLOOKUP(Pospago[[#This Row],[NOM_PLAZA_FINAL]],[1]!Locales[#Data],3,0)</f>
        <v>TIENDA RECREO</v>
      </c>
      <c r="BA1023" s="18" t="str">
        <f>IFERROR(VLOOKUP(Pospago[[#This Row],[USUARIO]],[1]!Personal[#Data],6,0),"EJECUTIVO NO REGISTRADO")</f>
        <v>ORELLANA CARRERA MICHAEL ALEXANDER</v>
      </c>
      <c r="BB1023" s="18" t="str">
        <f>Pospago[[#This Row],[TIPO_MOVIMIENTO]]&amp;" "&amp;Pospago[[#This Row],[FORMA_PAGO_FINAL]]</f>
        <v>TRANSFERENCIAS DOMICILIADO</v>
      </c>
      <c r="BC1023" s="18">
        <f>DAY(Pospago[[#This Row],[FECHA_ALTA]])</f>
        <v>11</v>
      </c>
      <c r="BD1023" s="18">
        <f>IF(Pospago[[#This Row],[TARIFA_BASICA]]=11.42,1,0)</f>
        <v>0</v>
      </c>
      <c r="BE1023" s="18">
        <f>IF(Pospago[[#This Row],[PLANES TELEVENTAS]]="SI",1,0)</f>
        <v>0</v>
      </c>
      <c r="BF1023" s="18">
        <f>1</f>
        <v>1</v>
      </c>
      <c r="BG1023" s="18">
        <f>IF(OR(Pospago[[#This Row],[TARIFA_BASICA]]=11.42,Pospago[[#This Row],[PLANES TELEVENTAS]]="SI"),1,0)</f>
        <v>0</v>
      </c>
      <c r="BH1023" s="18" t="str">
        <f>IF(MID(Pospago[[#This Row],[PlanDesc]],1,4) = "PLAN","POSPAGO",IF(MID(Pospago[[#This Row],[PlanDesc]],1,4)="FULL","FULL MEGAS","PREVIOPAGO"))</f>
        <v>POSPAGO</v>
      </c>
      <c r="BI10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23" s="21">
        <f>Pospago[[#This Row],[TARIFA_BASICA]]*1.5</f>
        <v>21.419999999999998</v>
      </c>
    </row>
    <row r="1024" spans="1:63" x14ac:dyDescent="0.25">
      <c r="A1024" s="18" t="s">
        <v>64</v>
      </c>
      <c r="B1024" s="18" t="s">
        <v>6373</v>
      </c>
      <c r="C1024" s="18" t="s">
        <v>6374</v>
      </c>
      <c r="D1024" s="19">
        <v>44912</v>
      </c>
      <c r="E1024" s="18" t="s">
        <v>67</v>
      </c>
      <c r="F1024" s="18" t="s">
        <v>6375</v>
      </c>
      <c r="G1024" s="18" t="s">
        <v>6376</v>
      </c>
      <c r="H1024" s="18" t="s">
        <v>70</v>
      </c>
      <c r="I1024" s="18" t="s">
        <v>160</v>
      </c>
      <c r="J1024" s="18" t="s">
        <v>195</v>
      </c>
      <c r="K1024" s="18" t="s">
        <v>95</v>
      </c>
      <c r="L1024" s="20" t="s">
        <v>6377</v>
      </c>
      <c r="M1024" s="18" t="s">
        <v>287</v>
      </c>
      <c r="N1024" s="20" t="s">
        <v>6378</v>
      </c>
      <c r="O1024" s="18" t="s">
        <v>77</v>
      </c>
      <c r="P1024" s="18" t="s">
        <v>78</v>
      </c>
      <c r="Q1024" s="19">
        <v>44914</v>
      </c>
      <c r="R1024" s="21">
        <v>14.28</v>
      </c>
      <c r="S1024" s="18" t="s">
        <v>79</v>
      </c>
      <c r="T1024" s="18" t="s">
        <v>80</v>
      </c>
      <c r="U1024" s="18" t="s">
        <v>83</v>
      </c>
      <c r="V1024" s="18" t="s">
        <v>95</v>
      </c>
      <c r="W1024" s="18" t="s">
        <v>83</v>
      </c>
      <c r="X1024" s="18" t="s">
        <v>84</v>
      </c>
      <c r="Y1024" s="18" t="s">
        <v>85</v>
      </c>
      <c r="Z1024" s="18" t="s">
        <v>86</v>
      </c>
      <c r="AA1024" s="18" t="s">
        <v>87</v>
      </c>
      <c r="AB1024" s="18" t="s">
        <v>1020</v>
      </c>
      <c r="AC1024" s="18" t="s">
        <v>1021</v>
      </c>
      <c r="AD1024" s="18" t="s">
        <v>85</v>
      </c>
      <c r="AE1024" s="18" t="s">
        <v>90</v>
      </c>
      <c r="AF1024" s="18" t="s">
        <v>91</v>
      </c>
      <c r="AG1024" s="18" t="s">
        <v>92</v>
      </c>
      <c r="AH1024" s="18" t="s">
        <v>93</v>
      </c>
      <c r="AI1024" s="18" t="s">
        <v>94</v>
      </c>
      <c r="AJ1024" s="19">
        <v>44912</v>
      </c>
      <c r="AK1024" s="22">
        <v>44912</v>
      </c>
      <c r="AL1024" s="18" t="s">
        <v>291</v>
      </c>
      <c r="AM1024" s="18" t="s">
        <v>292</v>
      </c>
      <c r="AN1024" s="18" t="s">
        <v>494</v>
      </c>
      <c r="AO1024" s="18" t="s">
        <v>4907</v>
      </c>
      <c r="AP1024" s="18">
        <v>1</v>
      </c>
      <c r="AQ1024" s="18">
        <v>406.25</v>
      </c>
      <c r="AR1024" s="18" t="s">
        <v>496</v>
      </c>
      <c r="AS1024" s="18" t="s">
        <v>81</v>
      </c>
      <c r="AT1024" s="18" t="s">
        <v>83</v>
      </c>
      <c r="AU1024" s="18" t="s">
        <v>81</v>
      </c>
      <c r="AV1024" s="18" t="s">
        <v>95</v>
      </c>
      <c r="AW1024" s="18"/>
      <c r="AX1024" s="18"/>
      <c r="AY1024" s="18" t="str">
        <f>Pospago[[#This Row],[NUM_TELEFONICO]]&amp;"POSPAGOSI"</f>
        <v>998863513POSPAGOSI</v>
      </c>
      <c r="AZ1024" s="18" t="str">
        <f>VLOOKUP(Pospago[[#This Row],[NOM_PLAZA_FINAL]],[1]!Locales[#Data],3,0)</f>
        <v>TIENDA CUENCA CENTRO</v>
      </c>
      <c r="BA1024" s="18" t="str">
        <f>IFERROR(VLOOKUP(Pospago[[#This Row],[USUARIO]],[1]!Personal[#Data],6,0),"EJECUTIVO NO REGISTRADO")</f>
        <v>GONZALES ALVARRACIN PAOLA YESSENIA</v>
      </c>
      <c r="BB1024" s="18" t="str">
        <f>Pospago[[#This Row],[TIPO_MOVIMIENTO]]&amp;" "&amp;Pospago[[#This Row],[FORMA_PAGO_FINAL]]</f>
        <v>ALTAS DOMICILIADO</v>
      </c>
      <c r="BC1024" s="18">
        <f>DAY(Pospago[[#This Row],[FECHA_ALTA]])</f>
        <v>17</v>
      </c>
      <c r="BD1024" s="18">
        <f>IF(Pospago[[#This Row],[TARIFA_BASICA]]=11.42,1,0)</f>
        <v>0</v>
      </c>
      <c r="BE1024" s="18">
        <f>IF(Pospago[[#This Row],[PLANES TELEVENTAS]]="SI",1,0)</f>
        <v>0</v>
      </c>
      <c r="BF1024" s="18">
        <f>1</f>
        <v>1</v>
      </c>
      <c r="BG1024" s="18">
        <f>IF(OR(Pospago[[#This Row],[TARIFA_BASICA]]=11.42,Pospago[[#This Row],[PLANES TELEVENTAS]]="SI"),1,0)</f>
        <v>0</v>
      </c>
      <c r="BH1024" s="18" t="str">
        <f>IF(MID(Pospago[[#This Row],[PlanDesc]],1,4) = "PLAN","POSPAGO",IF(MID(Pospago[[#This Row],[PlanDesc]],1,4)="FULL","FULL MEGAS","PREVIOPAGO"))</f>
        <v>PREVIOPAGO</v>
      </c>
      <c r="BI10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24" s="21">
        <f>Pospago[[#This Row],[TARIFA_BASICA]]*1.5</f>
        <v>21.419999999999998</v>
      </c>
    </row>
    <row r="1025" spans="1:63" x14ac:dyDescent="0.25">
      <c r="A1025" s="18" t="s">
        <v>154</v>
      </c>
      <c r="B1025" s="18" t="s">
        <v>6379</v>
      </c>
      <c r="C1025" s="18" t="s">
        <v>6380</v>
      </c>
      <c r="D1025" s="19">
        <v>44899</v>
      </c>
      <c r="E1025" s="18" t="s">
        <v>67</v>
      </c>
      <c r="F1025" s="18" t="s">
        <v>6381</v>
      </c>
      <c r="G1025" s="18" t="s">
        <v>6382</v>
      </c>
      <c r="H1025" s="18" t="s">
        <v>159</v>
      </c>
      <c r="I1025" s="18" t="s">
        <v>160</v>
      </c>
      <c r="J1025" s="18" t="s">
        <v>161</v>
      </c>
      <c r="K1025" s="18" t="s">
        <v>2601</v>
      </c>
      <c r="L1025" s="20" t="s">
        <v>6383</v>
      </c>
      <c r="M1025" s="18" t="s">
        <v>287</v>
      </c>
      <c r="N1025" s="20" t="s">
        <v>6384</v>
      </c>
      <c r="O1025" s="18" t="s">
        <v>164</v>
      </c>
      <c r="P1025" s="18" t="s">
        <v>78</v>
      </c>
      <c r="Q1025" s="19">
        <v>44914</v>
      </c>
      <c r="R1025" s="21">
        <v>14.28</v>
      </c>
      <c r="S1025" s="18" t="s">
        <v>79</v>
      </c>
      <c r="T1025" s="18" t="s">
        <v>232</v>
      </c>
      <c r="U1025" s="18" t="s">
        <v>83</v>
      </c>
      <c r="V1025" s="18" t="s">
        <v>95</v>
      </c>
      <c r="W1025" s="18" t="s">
        <v>95</v>
      </c>
      <c r="X1025" s="18" t="s">
        <v>84</v>
      </c>
      <c r="Y1025" s="18" t="s">
        <v>85</v>
      </c>
      <c r="Z1025" s="18" t="s">
        <v>86</v>
      </c>
      <c r="AA1025" s="18" t="s">
        <v>87</v>
      </c>
      <c r="AB1025" s="18" t="s">
        <v>233</v>
      </c>
      <c r="AC1025" s="18" t="s">
        <v>234</v>
      </c>
      <c r="AD1025" s="18" t="s">
        <v>85</v>
      </c>
      <c r="AE1025" s="18" t="s">
        <v>90</v>
      </c>
      <c r="AF1025" s="18" t="s">
        <v>235</v>
      </c>
      <c r="AG1025" s="18" t="s">
        <v>139</v>
      </c>
      <c r="AH1025" s="18" t="s">
        <v>165</v>
      </c>
      <c r="AI1025" s="18" t="s">
        <v>94</v>
      </c>
      <c r="AJ1025" s="19">
        <v>44899</v>
      </c>
      <c r="AK1025" s="22" t="s">
        <v>95</v>
      </c>
      <c r="AL1025" s="18" t="s">
        <v>95</v>
      </c>
      <c r="AM1025" s="18" t="s">
        <v>95</v>
      </c>
      <c r="AN1025" s="18" t="s">
        <v>95</v>
      </c>
      <c r="AO1025" s="18" t="s">
        <v>95</v>
      </c>
      <c r="AP1025" s="18" t="s">
        <v>95</v>
      </c>
      <c r="AQ1025" s="18" t="s">
        <v>95</v>
      </c>
      <c r="AR1025" s="18" t="s">
        <v>95</v>
      </c>
      <c r="AS1025" s="18" t="s">
        <v>83</v>
      </c>
      <c r="AT1025" s="18" t="s">
        <v>83</v>
      </c>
      <c r="AU1025" s="18" t="s">
        <v>81</v>
      </c>
      <c r="AV1025" s="18" t="s">
        <v>95</v>
      </c>
      <c r="AW1025" s="18"/>
      <c r="AX1025" s="18"/>
      <c r="AY1025" s="18" t="str">
        <f>Pospago[[#This Row],[NUM_TELEFONICO]]&amp;"POSPAGOSI"</f>
        <v>998868075POSPAGOSI</v>
      </c>
      <c r="AZ1025" s="18" t="str">
        <f>VLOOKUP(Pospago[[#This Row],[NOM_PLAZA_FINAL]],[1]!Locales[#Data],3,0)</f>
        <v>TIENDA CONDADO</v>
      </c>
      <c r="BA1025" s="18" t="str">
        <f>IFERROR(VLOOKUP(Pospago[[#This Row],[USUARIO]],[1]!Personal[#Data],6,0),"EJECUTIVO NO REGISTRADO")</f>
        <v>ROSALES MALDONADO JESSICA GABRIELA</v>
      </c>
      <c r="BB1025" s="18" t="str">
        <f>Pospago[[#This Row],[TIPO_MOVIMIENTO]]&amp;" "&amp;Pospago[[#This Row],[FORMA_PAGO_FINAL]]</f>
        <v>TRANSFERENCIAS DOMICILIADO</v>
      </c>
      <c r="BC1025" s="18">
        <f>DAY(Pospago[[#This Row],[FECHA_ALTA]])</f>
        <v>4</v>
      </c>
      <c r="BD1025" s="18">
        <f>IF(Pospago[[#This Row],[TARIFA_BASICA]]=11.42,1,0)</f>
        <v>0</v>
      </c>
      <c r="BE1025" s="18">
        <f>IF(Pospago[[#This Row],[PLANES TELEVENTAS]]="SI",1,0)</f>
        <v>0</v>
      </c>
      <c r="BF1025" s="18">
        <f>1</f>
        <v>1</v>
      </c>
      <c r="BG1025" s="18">
        <f>IF(OR(Pospago[[#This Row],[TARIFA_BASICA]]=11.42,Pospago[[#This Row],[PLANES TELEVENTAS]]="SI"),1,0)</f>
        <v>0</v>
      </c>
      <c r="BH1025" s="18" t="str">
        <f>IF(MID(Pospago[[#This Row],[PlanDesc]],1,4) = "PLAN","POSPAGO",IF(MID(Pospago[[#This Row],[PlanDesc]],1,4)="FULL","FULL MEGAS","PREVIOPAGO"))</f>
        <v>PREVIOPAGO</v>
      </c>
      <c r="BI10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25" s="21">
        <f>Pospago[[#This Row],[TARIFA_BASICA]]*1.5</f>
        <v>21.419999999999998</v>
      </c>
    </row>
    <row r="1026" spans="1:63" x14ac:dyDescent="0.25">
      <c r="A1026" s="18" t="s">
        <v>154</v>
      </c>
      <c r="B1026" s="18" t="s">
        <v>6385</v>
      </c>
      <c r="C1026" s="18" t="s">
        <v>6386</v>
      </c>
      <c r="D1026" s="19">
        <v>44904</v>
      </c>
      <c r="E1026" s="18" t="s">
        <v>67</v>
      </c>
      <c r="F1026" s="18" t="s">
        <v>6387</v>
      </c>
      <c r="G1026" s="18" t="s">
        <v>6388</v>
      </c>
      <c r="H1026" s="18" t="s">
        <v>159</v>
      </c>
      <c r="I1026" s="18" t="s">
        <v>130</v>
      </c>
      <c r="J1026" s="18" t="s">
        <v>433</v>
      </c>
      <c r="K1026" s="18" t="s">
        <v>2601</v>
      </c>
      <c r="L1026" s="20" t="s">
        <v>6389</v>
      </c>
      <c r="M1026" s="18" t="s">
        <v>75</v>
      </c>
      <c r="N1026" s="20" t="s">
        <v>6390</v>
      </c>
      <c r="O1026" s="18" t="s">
        <v>164</v>
      </c>
      <c r="P1026" s="18" t="s">
        <v>78</v>
      </c>
      <c r="Q1026" s="19">
        <v>44914</v>
      </c>
      <c r="R1026" s="21">
        <v>15</v>
      </c>
      <c r="S1026" s="18" t="s">
        <v>79</v>
      </c>
      <c r="T1026" s="18" t="s">
        <v>135</v>
      </c>
      <c r="U1026" s="18" t="s">
        <v>83</v>
      </c>
      <c r="V1026" s="18" t="s">
        <v>95</v>
      </c>
      <c r="W1026" s="18" t="s">
        <v>95</v>
      </c>
      <c r="X1026" s="18" t="s">
        <v>118</v>
      </c>
      <c r="Y1026" s="18" t="s">
        <v>85</v>
      </c>
      <c r="Z1026" s="18" t="s">
        <v>86</v>
      </c>
      <c r="AA1026" s="18" t="s">
        <v>119</v>
      </c>
      <c r="AB1026" s="18" t="s">
        <v>866</v>
      </c>
      <c r="AC1026" s="18" t="s">
        <v>867</v>
      </c>
      <c r="AD1026" s="18" t="s">
        <v>85</v>
      </c>
      <c r="AE1026" s="18" t="s">
        <v>90</v>
      </c>
      <c r="AF1026" s="18" t="s">
        <v>138</v>
      </c>
      <c r="AG1026" s="18" t="s">
        <v>139</v>
      </c>
      <c r="AH1026" s="18" t="s">
        <v>165</v>
      </c>
      <c r="AI1026" s="18" t="s">
        <v>94</v>
      </c>
      <c r="AJ1026" s="19">
        <v>44904</v>
      </c>
      <c r="AK1026" s="22" t="s">
        <v>95</v>
      </c>
      <c r="AL1026" s="18" t="s">
        <v>95</v>
      </c>
      <c r="AM1026" s="18" t="s">
        <v>95</v>
      </c>
      <c r="AN1026" s="18" t="s">
        <v>95</v>
      </c>
      <c r="AO1026" s="18" t="s">
        <v>95</v>
      </c>
      <c r="AP1026" s="18" t="s">
        <v>95</v>
      </c>
      <c r="AQ1026" s="18" t="s">
        <v>95</v>
      </c>
      <c r="AR1026" s="18" t="s">
        <v>95</v>
      </c>
      <c r="AS1026" s="18" t="s">
        <v>83</v>
      </c>
      <c r="AT1026" s="18" t="s">
        <v>83</v>
      </c>
      <c r="AU1026" s="18" t="s">
        <v>81</v>
      </c>
      <c r="AV1026" s="18" t="s">
        <v>95</v>
      </c>
      <c r="AW1026" s="18"/>
      <c r="AX1026" s="18"/>
      <c r="AY1026" s="18" t="str">
        <f>Pospago[[#This Row],[NUM_TELEFONICO]]&amp;"POSPAGOSI"</f>
        <v>998868821POSPAGOSI</v>
      </c>
      <c r="AZ1026" s="18" t="str">
        <f>VLOOKUP(Pospago[[#This Row],[NOM_PLAZA_FINAL]],[1]!Locales[#Data],3,0)</f>
        <v>TIENDA AMERICA</v>
      </c>
      <c r="BA1026" s="18" t="str">
        <f>IFERROR(VLOOKUP(Pospago[[#This Row],[USUARIO]],[1]!Personal[#Data],6,0),"EJECUTIVO NO REGISTRADO")</f>
        <v>ORTEGA RUIZ GABRIEL ANTONIO</v>
      </c>
      <c r="BB1026" s="18" t="str">
        <f>Pospago[[#This Row],[TIPO_MOVIMIENTO]]&amp;" "&amp;Pospago[[#This Row],[FORMA_PAGO_FINAL]]</f>
        <v>TRANSFERENCIAS PAGO EN CAJA</v>
      </c>
      <c r="BC1026" s="18">
        <f>DAY(Pospago[[#This Row],[FECHA_ALTA]])</f>
        <v>9</v>
      </c>
      <c r="BD1026" s="18">
        <f>IF(Pospago[[#This Row],[TARIFA_BASICA]]=11.42,1,0)</f>
        <v>0</v>
      </c>
      <c r="BE1026" s="18">
        <f>IF(Pospago[[#This Row],[PLANES TELEVENTAS]]="SI",1,0)</f>
        <v>0</v>
      </c>
      <c r="BF1026" s="18">
        <f>1</f>
        <v>1</v>
      </c>
      <c r="BG1026" s="18">
        <f>IF(OR(Pospago[[#This Row],[TARIFA_BASICA]]=11.42,Pospago[[#This Row],[PLANES TELEVENTAS]]="SI"),1,0)</f>
        <v>0</v>
      </c>
      <c r="BH1026" s="18" t="str">
        <f>IF(MID(Pospago[[#This Row],[PlanDesc]],1,4) = "PLAN","POSPAGO",IF(MID(Pospago[[#This Row],[PlanDesc]],1,4)="FULL","FULL MEGAS","PREVIOPAGO"))</f>
        <v>PREVIOPAGO</v>
      </c>
      <c r="BI10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0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26" s="21">
        <f>Pospago[[#This Row],[TARIFA_BASICA]]*1.5</f>
        <v>22.5</v>
      </c>
    </row>
    <row r="1027" spans="1:63" x14ac:dyDescent="0.25">
      <c r="A1027" s="18" t="s">
        <v>154</v>
      </c>
      <c r="B1027" s="18" t="s">
        <v>6391</v>
      </c>
      <c r="C1027" s="18" t="s">
        <v>6392</v>
      </c>
      <c r="D1027" s="19">
        <v>44897</v>
      </c>
      <c r="E1027" s="18" t="s">
        <v>67</v>
      </c>
      <c r="F1027" s="18" t="s">
        <v>6393</v>
      </c>
      <c r="G1027" s="18" t="s">
        <v>6394</v>
      </c>
      <c r="H1027" s="18" t="s">
        <v>159</v>
      </c>
      <c r="I1027" s="18" t="s">
        <v>71</v>
      </c>
      <c r="J1027" s="18" t="s">
        <v>258</v>
      </c>
      <c r="K1027" s="18" t="s">
        <v>349</v>
      </c>
      <c r="L1027" s="20" t="s">
        <v>6395</v>
      </c>
      <c r="M1027" s="18" t="s">
        <v>75</v>
      </c>
      <c r="N1027" s="20" t="s">
        <v>6396</v>
      </c>
      <c r="O1027" s="18" t="s">
        <v>164</v>
      </c>
      <c r="P1027" s="18" t="s">
        <v>78</v>
      </c>
      <c r="Q1027" s="19">
        <v>44914</v>
      </c>
      <c r="R1027" s="21">
        <v>11.42</v>
      </c>
      <c r="S1027" s="18" t="s">
        <v>79</v>
      </c>
      <c r="T1027" s="18" t="s">
        <v>174</v>
      </c>
      <c r="U1027" s="18" t="s">
        <v>83</v>
      </c>
      <c r="V1027" s="18" t="s">
        <v>95</v>
      </c>
      <c r="W1027" s="18" t="s">
        <v>95</v>
      </c>
      <c r="X1027" s="18" t="s">
        <v>118</v>
      </c>
      <c r="Y1027" s="18" t="s">
        <v>85</v>
      </c>
      <c r="Z1027" s="18" t="s">
        <v>86</v>
      </c>
      <c r="AA1027" s="18" t="s">
        <v>119</v>
      </c>
      <c r="AB1027" s="18" t="s">
        <v>262</v>
      </c>
      <c r="AC1027" s="18" t="s">
        <v>263</v>
      </c>
      <c r="AD1027" s="18" t="s">
        <v>85</v>
      </c>
      <c r="AE1027" s="18" t="s">
        <v>90</v>
      </c>
      <c r="AF1027" s="18" t="s">
        <v>177</v>
      </c>
      <c r="AG1027" s="18" t="s">
        <v>139</v>
      </c>
      <c r="AH1027" s="18" t="s">
        <v>165</v>
      </c>
      <c r="AI1027" s="18" t="s">
        <v>94</v>
      </c>
      <c r="AJ1027" s="19">
        <v>44897</v>
      </c>
      <c r="AK1027" s="22" t="s">
        <v>95</v>
      </c>
      <c r="AL1027" s="18" t="s">
        <v>95</v>
      </c>
      <c r="AM1027" s="18" t="s">
        <v>95</v>
      </c>
      <c r="AN1027" s="18" t="s">
        <v>95</v>
      </c>
      <c r="AO1027" s="18" t="s">
        <v>95</v>
      </c>
      <c r="AP1027" s="18" t="s">
        <v>95</v>
      </c>
      <c r="AQ1027" s="18" t="s">
        <v>95</v>
      </c>
      <c r="AR1027" s="18" t="s">
        <v>95</v>
      </c>
      <c r="AS1027" s="18" t="s">
        <v>83</v>
      </c>
      <c r="AT1027" s="18" t="s">
        <v>83</v>
      </c>
      <c r="AU1027" s="18" t="s">
        <v>81</v>
      </c>
      <c r="AV1027" s="18" t="s">
        <v>95</v>
      </c>
      <c r="AW1027" s="18"/>
      <c r="AX1027" s="18"/>
      <c r="AY1027" s="18" t="str">
        <f>Pospago[[#This Row],[NUM_TELEFONICO]]&amp;"POSPAGOSI"</f>
        <v>998871771POSPAGOSI</v>
      </c>
      <c r="AZ1027" s="18" t="str">
        <f>VLOOKUP(Pospago[[#This Row],[NOM_PLAZA_FINAL]],[1]!Locales[#Data],3,0)</f>
        <v>TIENDA RECREO</v>
      </c>
      <c r="BA1027" s="18" t="str">
        <f>IFERROR(VLOOKUP(Pospago[[#This Row],[USUARIO]],[1]!Personal[#Data],6,0),"EJECUTIVO NO REGISTRADO")</f>
        <v>CHICAIZA TOAPANTA ALEX DANILO</v>
      </c>
      <c r="BB1027" s="18" t="str">
        <f>Pospago[[#This Row],[TIPO_MOVIMIENTO]]&amp;" "&amp;Pospago[[#This Row],[FORMA_PAGO_FINAL]]</f>
        <v>TRANSFERENCIAS PAGO EN CAJA</v>
      </c>
      <c r="BC1027" s="18">
        <f>DAY(Pospago[[#This Row],[FECHA_ALTA]])</f>
        <v>2</v>
      </c>
      <c r="BD1027" s="18">
        <f>IF(Pospago[[#This Row],[TARIFA_BASICA]]=11.42,1,0)</f>
        <v>1</v>
      </c>
      <c r="BE1027" s="18">
        <f>IF(Pospago[[#This Row],[PLANES TELEVENTAS]]="SI",1,0)</f>
        <v>0</v>
      </c>
      <c r="BF1027" s="18">
        <f>1</f>
        <v>1</v>
      </c>
      <c r="BG1027" s="18">
        <f>IF(OR(Pospago[[#This Row],[TARIFA_BASICA]]=11.42,Pospago[[#This Row],[PLANES TELEVENTAS]]="SI"),1,0)</f>
        <v>1</v>
      </c>
      <c r="BH1027" s="18" t="str">
        <f>IF(MID(Pospago[[#This Row],[PlanDesc]],1,4) = "PLAN","POSPAGO",IF(MID(Pospago[[#This Row],[PlanDesc]],1,4)="FULL","FULL MEGAS","PREVIOPAGO"))</f>
        <v>PREVIOPAGO</v>
      </c>
      <c r="BI10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27" s="21">
        <f>Pospago[[#This Row],[TARIFA_BASICA]]*1.5</f>
        <v>17.13</v>
      </c>
    </row>
    <row r="1028" spans="1:63" x14ac:dyDescent="0.25">
      <c r="A1028" s="18" t="s">
        <v>154</v>
      </c>
      <c r="B1028" s="18" t="s">
        <v>6397</v>
      </c>
      <c r="C1028" s="18" t="s">
        <v>6398</v>
      </c>
      <c r="D1028" s="19">
        <v>44908</v>
      </c>
      <c r="E1028" s="18" t="s">
        <v>67</v>
      </c>
      <c r="F1028" s="18" t="s">
        <v>6399</v>
      </c>
      <c r="G1028" s="18" t="s">
        <v>6400</v>
      </c>
      <c r="H1028" s="18" t="s">
        <v>159</v>
      </c>
      <c r="I1028" s="18" t="s">
        <v>359</v>
      </c>
      <c r="J1028" s="18" t="s">
        <v>360</v>
      </c>
      <c r="K1028" s="18" t="s">
        <v>73</v>
      </c>
      <c r="L1028" s="20" t="s">
        <v>6401</v>
      </c>
      <c r="M1028" s="18" t="s">
        <v>75</v>
      </c>
      <c r="N1028" s="20" t="s">
        <v>6402</v>
      </c>
      <c r="O1028" s="18" t="s">
        <v>768</v>
      </c>
      <c r="P1028" s="18" t="s">
        <v>78</v>
      </c>
      <c r="Q1028" s="19">
        <v>44914</v>
      </c>
      <c r="R1028" s="21">
        <v>14.28</v>
      </c>
      <c r="S1028" s="18" t="s">
        <v>79</v>
      </c>
      <c r="T1028" s="18" t="s">
        <v>148</v>
      </c>
      <c r="U1028" s="18" t="s">
        <v>83</v>
      </c>
      <c r="V1028" s="18" t="s">
        <v>95</v>
      </c>
      <c r="W1028" s="18" t="s">
        <v>95</v>
      </c>
      <c r="X1028" s="18" t="s">
        <v>84</v>
      </c>
      <c r="Y1028" s="18" t="s">
        <v>85</v>
      </c>
      <c r="Z1028" s="18" t="s">
        <v>86</v>
      </c>
      <c r="AA1028" s="18" t="s">
        <v>87</v>
      </c>
      <c r="AB1028" s="18" t="s">
        <v>610</v>
      </c>
      <c r="AC1028" s="18" t="s">
        <v>611</v>
      </c>
      <c r="AD1028" s="18" t="s">
        <v>85</v>
      </c>
      <c r="AE1028" s="18" t="s">
        <v>90</v>
      </c>
      <c r="AF1028" s="18" t="s">
        <v>151</v>
      </c>
      <c r="AG1028" s="18" t="s">
        <v>92</v>
      </c>
      <c r="AH1028" s="18" t="s">
        <v>165</v>
      </c>
      <c r="AI1028" s="18" t="s">
        <v>94</v>
      </c>
      <c r="AJ1028" s="19">
        <v>44908</v>
      </c>
      <c r="AK1028" s="22" t="s">
        <v>95</v>
      </c>
      <c r="AL1028" s="18" t="s">
        <v>95</v>
      </c>
      <c r="AM1028" s="18" t="s">
        <v>95</v>
      </c>
      <c r="AN1028" s="18" t="s">
        <v>95</v>
      </c>
      <c r="AO1028" s="18" t="s">
        <v>95</v>
      </c>
      <c r="AP1028" s="18" t="s">
        <v>95</v>
      </c>
      <c r="AQ1028" s="18" t="s">
        <v>95</v>
      </c>
      <c r="AR1028" s="18" t="s">
        <v>95</v>
      </c>
      <c r="AS1028" s="18" t="s">
        <v>83</v>
      </c>
      <c r="AT1028" s="18" t="s">
        <v>83</v>
      </c>
      <c r="AU1028" s="18" t="s">
        <v>83</v>
      </c>
      <c r="AV1028" s="18" t="s">
        <v>95</v>
      </c>
      <c r="AW1028" s="18"/>
      <c r="AX1028" s="18"/>
      <c r="AY1028" s="18" t="str">
        <f>Pospago[[#This Row],[NUM_TELEFONICO]]&amp;"POSPAGOSI"</f>
        <v>998875552POSPAGOSI</v>
      </c>
      <c r="AZ1028" s="18" t="str">
        <f>VLOOKUP(Pospago[[#This Row],[NOM_PLAZA_FINAL]],[1]!Locales[#Data],3,0)</f>
        <v>TIENDA CUENCA REMIGIO</v>
      </c>
      <c r="BA1028" s="18" t="str">
        <f>IFERROR(VLOOKUP(Pospago[[#This Row],[USUARIO]],[1]!Personal[#Data],6,0),"EJECUTIVO NO REGISTRADO")</f>
        <v>PATIÑO TAPIA ANDRES SANTIAGO</v>
      </c>
      <c r="BB1028" s="18" t="str">
        <f>Pospago[[#This Row],[TIPO_MOVIMIENTO]]&amp;" "&amp;Pospago[[#This Row],[FORMA_PAGO_FINAL]]</f>
        <v>TRANSFERENCIAS DOMICILIADO</v>
      </c>
      <c r="BC1028" s="18">
        <f>DAY(Pospago[[#This Row],[FECHA_ALTA]])</f>
        <v>13</v>
      </c>
      <c r="BD1028" s="18">
        <f>IF(Pospago[[#This Row],[TARIFA_BASICA]]=11.42,1,0)</f>
        <v>0</v>
      </c>
      <c r="BE1028" s="18">
        <f>IF(Pospago[[#This Row],[PLANES TELEVENTAS]]="SI",1,0)</f>
        <v>0</v>
      </c>
      <c r="BF1028" s="18">
        <f>1</f>
        <v>1</v>
      </c>
      <c r="BG1028" s="18">
        <f>IF(OR(Pospago[[#This Row],[TARIFA_BASICA]]=11.42,Pospago[[#This Row],[PLANES TELEVENTAS]]="SI"),1,0)</f>
        <v>0</v>
      </c>
      <c r="BH1028" s="18" t="str">
        <f>IF(MID(Pospago[[#This Row],[PlanDesc]],1,4) = "PLAN","POSPAGO",IF(MID(Pospago[[#This Row],[PlanDesc]],1,4)="FULL","FULL MEGAS","PREVIOPAGO"))</f>
        <v>POSPAGO</v>
      </c>
      <c r="BI10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28" s="21">
        <f>Pospago[[#This Row],[TARIFA_BASICA]]*1.5</f>
        <v>21.419999999999998</v>
      </c>
    </row>
    <row r="1029" spans="1:63" x14ac:dyDescent="0.25">
      <c r="A1029" s="18" t="s">
        <v>154</v>
      </c>
      <c r="B1029" s="18" t="s">
        <v>6403</v>
      </c>
      <c r="C1029" s="18" t="s">
        <v>6404</v>
      </c>
      <c r="D1029" s="19">
        <v>44899</v>
      </c>
      <c r="E1029" s="18" t="s">
        <v>67</v>
      </c>
      <c r="F1029" s="18" t="s">
        <v>6405</v>
      </c>
      <c r="G1029" s="18" t="s">
        <v>6406</v>
      </c>
      <c r="H1029" s="18" t="s">
        <v>159</v>
      </c>
      <c r="I1029" s="18" t="s">
        <v>71</v>
      </c>
      <c r="J1029" s="18" t="s">
        <v>258</v>
      </c>
      <c r="K1029" s="18" t="s">
        <v>73</v>
      </c>
      <c r="L1029" s="20" t="s">
        <v>6407</v>
      </c>
      <c r="M1029" s="18" t="s">
        <v>75</v>
      </c>
      <c r="N1029" s="20" t="s">
        <v>6408</v>
      </c>
      <c r="O1029" s="18" t="s">
        <v>164</v>
      </c>
      <c r="P1029" s="18" t="s">
        <v>78</v>
      </c>
      <c r="Q1029" s="19">
        <v>44914</v>
      </c>
      <c r="R1029" s="21">
        <v>11.42</v>
      </c>
      <c r="S1029" s="18" t="s">
        <v>79</v>
      </c>
      <c r="T1029" s="18" t="s">
        <v>174</v>
      </c>
      <c r="U1029" s="18" t="s">
        <v>83</v>
      </c>
      <c r="V1029" s="18" t="s">
        <v>95</v>
      </c>
      <c r="W1029" s="18" t="s">
        <v>95</v>
      </c>
      <c r="X1029" s="18" t="s">
        <v>84</v>
      </c>
      <c r="Y1029" s="18" t="s">
        <v>85</v>
      </c>
      <c r="Z1029" s="18" t="s">
        <v>86</v>
      </c>
      <c r="AA1029" s="18" t="s">
        <v>87</v>
      </c>
      <c r="AB1029" s="18" t="s">
        <v>630</v>
      </c>
      <c r="AC1029" s="18" t="s">
        <v>631</v>
      </c>
      <c r="AD1029" s="18" t="s">
        <v>85</v>
      </c>
      <c r="AE1029" s="18" t="s">
        <v>90</v>
      </c>
      <c r="AF1029" s="18" t="s">
        <v>177</v>
      </c>
      <c r="AG1029" s="18" t="s">
        <v>139</v>
      </c>
      <c r="AH1029" s="18" t="s">
        <v>165</v>
      </c>
      <c r="AI1029" s="18" t="s">
        <v>94</v>
      </c>
      <c r="AJ1029" s="19">
        <v>44899</v>
      </c>
      <c r="AK1029" s="22" t="s">
        <v>95</v>
      </c>
      <c r="AL1029" s="18" t="s">
        <v>95</v>
      </c>
      <c r="AM1029" s="18" t="s">
        <v>95</v>
      </c>
      <c r="AN1029" s="18" t="s">
        <v>95</v>
      </c>
      <c r="AO1029" s="18" t="s">
        <v>95</v>
      </c>
      <c r="AP1029" s="18" t="s">
        <v>95</v>
      </c>
      <c r="AQ1029" s="18" t="s">
        <v>95</v>
      </c>
      <c r="AR1029" s="18" t="s">
        <v>95</v>
      </c>
      <c r="AS1029" s="18" t="s">
        <v>83</v>
      </c>
      <c r="AT1029" s="18" t="s">
        <v>83</v>
      </c>
      <c r="AU1029" s="18" t="s">
        <v>81</v>
      </c>
      <c r="AV1029" s="18" t="s">
        <v>95</v>
      </c>
      <c r="AW1029" s="18"/>
      <c r="AX1029" s="18"/>
      <c r="AY1029" s="18" t="str">
        <f>Pospago[[#This Row],[NUM_TELEFONICO]]&amp;"POSPAGOSI"</f>
        <v>998880518POSPAGOSI</v>
      </c>
      <c r="AZ1029" s="18" t="str">
        <f>VLOOKUP(Pospago[[#This Row],[NOM_PLAZA_FINAL]],[1]!Locales[#Data],3,0)</f>
        <v>TIENDA RECREO</v>
      </c>
      <c r="BA1029" s="18" t="str">
        <f>IFERROR(VLOOKUP(Pospago[[#This Row],[USUARIO]],[1]!Personal[#Data],6,0),"EJECUTIVO NO REGISTRADO")</f>
        <v>LOAYZA AGUILAR JONATHAN FABIAN</v>
      </c>
      <c r="BB1029" s="18" t="str">
        <f>Pospago[[#This Row],[TIPO_MOVIMIENTO]]&amp;" "&amp;Pospago[[#This Row],[FORMA_PAGO_FINAL]]</f>
        <v>TRANSFERENCIAS DOMICILIADO</v>
      </c>
      <c r="BC1029" s="18">
        <f>DAY(Pospago[[#This Row],[FECHA_ALTA]])</f>
        <v>4</v>
      </c>
      <c r="BD1029" s="18">
        <f>IF(Pospago[[#This Row],[TARIFA_BASICA]]=11.42,1,0)</f>
        <v>1</v>
      </c>
      <c r="BE1029" s="18">
        <f>IF(Pospago[[#This Row],[PLANES TELEVENTAS]]="SI",1,0)</f>
        <v>0</v>
      </c>
      <c r="BF1029" s="18">
        <f>1</f>
        <v>1</v>
      </c>
      <c r="BG1029" s="18">
        <f>IF(OR(Pospago[[#This Row],[TARIFA_BASICA]]=11.42,Pospago[[#This Row],[PLANES TELEVENTAS]]="SI"),1,0)</f>
        <v>1</v>
      </c>
      <c r="BH1029" s="18" t="str">
        <f>IF(MID(Pospago[[#This Row],[PlanDesc]],1,4) = "PLAN","POSPAGO",IF(MID(Pospago[[#This Row],[PlanDesc]],1,4)="FULL","FULL MEGAS","PREVIOPAGO"))</f>
        <v>PREVIOPAGO</v>
      </c>
      <c r="BI102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102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29" s="21">
        <f>Pospago[[#This Row],[TARIFA_BASICA]]*1.5</f>
        <v>17.13</v>
      </c>
    </row>
    <row r="1030" spans="1:63" x14ac:dyDescent="0.25">
      <c r="A1030" s="18" t="s">
        <v>64</v>
      </c>
      <c r="B1030" s="18" t="s">
        <v>6409</v>
      </c>
      <c r="C1030" s="18" t="s">
        <v>6410</v>
      </c>
      <c r="D1030" s="19">
        <v>44902</v>
      </c>
      <c r="E1030" s="18" t="s">
        <v>67</v>
      </c>
      <c r="F1030" s="18" t="s">
        <v>6411</v>
      </c>
      <c r="G1030" s="18" t="s">
        <v>6412</v>
      </c>
      <c r="H1030" s="18" t="s">
        <v>70</v>
      </c>
      <c r="I1030" s="18" t="s">
        <v>160</v>
      </c>
      <c r="J1030" s="18" t="s">
        <v>195</v>
      </c>
      <c r="K1030" s="18" t="s">
        <v>114</v>
      </c>
      <c r="L1030" s="20" t="s">
        <v>6413</v>
      </c>
      <c r="M1030" s="18" t="s">
        <v>287</v>
      </c>
      <c r="N1030" s="20" t="s">
        <v>6414</v>
      </c>
      <c r="O1030" s="18" t="s">
        <v>77</v>
      </c>
      <c r="P1030" s="18" t="s">
        <v>78</v>
      </c>
      <c r="Q1030" s="19">
        <v>44914</v>
      </c>
      <c r="R1030" s="21">
        <v>14.28</v>
      </c>
      <c r="S1030" s="18" t="s">
        <v>79</v>
      </c>
      <c r="T1030" s="18" t="s">
        <v>117</v>
      </c>
      <c r="U1030" s="18" t="s">
        <v>83</v>
      </c>
      <c r="V1030" s="18" t="s">
        <v>82</v>
      </c>
      <c r="W1030" s="18" t="s">
        <v>83</v>
      </c>
      <c r="X1030" s="18" t="s">
        <v>84</v>
      </c>
      <c r="Y1030" s="18" t="s">
        <v>85</v>
      </c>
      <c r="Z1030" s="18" t="s">
        <v>86</v>
      </c>
      <c r="AA1030" s="18" t="s">
        <v>87</v>
      </c>
      <c r="AB1030" s="18" t="s">
        <v>352</v>
      </c>
      <c r="AC1030" s="18" t="s">
        <v>353</v>
      </c>
      <c r="AD1030" s="18" t="s">
        <v>85</v>
      </c>
      <c r="AE1030" s="18" t="s">
        <v>90</v>
      </c>
      <c r="AF1030" s="18" t="s">
        <v>122</v>
      </c>
      <c r="AG1030" s="18" t="s">
        <v>92</v>
      </c>
      <c r="AH1030" s="18" t="s">
        <v>93</v>
      </c>
      <c r="AI1030" s="18" t="s">
        <v>94</v>
      </c>
      <c r="AJ1030" s="19">
        <v>44902</v>
      </c>
      <c r="AK1030" s="22">
        <v>44902</v>
      </c>
      <c r="AL1030" s="18" t="s">
        <v>291</v>
      </c>
      <c r="AM1030" s="18" t="s">
        <v>292</v>
      </c>
      <c r="AN1030" s="18" t="s">
        <v>293</v>
      </c>
      <c r="AO1030" s="18" t="s">
        <v>1881</v>
      </c>
      <c r="AP1030" s="18">
        <v>1</v>
      </c>
      <c r="AQ1030" s="18">
        <v>250</v>
      </c>
      <c r="AR1030" s="18" t="s">
        <v>295</v>
      </c>
      <c r="AS1030" s="18" t="s">
        <v>81</v>
      </c>
      <c r="AT1030" s="18" t="s">
        <v>83</v>
      </c>
      <c r="AU1030" s="18" t="s">
        <v>81</v>
      </c>
      <c r="AV1030" s="18" t="s">
        <v>95</v>
      </c>
      <c r="AW1030" s="18"/>
      <c r="AX1030" s="18"/>
      <c r="AY1030" s="18" t="str">
        <f>Pospago[[#This Row],[NUM_TELEFONICO]]&amp;"POSPAGOSI"</f>
        <v>998883866POSPAGOSI</v>
      </c>
      <c r="AZ1030" s="18" t="str">
        <f>VLOOKUP(Pospago[[#This Row],[NOM_PLAZA_FINAL]],[1]!Locales[#Data],3,0)</f>
        <v>TIENDA MACHALA</v>
      </c>
      <c r="BA1030" s="18" t="str">
        <f>IFERROR(VLOOKUP(Pospago[[#This Row],[USUARIO]],[1]!Personal[#Data],6,0),"EJECUTIVO NO REGISTRADO")</f>
        <v>TENORIO MARIA DEL PILAR</v>
      </c>
      <c r="BB1030" s="18" t="str">
        <f>Pospago[[#This Row],[TIPO_MOVIMIENTO]]&amp;" "&amp;Pospago[[#This Row],[FORMA_PAGO_FINAL]]</f>
        <v>ALTAS DOMICILIADO</v>
      </c>
      <c r="BC1030" s="18">
        <f>DAY(Pospago[[#This Row],[FECHA_ALTA]])</f>
        <v>7</v>
      </c>
      <c r="BD1030" s="18">
        <f>IF(Pospago[[#This Row],[TARIFA_BASICA]]=11.42,1,0)</f>
        <v>0</v>
      </c>
      <c r="BE1030" s="18">
        <f>IF(Pospago[[#This Row],[PLANES TELEVENTAS]]="SI",1,0)</f>
        <v>0</v>
      </c>
      <c r="BF1030" s="18">
        <f>1</f>
        <v>1</v>
      </c>
      <c r="BG1030" s="18">
        <f>IF(OR(Pospago[[#This Row],[TARIFA_BASICA]]=11.42,Pospago[[#This Row],[PLANES TELEVENTAS]]="SI"),1,0)</f>
        <v>0</v>
      </c>
      <c r="BH1030" s="18" t="str">
        <f>IF(MID(Pospago[[#This Row],[PlanDesc]],1,4) = "PLAN","POSPAGO",IF(MID(Pospago[[#This Row],[PlanDesc]],1,4)="FULL","FULL MEGAS","PREVIOPAGO"))</f>
        <v>PREVIOPAGO</v>
      </c>
      <c r="BI103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103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0" s="21">
        <f>Pospago[[#This Row],[TARIFA_BASICA]]*1.5</f>
        <v>21.419999999999998</v>
      </c>
    </row>
    <row r="1031" spans="1:63" x14ac:dyDescent="0.25">
      <c r="A1031" s="18" t="s">
        <v>154</v>
      </c>
      <c r="B1031" s="18" t="s">
        <v>6415</v>
      </c>
      <c r="C1031" s="18" t="s">
        <v>6416</v>
      </c>
      <c r="D1031" s="19">
        <v>44897</v>
      </c>
      <c r="E1031" s="18" t="s">
        <v>67</v>
      </c>
      <c r="F1031" s="18" t="s">
        <v>6417</v>
      </c>
      <c r="G1031" s="18" t="s">
        <v>6418</v>
      </c>
      <c r="H1031" s="18" t="s">
        <v>159</v>
      </c>
      <c r="I1031" s="18" t="s">
        <v>130</v>
      </c>
      <c r="J1031" s="18" t="s">
        <v>433</v>
      </c>
      <c r="K1031" s="18" t="s">
        <v>132</v>
      </c>
      <c r="L1031" s="20" t="s">
        <v>6419</v>
      </c>
      <c r="M1031" s="18" t="s">
        <v>287</v>
      </c>
      <c r="N1031" s="20" t="s">
        <v>6420</v>
      </c>
      <c r="O1031" s="18" t="s">
        <v>164</v>
      </c>
      <c r="P1031" s="18" t="s">
        <v>78</v>
      </c>
      <c r="Q1031" s="19">
        <v>44914</v>
      </c>
      <c r="R1031" s="21">
        <v>15</v>
      </c>
      <c r="S1031" s="18" t="s">
        <v>79</v>
      </c>
      <c r="T1031" s="18" t="s">
        <v>174</v>
      </c>
      <c r="U1031" s="18" t="s">
        <v>83</v>
      </c>
      <c r="V1031" s="18" t="s">
        <v>95</v>
      </c>
      <c r="W1031" s="18" t="s">
        <v>95</v>
      </c>
      <c r="X1031" s="18" t="s">
        <v>118</v>
      </c>
      <c r="Y1031" s="18" t="s">
        <v>85</v>
      </c>
      <c r="Z1031" s="18" t="s">
        <v>86</v>
      </c>
      <c r="AA1031" s="18" t="s">
        <v>119</v>
      </c>
      <c r="AB1031" s="18" t="s">
        <v>175</v>
      </c>
      <c r="AC1031" s="18" t="s">
        <v>176</v>
      </c>
      <c r="AD1031" s="18" t="s">
        <v>85</v>
      </c>
      <c r="AE1031" s="18" t="s">
        <v>90</v>
      </c>
      <c r="AF1031" s="18" t="s">
        <v>177</v>
      </c>
      <c r="AG1031" s="18" t="s">
        <v>139</v>
      </c>
      <c r="AH1031" s="18" t="s">
        <v>165</v>
      </c>
      <c r="AI1031" s="18" t="s">
        <v>94</v>
      </c>
      <c r="AJ1031" s="19">
        <v>44897</v>
      </c>
      <c r="AK1031" s="22" t="s">
        <v>95</v>
      </c>
      <c r="AL1031" s="18" t="s">
        <v>95</v>
      </c>
      <c r="AM1031" s="18" t="s">
        <v>95</v>
      </c>
      <c r="AN1031" s="18" t="s">
        <v>95</v>
      </c>
      <c r="AO1031" s="18" t="s">
        <v>95</v>
      </c>
      <c r="AP1031" s="18" t="s">
        <v>95</v>
      </c>
      <c r="AQ1031" s="18" t="s">
        <v>95</v>
      </c>
      <c r="AR1031" s="18" t="s">
        <v>95</v>
      </c>
      <c r="AS1031" s="18" t="s">
        <v>83</v>
      </c>
      <c r="AT1031" s="18" t="s">
        <v>83</v>
      </c>
      <c r="AU1031" s="18" t="s">
        <v>81</v>
      </c>
      <c r="AV1031" s="18" t="s">
        <v>95</v>
      </c>
      <c r="AW1031" s="18"/>
      <c r="AX1031" s="18"/>
      <c r="AY1031" s="18" t="str">
        <f>Pospago[[#This Row],[NUM_TELEFONICO]]&amp;"POSPAGOSI"</f>
        <v>998894315POSPAGOSI</v>
      </c>
      <c r="AZ1031" s="18" t="str">
        <f>VLOOKUP(Pospago[[#This Row],[NOM_PLAZA_FINAL]],[1]!Locales[#Data],3,0)</f>
        <v>TIENDA RECREO</v>
      </c>
      <c r="BA1031" s="18" t="str">
        <f>IFERROR(VLOOKUP(Pospago[[#This Row],[USUARIO]],[1]!Personal[#Data],6,0),"EJECUTIVO NO REGISTRADO")</f>
        <v>VARGAS REYES LUIS EDUARDO</v>
      </c>
      <c r="BB1031" s="18" t="str">
        <f>Pospago[[#This Row],[TIPO_MOVIMIENTO]]&amp;" "&amp;Pospago[[#This Row],[FORMA_PAGO_FINAL]]</f>
        <v>TRANSFERENCIAS PAGO EN CAJA</v>
      </c>
      <c r="BC1031" s="18">
        <f>DAY(Pospago[[#This Row],[FECHA_ALTA]])</f>
        <v>2</v>
      </c>
      <c r="BD1031" s="18">
        <f>IF(Pospago[[#This Row],[TARIFA_BASICA]]=11.42,1,0)</f>
        <v>0</v>
      </c>
      <c r="BE1031" s="18">
        <f>IF(Pospago[[#This Row],[PLANES TELEVENTAS]]="SI",1,0)</f>
        <v>0</v>
      </c>
      <c r="BF1031" s="18">
        <f>1</f>
        <v>1</v>
      </c>
      <c r="BG1031" s="18">
        <f>IF(OR(Pospago[[#This Row],[TARIFA_BASICA]]=11.42,Pospago[[#This Row],[PLANES TELEVENTAS]]="SI"),1,0)</f>
        <v>0</v>
      </c>
      <c r="BH1031" s="18" t="str">
        <f>IF(MID(Pospago[[#This Row],[PlanDesc]],1,4) = "PLAN","POSPAGO",IF(MID(Pospago[[#This Row],[PlanDesc]],1,4)="FULL","FULL MEGAS","PREVIOPAGO"))</f>
        <v>PREVIOPAGO</v>
      </c>
      <c r="BI103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03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1" s="21">
        <f>Pospago[[#This Row],[TARIFA_BASICA]]*1.5</f>
        <v>22.5</v>
      </c>
    </row>
    <row r="1032" spans="1:63" x14ac:dyDescent="0.25">
      <c r="A1032" s="18" t="s">
        <v>154</v>
      </c>
      <c r="B1032" s="18" t="s">
        <v>6421</v>
      </c>
      <c r="C1032" s="18" t="s">
        <v>6422</v>
      </c>
      <c r="D1032" s="19">
        <v>44911</v>
      </c>
      <c r="E1032" s="18" t="s">
        <v>67</v>
      </c>
      <c r="F1032" s="18" t="s">
        <v>6423</v>
      </c>
      <c r="G1032" s="18" t="s">
        <v>6424</v>
      </c>
      <c r="H1032" s="18" t="s">
        <v>159</v>
      </c>
      <c r="I1032" s="18" t="s">
        <v>160</v>
      </c>
      <c r="J1032" s="18" t="s">
        <v>161</v>
      </c>
      <c r="K1032" s="18" t="s">
        <v>95</v>
      </c>
      <c r="L1032" s="20" t="s">
        <v>6425</v>
      </c>
      <c r="M1032" s="18" t="s">
        <v>75</v>
      </c>
      <c r="N1032" s="20" t="s">
        <v>6426</v>
      </c>
      <c r="O1032" s="18" t="s">
        <v>164</v>
      </c>
      <c r="P1032" s="18" t="s">
        <v>78</v>
      </c>
      <c r="Q1032" s="19">
        <v>44914</v>
      </c>
      <c r="R1032" s="21">
        <v>14.28</v>
      </c>
      <c r="S1032" s="18" t="s">
        <v>79</v>
      </c>
      <c r="T1032" s="18" t="s">
        <v>80</v>
      </c>
      <c r="U1032" s="18" t="s">
        <v>83</v>
      </c>
      <c r="V1032" s="18" t="s">
        <v>95</v>
      </c>
      <c r="W1032" s="18" t="s">
        <v>95</v>
      </c>
      <c r="X1032" s="18" t="s">
        <v>84</v>
      </c>
      <c r="Y1032" s="18" t="s">
        <v>85</v>
      </c>
      <c r="Z1032" s="18" t="s">
        <v>86</v>
      </c>
      <c r="AA1032" s="18" t="s">
        <v>87</v>
      </c>
      <c r="AB1032" s="18" t="s">
        <v>88</v>
      </c>
      <c r="AC1032" s="18" t="s">
        <v>89</v>
      </c>
      <c r="AD1032" s="18" t="s">
        <v>85</v>
      </c>
      <c r="AE1032" s="18" t="s">
        <v>90</v>
      </c>
      <c r="AF1032" s="18" t="s">
        <v>91</v>
      </c>
      <c r="AG1032" s="18" t="s">
        <v>92</v>
      </c>
      <c r="AH1032" s="18" t="s">
        <v>165</v>
      </c>
      <c r="AI1032" s="18" t="s">
        <v>94</v>
      </c>
      <c r="AJ1032" s="19">
        <v>44911</v>
      </c>
      <c r="AK1032" s="22" t="s">
        <v>95</v>
      </c>
      <c r="AL1032" s="18" t="s">
        <v>95</v>
      </c>
      <c r="AM1032" s="18" t="s">
        <v>95</v>
      </c>
      <c r="AN1032" s="18" t="s">
        <v>95</v>
      </c>
      <c r="AO1032" s="18" t="s">
        <v>95</v>
      </c>
      <c r="AP1032" s="18" t="s">
        <v>95</v>
      </c>
      <c r="AQ1032" s="18" t="s">
        <v>95</v>
      </c>
      <c r="AR1032" s="18" t="s">
        <v>95</v>
      </c>
      <c r="AS1032" s="18" t="s">
        <v>83</v>
      </c>
      <c r="AT1032" s="18" t="s">
        <v>83</v>
      </c>
      <c r="AU1032" s="18" t="s">
        <v>81</v>
      </c>
      <c r="AV1032" s="18" t="s">
        <v>95</v>
      </c>
      <c r="AW1032" s="18"/>
      <c r="AX1032" s="18"/>
      <c r="AY1032" s="18" t="str">
        <f>Pospago[[#This Row],[NUM_TELEFONICO]]&amp;"POSPAGOSI"</f>
        <v>998920062POSPAGOSI</v>
      </c>
      <c r="AZ1032" s="18" t="str">
        <f>VLOOKUP(Pospago[[#This Row],[NOM_PLAZA_FINAL]],[1]!Locales[#Data],3,0)</f>
        <v>TIENDA CUENCA CENTRO</v>
      </c>
      <c r="BA1032" s="18" t="str">
        <f>IFERROR(VLOOKUP(Pospago[[#This Row],[USUARIO]],[1]!Personal[#Data],6,0),"EJECUTIVO NO REGISTRADO")</f>
        <v>ANDRADE CONDO CHRISTIAN EDUARDO</v>
      </c>
      <c r="BB1032" s="18" t="str">
        <f>Pospago[[#This Row],[TIPO_MOVIMIENTO]]&amp;" "&amp;Pospago[[#This Row],[FORMA_PAGO_FINAL]]</f>
        <v>TRANSFERENCIAS DOMICILIADO</v>
      </c>
      <c r="BC1032" s="18">
        <f>DAY(Pospago[[#This Row],[FECHA_ALTA]])</f>
        <v>16</v>
      </c>
      <c r="BD1032" s="18">
        <f>IF(Pospago[[#This Row],[TARIFA_BASICA]]=11.42,1,0)</f>
        <v>0</v>
      </c>
      <c r="BE1032" s="18">
        <f>IF(Pospago[[#This Row],[PLANES TELEVENTAS]]="SI",1,0)</f>
        <v>0</v>
      </c>
      <c r="BF1032" s="18">
        <f>1</f>
        <v>1</v>
      </c>
      <c r="BG1032" s="18">
        <f>IF(OR(Pospago[[#This Row],[TARIFA_BASICA]]=11.42,Pospago[[#This Row],[PLANES TELEVENTAS]]="SI"),1,0)</f>
        <v>0</v>
      </c>
      <c r="BH1032" s="18" t="str">
        <f>IF(MID(Pospago[[#This Row],[PlanDesc]],1,4) = "PLAN","POSPAGO",IF(MID(Pospago[[#This Row],[PlanDesc]],1,4)="FULL","FULL MEGAS","PREVIOPAGO"))</f>
        <v>PREVIOPAGO</v>
      </c>
      <c r="BI103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3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2" s="21">
        <f>Pospago[[#This Row],[TARIFA_BASICA]]*1.5</f>
        <v>21.419999999999998</v>
      </c>
    </row>
    <row r="1033" spans="1:63" x14ac:dyDescent="0.25">
      <c r="A1033" s="18" t="s">
        <v>64</v>
      </c>
      <c r="B1033" s="18" t="s">
        <v>6427</v>
      </c>
      <c r="C1033" s="18" t="s">
        <v>5903</v>
      </c>
      <c r="D1033" s="19">
        <v>44901</v>
      </c>
      <c r="E1033" s="18" t="s">
        <v>67</v>
      </c>
      <c r="F1033" s="18" t="s">
        <v>5904</v>
      </c>
      <c r="G1033" s="18" t="s">
        <v>5905</v>
      </c>
      <c r="H1033" s="18" t="s">
        <v>70</v>
      </c>
      <c r="I1033" s="18" t="s">
        <v>160</v>
      </c>
      <c r="J1033" s="18" t="s">
        <v>195</v>
      </c>
      <c r="K1033" s="18" t="s">
        <v>73</v>
      </c>
      <c r="L1033" s="20" t="s">
        <v>6428</v>
      </c>
      <c r="M1033" s="18" t="s">
        <v>75</v>
      </c>
      <c r="N1033" s="20" t="s">
        <v>6429</v>
      </c>
      <c r="O1033" s="18" t="s">
        <v>77</v>
      </c>
      <c r="P1033" s="18" t="s">
        <v>78</v>
      </c>
      <c r="Q1033" s="19">
        <v>44914</v>
      </c>
      <c r="R1033" s="21">
        <v>14.28</v>
      </c>
      <c r="S1033" s="18" t="s">
        <v>79</v>
      </c>
      <c r="T1033" s="18" t="s">
        <v>232</v>
      </c>
      <c r="U1033" s="18" t="s">
        <v>83</v>
      </c>
      <c r="V1033" s="18" t="s">
        <v>95</v>
      </c>
      <c r="W1033" s="18" t="s">
        <v>83</v>
      </c>
      <c r="X1033" s="18" t="s">
        <v>84</v>
      </c>
      <c r="Y1033" s="18" t="s">
        <v>85</v>
      </c>
      <c r="Z1033" s="18" t="s">
        <v>86</v>
      </c>
      <c r="AA1033" s="18" t="s">
        <v>87</v>
      </c>
      <c r="AB1033" s="18" t="s">
        <v>412</v>
      </c>
      <c r="AC1033" s="18" t="s">
        <v>413</v>
      </c>
      <c r="AD1033" s="18" t="s">
        <v>85</v>
      </c>
      <c r="AE1033" s="18" t="s">
        <v>90</v>
      </c>
      <c r="AF1033" s="18" t="s">
        <v>235</v>
      </c>
      <c r="AG1033" s="18" t="s">
        <v>139</v>
      </c>
      <c r="AH1033" s="18" t="s">
        <v>93</v>
      </c>
      <c r="AI1033" s="18" t="s">
        <v>94</v>
      </c>
      <c r="AJ1033" s="19">
        <v>44901</v>
      </c>
      <c r="AK1033" s="22" t="s">
        <v>95</v>
      </c>
      <c r="AL1033" s="18" t="s">
        <v>95</v>
      </c>
      <c r="AM1033" s="18" t="s">
        <v>95</v>
      </c>
      <c r="AN1033" s="18" t="s">
        <v>95</v>
      </c>
      <c r="AO1033" s="18" t="s">
        <v>95</v>
      </c>
      <c r="AP1033" s="18" t="s">
        <v>95</v>
      </c>
      <c r="AQ1033" s="18" t="s">
        <v>95</v>
      </c>
      <c r="AR1033" s="18" t="s">
        <v>95</v>
      </c>
      <c r="AS1033" s="18" t="s">
        <v>83</v>
      </c>
      <c r="AT1033" s="18" t="s">
        <v>83</v>
      </c>
      <c r="AU1033" s="18" t="s">
        <v>81</v>
      </c>
      <c r="AV1033" s="18" t="s">
        <v>95</v>
      </c>
      <c r="AW1033" s="18"/>
      <c r="AX1033" s="18"/>
      <c r="AY1033" s="18" t="str">
        <f>Pospago[[#This Row],[NUM_TELEFONICO]]&amp;"POSPAGOSI"</f>
        <v>998924419POSPAGOSI</v>
      </c>
      <c r="AZ1033" s="18" t="str">
        <f>VLOOKUP(Pospago[[#This Row],[NOM_PLAZA_FINAL]],[1]!Locales[#Data],3,0)</f>
        <v>TIENDA CONDADO</v>
      </c>
      <c r="BA1033" s="18" t="str">
        <f>IFERROR(VLOOKUP(Pospago[[#This Row],[USUARIO]],[1]!Personal[#Data],6,0),"EJECUTIVO NO REGISTRADO")</f>
        <v>PADILLA MALDONADO HENRY LEOPOLDO</v>
      </c>
      <c r="BB1033" s="18" t="str">
        <f>Pospago[[#This Row],[TIPO_MOVIMIENTO]]&amp;" "&amp;Pospago[[#This Row],[FORMA_PAGO_FINAL]]</f>
        <v>ALTAS DOMICILIADO</v>
      </c>
      <c r="BC1033" s="18">
        <f>DAY(Pospago[[#This Row],[FECHA_ALTA]])</f>
        <v>6</v>
      </c>
      <c r="BD1033" s="18">
        <f>IF(Pospago[[#This Row],[TARIFA_BASICA]]=11.42,1,0)</f>
        <v>0</v>
      </c>
      <c r="BE1033" s="18">
        <f>IF(Pospago[[#This Row],[PLANES TELEVENTAS]]="SI",1,0)</f>
        <v>0</v>
      </c>
      <c r="BF1033" s="18">
        <f>1</f>
        <v>1</v>
      </c>
      <c r="BG1033" s="18">
        <f>IF(OR(Pospago[[#This Row],[TARIFA_BASICA]]=11.42,Pospago[[#This Row],[PLANES TELEVENTAS]]="SI"),1,0)</f>
        <v>0</v>
      </c>
      <c r="BH1033" s="18" t="str">
        <f>IF(MID(Pospago[[#This Row],[PlanDesc]],1,4) = "PLAN","POSPAGO",IF(MID(Pospago[[#This Row],[PlanDesc]],1,4)="FULL","FULL MEGAS","PREVIOPAGO"))</f>
        <v>PREVIOPAGO</v>
      </c>
      <c r="BI103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3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3" s="21">
        <f>Pospago[[#This Row],[TARIFA_BASICA]]*1.5</f>
        <v>21.419999999999998</v>
      </c>
    </row>
    <row r="1034" spans="1:63" x14ac:dyDescent="0.25">
      <c r="A1034" s="18" t="s">
        <v>64</v>
      </c>
      <c r="B1034" s="18" t="s">
        <v>6430</v>
      </c>
      <c r="C1034" s="18" t="s">
        <v>6431</v>
      </c>
      <c r="D1034" s="19">
        <v>44911</v>
      </c>
      <c r="E1034" s="18" t="s">
        <v>67</v>
      </c>
      <c r="F1034" s="18" t="s">
        <v>6432</v>
      </c>
      <c r="G1034" s="18" t="s">
        <v>6433</v>
      </c>
      <c r="H1034" s="18" t="s">
        <v>70</v>
      </c>
      <c r="I1034" s="18" t="s">
        <v>160</v>
      </c>
      <c r="J1034" s="18" t="s">
        <v>195</v>
      </c>
      <c r="K1034" s="18" t="s">
        <v>73</v>
      </c>
      <c r="L1034" s="20" t="s">
        <v>6434</v>
      </c>
      <c r="M1034" s="18" t="s">
        <v>75</v>
      </c>
      <c r="N1034" s="20" t="s">
        <v>6435</v>
      </c>
      <c r="O1034" s="18" t="s">
        <v>77</v>
      </c>
      <c r="P1034" s="18" t="s">
        <v>78</v>
      </c>
      <c r="Q1034" s="19">
        <v>44914</v>
      </c>
      <c r="R1034" s="21">
        <v>14.28</v>
      </c>
      <c r="S1034" s="18" t="s">
        <v>79</v>
      </c>
      <c r="T1034" s="18" t="s">
        <v>80</v>
      </c>
      <c r="U1034" s="18" t="s">
        <v>83</v>
      </c>
      <c r="V1034" s="18" t="s">
        <v>95</v>
      </c>
      <c r="W1034" s="18" t="s">
        <v>83</v>
      </c>
      <c r="X1034" s="18" t="s">
        <v>84</v>
      </c>
      <c r="Y1034" s="18" t="s">
        <v>85</v>
      </c>
      <c r="Z1034" s="18" t="s">
        <v>86</v>
      </c>
      <c r="AA1034" s="18" t="s">
        <v>87</v>
      </c>
      <c r="AB1034" s="18" t="s">
        <v>1020</v>
      </c>
      <c r="AC1034" s="18" t="s">
        <v>1021</v>
      </c>
      <c r="AD1034" s="18" t="s">
        <v>85</v>
      </c>
      <c r="AE1034" s="18" t="s">
        <v>90</v>
      </c>
      <c r="AF1034" s="18" t="s">
        <v>91</v>
      </c>
      <c r="AG1034" s="18" t="s">
        <v>92</v>
      </c>
      <c r="AH1034" s="18" t="s">
        <v>93</v>
      </c>
      <c r="AI1034" s="18" t="s">
        <v>94</v>
      </c>
      <c r="AJ1034" s="19">
        <v>44911</v>
      </c>
      <c r="AK1034" s="22" t="s">
        <v>95</v>
      </c>
      <c r="AL1034" s="18" t="s">
        <v>95</v>
      </c>
      <c r="AM1034" s="18" t="s">
        <v>95</v>
      </c>
      <c r="AN1034" s="18" t="s">
        <v>95</v>
      </c>
      <c r="AO1034" s="18" t="s">
        <v>95</v>
      </c>
      <c r="AP1034" s="18" t="s">
        <v>95</v>
      </c>
      <c r="AQ1034" s="18" t="s">
        <v>95</v>
      </c>
      <c r="AR1034" s="18" t="s">
        <v>95</v>
      </c>
      <c r="AS1034" s="18" t="s">
        <v>83</v>
      </c>
      <c r="AT1034" s="18" t="s">
        <v>83</v>
      </c>
      <c r="AU1034" s="18" t="s">
        <v>81</v>
      </c>
      <c r="AV1034" s="18" t="s">
        <v>95</v>
      </c>
      <c r="AW1034" s="18"/>
      <c r="AX1034" s="18"/>
      <c r="AY1034" s="18" t="str">
        <f>Pospago[[#This Row],[NUM_TELEFONICO]]&amp;"POSPAGOSI"</f>
        <v>998926032POSPAGOSI</v>
      </c>
      <c r="AZ1034" s="18" t="str">
        <f>VLOOKUP(Pospago[[#This Row],[NOM_PLAZA_FINAL]],[1]!Locales[#Data],3,0)</f>
        <v>TIENDA CUENCA CENTRO</v>
      </c>
      <c r="BA1034" s="18" t="str">
        <f>IFERROR(VLOOKUP(Pospago[[#This Row],[USUARIO]],[1]!Personal[#Data],6,0),"EJECUTIVO NO REGISTRADO")</f>
        <v>GONZALES ALVARRACIN PAOLA YESSENIA</v>
      </c>
      <c r="BB1034" s="18" t="str">
        <f>Pospago[[#This Row],[TIPO_MOVIMIENTO]]&amp;" "&amp;Pospago[[#This Row],[FORMA_PAGO_FINAL]]</f>
        <v>ALTAS DOMICILIADO</v>
      </c>
      <c r="BC1034" s="18">
        <f>DAY(Pospago[[#This Row],[FECHA_ALTA]])</f>
        <v>16</v>
      </c>
      <c r="BD1034" s="18">
        <f>IF(Pospago[[#This Row],[TARIFA_BASICA]]=11.42,1,0)</f>
        <v>0</v>
      </c>
      <c r="BE1034" s="18">
        <f>IF(Pospago[[#This Row],[PLANES TELEVENTAS]]="SI",1,0)</f>
        <v>0</v>
      </c>
      <c r="BF1034" s="18">
        <f>1</f>
        <v>1</v>
      </c>
      <c r="BG1034" s="18">
        <f>IF(OR(Pospago[[#This Row],[TARIFA_BASICA]]=11.42,Pospago[[#This Row],[PLANES TELEVENTAS]]="SI"),1,0)</f>
        <v>0</v>
      </c>
      <c r="BH1034" s="18" t="str">
        <f>IF(MID(Pospago[[#This Row],[PlanDesc]],1,4) = "PLAN","POSPAGO",IF(MID(Pospago[[#This Row],[PlanDesc]],1,4)="FULL","FULL MEGAS","PREVIOPAGO"))</f>
        <v>PREVIOPAGO</v>
      </c>
      <c r="BI103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3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4" s="21">
        <f>Pospago[[#This Row],[TARIFA_BASICA]]*1.5</f>
        <v>21.419999999999998</v>
      </c>
    </row>
    <row r="1035" spans="1:63" x14ac:dyDescent="0.25">
      <c r="A1035" s="18" t="s">
        <v>64</v>
      </c>
      <c r="B1035" s="18" t="s">
        <v>6436</v>
      </c>
      <c r="C1035" s="18" t="s">
        <v>6437</v>
      </c>
      <c r="D1035" s="19">
        <v>44907</v>
      </c>
      <c r="E1035" s="18" t="s">
        <v>67</v>
      </c>
      <c r="F1035" s="18" t="s">
        <v>6438</v>
      </c>
      <c r="G1035" s="18" t="s">
        <v>6439</v>
      </c>
      <c r="H1035" s="18" t="s">
        <v>70</v>
      </c>
      <c r="I1035" s="18" t="s">
        <v>227</v>
      </c>
      <c r="J1035" s="18" t="s">
        <v>228</v>
      </c>
      <c r="K1035" s="18" t="s">
        <v>95</v>
      </c>
      <c r="L1035" s="20" t="s">
        <v>6440</v>
      </c>
      <c r="M1035" s="18" t="s">
        <v>75</v>
      </c>
      <c r="N1035" s="20" t="s">
        <v>6441</v>
      </c>
      <c r="O1035" s="18" t="s">
        <v>231</v>
      </c>
      <c r="P1035" s="18" t="s">
        <v>78</v>
      </c>
      <c r="Q1035" s="19">
        <v>44914</v>
      </c>
      <c r="R1035" s="21">
        <v>21.42</v>
      </c>
      <c r="S1035" s="18" t="s">
        <v>79</v>
      </c>
      <c r="T1035" s="18" t="s">
        <v>80</v>
      </c>
      <c r="U1035" s="18" t="s">
        <v>83</v>
      </c>
      <c r="V1035" s="18" t="s">
        <v>95</v>
      </c>
      <c r="W1035" s="18" t="s">
        <v>83</v>
      </c>
      <c r="X1035" s="18" t="s">
        <v>84</v>
      </c>
      <c r="Y1035" s="18" t="s">
        <v>85</v>
      </c>
      <c r="Z1035" s="18" t="s">
        <v>86</v>
      </c>
      <c r="AA1035" s="18" t="s">
        <v>87</v>
      </c>
      <c r="AB1035" s="18" t="s">
        <v>880</v>
      </c>
      <c r="AC1035" s="18" t="s">
        <v>881</v>
      </c>
      <c r="AD1035" s="18" t="s">
        <v>85</v>
      </c>
      <c r="AE1035" s="18" t="s">
        <v>90</v>
      </c>
      <c r="AF1035" s="18" t="s">
        <v>91</v>
      </c>
      <c r="AG1035" s="18" t="s">
        <v>92</v>
      </c>
      <c r="AH1035" s="18" t="s">
        <v>93</v>
      </c>
      <c r="AI1035" s="18" t="s">
        <v>94</v>
      </c>
      <c r="AJ1035" s="19">
        <v>44907</v>
      </c>
      <c r="AK1035" s="22" t="s">
        <v>95</v>
      </c>
      <c r="AL1035" s="18" t="s">
        <v>95</v>
      </c>
      <c r="AM1035" s="18" t="s">
        <v>95</v>
      </c>
      <c r="AN1035" s="18" t="s">
        <v>95</v>
      </c>
      <c r="AO1035" s="18" t="s">
        <v>95</v>
      </c>
      <c r="AP1035" s="18" t="s">
        <v>95</v>
      </c>
      <c r="AQ1035" s="18" t="s">
        <v>95</v>
      </c>
      <c r="AR1035" s="18" t="s">
        <v>95</v>
      </c>
      <c r="AS1035" s="18" t="s">
        <v>83</v>
      </c>
      <c r="AT1035" s="18" t="s">
        <v>83</v>
      </c>
      <c r="AU1035" s="18" t="s">
        <v>81</v>
      </c>
      <c r="AV1035" s="18" t="s">
        <v>95</v>
      </c>
      <c r="AW1035" s="18"/>
      <c r="AX1035" s="18"/>
      <c r="AY1035" s="18" t="str">
        <f>Pospago[[#This Row],[NUM_TELEFONICO]]&amp;"POSPAGOSI"</f>
        <v>998942411POSPAGOSI</v>
      </c>
      <c r="AZ1035" s="18" t="str">
        <f>VLOOKUP(Pospago[[#This Row],[NOM_PLAZA_FINAL]],[1]!Locales[#Data],3,0)</f>
        <v>TIENDA CUENCA CENTRO</v>
      </c>
      <c r="BA1035" s="18" t="str">
        <f>IFERROR(VLOOKUP(Pospago[[#This Row],[USUARIO]],[1]!Personal[#Data],6,0),"EJECUTIVO NO REGISTRADO")</f>
        <v>LUNA JACHO ANDREA GABRIELA</v>
      </c>
      <c r="BB1035" s="18" t="str">
        <f>Pospago[[#This Row],[TIPO_MOVIMIENTO]]&amp;" "&amp;Pospago[[#This Row],[FORMA_PAGO_FINAL]]</f>
        <v>ALTAS DOMICILIADO</v>
      </c>
      <c r="BC1035" s="18">
        <f>DAY(Pospago[[#This Row],[FECHA_ALTA]])</f>
        <v>12</v>
      </c>
      <c r="BD1035" s="18">
        <f>IF(Pospago[[#This Row],[TARIFA_BASICA]]=11.42,1,0)</f>
        <v>0</v>
      </c>
      <c r="BE1035" s="18">
        <f>IF(Pospago[[#This Row],[PLANES TELEVENTAS]]="SI",1,0)</f>
        <v>0</v>
      </c>
      <c r="BF1035" s="18">
        <f>1</f>
        <v>1</v>
      </c>
      <c r="BG1035" s="18">
        <f>IF(OR(Pospago[[#This Row],[TARIFA_BASICA]]=11.42,Pospago[[#This Row],[PLANES TELEVENTAS]]="SI"),1,0)</f>
        <v>0</v>
      </c>
      <c r="BH1035" s="18" t="str">
        <f>IF(MID(Pospago[[#This Row],[PlanDesc]],1,4) = "PLAN","POSPAGO",IF(MID(Pospago[[#This Row],[PlanDesc]],1,4)="FULL","FULL MEGAS","PREVIOPAGO"))</f>
        <v>PREVIOPAGO</v>
      </c>
      <c r="BI103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103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5" s="21">
        <f>Pospago[[#This Row],[TARIFA_BASICA]]*1.5</f>
        <v>32.130000000000003</v>
      </c>
    </row>
    <row r="1036" spans="1:63" x14ac:dyDescent="0.25">
      <c r="A1036" s="18" t="s">
        <v>64</v>
      </c>
      <c r="B1036" s="18" t="s">
        <v>6442</v>
      </c>
      <c r="C1036" s="18" t="s">
        <v>2230</v>
      </c>
      <c r="D1036" s="19">
        <v>44907</v>
      </c>
      <c r="E1036" s="18" t="s">
        <v>67</v>
      </c>
      <c r="F1036" s="18" t="s">
        <v>2231</v>
      </c>
      <c r="G1036" s="18" t="s">
        <v>2232</v>
      </c>
      <c r="H1036" s="18" t="s">
        <v>70</v>
      </c>
      <c r="I1036" s="18" t="s">
        <v>1357</v>
      </c>
      <c r="J1036" s="18" t="s">
        <v>72</v>
      </c>
      <c r="K1036" s="18" t="s">
        <v>73</v>
      </c>
      <c r="L1036" s="20" t="s">
        <v>6443</v>
      </c>
      <c r="M1036" s="18" t="s">
        <v>75</v>
      </c>
      <c r="N1036" s="20" t="s">
        <v>6444</v>
      </c>
      <c r="O1036" s="18" t="s">
        <v>77</v>
      </c>
      <c r="P1036" s="18" t="s">
        <v>78</v>
      </c>
      <c r="Q1036" s="19">
        <v>44914</v>
      </c>
      <c r="R1036" s="21">
        <v>11.42</v>
      </c>
      <c r="S1036" s="18" t="s">
        <v>79</v>
      </c>
      <c r="T1036" s="18" t="s">
        <v>80</v>
      </c>
      <c r="U1036" s="18" t="s">
        <v>83</v>
      </c>
      <c r="V1036" s="18" t="s">
        <v>95</v>
      </c>
      <c r="W1036" s="18" t="s">
        <v>83</v>
      </c>
      <c r="X1036" s="18" t="s">
        <v>84</v>
      </c>
      <c r="Y1036" s="18" t="s">
        <v>85</v>
      </c>
      <c r="Z1036" s="18" t="s">
        <v>86</v>
      </c>
      <c r="AA1036" s="18" t="s">
        <v>87</v>
      </c>
      <c r="AB1036" s="18" t="s">
        <v>1415</v>
      </c>
      <c r="AC1036" s="18" t="s">
        <v>1416</v>
      </c>
      <c r="AD1036" s="18" t="s">
        <v>85</v>
      </c>
      <c r="AE1036" s="18" t="s">
        <v>90</v>
      </c>
      <c r="AF1036" s="18" t="s">
        <v>91</v>
      </c>
      <c r="AG1036" s="18" t="s">
        <v>92</v>
      </c>
      <c r="AH1036" s="18" t="s">
        <v>93</v>
      </c>
      <c r="AI1036" s="18" t="s">
        <v>94</v>
      </c>
      <c r="AJ1036" s="19">
        <v>44907</v>
      </c>
      <c r="AK1036" s="22" t="s">
        <v>95</v>
      </c>
      <c r="AL1036" s="18" t="s">
        <v>95</v>
      </c>
      <c r="AM1036" s="18" t="s">
        <v>95</v>
      </c>
      <c r="AN1036" s="18" t="s">
        <v>95</v>
      </c>
      <c r="AO1036" s="18" t="s">
        <v>95</v>
      </c>
      <c r="AP1036" s="18" t="s">
        <v>95</v>
      </c>
      <c r="AQ1036" s="18" t="s">
        <v>95</v>
      </c>
      <c r="AR1036" s="18" t="s">
        <v>95</v>
      </c>
      <c r="AS1036" s="18" t="s">
        <v>83</v>
      </c>
      <c r="AT1036" s="18" t="s">
        <v>81</v>
      </c>
      <c r="AU1036" s="18" t="s">
        <v>81</v>
      </c>
      <c r="AV1036" s="18" t="s">
        <v>95</v>
      </c>
      <c r="AW1036" s="18"/>
      <c r="AX1036" s="18"/>
      <c r="AY1036" s="18" t="str">
        <f>Pospago[[#This Row],[NUM_TELEFONICO]]&amp;"POSPAGOSI"</f>
        <v>998943789POSPAGOSI</v>
      </c>
      <c r="AZ1036" s="18" t="str">
        <f>VLOOKUP(Pospago[[#This Row],[NOM_PLAZA_FINAL]],[1]!Locales[#Data],3,0)</f>
        <v>TIENDA CUENCA CENTRO</v>
      </c>
      <c r="BA1036" s="18" t="str">
        <f>IFERROR(VLOOKUP(Pospago[[#This Row],[USUARIO]],[1]!Personal[#Data],6,0),"EJECUTIVO NO REGISTRADO")</f>
        <v>PATIÑO URGILES DIANA CATALINA</v>
      </c>
      <c r="BB1036" s="18" t="str">
        <f>Pospago[[#This Row],[TIPO_MOVIMIENTO]]&amp;" "&amp;Pospago[[#This Row],[FORMA_PAGO_FINAL]]</f>
        <v>ALTAS DOMICILIADO</v>
      </c>
      <c r="BC1036" s="18">
        <f>DAY(Pospago[[#This Row],[FECHA_ALTA]])</f>
        <v>12</v>
      </c>
      <c r="BD1036" s="18">
        <f>IF(Pospago[[#This Row],[TARIFA_BASICA]]=11.42,1,0)</f>
        <v>1</v>
      </c>
      <c r="BE1036" s="18">
        <f>IF(Pospago[[#This Row],[PLANES TELEVENTAS]]="SI",1,0)</f>
        <v>1</v>
      </c>
      <c r="BF1036" s="18">
        <f>1</f>
        <v>1</v>
      </c>
      <c r="BG1036" s="18">
        <f>IF(OR(Pospago[[#This Row],[TARIFA_BASICA]]=11.42,Pospago[[#This Row],[PLANES TELEVENTAS]]="SI"),1,0)</f>
        <v>1</v>
      </c>
      <c r="BH1036" s="18" t="str">
        <f>IF(MID(Pospago[[#This Row],[PlanDesc]],1,4) = "PLAN","POSPAGO",IF(MID(Pospago[[#This Row],[PlanDesc]],1,4)="FULL","FULL MEGAS","PREVIOPAGO"))</f>
        <v>PREVIOPAGO</v>
      </c>
      <c r="BI103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103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36" s="21">
        <f>Pospago[[#This Row],[TARIFA_BASICA]]*1.5</f>
        <v>17.13</v>
      </c>
    </row>
    <row r="1037" spans="1:63" x14ac:dyDescent="0.25">
      <c r="A1037" s="18" t="s">
        <v>154</v>
      </c>
      <c r="B1037" s="18" t="s">
        <v>6445</v>
      </c>
      <c r="C1037" s="18" t="s">
        <v>6446</v>
      </c>
      <c r="D1037" s="19">
        <v>44899</v>
      </c>
      <c r="E1037" s="18" t="s">
        <v>67</v>
      </c>
      <c r="F1037" s="18" t="s">
        <v>6447</v>
      </c>
      <c r="G1037" s="18" t="s">
        <v>6448</v>
      </c>
      <c r="H1037" s="18" t="s">
        <v>159</v>
      </c>
      <c r="I1037" s="18" t="s">
        <v>194</v>
      </c>
      <c r="J1037" s="18" t="s">
        <v>268</v>
      </c>
      <c r="K1037" s="18" t="s">
        <v>132</v>
      </c>
      <c r="L1037" s="20" t="s">
        <v>6449</v>
      </c>
      <c r="M1037" s="18" t="s">
        <v>75</v>
      </c>
      <c r="N1037" s="20" t="s">
        <v>6450</v>
      </c>
      <c r="O1037" s="18" t="s">
        <v>164</v>
      </c>
      <c r="P1037" s="18" t="s">
        <v>78</v>
      </c>
      <c r="Q1037" s="19">
        <v>44914</v>
      </c>
      <c r="R1037" s="21">
        <v>14.28</v>
      </c>
      <c r="S1037" s="18" t="s">
        <v>79</v>
      </c>
      <c r="T1037" s="18" t="s">
        <v>232</v>
      </c>
      <c r="U1037" s="18" t="s">
        <v>83</v>
      </c>
      <c r="V1037" s="18" t="s">
        <v>95</v>
      </c>
      <c r="W1037" s="18" t="s">
        <v>95</v>
      </c>
      <c r="X1037" s="18" t="s">
        <v>84</v>
      </c>
      <c r="Y1037" s="18" t="s">
        <v>85</v>
      </c>
      <c r="Z1037" s="18" t="s">
        <v>86</v>
      </c>
      <c r="AA1037" s="18" t="s">
        <v>87</v>
      </c>
      <c r="AB1037" s="18" t="s">
        <v>280</v>
      </c>
      <c r="AC1037" s="18" t="s">
        <v>281</v>
      </c>
      <c r="AD1037" s="18" t="s">
        <v>85</v>
      </c>
      <c r="AE1037" s="18" t="s">
        <v>90</v>
      </c>
      <c r="AF1037" s="18" t="s">
        <v>235</v>
      </c>
      <c r="AG1037" s="18" t="s">
        <v>139</v>
      </c>
      <c r="AH1037" s="18" t="s">
        <v>165</v>
      </c>
      <c r="AI1037" s="18" t="s">
        <v>94</v>
      </c>
      <c r="AJ1037" s="19">
        <v>44899</v>
      </c>
      <c r="AK1037" s="22" t="s">
        <v>95</v>
      </c>
      <c r="AL1037" s="18" t="s">
        <v>95</v>
      </c>
      <c r="AM1037" s="18" t="s">
        <v>95</v>
      </c>
      <c r="AN1037" s="18" t="s">
        <v>95</v>
      </c>
      <c r="AO1037" s="18" t="s">
        <v>95</v>
      </c>
      <c r="AP1037" s="18" t="s">
        <v>95</v>
      </c>
      <c r="AQ1037" s="18" t="s">
        <v>95</v>
      </c>
      <c r="AR1037" s="18" t="s">
        <v>95</v>
      </c>
      <c r="AS1037" s="18" t="s">
        <v>83</v>
      </c>
      <c r="AT1037" s="18" t="s">
        <v>81</v>
      </c>
      <c r="AU1037" s="18" t="s">
        <v>81</v>
      </c>
      <c r="AV1037" s="18" t="s">
        <v>95</v>
      </c>
      <c r="AW1037" s="18"/>
      <c r="AX1037" s="18"/>
      <c r="AY1037" s="18" t="str">
        <f>Pospago[[#This Row],[NUM_TELEFONICO]]&amp;"POSPAGOSI"</f>
        <v>998953157POSPAGOSI</v>
      </c>
      <c r="AZ1037" s="18" t="str">
        <f>VLOOKUP(Pospago[[#This Row],[NOM_PLAZA_FINAL]],[1]!Locales[#Data],3,0)</f>
        <v>TIENDA CONDADO</v>
      </c>
      <c r="BA1037" s="18" t="str">
        <f>IFERROR(VLOOKUP(Pospago[[#This Row],[USUARIO]],[1]!Personal[#Data],6,0),"EJECUTIVO NO REGISTRADO")</f>
        <v>GUACHAMIN CAZA HUGO ADRIAN</v>
      </c>
      <c r="BB1037" s="18" t="str">
        <f>Pospago[[#This Row],[TIPO_MOVIMIENTO]]&amp;" "&amp;Pospago[[#This Row],[FORMA_PAGO_FINAL]]</f>
        <v>TRANSFERENCIAS DOMICILIADO</v>
      </c>
      <c r="BC1037" s="18">
        <f>DAY(Pospago[[#This Row],[FECHA_ALTA]])</f>
        <v>4</v>
      </c>
      <c r="BD1037" s="18">
        <f>IF(Pospago[[#This Row],[TARIFA_BASICA]]=11.42,1,0)</f>
        <v>0</v>
      </c>
      <c r="BE1037" s="18">
        <f>IF(Pospago[[#This Row],[PLANES TELEVENTAS]]="SI",1,0)</f>
        <v>1</v>
      </c>
      <c r="BF1037" s="18">
        <f>1</f>
        <v>1</v>
      </c>
      <c r="BG1037" s="18">
        <f>IF(OR(Pospago[[#This Row],[TARIFA_BASICA]]=11.42,Pospago[[#This Row],[PLANES TELEVENTAS]]="SI"),1,0)</f>
        <v>1</v>
      </c>
      <c r="BH1037" s="18" t="str">
        <f>IF(MID(Pospago[[#This Row],[PlanDesc]],1,4) = "PLAN","POSPAGO",IF(MID(Pospago[[#This Row],[PlanDesc]],1,4)="FULL","FULL MEGAS","PREVIOPAGO"))</f>
        <v>PREVIOPAGO</v>
      </c>
      <c r="BI103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3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7" s="21">
        <f>Pospago[[#This Row],[TARIFA_BASICA]]*1.5</f>
        <v>21.419999999999998</v>
      </c>
    </row>
    <row r="1038" spans="1:63" x14ac:dyDescent="0.25">
      <c r="A1038" s="18" t="s">
        <v>154</v>
      </c>
      <c r="B1038" s="18" t="s">
        <v>6451</v>
      </c>
      <c r="C1038" s="18" t="s">
        <v>6452</v>
      </c>
      <c r="D1038" s="19">
        <v>44900</v>
      </c>
      <c r="E1038" s="18" t="s">
        <v>67</v>
      </c>
      <c r="F1038" s="18" t="s">
        <v>6453</v>
      </c>
      <c r="G1038" s="18" t="s">
        <v>6454</v>
      </c>
      <c r="H1038" s="18" t="s">
        <v>159</v>
      </c>
      <c r="I1038" s="18" t="s">
        <v>130</v>
      </c>
      <c r="J1038" s="18" t="s">
        <v>433</v>
      </c>
      <c r="K1038" s="18" t="s">
        <v>95</v>
      </c>
      <c r="L1038" s="20" t="s">
        <v>6455</v>
      </c>
      <c r="M1038" s="18" t="s">
        <v>75</v>
      </c>
      <c r="N1038" s="20" t="s">
        <v>6456</v>
      </c>
      <c r="O1038" s="18" t="s">
        <v>2241</v>
      </c>
      <c r="P1038" s="18" t="s">
        <v>78</v>
      </c>
      <c r="Q1038" s="19">
        <v>44914</v>
      </c>
      <c r="R1038" s="21">
        <v>15</v>
      </c>
      <c r="S1038" s="18" t="s">
        <v>79</v>
      </c>
      <c r="T1038" s="18" t="s">
        <v>232</v>
      </c>
      <c r="U1038" s="18" t="s">
        <v>83</v>
      </c>
      <c r="V1038" s="18" t="s">
        <v>95</v>
      </c>
      <c r="W1038" s="18" t="s">
        <v>95</v>
      </c>
      <c r="X1038" s="18" t="s">
        <v>84</v>
      </c>
      <c r="Y1038" s="18" t="s">
        <v>85</v>
      </c>
      <c r="Z1038" s="18" t="s">
        <v>86</v>
      </c>
      <c r="AA1038" s="18" t="s">
        <v>87</v>
      </c>
      <c r="AB1038" s="18" t="s">
        <v>769</v>
      </c>
      <c r="AC1038" s="18" t="s">
        <v>770</v>
      </c>
      <c r="AD1038" s="18" t="s">
        <v>85</v>
      </c>
      <c r="AE1038" s="18" t="s">
        <v>90</v>
      </c>
      <c r="AF1038" s="18" t="s">
        <v>235</v>
      </c>
      <c r="AG1038" s="18" t="s">
        <v>139</v>
      </c>
      <c r="AH1038" s="18" t="s">
        <v>165</v>
      </c>
      <c r="AI1038" s="18" t="s">
        <v>94</v>
      </c>
      <c r="AJ1038" s="19">
        <v>44900</v>
      </c>
      <c r="AK1038" s="22" t="s">
        <v>95</v>
      </c>
      <c r="AL1038" s="18" t="s">
        <v>95</v>
      </c>
      <c r="AM1038" s="18" t="s">
        <v>95</v>
      </c>
      <c r="AN1038" s="18" t="s">
        <v>95</v>
      </c>
      <c r="AO1038" s="18" t="s">
        <v>95</v>
      </c>
      <c r="AP1038" s="18" t="s">
        <v>95</v>
      </c>
      <c r="AQ1038" s="18" t="s">
        <v>95</v>
      </c>
      <c r="AR1038" s="18" t="s">
        <v>95</v>
      </c>
      <c r="AS1038" s="18" t="s">
        <v>83</v>
      </c>
      <c r="AT1038" s="18" t="s">
        <v>83</v>
      </c>
      <c r="AU1038" s="18" t="s">
        <v>81</v>
      </c>
      <c r="AV1038" s="18" t="s">
        <v>95</v>
      </c>
      <c r="AW1038" s="18"/>
      <c r="AX1038" s="18"/>
      <c r="AY1038" s="18" t="str">
        <f>Pospago[[#This Row],[NUM_TELEFONICO]]&amp;"POSPAGOSI"</f>
        <v>998962591POSPAGOSI</v>
      </c>
      <c r="AZ1038" s="18" t="str">
        <f>VLOOKUP(Pospago[[#This Row],[NOM_PLAZA_FINAL]],[1]!Locales[#Data],3,0)</f>
        <v>TIENDA CONDADO</v>
      </c>
      <c r="BA1038" s="18" t="str">
        <f>IFERROR(VLOOKUP(Pospago[[#This Row],[USUARIO]],[1]!Personal[#Data],6,0),"EJECUTIVO NO REGISTRADO")</f>
        <v>ROJAS VEGA JHOSMERY MICHELE</v>
      </c>
      <c r="BB1038" s="18" t="str">
        <f>Pospago[[#This Row],[TIPO_MOVIMIENTO]]&amp;" "&amp;Pospago[[#This Row],[FORMA_PAGO_FINAL]]</f>
        <v>TRANSFERENCIAS DOMICILIADO</v>
      </c>
      <c r="BC1038" s="18">
        <f>DAY(Pospago[[#This Row],[FECHA_ALTA]])</f>
        <v>5</v>
      </c>
      <c r="BD1038" s="18">
        <f>IF(Pospago[[#This Row],[TARIFA_BASICA]]=11.42,1,0)</f>
        <v>0</v>
      </c>
      <c r="BE1038" s="18">
        <f>IF(Pospago[[#This Row],[PLANES TELEVENTAS]]="SI",1,0)</f>
        <v>0</v>
      </c>
      <c r="BF1038" s="18">
        <f>1</f>
        <v>1</v>
      </c>
      <c r="BG1038" s="18">
        <f>IF(OR(Pospago[[#This Row],[TARIFA_BASICA]]=11.42,Pospago[[#This Row],[PLANES TELEVENTAS]]="SI"),1,0)</f>
        <v>0</v>
      </c>
      <c r="BH1038" s="18" t="str">
        <f>IF(MID(Pospago[[#This Row],[PlanDesc]],1,4) = "PLAN","POSPAGO",IF(MID(Pospago[[#This Row],[PlanDesc]],1,4)="FULL","FULL MEGAS","PREVIOPAGO"))</f>
        <v>PREVIOPAGO</v>
      </c>
      <c r="BI103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103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8" s="21">
        <f>Pospago[[#This Row],[TARIFA_BASICA]]*1.5</f>
        <v>22.5</v>
      </c>
    </row>
    <row r="1039" spans="1:63" x14ac:dyDescent="0.25">
      <c r="A1039" s="18" t="s">
        <v>64</v>
      </c>
      <c r="B1039" s="18" t="s">
        <v>6457</v>
      </c>
      <c r="C1039" s="18" t="s">
        <v>6458</v>
      </c>
      <c r="D1039" s="19">
        <v>44911</v>
      </c>
      <c r="E1039" s="18" t="s">
        <v>67</v>
      </c>
      <c r="F1039" s="18" t="s">
        <v>5628</v>
      </c>
      <c r="G1039" s="18" t="s">
        <v>5629</v>
      </c>
      <c r="H1039" s="18" t="s">
        <v>70</v>
      </c>
      <c r="I1039" s="18" t="s">
        <v>112</v>
      </c>
      <c r="J1039" s="18" t="s">
        <v>113</v>
      </c>
      <c r="K1039" s="18" t="s">
        <v>95</v>
      </c>
      <c r="L1039" s="20" t="s">
        <v>6459</v>
      </c>
      <c r="M1039" s="18" t="s">
        <v>75</v>
      </c>
      <c r="N1039" s="20" t="s">
        <v>6460</v>
      </c>
      <c r="O1039" s="18" t="s">
        <v>77</v>
      </c>
      <c r="P1039" s="18" t="s">
        <v>78</v>
      </c>
      <c r="Q1039" s="19">
        <v>44914</v>
      </c>
      <c r="R1039" s="21">
        <v>17.850000000000001</v>
      </c>
      <c r="S1039" s="18" t="s">
        <v>79</v>
      </c>
      <c r="T1039" s="18" t="s">
        <v>174</v>
      </c>
      <c r="U1039" s="18" t="s">
        <v>81</v>
      </c>
      <c r="V1039" s="18" t="s">
        <v>693</v>
      </c>
      <c r="W1039" s="18" t="s">
        <v>83</v>
      </c>
      <c r="X1039" s="18" t="s">
        <v>215</v>
      </c>
      <c r="Y1039" s="18" t="s">
        <v>85</v>
      </c>
      <c r="Z1039" s="18" t="s">
        <v>86</v>
      </c>
      <c r="AA1039" s="18" t="s">
        <v>87</v>
      </c>
      <c r="AB1039" s="18" t="s">
        <v>396</v>
      </c>
      <c r="AC1039" s="18" t="s">
        <v>397</v>
      </c>
      <c r="AD1039" s="18" t="s">
        <v>85</v>
      </c>
      <c r="AE1039" s="18" t="s">
        <v>90</v>
      </c>
      <c r="AF1039" s="18" t="s">
        <v>177</v>
      </c>
      <c r="AG1039" s="18" t="s">
        <v>139</v>
      </c>
      <c r="AH1039" s="18" t="s">
        <v>93</v>
      </c>
      <c r="AI1039" s="18" t="s">
        <v>94</v>
      </c>
      <c r="AJ1039" s="19">
        <v>44911</v>
      </c>
      <c r="AK1039" s="22" t="s">
        <v>95</v>
      </c>
      <c r="AL1039" s="18" t="s">
        <v>95</v>
      </c>
      <c r="AM1039" s="18" t="s">
        <v>95</v>
      </c>
      <c r="AN1039" s="18" t="s">
        <v>95</v>
      </c>
      <c r="AO1039" s="18" t="s">
        <v>95</v>
      </c>
      <c r="AP1039" s="18" t="s">
        <v>95</v>
      </c>
      <c r="AQ1039" s="18" t="s">
        <v>95</v>
      </c>
      <c r="AR1039" s="18" t="s">
        <v>95</v>
      </c>
      <c r="AS1039" s="18" t="s">
        <v>83</v>
      </c>
      <c r="AT1039" s="18" t="s">
        <v>83</v>
      </c>
      <c r="AU1039" s="18" t="s">
        <v>81</v>
      </c>
      <c r="AV1039" s="18" t="s">
        <v>95</v>
      </c>
      <c r="AW1039" s="18"/>
      <c r="AX1039" s="18"/>
      <c r="AY1039" s="18" t="str">
        <f>Pospago[[#This Row],[NUM_TELEFONICO]]&amp;"POSPAGOSI"</f>
        <v>998974250POSPAGOSI</v>
      </c>
      <c r="AZ1039" s="18" t="str">
        <f>VLOOKUP(Pospago[[#This Row],[NOM_PLAZA_FINAL]],[1]!Locales[#Data],3,0)</f>
        <v>TIENDA RECREO</v>
      </c>
      <c r="BA1039" s="18" t="str">
        <f>IFERROR(VLOOKUP(Pospago[[#This Row],[USUARIO]],[1]!Personal[#Data],6,0),"EJECUTIVO NO REGISTRADO")</f>
        <v>VINUEZA VELASCO ANGY DAYANA</v>
      </c>
      <c r="BB1039" s="18" t="str">
        <f>Pospago[[#This Row],[TIPO_MOVIMIENTO]]&amp;" "&amp;Pospago[[#This Row],[FORMA_PAGO_FINAL]]</f>
        <v>ALTAS DOMICILIADO</v>
      </c>
      <c r="BC1039" s="18">
        <f>DAY(Pospago[[#This Row],[FECHA_ALTA]])</f>
        <v>16</v>
      </c>
      <c r="BD1039" s="18">
        <f>IF(Pospago[[#This Row],[TARIFA_BASICA]]=11.42,1,0)</f>
        <v>0</v>
      </c>
      <c r="BE1039" s="18">
        <f>IF(Pospago[[#This Row],[PLANES TELEVENTAS]]="SI",1,0)</f>
        <v>0</v>
      </c>
      <c r="BF1039" s="18">
        <f>1</f>
        <v>1</v>
      </c>
      <c r="BG1039" s="18">
        <f>IF(OR(Pospago[[#This Row],[TARIFA_BASICA]]=11.42,Pospago[[#This Row],[PLANES TELEVENTAS]]="SI"),1,0)</f>
        <v>0</v>
      </c>
      <c r="BH1039" s="18" t="str">
        <f>IF(MID(Pospago[[#This Row],[PlanDesc]],1,4) = "PLAN","POSPAGO",IF(MID(Pospago[[#This Row],[PlanDesc]],1,4)="FULL","FULL MEGAS","PREVIOPAGO"))</f>
        <v>PREVIOPAGO</v>
      </c>
      <c r="BI103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03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39" s="21">
        <f>Pospago[[#This Row],[TARIFA_BASICA]]*1.5</f>
        <v>26.775000000000002</v>
      </c>
    </row>
    <row r="1040" spans="1:63" x14ac:dyDescent="0.25">
      <c r="A1040" s="18" t="s">
        <v>154</v>
      </c>
      <c r="B1040" s="18" t="s">
        <v>6461</v>
      </c>
      <c r="C1040" s="18" t="s">
        <v>6462</v>
      </c>
      <c r="D1040" s="19">
        <v>44898</v>
      </c>
      <c r="E1040" s="18" t="s">
        <v>67</v>
      </c>
      <c r="F1040" s="18" t="s">
        <v>6463</v>
      </c>
      <c r="G1040" s="18" t="s">
        <v>6464</v>
      </c>
      <c r="H1040" s="18" t="s">
        <v>159</v>
      </c>
      <c r="I1040" s="18" t="s">
        <v>160</v>
      </c>
      <c r="J1040" s="18" t="s">
        <v>161</v>
      </c>
      <c r="K1040" s="18" t="s">
        <v>73</v>
      </c>
      <c r="L1040" s="20" t="s">
        <v>6465</v>
      </c>
      <c r="M1040" s="18" t="s">
        <v>287</v>
      </c>
      <c r="N1040" s="20" t="s">
        <v>6466</v>
      </c>
      <c r="O1040" s="18" t="s">
        <v>164</v>
      </c>
      <c r="P1040" s="18" t="s">
        <v>78</v>
      </c>
      <c r="Q1040" s="19">
        <v>44914</v>
      </c>
      <c r="R1040" s="21">
        <v>14.28</v>
      </c>
      <c r="S1040" s="18" t="s">
        <v>79</v>
      </c>
      <c r="T1040" s="18" t="s">
        <v>174</v>
      </c>
      <c r="U1040" s="18" t="s">
        <v>83</v>
      </c>
      <c r="V1040" s="18" t="s">
        <v>95</v>
      </c>
      <c r="W1040" s="18" t="s">
        <v>95</v>
      </c>
      <c r="X1040" s="18" t="s">
        <v>84</v>
      </c>
      <c r="Y1040" s="18" t="s">
        <v>85</v>
      </c>
      <c r="Z1040" s="18" t="s">
        <v>86</v>
      </c>
      <c r="AA1040" s="18" t="s">
        <v>87</v>
      </c>
      <c r="AB1040" s="18" t="s">
        <v>251</v>
      </c>
      <c r="AC1040" s="18" t="s">
        <v>252</v>
      </c>
      <c r="AD1040" s="18" t="s">
        <v>85</v>
      </c>
      <c r="AE1040" s="18" t="s">
        <v>90</v>
      </c>
      <c r="AF1040" s="18" t="s">
        <v>177</v>
      </c>
      <c r="AG1040" s="18" t="s">
        <v>139</v>
      </c>
      <c r="AH1040" s="18" t="s">
        <v>165</v>
      </c>
      <c r="AI1040" s="18" t="s">
        <v>94</v>
      </c>
      <c r="AJ1040" s="19">
        <v>44898</v>
      </c>
      <c r="AK1040" s="22">
        <v>44898</v>
      </c>
      <c r="AL1040" s="18" t="s">
        <v>291</v>
      </c>
      <c r="AM1040" s="18" t="s">
        <v>292</v>
      </c>
      <c r="AN1040" s="18" t="s">
        <v>293</v>
      </c>
      <c r="AO1040" s="18" t="s">
        <v>6467</v>
      </c>
      <c r="AP1040" s="18">
        <v>1</v>
      </c>
      <c r="AQ1040" s="18">
        <v>138.39286000000001</v>
      </c>
      <c r="AR1040" s="18" t="s">
        <v>3771</v>
      </c>
      <c r="AS1040" s="18" t="s">
        <v>81</v>
      </c>
      <c r="AT1040" s="18" t="s">
        <v>83</v>
      </c>
      <c r="AU1040" s="18" t="s">
        <v>81</v>
      </c>
      <c r="AV1040" s="18" t="s">
        <v>95</v>
      </c>
      <c r="AW1040" s="18"/>
      <c r="AX1040" s="18"/>
      <c r="AY1040" s="18" t="str">
        <f>Pospago[[#This Row],[NUM_TELEFONICO]]&amp;"POSPAGOSI"</f>
        <v>998985718POSPAGOSI</v>
      </c>
      <c r="AZ1040" s="18" t="str">
        <f>VLOOKUP(Pospago[[#This Row],[NOM_PLAZA_FINAL]],[1]!Locales[#Data],3,0)</f>
        <v>TIENDA RECREO</v>
      </c>
      <c r="BA1040" s="18" t="str">
        <f>IFERROR(VLOOKUP(Pospago[[#This Row],[USUARIO]],[1]!Personal[#Data],6,0),"EJECUTIVO NO REGISTRADO")</f>
        <v>CRUZ MONTUFAR KATHERINE ALEJANDRA</v>
      </c>
      <c r="BB1040" s="18" t="str">
        <f>Pospago[[#This Row],[TIPO_MOVIMIENTO]]&amp;" "&amp;Pospago[[#This Row],[FORMA_PAGO_FINAL]]</f>
        <v>TRANSFERENCIAS DOMICILIADO</v>
      </c>
      <c r="BC1040" s="18">
        <f>DAY(Pospago[[#This Row],[FECHA_ALTA]])</f>
        <v>3</v>
      </c>
      <c r="BD1040" s="18">
        <f>IF(Pospago[[#This Row],[TARIFA_BASICA]]=11.42,1,0)</f>
        <v>0</v>
      </c>
      <c r="BE1040" s="18">
        <f>IF(Pospago[[#This Row],[PLANES TELEVENTAS]]="SI",1,0)</f>
        <v>0</v>
      </c>
      <c r="BF1040" s="18">
        <f>1</f>
        <v>1</v>
      </c>
      <c r="BG1040" s="18">
        <f>IF(OR(Pospago[[#This Row],[TARIFA_BASICA]]=11.42,Pospago[[#This Row],[PLANES TELEVENTAS]]="SI"),1,0)</f>
        <v>0</v>
      </c>
      <c r="BH1040" s="18" t="str">
        <f>IF(MID(Pospago[[#This Row],[PlanDesc]],1,4) = "PLAN","POSPAGO",IF(MID(Pospago[[#This Row],[PlanDesc]],1,4)="FULL","FULL MEGAS","PREVIOPAGO"))</f>
        <v>PREVIOPAGO</v>
      </c>
      <c r="BI104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4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40" s="21">
        <f>Pospago[[#This Row],[TARIFA_BASICA]]*1.5</f>
        <v>21.419999999999998</v>
      </c>
    </row>
    <row r="1041" spans="1:63" x14ac:dyDescent="0.25">
      <c r="A1041" s="18" t="s">
        <v>154</v>
      </c>
      <c r="B1041" s="18" t="s">
        <v>6468</v>
      </c>
      <c r="C1041" s="18" t="s">
        <v>6469</v>
      </c>
      <c r="D1041" s="19">
        <v>44911</v>
      </c>
      <c r="E1041" s="18" t="s">
        <v>67</v>
      </c>
      <c r="F1041" s="18" t="s">
        <v>6470</v>
      </c>
      <c r="G1041" s="18" t="s">
        <v>6471</v>
      </c>
      <c r="H1041" s="18" t="s">
        <v>159</v>
      </c>
      <c r="I1041" s="18" t="s">
        <v>71</v>
      </c>
      <c r="J1041" s="18" t="s">
        <v>258</v>
      </c>
      <c r="K1041" s="18" t="s">
        <v>73</v>
      </c>
      <c r="L1041" s="20" t="s">
        <v>6472</v>
      </c>
      <c r="M1041" s="18" t="s">
        <v>75</v>
      </c>
      <c r="N1041" s="20" t="s">
        <v>6473</v>
      </c>
      <c r="O1041" s="18" t="s">
        <v>164</v>
      </c>
      <c r="P1041" s="18" t="s">
        <v>78</v>
      </c>
      <c r="Q1041" s="19">
        <v>44914</v>
      </c>
      <c r="R1041" s="21">
        <v>11.42</v>
      </c>
      <c r="S1041" s="18" t="s">
        <v>79</v>
      </c>
      <c r="T1041" s="18" t="s">
        <v>174</v>
      </c>
      <c r="U1041" s="18" t="s">
        <v>83</v>
      </c>
      <c r="V1041" s="18" t="s">
        <v>95</v>
      </c>
      <c r="W1041" s="18" t="s">
        <v>95</v>
      </c>
      <c r="X1041" s="18" t="s">
        <v>84</v>
      </c>
      <c r="Y1041" s="18" t="s">
        <v>85</v>
      </c>
      <c r="Z1041" s="18" t="s">
        <v>86</v>
      </c>
      <c r="AA1041" s="18" t="s">
        <v>87</v>
      </c>
      <c r="AB1041" s="18" t="s">
        <v>492</v>
      </c>
      <c r="AC1041" s="18" t="s">
        <v>493</v>
      </c>
      <c r="AD1041" s="18" t="s">
        <v>85</v>
      </c>
      <c r="AE1041" s="18" t="s">
        <v>90</v>
      </c>
      <c r="AF1041" s="18" t="s">
        <v>177</v>
      </c>
      <c r="AG1041" s="18" t="s">
        <v>139</v>
      </c>
      <c r="AH1041" s="18" t="s">
        <v>165</v>
      </c>
      <c r="AI1041" s="18" t="s">
        <v>94</v>
      </c>
      <c r="AJ1041" s="19">
        <v>44911</v>
      </c>
      <c r="AK1041" s="22" t="s">
        <v>95</v>
      </c>
      <c r="AL1041" s="18" t="s">
        <v>95</v>
      </c>
      <c r="AM1041" s="18" t="s">
        <v>95</v>
      </c>
      <c r="AN1041" s="18" t="s">
        <v>95</v>
      </c>
      <c r="AO1041" s="18" t="s">
        <v>95</v>
      </c>
      <c r="AP1041" s="18" t="s">
        <v>95</v>
      </c>
      <c r="AQ1041" s="18" t="s">
        <v>95</v>
      </c>
      <c r="AR1041" s="18" t="s">
        <v>95</v>
      </c>
      <c r="AS1041" s="18" t="s">
        <v>83</v>
      </c>
      <c r="AT1041" s="18" t="s">
        <v>83</v>
      </c>
      <c r="AU1041" s="18" t="s">
        <v>81</v>
      </c>
      <c r="AV1041" s="18" t="s">
        <v>95</v>
      </c>
      <c r="AW1041" s="18"/>
      <c r="AX1041" s="18"/>
      <c r="AY1041" s="18" t="str">
        <f>Pospago[[#This Row],[NUM_TELEFONICO]]&amp;"POSPAGOSI"</f>
        <v>998990441POSPAGOSI</v>
      </c>
      <c r="AZ1041" s="18" t="str">
        <f>VLOOKUP(Pospago[[#This Row],[NOM_PLAZA_FINAL]],[1]!Locales[#Data],3,0)</f>
        <v>TIENDA RECREO</v>
      </c>
      <c r="BA1041" s="18" t="str">
        <f>IFERROR(VLOOKUP(Pospago[[#This Row],[USUARIO]],[1]!Personal[#Data],6,0),"EJECUTIVO NO REGISTRADO")</f>
        <v>CONDO GARCIA NICOLAS MATIAS</v>
      </c>
      <c r="BB1041" s="18" t="str">
        <f>Pospago[[#This Row],[TIPO_MOVIMIENTO]]&amp;" "&amp;Pospago[[#This Row],[FORMA_PAGO_FINAL]]</f>
        <v>TRANSFERENCIAS DOMICILIADO</v>
      </c>
      <c r="BC1041" s="18">
        <f>DAY(Pospago[[#This Row],[FECHA_ALTA]])</f>
        <v>16</v>
      </c>
      <c r="BD1041" s="18">
        <f>IF(Pospago[[#This Row],[TARIFA_BASICA]]=11.42,1,0)</f>
        <v>1</v>
      </c>
      <c r="BE1041" s="18">
        <f>IF(Pospago[[#This Row],[PLANES TELEVENTAS]]="SI",1,0)</f>
        <v>0</v>
      </c>
      <c r="BF1041" s="18">
        <f>1</f>
        <v>1</v>
      </c>
      <c r="BG1041" s="18">
        <f>IF(OR(Pospago[[#This Row],[TARIFA_BASICA]]=11.42,Pospago[[#This Row],[PLANES TELEVENTAS]]="SI"),1,0)</f>
        <v>1</v>
      </c>
      <c r="BH1041" s="18" t="str">
        <f>IF(MID(Pospago[[#This Row],[PlanDesc]],1,4) = "PLAN","POSPAGO",IF(MID(Pospago[[#This Row],[PlanDesc]],1,4)="FULL","FULL MEGAS","PREVIOPAGO"))</f>
        <v>PREVIOPAGO</v>
      </c>
      <c r="BI104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104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41" s="21">
        <f>Pospago[[#This Row],[TARIFA_BASICA]]*1.5</f>
        <v>17.13</v>
      </c>
    </row>
    <row r="1042" spans="1:63" x14ac:dyDescent="0.25">
      <c r="A1042" s="18" t="s">
        <v>64</v>
      </c>
      <c r="B1042" s="18" t="s">
        <v>6474</v>
      </c>
      <c r="C1042" s="18" t="s">
        <v>6475</v>
      </c>
      <c r="D1042" s="19">
        <v>44907</v>
      </c>
      <c r="E1042" s="18" t="s">
        <v>67</v>
      </c>
      <c r="F1042" s="18" t="s">
        <v>6476</v>
      </c>
      <c r="G1042" s="18" t="s">
        <v>6477</v>
      </c>
      <c r="H1042" s="18" t="s">
        <v>70</v>
      </c>
      <c r="I1042" s="18" t="s">
        <v>71</v>
      </c>
      <c r="J1042" s="18" t="s">
        <v>72</v>
      </c>
      <c r="K1042" s="18" t="s">
        <v>95</v>
      </c>
      <c r="L1042" s="20" t="s">
        <v>6478</v>
      </c>
      <c r="M1042" s="18" t="s">
        <v>75</v>
      </c>
      <c r="N1042" s="20" t="s">
        <v>6479</v>
      </c>
      <c r="O1042" s="18" t="s">
        <v>77</v>
      </c>
      <c r="P1042" s="18" t="s">
        <v>78</v>
      </c>
      <c r="Q1042" s="19">
        <v>44914</v>
      </c>
      <c r="R1042" s="21">
        <v>11.42</v>
      </c>
      <c r="S1042" s="18" t="s">
        <v>79</v>
      </c>
      <c r="T1042" s="18" t="s">
        <v>174</v>
      </c>
      <c r="U1042" s="18" t="s">
        <v>83</v>
      </c>
      <c r="V1042" s="18" t="s">
        <v>95</v>
      </c>
      <c r="W1042" s="18" t="s">
        <v>83</v>
      </c>
      <c r="X1042" s="18" t="s">
        <v>118</v>
      </c>
      <c r="Y1042" s="18" t="s">
        <v>85</v>
      </c>
      <c r="Z1042" s="18" t="s">
        <v>86</v>
      </c>
      <c r="AA1042" s="18" t="s">
        <v>119</v>
      </c>
      <c r="AB1042" s="18" t="s">
        <v>492</v>
      </c>
      <c r="AC1042" s="18" t="s">
        <v>493</v>
      </c>
      <c r="AD1042" s="18" t="s">
        <v>85</v>
      </c>
      <c r="AE1042" s="18" t="s">
        <v>90</v>
      </c>
      <c r="AF1042" s="18" t="s">
        <v>177</v>
      </c>
      <c r="AG1042" s="18" t="s">
        <v>139</v>
      </c>
      <c r="AH1042" s="18" t="s">
        <v>93</v>
      </c>
      <c r="AI1042" s="18" t="s">
        <v>94</v>
      </c>
      <c r="AJ1042" s="19">
        <v>44907</v>
      </c>
      <c r="AK1042" s="22" t="s">
        <v>95</v>
      </c>
      <c r="AL1042" s="18" t="s">
        <v>95</v>
      </c>
      <c r="AM1042" s="18" t="s">
        <v>95</v>
      </c>
      <c r="AN1042" s="18" t="s">
        <v>95</v>
      </c>
      <c r="AO1042" s="18" t="s">
        <v>95</v>
      </c>
      <c r="AP1042" s="18" t="s">
        <v>95</v>
      </c>
      <c r="AQ1042" s="18" t="s">
        <v>95</v>
      </c>
      <c r="AR1042" s="18" t="s">
        <v>95</v>
      </c>
      <c r="AS1042" s="18" t="s">
        <v>83</v>
      </c>
      <c r="AT1042" s="18" t="s">
        <v>83</v>
      </c>
      <c r="AU1042" s="18" t="s">
        <v>81</v>
      </c>
      <c r="AV1042" s="18" t="s">
        <v>95</v>
      </c>
      <c r="AW1042" s="18"/>
      <c r="AX1042" s="18"/>
      <c r="AY1042" s="18" t="str">
        <f>Pospago[[#This Row],[NUM_TELEFONICO]]&amp;"POSPAGOSI"</f>
        <v>998994515POSPAGOSI</v>
      </c>
      <c r="AZ1042" s="18" t="str">
        <f>VLOOKUP(Pospago[[#This Row],[NOM_PLAZA_FINAL]],[1]!Locales[#Data],3,0)</f>
        <v>TIENDA RECREO</v>
      </c>
      <c r="BA1042" s="18" t="str">
        <f>IFERROR(VLOOKUP(Pospago[[#This Row],[USUARIO]],[1]!Personal[#Data],6,0),"EJECUTIVO NO REGISTRADO")</f>
        <v>CONDO GARCIA NICOLAS MATIAS</v>
      </c>
      <c r="BB1042" s="18" t="str">
        <f>Pospago[[#This Row],[TIPO_MOVIMIENTO]]&amp;" "&amp;Pospago[[#This Row],[FORMA_PAGO_FINAL]]</f>
        <v>ALTAS PAGO EN CAJA</v>
      </c>
      <c r="BC1042" s="18">
        <f>DAY(Pospago[[#This Row],[FECHA_ALTA]])</f>
        <v>12</v>
      </c>
      <c r="BD1042" s="18">
        <f>IF(Pospago[[#This Row],[TARIFA_BASICA]]=11.42,1,0)</f>
        <v>1</v>
      </c>
      <c r="BE1042" s="18">
        <f>IF(Pospago[[#This Row],[PLANES TELEVENTAS]]="SI",1,0)</f>
        <v>0</v>
      </c>
      <c r="BF1042" s="18">
        <f>1</f>
        <v>1</v>
      </c>
      <c r="BG1042" s="18">
        <f>IF(OR(Pospago[[#This Row],[TARIFA_BASICA]]=11.42,Pospago[[#This Row],[PLANES TELEVENTAS]]="SI"),1,0)</f>
        <v>1</v>
      </c>
      <c r="BH1042" s="18" t="str">
        <f>IF(MID(Pospago[[#This Row],[PlanDesc]],1,4) = "PLAN","POSPAGO",IF(MID(Pospago[[#This Row],[PlanDesc]],1,4)="FULL","FULL MEGAS","PREVIOPAGO"))</f>
        <v>PREVIOPAGO</v>
      </c>
      <c r="BI104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04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42" s="21">
        <f>Pospago[[#This Row],[TARIFA_BASICA]]*1.5</f>
        <v>17.13</v>
      </c>
    </row>
    <row r="1043" spans="1:63" x14ac:dyDescent="0.25">
      <c r="A1043" s="18" t="s">
        <v>64</v>
      </c>
      <c r="B1043" s="18" t="s">
        <v>6480</v>
      </c>
      <c r="C1043" s="18" t="s">
        <v>6481</v>
      </c>
      <c r="D1043" s="19">
        <v>44910</v>
      </c>
      <c r="E1043" s="18" t="s">
        <v>67</v>
      </c>
      <c r="F1043" s="18" t="s">
        <v>6482</v>
      </c>
      <c r="G1043" s="18" t="s">
        <v>6483</v>
      </c>
      <c r="H1043" s="18" t="s">
        <v>70</v>
      </c>
      <c r="I1043" s="18" t="s">
        <v>194</v>
      </c>
      <c r="J1043" s="18" t="s">
        <v>195</v>
      </c>
      <c r="K1043" s="18" t="s">
        <v>132</v>
      </c>
      <c r="L1043" s="20" t="s">
        <v>6484</v>
      </c>
      <c r="M1043" s="18" t="s">
        <v>75</v>
      </c>
      <c r="N1043" s="20" t="s">
        <v>6485</v>
      </c>
      <c r="O1043" s="18" t="s">
        <v>77</v>
      </c>
      <c r="P1043" s="18" t="s">
        <v>78</v>
      </c>
      <c r="Q1043" s="19">
        <v>44914</v>
      </c>
      <c r="R1043" s="21">
        <v>14.28</v>
      </c>
      <c r="S1043" s="18" t="s">
        <v>79</v>
      </c>
      <c r="T1043" s="18" t="s">
        <v>232</v>
      </c>
      <c r="U1043" s="18" t="s">
        <v>83</v>
      </c>
      <c r="V1043" s="18" t="s">
        <v>95</v>
      </c>
      <c r="W1043" s="18" t="s">
        <v>83</v>
      </c>
      <c r="X1043" s="18" t="s">
        <v>215</v>
      </c>
      <c r="Y1043" s="18" t="s">
        <v>85</v>
      </c>
      <c r="Z1043" s="18" t="s">
        <v>86</v>
      </c>
      <c r="AA1043" s="18" t="s">
        <v>87</v>
      </c>
      <c r="AB1043" s="18" t="s">
        <v>280</v>
      </c>
      <c r="AC1043" s="18" t="s">
        <v>281</v>
      </c>
      <c r="AD1043" s="18" t="s">
        <v>85</v>
      </c>
      <c r="AE1043" s="18" t="s">
        <v>90</v>
      </c>
      <c r="AF1043" s="18" t="s">
        <v>235</v>
      </c>
      <c r="AG1043" s="18" t="s">
        <v>139</v>
      </c>
      <c r="AH1043" s="18" t="s">
        <v>93</v>
      </c>
      <c r="AI1043" s="18" t="s">
        <v>94</v>
      </c>
      <c r="AJ1043" s="19">
        <v>44910</v>
      </c>
      <c r="AK1043" s="22" t="s">
        <v>95</v>
      </c>
      <c r="AL1043" s="18" t="s">
        <v>95</v>
      </c>
      <c r="AM1043" s="18" t="s">
        <v>95</v>
      </c>
      <c r="AN1043" s="18" t="s">
        <v>95</v>
      </c>
      <c r="AO1043" s="18" t="s">
        <v>95</v>
      </c>
      <c r="AP1043" s="18" t="s">
        <v>95</v>
      </c>
      <c r="AQ1043" s="18" t="s">
        <v>95</v>
      </c>
      <c r="AR1043" s="18" t="s">
        <v>95</v>
      </c>
      <c r="AS1043" s="18" t="s">
        <v>83</v>
      </c>
      <c r="AT1043" s="18" t="s">
        <v>81</v>
      </c>
      <c r="AU1043" s="18" t="s">
        <v>81</v>
      </c>
      <c r="AV1043" s="18" t="s">
        <v>95</v>
      </c>
      <c r="AW1043" s="18"/>
      <c r="AX1043" s="18"/>
      <c r="AY1043" s="18" t="str">
        <f>Pospago[[#This Row],[NUM_TELEFONICO]]&amp;"POSPAGOSI"</f>
        <v>998994656POSPAGOSI</v>
      </c>
      <c r="AZ1043" s="18" t="str">
        <f>VLOOKUP(Pospago[[#This Row],[NOM_PLAZA_FINAL]],[1]!Locales[#Data],3,0)</f>
        <v>TIENDA CONDADO</v>
      </c>
      <c r="BA1043" s="18" t="str">
        <f>IFERROR(VLOOKUP(Pospago[[#This Row],[USUARIO]],[1]!Personal[#Data],6,0),"EJECUTIVO NO REGISTRADO")</f>
        <v>GUACHAMIN CAZA HUGO ADRIAN</v>
      </c>
      <c r="BB1043" s="18" t="str">
        <f>Pospago[[#This Row],[TIPO_MOVIMIENTO]]&amp;" "&amp;Pospago[[#This Row],[FORMA_PAGO_FINAL]]</f>
        <v>ALTAS DOMICILIADO</v>
      </c>
      <c r="BC1043" s="18">
        <f>DAY(Pospago[[#This Row],[FECHA_ALTA]])</f>
        <v>15</v>
      </c>
      <c r="BD1043" s="18">
        <f>IF(Pospago[[#This Row],[TARIFA_BASICA]]=11.42,1,0)</f>
        <v>0</v>
      </c>
      <c r="BE1043" s="18">
        <f>IF(Pospago[[#This Row],[PLANES TELEVENTAS]]="SI",1,0)</f>
        <v>1</v>
      </c>
      <c r="BF1043" s="18">
        <f>1</f>
        <v>1</v>
      </c>
      <c r="BG1043" s="18">
        <f>IF(OR(Pospago[[#This Row],[TARIFA_BASICA]]=11.42,Pospago[[#This Row],[PLANES TELEVENTAS]]="SI"),1,0)</f>
        <v>1</v>
      </c>
      <c r="BH1043" s="18" t="str">
        <f>IF(MID(Pospago[[#This Row],[PlanDesc]],1,4) = "PLAN","POSPAGO",IF(MID(Pospago[[#This Row],[PlanDesc]],1,4)="FULL","FULL MEGAS","PREVIOPAGO"))</f>
        <v>PREVIOPAGO</v>
      </c>
      <c r="BI104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4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43" s="21">
        <f>Pospago[[#This Row],[TARIFA_BASICA]]*1.5</f>
        <v>21.419999999999998</v>
      </c>
    </row>
    <row r="1044" spans="1:63" x14ac:dyDescent="0.25">
      <c r="A1044" s="18" t="s">
        <v>154</v>
      </c>
      <c r="B1044" s="18" t="s">
        <v>6486</v>
      </c>
      <c r="C1044" s="18" t="s">
        <v>6487</v>
      </c>
      <c r="D1044" s="19">
        <v>44900</v>
      </c>
      <c r="E1044" s="18" t="s">
        <v>67</v>
      </c>
      <c r="F1044" s="18" t="s">
        <v>6488</v>
      </c>
      <c r="G1044" s="18" t="s">
        <v>6489</v>
      </c>
      <c r="H1044" s="18" t="s">
        <v>159</v>
      </c>
      <c r="I1044" s="18" t="s">
        <v>71</v>
      </c>
      <c r="J1044" s="18" t="s">
        <v>258</v>
      </c>
      <c r="K1044" s="18" t="s">
        <v>132</v>
      </c>
      <c r="L1044" s="20" t="s">
        <v>6490</v>
      </c>
      <c r="M1044" s="18" t="s">
        <v>75</v>
      </c>
      <c r="N1044" s="20" t="s">
        <v>6491</v>
      </c>
      <c r="O1044" s="18" t="s">
        <v>164</v>
      </c>
      <c r="P1044" s="18" t="s">
        <v>78</v>
      </c>
      <c r="Q1044" s="19">
        <v>44914</v>
      </c>
      <c r="R1044" s="21">
        <v>11.42</v>
      </c>
      <c r="S1044" s="18" t="s">
        <v>79</v>
      </c>
      <c r="T1044" s="18" t="s">
        <v>174</v>
      </c>
      <c r="U1044" s="18" t="s">
        <v>83</v>
      </c>
      <c r="V1044" s="18" t="s">
        <v>95</v>
      </c>
      <c r="W1044" s="18" t="s">
        <v>95</v>
      </c>
      <c r="X1044" s="18" t="s">
        <v>118</v>
      </c>
      <c r="Y1044" s="18" t="s">
        <v>85</v>
      </c>
      <c r="Z1044" s="18" t="s">
        <v>86</v>
      </c>
      <c r="AA1044" s="18" t="s">
        <v>119</v>
      </c>
      <c r="AB1044" s="18" t="s">
        <v>630</v>
      </c>
      <c r="AC1044" s="18" t="s">
        <v>631</v>
      </c>
      <c r="AD1044" s="18" t="s">
        <v>85</v>
      </c>
      <c r="AE1044" s="18" t="s">
        <v>90</v>
      </c>
      <c r="AF1044" s="18" t="s">
        <v>177</v>
      </c>
      <c r="AG1044" s="18" t="s">
        <v>139</v>
      </c>
      <c r="AH1044" s="18" t="s">
        <v>165</v>
      </c>
      <c r="AI1044" s="18" t="s">
        <v>94</v>
      </c>
      <c r="AJ1044" s="19">
        <v>44900</v>
      </c>
      <c r="AK1044" s="22" t="s">
        <v>95</v>
      </c>
      <c r="AL1044" s="18" t="s">
        <v>95</v>
      </c>
      <c r="AM1044" s="18" t="s">
        <v>95</v>
      </c>
      <c r="AN1044" s="18" t="s">
        <v>95</v>
      </c>
      <c r="AO1044" s="18" t="s">
        <v>95</v>
      </c>
      <c r="AP1044" s="18" t="s">
        <v>95</v>
      </c>
      <c r="AQ1044" s="18" t="s">
        <v>95</v>
      </c>
      <c r="AR1044" s="18" t="s">
        <v>95</v>
      </c>
      <c r="AS1044" s="18" t="s">
        <v>83</v>
      </c>
      <c r="AT1044" s="18" t="s">
        <v>83</v>
      </c>
      <c r="AU1044" s="18" t="s">
        <v>81</v>
      </c>
      <c r="AV1044" s="18" t="s">
        <v>95</v>
      </c>
      <c r="AW1044" s="18"/>
      <c r="AX1044" s="18"/>
      <c r="AY1044" s="18" t="str">
        <f>Pospago[[#This Row],[NUM_TELEFONICO]]&amp;"POSPAGOSI"</f>
        <v>999004636POSPAGOSI</v>
      </c>
      <c r="AZ1044" s="18" t="str">
        <f>VLOOKUP(Pospago[[#This Row],[NOM_PLAZA_FINAL]],[1]!Locales[#Data],3,0)</f>
        <v>TIENDA RECREO</v>
      </c>
      <c r="BA1044" s="18" t="str">
        <f>IFERROR(VLOOKUP(Pospago[[#This Row],[USUARIO]],[1]!Personal[#Data],6,0),"EJECUTIVO NO REGISTRADO")</f>
        <v>LOAYZA AGUILAR JONATHAN FABIAN</v>
      </c>
      <c r="BB1044" s="18" t="str">
        <f>Pospago[[#This Row],[TIPO_MOVIMIENTO]]&amp;" "&amp;Pospago[[#This Row],[FORMA_PAGO_FINAL]]</f>
        <v>TRANSFERENCIAS PAGO EN CAJA</v>
      </c>
      <c r="BC1044" s="18">
        <f>DAY(Pospago[[#This Row],[FECHA_ALTA]])</f>
        <v>5</v>
      </c>
      <c r="BD1044" s="18">
        <f>IF(Pospago[[#This Row],[TARIFA_BASICA]]=11.42,1,0)</f>
        <v>1</v>
      </c>
      <c r="BE1044" s="18">
        <f>IF(Pospago[[#This Row],[PLANES TELEVENTAS]]="SI",1,0)</f>
        <v>0</v>
      </c>
      <c r="BF1044" s="18">
        <f>1</f>
        <v>1</v>
      </c>
      <c r="BG1044" s="18">
        <f>IF(OR(Pospago[[#This Row],[TARIFA_BASICA]]=11.42,Pospago[[#This Row],[PLANES TELEVENTAS]]="SI"),1,0)</f>
        <v>1</v>
      </c>
      <c r="BH1044" s="18" t="str">
        <f>IF(MID(Pospago[[#This Row],[PlanDesc]],1,4) = "PLAN","POSPAGO",IF(MID(Pospago[[#This Row],[PlanDesc]],1,4)="FULL","FULL MEGAS","PREVIOPAGO"))</f>
        <v>PREVIOPAGO</v>
      </c>
      <c r="BI104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4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44" s="21">
        <f>Pospago[[#This Row],[TARIFA_BASICA]]*1.5</f>
        <v>17.13</v>
      </c>
    </row>
    <row r="1045" spans="1:63" x14ac:dyDescent="0.25">
      <c r="A1045" s="18" t="s">
        <v>64</v>
      </c>
      <c r="B1045" s="18" t="s">
        <v>6492</v>
      </c>
      <c r="C1045" s="18" t="s">
        <v>6493</v>
      </c>
      <c r="D1045" s="19">
        <v>44901</v>
      </c>
      <c r="E1045" s="18" t="s">
        <v>67</v>
      </c>
      <c r="F1045" s="18" t="s">
        <v>6494</v>
      </c>
      <c r="G1045" s="18" t="s">
        <v>6495</v>
      </c>
      <c r="H1045" s="18" t="s">
        <v>70</v>
      </c>
      <c r="I1045" s="18" t="s">
        <v>71</v>
      </c>
      <c r="J1045" s="18" t="s">
        <v>72</v>
      </c>
      <c r="K1045" s="18" t="s">
        <v>6496</v>
      </c>
      <c r="L1045" s="20" t="s">
        <v>6497</v>
      </c>
      <c r="M1045" s="18" t="s">
        <v>75</v>
      </c>
      <c r="N1045" s="20" t="s">
        <v>6498</v>
      </c>
      <c r="O1045" s="18" t="s">
        <v>77</v>
      </c>
      <c r="P1045" s="18" t="s">
        <v>78</v>
      </c>
      <c r="Q1045" s="19">
        <v>44914</v>
      </c>
      <c r="R1045" s="21">
        <v>11.42</v>
      </c>
      <c r="S1045" s="18" t="s">
        <v>79</v>
      </c>
      <c r="T1045" s="18" t="s">
        <v>80</v>
      </c>
      <c r="U1045" s="18" t="s">
        <v>83</v>
      </c>
      <c r="V1045" s="18" t="s">
        <v>95</v>
      </c>
      <c r="W1045" s="18" t="s">
        <v>83</v>
      </c>
      <c r="X1045" s="18" t="s">
        <v>118</v>
      </c>
      <c r="Y1045" s="18" t="s">
        <v>85</v>
      </c>
      <c r="Z1045" s="18" t="s">
        <v>86</v>
      </c>
      <c r="AA1045" s="18" t="s">
        <v>119</v>
      </c>
      <c r="AB1045" s="18" t="s">
        <v>880</v>
      </c>
      <c r="AC1045" s="18" t="s">
        <v>881</v>
      </c>
      <c r="AD1045" s="18" t="s">
        <v>85</v>
      </c>
      <c r="AE1045" s="18" t="s">
        <v>90</v>
      </c>
      <c r="AF1045" s="18" t="s">
        <v>91</v>
      </c>
      <c r="AG1045" s="18" t="s">
        <v>92</v>
      </c>
      <c r="AH1045" s="18" t="s">
        <v>93</v>
      </c>
      <c r="AI1045" s="18" t="s">
        <v>94</v>
      </c>
      <c r="AJ1045" s="19">
        <v>44901</v>
      </c>
      <c r="AK1045" s="22" t="s">
        <v>95</v>
      </c>
      <c r="AL1045" s="18" t="s">
        <v>95</v>
      </c>
      <c r="AM1045" s="18" t="s">
        <v>95</v>
      </c>
      <c r="AN1045" s="18" t="s">
        <v>95</v>
      </c>
      <c r="AO1045" s="18" t="s">
        <v>95</v>
      </c>
      <c r="AP1045" s="18" t="s">
        <v>95</v>
      </c>
      <c r="AQ1045" s="18" t="s">
        <v>95</v>
      </c>
      <c r="AR1045" s="18" t="s">
        <v>95</v>
      </c>
      <c r="AS1045" s="18" t="s">
        <v>83</v>
      </c>
      <c r="AT1045" s="18" t="s">
        <v>83</v>
      </c>
      <c r="AU1045" s="18" t="s">
        <v>81</v>
      </c>
      <c r="AV1045" s="18" t="s">
        <v>95</v>
      </c>
      <c r="AW1045" s="18"/>
      <c r="AX1045" s="18"/>
      <c r="AY1045" s="18" t="str">
        <f>Pospago[[#This Row],[NUM_TELEFONICO]]&amp;"POSPAGOSI"</f>
        <v>999008845POSPAGOSI</v>
      </c>
      <c r="AZ1045" s="18" t="str">
        <f>VLOOKUP(Pospago[[#This Row],[NOM_PLAZA_FINAL]],[1]!Locales[#Data],3,0)</f>
        <v>TIENDA CUENCA CENTRO</v>
      </c>
      <c r="BA1045" s="18" t="str">
        <f>IFERROR(VLOOKUP(Pospago[[#This Row],[USUARIO]],[1]!Personal[#Data],6,0),"EJECUTIVO NO REGISTRADO")</f>
        <v>LUNA JACHO ANDREA GABRIELA</v>
      </c>
      <c r="BB1045" s="18" t="str">
        <f>Pospago[[#This Row],[TIPO_MOVIMIENTO]]&amp;" "&amp;Pospago[[#This Row],[FORMA_PAGO_FINAL]]</f>
        <v>ALTAS PAGO EN CAJA</v>
      </c>
      <c r="BC1045" s="18">
        <f>DAY(Pospago[[#This Row],[FECHA_ALTA]])</f>
        <v>6</v>
      </c>
      <c r="BD1045" s="18">
        <f>IF(Pospago[[#This Row],[TARIFA_BASICA]]=11.42,1,0)</f>
        <v>1</v>
      </c>
      <c r="BE1045" s="18">
        <f>IF(Pospago[[#This Row],[PLANES TELEVENTAS]]="SI",1,0)</f>
        <v>0</v>
      </c>
      <c r="BF1045" s="18">
        <f>1</f>
        <v>1</v>
      </c>
      <c r="BG1045" s="18">
        <f>IF(OR(Pospago[[#This Row],[TARIFA_BASICA]]=11.42,Pospago[[#This Row],[PLANES TELEVENTAS]]="SI"),1,0)</f>
        <v>1</v>
      </c>
      <c r="BH1045" s="18" t="str">
        <f>IF(MID(Pospago[[#This Row],[PlanDesc]],1,4) = "PLAN","POSPAGO",IF(MID(Pospago[[#This Row],[PlanDesc]],1,4)="FULL","FULL MEGAS","PREVIOPAGO"))</f>
        <v>PREVIOPAGO</v>
      </c>
      <c r="BI104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04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45" s="21">
        <f>Pospago[[#This Row],[TARIFA_BASICA]]*1.5</f>
        <v>17.13</v>
      </c>
    </row>
    <row r="1046" spans="1:63" x14ac:dyDescent="0.25">
      <c r="A1046" s="18" t="s">
        <v>154</v>
      </c>
      <c r="B1046" s="18" t="s">
        <v>6499</v>
      </c>
      <c r="C1046" s="18" t="s">
        <v>6500</v>
      </c>
      <c r="D1046" s="19">
        <v>44902</v>
      </c>
      <c r="E1046" s="18" t="s">
        <v>67</v>
      </c>
      <c r="F1046" s="18" t="s">
        <v>6501</v>
      </c>
      <c r="G1046" s="18" t="s">
        <v>6502</v>
      </c>
      <c r="H1046" s="18" t="s">
        <v>159</v>
      </c>
      <c r="I1046" s="18" t="s">
        <v>130</v>
      </c>
      <c r="J1046" s="18" t="s">
        <v>433</v>
      </c>
      <c r="K1046" s="18" t="s">
        <v>132</v>
      </c>
      <c r="L1046" s="20" t="s">
        <v>6503</v>
      </c>
      <c r="M1046" s="18" t="s">
        <v>75</v>
      </c>
      <c r="N1046" s="20" t="s">
        <v>6504</v>
      </c>
      <c r="O1046" s="18" t="s">
        <v>164</v>
      </c>
      <c r="P1046" s="18" t="s">
        <v>78</v>
      </c>
      <c r="Q1046" s="19">
        <v>44914</v>
      </c>
      <c r="R1046" s="21">
        <v>15</v>
      </c>
      <c r="S1046" s="18" t="s">
        <v>79</v>
      </c>
      <c r="T1046" s="18" t="s">
        <v>174</v>
      </c>
      <c r="U1046" s="18" t="s">
        <v>83</v>
      </c>
      <c r="V1046" s="18" t="s">
        <v>95</v>
      </c>
      <c r="W1046" s="18" t="s">
        <v>95</v>
      </c>
      <c r="X1046" s="18" t="s">
        <v>118</v>
      </c>
      <c r="Y1046" s="18" t="s">
        <v>85</v>
      </c>
      <c r="Z1046" s="18" t="s">
        <v>86</v>
      </c>
      <c r="AA1046" s="18" t="s">
        <v>119</v>
      </c>
      <c r="AB1046" s="18" t="s">
        <v>303</v>
      </c>
      <c r="AC1046" s="18" t="s">
        <v>304</v>
      </c>
      <c r="AD1046" s="18" t="s">
        <v>85</v>
      </c>
      <c r="AE1046" s="18" t="s">
        <v>90</v>
      </c>
      <c r="AF1046" s="18" t="s">
        <v>177</v>
      </c>
      <c r="AG1046" s="18" t="s">
        <v>139</v>
      </c>
      <c r="AH1046" s="18" t="s">
        <v>165</v>
      </c>
      <c r="AI1046" s="18" t="s">
        <v>94</v>
      </c>
      <c r="AJ1046" s="19">
        <v>44902</v>
      </c>
      <c r="AK1046" s="22" t="s">
        <v>95</v>
      </c>
      <c r="AL1046" s="18" t="s">
        <v>95</v>
      </c>
      <c r="AM1046" s="18" t="s">
        <v>95</v>
      </c>
      <c r="AN1046" s="18" t="s">
        <v>95</v>
      </c>
      <c r="AO1046" s="18" t="s">
        <v>95</v>
      </c>
      <c r="AP1046" s="18" t="s">
        <v>95</v>
      </c>
      <c r="AQ1046" s="18" t="s">
        <v>95</v>
      </c>
      <c r="AR1046" s="18" t="s">
        <v>95</v>
      </c>
      <c r="AS1046" s="18" t="s">
        <v>83</v>
      </c>
      <c r="AT1046" s="18" t="s">
        <v>83</v>
      </c>
      <c r="AU1046" s="18" t="s">
        <v>81</v>
      </c>
      <c r="AV1046" s="18" t="s">
        <v>95</v>
      </c>
      <c r="AW1046" s="18"/>
      <c r="AX1046" s="18"/>
      <c r="AY1046" s="18" t="str">
        <f>Pospago[[#This Row],[NUM_TELEFONICO]]&amp;"POSPAGOSI"</f>
        <v>999021843POSPAGOSI</v>
      </c>
      <c r="AZ1046" s="18" t="str">
        <f>VLOOKUP(Pospago[[#This Row],[NOM_PLAZA_FINAL]],[1]!Locales[#Data],3,0)</f>
        <v>TIENDA RECREO</v>
      </c>
      <c r="BA1046" s="18" t="str">
        <f>IFERROR(VLOOKUP(Pospago[[#This Row],[USUARIO]],[1]!Personal[#Data],6,0),"EJECUTIVO NO REGISTRADO")</f>
        <v>CORDOVA GAIBOR JONATHAN HERNAN</v>
      </c>
      <c r="BB1046" s="18" t="str">
        <f>Pospago[[#This Row],[TIPO_MOVIMIENTO]]&amp;" "&amp;Pospago[[#This Row],[FORMA_PAGO_FINAL]]</f>
        <v>TRANSFERENCIAS PAGO EN CAJA</v>
      </c>
      <c r="BC1046" s="18">
        <f>DAY(Pospago[[#This Row],[FECHA_ALTA]])</f>
        <v>7</v>
      </c>
      <c r="BD1046" s="18">
        <f>IF(Pospago[[#This Row],[TARIFA_BASICA]]=11.42,1,0)</f>
        <v>0</v>
      </c>
      <c r="BE1046" s="18">
        <f>IF(Pospago[[#This Row],[PLANES TELEVENTAS]]="SI",1,0)</f>
        <v>0</v>
      </c>
      <c r="BF1046" s="18">
        <f>1</f>
        <v>1</v>
      </c>
      <c r="BG1046" s="18">
        <f>IF(OR(Pospago[[#This Row],[TARIFA_BASICA]]=11.42,Pospago[[#This Row],[PLANES TELEVENTAS]]="SI"),1,0)</f>
        <v>0</v>
      </c>
      <c r="BH1046" s="18" t="str">
        <f>IF(MID(Pospago[[#This Row],[PlanDesc]],1,4) = "PLAN","POSPAGO",IF(MID(Pospago[[#This Row],[PlanDesc]],1,4)="FULL","FULL MEGAS","PREVIOPAGO"))</f>
        <v>PREVIOPAGO</v>
      </c>
      <c r="BI104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04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46" s="21">
        <f>Pospago[[#This Row],[TARIFA_BASICA]]*1.5</f>
        <v>22.5</v>
      </c>
    </row>
    <row r="1047" spans="1:63" x14ac:dyDescent="0.25">
      <c r="A1047" s="18" t="s">
        <v>64</v>
      </c>
      <c r="B1047" s="18" t="s">
        <v>6505</v>
      </c>
      <c r="C1047" s="18" t="s">
        <v>5349</v>
      </c>
      <c r="D1047" s="19">
        <v>44910</v>
      </c>
      <c r="E1047" s="18" t="s">
        <v>67</v>
      </c>
      <c r="F1047" s="18" t="s">
        <v>5350</v>
      </c>
      <c r="G1047" s="18" t="s">
        <v>5351</v>
      </c>
      <c r="H1047" s="18" t="s">
        <v>70</v>
      </c>
      <c r="I1047" s="18" t="s">
        <v>211</v>
      </c>
      <c r="J1047" s="18" t="s">
        <v>212</v>
      </c>
      <c r="K1047" s="18" t="s">
        <v>132</v>
      </c>
      <c r="L1047" s="20" t="s">
        <v>6506</v>
      </c>
      <c r="M1047" s="18" t="s">
        <v>75</v>
      </c>
      <c r="N1047" s="20" t="s">
        <v>6507</v>
      </c>
      <c r="O1047" s="18" t="s">
        <v>77</v>
      </c>
      <c r="P1047" s="18" t="s">
        <v>78</v>
      </c>
      <c r="Q1047" s="19">
        <v>44914</v>
      </c>
      <c r="R1047" s="21">
        <v>25</v>
      </c>
      <c r="S1047" s="18" t="s">
        <v>79</v>
      </c>
      <c r="T1047" s="18" t="s">
        <v>174</v>
      </c>
      <c r="U1047" s="18" t="s">
        <v>83</v>
      </c>
      <c r="V1047" s="18" t="s">
        <v>95</v>
      </c>
      <c r="W1047" s="18" t="s">
        <v>83</v>
      </c>
      <c r="X1047" s="18" t="s">
        <v>84</v>
      </c>
      <c r="Y1047" s="18" t="s">
        <v>85</v>
      </c>
      <c r="Z1047" s="18" t="s">
        <v>86</v>
      </c>
      <c r="AA1047" s="18" t="s">
        <v>87</v>
      </c>
      <c r="AB1047" s="18" t="s">
        <v>2159</v>
      </c>
      <c r="AC1047" s="18" t="s">
        <v>2160</v>
      </c>
      <c r="AD1047" s="18" t="s">
        <v>85</v>
      </c>
      <c r="AE1047" s="18" t="s">
        <v>90</v>
      </c>
      <c r="AF1047" s="18" t="s">
        <v>177</v>
      </c>
      <c r="AG1047" s="18" t="s">
        <v>139</v>
      </c>
      <c r="AH1047" s="18" t="s">
        <v>93</v>
      </c>
      <c r="AI1047" s="18" t="s">
        <v>94</v>
      </c>
      <c r="AJ1047" s="19">
        <v>44910</v>
      </c>
      <c r="AK1047" s="22" t="s">
        <v>95</v>
      </c>
      <c r="AL1047" s="18" t="s">
        <v>95</v>
      </c>
      <c r="AM1047" s="18" t="s">
        <v>95</v>
      </c>
      <c r="AN1047" s="18" t="s">
        <v>95</v>
      </c>
      <c r="AO1047" s="18" t="s">
        <v>95</v>
      </c>
      <c r="AP1047" s="18" t="s">
        <v>95</v>
      </c>
      <c r="AQ1047" s="18" t="s">
        <v>95</v>
      </c>
      <c r="AR1047" s="18" t="s">
        <v>95</v>
      </c>
      <c r="AS1047" s="18" t="s">
        <v>83</v>
      </c>
      <c r="AT1047" s="18" t="s">
        <v>95</v>
      </c>
      <c r="AU1047" s="18" t="s">
        <v>95</v>
      </c>
      <c r="AV1047" s="18" t="s">
        <v>95</v>
      </c>
      <c r="AW1047" s="18"/>
      <c r="AX1047" s="18"/>
      <c r="AY1047" s="18" t="str">
        <f>Pospago[[#This Row],[NUM_TELEFONICO]]&amp;"POSPAGOSI"</f>
        <v>999037969POSPAGOSI</v>
      </c>
      <c r="AZ1047" s="18" t="str">
        <f>VLOOKUP(Pospago[[#This Row],[NOM_PLAZA_FINAL]],[1]!Locales[#Data],3,0)</f>
        <v>TIENDA RECREO</v>
      </c>
      <c r="BA1047" s="18" t="str">
        <f>IFERROR(VLOOKUP(Pospago[[#This Row],[USUARIO]],[1]!Personal[#Data],6,0),"EJECUTIVO NO REGISTRADO")</f>
        <v>GUEVARA MAZA CRISTIAN FABIAN</v>
      </c>
      <c r="BB1047" s="18" t="str">
        <f>Pospago[[#This Row],[TIPO_MOVIMIENTO]]&amp;" "&amp;Pospago[[#This Row],[FORMA_PAGO_FINAL]]</f>
        <v>ALTAS DOMICILIADO</v>
      </c>
      <c r="BC1047" s="18">
        <f>DAY(Pospago[[#This Row],[FECHA_ALTA]])</f>
        <v>15</v>
      </c>
      <c r="BD1047" s="18">
        <f>IF(Pospago[[#This Row],[TARIFA_BASICA]]=11.42,1,0)</f>
        <v>0</v>
      </c>
      <c r="BE1047" s="18">
        <f>IF(Pospago[[#This Row],[PLANES TELEVENTAS]]="SI",1,0)</f>
        <v>0</v>
      </c>
      <c r="BF1047" s="18">
        <f>1</f>
        <v>1</v>
      </c>
      <c r="BG1047" s="18">
        <f>IF(OR(Pospago[[#This Row],[TARIFA_BASICA]]=11.42,Pospago[[#This Row],[PLANES TELEVENTAS]]="SI"),1,0)</f>
        <v>0</v>
      </c>
      <c r="BH1047" s="18" t="str">
        <f>IF(MID(Pospago[[#This Row],[PlanDesc]],1,4) = "PLAN","POSPAGO",IF(MID(Pospago[[#This Row],[PlanDesc]],1,4)="FULL","FULL MEGAS","PREVIOPAGO"))</f>
        <v>FULL MEGAS</v>
      </c>
      <c r="BI104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104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47" s="21">
        <f>Pospago[[#This Row],[TARIFA_BASICA]]*1.5</f>
        <v>37.5</v>
      </c>
    </row>
    <row r="1048" spans="1:63" x14ac:dyDescent="0.25">
      <c r="A1048" s="18" t="s">
        <v>64</v>
      </c>
      <c r="B1048" s="18" t="s">
        <v>6508</v>
      </c>
      <c r="C1048" s="18" t="s">
        <v>6509</v>
      </c>
      <c r="D1048" s="19">
        <v>44909</v>
      </c>
      <c r="E1048" s="18" t="s">
        <v>67</v>
      </c>
      <c r="F1048" s="18" t="s">
        <v>6510</v>
      </c>
      <c r="G1048" s="18" t="s">
        <v>6511</v>
      </c>
      <c r="H1048" s="18" t="s">
        <v>70</v>
      </c>
      <c r="I1048" s="18" t="s">
        <v>211</v>
      </c>
      <c r="J1048" s="18" t="s">
        <v>212</v>
      </c>
      <c r="K1048" s="18" t="s">
        <v>73</v>
      </c>
      <c r="L1048" s="20" t="s">
        <v>6512</v>
      </c>
      <c r="M1048" s="18" t="s">
        <v>75</v>
      </c>
      <c r="N1048" s="20" t="s">
        <v>6513</v>
      </c>
      <c r="O1048" s="18" t="s">
        <v>77</v>
      </c>
      <c r="P1048" s="18" t="s">
        <v>78</v>
      </c>
      <c r="Q1048" s="19">
        <v>44914</v>
      </c>
      <c r="R1048" s="21">
        <v>25</v>
      </c>
      <c r="S1048" s="18" t="s">
        <v>79</v>
      </c>
      <c r="T1048" s="18" t="s">
        <v>174</v>
      </c>
      <c r="U1048" s="18" t="s">
        <v>83</v>
      </c>
      <c r="V1048" s="18" t="s">
        <v>95</v>
      </c>
      <c r="W1048" s="18" t="s">
        <v>83</v>
      </c>
      <c r="X1048" s="18" t="s">
        <v>84</v>
      </c>
      <c r="Y1048" s="18" t="s">
        <v>85</v>
      </c>
      <c r="Z1048" s="18" t="s">
        <v>86</v>
      </c>
      <c r="AA1048" s="18" t="s">
        <v>87</v>
      </c>
      <c r="AB1048" s="18" t="s">
        <v>2159</v>
      </c>
      <c r="AC1048" s="18" t="s">
        <v>2160</v>
      </c>
      <c r="AD1048" s="18" t="s">
        <v>85</v>
      </c>
      <c r="AE1048" s="18" t="s">
        <v>90</v>
      </c>
      <c r="AF1048" s="18" t="s">
        <v>177</v>
      </c>
      <c r="AG1048" s="18" t="s">
        <v>139</v>
      </c>
      <c r="AH1048" s="18" t="s">
        <v>93</v>
      </c>
      <c r="AI1048" s="18" t="s">
        <v>94</v>
      </c>
      <c r="AJ1048" s="19">
        <v>44909</v>
      </c>
      <c r="AK1048" s="22" t="s">
        <v>95</v>
      </c>
      <c r="AL1048" s="18" t="s">
        <v>95</v>
      </c>
      <c r="AM1048" s="18" t="s">
        <v>95</v>
      </c>
      <c r="AN1048" s="18" t="s">
        <v>95</v>
      </c>
      <c r="AO1048" s="18" t="s">
        <v>95</v>
      </c>
      <c r="AP1048" s="18" t="s">
        <v>95</v>
      </c>
      <c r="AQ1048" s="18" t="s">
        <v>95</v>
      </c>
      <c r="AR1048" s="18" t="s">
        <v>95</v>
      </c>
      <c r="AS1048" s="18" t="s">
        <v>83</v>
      </c>
      <c r="AT1048" s="18" t="s">
        <v>95</v>
      </c>
      <c r="AU1048" s="18" t="s">
        <v>95</v>
      </c>
      <c r="AV1048" s="18" t="s">
        <v>95</v>
      </c>
      <c r="AW1048" s="18"/>
      <c r="AX1048" s="18"/>
      <c r="AY1048" s="18" t="str">
        <f>Pospago[[#This Row],[NUM_TELEFONICO]]&amp;"POSPAGOSI"</f>
        <v>999042556POSPAGOSI</v>
      </c>
      <c r="AZ1048" s="18" t="str">
        <f>VLOOKUP(Pospago[[#This Row],[NOM_PLAZA_FINAL]],[1]!Locales[#Data],3,0)</f>
        <v>TIENDA RECREO</v>
      </c>
      <c r="BA1048" s="18" t="str">
        <f>IFERROR(VLOOKUP(Pospago[[#This Row],[USUARIO]],[1]!Personal[#Data],6,0),"EJECUTIVO NO REGISTRADO")</f>
        <v>GUEVARA MAZA CRISTIAN FABIAN</v>
      </c>
      <c r="BB1048" s="18" t="str">
        <f>Pospago[[#This Row],[TIPO_MOVIMIENTO]]&amp;" "&amp;Pospago[[#This Row],[FORMA_PAGO_FINAL]]</f>
        <v>ALTAS DOMICILIADO</v>
      </c>
      <c r="BC1048" s="18">
        <f>DAY(Pospago[[#This Row],[FECHA_ALTA]])</f>
        <v>14</v>
      </c>
      <c r="BD1048" s="18">
        <f>IF(Pospago[[#This Row],[TARIFA_BASICA]]=11.42,1,0)</f>
        <v>0</v>
      </c>
      <c r="BE1048" s="18">
        <f>IF(Pospago[[#This Row],[PLANES TELEVENTAS]]="SI",1,0)</f>
        <v>0</v>
      </c>
      <c r="BF1048" s="18">
        <f>1</f>
        <v>1</v>
      </c>
      <c r="BG1048" s="18">
        <f>IF(OR(Pospago[[#This Row],[TARIFA_BASICA]]=11.42,Pospago[[#This Row],[PLANES TELEVENTAS]]="SI"),1,0)</f>
        <v>0</v>
      </c>
      <c r="BH1048" s="18" t="str">
        <f>IF(MID(Pospago[[#This Row],[PlanDesc]],1,4) = "PLAN","POSPAGO",IF(MID(Pospago[[#This Row],[PlanDesc]],1,4)="FULL","FULL MEGAS","PREVIOPAGO"))</f>
        <v>FULL MEGAS</v>
      </c>
      <c r="BI104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104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48" s="21">
        <f>Pospago[[#This Row],[TARIFA_BASICA]]*1.5</f>
        <v>37.5</v>
      </c>
    </row>
    <row r="1049" spans="1:63" x14ac:dyDescent="0.25">
      <c r="A1049" s="18" t="s">
        <v>154</v>
      </c>
      <c r="B1049" s="18" t="s">
        <v>6514</v>
      </c>
      <c r="C1049" s="18" t="s">
        <v>6515</v>
      </c>
      <c r="D1049" s="19">
        <v>44899</v>
      </c>
      <c r="E1049" s="18" t="s">
        <v>67</v>
      </c>
      <c r="F1049" s="18" t="s">
        <v>6516</v>
      </c>
      <c r="G1049" s="18" t="s">
        <v>6517</v>
      </c>
      <c r="H1049" s="18" t="s">
        <v>159</v>
      </c>
      <c r="I1049" s="18" t="s">
        <v>160</v>
      </c>
      <c r="J1049" s="18" t="s">
        <v>161</v>
      </c>
      <c r="K1049" s="18" t="s">
        <v>73</v>
      </c>
      <c r="L1049" s="20" t="s">
        <v>6518</v>
      </c>
      <c r="M1049" s="18" t="s">
        <v>75</v>
      </c>
      <c r="N1049" s="20" t="s">
        <v>6519</v>
      </c>
      <c r="O1049" s="18" t="s">
        <v>164</v>
      </c>
      <c r="P1049" s="18" t="s">
        <v>78</v>
      </c>
      <c r="Q1049" s="19">
        <v>44914</v>
      </c>
      <c r="R1049" s="21">
        <v>14.28</v>
      </c>
      <c r="S1049" s="18" t="s">
        <v>79</v>
      </c>
      <c r="T1049" s="18" t="s">
        <v>174</v>
      </c>
      <c r="U1049" s="18" t="s">
        <v>83</v>
      </c>
      <c r="V1049" s="18" t="s">
        <v>95</v>
      </c>
      <c r="W1049" s="18" t="s">
        <v>95</v>
      </c>
      <c r="X1049" s="18" t="s">
        <v>84</v>
      </c>
      <c r="Y1049" s="18" t="s">
        <v>85</v>
      </c>
      <c r="Z1049" s="18" t="s">
        <v>86</v>
      </c>
      <c r="AA1049" s="18" t="s">
        <v>87</v>
      </c>
      <c r="AB1049" s="18" t="s">
        <v>369</v>
      </c>
      <c r="AC1049" s="18" t="s">
        <v>370</v>
      </c>
      <c r="AD1049" s="18" t="s">
        <v>85</v>
      </c>
      <c r="AE1049" s="18" t="s">
        <v>90</v>
      </c>
      <c r="AF1049" s="18" t="s">
        <v>177</v>
      </c>
      <c r="AG1049" s="18" t="s">
        <v>139</v>
      </c>
      <c r="AH1049" s="18" t="s">
        <v>165</v>
      </c>
      <c r="AI1049" s="18" t="s">
        <v>94</v>
      </c>
      <c r="AJ1049" s="19">
        <v>44899</v>
      </c>
      <c r="AK1049" s="22" t="s">
        <v>95</v>
      </c>
      <c r="AL1049" s="18" t="s">
        <v>95</v>
      </c>
      <c r="AM1049" s="18" t="s">
        <v>95</v>
      </c>
      <c r="AN1049" s="18" t="s">
        <v>95</v>
      </c>
      <c r="AO1049" s="18" t="s">
        <v>95</v>
      </c>
      <c r="AP1049" s="18" t="s">
        <v>95</v>
      </c>
      <c r="AQ1049" s="18" t="s">
        <v>95</v>
      </c>
      <c r="AR1049" s="18" t="s">
        <v>95</v>
      </c>
      <c r="AS1049" s="18" t="s">
        <v>83</v>
      </c>
      <c r="AT1049" s="18" t="s">
        <v>83</v>
      </c>
      <c r="AU1049" s="18" t="s">
        <v>81</v>
      </c>
      <c r="AV1049" s="18" t="s">
        <v>95</v>
      </c>
      <c r="AW1049" s="18"/>
      <c r="AX1049" s="18"/>
      <c r="AY1049" s="18" t="str">
        <f>Pospago[[#This Row],[NUM_TELEFONICO]]&amp;"POSPAGOSI"</f>
        <v>999045043POSPAGOSI</v>
      </c>
      <c r="AZ1049" s="18" t="str">
        <f>VLOOKUP(Pospago[[#This Row],[NOM_PLAZA_FINAL]],[1]!Locales[#Data],3,0)</f>
        <v>TIENDA RECREO</v>
      </c>
      <c r="BA1049" s="18" t="str">
        <f>IFERROR(VLOOKUP(Pospago[[#This Row],[USUARIO]],[1]!Personal[#Data],6,0),"EJECUTIVO NO REGISTRADO")</f>
        <v>GUAIGUA REINOSO GENESIS CAROLINA</v>
      </c>
      <c r="BB1049" s="18" t="str">
        <f>Pospago[[#This Row],[TIPO_MOVIMIENTO]]&amp;" "&amp;Pospago[[#This Row],[FORMA_PAGO_FINAL]]</f>
        <v>TRANSFERENCIAS DOMICILIADO</v>
      </c>
      <c r="BC1049" s="18">
        <f>DAY(Pospago[[#This Row],[FECHA_ALTA]])</f>
        <v>4</v>
      </c>
      <c r="BD1049" s="18">
        <f>IF(Pospago[[#This Row],[TARIFA_BASICA]]=11.42,1,0)</f>
        <v>0</v>
      </c>
      <c r="BE1049" s="18">
        <f>IF(Pospago[[#This Row],[PLANES TELEVENTAS]]="SI",1,0)</f>
        <v>0</v>
      </c>
      <c r="BF1049" s="18">
        <f>1</f>
        <v>1</v>
      </c>
      <c r="BG1049" s="18">
        <f>IF(OR(Pospago[[#This Row],[TARIFA_BASICA]]=11.42,Pospago[[#This Row],[PLANES TELEVENTAS]]="SI"),1,0)</f>
        <v>0</v>
      </c>
      <c r="BH1049" s="18" t="str">
        <f>IF(MID(Pospago[[#This Row],[PlanDesc]],1,4) = "PLAN","POSPAGO",IF(MID(Pospago[[#This Row],[PlanDesc]],1,4)="FULL","FULL MEGAS","PREVIOPAGO"))</f>
        <v>PREVIOPAGO</v>
      </c>
      <c r="BI104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4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49" s="21">
        <f>Pospago[[#This Row],[TARIFA_BASICA]]*1.5</f>
        <v>21.419999999999998</v>
      </c>
    </row>
    <row r="1050" spans="1:63" x14ac:dyDescent="0.25">
      <c r="A1050" s="18" t="s">
        <v>154</v>
      </c>
      <c r="B1050" s="18" t="s">
        <v>6520</v>
      </c>
      <c r="C1050" s="18" t="s">
        <v>6521</v>
      </c>
      <c r="D1050" s="19">
        <v>44900</v>
      </c>
      <c r="E1050" s="18" t="s">
        <v>67</v>
      </c>
      <c r="F1050" s="18" t="s">
        <v>6522</v>
      </c>
      <c r="G1050" s="18" t="s">
        <v>6523</v>
      </c>
      <c r="H1050" s="18" t="s">
        <v>159</v>
      </c>
      <c r="I1050" s="18" t="s">
        <v>71</v>
      </c>
      <c r="J1050" s="18" t="s">
        <v>258</v>
      </c>
      <c r="K1050" s="18" t="s">
        <v>95</v>
      </c>
      <c r="L1050" s="20" t="s">
        <v>6524</v>
      </c>
      <c r="M1050" s="18" t="s">
        <v>75</v>
      </c>
      <c r="N1050" s="20" t="s">
        <v>6525</v>
      </c>
      <c r="O1050" s="18" t="s">
        <v>164</v>
      </c>
      <c r="P1050" s="18" t="s">
        <v>78</v>
      </c>
      <c r="Q1050" s="19">
        <v>44914</v>
      </c>
      <c r="R1050" s="21">
        <v>11.42</v>
      </c>
      <c r="S1050" s="18" t="s">
        <v>79</v>
      </c>
      <c r="T1050" s="18" t="s">
        <v>80</v>
      </c>
      <c r="U1050" s="18" t="s">
        <v>83</v>
      </c>
      <c r="V1050" s="18" t="s">
        <v>95</v>
      </c>
      <c r="W1050" s="18" t="s">
        <v>95</v>
      </c>
      <c r="X1050" s="18" t="s">
        <v>84</v>
      </c>
      <c r="Y1050" s="18" t="s">
        <v>85</v>
      </c>
      <c r="Z1050" s="18" t="s">
        <v>86</v>
      </c>
      <c r="AA1050" s="18" t="s">
        <v>87</v>
      </c>
      <c r="AB1050" s="18" t="s">
        <v>1020</v>
      </c>
      <c r="AC1050" s="18" t="s">
        <v>1021</v>
      </c>
      <c r="AD1050" s="18" t="s">
        <v>85</v>
      </c>
      <c r="AE1050" s="18" t="s">
        <v>90</v>
      </c>
      <c r="AF1050" s="18" t="s">
        <v>91</v>
      </c>
      <c r="AG1050" s="18" t="s">
        <v>92</v>
      </c>
      <c r="AH1050" s="18" t="s">
        <v>165</v>
      </c>
      <c r="AI1050" s="18" t="s">
        <v>94</v>
      </c>
      <c r="AJ1050" s="19">
        <v>44900</v>
      </c>
      <c r="AK1050" s="22" t="s">
        <v>95</v>
      </c>
      <c r="AL1050" s="18" t="s">
        <v>95</v>
      </c>
      <c r="AM1050" s="18" t="s">
        <v>95</v>
      </c>
      <c r="AN1050" s="18" t="s">
        <v>95</v>
      </c>
      <c r="AO1050" s="18" t="s">
        <v>95</v>
      </c>
      <c r="AP1050" s="18" t="s">
        <v>95</v>
      </c>
      <c r="AQ1050" s="18" t="s">
        <v>95</v>
      </c>
      <c r="AR1050" s="18" t="s">
        <v>95</v>
      </c>
      <c r="AS1050" s="18" t="s">
        <v>83</v>
      </c>
      <c r="AT1050" s="18" t="s">
        <v>83</v>
      </c>
      <c r="AU1050" s="18" t="s">
        <v>81</v>
      </c>
      <c r="AV1050" s="18" t="s">
        <v>95</v>
      </c>
      <c r="AW1050" s="18"/>
      <c r="AX1050" s="18"/>
      <c r="AY1050" s="18" t="str">
        <f>Pospago[[#This Row],[NUM_TELEFONICO]]&amp;"POSPAGOSI"</f>
        <v>999045330POSPAGOSI</v>
      </c>
      <c r="AZ1050" s="18" t="str">
        <f>VLOOKUP(Pospago[[#This Row],[NOM_PLAZA_FINAL]],[1]!Locales[#Data],3,0)</f>
        <v>TIENDA CUENCA CENTRO</v>
      </c>
      <c r="BA1050" s="18" t="str">
        <f>IFERROR(VLOOKUP(Pospago[[#This Row],[USUARIO]],[1]!Personal[#Data],6,0),"EJECUTIVO NO REGISTRADO")</f>
        <v>GONZALES ALVARRACIN PAOLA YESSENIA</v>
      </c>
      <c r="BB1050" s="18" t="str">
        <f>Pospago[[#This Row],[TIPO_MOVIMIENTO]]&amp;" "&amp;Pospago[[#This Row],[FORMA_PAGO_FINAL]]</f>
        <v>TRANSFERENCIAS DOMICILIADO</v>
      </c>
      <c r="BC1050" s="18">
        <f>DAY(Pospago[[#This Row],[FECHA_ALTA]])</f>
        <v>5</v>
      </c>
      <c r="BD1050" s="18">
        <f>IF(Pospago[[#This Row],[TARIFA_BASICA]]=11.42,1,0)</f>
        <v>1</v>
      </c>
      <c r="BE1050" s="18">
        <f>IF(Pospago[[#This Row],[PLANES TELEVENTAS]]="SI",1,0)</f>
        <v>0</v>
      </c>
      <c r="BF1050" s="18">
        <f>1</f>
        <v>1</v>
      </c>
      <c r="BG1050" s="18">
        <f>IF(OR(Pospago[[#This Row],[TARIFA_BASICA]]=11.42,Pospago[[#This Row],[PLANES TELEVENTAS]]="SI"),1,0)</f>
        <v>1</v>
      </c>
      <c r="BH1050" s="18" t="str">
        <f>IF(MID(Pospago[[#This Row],[PlanDesc]],1,4) = "PLAN","POSPAGO",IF(MID(Pospago[[#This Row],[PlanDesc]],1,4)="FULL","FULL MEGAS","PREVIOPAGO"))</f>
        <v>PREVIOPAGO</v>
      </c>
      <c r="BI105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105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50" s="21">
        <f>Pospago[[#This Row],[TARIFA_BASICA]]*1.5</f>
        <v>17.13</v>
      </c>
    </row>
    <row r="1051" spans="1:63" x14ac:dyDescent="0.25">
      <c r="A1051" s="18" t="s">
        <v>64</v>
      </c>
      <c r="B1051" s="18" t="s">
        <v>6526</v>
      </c>
      <c r="C1051" s="18" t="s">
        <v>6509</v>
      </c>
      <c r="D1051" s="19">
        <v>44909</v>
      </c>
      <c r="E1051" s="18" t="s">
        <v>67</v>
      </c>
      <c r="F1051" s="18" t="s">
        <v>6510</v>
      </c>
      <c r="G1051" s="18" t="s">
        <v>6511</v>
      </c>
      <c r="H1051" s="18" t="s">
        <v>70</v>
      </c>
      <c r="I1051" s="18" t="s">
        <v>211</v>
      </c>
      <c r="J1051" s="18" t="s">
        <v>212</v>
      </c>
      <c r="K1051" s="18" t="s">
        <v>73</v>
      </c>
      <c r="L1051" s="20" t="s">
        <v>6527</v>
      </c>
      <c r="M1051" s="18" t="s">
        <v>75</v>
      </c>
      <c r="N1051" s="20" t="s">
        <v>6528</v>
      </c>
      <c r="O1051" s="18" t="s">
        <v>77</v>
      </c>
      <c r="P1051" s="18" t="s">
        <v>78</v>
      </c>
      <c r="Q1051" s="19">
        <v>44914</v>
      </c>
      <c r="R1051" s="21">
        <v>25</v>
      </c>
      <c r="S1051" s="18" t="s">
        <v>79</v>
      </c>
      <c r="T1051" s="18" t="s">
        <v>174</v>
      </c>
      <c r="U1051" s="18" t="s">
        <v>83</v>
      </c>
      <c r="V1051" s="18" t="s">
        <v>95</v>
      </c>
      <c r="W1051" s="18" t="s">
        <v>83</v>
      </c>
      <c r="X1051" s="18" t="s">
        <v>84</v>
      </c>
      <c r="Y1051" s="18" t="s">
        <v>85</v>
      </c>
      <c r="Z1051" s="18" t="s">
        <v>86</v>
      </c>
      <c r="AA1051" s="18" t="s">
        <v>87</v>
      </c>
      <c r="AB1051" s="18" t="s">
        <v>2159</v>
      </c>
      <c r="AC1051" s="18" t="s">
        <v>2160</v>
      </c>
      <c r="AD1051" s="18" t="s">
        <v>85</v>
      </c>
      <c r="AE1051" s="18" t="s">
        <v>90</v>
      </c>
      <c r="AF1051" s="18" t="s">
        <v>177</v>
      </c>
      <c r="AG1051" s="18" t="s">
        <v>139</v>
      </c>
      <c r="AH1051" s="18" t="s">
        <v>93</v>
      </c>
      <c r="AI1051" s="18" t="s">
        <v>94</v>
      </c>
      <c r="AJ1051" s="19">
        <v>44909</v>
      </c>
      <c r="AK1051" s="22" t="s">
        <v>95</v>
      </c>
      <c r="AL1051" s="18" t="s">
        <v>95</v>
      </c>
      <c r="AM1051" s="18" t="s">
        <v>95</v>
      </c>
      <c r="AN1051" s="18" t="s">
        <v>95</v>
      </c>
      <c r="AO1051" s="18" t="s">
        <v>95</v>
      </c>
      <c r="AP1051" s="18" t="s">
        <v>95</v>
      </c>
      <c r="AQ1051" s="18" t="s">
        <v>95</v>
      </c>
      <c r="AR1051" s="18" t="s">
        <v>95</v>
      </c>
      <c r="AS1051" s="18" t="s">
        <v>83</v>
      </c>
      <c r="AT1051" s="18" t="s">
        <v>95</v>
      </c>
      <c r="AU1051" s="18" t="s">
        <v>95</v>
      </c>
      <c r="AV1051" s="18" t="s">
        <v>95</v>
      </c>
      <c r="AW1051" s="18"/>
      <c r="AX1051" s="18"/>
      <c r="AY1051" s="18" t="str">
        <f>Pospago[[#This Row],[NUM_TELEFONICO]]&amp;"POSPAGOSI"</f>
        <v>999053822POSPAGOSI</v>
      </c>
      <c r="AZ1051" s="18" t="str">
        <f>VLOOKUP(Pospago[[#This Row],[NOM_PLAZA_FINAL]],[1]!Locales[#Data],3,0)</f>
        <v>TIENDA RECREO</v>
      </c>
      <c r="BA1051" s="18" t="str">
        <f>IFERROR(VLOOKUP(Pospago[[#This Row],[USUARIO]],[1]!Personal[#Data],6,0),"EJECUTIVO NO REGISTRADO")</f>
        <v>GUEVARA MAZA CRISTIAN FABIAN</v>
      </c>
      <c r="BB1051" s="18" t="str">
        <f>Pospago[[#This Row],[TIPO_MOVIMIENTO]]&amp;" "&amp;Pospago[[#This Row],[FORMA_PAGO_FINAL]]</f>
        <v>ALTAS DOMICILIADO</v>
      </c>
      <c r="BC1051" s="18">
        <f>DAY(Pospago[[#This Row],[FECHA_ALTA]])</f>
        <v>14</v>
      </c>
      <c r="BD1051" s="18">
        <f>IF(Pospago[[#This Row],[TARIFA_BASICA]]=11.42,1,0)</f>
        <v>0</v>
      </c>
      <c r="BE1051" s="18">
        <f>IF(Pospago[[#This Row],[PLANES TELEVENTAS]]="SI",1,0)</f>
        <v>0</v>
      </c>
      <c r="BF1051" s="18">
        <f>1</f>
        <v>1</v>
      </c>
      <c r="BG1051" s="18">
        <f>IF(OR(Pospago[[#This Row],[TARIFA_BASICA]]=11.42,Pospago[[#This Row],[PLANES TELEVENTAS]]="SI"),1,0)</f>
        <v>0</v>
      </c>
      <c r="BH1051" s="18" t="str">
        <f>IF(MID(Pospago[[#This Row],[PlanDesc]],1,4) = "PLAN","POSPAGO",IF(MID(Pospago[[#This Row],[PlanDesc]],1,4)="FULL","FULL MEGAS","PREVIOPAGO"))</f>
        <v>FULL MEGAS</v>
      </c>
      <c r="BI105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105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51" s="21">
        <f>Pospago[[#This Row],[TARIFA_BASICA]]*1.5</f>
        <v>37.5</v>
      </c>
    </row>
    <row r="1052" spans="1:63" x14ac:dyDescent="0.25">
      <c r="A1052" s="18" t="s">
        <v>64</v>
      </c>
      <c r="B1052" s="18" t="s">
        <v>6529</v>
      </c>
      <c r="C1052" s="18" t="s">
        <v>6107</v>
      </c>
      <c r="D1052" s="19">
        <v>44898</v>
      </c>
      <c r="E1052" s="18" t="s">
        <v>67</v>
      </c>
      <c r="F1052" s="18" t="s">
        <v>6108</v>
      </c>
      <c r="G1052" s="18" t="s">
        <v>6109</v>
      </c>
      <c r="H1052" s="18" t="s">
        <v>70</v>
      </c>
      <c r="I1052" s="18" t="s">
        <v>160</v>
      </c>
      <c r="J1052" s="18" t="s">
        <v>195</v>
      </c>
      <c r="K1052" s="18" t="s">
        <v>132</v>
      </c>
      <c r="L1052" s="20" t="s">
        <v>6530</v>
      </c>
      <c r="M1052" s="18" t="s">
        <v>75</v>
      </c>
      <c r="N1052" s="20" t="s">
        <v>6531</v>
      </c>
      <c r="O1052" s="18" t="s">
        <v>77</v>
      </c>
      <c r="P1052" s="18" t="s">
        <v>78</v>
      </c>
      <c r="Q1052" s="19">
        <v>44914</v>
      </c>
      <c r="R1052" s="21">
        <v>14.28</v>
      </c>
      <c r="S1052" s="18" t="s">
        <v>79</v>
      </c>
      <c r="T1052" s="18" t="s">
        <v>174</v>
      </c>
      <c r="U1052" s="18" t="s">
        <v>83</v>
      </c>
      <c r="V1052" s="18" t="s">
        <v>95</v>
      </c>
      <c r="W1052" s="18" t="s">
        <v>83</v>
      </c>
      <c r="X1052" s="18" t="s">
        <v>84</v>
      </c>
      <c r="Y1052" s="18" t="s">
        <v>85</v>
      </c>
      <c r="Z1052" s="18" t="s">
        <v>86</v>
      </c>
      <c r="AA1052" s="18" t="s">
        <v>87</v>
      </c>
      <c r="AB1052" s="18" t="s">
        <v>2159</v>
      </c>
      <c r="AC1052" s="18" t="s">
        <v>2160</v>
      </c>
      <c r="AD1052" s="18" t="s">
        <v>85</v>
      </c>
      <c r="AE1052" s="18" t="s">
        <v>90</v>
      </c>
      <c r="AF1052" s="18" t="s">
        <v>177</v>
      </c>
      <c r="AG1052" s="18" t="s">
        <v>139</v>
      </c>
      <c r="AH1052" s="18" t="s">
        <v>93</v>
      </c>
      <c r="AI1052" s="18" t="s">
        <v>94</v>
      </c>
      <c r="AJ1052" s="19">
        <v>44898</v>
      </c>
      <c r="AK1052" s="22" t="s">
        <v>95</v>
      </c>
      <c r="AL1052" s="18" t="s">
        <v>95</v>
      </c>
      <c r="AM1052" s="18" t="s">
        <v>95</v>
      </c>
      <c r="AN1052" s="18" t="s">
        <v>95</v>
      </c>
      <c r="AO1052" s="18" t="s">
        <v>95</v>
      </c>
      <c r="AP1052" s="18" t="s">
        <v>95</v>
      </c>
      <c r="AQ1052" s="18" t="s">
        <v>95</v>
      </c>
      <c r="AR1052" s="18" t="s">
        <v>95</v>
      </c>
      <c r="AS1052" s="18" t="s">
        <v>83</v>
      </c>
      <c r="AT1052" s="18" t="s">
        <v>83</v>
      </c>
      <c r="AU1052" s="18" t="s">
        <v>81</v>
      </c>
      <c r="AV1052" s="18" t="s">
        <v>95</v>
      </c>
      <c r="AW1052" s="18"/>
      <c r="AX1052" s="18"/>
      <c r="AY1052" s="18" t="str">
        <f>Pospago[[#This Row],[NUM_TELEFONICO]]&amp;"POSPAGOSI"</f>
        <v>999055246POSPAGOSI</v>
      </c>
      <c r="AZ1052" s="18" t="str">
        <f>VLOOKUP(Pospago[[#This Row],[NOM_PLAZA_FINAL]],[1]!Locales[#Data],3,0)</f>
        <v>TIENDA RECREO</v>
      </c>
      <c r="BA1052" s="18" t="str">
        <f>IFERROR(VLOOKUP(Pospago[[#This Row],[USUARIO]],[1]!Personal[#Data],6,0),"EJECUTIVO NO REGISTRADO")</f>
        <v>GUEVARA MAZA CRISTIAN FABIAN</v>
      </c>
      <c r="BB1052" s="18" t="str">
        <f>Pospago[[#This Row],[TIPO_MOVIMIENTO]]&amp;" "&amp;Pospago[[#This Row],[FORMA_PAGO_FINAL]]</f>
        <v>ALTAS DOMICILIADO</v>
      </c>
      <c r="BC1052" s="18">
        <f>DAY(Pospago[[#This Row],[FECHA_ALTA]])</f>
        <v>3</v>
      </c>
      <c r="BD1052" s="18">
        <f>IF(Pospago[[#This Row],[TARIFA_BASICA]]=11.42,1,0)</f>
        <v>0</v>
      </c>
      <c r="BE1052" s="18">
        <f>IF(Pospago[[#This Row],[PLANES TELEVENTAS]]="SI",1,0)</f>
        <v>0</v>
      </c>
      <c r="BF1052" s="18">
        <f>1</f>
        <v>1</v>
      </c>
      <c r="BG1052" s="18">
        <f>IF(OR(Pospago[[#This Row],[TARIFA_BASICA]]=11.42,Pospago[[#This Row],[PLANES TELEVENTAS]]="SI"),1,0)</f>
        <v>0</v>
      </c>
      <c r="BH1052" s="18" t="str">
        <f>IF(MID(Pospago[[#This Row],[PlanDesc]],1,4) = "PLAN","POSPAGO",IF(MID(Pospago[[#This Row],[PlanDesc]],1,4)="FULL","FULL MEGAS","PREVIOPAGO"))</f>
        <v>PREVIOPAGO</v>
      </c>
      <c r="BI105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5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52" s="21">
        <f>Pospago[[#This Row],[TARIFA_BASICA]]*1.5</f>
        <v>21.419999999999998</v>
      </c>
    </row>
    <row r="1053" spans="1:63" x14ac:dyDescent="0.25">
      <c r="A1053" s="18" t="s">
        <v>154</v>
      </c>
      <c r="B1053" s="18" t="s">
        <v>6532</v>
      </c>
      <c r="C1053" s="18" t="s">
        <v>6533</v>
      </c>
      <c r="D1053" s="19">
        <v>44907</v>
      </c>
      <c r="E1053" s="18" t="s">
        <v>67</v>
      </c>
      <c r="F1053" s="18" t="s">
        <v>6534</v>
      </c>
      <c r="G1053" s="18" t="s">
        <v>6535</v>
      </c>
      <c r="H1053" s="18" t="s">
        <v>159</v>
      </c>
      <c r="I1053" s="18" t="s">
        <v>194</v>
      </c>
      <c r="J1053" s="18" t="s">
        <v>268</v>
      </c>
      <c r="K1053" s="18" t="s">
        <v>132</v>
      </c>
      <c r="L1053" s="20" t="s">
        <v>6536</v>
      </c>
      <c r="M1053" s="18" t="s">
        <v>75</v>
      </c>
      <c r="N1053" s="20" t="s">
        <v>6537</v>
      </c>
      <c r="O1053" s="18" t="s">
        <v>164</v>
      </c>
      <c r="P1053" s="18" t="s">
        <v>78</v>
      </c>
      <c r="Q1053" s="19">
        <v>44914</v>
      </c>
      <c r="R1053" s="21">
        <v>14.28</v>
      </c>
      <c r="S1053" s="18" t="s">
        <v>79</v>
      </c>
      <c r="T1053" s="18" t="s">
        <v>232</v>
      </c>
      <c r="U1053" s="18" t="s">
        <v>83</v>
      </c>
      <c r="V1053" s="18" t="s">
        <v>95</v>
      </c>
      <c r="W1053" s="18" t="s">
        <v>95</v>
      </c>
      <c r="X1053" s="18" t="s">
        <v>84</v>
      </c>
      <c r="Y1053" s="18" t="s">
        <v>85</v>
      </c>
      <c r="Z1053" s="18" t="s">
        <v>86</v>
      </c>
      <c r="AA1053" s="18" t="s">
        <v>87</v>
      </c>
      <c r="AB1053" s="18" t="s">
        <v>280</v>
      </c>
      <c r="AC1053" s="18" t="s">
        <v>281</v>
      </c>
      <c r="AD1053" s="18" t="s">
        <v>85</v>
      </c>
      <c r="AE1053" s="18" t="s">
        <v>90</v>
      </c>
      <c r="AF1053" s="18" t="s">
        <v>235</v>
      </c>
      <c r="AG1053" s="18" t="s">
        <v>139</v>
      </c>
      <c r="AH1053" s="18" t="s">
        <v>165</v>
      </c>
      <c r="AI1053" s="18" t="s">
        <v>94</v>
      </c>
      <c r="AJ1053" s="19">
        <v>44907</v>
      </c>
      <c r="AK1053" s="22" t="s">
        <v>95</v>
      </c>
      <c r="AL1053" s="18" t="s">
        <v>95</v>
      </c>
      <c r="AM1053" s="18" t="s">
        <v>95</v>
      </c>
      <c r="AN1053" s="18" t="s">
        <v>95</v>
      </c>
      <c r="AO1053" s="18" t="s">
        <v>95</v>
      </c>
      <c r="AP1053" s="18" t="s">
        <v>95</v>
      </c>
      <c r="AQ1053" s="18" t="s">
        <v>95</v>
      </c>
      <c r="AR1053" s="18" t="s">
        <v>95</v>
      </c>
      <c r="AS1053" s="18" t="s">
        <v>83</v>
      </c>
      <c r="AT1053" s="18" t="s">
        <v>81</v>
      </c>
      <c r="AU1053" s="18" t="s">
        <v>81</v>
      </c>
      <c r="AV1053" s="18" t="s">
        <v>95</v>
      </c>
      <c r="AW1053" s="18"/>
      <c r="AX1053" s="18"/>
      <c r="AY1053" s="18" t="str">
        <f>Pospago[[#This Row],[NUM_TELEFONICO]]&amp;"POSPAGOSI"</f>
        <v>999059955POSPAGOSI</v>
      </c>
      <c r="AZ1053" s="18" t="str">
        <f>VLOOKUP(Pospago[[#This Row],[NOM_PLAZA_FINAL]],[1]!Locales[#Data],3,0)</f>
        <v>TIENDA CONDADO</v>
      </c>
      <c r="BA1053" s="18" t="str">
        <f>IFERROR(VLOOKUP(Pospago[[#This Row],[USUARIO]],[1]!Personal[#Data],6,0),"EJECUTIVO NO REGISTRADO")</f>
        <v>GUACHAMIN CAZA HUGO ADRIAN</v>
      </c>
      <c r="BB1053" s="18" t="str">
        <f>Pospago[[#This Row],[TIPO_MOVIMIENTO]]&amp;" "&amp;Pospago[[#This Row],[FORMA_PAGO_FINAL]]</f>
        <v>TRANSFERENCIAS DOMICILIADO</v>
      </c>
      <c r="BC1053" s="18">
        <f>DAY(Pospago[[#This Row],[FECHA_ALTA]])</f>
        <v>12</v>
      </c>
      <c r="BD1053" s="18">
        <f>IF(Pospago[[#This Row],[TARIFA_BASICA]]=11.42,1,0)</f>
        <v>0</v>
      </c>
      <c r="BE1053" s="18">
        <f>IF(Pospago[[#This Row],[PLANES TELEVENTAS]]="SI",1,0)</f>
        <v>1</v>
      </c>
      <c r="BF1053" s="18">
        <f>1</f>
        <v>1</v>
      </c>
      <c r="BG1053" s="18">
        <f>IF(OR(Pospago[[#This Row],[TARIFA_BASICA]]=11.42,Pospago[[#This Row],[PLANES TELEVENTAS]]="SI"),1,0)</f>
        <v>1</v>
      </c>
      <c r="BH1053" s="18" t="str">
        <f>IF(MID(Pospago[[#This Row],[PlanDesc]],1,4) = "PLAN","POSPAGO",IF(MID(Pospago[[#This Row],[PlanDesc]],1,4)="FULL","FULL MEGAS","PREVIOPAGO"))</f>
        <v>PREVIOPAGO</v>
      </c>
      <c r="BI105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5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53" s="21">
        <f>Pospago[[#This Row],[TARIFA_BASICA]]*1.5</f>
        <v>21.419999999999998</v>
      </c>
    </row>
    <row r="1054" spans="1:63" x14ac:dyDescent="0.25">
      <c r="A1054" s="18" t="s">
        <v>154</v>
      </c>
      <c r="B1054" s="18" t="s">
        <v>6538</v>
      </c>
      <c r="C1054" s="18" t="s">
        <v>6539</v>
      </c>
      <c r="D1054" s="19">
        <v>44899</v>
      </c>
      <c r="E1054" s="18" t="s">
        <v>67</v>
      </c>
      <c r="F1054" s="18" t="s">
        <v>6540</v>
      </c>
      <c r="G1054" s="18" t="s">
        <v>6541</v>
      </c>
      <c r="H1054" s="18" t="s">
        <v>159</v>
      </c>
      <c r="I1054" s="18" t="s">
        <v>71</v>
      </c>
      <c r="J1054" s="18" t="s">
        <v>258</v>
      </c>
      <c r="K1054" s="18" t="s">
        <v>95</v>
      </c>
      <c r="L1054" s="20" t="s">
        <v>6542</v>
      </c>
      <c r="M1054" s="18" t="s">
        <v>75</v>
      </c>
      <c r="N1054" s="20" t="s">
        <v>6543</v>
      </c>
      <c r="O1054" s="18" t="s">
        <v>164</v>
      </c>
      <c r="P1054" s="18" t="s">
        <v>78</v>
      </c>
      <c r="Q1054" s="19">
        <v>44914</v>
      </c>
      <c r="R1054" s="21">
        <v>11.42</v>
      </c>
      <c r="S1054" s="18" t="s">
        <v>79</v>
      </c>
      <c r="T1054" s="18" t="s">
        <v>174</v>
      </c>
      <c r="U1054" s="18" t="s">
        <v>83</v>
      </c>
      <c r="V1054" s="18" t="s">
        <v>95</v>
      </c>
      <c r="W1054" s="18" t="s">
        <v>95</v>
      </c>
      <c r="X1054" s="18" t="s">
        <v>118</v>
      </c>
      <c r="Y1054" s="18" t="s">
        <v>85</v>
      </c>
      <c r="Z1054" s="18" t="s">
        <v>86</v>
      </c>
      <c r="AA1054" s="18" t="s">
        <v>119</v>
      </c>
      <c r="AB1054" s="18" t="s">
        <v>175</v>
      </c>
      <c r="AC1054" s="18" t="s">
        <v>176</v>
      </c>
      <c r="AD1054" s="18" t="s">
        <v>85</v>
      </c>
      <c r="AE1054" s="18" t="s">
        <v>90</v>
      </c>
      <c r="AF1054" s="18" t="s">
        <v>177</v>
      </c>
      <c r="AG1054" s="18" t="s">
        <v>139</v>
      </c>
      <c r="AH1054" s="18" t="s">
        <v>165</v>
      </c>
      <c r="AI1054" s="18" t="s">
        <v>94</v>
      </c>
      <c r="AJ1054" s="19">
        <v>44899</v>
      </c>
      <c r="AK1054" s="22" t="s">
        <v>95</v>
      </c>
      <c r="AL1054" s="18" t="s">
        <v>95</v>
      </c>
      <c r="AM1054" s="18" t="s">
        <v>95</v>
      </c>
      <c r="AN1054" s="18" t="s">
        <v>95</v>
      </c>
      <c r="AO1054" s="18" t="s">
        <v>95</v>
      </c>
      <c r="AP1054" s="18" t="s">
        <v>95</v>
      </c>
      <c r="AQ1054" s="18" t="s">
        <v>95</v>
      </c>
      <c r="AR1054" s="18" t="s">
        <v>95</v>
      </c>
      <c r="AS1054" s="18" t="s">
        <v>83</v>
      </c>
      <c r="AT1054" s="18" t="s">
        <v>83</v>
      </c>
      <c r="AU1054" s="18" t="s">
        <v>81</v>
      </c>
      <c r="AV1054" s="18" t="s">
        <v>95</v>
      </c>
      <c r="AW1054" s="18"/>
      <c r="AX1054" s="18"/>
      <c r="AY1054" s="18" t="str">
        <f>Pospago[[#This Row],[NUM_TELEFONICO]]&amp;"POSPAGOSI"</f>
        <v>999062294POSPAGOSI</v>
      </c>
      <c r="AZ1054" s="18" t="str">
        <f>VLOOKUP(Pospago[[#This Row],[NOM_PLAZA_FINAL]],[1]!Locales[#Data],3,0)</f>
        <v>TIENDA RECREO</v>
      </c>
      <c r="BA1054" s="18" t="str">
        <f>IFERROR(VLOOKUP(Pospago[[#This Row],[USUARIO]],[1]!Personal[#Data],6,0),"EJECUTIVO NO REGISTRADO")</f>
        <v>VARGAS REYES LUIS EDUARDO</v>
      </c>
      <c r="BB1054" s="18" t="str">
        <f>Pospago[[#This Row],[TIPO_MOVIMIENTO]]&amp;" "&amp;Pospago[[#This Row],[FORMA_PAGO_FINAL]]</f>
        <v>TRANSFERENCIAS PAGO EN CAJA</v>
      </c>
      <c r="BC1054" s="18">
        <f>DAY(Pospago[[#This Row],[FECHA_ALTA]])</f>
        <v>4</v>
      </c>
      <c r="BD1054" s="18">
        <f>IF(Pospago[[#This Row],[TARIFA_BASICA]]=11.42,1,0)</f>
        <v>1</v>
      </c>
      <c r="BE1054" s="18">
        <f>IF(Pospago[[#This Row],[PLANES TELEVENTAS]]="SI",1,0)</f>
        <v>0</v>
      </c>
      <c r="BF1054" s="18">
        <f>1</f>
        <v>1</v>
      </c>
      <c r="BG1054" s="18">
        <f>IF(OR(Pospago[[#This Row],[TARIFA_BASICA]]=11.42,Pospago[[#This Row],[PLANES TELEVENTAS]]="SI"),1,0)</f>
        <v>1</v>
      </c>
      <c r="BH1054" s="18" t="str">
        <f>IF(MID(Pospago[[#This Row],[PlanDesc]],1,4) = "PLAN","POSPAGO",IF(MID(Pospago[[#This Row],[PlanDesc]],1,4)="FULL","FULL MEGAS","PREVIOPAGO"))</f>
        <v>PREVIOPAGO</v>
      </c>
      <c r="BI105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5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54" s="21">
        <f>Pospago[[#This Row],[TARIFA_BASICA]]*1.5</f>
        <v>17.13</v>
      </c>
    </row>
    <row r="1055" spans="1:63" x14ac:dyDescent="0.25">
      <c r="A1055" s="18" t="s">
        <v>64</v>
      </c>
      <c r="B1055" s="18" t="s">
        <v>6544</v>
      </c>
      <c r="C1055" s="18" t="s">
        <v>6107</v>
      </c>
      <c r="D1055" s="19">
        <v>44898</v>
      </c>
      <c r="E1055" s="18" t="s">
        <v>67</v>
      </c>
      <c r="F1055" s="18" t="s">
        <v>6108</v>
      </c>
      <c r="G1055" s="18" t="s">
        <v>6109</v>
      </c>
      <c r="H1055" s="18" t="s">
        <v>70</v>
      </c>
      <c r="I1055" s="18" t="s">
        <v>160</v>
      </c>
      <c r="J1055" s="18" t="s">
        <v>195</v>
      </c>
      <c r="K1055" s="18" t="s">
        <v>132</v>
      </c>
      <c r="L1055" s="20" t="s">
        <v>6545</v>
      </c>
      <c r="M1055" s="18" t="s">
        <v>75</v>
      </c>
      <c r="N1055" s="20" t="s">
        <v>6546</v>
      </c>
      <c r="O1055" s="18" t="s">
        <v>77</v>
      </c>
      <c r="P1055" s="18" t="s">
        <v>78</v>
      </c>
      <c r="Q1055" s="19">
        <v>44914</v>
      </c>
      <c r="R1055" s="21">
        <v>14.28</v>
      </c>
      <c r="S1055" s="18" t="s">
        <v>79</v>
      </c>
      <c r="T1055" s="18" t="s">
        <v>174</v>
      </c>
      <c r="U1055" s="18" t="s">
        <v>83</v>
      </c>
      <c r="V1055" s="18" t="s">
        <v>95</v>
      </c>
      <c r="W1055" s="18" t="s">
        <v>83</v>
      </c>
      <c r="X1055" s="18" t="s">
        <v>84</v>
      </c>
      <c r="Y1055" s="18" t="s">
        <v>85</v>
      </c>
      <c r="Z1055" s="18" t="s">
        <v>86</v>
      </c>
      <c r="AA1055" s="18" t="s">
        <v>87</v>
      </c>
      <c r="AB1055" s="18" t="s">
        <v>2159</v>
      </c>
      <c r="AC1055" s="18" t="s">
        <v>2160</v>
      </c>
      <c r="AD1055" s="18" t="s">
        <v>85</v>
      </c>
      <c r="AE1055" s="18" t="s">
        <v>90</v>
      </c>
      <c r="AF1055" s="18" t="s">
        <v>177</v>
      </c>
      <c r="AG1055" s="18" t="s">
        <v>139</v>
      </c>
      <c r="AH1055" s="18" t="s">
        <v>93</v>
      </c>
      <c r="AI1055" s="18" t="s">
        <v>94</v>
      </c>
      <c r="AJ1055" s="19">
        <v>44898</v>
      </c>
      <c r="AK1055" s="22" t="s">
        <v>95</v>
      </c>
      <c r="AL1055" s="18" t="s">
        <v>95</v>
      </c>
      <c r="AM1055" s="18" t="s">
        <v>95</v>
      </c>
      <c r="AN1055" s="18" t="s">
        <v>95</v>
      </c>
      <c r="AO1055" s="18" t="s">
        <v>95</v>
      </c>
      <c r="AP1055" s="18" t="s">
        <v>95</v>
      </c>
      <c r="AQ1055" s="18" t="s">
        <v>95</v>
      </c>
      <c r="AR1055" s="18" t="s">
        <v>95</v>
      </c>
      <c r="AS1055" s="18" t="s">
        <v>83</v>
      </c>
      <c r="AT1055" s="18" t="s">
        <v>83</v>
      </c>
      <c r="AU1055" s="18" t="s">
        <v>81</v>
      </c>
      <c r="AV1055" s="18" t="s">
        <v>95</v>
      </c>
      <c r="AW1055" s="18"/>
      <c r="AX1055" s="18"/>
      <c r="AY1055" s="18" t="str">
        <f>Pospago[[#This Row],[NUM_TELEFONICO]]&amp;"POSPAGOSI"</f>
        <v>999063538POSPAGOSI</v>
      </c>
      <c r="AZ1055" s="18" t="str">
        <f>VLOOKUP(Pospago[[#This Row],[NOM_PLAZA_FINAL]],[1]!Locales[#Data],3,0)</f>
        <v>TIENDA RECREO</v>
      </c>
      <c r="BA1055" s="18" t="str">
        <f>IFERROR(VLOOKUP(Pospago[[#This Row],[USUARIO]],[1]!Personal[#Data],6,0),"EJECUTIVO NO REGISTRADO")</f>
        <v>GUEVARA MAZA CRISTIAN FABIAN</v>
      </c>
      <c r="BB1055" s="18" t="str">
        <f>Pospago[[#This Row],[TIPO_MOVIMIENTO]]&amp;" "&amp;Pospago[[#This Row],[FORMA_PAGO_FINAL]]</f>
        <v>ALTAS DOMICILIADO</v>
      </c>
      <c r="BC1055" s="18">
        <f>DAY(Pospago[[#This Row],[FECHA_ALTA]])</f>
        <v>3</v>
      </c>
      <c r="BD1055" s="18">
        <f>IF(Pospago[[#This Row],[TARIFA_BASICA]]=11.42,1,0)</f>
        <v>0</v>
      </c>
      <c r="BE1055" s="18">
        <f>IF(Pospago[[#This Row],[PLANES TELEVENTAS]]="SI",1,0)</f>
        <v>0</v>
      </c>
      <c r="BF1055" s="18">
        <f>1</f>
        <v>1</v>
      </c>
      <c r="BG1055" s="18">
        <f>IF(OR(Pospago[[#This Row],[TARIFA_BASICA]]=11.42,Pospago[[#This Row],[PLANES TELEVENTAS]]="SI"),1,0)</f>
        <v>0</v>
      </c>
      <c r="BH1055" s="18" t="str">
        <f>IF(MID(Pospago[[#This Row],[PlanDesc]],1,4) = "PLAN","POSPAGO",IF(MID(Pospago[[#This Row],[PlanDesc]],1,4)="FULL","FULL MEGAS","PREVIOPAGO"))</f>
        <v>PREVIOPAGO</v>
      </c>
      <c r="BI105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5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55" s="21">
        <f>Pospago[[#This Row],[TARIFA_BASICA]]*1.5</f>
        <v>21.419999999999998</v>
      </c>
    </row>
    <row r="1056" spans="1:63" x14ac:dyDescent="0.25">
      <c r="A1056" s="18" t="s">
        <v>64</v>
      </c>
      <c r="B1056" s="18" t="s">
        <v>6547</v>
      </c>
      <c r="C1056" s="18" t="s">
        <v>6548</v>
      </c>
      <c r="D1056" s="19">
        <v>44902</v>
      </c>
      <c r="E1056" s="18" t="s">
        <v>67</v>
      </c>
      <c r="F1056" s="18" t="s">
        <v>6549</v>
      </c>
      <c r="G1056" s="18" t="s">
        <v>6550</v>
      </c>
      <c r="H1056" s="18" t="s">
        <v>70</v>
      </c>
      <c r="I1056" s="18" t="s">
        <v>227</v>
      </c>
      <c r="J1056" s="18" t="s">
        <v>228</v>
      </c>
      <c r="K1056" s="18" t="s">
        <v>132</v>
      </c>
      <c r="L1056" s="20" t="s">
        <v>6551</v>
      </c>
      <c r="M1056" s="18" t="s">
        <v>75</v>
      </c>
      <c r="N1056" s="20" t="s">
        <v>6552</v>
      </c>
      <c r="O1056" s="18" t="s">
        <v>77</v>
      </c>
      <c r="P1056" s="18" t="s">
        <v>78</v>
      </c>
      <c r="Q1056" s="19">
        <v>44914</v>
      </c>
      <c r="R1056" s="21">
        <v>21.42</v>
      </c>
      <c r="S1056" s="18" t="s">
        <v>79</v>
      </c>
      <c r="T1056" s="18" t="s">
        <v>174</v>
      </c>
      <c r="U1056" s="18" t="s">
        <v>81</v>
      </c>
      <c r="V1056" s="18" t="s">
        <v>82</v>
      </c>
      <c r="W1056" s="18" t="s">
        <v>83</v>
      </c>
      <c r="X1056" s="18" t="s">
        <v>84</v>
      </c>
      <c r="Y1056" s="18" t="s">
        <v>85</v>
      </c>
      <c r="Z1056" s="18" t="s">
        <v>86</v>
      </c>
      <c r="AA1056" s="18" t="s">
        <v>87</v>
      </c>
      <c r="AB1056" s="18" t="s">
        <v>2159</v>
      </c>
      <c r="AC1056" s="18" t="s">
        <v>2160</v>
      </c>
      <c r="AD1056" s="18" t="s">
        <v>85</v>
      </c>
      <c r="AE1056" s="18" t="s">
        <v>90</v>
      </c>
      <c r="AF1056" s="18" t="s">
        <v>177</v>
      </c>
      <c r="AG1056" s="18" t="s">
        <v>139</v>
      </c>
      <c r="AH1056" s="18" t="s">
        <v>93</v>
      </c>
      <c r="AI1056" s="18" t="s">
        <v>94</v>
      </c>
      <c r="AJ1056" s="19">
        <v>44902</v>
      </c>
      <c r="AK1056" s="22" t="s">
        <v>95</v>
      </c>
      <c r="AL1056" s="18" t="s">
        <v>95</v>
      </c>
      <c r="AM1056" s="18" t="s">
        <v>95</v>
      </c>
      <c r="AN1056" s="18" t="s">
        <v>95</v>
      </c>
      <c r="AO1056" s="18" t="s">
        <v>95</v>
      </c>
      <c r="AP1056" s="18" t="s">
        <v>95</v>
      </c>
      <c r="AQ1056" s="18" t="s">
        <v>95</v>
      </c>
      <c r="AR1056" s="18" t="s">
        <v>95</v>
      </c>
      <c r="AS1056" s="18" t="s">
        <v>83</v>
      </c>
      <c r="AT1056" s="18" t="s">
        <v>83</v>
      </c>
      <c r="AU1056" s="18" t="s">
        <v>81</v>
      </c>
      <c r="AV1056" s="18" t="s">
        <v>95</v>
      </c>
      <c r="AW1056" s="18"/>
      <c r="AX1056" s="18"/>
      <c r="AY1056" s="18" t="str">
        <f>Pospago[[#This Row],[NUM_TELEFONICO]]&amp;"POSPAGOSI"</f>
        <v>999069658POSPAGOSI</v>
      </c>
      <c r="AZ1056" s="18" t="str">
        <f>VLOOKUP(Pospago[[#This Row],[NOM_PLAZA_FINAL]],[1]!Locales[#Data],3,0)</f>
        <v>TIENDA RECREO</v>
      </c>
      <c r="BA1056" s="18" t="str">
        <f>IFERROR(VLOOKUP(Pospago[[#This Row],[USUARIO]],[1]!Personal[#Data],6,0),"EJECUTIVO NO REGISTRADO")</f>
        <v>GUEVARA MAZA CRISTIAN FABIAN</v>
      </c>
      <c r="BB1056" s="18" t="str">
        <f>Pospago[[#This Row],[TIPO_MOVIMIENTO]]&amp;" "&amp;Pospago[[#This Row],[FORMA_PAGO_FINAL]]</f>
        <v>ALTAS DOMICILIADO</v>
      </c>
      <c r="BC1056" s="18">
        <f>DAY(Pospago[[#This Row],[FECHA_ALTA]])</f>
        <v>7</v>
      </c>
      <c r="BD1056" s="18">
        <f>IF(Pospago[[#This Row],[TARIFA_BASICA]]=11.42,1,0)</f>
        <v>0</v>
      </c>
      <c r="BE1056" s="18">
        <f>IF(Pospago[[#This Row],[PLANES TELEVENTAS]]="SI",1,0)</f>
        <v>0</v>
      </c>
      <c r="BF1056" s="18">
        <f>1</f>
        <v>1</v>
      </c>
      <c r="BG1056" s="18">
        <f>IF(OR(Pospago[[#This Row],[TARIFA_BASICA]]=11.42,Pospago[[#This Row],[PLANES TELEVENTAS]]="SI"),1,0)</f>
        <v>0</v>
      </c>
      <c r="BH1056" s="18" t="str">
        <f>IF(MID(Pospago[[#This Row],[PlanDesc]],1,4) = "PLAN","POSPAGO",IF(MID(Pospago[[#This Row],[PlanDesc]],1,4)="FULL","FULL MEGAS","PREVIOPAGO"))</f>
        <v>PREVIOPAGO</v>
      </c>
      <c r="BI105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105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56" s="21">
        <f>Pospago[[#This Row],[TARIFA_BASICA]]*1.5</f>
        <v>32.130000000000003</v>
      </c>
    </row>
    <row r="1057" spans="1:63" x14ac:dyDescent="0.25">
      <c r="A1057" s="18" t="s">
        <v>64</v>
      </c>
      <c r="B1057" s="18" t="s">
        <v>6553</v>
      </c>
      <c r="C1057" s="18" t="s">
        <v>3846</v>
      </c>
      <c r="D1057" s="19">
        <v>44898</v>
      </c>
      <c r="E1057" s="18" t="s">
        <v>67</v>
      </c>
      <c r="F1057" s="18" t="s">
        <v>3847</v>
      </c>
      <c r="G1057" s="18" t="s">
        <v>3848</v>
      </c>
      <c r="H1057" s="18" t="s">
        <v>70</v>
      </c>
      <c r="I1057" s="18" t="s">
        <v>160</v>
      </c>
      <c r="J1057" s="18" t="s">
        <v>195</v>
      </c>
      <c r="K1057" s="18" t="s">
        <v>132</v>
      </c>
      <c r="L1057" s="20" t="s">
        <v>6554</v>
      </c>
      <c r="M1057" s="18" t="s">
        <v>75</v>
      </c>
      <c r="N1057" s="20" t="s">
        <v>6555</v>
      </c>
      <c r="O1057" s="18" t="s">
        <v>77</v>
      </c>
      <c r="P1057" s="18" t="s">
        <v>78</v>
      </c>
      <c r="Q1057" s="19">
        <v>44914</v>
      </c>
      <c r="R1057" s="21">
        <v>14.28</v>
      </c>
      <c r="S1057" s="18" t="s">
        <v>79</v>
      </c>
      <c r="T1057" s="18" t="s">
        <v>174</v>
      </c>
      <c r="U1057" s="18" t="s">
        <v>83</v>
      </c>
      <c r="V1057" s="18" t="s">
        <v>95</v>
      </c>
      <c r="W1057" s="18" t="s">
        <v>83</v>
      </c>
      <c r="X1057" s="18" t="s">
        <v>84</v>
      </c>
      <c r="Y1057" s="18" t="s">
        <v>85</v>
      </c>
      <c r="Z1057" s="18" t="s">
        <v>86</v>
      </c>
      <c r="AA1057" s="18" t="s">
        <v>87</v>
      </c>
      <c r="AB1057" s="18" t="s">
        <v>2159</v>
      </c>
      <c r="AC1057" s="18" t="s">
        <v>2160</v>
      </c>
      <c r="AD1057" s="18" t="s">
        <v>85</v>
      </c>
      <c r="AE1057" s="18" t="s">
        <v>90</v>
      </c>
      <c r="AF1057" s="18" t="s">
        <v>177</v>
      </c>
      <c r="AG1057" s="18" t="s">
        <v>139</v>
      </c>
      <c r="AH1057" s="18" t="s">
        <v>93</v>
      </c>
      <c r="AI1057" s="18" t="s">
        <v>94</v>
      </c>
      <c r="AJ1057" s="19">
        <v>44898</v>
      </c>
      <c r="AK1057" s="22" t="s">
        <v>95</v>
      </c>
      <c r="AL1057" s="18" t="s">
        <v>95</v>
      </c>
      <c r="AM1057" s="18" t="s">
        <v>95</v>
      </c>
      <c r="AN1057" s="18" t="s">
        <v>95</v>
      </c>
      <c r="AO1057" s="18" t="s">
        <v>95</v>
      </c>
      <c r="AP1057" s="18" t="s">
        <v>95</v>
      </c>
      <c r="AQ1057" s="18" t="s">
        <v>95</v>
      </c>
      <c r="AR1057" s="18" t="s">
        <v>95</v>
      </c>
      <c r="AS1057" s="18" t="s">
        <v>83</v>
      </c>
      <c r="AT1057" s="18" t="s">
        <v>83</v>
      </c>
      <c r="AU1057" s="18" t="s">
        <v>81</v>
      </c>
      <c r="AV1057" s="18" t="s">
        <v>95</v>
      </c>
      <c r="AW1057" s="18"/>
      <c r="AX1057" s="18"/>
      <c r="AY1057" s="18" t="str">
        <f>Pospago[[#This Row],[NUM_TELEFONICO]]&amp;"POSPAGOSI"</f>
        <v>999071836POSPAGOSI</v>
      </c>
      <c r="AZ1057" s="18" t="str">
        <f>VLOOKUP(Pospago[[#This Row],[NOM_PLAZA_FINAL]],[1]!Locales[#Data],3,0)</f>
        <v>TIENDA RECREO</v>
      </c>
      <c r="BA1057" s="18" t="str">
        <f>IFERROR(VLOOKUP(Pospago[[#This Row],[USUARIO]],[1]!Personal[#Data],6,0),"EJECUTIVO NO REGISTRADO")</f>
        <v>GUEVARA MAZA CRISTIAN FABIAN</v>
      </c>
      <c r="BB1057" s="18" t="str">
        <f>Pospago[[#This Row],[TIPO_MOVIMIENTO]]&amp;" "&amp;Pospago[[#This Row],[FORMA_PAGO_FINAL]]</f>
        <v>ALTAS DOMICILIADO</v>
      </c>
      <c r="BC1057" s="18">
        <f>DAY(Pospago[[#This Row],[FECHA_ALTA]])</f>
        <v>3</v>
      </c>
      <c r="BD1057" s="18">
        <f>IF(Pospago[[#This Row],[TARIFA_BASICA]]=11.42,1,0)</f>
        <v>0</v>
      </c>
      <c r="BE1057" s="18">
        <f>IF(Pospago[[#This Row],[PLANES TELEVENTAS]]="SI",1,0)</f>
        <v>0</v>
      </c>
      <c r="BF1057" s="18">
        <f>1</f>
        <v>1</v>
      </c>
      <c r="BG1057" s="18">
        <f>IF(OR(Pospago[[#This Row],[TARIFA_BASICA]]=11.42,Pospago[[#This Row],[PLANES TELEVENTAS]]="SI"),1,0)</f>
        <v>0</v>
      </c>
      <c r="BH1057" s="18" t="str">
        <f>IF(MID(Pospago[[#This Row],[PlanDesc]],1,4) = "PLAN","POSPAGO",IF(MID(Pospago[[#This Row],[PlanDesc]],1,4)="FULL","FULL MEGAS","PREVIOPAGO"))</f>
        <v>PREVIOPAGO</v>
      </c>
      <c r="BI105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5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57" s="21">
        <f>Pospago[[#This Row],[TARIFA_BASICA]]*1.5</f>
        <v>21.419999999999998</v>
      </c>
    </row>
    <row r="1058" spans="1:63" x14ac:dyDescent="0.25">
      <c r="A1058" s="18" t="s">
        <v>64</v>
      </c>
      <c r="B1058" s="18" t="s">
        <v>6556</v>
      </c>
      <c r="C1058" s="18" t="s">
        <v>6557</v>
      </c>
      <c r="D1058" s="19">
        <v>44900</v>
      </c>
      <c r="E1058" s="18" t="s">
        <v>67</v>
      </c>
      <c r="F1058" s="18" t="s">
        <v>6558</v>
      </c>
      <c r="G1058" s="18" t="s">
        <v>6559</v>
      </c>
      <c r="H1058" s="18" t="s">
        <v>70</v>
      </c>
      <c r="I1058" s="18" t="s">
        <v>160</v>
      </c>
      <c r="J1058" s="18" t="s">
        <v>195</v>
      </c>
      <c r="K1058" s="18" t="s">
        <v>132</v>
      </c>
      <c r="L1058" s="20" t="s">
        <v>6560</v>
      </c>
      <c r="M1058" s="18" t="s">
        <v>75</v>
      </c>
      <c r="N1058" s="20" t="s">
        <v>6561</v>
      </c>
      <c r="O1058" s="18" t="s">
        <v>77</v>
      </c>
      <c r="P1058" s="18" t="s">
        <v>78</v>
      </c>
      <c r="Q1058" s="19">
        <v>44914</v>
      </c>
      <c r="R1058" s="21">
        <v>14.28</v>
      </c>
      <c r="S1058" s="18" t="s">
        <v>79</v>
      </c>
      <c r="T1058" s="18" t="s">
        <v>174</v>
      </c>
      <c r="U1058" s="18" t="s">
        <v>83</v>
      </c>
      <c r="V1058" s="18" t="s">
        <v>95</v>
      </c>
      <c r="W1058" s="18" t="s">
        <v>83</v>
      </c>
      <c r="X1058" s="18" t="s">
        <v>118</v>
      </c>
      <c r="Y1058" s="18" t="s">
        <v>85</v>
      </c>
      <c r="Z1058" s="18" t="s">
        <v>86</v>
      </c>
      <c r="AA1058" s="18" t="s">
        <v>119</v>
      </c>
      <c r="AB1058" s="18" t="s">
        <v>2159</v>
      </c>
      <c r="AC1058" s="18" t="s">
        <v>2160</v>
      </c>
      <c r="AD1058" s="18" t="s">
        <v>85</v>
      </c>
      <c r="AE1058" s="18" t="s">
        <v>90</v>
      </c>
      <c r="AF1058" s="18" t="s">
        <v>177</v>
      </c>
      <c r="AG1058" s="18" t="s">
        <v>139</v>
      </c>
      <c r="AH1058" s="18" t="s">
        <v>93</v>
      </c>
      <c r="AI1058" s="18" t="s">
        <v>94</v>
      </c>
      <c r="AJ1058" s="19">
        <v>44900</v>
      </c>
      <c r="AK1058" s="22" t="s">
        <v>95</v>
      </c>
      <c r="AL1058" s="18" t="s">
        <v>95</v>
      </c>
      <c r="AM1058" s="18" t="s">
        <v>95</v>
      </c>
      <c r="AN1058" s="18" t="s">
        <v>95</v>
      </c>
      <c r="AO1058" s="18" t="s">
        <v>95</v>
      </c>
      <c r="AP1058" s="18" t="s">
        <v>95</v>
      </c>
      <c r="AQ1058" s="18" t="s">
        <v>95</v>
      </c>
      <c r="AR1058" s="18" t="s">
        <v>95</v>
      </c>
      <c r="AS1058" s="18" t="s">
        <v>83</v>
      </c>
      <c r="AT1058" s="18" t="s">
        <v>83</v>
      </c>
      <c r="AU1058" s="18" t="s">
        <v>81</v>
      </c>
      <c r="AV1058" s="18" t="s">
        <v>95</v>
      </c>
      <c r="AW1058" s="18"/>
      <c r="AX1058" s="18"/>
      <c r="AY1058" s="18" t="str">
        <f>Pospago[[#This Row],[NUM_TELEFONICO]]&amp;"POSPAGOSI"</f>
        <v>999074562POSPAGOSI</v>
      </c>
      <c r="AZ1058" s="18" t="str">
        <f>VLOOKUP(Pospago[[#This Row],[NOM_PLAZA_FINAL]],[1]!Locales[#Data],3,0)</f>
        <v>TIENDA RECREO</v>
      </c>
      <c r="BA1058" s="18" t="str">
        <f>IFERROR(VLOOKUP(Pospago[[#This Row],[USUARIO]],[1]!Personal[#Data],6,0),"EJECUTIVO NO REGISTRADO")</f>
        <v>GUEVARA MAZA CRISTIAN FABIAN</v>
      </c>
      <c r="BB1058" s="18" t="str">
        <f>Pospago[[#This Row],[TIPO_MOVIMIENTO]]&amp;" "&amp;Pospago[[#This Row],[FORMA_PAGO_FINAL]]</f>
        <v>ALTAS PAGO EN CAJA</v>
      </c>
      <c r="BC1058" s="18">
        <f>DAY(Pospago[[#This Row],[FECHA_ALTA]])</f>
        <v>5</v>
      </c>
      <c r="BD1058" s="18">
        <f>IF(Pospago[[#This Row],[TARIFA_BASICA]]=11.42,1,0)</f>
        <v>0</v>
      </c>
      <c r="BE1058" s="18">
        <f>IF(Pospago[[#This Row],[PLANES TELEVENTAS]]="SI",1,0)</f>
        <v>0</v>
      </c>
      <c r="BF1058" s="18">
        <f>1</f>
        <v>1</v>
      </c>
      <c r="BG1058" s="18">
        <f>IF(OR(Pospago[[#This Row],[TARIFA_BASICA]]=11.42,Pospago[[#This Row],[PLANES TELEVENTAS]]="SI"),1,0)</f>
        <v>0</v>
      </c>
      <c r="BH1058" s="18" t="str">
        <f>IF(MID(Pospago[[#This Row],[PlanDesc]],1,4) = "PLAN","POSPAGO",IF(MID(Pospago[[#This Row],[PlanDesc]],1,4)="FULL","FULL MEGAS","PREVIOPAGO"))</f>
        <v>PREVIOPAGO</v>
      </c>
      <c r="BI105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05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58" s="21">
        <f>Pospago[[#This Row],[TARIFA_BASICA]]*1.5</f>
        <v>21.419999999999998</v>
      </c>
    </row>
    <row r="1059" spans="1:63" x14ac:dyDescent="0.25">
      <c r="A1059" s="18" t="s">
        <v>154</v>
      </c>
      <c r="B1059" s="18" t="s">
        <v>6562</v>
      </c>
      <c r="C1059" s="18" t="s">
        <v>6563</v>
      </c>
      <c r="D1059" s="19">
        <v>44901</v>
      </c>
      <c r="E1059" s="18" t="s">
        <v>67</v>
      </c>
      <c r="F1059" s="18" t="s">
        <v>6564</v>
      </c>
      <c r="G1059" s="18" t="s">
        <v>6565</v>
      </c>
      <c r="H1059" s="18" t="s">
        <v>159</v>
      </c>
      <c r="I1059" s="18" t="s">
        <v>160</v>
      </c>
      <c r="J1059" s="18" t="s">
        <v>161</v>
      </c>
      <c r="K1059" s="18" t="s">
        <v>95</v>
      </c>
      <c r="L1059" s="20" t="s">
        <v>6566</v>
      </c>
      <c r="M1059" s="18" t="s">
        <v>75</v>
      </c>
      <c r="N1059" s="20" t="s">
        <v>6567</v>
      </c>
      <c r="O1059" s="18" t="s">
        <v>164</v>
      </c>
      <c r="P1059" s="18" t="s">
        <v>78</v>
      </c>
      <c r="Q1059" s="19">
        <v>44914</v>
      </c>
      <c r="R1059" s="21">
        <v>14.28</v>
      </c>
      <c r="S1059" s="18" t="s">
        <v>79</v>
      </c>
      <c r="T1059" s="18" t="s">
        <v>135</v>
      </c>
      <c r="U1059" s="18" t="s">
        <v>83</v>
      </c>
      <c r="V1059" s="18" t="s">
        <v>95</v>
      </c>
      <c r="W1059" s="18" t="s">
        <v>95</v>
      </c>
      <c r="X1059" s="18" t="s">
        <v>118</v>
      </c>
      <c r="Y1059" s="18" t="s">
        <v>85</v>
      </c>
      <c r="Z1059" s="18" t="s">
        <v>86</v>
      </c>
      <c r="AA1059" s="18" t="s">
        <v>119</v>
      </c>
      <c r="AB1059" s="18" t="s">
        <v>541</v>
      </c>
      <c r="AC1059" s="18" t="s">
        <v>542</v>
      </c>
      <c r="AD1059" s="18" t="s">
        <v>85</v>
      </c>
      <c r="AE1059" s="18" t="s">
        <v>90</v>
      </c>
      <c r="AF1059" s="18" t="s">
        <v>138</v>
      </c>
      <c r="AG1059" s="18" t="s">
        <v>139</v>
      </c>
      <c r="AH1059" s="18" t="s">
        <v>165</v>
      </c>
      <c r="AI1059" s="18" t="s">
        <v>94</v>
      </c>
      <c r="AJ1059" s="19">
        <v>44901</v>
      </c>
      <c r="AK1059" s="22" t="s">
        <v>95</v>
      </c>
      <c r="AL1059" s="18" t="s">
        <v>95</v>
      </c>
      <c r="AM1059" s="18" t="s">
        <v>95</v>
      </c>
      <c r="AN1059" s="18" t="s">
        <v>95</v>
      </c>
      <c r="AO1059" s="18" t="s">
        <v>95</v>
      </c>
      <c r="AP1059" s="18" t="s">
        <v>95</v>
      </c>
      <c r="AQ1059" s="18" t="s">
        <v>95</v>
      </c>
      <c r="AR1059" s="18" t="s">
        <v>95</v>
      </c>
      <c r="AS1059" s="18" t="s">
        <v>83</v>
      </c>
      <c r="AT1059" s="18" t="s">
        <v>83</v>
      </c>
      <c r="AU1059" s="18" t="s">
        <v>81</v>
      </c>
      <c r="AV1059" s="18" t="s">
        <v>95</v>
      </c>
      <c r="AW1059" s="18"/>
      <c r="AX1059" s="18"/>
      <c r="AY1059" s="18" t="str">
        <f>Pospago[[#This Row],[NUM_TELEFONICO]]&amp;"POSPAGOSI"</f>
        <v>999086157POSPAGOSI</v>
      </c>
      <c r="AZ1059" s="18" t="str">
        <f>VLOOKUP(Pospago[[#This Row],[NOM_PLAZA_FINAL]],[1]!Locales[#Data],3,0)</f>
        <v>TIENDA AMERICA</v>
      </c>
      <c r="BA1059" s="18" t="str">
        <f>IFERROR(VLOOKUP(Pospago[[#This Row],[USUARIO]],[1]!Personal[#Data],6,0),"EJECUTIVO NO REGISTRADO")</f>
        <v>CEVALLOS PONCE DIANA CAROLINA</v>
      </c>
      <c r="BB1059" s="18" t="str">
        <f>Pospago[[#This Row],[TIPO_MOVIMIENTO]]&amp;" "&amp;Pospago[[#This Row],[FORMA_PAGO_FINAL]]</f>
        <v>TRANSFERENCIAS PAGO EN CAJA</v>
      </c>
      <c r="BC1059" s="18">
        <f>DAY(Pospago[[#This Row],[FECHA_ALTA]])</f>
        <v>6</v>
      </c>
      <c r="BD1059" s="18">
        <f>IF(Pospago[[#This Row],[TARIFA_BASICA]]=11.42,1,0)</f>
        <v>0</v>
      </c>
      <c r="BE1059" s="18">
        <f>IF(Pospago[[#This Row],[PLANES TELEVENTAS]]="SI",1,0)</f>
        <v>0</v>
      </c>
      <c r="BF1059" s="18">
        <f>1</f>
        <v>1</v>
      </c>
      <c r="BG1059" s="18">
        <f>IF(OR(Pospago[[#This Row],[TARIFA_BASICA]]=11.42,Pospago[[#This Row],[PLANES TELEVENTAS]]="SI"),1,0)</f>
        <v>0</v>
      </c>
      <c r="BH1059" s="18" t="str">
        <f>IF(MID(Pospago[[#This Row],[PlanDesc]],1,4) = "PLAN","POSPAGO",IF(MID(Pospago[[#This Row],[PlanDesc]],1,4)="FULL","FULL MEGAS","PREVIOPAGO"))</f>
        <v>PREVIOPAGO</v>
      </c>
      <c r="BI105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05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59" s="21">
        <f>Pospago[[#This Row],[TARIFA_BASICA]]*1.5</f>
        <v>21.419999999999998</v>
      </c>
    </row>
    <row r="1060" spans="1:63" x14ac:dyDescent="0.25">
      <c r="A1060" s="18" t="s">
        <v>154</v>
      </c>
      <c r="B1060" s="18" t="s">
        <v>6568</v>
      </c>
      <c r="C1060" s="18" t="s">
        <v>6569</v>
      </c>
      <c r="D1060" s="19">
        <v>44903</v>
      </c>
      <c r="E1060" s="18" t="s">
        <v>67</v>
      </c>
      <c r="F1060" s="18" t="s">
        <v>6570</v>
      </c>
      <c r="G1060" s="18" t="s">
        <v>6571</v>
      </c>
      <c r="H1060" s="18" t="s">
        <v>159</v>
      </c>
      <c r="I1060" s="18" t="s">
        <v>71</v>
      </c>
      <c r="J1060" s="18" t="s">
        <v>258</v>
      </c>
      <c r="K1060" s="18" t="s">
        <v>132</v>
      </c>
      <c r="L1060" s="20" t="s">
        <v>6572</v>
      </c>
      <c r="M1060" s="18" t="s">
        <v>75</v>
      </c>
      <c r="N1060" s="20" t="s">
        <v>6573</v>
      </c>
      <c r="O1060" s="18" t="s">
        <v>2241</v>
      </c>
      <c r="P1060" s="18" t="s">
        <v>78</v>
      </c>
      <c r="Q1060" s="19">
        <v>44914</v>
      </c>
      <c r="R1060" s="21">
        <v>11.42</v>
      </c>
      <c r="S1060" s="18" t="s">
        <v>79</v>
      </c>
      <c r="T1060" s="18" t="s">
        <v>174</v>
      </c>
      <c r="U1060" s="18" t="s">
        <v>83</v>
      </c>
      <c r="V1060" s="18" t="s">
        <v>95</v>
      </c>
      <c r="W1060" s="18" t="s">
        <v>95</v>
      </c>
      <c r="X1060" s="18" t="s">
        <v>118</v>
      </c>
      <c r="Y1060" s="18" t="s">
        <v>85</v>
      </c>
      <c r="Z1060" s="18" t="s">
        <v>86</v>
      </c>
      <c r="AA1060" s="18" t="s">
        <v>119</v>
      </c>
      <c r="AB1060" s="18" t="s">
        <v>175</v>
      </c>
      <c r="AC1060" s="18" t="s">
        <v>176</v>
      </c>
      <c r="AD1060" s="18" t="s">
        <v>85</v>
      </c>
      <c r="AE1060" s="18" t="s">
        <v>90</v>
      </c>
      <c r="AF1060" s="18" t="s">
        <v>177</v>
      </c>
      <c r="AG1060" s="18" t="s">
        <v>139</v>
      </c>
      <c r="AH1060" s="18" t="s">
        <v>165</v>
      </c>
      <c r="AI1060" s="18" t="s">
        <v>94</v>
      </c>
      <c r="AJ1060" s="19">
        <v>44903</v>
      </c>
      <c r="AK1060" s="22" t="s">
        <v>95</v>
      </c>
      <c r="AL1060" s="18" t="s">
        <v>95</v>
      </c>
      <c r="AM1060" s="18" t="s">
        <v>95</v>
      </c>
      <c r="AN1060" s="18" t="s">
        <v>95</v>
      </c>
      <c r="AO1060" s="18" t="s">
        <v>95</v>
      </c>
      <c r="AP1060" s="18" t="s">
        <v>95</v>
      </c>
      <c r="AQ1060" s="18" t="s">
        <v>95</v>
      </c>
      <c r="AR1060" s="18" t="s">
        <v>95</v>
      </c>
      <c r="AS1060" s="18" t="s">
        <v>83</v>
      </c>
      <c r="AT1060" s="18" t="s">
        <v>83</v>
      </c>
      <c r="AU1060" s="18" t="s">
        <v>81</v>
      </c>
      <c r="AV1060" s="18" t="s">
        <v>95</v>
      </c>
      <c r="AW1060" s="18"/>
      <c r="AX1060" s="18"/>
      <c r="AY1060" s="18" t="str">
        <f>Pospago[[#This Row],[NUM_TELEFONICO]]&amp;"POSPAGOSI"</f>
        <v>999088840POSPAGOSI</v>
      </c>
      <c r="AZ1060" s="18" t="str">
        <f>VLOOKUP(Pospago[[#This Row],[NOM_PLAZA_FINAL]],[1]!Locales[#Data],3,0)</f>
        <v>TIENDA RECREO</v>
      </c>
      <c r="BA1060" s="18" t="str">
        <f>IFERROR(VLOOKUP(Pospago[[#This Row],[USUARIO]],[1]!Personal[#Data],6,0),"EJECUTIVO NO REGISTRADO")</f>
        <v>VARGAS REYES LUIS EDUARDO</v>
      </c>
      <c r="BB1060" s="18" t="str">
        <f>Pospago[[#This Row],[TIPO_MOVIMIENTO]]&amp;" "&amp;Pospago[[#This Row],[FORMA_PAGO_FINAL]]</f>
        <v>TRANSFERENCIAS PAGO EN CAJA</v>
      </c>
      <c r="BC1060" s="18">
        <f>DAY(Pospago[[#This Row],[FECHA_ALTA]])</f>
        <v>8</v>
      </c>
      <c r="BD1060" s="18">
        <f>IF(Pospago[[#This Row],[TARIFA_BASICA]]=11.42,1,0)</f>
        <v>1</v>
      </c>
      <c r="BE1060" s="18">
        <f>IF(Pospago[[#This Row],[PLANES TELEVENTAS]]="SI",1,0)</f>
        <v>0</v>
      </c>
      <c r="BF1060" s="18">
        <f>1</f>
        <v>1</v>
      </c>
      <c r="BG1060" s="18">
        <f>IF(OR(Pospago[[#This Row],[TARIFA_BASICA]]=11.42,Pospago[[#This Row],[PLANES TELEVENTAS]]="SI"),1,0)</f>
        <v>1</v>
      </c>
      <c r="BH1060" s="18" t="str">
        <f>IF(MID(Pospago[[#This Row],[PlanDesc]],1,4) = "PLAN","POSPAGO",IF(MID(Pospago[[#This Row],[PlanDesc]],1,4)="FULL","FULL MEGAS","PREVIOPAGO"))</f>
        <v>PREVIOPAGO</v>
      </c>
      <c r="BI106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6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60" s="21">
        <f>Pospago[[#This Row],[TARIFA_BASICA]]*1.5</f>
        <v>17.13</v>
      </c>
    </row>
    <row r="1061" spans="1:63" x14ac:dyDescent="0.25">
      <c r="A1061" s="18" t="s">
        <v>64</v>
      </c>
      <c r="B1061" s="18" t="s">
        <v>6574</v>
      </c>
      <c r="C1061" s="18" t="s">
        <v>6575</v>
      </c>
      <c r="D1061" s="19">
        <v>44913</v>
      </c>
      <c r="E1061" s="18" t="s">
        <v>67</v>
      </c>
      <c r="F1061" s="18" t="s">
        <v>6576</v>
      </c>
      <c r="G1061" s="18" t="s">
        <v>6577</v>
      </c>
      <c r="H1061" s="18" t="s">
        <v>70</v>
      </c>
      <c r="I1061" s="18" t="s">
        <v>71</v>
      </c>
      <c r="J1061" s="18" t="s">
        <v>72</v>
      </c>
      <c r="K1061" s="18" t="s">
        <v>6578</v>
      </c>
      <c r="L1061" s="20" t="s">
        <v>6579</v>
      </c>
      <c r="M1061" s="18" t="s">
        <v>75</v>
      </c>
      <c r="N1061" s="20" t="s">
        <v>6580</v>
      </c>
      <c r="O1061" s="18" t="s">
        <v>77</v>
      </c>
      <c r="P1061" s="18" t="s">
        <v>78</v>
      </c>
      <c r="Q1061" s="19">
        <v>44914</v>
      </c>
      <c r="R1061" s="21">
        <v>11.42</v>
      </c>
      <c r="S1061" s="18" t="s">
        <v>79</v>
      </c>
      <c r="T1061" s="18" t="s">
        <v>174</v>
      </c>
      <c r="U1061" s="18" t="s">
        <v>83</v>
      </c>
      <c r="V1061" s="18" t="s">
        <v>95</v>
      </c>
      <c r="W1061" s="18" t="s">
        <v>83</v>
      </c>
      <c r="X1061" s="18" t="s">
        <v>84</v>
      </c>
      <c r="Y1061" s="18" t="s">
        <v>85</v>
      </c>
      <c r="Z1061" s="18" t="s">
        <v>86</v>
      </c>
      <c r="AA1061" s="18" t="s">
        <v>87</v>
      </c>
      <c r="AB1061" s="18" t="s">
        <v>2159</v>
      </c>
      <c r="AC1061" s="18" t="s">
        <v>2160</v>
      </c>
      <c r="AD1061" s="18" t="s">
        <v>85</v>
      </c>
      <c r="AE1061" s="18" t="s">
        <v>90</v>
      </c>
      <c r="AF1061" s="18" t="s">
        <v>177</v>
      </c>
      <c r="AG1061" s="18" t="s">
        <v>139</v>
      </c>
      <c r="AH1061" s="18" t="s">
        <v>93</v>
      </c>
      <c r="AI1061" s="18" t="s">
        <v>94</v>
      </c>
      <c r="AJ1061" s="19">
        <v>44913</v>
      </c>
      <c r="AK1061" s="22" t="s">
        <v>95</v>
      </c>
      <c r="AL1061" s="18" t="s">
        <v>95</v>
      </c>
      <c r="AM1061" s="18" t="s">
        <v>95</v>
      </c>
      <c r="AN1061" s="18" t="s">
        <v>95</v>
      </c>
      <c r="AO1061" s="18" t="s">
        <v>95</v>
      </c>
      <c r="AP1061" s="18" t="s">
        <v>95</v>
      </c>
      <c r="AQ1061" s="18" t="s">
        <v>95</v>
      </c>
      <c r="AR1061" s="18" t="s">
        <v>95</v>
      </c>
      <c r="AS1061" s="18" t="s">
        <v>83</v>
      </c>
      <c r="AT1061" s="18" t="s">
        <v>83</v>
      </c>
      <c r="AU1061" s="18" t="s">
        <v>81</v>
      </c>
      <c r="AV1061" s="18" t="s">
        <v>95</v>
      </c>
      <c r="AW1061" s="18"/>
      <c r="AX1061" s="18"/>
      <c r="AY1061" s="18" t="str">
        <f>Pospago[[#This Row],[NUM_TELEFONICO]]&amp;"POSPAGOSI"</f>
        <v>999203355POSPAGOSI</v>
      </c>
      <c r="AZ1061" s="18" t="str">
        <f>VLOOKUP(Pospago[[#This Row],[NOM_PLAZA_FINAL]],[1]!Locales[#Data],3,0)</f>
        <v>TIENDA RECREO</v>
      </c>
      <c r="BA1061" s="18" t="str">
        <f>IFERROR(VLOOKUP(Pospago[[#This Row],[USUARIO]],[1]!Personal[#Data],6,0),"EJECUTIVO NO REGISTRADO")</f>
        <v>GUEVARA MAZA CRISTIAN FABIAN</v>
      </c>
      <c r="BB1061" s="18" t="str">
        <f>Pospago[[#This Row],[TIPO_MOVIMIENTO]]&amp;" "&amp;Pospago[[#This Row],[FORMA_PAGO_FINAL]]</f>
        <v>ALTAS DOMICILIADO</v>
      </c>
      <c r="BC1061" s="18">
        <f>DAY(Pospago[[#This Row],[FECHA_ALTA]])</f>
        <v>18</v>
      </c>
      <c r="BD1061" s="18">
        <f>IF(Pospago[[#This Row],[TARIFA_BASICA]]=11.42,1,0)</f>
        <v>1</v>
      </c>
      <c r="BE1061" s="18">
        <f>IF(Pospago[[#This Row],[PLANES TELEVENTAS]]="SI",1,0)</f>
        <v>0</v>
      </c>
      <c r="BF1061" s="18">
        <f>1</f>
        <v>1</v>
      </c>
      <c r="BG1061" s="18">
        <f>IF(OR(Pospago[[#This Row],[TARIFA_BASICA]]=11.42,Pospago[[#This Row],[PLANES TELEVENTAS]]="SI"),1,0)</f>
        <v>1</v>
      </c>
      <c r="BH1061" s="18" t="str">
        <f>IF(MID(Pospago[[#This Row],[PlanDesc]],1,4) = "PLAN","POSPAGO",IF(MID(Pospago[[#This Row],[PlanDesc]],1,4)="FULL","FULL MEGAS","PREVIOPAGO"))</f>
        <v>PREVIOPAGO</v>
      </c>
      <c r="BI106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106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61" s="21">
        <f>Pospago[[#This Row],[TARIFA_BASICA]]*1.5</f>
        <v>17.13</v>
      </c>
    </row>
    <row r="1062" spans="1:63" x14ac:dyDescent="0.25">
      <c r="A1062" s="18" t="s">
        <v>64</v>
      </c>
      <c r="B1062" s="18" t="s">
        <v>6581</v>
      </c>
      <c r="C1062" s="18" t="s">
        <v>6582</v>
      </c>
      <c r="D1062" s="19">
        <v>44901</v>
      </c>
      <c r="E1062" s="18" t="s">
        <v>246</v>
      </c>
      <c r="F1062" s="18" t="s">
        <v>6583</v>
      </c>
      <c r="G1062" s="18" t="s">
        <v>6584</v>
      </c>
      <c r="H1062" s="18" t="s">
        <v>70</v>
      </c>
      <c r="I1062" s="18" t="s">
        <v>71</v>
      </c>
      <c r="J1062" s="18" t="s">
        <v>72</v>
      </c>
      <c r="K1062" s="18" t="s">
        <v>73</v>
      </c>
      <c r="L1062" s="20" t="s">
        <v>6585</v>
      </c>
      <c r="M1062" s="18" t="s">
        <v>75</v>
      </c>
      <c r="N1062" s="20" t="s">
        <v>6586</v>
      </c>
      <c r="O1062" s="18" t="s">
        <v>77</v>
      </c>
      <c r="P1062" s="18" t="s">
        <v>78</v>
      </c>
      <c r="Q1062" s="19">
        <v>44914</v>
      </c>
      <c r="R1062" s="21">
        <v>11.42</v>
      </c>
      <c r="S1062" s="18" t="s">
        <v>79</v>
      </c>
      <c r="T1062" s="18" t="s">
        <v>174</v>
      </c>
      <c r="U1062" s="18" t="s">
        <v>83</v>
      </c>
      <c r="V1062" s="18" t="s">
        <v>95</v>
      </c>
      <c r="W1062" s="18" t="s">
        <v>83</v>
      </c>
      <c r="X1062" s="18" t="s">
        <v>118</v>
      </c>
      <c r="Y1062" s="18" t="s">
        <v>85</v>
      </c>
      <c r="Z1062" s="18" t="s">
        <v>86</v>
      </c>
      <c r="AA1062" s="18" t="s">
        <v>119</v>
      </c>
      <c r="AB1062" s="18" t="s">
        <v>918</v>
      </c>
      <c r="AC1062" s="18" t="s">
        <v>919</v>
      </c>
      <c r="AD1062" s="18" t="s">
        <v>85</v>
      </c>
      <c r="AE1062" s="18" t="s">
        <v>90</v>
      </c>
      <c r="AF1062" s="18" t="s">
        <v>177</v>
      </c>
      <c r="AG1062" s="18" t="s">
        <v>139</v>
      </c>
      <c r="AH1062" s="18" t="s">
        <v>93</v>
      </c>
      <c r="AI1062" s="18" t="s">
        <v>94</v>
      </c>
      <c r="AJ1062" s="19">
        <v>44901</v>
      </c>
      <c r="AK1062" s="22" t="s">
        <v>95</v>
      </c>
      <c r="AL1062" s="18" t="s">
        <v>95</v>
      </c>
      <c r="AM1062" s="18" t="s">
        <v>95</v>
      </c>
      <c r="AN1062" s="18" t="s">
        <v>95</v>
      </c>
      <c r="AO1062" s="18" t="s">
        <v>95</v>
      </c>
      <c r="AP1062" s="18" t="s">
        <v>95</v>
      </c>
      <c r="AQ1062" s="18" t="s">
        <v>95</v>
      </c>
      <c r="AR1062" s="18" t="s">
        <v>95</v>
      </c>
      <c r="AS1062" s="18" t="s">
        <v>83</v>
      </c>
      <c r="AT1062" s="18" t="s">
        <v>83</v>
      </c>
      <c r="AU1062" s="18" t="s">
        <v>81</v>
      </c>
      <c r="AV1062" s="18" t="s">
        <v>95</v>
      </c>
      <c r="AW1062" s="18"/>
      <c r="AX1062" s="18"/>
      <c r="AY1062" s="18" t="str">
        <f>Pospago[[#This Row],[NUM_TELEFONICO]]&amp;"POSPAGOSI"</f>
        <v>999209371POSPAGOSI</v>
      </c>
      <c r="AZ1062" s="18" t="str">
        <f>VLOOKUP(Pospago[[#This Row],[NOM_PLAZA_FINAL]],[1]!Locales[#Data],3,0)</f>
        <v>TIENDA RECREO</v>
      </c>
      <c r="BA1062" s="18" t="str">
        <f>IFERROR(VLOOKUP(Pospago[[#This Row],[USUARIO]],[1]!Personal[#Data],6,0),"EJECUTIVO NO REGISTRADO")</f>
        <v>ORELLANA CARRERA MICHAEL ALEXANDER</v>
      </c>
      <c r="BB1062" s="18" t="str">
        <f>Pospago[[#This Row],[TIPO_MOVIMIENTO]]&amp;" "&amp;Pospago[[#This Row],[FORMA_PAGO_FINAL]]</f>
        <v>ALTAS PAGO EN CAJA</v>
      </c>
      <c r="BC1062" s="18">
        <f>DAY(Pospago[[#This Row],[FECHA_ALTA]])</f>
        <v>6</v>
      </c>
      <c r="BD1062" s="18">
        <f>IF(Pospago[[#This Row],[TARIFA_BASICA]]=11.42,1,0)</f>
        <v>1</v>
      </c>
      <c r="BE1062" s="18">
        <f>IF(Pospago[[#This Row],[PLANES TELEVENTAS]]="SI",1,0)</f>
        <v>0</v>
      </c>
      <c r="BF1062" s="18">
        <f>1</f>
        <v>1</v>
      </c>
      <c r="BG1062" s="18">
        <f>IF(OR(Pospago[[#This Row],[TARIFA_BASICA]]=11.42,Pospago[[#This Row],[PLANES TELEVENTAS]]="SI"),1,0)</f>
        <v>1</v>
      </c>
      <c r="BH1062" s="18" t="str">
        <f>IF(MID(Pospago[[#This Row],[PlanDesc]],1,4) = "PLAN","POSPAGO",IF(MID(Pospago[[#This Row],[PlanDesc]],1,4)="FULL","FULL MEGAS","PREVIOPAGO"))</f>
        <v>PREVIOPAGO</v>
      </c>
      <c r="BI106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06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62" s="21">
        <f>Pospago[[#This Row],[TARIFA_BASICA]]*1.5</f>
        <v>17.13</v>
      </c>
    </row>
    <row r="1063" spans="1:63" x14ac:dyDescent="0.25">
      <c r="A1063" s="18" t="s">
        <v>64</v>
      </c>
      <c r="B1063" s="18" t="s">
        <v>6587</v>
      </c>
      <c r="C1063" s="18" t="s">
        <v>6588</v>
      </c>
      <c r="D1063" s="19">
        <v>44900</v>
      </c>
      <c r="E1063" s="18" t="s">
        <v>67</v>
      </c>
      <c r="F1063" s="18" t="s">
        <v>6589</v>
      </c>
      <c r="G1063" s="18" t="s">
        <v>6590</v>
      </c>
      <c r="H1063" s="18" t="s">
        <v>70</v>
      </c>
      <c r="I1063" s="18" t="s">
        <v>130</v>
      </c>
      <c r="J1063" s="18" t="s">
        <v>131</v>
      </c>
      <c r="K1063" s="18" t="s">
        <v>73</v>
      </c>
      <c r="L1063" s="20" t="s">
        <v>6591</v>
      </c>
      <c r="M1063" s="18" t="s">
        <v>75</v>
      </c>
      <c r="N1063" s="20" t="s">
        <v>6592</v>
      </c>
      <c r="O1063" s="18" t="s">
        <v>77</v>
      </c>
      <c r="P1063" s="18" t="s">
        <v>78</v>
      </c>
      <c r="Q1063" s="19">
        <v>44914</v>
      </c>
      <c r="R1063" s="21">
        <v>15</v>
      </c>
      <c r="S1063" s="18" t="s">
        <v>79</v>
      </c>
      <c r="T1063" s="18" t="s">
        <v>80</v>
      </c>
      <c r="U1063" s="18" t="s">
        <v>83</v>
      </c>
      <c r="V1063" s="18" t="s">
        <v>95</v>
      </c>
      <c r="W1063" s="18" t="s">
        <v>83</v>
      </c>
      <c r="X1063" s="18" t="s">
        <v>84</v>
      </c>
      <c r="Y1063" s="18" t="s">
        <v>85</v>
      </c>
      <c r="Z1063" s="18" t="s">
        <v>86</v>
      </c>
      <c r="AA1063" s="18" t="s">
        <v>87</v>
      </c>
      <c r="AB1063" s="18" t="s">
        <v>1020</v>
      </c>
      <c r="AC1063" s="18" t="s">
        <v>1021</v>
      </c>
      <c r="AD1063" s="18" t="s">
        <v>85</v>
      </c>
      <c r="AE1063" s="18" t="s">
        <v>90</v>
      </c>
      <c r="AF1063" s="18" t="s">
        <v>91</v>
      </c>
      <c r="AG1063" s="18" t="s">
        <v>92</v>
      </c>
      <c r="AH1063" s="18" t="s">
        <v>93</v>
      </c>
      <c r="AI1063" s="18" t="s">
        <v>94</v>
      </c>
      <c r="AJ1063" s="19">
        <v>44900</v>
      </c>
      <c r="AK1063" s="22" t="s">
        <v>95</v>
      </c>
      <c r="AL1063" s="18" t="s">
        <v>95</v>
      </c>
      <c r="AM1063" s="18" t="s">
        <v>95</v>
      </c>
      <c r="AN1063" s="18" t="s">
        <v>95</v>
      </c>
      <c r="AO1063" s="18" t="s">
        <v>95</v>
      </c>
      <c r="AP1063" s="18" t="s">
        <v>95</v>
      </c>
      <c r="AQ1063" s="18" t="s">
        <v>95</v>
      </c>
      <c r="AR1063" s="18" t="s">
        <v>95</v>
      </c>
      <c r="AS1063" s="18" t="s">
        <v>83</v>
      </c>
      <c r="AT1063" s="18" t="s">
        <v>83</v>
      </c>
      <c r="AU1063" s="18" t="s">
        <v>81</v>
      </c>
      <c r="AV1063" s="18" t="s">
        <v>95</v>
      </c>
      <c r="AW1063" s="18"/>
      <c r="AX1063" s="18"/>
      <c r="AY1063" s="18" t="str">
        <f>Pospago[[#This Row],[NUM_TELEFONICO]]&amp;"POSPAGOSI"</f>
        <v>999220235POSPAGOSI</v>
      </c>
      <c r="AZ1063" s="18" t="str">
        <f>VLOOKUP(Pospago[[#This Row],[NOM_PLAZA_FINAL]],[1]!Locales[#Data],3,0)</f>
        <v>TIENDA CUENCA CENTRO</v>
      </c>
      <c r="BA1063" s="18" t="str">
        <f>IFERROR(VLOOKUP(Pospago[[#This Row],[USUARIO]],[1]!Personal[#Data],6,0),"EJECUTIVO NO REGISTRADO")</f>
        <v>GONZALES ALVARRACIN PAOLA YESSENIA</v>
      </c>
      <c r="BB1063" s="18" t="str">
        <f>Pospago[[#This Row],[TIPO_MOVIMIENTO]]&amp;" "&amp;Pospago[[#This Row],[FORMA_PAGO_FINAL]]</f>
        <v>ALTAS DOMICILIADO</v>
      </c>
      <c r="BC1063" s="18">
        <f>DAY(Pospago[[#This Row],[FECHA_ALTA]])</f>
        <v>5</v>
      </c>
      <c r="BD1063" s="18">
        <f>IF(Pospago[[#This Row],[TARIFA_BASICA]]=11.42,1,0)</f>
        <v>0</v>
      </c>
      <c r="BE1063" s="18">
        <f>IF(Pospago[[#This Row],[PLANES TELEVENTAS]]="SI",1,0)</f>
        <v>0</v>
      </c>
      <c r="BF1063" s="18">
        <f>1</f>
        <v>1</v>
      </c>
      <c r="BG1063" s="18">
        <f>IF(OR(Pospago[[#This Row],[TARIFA_BASICA]]=11.42,Pospago[[#This Row],[PLANES TELEVENTAS]]="SI"),1,0)</f>
        <v>0</v>
      </c>
      <c r="BH1063" s="18" t="str">
        <f>IF(MID(Pospago[[#This Row],[PlanDesc]],1,4) = "PLAN","POSPAGO",IF(MID(Pospago[[#This Row],[PlanDesc]],1,4)="FULL","FULL MEGAS","PREVIOPAGO"))</f>
        <v>PREVIOPAGO</v>
      </c>
      <c r="BI106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106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63" s="21">
        <f>Pospago[[#This Row],[TARIFA_BASICA]]*1.5</f>
        <v>22.5</v>
      </c>
    </row>
    <row r="1064" spans="1:63" x14ac:dyDescent="0.25">
      <c r="A1064" s="18" t="s">
        <v>64</v>
      </c>
      <c r="B1064" s="18" t="s">
        <v>6593</v>
      </c>
      <c r="C1064" s="18" t="s">
        <v>6594</v>
      </c>
      <c r="D1064" s="19">
        <v>44901</v>
      </c>
      <c r="E1064" s="18" t="s">
        <v>67</v>
      </c>
      <c r="F1064" s="18" t="s">
        <v>6108</v>
      </c>
      <c r="G1064" s="18" t="s">
        <v>6109</v>
      </c>
      <c r="H1064" s="18" t="s">
        <v>70</v>
      </c>
      <c r="I1064" s="18" t="s">
        <v>194</v>
      </c>
      <c r="J1064" s="18" t="s">
        <v>195</v>
      </c>
      <c r="K1064" s="18" t="s">
        <v>132</v>
      </c>
      <c r="L1064" s="20" t="s">
        <v>6595</v>
      </c>
      <c r="M1064" s="18" t="s">
        <v>75</v>
      </c>
      <c r="N1064" s="20" t="s">
        <v>6596</v>
      </c>
      <c r="O1064" s="18" t="s">
        <v>77</v>
      </c>
      <c r="P1064" s="18" t="s">
        <v>78</v>
      </c>
      <c r="Q1064" s="19">
        <v>44914</v>
      </c>
      <c r="R1064" s="21">
        <v>14.28</v>
      </c>
      <c r="S1064" s="18" t="s">
        <v>79</v>
      </c>
      <c r="T1064" s="18" t="s">
        <v>174</v>
      </c>
      <c r="U1064" s="18" t="s">
        <v>83</v>
      </c>
      <c r="V1064" s="18" t="s">
        <v>95</v>
      </c>
      <c r="W1064" s="18" t="s">
        <v>83</v>
      </c>
      <c r="X1064" s="18" t="s">
        <v>84</v>
      </c>
      <c r="Y1064" s="18" t="s">
        <v>85</v>
      </c>
      <c r="Z1064" s="18" t="s">
        <v>86</v>
      </c>
      <c r="AA1064" s="18" t="s">
        <v>87</v>
      </c>
      <c r="AB1064" s="18" t="s">
        <v>2159</v>
      </c>
      <c r="AC1064" s="18" t="s">
        <v>2160</v>
      </c>
      <c r="AD1064" s="18" t="s">
        <v>85</v>
      </c>
      <c r="AE1064" s="18" t="s">
        <v>90</v>
      </c>
      <c r="AF1064" s="18" t="s">
        <v>177</v>
      </c>
      <c r="AG1064" s="18" t="s">
        <v>139</v>
      </c>
      <c r="AH1064" s="18" t="s">
        <v>93</v>
      </c>
      <c r="AI1064" s="18" t="s">
        <v>94</v>
      </c>
      <c r="AJ1064" s="19">
        <v>44901</v>
      </c>
      <c r="AK1064" s="22" t="s">
        <v>95</v>
      </c>
      <c r="AL1064" s="18" t="s">
        <v>95</v>
      </c>
      <c r="AM1064" s="18" t="s">
        <v>95</v>
      </c>
      <c r="AN1064" s="18" t="s">
        <v>95</v>
      </c>
      <c r="AO1064" s="18" t="s">
        <v>95</v>
      </c>
      <c r="AP1064" s="18" t="s">
        <v>95</v>
      </c>
      <c r="AQ1064" s="18" t="s">
        <v>95</v>
      </c>
      <c r="AR1064" s="18" t="s">
        <v>95</v>
      </c>
      <c r="AS1064" s="18" t="s">
        <v>83</v>
      </c>
      <c r="AT1064" s="18" t="s">
        <v>81</v>
      </c>
      <c r="AU1064" s="18" t="s">
        <v>81</v>
      </c>
      <c r="AV1064" s="18" t="s">
        <v>95</v>
      </c>
      <c r="AW1064" s="18"/>
      <c r="AX1064" s="18"/>
      <c r="AY1064" s="18" t="str">
        <f>Pospago[[#This Row],[NUM_TELEFONICO]]&amp;"POSPAGOSI"</f>
        <v>999221639POSPAGOSI</v>
      </c>
      <c r="AZ1064" s="18" t="str">
        <f>VLOOKUP(Pospago[[#This Row],[NOM_PLAZA_FINAL]],[1]!Locales[#Data],3,0)</f>
        <v>TIENDA RECREO</v>
      </c>
      <c r="BA1064" s="18" t="str">
        <f>IFERROR(VLOOKUP(Pospago[[#This Row],[USUARIO]],[1]!Personal[#Data],6,0),"EJECUTIVO NO REGISTRADO")</f>
        <v>GUEVARA MAZA CRISTIAN FABIAN</v>
      </c>
      <c r="BB1064" s="18" t="str">
        <f>Pospago[[#This Row],[TIPO_MOVIMIENTO]]&amp;" "&amp;Pospago[[#This Row],[FORMA_PAGO_FINAL]]</f>
        <v>ALTAS DOMICILIADO</v>
      </c>
      <c r="BC1064" s="18">
        <f>DAY(Pospago[[#This Row],[FECHA_ALTA]])</f>
        <v>6</v>
      </c>
      <c r="BD1064" s="18">
        <f>IF(Pospago[[#This Row],[TARIFA_BASICA]]=11.42,1,0)</f>
        <v>0</v>
      </c>
      <c r="BE1064" s="18">
        <f>IF(Pospago[[#This Row],[PLANES TELEVENTAS]]="SI",1,0)</f>
        <v>1</v>
      </c>
      <c r="BF1064" s="18">
        <f>1</f>
        <v>1</v>
      </c>
      <c r="BG1064" s="18">
        <f>IF(OR(Pospago[[#This Row],[TARIFA_BASICA]]=11.42,Pospago[[#This Row],[PLANES TELEVENTAS]]="SI"),1,0)</f>
        <v>1</v>
      </c>
      <c r="BH1064" s="18" t="str">
        <f>IF(MID(Pospago[[#This Row],[PlanDesc]],1,4) = "PLAN","POSPAGO",IF(MID(Pospago[[#This Row],[PlanDesc]],1,4)="FULL","FULL MEGAS","PREVIOPAGO"))</f>
        <v>PREVIOPAGO</v>
      </c>
      <c r="BI106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6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64" s="21">
        <f>Pospago[[#This Row],[TARIFA_BASICA]]*1.5</f>
        <v>21.419999999999998</v>
      </c>
    </row>
    <row r="1065" spans="1:63" x14ac:dyDescent="0.25">
      <c r="A1065" s="18" t="s">
        <v>64</v>
      </c>
      <c r="B1065" s="18" t="s">
        <v>6597</v>
      </c>
      <c r="C1065" s="18" t="s">
        <v>6598</v>
      </c>
      <c r="D1065" s="19">
        <v>44897</v>
      </c>
      <c r="E1065" s="18" t="s">
        <v>67</v>
      </c>
      <c r="F1065" s="18" t="s">
        <v>6599</v>
      </c>
      <c r="G1065" s="18" t="s">
        <v>6600</v>
      </c>
      <c r="H1065" s="18" t="s">
        <v>70</v>
      </c>
      <c r="I1065" s="18" t="s">
        <v>4157</v>
      </c>
      <c r="J1065" s="18" t="s">
        <v>4158</v>
      </c>
      <c r="K1065" s="18" t="s">
        <v>73</v>
      </c>
      <c r="L1065" s="20" t="s">
        <v>6601</v>
      </c>
      <c r="M1065" s="18" t="s">
        <v>75</v>
      </c>
      <c r="N1065" s="20" t="s">
        <v>6602</v>
      </c>
      <c r="O1065" s="18" t="s">
        <v>77</v>
      </c>
      <c r="P1065" s="18" t="s">
        <v>78</v>
      </c>
      <c r="Q1065" s="19">
        <v>44914</v>
      </c>
      <c r="R1065" s="21">
        <v>32.130000000000003</v>
      </c>
      <c r="S1065" s="18" t="s">
        <v>79</v>
      </c>
      <c r="T1065" s="18" t="s">
        <v>135</v>
      </c>
      <c r="U1065" s="18" t="s">
        <v>83</v>
      </c>
      <c r="V1065" s="18" t="s">
        <v>95</v>
      </c>
      <c r="W1065" s="18" t="s">
        <v>83</v>
      </c>
      <c r="X1065" s="18" t="s">
        <v>84</v>
      </c>
      <c r="Y1065" s="18" t="s">
        <v>85</v>
      </c>
      <c r="Z1065" s="18" t="s">
        <v>86</v>
      </c>
      <c r="AA1065" s="18" t="s">
        <v>87</v>
      </c>
      <c r="AB1065" s="18" t="s">
        <v>541</v>
      </c>
      <c r="AC1065" s="18" t="s">
        <v>542</v>
      </c>
      <c r="AD1065" s="18" t="s">
        <v>85</v>
      </c>
      <c r="AE1065" s="18" t="s">
        <v>90</v>
      </c>
      <c r="AF1065" s="18" t="s">
        <v>138</v>
      </c>
      <c r="AG1065" s="18" t="s">
        <v>139</v>
      </c>
      <c r="AH1065" s="18" t="s">
        <v>93</v>
      </c>
      <c r="AI1065" s="18" t="s">
        <v>94</v>
      </c>
      <c r="AJ1065" s="19">
        <v>44897</v>
      </c>
      <c r="AK1065" s="22" t="s">
        <v>95</v>
      </c>
      <c r="AL1065" s="18" t="s">
        <v>95</v>
      </c>
      <c r="AM1065" s="18" t="s">
        <v>95</v>
      </c>
      <c r="AN1065" s="18" t="s">
        <v>95</v>
      </c>
      <c r="AO1065" s="18" t="s">
        <v>95</v>
      </c>
      <c r="AP1065" s="18" t="s">
        <v>95</v>
      </c>
      <c r="AQ1065" s="18" t="s">
        <v>95</v>
      </c>
      <c r="AR1065" s="18" t="s">
        <v>95</v>
      </c>
      <c r="AS1065" s="18" t="s">
        <v>83</v>
      </c>
      <c r="AT1065" s="18" t="s">
        <v>83</v>
      </c>
      <c r="AU1065" s="18" t="s">
        <v>81</v>
      </c>
      <c r="AV1065" s="18" t="s">
        <v>95</v>
      </c>
      <c r="AW1065" s="18"/>
      <c r="AX1065" s="18"/>
      <c r="AY1065" s="18" t="str">
        <f>Pospago[[#This Row],[NUM_TELEFONICO]]&amp;"POSPAGOSI"</f>
        <v>999222776POSPAGOSI</v>
      </c>
      <c r="AZ1065" s="18" t="str">
        <f>VLOOKUP(Pospago[[#This Row],[NOM_PLAZA_FINAL]],[1]!Locales[#Data],3,0)</f>
        <v>TIENDA AMERICA</v>
      </c>
      <c r="BA1065" s="18" t="str">
        <f>IFERROR(VLOOKUP(Pospago[[#This Row],[USUARIO]],[1]!Personal[#Data],6,0),"EJECUTIVO NO REGISTRADO")</f>
        <v>CEVALLOS PONCE DIANA CAROLINA</v>
      </c>
      <c r="BB1065" s="18" t="str">
        <f>Pospago[[#This Row],[TIPO_MOVIMIENTO]]&amp;" "&amp;Pospago[[#This Row],[FORMA_PAGO_FINAL]]</f>
        <v>ALTAS DOMICILIADO</v>
      </c>
      <c r="BC1065" s="18">
        <f>DAY(Pospago[[#This Row],[FECHA_ALTA]])</f>
        <v>2</v>
      </c>
      <c r="BD1065" s="18">
        <f>IF(Pospago[[#This Row],[TARIFA_BASICA]]=11.42,1,0)</f>
        <v>0</v>
      </c>
      <c r="BE1065" s="18">
        <f>IF(Pospago[[#This Row],[PLANES TELEVENTAS]]="SI",1,0)</f>
        <v>0</v>
      </c>
      <c r="BF1065" s="18">
        <f>1</f>
        <v>1</v>
      </c>
      <c r="BG1065" s="18">
        <f>IF(OR(Pospago[[#This Row],[TARIFA_BASICA]]=11.42,Pospago[[#This Row],[PLANES TELEVENTAS]]="SI"),1,0)</f>
        <v>0</v>
      </c>
      <c r="BH1065" s="18" t="str">
        <f>IF(MID(Pospago[[#This Row],[PlanDesc]],1,4) = "PLAN","POSPAGO",IF(MID(Pospago[[#This Row],[PlanDesc]],1,4)="FULL","FULL MEGAS","PREVIOPAGO"))</f>
        <v>PREVIOPAGO</v>
      </c>
      <c r="BI106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64.260000000000005</v>
      </c>
      <c r="BJ106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65" s="21">
        <f>Pospago[[#This Row],[TARIFA_BASICA]]*1.5</f>
        <v>48.195000000000007</v>
      </c>
    </row>
    <row r="1066" spans="1:63" x14ac:dyDescent="0.25">
      <c r="A1066" s="18" t="s">
        <v>64</v>
      </c>
      <c r="B1066" s="18" t="s">
        <v>6603</v>
      </c>
      <c r="C1066" s="18" t="s">
        <v>6604</v>
      </c>
      <c r="D1066" s="19">
        <v>44899</v>
      </c>
      <c r="E1066" s="18" t="s">
        <v>67</v>
      </c>
      <c r="F1066" s="18" t="s">
        <v>6605</v>
      </c>
      <c r="G1066" s="18" t="s">
        <v>6606</v>
      </c>
      <c r="H1066" s="18" t="s">
        <v>70</v>
      </c>
      <c r="I1066" s="18" t="s">
        <v>160</v>
      </c>
      <c r="J1066" s="18" t="s">
        <v>195</v>
      </c>
      <c r="K1066" s="18" t="s">
        <v>132</v>
      </c>
      <c r="L1066" s="20" t="s">
        <v>6607</v>
      </c>
      <c r="M1066" s="18" t="s">
        <v>75</v>
      </c>
      <c r="N1066" s="20" t="s">
        <v>6608</v>
      </c>
      <c r="O1066" s="18" t="s">
        <v>77</v>
      </c>
      <c r="P1066" s="18" t="s">
        <v>78</v>
      </c>
      <c r="Q1066" s="19">
        <v>44914</v>
      </c>
      <c r="R1066" s="21">
        <v>14.28</v>
      </c>
      <c r="S1066" s="18" t="s">
        <v>79</v>
      </c>
      <c r="T1066" s="18" t="s">
        <v>174</v>
      </c>
      <c r="U1066" s="18" t="s">
        <v>83</v>
      </c>
      <c r="V1066" s="18" t="s">
        <v>95</v>
      </c>
      <c r="W1066" s="18" t="s">
        <v>83</v>
      </c>
      <c r="X1066" s="18" t="s">
        <v>118</v>
      </c>
      <c r="Y1066" s="18" t="s">
        <v>85</v>
      </c>
      <c r="Z1066" s="18" t="s">
        <v>86</v>
      </c>
      <c r="AA1066" s="18" t="s">
        <v>119</v>
      </c>
      <c r="AB1066" s="18" t="s">
        <v>822</v>
      </c>
      <c r="AC1066" s="18" t="s">
        <v>823</v>
      </c>
      <c r="AD1066" s="18" t="s">
        <v>85</v>
      </c>
      <c r="AE1066" s="18" t="s">
        <v>90</v>
      </c>
      <c r="AF1066" s="18" t="s">
        <v>177</v>
      </c>
      <c r="AG1066" s="18" t="s">
        <v>139</v>
      </c>
      <c r="AH1066" s="18" t="s">
        <v>93</v>
      </c>
      <c r="AI1066" s="18" t="s">
        <v>94</v>
      </c>
      <c r="AJ1066" s="19">
        <v>44899</v>
      </c>
      <c r="AK1066" s="22" t="s">
        <v>95</v>
      </c>
      <c r="AL1066" s="18" t="s">
        <v>95</v>
      </c>
      <c r="AM1066" s="18" t="s">
        <v>95</v>
      </c>
      <c r="AN1066" s="18" t="s">
        <v>95</v>
      </c>
      <c r="AO1066" s="18" t="s">
        <v>95</v>
      </c>
      <c r="AP1066" s="18" t="s">
        <v>95</v>
      </c>
      <c r="AQ1066" s="18" t="s">
        <v>95</v>
      </c>
      <c r="AR1066" s="18" t="s">
        <v>95</v>
      </c>
      <c r="AS1066" s="18" t="s">
        <v>83</v>
      </c>
      <c r="AT1066" s="18" t="s">
        <v>83</v>
      </c>
      <c r="AU1066" s="18" t="s">
        <v>81</v>
      </c>
      <c r="AV1066" s="18" t="s">
        <v>95</v>
      </c>
      <c r="AW1066" s="18"/>
      <c r="AX1066" s="18"/>
      <c r="AY1066" s="18" t="str">
        <f>Pospago[[#This Row],[NUM_TELEFONICO]]&amp;"POSPAGOSI"</f>
        <v>999225553POSPAGOSI</v>
      </c>
      <c r="AZ1066" s="18" t="str">
        <f>VLOOKUP(Pospago[[#This Row],[NOM_PLAZA_FINAL]],[1]!Locales[#Data],3,0)</f>
        <v>TIENDA RECREO</v>
      </c>
      <c r="BA1066" s="18" t="str">
        <f>IFERROR(VLOOKUP(Pospago[[#This Row],[USUARIO]],[1]!Personal[#Data],6,0),"EJECUTIVO NO REGISTRADO")</f>
        <v>SALAS PARRA MARIA JOSE</v>
      </c>
      <c r="BB1066" s="18" t="str">
        <f>Pospago[[#This Row],[TIPO_MOVIMIENTO]]&amp;" "&amp;Pospago[[#This Row],[FORMA_PAGO_FINAL]]</f>
        <v>ALTAS PAGO EN CAJA</v>
      </c>
      <c r="BC1066" s="18">
        <f>DAY(Pospago[[#This Row],[FECHA_ALTA]])</f>
        <v>4</v>
      </c>
      <c r="BD1066" s="18">
        <f>IF(Pospago[[#This Row],[TARIFA_BASICA]]=11.42,1,0)</f>
        <v>0</v>
      </c>
      <c r="BE1066" s="18">
        <f>IF(Pospago[[#This Row],[PLANES TELEVENTAS]]="SI",1,0)</f>
        <v>0</v>
      </c>
      <c r="BF1066" s="18">
        <f>1</f>
        <v>1</v>
      </c>
      <c r="BG1066" s="18">
        <f>IF(OR(Pospago[[#This Row],[TARIFA_BASICA]]=11.42,Pospago[[#This Row],[PLANES TELEVENTAS]]="SI"),1,0)</f>
        <v>0</v>
      </c>
      <c r="BH1066" s="18" t="str">
        <f>IF(MID(Pospago[[#This Row],[PlanDesc]],1,4) = "PLAN","POSPAGO",IF(MID(Pospago[[#This Row],[PlanDesc]],1,4)="FULL","FULL MEGAS","PREVIOPAGO"))</f>
        <v>PREVIOPAGO</v>
      </c>
      <c r="BI106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06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66" s="21">
        <f>Pospago[[#This Row],[TARIFA_BASICA]]*1.5</f>
        <v>21.419999999999998</v>
      </c>
    </row>
    <row r="1067" spans="1:63" x14ac:dyDescent="0.25">
      <c r="A1067" s="18" t="s">
        <v>64</v>
      </c>
      <c r="B1067" s="18" t="s">
        <v>6609</v>
      </c>
      <c r="C1067" s="18" t="s">
        <v>6610</v>
      </c>
      <c r="D1067" s="19">
        <v>44909</v>
      </c>
      <c r="E1067" s="18" t="s">
        <v>67</v>
      </c>
      <c r="F1067" s="18" t="s">
        <v>6611</v>
      </c>
      <c r="G1067" s="18" t="s">
        <v>6612</v>
      </c>
      <c r="H1067" s="18" t="s">
        <v>70</v>
      </c>
      <c r="I1067" s="18" t="s">
        <v>71</v>
      </c>
      <c r="J1067" s="18" t="s">
        <v>72</v>
      </c>
      <c r="K1067" s="18" t="s">
        <v>73</v>
      </c>
      <c r="L1067" s="20" t="s">
        <v>6613</v>
      </c>
      <c r="M1067" s="18" t="s">
        <v>75</v>
      </c>
      <c r="N1067" s="20" t="s">
        <v>6614</v>
      </c>
      <c r="O1067" s="18" t="s">
        <v>77</v>
      </c>
      <c r="P1067" s="18" t="s">
        <v>78</v>
      </c>
      <c r="Q1067" s="19">
        <v>44914</v>
      </c>
      <c r="R1067" s="21">
        <v>11.42</v>
      </c>
      <c r="S1067" s="18" t="s">
        <v>79</v>
      </c>
      <c r="T1067" s="18" t="s">
        <v>80</v>
      </c>
      <c r="U1067" s="18" t="s">
        <v>83</v>
      </c>
      <c r="V1067" s="18" t="s">
        <v>95</v>
      </c>
      <c r="W1067" s="18" t="s">
        <v>83</v>
      </c>
      <c r="X1067" s="18" t="s">
        <v>84</v>
      </c>
      <c r="Y1067" s="18" t="s">
        <v>85</v>
      </c>
      <c r="Z1067" s="18" t="s">
        <v>86</v>
      </c>
      <c r="AA1067" s="18" t="s">
        <v>87</v>
      </c>
      <c r="AB1067" s="18" t="s">
        <v>1415</v>
      </c>
      <c r="AC1067" s="18" t="s">
        <v>1416</v>
      </c>
      <c r="AD1067" s="18" t="s">
        <v>85</v>
      </c>
      <c r="AE1067" s="18" t="s">
        <v>90</v>
      </c>
      <c r="AF1067" s="18" t="s">
        <v>91</v>
      </c>
      <c r="AG1067" s="18" t="s">
        <v>92</v>
      </c>
      <c r="AH1067" s="18" t="s">
        <v>93</v>
      </c>
      <c r="AI1067" s="18" t="s">
        <v>94</v>
      </c>
      <c r="AJ1067" s="19">
        <v>44909</v>
      </c>
      <c r="AK1067" s="22" t="s">
        <v>95</v>
      </c>
      <c r="AL1067" s="18" t="s">
        <v>95</v>
      </c>
      <c r="AM1067" s="18" t="s">
        <v>95</v>
      </c>
      <c r="AN1067" s="18" t="s">
        <v>95</v>
      </c>
      <c r="AO1067" s="18" t="s">
        <v>95</v>
      </c>
      <c r="AP1067" s="18" t="s">
        <v>95</v>
      </c>
      <c r="AQ1067" s="18" t="s">
        <v>95</v>
      </c>
      <c r="AR1067" s="18" t="s">
        <v>95</v>
      </c>
      <c r="AS1067" s="18" t="s">
        <v>83</v>
      </c>
      <c r="AT1067" s="18" t="s">
        <v>83</v>
      </c>
      <c r="AU1067" s="18" t="s">
        <v>81</v>
      </c>
      <c r="AV1067" s="18" t="s">
        <v>95</v>
      </c>
      <c r="AW1067" s="18"/>
      <c r="AX1067" s="18"/>
      <c r="AY1067" s="18" t="str">
        <f>Pospago[[#This Row],[NUM_TELEFONICO]]&amp;"POSPAGOSI"</f>
        <v>999226370POSPAGOSI</v>
      </c>
      <c r="AZ1067" s="18" t="str">
        <f>VLOOKUP(Pospago[[#This Row],[NOM_PLAZA_FINAL]],[1]!Locales[#Data],3,0)</f>
        <v>TIENDA CUENCA CENTRO</v>
      </c>
      <c r="BA1067" s="18" t="str">
        <f>IFERROR(VLOOKUP(Pospago[[#This Row],[USUARIO]],[1]!Personal[#Data],6,0),"EJECUTIVO NO REGISTRADO")</f>
        <v>PATIÑO URGILES DIANA CATALINA</v>
      </c>
      <c r="BB1067" s="18" t="str">
        <f>Pospago[[#This Row],[TIPO_MOVIMIENTO]]&amp;" "&amp;Pospago[[#This Row],[FORMA_PAGO_FINAL]]</f>
        <v>ALTAS DOMICILIADO</v>
      </c>
      <c r="BC1067" s="18">
        <f>DAY(Pospago[[#This Row],[FECHA_ALTA]])</f>
        <v>14</v>
      </c>
      <c r="BD1067" s="18">
        <f>IF(Pospago[[#This Row],[TARIFA_BASICA]]=11.42,1,0)</f>
        <v>1</v>
      </c>
      <c r="BE1067" s="18">
        <f>IF(Pospago[[#This Row],[PLANES TELEVENTAS]]="SI",1,0)</f>
        <v>0</v>
      </c>
      <c r="BF1067" s="18">
        <f>1</f>
        <v>1</v>
      </c>
      <c r="BG1067" s="18">
        <f>IF(OR(Pospago[[#This Row],[TARIFA_BASICA]]=11.42,Pospago[[#This Row],[PLANES TELEVENTAS]]="SI"),1,0)</f>
        <v>1</v>
      </c>
      <c r="BH1067" s="18" t="str">
        <f>IF(MID(Pospago[[#This Row],[PlanDesc]],1,4) = "PLAN","POSPAGO",IF(MID(Pospago[[#This Row],[PlanDesc]],1,4)="FULL","FULL MEGAS","PREVIOPAGO"))</f>
        <v>PREVIOPAGO</v>
      </c>
      <c r="BI106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106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67" s="21">
        <f>Pospago[[#This Row],[TARIFA_BASICA]]*1.5</f>
        <v>17.13</v>
      </c>
    </row>
    <row r="1068" spans="1:63" x14ac:dyDescent="0.25">
      <c r="A1068" s="18" t="s">
        <v>64</v>
      </c>
      <c r="B1068" s="18" t="s">
        <v>6615</v>
      </c>
      <c r="C1068" s="18" t="s">
        <v>6616</v>
      </c>
      <c r="D1068" s="19">
        <v>44901</v>
      </c>
      <c r="E1068" s="18" t="s">
        <v>67</v>
      </c>
      <c r="F1068" s="18" t="s">
        <v>3847</v>
      </c>
      <c r="G1068" s="18" t="s">
        <v>3848</v>
      </c>
      <c r="H1068" s="18" t="s">
        <v>70</v>
      </c>
      <c r="I1068" s="18" t="s">
        <v>194</v>
      </c>
      <c r="J1068" s="18" t="s">
        <v>195</v>
      </c>
      <c r="K1068" s="18" t="s">
        <v>132</v>
      </c>
      <c r="L1068" s="20" t="s">
        <v>6617</v>
      </c>
      <c r="M1068" s="18" t="s">
        <v>75</v>
      </c>
      <c r="N1068" s="20" t="s">
        <v>6618</v>
      </c>
      <c r="O1068" s="18" t="s">
        <v>77</v>
      </c>
      <c r="P1068" s="18" t="s">
        <v>78</v>
      </c>
      <c r="Q1068" s="19">
        <v>44914</v>
      </c>
      <c r="R1068" s="21">
        <v>14.28</v>
      </c>
      <c r="S1068" s="18" t="s">
        <v>79</v>
      </c>
      <c r="T1068" s="18" t="s">
        <v>174</v>
      </c>
      <c r="U1068" s="18" t="s">
        <v>83</v>
      </c>
      <c r="V1068" s="18" t="s">
        <v>95</v>
      </c>
      <c r="W1068" s="18" t="s">
        <v>83</v>
      </c>
      <c r="X1068" s="18" t="s">
        <v>84</v>
      </c>
      <c r="Y1068" s="18" t="s">
        <v>85</v>
      </c>
      <c r="Z1068" s="18" t="s">
        <v>86</v>
      </c>
      <c r="AA1068" s="18" t="s">
        <v>87</v>
      </c>
      <c r="AB1068" s="18" t="s">
        <v>2159</v>
      </c>
      <c r="AC1068" s="18" t="s">
        <v>2160</v>
      </c>
      <c r="AD1068" s="18" t="s">
        <v>85</v>
      </c>
      <c r="AE1068" s="18" t="s">
        <v>90</v>
      </c>
      <c r="AF1068" s="18" t="s">
        <v>177</v>
      </c>
      <c r="AG1068" s="18" t="s">
        <v>139</v>
      </c>
      <c r="AH1068" s="18" t="s">
        <v>93</v>
      </c>
      <c r="AI1068" s="18" t="s">
        <v>94</v>
      </c>
      <c r="AJ1068" s="19">
        <v>44901</v>
      </c>
      <c r="AK1068" s="22" t="s">
        <v>95</v>
      </c>
      <c r="AL1068" s="18" t="s">
        <v>95</v>
      </c>
      <c r="AM1068" s="18" t="s">
        <v>95</v>
      </c>
      <c r="AN1068" s="18" t="s">
        <v>95</v>
      </c>
      <c r="AO1068" s="18" t="s">
        <v>95</v>
      </c>
      <c r="AP1068" s="18" t="s">
        <v>95</v>
      </c>
      <c r="AQ1068" s="18" t="s">
        <v>95</v>
      </c>
      <c r="AR1068" s="18" t="s">
        <v>95</v>
      </c>
      <c r="AS1068" s="18" t="s">
        <v>83</v>
      </c>
      <c r="AT1068" s="18" t="s">
        <v>81</v>
      </c>
      <c r="AU1068" s="18" t="s">
        <v>81</v>
      </c>
      <c r="AV1068" s="18" t="s">
        <v>95</v>
      </c>
      <c r="AW1068" s="18"/>
      <c r="AX1068" s="18"/>
      <c r="AY1068" s="18" t="str">
        <f>Pospago[[#This Row],[NUM_TELEFONICO]]&amp;"POSPAGOSI"</f>
        <v>999230256POSPAGOSI</v>
      </c>
      <c r="AZ1068" s="18" t="str">
        <f>VLOOKUP(Pospago[[#This Row],[NOM_PLAZA_FINAL]],[1]!Locales[#Data],3,0)</f>
        <v>TIENDA RECREO</v>
      </c>
      <c r="BA1068" s="18" t="str">
        <f>IFERROR(VLOOKUP(Pospago[[#This Row],[USUARIO]],[1]!Personal[#Data],6,0),"EJECUTIVO NO REGISTRADO")</f>
        <v>GUEVARA MAZA CRISTIAN FABIAN</v>
      </c>
      <c r="BB1068" s="18" t="str">
        <f>Pospago[[#This Row],[TIPO_MOVIMIENTO]]&amp;" "&amp;Pospago[[#This Row],[FORMA_PAGO_FINAL]]</f>
        <v>ALTAS DOMICILIADO</v>
      </c>
      <c r="BC1068" s="18">
        <f>DAY(Pospago[[#This Row],[FECHA_ALTA]])</f>
        <v>6</v>
      </c>
      <c r="BD1068" s="18">
        <f>IF(Pospago[[#This Row],[TARIFA_BASICA]]=11.42,1,0)</f>
        <v>0</v>
      </c>
      <c r="BE1068" s="18">
        <f>IF(Pospago[[#This Row],[PLANES TELEVENTAS]]="SI",1,0)</f>
        <v>1</v>
      </c>
      <c r="BF1068" s="18">
        <f>1</f>
        <v>1</v>
      </c>
      <c r="BG1068" s="18">
        <f>IF(OR(Pospago[[#This Row],[TARIFA_BASICA]]=11.42,Pospago[[#This Row],[PLANES TELEVENTAS]]="SI"),1,0)</f>
        <v>1</v>
      </c>
      <c r="BH1068" s="18" t="str">
        <f>IF(MID(Pospago[[#This Row],[PlanDesc]],1,4) = "PLAN","POSPAGO",IF(MID(Pospago[[#This Row],[PlanDesc]],1,4)="FULL","FULL MEGAS","PREVIOPAGO"))</f>
        <v>PREVIOPAGO</v>
      </c>
      <c r="BI106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6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68" s="21">
        <f>Pospago[[#This Row],[TARIFA_BASICA]]*1.5</f>
        <v>21.419999999999998</v>
      </c>
    </row>
    <row r="1069" spans="1:63" x14ac:dyDescent="0.25">
      <c r="A1069" s="18" t="s">
        <v>64</v>
      </c>
      <c r="B1069" s="18" t="s">
        <v>6619</v>
      </c>
      <c r="C1069" s="18" t="s">
        <v>6509</v>
      </c>
      <c r="D1069" s="19">
        <v>44908</v>
      </c>
      <c r="E1069" s="18" t="s">
        <v>67</v>
      </c>
      <c r="F1069" s="18" t="s">
        <v>6510</v>
      </c>
      <c r="G1069" s="18" t="s">
        <v>6511</v>
      </c>
      <c r="H1069" s="18" t="s">
        <v>70</v>
      </c>
      <c r="I1069" s="18" t="s">
        <v>211</v>
      </c>
      <c r="J1069" s="18" t="s">
        <v>212</v>
      </c>
      <c r="K1069" s="18" t="s">
        <v>73</v>
      </c>
      <c r="L1069" s="20" t="s">
        <v>6620</v>
      </c>
      <c r="M1069" s="18" t="s">
        <v>75</v>
      </c>
      <c r="N1069" s="20" t="s">
        <v>6621</v>
      </c>
      <c r="O1069" s="18" t="s">
        <v>77</v>
      </c>
      <c r="P1069" s="18" t="s">
        <v>78</v>
      </c>
      <c r="Q1069" s="19">
        <v>44914</v>
      </c>
      <c r="R1069" s="21">
        <v>25</v>
      </c>
      <c r="S1069" s="18" t="s">
        <v>79</v>
      </c>
      <c r="T1069" s="18" t="s">
        <v>174</v>
      </c>
      <c r="U1069" s="18" t="s">
        <v>83</v>
      </c>
      <c r="V1069" s="18" t="s">
        <v>82</v>
      </c>
      <c r="W1069" s="18" t="s">
        <v>83</v>
      </c>
      <c r="X1069" s="18" t="s">
        <v>84</v>
      </c>
      <c r="Y1069" s="18" t="s">
        <v>85</v>
      </c>
      <c r="Z1069" s="18" t="s">
        <v>86</v>
      </c>
      <c r="AA1069" s="18" t="s">
        <v>87</v>
      </c>
      <c r="AB1069" s="18" t="s">
        <v>2159</v>
      </c>
      <c r="AC1069" s="18" t="s">
        <v>2160</v>
      </c>
      <c r="AD1069" s="18" t="s">
        <v>85</v>
      </c>
      <c r="AE1069" s="18" t="s">
        <v>90</v>
      </c>
      <c r="AF1069" s="18" t="s">
        <v>177</v>
      </c>
      <c r="AG1069" s="18" t="s">
        <v>139</v>
      </c>
      <c r="AH1069" s="18" t="s">
        <v>93</v>
      </c>
      <c r="AI1069" s="18" t="s">
        <v>94</v>
      </c>
      <c r="AJ1069" s="19">
        <v>44908</v>
      </c>
      <c r="AK1069" s="22" t="s">
        <v>95</v>
      </c>
      <c r="AL1069" s="18" t="s">
        <v>95</v>
      </c>
      <c r="AM1069" s="18" t="s">
        <v>95</v>
      </c>
      <c r="AN1069" s="18" t="s">
        <v>95</v>
      </c>
      <c r="AO1069" s="18" t="s">
        <v>95</v>
      </c>
      <c r="AP1069" s="18" t="s">
        <v>95</v>
      </c>
      <c r="AQ1069" s="18" t="s">
        <v>95</v>
      </c>
      <c r="AR1069" s="18" t="s">
        <v>95</v>
      </c>
      <c r="AS1069" s="18" t="s">
        <v>83</v>
      </c>
      <c r="AT1069" s="18" t="s">
        <v>95</v>
      </c>
      <c r="AU1069" s="18" t="s">
        <v>95</v>
      </c>
      <c r="AV1069" s="18" t="s">
        <v>95</v>
      </c>
      <c r="AW1069" s="18"/>
      <c r="AX1069" s="18"/>
      <c r="AY1069" s="18" t="str">
        <f>Pospago[[#This Row],[NUM_TELEFONICO]]&amp;"POSPAGOSI"</f>
        <v>999239967POSPAGOSI</v>
      </c>
      <c r="AZ1069" s="18" t="str">
        <f>VLOOKUP(Pospago[[#This Row],[NOM_PLAZA_FINAL]],[1]!Locales[#Data],3,0)</f>
        <v>TIENDA RECREO</v>
      </c>
      <c r="BA1069" s="18" t="str">
        <f>IFERROR(VLOOKUP(Pospago[[#This Row],[USUARIO]],[1]!Personal[#Data],6,0),"EJECUTIVO NO REGISTRADO")</f>
        <v>GUEVARA MAZA CRISTIAN FABIAN</v>
      </c>
      <c r="BB1069" s="18" t="str">
        <f>Pospago[[#This Row],[TIPO_MOVIMIENTO]]&amp;" "&amp;Pospago[[#This Row],[FORMA_PAGO_FINAL]]</f>
        <v>ALTAS DOMICILIADO</v>
      </c>
      <c r="BC1069" s="18">
        <f>DAY(Pospago[[#This Row],[FECHA_ALTA]])</f>
        <v>13</v>
      </c>
      <c r="BD1069" s="18">
        <f>IF(Pospago[[#This Row],[TARIFA_BASICA]]=11.42,1,0)</f>
        <v>0</v>
      </c>
      <c r="BE1069" s="18">
        <f>IF(Pospago[[#This Row],[PLANES TELEVENTAS]]="SI",1,0)</f>
        <v>0</v>
      </c>
      <c r="BF1069" s="18">
        <f>1</f>
        <v>1</v>
      </c>
      <c r="BG1069" s="18">
        <f>IF(OR(Pospago[[#This Row],[TARIFA_BASICA]]=11.42,Pospago[[#This Row],[PLANES TELEVENTAS]]="SI"),1,0)</f>
        <v>0</v>
      </c>
      <c r="BH1069" s="18" t="str">
        <f>IF(MID(Pospago[[#This Row],[PlanDesc]],1,4) = "PLAN","POSPAGO",IF(MID(Pospago[[#This Row],[PlanDesc]],1,4)="FULL","FULL MEGAS","PREVIOPAGO"))</f>
        <v>FULL MEGAS</v>
      </c>
      <c r="BI106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106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69" s="21">
        <f>Pospago[[#This Row],[TARIFA_BASICA]]*1.5</f>
        <v>37.5</v>
      </c>
    </row>
    <row r="1070" spans="1:63" x14ac:dyDescent="0.25">
      <c r="A1070" s="18" t="s">
        <v>64</v>
      </c>
      <c r="B1070" s="18" t="s">
        <v>6622</v>
      </c>
      <c r="C1070" s="18" t="s">
        <v>6623</v>
      </c>
      <c r="D1070" s="19">
        <v>44911</v>
      </c>
      <c r="E1070" s="18" t="s">
        <v>67</v>
      </c>
      <c r="F1070" s="18" t="s">
        <v>6624</v>
      </c>
      <c r="G1070" s="18" t="s">
        <v>6625</v>
      </c>
      <c r="H1070" s="18" t="s">
        <v>70</v>
      </c>
      <c r="I1070" s="18" t="s">
        <v>71</v>
      </c>
      <c r="J1070" s="18" t="s">
        <v>72</v>
      </c>
      <c r="K1070" s="18" t="s">
        <v>73</v>
      </c>
      <c r="L1070" s="20" t="s">
        <v>6626</v>
      </c>
      <c r="M1070" s="18" t="s">
        <v>75</v>
      </c>
      <c r="N1070" s="20" t="s">
        <v>6627</v>
      </c>
      <c r="O1070" s="18" t="s">
        <v>77</v>
      </c>
      <c r="P1070" s="18" t="s">
        <v>78</v>
      </c>
      <c r="Q1070" s="19">
        <v>44914</v>
      </c>
      <c r="R1070" s="21">
        <v>11.42</v>
      </c>
      <c r="S1070" s="18" t="s">
        <v>79</v>
      </c>
      <c r="T1070" s="18" t="s">
        <v>80</v>
      </c>
      <c r="U1070" s="18" t="s">
        <v>83</v>
      </c>
      <c r="V1070" s="18" t="s">
        <v>95</v>
      </c>
      <c r="W1070" s="18" t="s">
        <v>83</v>
      </c>
      <c r="X1070" s="18" t="s">
        <v>84</v>
      </c>
      <c r="Y1070" s="18" t="s">
        <v>85</v>
      </c>
      <c r="Z1070" s="18" t="s">
        <v>86</v>
      </c>
      <c r="AA1070" s="18" t="s">
        <v>87</v>
      </c>
      <c r="AB1070" s="18" t="s">
        <v>880</v>
      </c>
      <c r="AC1070" s="18" t="s">
        <v>881</v>
      </c>
      <c r="AD1070" s="18" t="s">
        <v>85</v>
      </c>
      <c r="AE1070" s="18" t="s">
        <v>90</v>
      </c>
      <c r="AF1070" s="18" t="s">
        <v>91</v>
      </c>
      <c r="AG1070" s="18" t="s">
        <v>92</v>
      </c>
      <c r="AH1070" s="18" t="s">
        <v>93</v>
      </c>
      <c r="AI1070" s="18" t="s">
        <v>94</v>
      </c>
      <c r="AJ1070" s="19">
        <v>44911</v>
      </c>
      <c r="AK1070" s="22" t="s">
        <v>95</v>
      </c>
      <c r="AL1070" s="18" t="s">
        <v>95</v>
      </c>
      <c r="AM1070" s="18" t="s">
        <v>95</v>
      </c>
      <c r="AN1070" s="18" t="s">
        <v>95</v>
      </c>
      <c r="AO1070" s="18" t="s">
        <v>95</v>
      </c>
      <c r="AP1070" s="18" t="s">
        <v>95</v>
      </c>
      <c r="AQ1070" s="18" t="s">
        <v>95</v>
      </c>
      <c r="AR1070" s="18" t="s">
        <v>95</v>
      </c>
      <c r="AS1070" s="18" t="s">
        <v>83</v>
      </c>
      <c r="AT1070" s="18" t="s">
        <v>83</v>
      </c>
      <c r="AU1070" s="18" t="s">
        <v>81</v>
      </c>
      <c r="AV1070" s="18" t="s">
        <v>95</v>
      </c>
      <c r="AW1070" s="18"/>
      <c r="AX1070" s="18"/>
      <c r="AY1070" s="18" t="str">
        <f>Pospago[[#This Row],[NUM_TELEFONICO]]&amp;"POSPAGOSI"</f>
        <v>999244551POSPAGOSI</v>
      </c>
      <c r="AZ1070" s="18" t="str">
        <f>VLOOKUP(Pospago[[#This Row],[NOM_PLAZA_FINAL]],[1]!Locales[#Data],3,0)</f>
        <v>TIENDA CUENCA CENTRO</v>
      </c>
      <c r="BA1070" s="18" t="str">
        <f>IFERROR(VLOOKUP(Pospago[[#This Row],[USUARIO]],[1]!Personal[#Data],6,0),"EJECUTIVO NO REGISTRADO")</f>
        <v>LUNA JACHO ANDREA GABRIELA</v>
      </c>
      <c r="BB1070" s="18" t="str">
        <f>Pospago[[#This Row],[TIPO_MOVIMIENTO]]&amp;" "&amp;Pospago[[#This Row],[FORMA_PAGO_FINAL]]</f>
        <v>ALTAS DOMICILIADO</v>
      </c>
      <c r="BC1070" s="18">
        <f>DAY(Pospago[[#This Row],[FECHA_ALTA]])</f>
        <v>16</v>
      </c>
      <c r="BD1070" s="18">
        <f>IF(Pospago[[#This Row],[TARIFA_BASICA]]=11.42,1,0)</f>
        <v>1</v>
      </c>
      <c r="BE1070" s="18">
        <f>IF(Pospago[[#This Row],[PLANES TELEVENTAS]]="SI",1,0)</f>
        <v>0</v>
      </c>
      <c r="BF1070" s="18">
        <f>1</f>
        <v>1</v>
      </c>
      <c r="BG1070" s="18">
        <f>IF(OR(Pospago[[#This Row],[TARIFA_BASICA]]=11.42,Pospago[[#This Row],[PLANES TELEVENTAS]]="SI"),1,0)</f>
        <v>1</v>
      </c>
      <c r="BH1070" s="18" t="str">
        <f>IF(MID(Pospago[[#This Row],[PlanDesc]],1,4) = "PLAN","POSPAGO",IF(MID(Pospago[[#This Row],[PlanDesc]],1,4)="FULL","FULL MEGAS","PREVIOPAGO"))</f>
        <v>PREVIOPAGO</v>
      </c>
      <c r="BI107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8.32</v>
      </c>
      <c r="BJ107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70" s="21">
        <f>Pospago[[#This Row],[TARIFA_BASICA]]*1.5</f>
        <v>17.13</v>
      </c>
    </row>
    <row r="1071" spans="1:63" x14ac:dyDescent="0.25">
      <c r="A1071" s="18" t="s">
        <v>64</v>
      </c>
      <c r="B1071" s="18" t="s">
        <v>6628</v>
      </c>
      <c r="C1071" s="18" t="s">
        <v>6509</v>
      </c>
      <c r="D1071" s="19">
        <v>44908</v>
      </c>
      <c r="E1071" s="18" t="s">
        <v>67</v>
      </c>
      <c r="F1071" s="18" t="s">
        <v>6510</v>
      </c>
      <c r="G1071" s="18" t="s">
        <v>6511</v>
      </c>
      <c r="H1071" s="18" t="s">
        <v>70</v>
      </c>
      <c r="I1071" s="18" t="s">
        <v>211</v>
      </c>
      <c r="J1071" s="18" t="s">
        <v>212</v>
      </c>
      <c r="K1071" s="18" t="s">
        <v>73</v>
      </c>
      <c r="L1071" s="20" t="s">
        <v>6629</v>
      </c>
      <c r="M1071" s="18" t="s">
        <v>75</v>
      </c>
      <c r="N1071" s="20" t="s">
        <v>6630</v>
      </c>
      <c r="O1071" s="18" t="s">
        <v>77</v>
      </c>
      <c r="P1071" s="18" t="s">
        <v>78</v>
      </c>
      <c r="Q1071" s="19">
        <v>44914</v>
      </c>
      <c r="R1071" s="21">
        <v>25</v>
      </c>
      <c r="S1071" s="18" t="s">
        <v>79</v>
      </c>
      <c r="T1071" s="18" t="s">
        <v>174</v>
      </c>
      <c r="U1071" s="18" t="s">
        <v>83</v>
      </c>
      <c r="V1071" s="18" t="s">
        <v>95</v>
      </c>
      <c r="W1071" s="18" t="s">
        <v>83</v>
      </c>
      <c r="X1071" s="18" t="s">
        <v>84</v>
      </c>
      <c r="Y1071" s="18" t="s">
        <v>85</v>
      </c>
      <c r="Z1071" s="18" t="s">
        <v>86</v>
      </c>
      <c r="AA1071" s="18" t="s">
        <v>87</v>
      </c>
      <c r="AB1071" s="18" t="s">
        <v>2159</v>
      </c>
      <c r="AC1071" s="18" t="s">
        <v>2160</v>
      </c>
      <c r="AD1071" s="18" t="s">
        <v>85</v>
      </c>
      <c r="AE1071" s="18" t="s">
        <v>90</v>
      </c>
      <c r="AF1071" s="18" t="s">
        <v>177</v>
      </c>
      <c r="AG1071" s="18" t="s">
        <v>139</v>
      </c>
      <c r="AH1071" s="18" t="s">
        <v>93</v>
      </c>
      <c r="AI1071" s="18" t="s">
        <v>94</v>
      </c>
      <c r="AJ1071" s="19">
        <v>44908</v>
      </c>
      <c r="AK1071" s="22" t="s">
        <v>95</v>
      </c>
      <c r="AL1071" s="18" t="s">
        <v>95</v>
      </c>
      <c r="AM1071" s="18" t="s">
        <v>95</v>
      </c>
      <c r="AN1071" s="18" t="s">
        <v>95</v>
      </c>
      <c r="AO1071" s="18" t="s">
        <v>95</v>
      </c>
      <c r="AP1071" s="18" t="s">
        <v>95</v>
      </c>
      <c r="AQ1071" s="18" t="s">
        <v>95</v>
      </c>
      <c r="AR1071" s="18" t="s">
        <v>95</v>
      </c>
      <c r="AS1071" s="18" t="s">
        <v>83</v>
      </c>
      <c r="AT1071" s="18" t="s">
        <v>95</v>
      </c>
      <c r="AU1071" s="18" t="s">
        <v>95</v>
      </c>
      <c r="AV1071" s="18" t="s">
        <v>95</v>
      </c>
      <c r="AW1071" s="18"/>
      <c r="AX1071" s="18"/>
      <c r="AY1071" s="18" t="str">
        <f>Pospago[[#This Row],[NUM_TELEFONICO]]&amp;"POSPAGOSI"</f>
        <v>999246796POSPAGOSI</v>
      </c>
      <c r="AZ1071" s="18" t="str">
        <f>VLOOKUP(Pospago[[#This Row],[NOM_PLAZA_FINAL]],[1]!Locales[#Data],3,0)</f>
        <v>TIENDA RECREO</v>
      </c>
      <c r="BA1071" s="18" t="str">
        <f>IFERROR(VLOOKUP(Pospago[[#This Row],[USUARIO]],[1]!Personal[#Data],6,0),"EJECUTIVO NO REGISTRADO")</f>
        <v>GUEVARA MAZA CRISTIAN FABIAN</v>
      </c>
      <c r="BB1071" s="18" t="str">
        <f>Pospago[[#This Row],[TIPO_MOVIMIENTO]]&amp;" "&amp;Pospago[[#This Row],[FORMA_PAGO_FINAL]]</f>
        <v>ALTAS DOMICILIADO</v>
      </c>
      <c r="BC1071" s="18">
        <f>DAY(Pospago[[#This Row],[FECHA_ALTA]])</f>
        <v>13</v>
      </c>
      <c r="BD1071" s="18">
        <f>IF(Pospago[[#This Row],[TARIFA_BASICA]]=11.42,1,0)</f>
        <v>0</v>
      </c>
      <c r="BE1071" s="18">
        <f>IF(Pospago[[#This Row],[PLANES TELEVENTAS]]="SI",1,0)</f>
        <v>0</v>
      </c>
      <c r="BF1071" s="18">
        <f>1</f>
        <v>1</v>
      </c>
      <c r="BG1071" s="18">
        <f>IF(OR(Pospago[[#This Row],[TARIFA_BASICA]]=11.42,Pospago[[#This Row],[PLANES TELEVENTAS]]="SI"),1,0)</f>
        <v>0</v>
      </c>
      <c r="BH1071" s="18" t="str">
        <f>IF(MID(Pospago[[#This Row],[PlanDesc]],1,4) = "PLAN","POSPAGO",IF(MID(Pospago[[#This Row],[PlanDesc]],1,4)="FULL","FULL MEGAS","PREVIOPAGO"))</f>
        <v>FULL MEGAS</v>
      </c>
      <c r="BI107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107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71" s="21">
        <f>Pospago[[#This Row],[TARIFA_BASICA]]*1.5</f>
        <v>37.5</v>
      </c>
    </row>
    <row r="1072" spans="1:63" x14ac:dyDescent="0.25">
      <c r="A1072" s="18" t="s">
        <v>64</v>
      </c>
      <c r="B1072" s="18" t="s">
        <v>6631</v>
      </c>
      <c r="C1072" s="18" t="s">
        <v>6632</v>
      </c>
      <c r="D1072" s="19">
        <v>44903</v>
      </c>
      <c r="E1072" s="18" t="s">
        <v>67</v>
      </c>
      <c r="F1072" s="18" t="s">
        <v>6633</v>
      </c>
      <c r="G1072" s="18" t="s">
        <v>6634</v>
      </c>
      <c r="H1072" s="18" t="s">
        <v>70</v>
      </c>
      <c r="I1072" s="18" t="s">
        <v>112</v>
      </c>
      <c r="J1072" s="18" t="s">
        <v>113</v>
      </c>
      <c r="K1072" s="18" t="s">
        <v>6635</v>
      </c>
      <c r="L1072" s="20" t="s">
        <v>6636</v>
      </c>
      <c r="M1072" s="18" t="s">
        <v>75</v>
      </c>
      <c r="N1072" s="20" t="s">
        <v>6637</v>
      </c>
      <c r="O1072" s="18" t="s">
        <v>77</v>
      </c>
      <c r="P1072" s="18" t="s">
        <v>78</v>
      </c>
      <c r="Q1072" s="19">
        <v>44914</v>
      </c>
      <c r="R1072" s="21">
        <v>17.850000000000001</v>
      </c>
      <c r="S1072" s="18" t="s">
        <v>79</v>
      </c>
      <c r="T1072" s="18" t="s">
        <v>135</v>
      </c>
      <c r="U1072" s="18" t="s">
        <v>83</v>
      </c>
      <c r="V1072" s="18" t="s">
        <v>95</v>
      </c>
      <c r="W1072" s="18" t="s">
        <v>83</v>
      </c>
      <c r="X1072" s="18" t="s">
        <v>84</v>
      </c>
      <c r="Y1072" s="18" t="s">
        <v>85</v>
      </c>
      <c r="Z1072" s="18" t="s">
        <v>86</v>
      </c>
      <c r="AA1072" s="18" t="s">
        <v>87</v>
      </c>
      <c r="AB1072" s="18" t="s">
        <v>136</v>
      </c>
      <c r="AC1072" s="18" t="s">
        <v>137</v>
      </c>
      <c r="AD1072" s="18" t="s">
        <v>85</v>
      </c>
      <c r="AE1072" s="18" t="s">
        <v>90</v>
      </c>
      <c r="AF1072" s="18" t="s">
        <v>138</v>
      </c>
      <c r="AG1072" s="18" t="s">
        <v>139</v>
      </c>
      <c r="AH1072" s="18" t="s">
        <v>93</v>
      </c>
      <c r="AI1072" s="18" t="s">
        <v>94</v>
      </c>
      <c r="AJ1072" s="19">
        <v>44903</v>
      </c>
      <c r="AK1072" s="22" t="s">
        <v>95</v>
      </c>
      <c r="AL1072" s="18" t="s">
        <v>95</v>
      </c>
      <c r="AM1072" s="18" t="s">
        <v>95</v>
      </c>
      <c r="AN1072" s="18" t="s">
        <v>95</v>
      </c>
      <c r="AO1072" s="18" t="s">
        <v>95</v>
      </c>
      <c r="AP1072" s="18" t="s">
        <v>95</v>
      </c>
      <c r="AQ1072" s="18" t="s">
        <v>95</v>
      </c>
      <c r="AR1072" s="18" t="s">
        <v>95</v>
      </c>
      <c r="AS1072" s="18" t="s">
        <v>83</v>
      </c>
      <c r="AT1072" s="18" t="s">
        <v>83</v>
      </c>
      <c r="AU1072" s="18" t="s">
        <v>81</v>
      </c>
      <c r="AV1072" s="18" t="s">
        <v>95</v>
      </c>
      <c r="AW1072" s="18"/>
      <c r="AX1072" s="18"/>
      <c r="AY1072" s="18" t="str">
        <f>Pospago[[#This Row],[NUM_TELEFONICO]]&amp;"POSPAGOSI"</f>
        <v>999246989POSPAGOSI</v>
      </c>
      <c r="AZ1072" s="18" t="str">
        <f>VLOOKUP(Pospago[[#This Row],[NOM_PLAZA_FINAL]],[1]!Locales[#Data],3,0)</f>
        <v>TIENDA AMERICA</v>
      </c>
      <c r="BA1072" s="18" t="str">
        <f>IFERROR(VLOOKUP(Pospago[[#This Row],[USUARIO]],[1]!Personal[#Data],6,0),"EJECUTIVO NO REGISTRADO")</f>
        <v>SALVATIERRA GUERRA JULIAN ENRIQUE</v>
      </c>
      <c r="BB1072" s="18" t="str">
        <f>Pospago[[#This Row],[TIPO_MOVIMIENTO]]&amp;" "&amp;Pospago[[#This Row],[FORMA_PAGO_FINAL]]</f>
        <v>ALTAS DOMICILIADO</v>
      </c>
      <c r="BC1072" s="18">
        <f>DAY(Pospago[[#This Row],[FECHA_ALTA]])</f>
        <v>8</v>
      </c>
      <c r="BD1072" s="18">
        <f>IF(Pospago[[#This Row],[TARIFA_BASICA]]=11.42,1,0)</f>
        <v>0</v>
      </c>
      <c r="BE1072" s="18">
        <f>IF(Pospago[[#This Row],[PLANES TELEVENTAS]]="SI",1,0)</f>
        <v>0</v>
      </c>
      <c r="BF1072" s="18">
        <f>1</f>
        <v>1</v>
      </c>
      <c r="BG1072" s="18">
        <f>IF(OR(Pospago[[#This Row],[TARIFA_BASICA]]=11.42,Pospago[[#This Row],[PLANES TELEVENTAS]]="SI"),1,0)</f>
        <v>0</v>
      </c>
      <c r="BH1072" s="18" t="str">
        <f>IF(MID(Pospago[[#This Row],[PlanDesc]],1,4) = "PLAN","POSPAGO",IF(MID(Pospago[[#This Row],[PlanDesc]],1,4)="FULL","FULL MEGAS","PREVIOPAGO"))</f>
        <v>PREVIOPAGO</v>
      </c>
      <c r="BI107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07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72" s="21">
        <f>Pospago[[#This Row],[TARIFA_BASICA]]*1.5</f>
        <v>26.775000000000002</v>
      </c>
    </row>
    <row r="1073" spans="1:63" x14ac:dyDescent="0.25">
      <c r="A1073" s="18" t="s">
        <v>64</v>
      </c>
      <c r="B1073" s="18" t="s">
        <v>6638</v>
      </c>
      <c r="C1073" s="18" t="s">
        <v>6639</v>
      </c>
      <c r="D1073" s="19">
        <v>44902</v>
      </c>
      <c r="E1073" s="18" t="s">
        <v>67</v>
      </c>
      <c r="F1073" s="18" t="s">
        <v>6640</v>
      </c>
      <c r="G1073" s="18" t="s">
        <v>6641</v>
      </c>
      <c r="H1073" s="18" t="s">
        <v>70</v>
      </c>
      <c r="I1073" s="18" t="s">
        <v>359</v>
      </c>
      <c r="J1073" s="18" t="s">
        <v>360</v>
      </c>
      <c r="K1073" s="18" t="s">
        <v>73</v>
      </c>
      <c r="L1073" s="20" t="s">
        <v>6642</v>
      </c>
      <c r="M1073" s="18" t="s">
        <v>75</v>
      </c>
      <c r="N1073" s="20" t="s">
        <v>6643</v>
      </c>
      <c r="O1073" s="18" t="s">
        <v>77</v>
      </c>
      <c r="P1073" s="18" t="s">
        <v>78</v>
      </c>
      <c r="Q1073" s="19">
        <v>44914</v>
      </c>
      <c r="R1073" s="21">
        <v>14.28</v>
      </c>
      <c r="S1073" s="18" t="s">
        <v>79</v>
      </c>
      <c r="T1073" s="18" t="s">
        <v>135</v>
      </c>
      <c r="U1073" s="18" t="s">
        <v>83</v>
      </c>
      <c r="V1073" s="18" t="s">
        <v>95</v>
      </c>
      <c r="W1073" s="18" t="s">
        <v>83</v>
      </c>
      <c r="X1073" s="18" t="s">
        <v>84</v>
      </c>
      <c r="Y1073" s="18" t="s">
        <v>85</v>
      </c>
      <c r="Z1073" s="18" t="s">
        <v>86</v>
      </c>
      <c r="AA1073" s="18" t="s">
        <v>87</v>
      </c>
      <c r="AB1073" s="18" t="s">
        <v>136</v>
      </c>
      <c r="AC1073" s="18" t="s">
        <v>137</v>
      </c>
      <c r="AD1073" s="18" t="s">
        <v>85</v>
      </c>
      <c r="AE1073" s="18" t="s">
        <v>90</v>
      </c>
      <c r="AF1073" s="18" t="s">
        <v>138</v>
      </c>
      <c r="AG1073" s="18" t="s">
        <v>139</v>
      </c>
      <c r="AH1073" s="18" t="s">
        <v>93</v>
      </c>
      <c r="AI1073" s="18" t="s">
        <v>94</v>
      </c>
      <c r="AJ1073" s="19">
        <v>44902</v>
      </c>
      <c r="AK1073" s="22" t="s">
        <v>95</v>
      </c>
      <c r="AL1073" s="18" t="s">
        <v>95</v>
      </c>
      <c r="AM1073" s="18" t="s">
        <v>95</v>
      </c>
      <c r="AN1073" s="18" t="s">
        <v>95</v>
      </c>
      <c r="AO1073" s="18" t="s">
        <v>95</v>
      </c>
      <c r="AP1073" s="18" t="s">
        <v>95</v>
      </c>
      <c r="AQ1073" s="18" t="s">
        <v>95</v>
      </c>
      <c r="AR1073" s="18" t="s">
        <v>95</v>
      </c>
      <c r="AS1073" s="18" t="s">
        <v>83</v>
      </c>
      <c r="AT1073" s="18" t="s">
        <v>83</v>
      </c>
      <c r="AU1073" s="18" t="s">
        <v>83</v>
      </c>
      <c r="AV1073" s="18" t="s">
        <v>95</v>
      </c>
      <c r="AW1073" s="18"/>
      <c r="AX1073" s="18"/>
      <c r="AY1073" s="18" t="str">
        <f>Pospago[[#This Row],[NUM_TELEFONICO]]&amp;"POSPAGOSI"</f>
        <v>999247276POSPAGOSI</v>
      </c>
      <c r="AZ1073" s="18" t="str">
        <f>VLOOKUP(Pospago[[#This Row],[NOM_PLAZA_FINAL]],[1]!Locales[#Data],3,0)</f>
        <v>TIENDA AMERICA</v>
      </c>
      <c r="BA1073" s="18" t="str">
        <f>IFERROR(VLOOKUP(Pospago[[#This Row],[USUARIO]],[1]!Personal[#Data],6,0),"EJECUTIVO NO REGISTRADO")</f>
        <v>SALVATIERRA GUERRA JULIAN ENRIQUE</v>
      </c>
      <c r="BB1073" s="18" t="str">
        <f>Pospago[[#This Row],[TIPO_MOVIMIENTO]]&amp;" "&amp;Pospago[[#This Row],[FORMA_PAGO_FINAL]]</f>
        <v>ALTAS DOMICILIADO</v>
      </c>
      <c r="BC1073" s="18">
        <f>DAY(Pospago[[#This Row],[FECHA_ALTA]])</f>
        <v>7</v>
      </c>
      <c r="BD1073" s="18">
        <f>IF(Pospago[[#This Row],[TARIFA_BASICA]]=11.42,1,0)</f>
        <v>0</v>
      </c>
      <c r="BE1073" s="18">
        <f>IF(Pospago[[#This Row],[PLANES TELEVENTAS]]="SI",1,0)</f>
        <v>0</v>
      </c>
      <c r="BF1073" s="18">
        <f>1</f>
        <v>1</v>
      </c>
      <c r="BG1073" s="18">
        <f>IF(OR(Pospago[[#This Row],[TARIFA_BASICA]]=11.42,Pospago[[#This Row],[PLANES TELEVENTAS]]="SI"),1,0)</f>
        <v>0</v>
      </c>
      <c r="BH1073" s="18" t="str">
        <f>IF(MID(Pospago[[#This Row],[PlanDesc]],1,4) = "PLAN","POSPAGO",IF(MID(Pospago[[#This Row],[PlanDesc]],1,4)="FULL","FULL MEGAS","PREVIOPAGO"))</f>
        <v>POSPAGO</v>
      </c>
      <c r="BI107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7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73" s="21">
        <f>Pospago[[#This Row],[TARIFA_BASICA]]*1.5</f>
        <v>21.419999999999998</v>
      </c>
    </row>
    <row r="1074" spans="1:63" x14ac:dyDescent="0.25">
      <c r="A1074" s="18" t="s">
        <v>154</v>
      </c>
      <c r="B1074" s="18" t="s">
        <v>6644</v>
      </c>
      <c r="C1074" s="18" t="s">
        <v>6645</v>
      </c>
      <c r="D1074" s="19">
        <v>44907</v>
      </c>
      <c r="E1074" s="18" t="s">
        <v>67</v>
      </c>
      <c r="F1074" s="18" t="s">
        <v>6646</v>
      </c>
      <c r="G1074" s="18" t="s">
        <v>6647</v>
      </c>
      <c r="H1074" s="18" t="s">
        <v>159</v>
      </c>
      <c r="I1074" s="18" t="s">
        <v>160</v>
      </c>
      <c r="J1074" s="18" t="s">
        <v>161</v>
      </c>
      <c r="K1074" s="18" t="s">
        <v>95</v>
      </c>
      <c r="L1074" s="20" t="s">
        <v>6648</v>
      </c>
      <c r="M1074" s="18" t="s">
        <v>75</v>
      </c>
      <c r="N1074" s="20" t="s">
        <v>6649</v>
      </c>
      <c r="O1074" s="18" t="s">
        <v>164</v>
      </c>
      <c r="P1074" s="18" t="s">
        <v>78</v>
      </c>
      <c r="Q1074" s="19">
        <v>44914</v>
      </c>
      <c r="R1074" s="21">
        <v>14.28</v>
      </c>
      <c r="S1074" s="18" t="s">
        <v>79</v>
      </c>
      <c r="T1074" s="18" t="s">
        <v>174</v>
      </c>
      <c r="U1074" s="18" t="s">
        <v>83</v>
      </c>
      <c r="V1074" s="18" t="s">
        <v>95</v>
      </c>
      <c r="W1074" s="18" t="s">
        <v>95</v>
      </c>
      <c r="X1074" s="18" t="s">
        <v>84</v>
      </c>
      <c r="Y1074" s="18" t="s">
        <v>85</v>
      </c>
      <c r="Z1074" s="18" t="s">
        <v>86</v>
      </c>
      <c r="AA1074" s="18" t="s">
        <v>87</v>
      </c>
      <c r="AB1074" s="18" t="s">
        <v>251</v>
      </c>
      <c r="AC1074" s="18" t="s">
        <v>252</v>
      </c>
      <c r="AD1074" s="18" t="s">
        <v>85</v>
      </c>
      <c r="AE1074" s="18" t="s">
        <v>90</v>
      </c>
      <c r="AF1074" s="18" t="s">
        <v>177</v>
      </c>
      <c r="AG1074" s="18" t="s">
        <v>139</v>
      </c>
      <c r="AH1074" s="18" t="s">
        <v>165</v>
      </c>
      <c r="AI1074" s="18" t="s">
        <v>94</v>
      </c>
      <c r="AJ1074" s="19">
        <v>44907</v>
      </c>
      <c r="AK1074" s="22" t="s">
        <v>95</v>
      </c>
      <c r="AL1074" s="18" t="s">
        <v>95</v>
      </c>
      <c r="AM1074" s="18" t="s">
        <v>95</v>
      </c>
      <c r="AN1074" s="18" t="s">
        <v>95</v>
      </c>
      <c r="AO1074" s="18" t="s">
        <v>95</v>
      </c>
      <c r="AP1074" s="18" t="s">
        <v>95</v>
      </c>
      <c r="AQ1074" s="18" t="s">
        <v>95</v>
      </c>
      <c r="AR1074" s="18" t="s">
        <v>95</v>
      </c>
      <c r="AS1074" s="18" t="s">
        <v>83</v>
      </c>
      <c r="AT1074" s="18" t="s">
        <v>83</v>
      </c>
      <c r="AU1074" s="18" t="s">
        <v>81</v>
      </c>
      <c r="AV1074" s="18" t="s">
        <v>95</v>
      </c>
      <c r="AW1074" s="18"/>
      <c r="AX1074" s="18"/>
      <c r="AY1074" s="18" t="str">
        <f>Pospago[[#This Row],[NUM_TELEFONICO]]&amp;"POSPAGOSI"</f>
        <v>999259190POSPAGOSI</v>
      </c>
      <c r="AZ1074" s="18" t="str">
        <f>VLOOKUP(Pospago[[#This Row],[NOM_PLAZA_FINAL]],[1]!Locales[#Data],3,0)</f>
        <v>TIENDA RECREO</v>
      </c>
      <c r="BA1074" s="18" t="str">
        <f>IFERROR(VLOOKUP(Pospago[[#This Row],[USUARIO]],[1]!Personal[#Data],6,0),"EJECUTIVO NO REGISTRADO")</f>
        <v>CRUZ MONTUFAR KATHERINE ALEJANDRA</v>
      </c>
      <c r="BB1074" s="18" t="str">
        <f>Pospago[[#This Row],[TIPO_MOVIMIENTO]]&amp;" "&amp;Pospago[[#This Row],[FORMA_PAGO_FINAL]]</f>
        <v>TRANSFERENCIAS DOMICILIADO</v>
      </c>
      <c r="BC1074" s="18">
        <f>DAY(Pospago[[#This Row],[FECHA_ALTA]])</f>
        <v>12</v>
      </c>
      <c r="BD1074" s="18">
        <f>IF(Pospago[[#This Row],[TARIFA_BASICA]]=11.42,1,0)</f>
        <v>0</v>
      </c>
      <c r="BE1074" s="18">
        <f>IF(Pospago[[#This Row],[PLANES TELEVENTAS]]="SI",1,0)</f>
        <v>0</v>
      </c>
      <c r="BF1074" s="18">
        <f>1</f>
        <v>1</v>
      </c>
      <c r="BG1074" s="18">
        <f>IF(OR(Pospago[[#This Row],[TARIFA_BASICA]]=11.42,Pospago[[#This Row],[PLANES TELEVENTAS]]="SI"),1,0)</f>
        <v>0</v>
      </c>
      <c r="BH1074" s="18" t="str">
        <f>IF(MID(Pospago[[#This Row],[PlanDesc]],1,4) = "PLAN","POSPAGO",IF(MID(Pospago[[#This Row],[PlanDesc]],1,4)="FULL","FULL MEGAS","PREVIOPAGO"))</f>
        <v>PREVIOPAGO</v>
      </c>
      <c r="BI107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7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74" s="21">
        <f>Pospago[[#This Row],[TARIFA_BASICA]]*1.5</f>
        <v>21.419999999999998</v>
      </c>
    </row>
    <row r="1075" spans="1:63" x14ac:dyDescent="0.25">
      <c r="A1075" s="18" t="s">
        <v>64</v>
      </c>
      <c r="B1075" s="18" t="s">
        <v>6650</v>
      </c>
      <c r="C1075" s="18" t="s">
        <v>6651</v>
      </c>
      <c r="D1075" s="19">
        <v>44904</v>
      </c>
      <c r="E1075" s="18" t="s">
        <v>67</v>
      </c>
      <c r="F1075" s="18" t="s">
        <v>6652</v>
      </c>
      <c r="G1075" s="18" t="s">
        <v>6653</v>
      </c>
      <c r="H1075" s="18" t="s">
        <v>70</v>
      </c>
      <c r="I1075" s="18" t="s">
        <v>160</v>
      </c>
      <c r="J1075" s="18" t="s">
        <v>195</v>
      </c>
      <c r="K1075" s="18" t="s">
        <v>4159</v>
      </c>
      <c r="L1075" s="20" t="s">
        <v>6654</v>
      </c>
      <c r="M1075" s="18" t="s">
        <v>75</v>
      </c>
      <c r="N1075" s="20" t="s">
        <v>6655</v>
      </c>
      <c r="O1075" s="18" t="s">
        <v>231</v>
      </c>
      <c r="P1075" s="18" t="s">
        <v>78</v>
      </c>
      <c r="Q1075" s="19">
        <v>44914</v>
      </c>
      <c r="R1075" s="21">
        <v>14.28</v>
      </c>
      <c r="S1075" s="18" t="s">
        <v>79</v>
      </c>
      <c r="T1075" s="18" t="s">
        <v>174</v>
      </c>
      <c r="U1075" s="18" t="s">
        <v>83</v>
      </c>
      <c r="V1075" s="18" t="s">
        <v>95</v>
      </c>
      <c r="W1075" s="18" t="s">
        <v>83</v>
      </c>
      <c r="X1075" s="18" t="s">
        <v>84</v>
      </c>
      <c r="Y1075" s="18" t="s">
        <v>85</v>
      </c>
      <c r="Z1075" s="18" t="s">
        <v>86</v>
      </c>
      <c r="AA1075" s="18" t="s">
        <v>87</v>
      </c>
      <c r="AB1075" s="18" t="s">
        <v>396</v>
      </c>
      <c r="AC1075" s="18" t="s">
        <v>397</v>
      </c>
      <c r="AD1075" s="18" t="s">
        <v>85</v>
      </c>
      <c r="AE1075" s="18" t="s">
        <v>90</v>
      </c>
      <c r="AF1075" s="18" t="s">
        <v>177</v>
      </c>
      <c r="AG1075" s="18" t="s">
        <v>139</v>
      </c>
      <c r="AH1075" s="18" t="s">
        <v>93</v>
      </c>
      <c r="AI1075" s="18" t="s">
        <v>94</v>
      </c>
      <c r="AJ1075" s="19">
        <v>44904</v>
      </c>
      <c r="AK1075" s="22" t="s">
        <v>95</v>
      </c>
      <c r="AL1075" s="18" t="s">
        <v>95</v>
      </c>
      <c r="AM1075" s="18" t="s">
        <v>95</v>
      </c>
      <c r="AN1075" s="18" t="s">
        <v>95</v>
      </c>
      <c r="AO1075" s="18" t="s">
        <v>95</v>
      </c>
      <c r="AP1075" s="18" t="s">
        <v>95</v>
      </c>
      <c r="AQ1075" s="18" t="s">
        <v>95</v>
      </c>
      <c r="AR1075" s="18" t="s">
        <v>95</v>
      </c>
      <c r="AS1075" s="18" t="s">
        <v>83</v>
      </c>
      <c r="AT1075" s="18" t="s">
        <v>83</v>
      </c>
      <c r="AU1075" s="18" t="s">
        <v>81</v>
      </c>
      <c r="AV1075" s="18" t="s">
        <v>95</v>
      </c>
      <c r="AW1075" s="18"/>
      <c r="AX1075" s="18"/>
      <c r="AY1075" s="18" t="str">
        <f>Pospago[[#This Row],[NUM_TELEFONICO]]&amp;"POSPAGOSI"</f>
        <v>999261783POSPAGOSI</v>
      </c>
      <c r="AZ1075" s="18" t="str">
        <f>VLOOKUP(Pospago[[#This Row],[NOM_PLAZA_FINAL]],[1]!Locales[#Data],3,0)</f>
        <v>TIENDA RECREO</v>
      </c>
      <c r="BA1075" s="18" t="str">
        <f>IFERROR(VLOOKUP(Pospago[[#This Row],[USUARIO]],[1]!Personal[#Data],6,0),"EJECUTIVO NO REGISTRADO")</f>
        <v>VINUEZA VELASCO ANGY DAYANA</v>
      </c>
      <c r="BB1075" s="18" t="str">
        <f>Pospago[[#This Row],[TIPO_MOVIMIENTO]]&amp;" "&amp;Pospago[[#This Row],[FORMA_PAGO_FINAL]]</f>
        <v>ALTAS DOMICILIADO</v>
      </c>
      <c r="BC1075" s="18">
        <f>DAY(Pospago[[#This Row],[FECHA_ALTA]])</f>
        <v>9</v>
      </c>
      <c r="BD1075" s="18">
        <f>IF(Pospago[[#This Row],[TARIFA_BASICA]]=11.42,1,0)</f>
        <v>0</v>
      </c>
      <c r="BE1075" s="18">
        <f>IF(Pospago[[#This Row],[PLANES TELEVENTAS]]="SI",1,0)</f>
        <v>0</v>
      </c>
      <c r="BF1075" s="18">
        <f>1</f>
        <v>1</v>
      </c>
      <c r="BG1075" s="18">
        <f>IF(OR(Pospago[[#This Row],[TARIFA_BASICA]]=11.42,Pospago[[#This Row],[PLANES TELEVENTAS]]="SI"),1,0)</f>
        <v>0</v>
      </c>
      <c r="BH1075" s="18" t="str">
        <f>IF(MID(Pospago[[#This Row],[PlanDesc]],1,4) = "PLAN","POSPAGO",IF(MID(Pospago[[#This Row],[PlanDesc]],1,4)="FULL","FULL MEGAS","PREVIOPAGO"))</f>
        <v>PREVIOPAGO</v>
      </c>
      <c r="BI107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7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75" s="21">
        <f>Pospago[[#This Row],[TARIFA_BASICA]]*1.5</f>
        <v>21.419999999999998</v>
      </c>
    </row>
    <row r="1076" spans="1:63" x14ac:dyDescent="0.25">
      <c r="A1076" s="18" t="s">
        <v>64</v>
      </c>
      <c r="B1076" s="18" t="s">
        <v>6656</v>
      </c>
      <c r="C1076" s="18" t="s">
        <v>6509</v>
      </c>
      <c r="D1076" s="19">
        <v>44908</v>
      </c>
      <c r="E1076" s="18" t="s">
        <v>67</v>
      </c>
      <c r="F1076" s="18" t="s">
        <v>6510</v>
      </c>
      <c r="G1076" s="18" t="s">
        <v>6511</v>
      </c>
      <c r="H1076" s="18" t="s">
        <v>70</v>
      </c>
      <c r="I1076" s="18" t="s">
        <v>211</v>
      </c>
      <c r="J1076" s="18" t="s">
        <v>212</v>
      </c>
      <c r="K1076" s="18" t="s">
        <v>73</v>
      </c>
      <c r="L1076" s="20" t="s">
        <v>6657</v>
      </c>
      <c r="M1076" s="18" t="s">
        <v>75</v>
      </c>
      <c r="N1076" s="20" t="s">
        <v>6658</v>
      </c>
      <c r="O1076" s="18" t="s">
        <v>77</v>
      </c>
      <c r="P1076" s="18" t="s">
        <v>78</v>
      </c>
      <c r="Q1076" s="19">
        <v>44914</v>
      </c>
      <c r="R1076" s="21">
        <v>25</v>
      </c>
      <c r="S1076" s="18" t="s">
        <v>79</v>
      </c>
      <c r="T1076" s="18" t="s">
        <v>174</v>
      </c>
      <c r="U1076" s="18" t="s">
        <v>83</v>
      </c>
      <c r="V1076" s="18" t="s">
        <v>95</v>
      </c>
      <c r="W1076" s="18" t="s">
        <v>83</v>
      </c>
      <c r="X1076" s="18" t="s">
        <v>84</v>
      </c>
      <c r="Y1076" s="18" t="s">
        <v>85</v>
      </c>
      <c r="Z1076" s="18" t="s">
        <v>86</v>
      </c>
      <c r="AA1076" s="18" t="s">
        <v>87</v>
      </c>
      <c r="AB1076" s="18" t="s">
        <v>2159</v>
      </c>
      <c r="AC1076" s="18" t="s">
        <v>2160</v>
      </c>
      <c r="AD1076" s="18" t="s">
        <v>85</v>
      </c>
      <c r="AE1076" s="18" t="s">
        <v>90</v>
      </c>
      <c r="AF1076" s="18" t="s">
        <v>177</v>
      </c>
      <c r="AG1076" s="18" t="s">
        <v>139</v>
      </c>
      <c r="AH1076" s="18" t="s">
        <v>93</v>
      </c>
      <c r="AI1076" s="18" t="s">
        <v>94</v>
      </c>
      <c r="AJ1076" s="19">
        <v>44908</v>
      </c>
      <c r="AK1076" s="22" t="s">
        <v>95</v>
      </c>
      <c r="AL1076" s="18" t="s">
        <v>95</v>
      </c>
      <c r="AM1076" s="18" t="s">
        <v>95</v>
      </c>
      <c r="AN1076" s="18" t="s">
        <v>95</v>
      </c>
      <c r="AO1076" s="18" t="s">
        <v>95</v>
      </c>
      <c r="AP1076" s="18" t="s">
        <v>95</v>
      </c>
      <c r="AQ1076" s="18" t="s">
        <v>95</v>
      </c>
      <c r="AR1076" s="18" t="s">
        <v>95</v>
      </c>
      <c r="AS1076" s="18" t="s">
        <v>83</v>
      </c>
      <c r="AT1076" s="18" t="s">
        <v>95</v>
      </c>
      <c r="AU1076" s="18" t="s">
        <v>95</v>
      </c>
      <c r="AV1076" s="18" t="s">
        <v>95</v>
      </c>
      <c r="AW1076" s="18"/>
      <c r="AX1076" s="18"/>
      <c r="AY1076" s="18" t="str">
        <f>Pospago[[#This Row],[NUM_TELEFONICO]]&amp;"POSPAGOSI"</f>
        <v>999262597POSPAGOSI</v>
      </c>
      <c r="AZ1076" s="18" t="str">
        <f>VLOOKUP(Pospago[[#This Row],[NOM_PLAZA_FINAL]],[1]!Locales[#Data],3,0)</f>
        <v>TIENDA RECREO</v>
      </c>
      <c r="BA1076" s="18" t="str">
        <f>IFERROR(VLOOKUP(Pospago[[#This Row],[USUARIO]],[1]!Personal[#Data],6,0),"EJECUTIVO NO REGISTRADO")</f>
        <v>GUEVARA MAZA CRISTIAN FABIAN</v>
      </c>
      <c r="BB1076" s="18" t="str">
        <f>Pospago[[#This Row],[TIPO_MOVIMIENTO]]&amp;" "&amp;Pospago[[#This Row],[FORMA_PAGO_FINAL]]</f>
        <v>ALTAS DOMICILIADO</v>
      </c>
      <c r="BC1076" s="18">
        <f>DAY(Pospago[[#This Row],[FECHA_ALTA]])</f>
        <v>13</v>
      </c>
      <c r="BD1076" s="18">
        <f>IF(Pospago[[#This Row],[TARIFA_BASICA]]=11.42,1,0)</f>
        <v>0</v>
      </c>
      <c r="BE1076" s="18">
        <f>IF(Pospago[[#This Row],[PLANES TELEVENTAS]]="SI",1,0)</f>
        <v>0</v>
      </c>
      <c r="BF1076" s="18">
        <f>1</f>
        <v>1</v>
      </c>
      <c r="BG1076" s="18">
        <f>IF(OR(Pospago[[#This Row],[TARIFA_BASICA]]=11.42,Pospago[[#This Row],[PLANES TELEVENTAS]]="SI"),1,0)</f>
        <v>0</v>
      </c>
      <c r="BH1076" s="18" t="str">
        <f>IF(MID(Pospago[[#This Row],[PlanDesc]],1,4) = "PLAN","POSPAGO",IF(MID(Pospago[[#This Row],[PlanDesc]],1,4)="FULL","FULL MEGAS","PREVIOPAGO"))</f>
        <v>FULL MEGAS</v>
      </c>
      <c r="BI107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107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76" s="21">
        <f>Pospago[[#This Row],[TARIFA_BASICA]]*1.5</f>
        <v>37.5</v>
      </c>
    </row>
    <row r="1077" spans="1:63" x14ac:dyDescent="0.25">
      <c r="A1077" s="18" t="s">
        <v>64</v>
      </c>
      <c r="B1077" s="18" t="s">
        <v>6659</v>
      </c>
      <c r="C1077" s="18" t="s">
        <v>4154</v>
      </c>
      <c r="D1077" s="19">
        <v>44902</v>
      </c>
      <c r="E1077" s="18" t="s">
        <v>67</v>
      </c>
      <c r="F1077" s="18" t="s">
        <v>4155</v>
      </c>
      <c r="G1077" s="18" t="s">
        <v>4156</v>
      </c>
      <c r="H1077" s="18" t="s">
        <v>70</v>
      </c>
      <c r="I1077" s="18" t="s">
        <v>112</v>
      </c>
      <c r="J1077" s="18" t="s">
        <v>113</v>
      </c>
      <c r="K1077" s="18" t="s">
        <v>4159</v>
      </c>
      <c r="L1077" s="20" t="s">
        <v>6660</v>
      </c>
      <c r="M1077" s="18" t="s">
        <v>75</v>
      </c>
      <c r="N1077" s="20" t="s">
        <v>6661</v>
      </c>
      <c r="O1077" s="18" t="s">
        <v>77</v>
      </c>
      <c r="P1077" s="18" t="s">
        <v>78</v>
      </c>
      <c r="Q1077" s="19">
        <v>44914</v>
      </c>
      <c r="R1077" s="21">
        <v>17.850000000000001</v>
      </c>
      <c r="S1077" s="18" t="s">
        <v>79</v>
      </c>
      <c r="T1077" s="18" t="s">
        <v>174</v>
      </c>
      <c r="U1077" s="18" t="s">
        <v>83</v>
      </c>
      <c r="V1077" s="18" t="s">
        <v>95</v>
      </c>
      <c r="W1077" s="18" t="s">
        <v>83</v>
      </c>
      <c r="X1077" s="18" t="s">
        <v>215</v>
      </c>
      <c r="Y1077" s="18" t="s">
        <v>85</v>
      </c>
      <c r="Z1077" s="18" t="s">
        <v>86</v>
      </c>
      <c r="AA1077" s="18" t="s">
        <v>87</v>
      </c>
      <c r="AB1077" s="18" t="s">
        <v>2159</v>
      </c>
      <c r="AC1077" s="18" t="s">
        <v>2160</v>
      </c>
      <c r="AD1077" s="18" t="s">
        <v>85</v>
      </c>
      <c r="AE1077" s="18" t="s">
        <v>90</v>
      </c>
      <c r="AF1077" s="18" t="s">
        <v>177</v>
      </c>
      <c r="AG1077" s="18" t="s">
        <v>139</v>
      </c>
      <c r="AH1077" s="18" t="s">
        <v>93</v>
      </c>
      <c r="AI1077" s="18" t="s">
        <v>94</v>
      </c>
      <c r="AJ1077" s="19">
        <v>44902</v>
      </c>
      <c r="AK1077" s="22" t="s">
        <v>95</v>
      </c>
      <c r="AL1077" s="18" t="s">
        <v>95</v>
      </c>
      <c r="AM1077" s="18" t="s">
        <v>95</v>
      </c>
      <c r="AN1077" s="18" t="s">
        <v>95</v>
      </c>
      <c r="AO1077" s="18" t="s">
        <v>95</v>
      </c>
      <c r="AP1077" s="18" t="s">
        <v>95</v>
      </c>
      <c r="AQ1077" s="18" t="s">
        <v>95</v>
      </c>
      <c r="AR1077" s="18" t="s">
        <v>95</v>
      </c>
      <c r="AS1077" s="18" t="s">
        <v>83</v>
      </c>
      <c r="AT1077" s="18" t="s">
        <v>83</v>
      </c>
      <c r="AU1077" s="18" t="s">
        <v>81</v>
      </c>
      <c r="AV1077" s="18" t="s">
        <v>95</v>
      </c>
      <c r="AW1077" s="18"/>
      <c r="AX1077" s="18"/>
      <c r="AY1077" s="18" t="str">
        <f>Pospago[[#This Row],[NUM_TELEFONICO]]&amp;"POSPAGOSI"</f>
        <v>999265700POSPAGOSI</v>
      </c>
      <c r="AZ1077" s="18" t="str">
        <f>VLOOKUP(Pospago[[#This Row],[NOM_PLAZA_FINAL]],[1]!Locales[#Data],3,0)</f>
        <v>TIENDA RECREO</v>
      </c>
      <c r="BA1077" s="18" t="str">
        <f>IFERROR(VLOOKUP(Pospago[[#This Row],[USUARIO]],[1]!Personal[#Data],6,0),"EJECUTIVO NO REGISTRADO")</f>
        <v>GUEVARA MAZA CRISTIAN FABIAN</v>
      </c>
      <c r="BB1077" s="18" t="str">
        <f>Pospago[[#This Row],[TIPO_MOVIMIENTO]]&amp;" "&amp;Pospago[[#This Row],[FORMA_PAGO_FINAL]]</f>
        <v>ALTAS DOMICILIADO</v>
      </c>
      <c r="BC1077" s="18">
        <f>DAY(Pospago[[#This Row],[FECHA_ALTA]])</f>
        <v>7</v>
      </c>
      <c r="BD1077" s="18">
        <f>IF(Pospago[[#This Row],[TARIFA_BASICA]]=11.42,1,0)</f>
        <v>0</v>
      </c>
      <c r="BE1077" s="18">
        <f>IF(Pospago[[#This Row],[PLANES TELEVENTAS]]="SI",1,0)</f>
        <v>0</v>
      </c>
      <c r="BF1077" s="18">
        <f>1</f>
        <v>1</v>
      </c>
      <c r="BG1077" s="18">
        <f>IF(OR(Pospago[[#This Row],[TARIFA_BASICA]]=11.42,Pospago[[#This Row],[PLANES TELEVENTAS]]="SI"),1,0)</f>
        <v>0</v>
      </c>
      <c r="BH1077" s="18" t="str">
        <f>IF(MID(Pospago[[#This Row],[PlanDesc]],1,4) = "PLAN","POSPAGO",IF(MID(Pospago[[#This Row],[PlanDesc]],1,4)="FULL","FULL MEGAS","PREVIOPAGO"))</f>
        <v>PREVIOPAGO</v>
      </c>
      <c r="BI107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07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77" s="21">
        <f>Pospago[[#This Row],[TARIFA_BASICA]]*1.5</f>
        <v>26.775000000000002</v>
      </c>
    </row>
    <row r="1078" spans="1:63" x14ac:dyDescent="0.25">
      <c r="A1078" s="18" t="s">
        <v>154</v>
      </c>
      <c r="B1078" s="18" t="s">
        <v>6662</v>
      </c>
      <c r="C1078" s="18" t="s">
        <v>6663</v>
      </c>
      <c r="D1078" s="19">
        <v>44901</v>
      </c>
      <c r="E1078" s="18" t="s">
        <v>67</v>
      </c>
      <c r="F1078" s="18" t="s">
        <v>6664</v>
      </c>
      <c r="G1078" s="18" t="s">
        <v>6665</v>
      </c>
      <c r="H1078" s="18" t="s">
        <v>159</v>
      </c>
      <c r="I1078" s="18" t="s">
        <v>71</v>
      </c>
      <c r="J1078" s="18" t="s">
        <v>258</v>
      </c>
      <c r="K1078" s="18" t="s">
        <v>73</v>
      </c>
      <c r="L1078" s="20" t="s">
        <v>6666</v>
      </c>
      <c r="M1078" s="18" t="s">
        <v>75</v>
      </c>
      <c r="N1078" s="20" t="s">
        <v>6667</v>
      </c>
      <c r="O1078" s="18" t="s">
        <v>164</v>
      </c>
      <c r="P1078" s="18" t="s">
        <v>78</v>
      </c>
      <c r="Q1078" s="19">
        <v>44914</v>
      </c>
      <c r="R1078" s="21">
        <v>11.42</v>
      </c>
      <c r="S1078" s="18" t="s">
        <v>79</v>
      </c>
      <c r="T1078" s="18" t="s">
        <v>174</v>
      </c>
      <c r="U1078" s="18" t="s">
        <v>83</v>
      </c>
      <c r="V1078" s="18" t="s">
        <v>95</v>
      </c>
      <c r="W1078" s="18" t="s">
        <v>95</v>
      </c>
      <c r="X1078" s="18" t="s">
        <v>84</v>
      </c>
      <c r="Y1078" s="18" t="s">
        <v>85</v>
      </c>
      <c r="Z1078" s="18" t="s">
        <v>86</v>
      </c>
      <c r="AA1078" s="18" t="s">
        <v>87</v>
      </c>
      <c r="AB1078" s="18" t="s">
        <v>175</v>
      </c>
      <c r="AC1078" s="18" t="s">
        <v>176</v>
      </c>
      <c r="AD1078" s="18" t="s">
        <v>85</v>
      </c>
      <c r="AE1078" s="18" t="s">
        <v>90</v>
      </c>
      <c r="AF1078" s="18" t="s">
        <v>177</v>
      </c>
      <c r="AG1078" s="18" t="s">
        <v>139</v>
      </c>
      <c r="AH1078" s="18" t="s">
        <v>165</v>
      </c>
      <c r="AI1078" s="18" t="s">
        <v>94</v>
      </c>
      <c r="AJ1078" s="19">
        <v>44901</v>
      </c>
      <c r="AK1078" s="22" t="s">
        <v>95</v>
      </c>
      <c r="AL1078" s="18" t="s">
        <v>95</v>
      </c>
      <c r="AM1078" s="18" t="s">
        <v>95</v>
      </c>
      <c r="AN1078" s="18" t="s">
        <v>95</v>
      </c>
      <c r="AO1078" s="18" t="s">
        <v>95</v>
      </c>
      <c r="AP1078" s="18" t="s">
        <v>95</v>
      </c>
      <c r="AQ1078" s="18" t="s">
        <v>95</v>
      </c>
      <c r="AR1078" s="18" t="s">
        <v>95</v>
      </c>
      <c r="AS1078" s="18" t="s">
        <v>83</v>
      </c>
      <c r="AT1078" s="18" t="s">
        <v>83</v>
      </c>
      <c r="AU1078" s="18" t="s">
        <v>81</v>
      </c>
      <c r="AV1078" s="18" t="s">
        <v>95</v>
      </c>
      <c r="AW1078" s="18"/>
      <c r="AX1078" s="18"/>
      <c r="AY1078" s="18" t="str">
        <f>Pospago[[#This Row],[NUM_TELEFONICO]]&amp;"POSPAGOSI"</f>
        <v>999270592POSPAGOSI</v>
      </c>
      <c r="AZ1078" s="18" t="str">
        <f>VLOOKUP(Pospago[[#This Row],[NOM_PLAZA_FINAL]],[1]!Locales[#Data],3,0)</f>
        <v>TIENDA RECREO</v>
      </c>
      <c r="BA1078" s="18" t="str">
        <f>IFERROR(VLOOKUP(Pospago[[#This Row],[USUARIO]],[1]!Personal[#Data],6,0),"EJECUTIVO NO REGISTRADO")</f>
        <v>VARGAS REYES LUIS EDUARDO</v>
      </c>
      <c r="BB1078" s="18" t="str">
        <f>Pospago[[#This Row],[TIPO_MOVIMIENTO]]&amp;" "&amp;Pospago[[#This Row],[FORMA_PAGO_FINAL]]</f>
        <v>TRANSFERENCIAS DOMICILIADO</v>
      </c>
      <c r="BC1078" s="18">
        <f>DAY(Pospago[[#This Row],[FECHA_ALTA]])</f>
        <v>6</v>
      </c>
      <c r="BD1078" s="18">
        <f>IF(Pospago[[#This Row],[TARIFA_BASICA]]=11.42,1,0)</f>
        <v>1</v>
      </c>
      <c r="BE1078" s="18">
        <f>IF(Pospago[[#This Row],[PLANES TELEVENTAS]]="SI",1,0)</f>
        <v>0</v>
      </c>
      <c r="BF1078" s="18">
        <f>1</f>
        <v>1</v>
      </c>
      <c r="BG1078" s="18">
        <f>IF(OR(Pospago[[#This Row],[TARIFA_BASICA]]=11.42,Pospago[[#This Row],[PLANES TELEVENTAS]]="SI"),1,0)</f>
        <v>1</v>
      </c>
      <c r="BH1078" s="18" t="str">
        <f>IF(MID(Pospago[[#This Row],[PlanDesc]],1,4) = "PLAN","POSPAGO",IF(MID(Pospago[[#This Row],[PlanDesc]],1,4)="FULL","FULL MEGAS","PREVIOPAGO"))</f>
        <v>PREVIOPAGO</v>
      </c>
      <c r="BI107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107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78" s="21">
        <f>Pospago[[#This Row],[TARIFA_BASICA]]*1.5</f>
        <v>17.13</v>
      </c>
    </row>
    <row r="1079" spans="1:63" x14ac:dyDescent="0.25">
      <c r="A1079" s="18" t="s">
        <v>154</v>
      </c>
      <c r="B1079" s="18" t="s">
        <v>6668</v>
      </c>
      <c r="C1079" s="18" t="s">
        <v>6669</v>
      </c>
      <c r="D1079" s="19">
        <v>44905</v>
      </c>
      <c r="E1079" s="18" t="s">
        <v>67</v>
      </c>
      <c r="F1079" s="18" t="s">
        <v>6670</v>
      </c>
      <c r="G1079" s="18" t="s">
        <v>6671</v>
      </c>
      <c r="H1079" s="18" t="s">
        <v>159</v>
      </c>
      <c r="I1079" s="18" t="s">
        <v>160</v>
      </c>
      <c r="J1079" s="18" t="s">
        <v>161</v>
      </c>
      <c r="K1079" s="18" t="s">
        <v>73</v>
      </c>
      <c r="L1079" s="20" t="s">
        <v>6672</v>
      </c>
      <c r="M1079" s="18" t="s">
        <v>75</v>
      </c>
      <c r="N1079" s="20" t="s">
        <v>6673</v>
      </c>
      <c r="O1079" s="18" t="s">
        <v>2241</v>
      </c>
      <c r="P1079" s="18" t="s">
        <v>78</v>
      </c>
      <c r="Q1079" s="19">
        <v>44914</v>
      </c>
      <c r="R1079" s="21">
        <v>14.28</v>
      </c>
      <c r="S1079" s="18" t="s">
        <v>79</v>
      </c>
      <c r="T1079" s="18" t="s">
        <v>174</v>
      </c>
      <c r="U1079" s="18" t="s">
        <v>83</v>
      </c>
      <c r="V1079" s="18" t="s">
        <v>95</v>
      </c>
      <c r="W1079" s="18" t="s">
        <v>95</v>
      </c>
      <c r="X1079" s="18" t="s">
        <v>118</v>
      </c>
      <c r="Y1079" s="18" t="s">
        <v>85</v>
      </c>
      <c r="Z1079" s="18" t="s">
        <v>86</v>
      </c>
      <c r="AA1079" s="18" t="s">
        <v>119</v>
      </c>
      <c r="AB1079" s="18" t="s">
        <v>740</v>
      </c>
      <c r="AC1079" s="18" t="s">
        <v>741</v>
      </c>
      <c r="AD1079" s="18" t="s">
        <v>85</v>
      </c>
      <c r="AE1079" s="18" t="s">
        <v>90</v>
      </c>
      <c r="AF1079" s="18" t="s">
        <v>177</v>
      </c>
      <c r="AG1079" s="18" t="s">
        <v>139</v>
      </c>
      <c r="AH1079" s="18" t="s">
        <v>165</v>
      </c>
      <c r="AI1079" s="18" t="s">
        <v>94</v>
      </c>
      <c r="AJ1079" s="19">
        <v>44905</v>
      </c>
      <c r="AK1079" s="22" t="s">
        <v>95</v>
      </c>
      <c r="AL1079" s="18" t="s">
        <v>95</v>
      </c>
      <c r="AM1079" s="18" t="s">
        <v>95</v>
      </c>
      <c r="AN1079" s="18" t="s">
        <v>95</v>
      </c>
      <c r="AO1079" s="18" t="s">
        <v>95</v>
      </c>
      <c r="AP1079" s="18" t="s">
        <v>95</v>
      </c>
      <c r="AQ1079" s="18" t="s">
        <v>95</v>
      </c>
      <c r="AR1079" s="18" t="s">
        <v>95</v>
      </c>
      <c r="AS1079" s="18" t="s">
        <v>83</v>
      </c>
      <c r="AT1079" s="18" t="s">
        <v>83</v>
      </c>
      <c r="AU1079" s="18" t="s">
        <v>81</v>
      </c>
      <c r="AV1079" s="18" t="s">
        <v>95</v>
      </c>
      <c r="AW1079" s="18"/>
      <c r="AX1079" s="18"/>
      <c r="AY1079" s="18" t="str">
        <f>Pospago[[#This Row],[NUM_TELEFONICO]]&amp;"POSPAGOSI"</f>
        <v>999272499POSPAGOSI</v>
      </c>
      <c r="AZ1079" s="18" t="str">
        <f>VLOOKUP(Pospago[[#This Row],[NOM_PLAZA_FINAL]],[1]!Locales[#Data],3,0)</f>
        <v>TIENDA RECREO</v>
      </c>
      <c r="BA1079" s="18" t="str">
        <f>IFERROR(VLOOKUP(Pospago[[#This Row],[USUARIO]],[1]!Personal[#Data],6,0),"EJECUTIVO NO REGISTRADO")</f>
        <v>CHAVEZ VASQUEZ YESSENIA KATHERINE</v>
      </c>
      <c r="BB1079" s="18" t="str">
        <f>Pospago[[#This Row],[TIPO_MOVIMIENTO]]&amp;" "&amp;Pospago[[#This Row],[FORMA_PAGO_FINAL]]</f>
        <v>TRANSFERENCIAS PAGO EN CAJA</v>
      </c>
      <c r="BC1079" s="18">
        <f>DAY(Pospago[[#This Row],[FECHA_ALTA]])</f>
        <v>10</v>
      </c>
      <c r="BD1079" s="18">
        <f>IF(Pospago[[#This Row],[TARIFA_BASICA]]=11.42,1,0)</f>
        <v>0</v>
      </c>
      <c r="BE1079" s="18">
        <f>IF(Pospago[[#This Row],[PLANES TELEVENTAS]]="SI",1,0)</f>
        <v>0</v>
      </c>
      <c r="BF1079" s="18">
        <f>1</f>
        <v>1</v>
      </c>
      <c r="BG1079" s="18">
        <f>IF(OR(Pospago[[#This Row],[TARIFA_BASICA]]=11.42,Pospago[[#This Row],[PLANES TELEVENTAS]]="SI"),1,0)</f>
        <v>0</v>
      </c>
      <c r="BH1079" s="18" t="str">
        <f>IF(MID(Pospago[[#This Row],[PlanDesc]],1,4) = "PLAN","POSPAGO",IF(MID(Pospago[[#This Row],[PlanDesc]],1,4)="FULL","FULL MEGAS","PREVIOPAGO"))</f>
        <v>PREVIOPAGO</v>
      </c>
      <c r="BI107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07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79" s="21">
        <f>Pospago[[#This Row],[TARIFA_BASICA]]*1.5</f>
        <v>21.419999999999998</v>
      </c>
    </row>
    <row r="1080" spans="1:63" x14ac:dyDescent="0.25">
      <c r="A1080" s="18" t="s">
        <v>154</v>
      </c>
      <c r="B1080" s="18" t="s">
        <v>6674</v>
      </c>
      <c r="C1080" s="18" t="s">
        <v>6675</v>
      </c>
      <c r="D1080" s="19">
        <v>44904</v>
      </c>
      <c r="E1080" s="18" t="s">
        <v>67</v>
      </c>
      <c r="F1080" s="18" t="s">
        <v>6676</v>
      </c>
      <c r="G1080" s="18" t="s">
        <v>6677</v>
      </c>
      <c r="H1080" s="18" t="s">
        <v>159</v>
      </c>
      <c r="I1080" s="18" t="s">
        <v>160</v>
      </c>
      <c r="J1080" s="18" t="s">
        <v>161</v>
      </c>
      <c r="K1080" s="18" t="s">
        <v>73</v>
      </c>
      <c r="L1080" s="20" t="s">
        <v>6678</v>
      </c>
      <c r="M1080" s="18" t="s">
        <v>75</v>
      </c>
      <c r="N1080" s="20" t="s">
        <v>6679</v>
      </c>
      <c r="O1080" s="18" t="s">
        <v>164</v>
      </c>
      <c r="P1080" s="18" t="s">
        <v>78</v>
      </c>
      <c r="Q1080" s="19">
        <v>44914</v>
      </c>
      <c r="R1080" s="21">
        <v>14.28</v>
      </c>
      <c r="S1080" s="18" t="s">
        <v>79</v>
      </c>
      <c r="T1080" s="18" t="s">
        <v>174</v>
      </c>
      <c r="U1080" s="18" t="s">
        <v>83</v>
      </c>
      <c r="V1080" s="18" t="s">
        <v>95</v>
      </c>
      <c r="W1080" s="18" t="s">
        <v>95</v>
      </c>
      <c r="X1080" s="18" t="s">
        <v>118</v>
      </c>
      <c r="Y1080" s="18" t="s">
        <v>85</v>
      </c>
      <c r="Z1080" s="18" t="s">
        <v>86</v>
      </c>
      <c r="AA1080" s="18" t="s">
        <v>119</v>
      </c>
      <c r="AB1080" s="18" t="s">
        <v>199</v>
      </c>
      <c r="AC1080" s="18" t="s">
        <v>200</v>
      </c>
      <c r="AD1080" s="18" t="s">
        <v>85</v>
      </c>
      <c r="AE1080" s="18" t="s">
        <v>90</v>
      </c>
      <c r="AF1080" s="18" t="s">
        <v>177</v>
      </c>
      <c r="AG1080" s="18" t="s">
        <v>139</v>
      </c>
      <c r="AH1080" s="18" t="s">
        <v>165</v>
      </c>
      <c r="AI1080" s="18" t="s">
        <v>94</v>
      </c>
      <c r="AJ1080" s="19">
        <v>44904</v>
      </c>
      <c r="AK1080" s="22" t="s">
        <v>95</v>
      </c>
      <c r="AL1080" s="18" t="s">
        <v>95</v>
      </c>
      <c r="AM1080" s="18" t="s">
        <v>95</v>
      </c>
      <c r="AN1080" s="18" t="s">
        <v>95</v>
      </c>
      <c r="AO1080" s="18" t="s">
        <v>95</v>
      </c>
      <c r="AP1080" s="18" t="s">
        <v>95</v>
      </c>
      <c r="AQ1080" s="18" t="s">
        <v>95</v>
      </c>
      <c r="AR1080" s="18" t="s">
        <v>95</v>
      </c>
      <c r="AS1080" s="18" t="s">
        <v>83</v>
      </c>
      <c r="AT1080" s="18" t="s">
        <v>83</v>
      </c>
      <c r="AU1080" s="18" t="s">
        <v>81</v>
      </c>
      <c r="AV1080" s="18" t="s">
        <v>95</v>
      </c>
      <c r="AW1080" s="18"/>
      <c r="AX1080" s="18"/>
      <c r="AY1080" s="18" t="str">
        <f>Pospago[[#This Row],[NUM_TELEFONICO]]&amp;"POSPAGOSI"</f>
        <v>999281227POSPAGOSI</v>
      </c>
      <c r="AZ1080" s="18" t="str">
        <f>VLOOKUP(Pospago[[#This Row],[NOM_PLAZA_FINAL]],[1]!Locales[#Data],3,0)</f>
        <v>TIENDA RECREO</v>
      </c>
      <c r="BA1080" s="18" t="str">
        <f>IFERROR(VLOOKUP(Pospago[[#This Row],[USUARIO]],[1]!Personal[#Data],6,0),"EJECUTIVO NO REGISTRADO")</f>
        <v>MEDINA LAPO DAYANNA CAROLINA</v>
      </c>
      <c r="BB1080" s="18" t="str">
        <f>Pospago[[#This Row],[TIPO_MOVIMIENTO]]&amp;" "&amp;Pospago[[#This Row],[FORMA_PAGO_FINAL]]</f>
        <v>TRANSFERENCIAS PAGO EN CAJA</v>
      </c>
      <c r="BC1080" s="18">
        <f>DAY(Pospago[[#This Row],[FECHA_ALTA]])</f>
        <v>9</v>
      </c>
      <c r="BD1080" s="18">
        <f>IF(Pospago[[#This Row],[TARIFA_BASICA]]=11.42,1,0)</f>
        <v>0</v>
      </c>
      <c r="BE1080" s="18">
        <f>IF(Pospago[[#This Row],[PLANES TELEVENTAS]]="SI",1,0)</f>
        <v>0</v>
      </c>
      <c r="BF1080" s="18">
        <f>1</f>
        <v>1</v>
      </c>
      <c r="BG1080" s="18">
        <f>IF(OR(Pospago[[#This Row],[TARIFA_BASICA]]=11.42,Pospago[[#This Row],[PLANES TELEVENTAS]]="SI"),1,0)</f>
        <v>0</v>
      </c>
      <c r="BH1080" s="18" t="str">
        <f>IF(MID(Pospago[[#This Row],[PlanDesc]],1,4) = "PLAN","POSPAGO",IF(MID(Pospago[[#This Row],[PlanDesc]],1,4)="FULL","FULL MEGAS","PREVIOPAGO"))</f>
        <v>PREVIOPAGO</v>
      </c>
      <c r="BI108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08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80" s="21">
        <f>Pospago[[#This Row],[TARIFA_BASICA]]*1.5</f>
        <v>21.419999999999998</v>
      </c>
    </row>
    <row r="1081" spans="1:63" x14ac:dyDescent="0.25">
      <c r="A1081" s="18" t="s">
        <v>154</v>
      </c>
      <c r="B1081" s="18" t="s">
        <v>6680</v>
      </c>
      <c r="C1081" s="18" t="s">
        <v>6681</v>
      </c>
      <c r="D1081" s="19">
        <v>44910</v>
      </c>
      <c r="E1081" s="18" t="s">
        <v>67</v>
      </c>
      <c r="F1081" s="18" t="s">
        <v>6682</v>
      </c>
      <c r="G1081" s="18" t="s">
        <v>6683</v>
      </c>
      <c r="H1081" s="18" t="s">
        <v>159</v>
      </c>
      <c r="I1081" s="18" t="s">
        <v>160</v>
      </c>
      <c r="J1081" s="18" t="s">
        <v>161</v>
      </c>
      <c r="K1081" s="18" t="s">
        <v>6684</v>
      </c>
      <c r="L1081" s="20" t="s">
        <v>6685</v>
      </c>
      <c r="M1081" s="18" t="s">
        <v>75</v>
      </c>
      <c r="N1081" s="20" t="s">
        <v>6686</v>
      </c>
      <c r="O1081" s="18" t="s">
        <v>1378</v>
      </c>
      <c r="P1081" s="18" t="s">
        <v>78</v>
      </c>
      <c r="Q1081" s="19">
        <v>44914</v>
      </c>
      <c r="R1081" s="21">
        <v>14.28</v>
      </c>
      <c r="S1081" s="18" t="s">
        <v>79</v>
      </c>
      <c r="T1081" s="18" t="s">
        <v>232</v>
      </c>
      <c r="U1081" s="18" t="s">
        <v>83</v>
      </c>
      <c r="V1081" s="18" t="s">
        <v>95</v>
      </c>
      <c r="W1081" s="18" t="s">
        <v>95</v>
      </c>
      <c r="X1081" s="18" t="s">
        <v>84</v>
      </c>
      <c r="Y1081" s="18" t="s">
        <v>85</v>
      </c>
      <c r="Z1081" s="18" t="s">
        <v>86</v>
      </c>
      <c r="AA1081" s="18" t="s">
        <v>87</v>
      </c>
      <c r="AB1081" s="18" t="s">
        <v>443</v>
      </c>
      <c r="AC1081" s="18" t="s">
        <v>444</v>
      </c>
      <c r="AD1081" s="18" t="s">
        <v>85</v>
      </c>
      <c r="AE1081" s="18" t="s">
        <v>90</v>
      </c>
      <c r="AF1081" s="18" t="s">
        <v>235</v>
      </c>
      <c r="AG1081" s="18" t="s">
        <v>139</v>
      </c>
      <c r="AH1081" s="18" t="s">
        <v>165</v>
      </c>
      <c r="AI1081" s="18" t="s">
        <v>94</v>
      </c>
      <c r="AJ1081" s="19">
        <v>44910</v>
      </c>
      <c r="AK1081" s="22" t="s">
        <v>95</v>
      </c>
      <c r="AL1081" s="18" t="s">
        <v>95</v>
      </c>
      <c r="AM1081" s="18" t="s">
        <v>95</v>
      </c>
      <c r="AN1081" s="18" t="s">
        <v>95</v>
      </c>
      <c r="AO1081" s="18" t="s">
        <v>95</v>
      </c>
      <c r="AP1081" s="18" t="s">
        <v>95</v>
      </c>
      <c r="AQ1081" s="18" t="s">
        <v>95</v>
      </c>
      <c r="AR1081" s="18" t="s">
        <v>95</v>
      </c>
      <c r="AS1081" s="18" t="s">
        <v>83</v>
      </c>
      <c r="AT1081" s="18" t="s">
        <v>83</v>
      </c>
      <c r="AU1081" s="18" t="s">
        <v>81</v>
      </c>
      <c r="AV1081" s="18" t="s">
        <v>95</v>
      </c>
      <c r="AW1081" s="18"/>
      <c r="AX1081" s="18"/>
      <c r="AY1081" s="18" t="str">
        <f>Pospago[[#This Row],[NUM_TELEFONICO]]&amp;"POSPAGOSI"</f>
        <v>999298152POSPAGOSI</v>
      </c>
      <c r="AZ1081" s="18" t="str">
        <f>VLOOKUP(Pospago[[#This Row],[NOM_PLAZA_FINAL]],[1]!Locales[#Data],3,0)</f>
        <v>TIENDA CONDADO</v>
      </c>
      <c r="BA1081" s="18" t="str">
        <f>IFERROR(VLOOKUP(Pospago[[#This Row],[USUARIO]],[1]!Personal[#Data],6,0),"EJECUTIVO NO REGISTRADO")</f>
        <v>JARAMILLO ESPINOZA KENIA KATRINA</v>
      </c>
      <c r="BB1081" s="18" t="str">
        <f>Pospago[[#This Row],[TIPO_MOVIMIENTO]]&amp;" "&amp;Pospago[[#This Row],[FORMA_PAGO_FINAL]]</f>
        <v>TRANSFERENCIAS DOMICILIADO</v>
      </c>
      <c r="BC1081" s="18">
        <f>DAY(Pospago[[#This Row],[FECHA_ALTA]])</f>
        <v>15</v>
      </c>
      <c r="BD1081" s="18">
        <f>IF(Pospago[[#This Row],[TARIFA_BASICA]]=11.42,1,0)</f>
        <v>0</v>
      </c>
      <c r="BE1081" s="18">
        <f>IF(Pospago[[#This Row],[PLANES TELEVENTAS]]="SI",1,0)</f>
        <v>0</v>
      </c>
      <c r="BF1081" s="18">
        <f>1</f>
        <v>1</v>
      </c>
      <c r="BG1081" s="18">
        <f>IF(OR(Pospago[[#This Row],[TARIFA_BASICA]]=11.42,Pospago[[#This Row],[PLANES TELEVENTAS]]="SI"),1,0)</f>
        <v>0</v>
      </c>
      <c r="BH1081" s="18" t="str">
        <f>IF(MID(Pospago[[#This Row],[PlanDesc]],1,4) = "PLAN","POSPAGO",IF(MID(Pospago[[#This Row],[PlanDesc]],1,4)="FULL","FULL MEGAS","PREVIOPAGO"))</f>
        <v>PREVIOPAGO</v>
      </c>
      <c r="BI108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8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81" s="21">
        <f>Pospago[[#This Row],[TARIFA_BASICA]]*1.5</f>
        <v>21.419999999999998</v>
      </c>
    </row>
    <row r="1082" spans="1:63" x14ac:dyDescent="0.25">
      <c r="A1082" s="18" t="s">
        <v>154</v>
      </c>
      <c r="B1082" s="18" t="s">
        <v>6687</v>
      </c>
      <c r="C1082" s="18" t="s">
        <v>4230</v>
      </c>
      <c r="D1082" s="19">
        <v>44901</v>
      </c>
      <c r="E1082" s="18" t="s">
        <v>67</v>
      </c>
      <c r="F1082" s="18" t="s">
        <v>4231</v>
      </c>
      <c r="G1082" s="18" t="s">
        <v>4232</v>
      </c>
      <c r="H1082" s="18" t="s">
        <v>159</v>
      </c>
      <c r="I1082" s="18" t="s">
        <v>130</v>
      </c>
      <c r="J1082" s="18" t="s">
        <v>433</v>
      </c>
      <c r="K1082" s="18" t="s">
        <v>132</v>
      </c>
      <c r="L1082" s="20" t="s">
        <v>6688</v>
      </c>
      <c r="M1082" s="18" t="s">
        <v>75</v>
      </c>
      <c r="N1082" s="20" t="s">
        <v>6689</v>
      </c>
      <c r="O1082" s="18" t="s">
        <v>164</v>
      </c>
      <c r="P1082" s="18" t="s">
        <v>78</v>
      </c>
      <c r="Q1082" s="19">
        <v>44914</v>
      </c>
      <c r="R1082" s="21">
        <v>15</v>
      </c>
      <c r="S1082" s="18" t="s">
        <v>79</v>
      </c>
      <c r="T1082" s="18" t="s">
        <v>174</v>
      </c>
      <c r="U1082" s="18" t="s">
        <v>83</v>
      </c>
      <c r="V1082" s="18" t="s">
        <v>95</v>
      </c>
      <c r="W1082" s="18" t="s">
        <v>95</v>
      </c>
      <c r="X1082" s="18" t="s">
        <v>118</v>
      </c>
      <c r="Y1082" s="18" t="s">
        <v>85</v>
      </c>
      <c r="Z1082" s="18" t="s">
        <v>86</v>
      </c>
      <c r="AA1082" s="18" t="s">
        <v>119</v>
      </c>
      <c r="AB1082" s="18" t="s">
        <v>175</v>
      </c>
      <c r="AC1082" s="18" t="s">
        <v>176</v>
      </c>
      <c r="AD1082" s="18" t="s">
        <v>85</v>
      </c>
      <c r="AE1082" s="18" t="s">
        <v>90</v>
      </c>
      <c r="AF1082" s="18" t="s">
        <v>177</v>
      </c>
      <c r="AG1082" s="18" t="s">
        <v>139</v>
      </c>
      <c r="AH1082" s="18" t="s">
        <v>165</v>
      </c>
      <c r="AI1082" s="18" t="s">
        <v>94</v>
      </c>
      <c r="AJ1082" s="19">
        <v>44901</v>
      </c>
      <c r="AK1082" s="22" t="s">
        <v>95</v>
      </c>
      <c r="AL1082" s="18" t="s">
        <v>95</v>
      </c>
      <c r="AM1082" s="18" t="s">
        <v>95</v>
      </c>
      <c r="AN1082" s="18" t="s">
        <v>95</v>
      </c>
      <c r="AO1082" s="18" t="s">
        <v>95</v>
      </c>
      <c r="AP1082" s="18" t="s">
        <v>95</v>
      </c>
      <c r="AQ1082" s="18" t="s">
        <v>95</v>
      </c>
      <c r="AR1082" s="18" t="s">
        <v>95</v>
      </c>
      <c r="AS1082" s="18" t="s">
        <v>83</v>
      </c>
      <c r="AT1082" s="18" t="s">
        <v>83</v>
      </c>
      <c r="AU1082" s="18" t="s">
        <v>81</v>
      </c>
      <c r="AV1082" s="18" t="s">
        <v>95</v>
      </c>
      <c r="AW1082" s="18"/>
      <c r="AX1082" s="18"/>
      <c r="AY1082" s="18" t="str">
        <f>Pospago[[#This Row],[NUM_TELEFONICO]]&amp;"POSPAGOSI"</f>
        <v>999358521POSPAGOSI</v>
      </c>
      <c r="AZ1082" s="18" t="str">
        <f>VLOOKUP(Pospago[[#This Row],[NOM_PLAZA_FINAL]],[1]!Locales[#Data],3,0)</f>
        <v>TIENDA RECREO</v>
      </c>
      <c r="BA1082" s="18" t="str">
        <f>IFERROR(VLOOKUP(Pospago[[#This Row],[USUARIO]],[1]!Personal[#Data],6,0),"EJECUTIVO NO REGISTRADO")</f>
        <v>VARGAS REYES LUIS EDUARDO</v>
      </c>
      <c r="BB1082" s="18" t="str">
        <f>Pospago[[#This Row],[TIPO_MOVIMIENTO]]&amp;" "&amp;Pospago[[#This Row],[FORMA_PAGO_FINAL]]</f>
        <v>TRANSFERENCIAS PAGO EN CAJA</v>
      </c>
      <c r="BC1082" s="18">
        <f>DAY(Pospago[[#This Row],[FECHA_ALTA]])</f>
        <v>6</v>
      </c>
      <c r="BD1082" s="18">
        <f>IF(Pospago[[#This Row],[TARIFA_BASICA]]=11.42,1,0)</f>
        <v>0</v>
      </c>
      <c r="BE1082" s="18">
        <f>IF(Pospago[[#This Row],[PLANES TELEVENTAS]]="SI",1,0)</f>
        <v>0</v>
      </c>
      <c r="BF1082" s="18">
        <f>1</f>
        <v>1</v>
      </c>
      <c r="BG1082" s="18">
        <f>IF(OR(Pospago[[#This Row],[TARIFA_BASICA]]=11.42,Pospago[[#This Row],[PLANES TELEVENTAS]]="SI"),1,0)</f>
        <v>0</v>
      </c>
      <c r="BH1082" s="18" t="str">
        <f>IF(MID(Pospago[[#This Row],[PlanDesc]],1,4) = "PLAN","POSPAGO",IF(MID(Pospago[[#This Row],[PlanDesc]],1,4)="FULL","FULL MEGAS","PREVIOPAGO"))</f>
        <v>PREVIOPAGO</v>
      </c>
      <c r="BI108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08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82" s="21">
        <f>Pospago[[#This Row],[TARIFA_BASICA]]*1.5</f>
        <v>22.5</v>
      </c>
    </row>
    <row r="1083" spans="1:63" x14ac:dyDescent="0.25">
      <c r="A1083" s="18" t="s">
        <v>64</v>
      </c>
      <c r="B1083" s="18" t="s">
        <v>6690</v>
      </c>
      <c r="C1083" s="18" t="s">
        <v>6691</v>
      </c>
      <c r="D1083" s="19">
        <v>44900</v>
      </c>
      <c r="E1083" s="18" t="s">
        <v>67</v>
      </c>
      <c r="F1083" s="18" t="s">
        <v>6692</v>
      </c>
      <c r="G1083" s="18" t="s">
        <v>6693</v>
      </c>
      <c r="H1083" s="18" t="s">
        <v>70</v>
      </c>
      <c r="I1083" s="18" t="s">
        <v>574</v>
      </c>
      <c r="J1083" s="18" t="s">
        <v>575</v>
      </c>
      <c r="K1083" s="18" t="s">
        <v>73</v>
      </c>
      <c r="L1083" s="20" t="s">
        <v>6694</v>
      </c>
      <c r="M1083" s="18" t="s">
        <v>75</v>
      </c>
      <c r="N1083" s="20" t="s">
        <v>6695</v>
      </c>
      <c r="O1083" s="18" t="s">
        <v>77</v>
      </c>
      <c r="P1083" s="18" t="s">
        <v>78</v>
      </c>
      <c r="Q1083" s="19">
        <v>44914</v>
      </c>
      <c r="R1083" s="21">
        <v>17.850000000000001</v>
      </c>
      <c r="S1083" s="18" t="s">
        <v>79</v>
      </c>
      <c r="T1083" s="18" t="s">
        <v>148</v>
      </c>
      <c r="U1083" s="18" t="s">
        <v>81</v>
      </c>
      <c r="V1083" s="18" t="s">
        <v>82</v>
      </c>
      <c r="W1083" s="18" t="s">
        <v>83</v>
      </c>
      <c r="X1083" s="18" t="s">
        <v>215</v>
      </c>
      <c r="Y1083" s="18" t="s">
        <v>85</v>
      </c>
      <c r="Z1083" s="18" t="s">
        <v>86</v>
      </c>
      <c r="AA1083" s="18" t="s">
        <v>87</v>
      </c>
      <c r="AB1083" s="18" t="s">
        <v>610</v>
      </c>
      <c r="AC1083" s="18" t="s">
        <v>611</v>
      </c>
      <c r="AD1083" s="18" t="s">
        <v>85</v>
      </c>
      <c r="AE1083" s="18" t="s">
        <v>90</v>
      </c>
      <c r="AF1083" s="18" t="s">
        <v>151</v>
      </c>
      <c r="AG1083" s="18" t="s">
        <v>92</v>
      </c>
      <c r="AH1083" s="18" t="s">
        <v>93</v>
      </c>
      <c r="AI1083" s="18" t="s">
        <v>94</v>
      </c>
      <c r="AJ1083" s="19">
        <v>44900</v>
      </c>
      <c r="AK1083" s="22" t="s">
        <v>95</v>
      </c>
      <c r="AL1083" s="18" t="s">
        <v>95</v>
      </c>
      <c r="AM1083" s="18" t="s">
        <v>95</v>
      </c>
      <c r="AN1083" s="18" t="s">
        <v>95</v>
      </c>
      <c r="AO1083" s="18" t="s">
        <v>95</v>
      </c>
      <c r="AP1083" s="18" t="s">
        <v>95</v>
      </c>
      <c r="AQ1083" s="18" t="s">
        <v>95</v>
      </c>
      <c r="AR1083" s="18" t="s">
        <v>95</v>
      </c>
      <c r="AS1083" s="18" t="s">
        <v>83</v>
      </c>
      <c r="AT1083" s="18" t="s">
        <v>83</v>
      </c>
      <c r="AU1083" s="18" t="s">
        <v>83</v>
      </c>
      <c r="AV1083" s="18" t="s">
        <v>95</v>
      </c>
      <c r="AW1083" s="18"/>
      <c r="AX1083" s="18"/>
      <c r="AY1083" s="18" t="str">
        <f>Pospago[[#This Row],[NUM_TELEFONICO]]&amp;"POSPAGOSI"</f>
        <v>999423157POSPAGOSI</v>
      </c>
      <c r="AZ1083" s="18" t="str">
        <f>VLOOKUP(Pospago[[#This Row],[NOM_PLAZA_FINAL]],[1]!Locales[#Data],3,0)</f>
        <v>TIENDA CUENCA REMIGIO</v>
      </c>
      <c r="BA1083" s="18" t="str">
        <f>IFERROR(VLOOKUP(Pospago[[#This Row],[USUARIO]],[1]!Personal[#Data],6,0),"EJECUTIVO NO REGISTRADO")</f>
        <v>PATIÑO TAPIA ANDRES SANTIAGO</v>
      </c>
      <c r="BB1083" s="18" t="str">
        <f>Pospago[[#This Row],[TIPO_MOVIMIENTO]]&amp;" "&amp;Pospago[[#This Row],[FORMA_PAGO_FINAL]]</f>
        <v>ALTAS DOMICILIADO</v>
      </c>
      <c r="BC1083" s="18">
        <f>DAY(Pospago[[#This Row],[FECHA_ALTA]])</f>
        <v>5</v>
      </c>
      <c r="BD1083" s="18">
        <f>IF(Pospago[[#This Row],[TARIFA_BASICA]]=11.42,1,0)</f>
        <v>0</v>
      </c>
      <c r="BE1083" s="18">
        <f>IF(Pospago[[#This Row],[PLANES TELEVENTAS]]="SI",1,0)</f>
        <v>0</v>
      </c>
      <c r="BF1083" s="18">
        <f>1</f>
        <v>1</v>
      </c>
      <c r="BG1083" s="18">
        <f>IF(OR(Pospago[[#This Row],[TARIFA_BASICA]]=11.42,Pospago[[#This Row],[PLANES TELEVENTAS]]="SI"),1,0)</f>
        <v>0</v>
      </c>
      <c r="BH1083" s="18" t="str">
        <f>IF(MID(Pospago[[#This Row],[PlanDesc]],1,4) = "PLAN","POSPAGO",IF(MID(Pospago[[#This Row],[PlanDesc]],1,4)="FULL","FULL MEGAS","PREVIOPAGO"))</f>
        <v>POSPAGO</v>
      </c>
      <c r="BI108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08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83" s="21">
        <f>Pospago[[#This Row],[TARIFA_BASICA]]*1.5</f>
        <v>26.775000000000002</v>
      </c>
    </row>
    <row r="1084" spans="1:63" x14ac:dyDescent="0.25">
      <c r="A1084" s="18" t="s">
        <v>64</v>
      </c>
      <c r="B1084" s="18" t="s">
        <v>6696</v>
      </c>
      <c r="C1084" s="18" t="s">
        <v>6697</v>
      </c>
      <c r="D1084" s="19">
        <v>44901</v>
      </c>
      <c r="E1084" s="18" t="s">
        <v>67</v>
      </c>
      <c r="F1084" s="18" t="s">
        <v>6698</v>
      </c>
      <c r="G1084" s="18" t="s">
        <v>6699</v>
      </c>
      <c r="H1084" s="18" t="s">
        <v>70</v>
      </c>
      <c r="I1084" s="18" t="s">
        <v>71</v>
      </c>
      <c r="J1084" s="18" t="s">
        <v>72</v>
      </c>
      <c r="K1084" s="18" t="s">
        <v>132</v>
      </c>
      <c r="L1084" s="20" t="s">
        <v>6700</v>
      </c>
      <c r="M1084" s="18" t="s">
        <v>75</v>
      </c>
      <c r="N1084" s="20" t="s">
        <v>6701</v>
      </c>
      <c r="O1084" s="18" t="s">
        <v>77</v>
      </c>
      <c r="P1084" s="18" t="s">
        <v>78</v>
      </c>
      <c r="Q1084" s="19">
        <v>44914</v>
      </c>
      <c r="R1084" s="21">
        <v>11.42</v>
      </c>
      <c r="S1084" s="18" t="s">
        <v>79</v>
      </c>
      <c r="T1084" s="18" t="s">
        <v>174</v>
      </c>
      <c r="U1084" s="18" t="s">
        <v>83</v>
      </c>
      <c r="V1084" s="18" t="s">
        <v>95</v>
      </c>
      <c r="W1084" s="18" t="s">
        <v>83</v>
      </c>
      <c r="X1084" s="18" t="s">
        <v>118</v>
      </c>
      <c r="Y1084" s="18" t="s">
        <v>85</v>
      </c>
      <c r="Z1084" s="18" t="s">
        <v>86</v>
      </c>
      <c r="AA1084" s="18" t="s">
        <v>119</v>
      </c>
      <c r="AB1084" s="18" t="s">
        <v>369</v>
      </c>
      <c r="AC1084" s="18" t="s">
        <v>370</v>
      </c>
      <c r="AD1084" s="18" t="s">
        <v>85</v>
      </c>
      <c r="AE1084" s="18" t="s">
        <v>90</v>
      </c>
      <c r="AF1084" s="18" t="s">
        <v>177</v>
      </c>
      <c r="AG1084" s="18" t="s">
        <v>139</v>
      </c>
      <c r="AH1084" s="18" t="s">
        <v>93</v>
      </c>
      <c r="AI1084" s="18" t="s">
        <v>94</v>
      </c>
      <c r="AJ1084" s="19">
        <v>44901</v>
      </c>
      <c r="AK1084" s="22" t="s">
        <v>95</v>
      </c>
      <c r="AL1084" s="18" t="s">
        <v>95</v>
      </c>
      <c r="AM1084" s="18" t="s">
        <v>95</v>
      </c>
      <c r="AN1084" s="18" t="s">
        <v>95</v>
      </c>
      <c r="AO1084" s="18" t="s">
        <v>95</v>
      </c>
      <c r="AP1084" s="18" t="s">
        <v>95</v>
      </c>
      <c r="AQ1084" s="18" t="s">
        <v>95</v>
      </c>
      <c r="AR1084" s="18" t="s">
        <v>95</v>
      </c>
      <c r="AS1084" s="18" t="s">
        <v>83</v>
      </c>
      <c r="AT1084" s="18" t="s">
        <v>83</v>
      </c>
      <c r="AU1084" s="18" t="s">
        <v>81</v>
      </c>
      <c r="AV1084" s="18" t="s">
        <v>95</v>
      </c>
      <c r="AW1084" s="18"/>
      <c r="AX1084" s="18"/>
      <c r="AY1084" s="18" t="str">
        <f>Pospago[[#This Row],[NUM_TELEFONICO]]&amp;"POSPAGOSI"</f>
        <v>999702578POSPAGOSI</v>
      </c>
      <c r="AZ1084" s="18" t="str">
        <f>VLOOKUP(Pospago[[#This Row],[NOM_PLAZA_FINAL]],[1]!Locales[#Data],3,0)</f>
        <v>TIENDA RECREO</v>
      </c>
      <c r="BA1084" s="18" t="str">
        <f>IFERROR(VLOOKUP(Pospago[[#This Row],[USUARIO]],[1]!Personal[#Data],6,0),"EJECUTIVO NO REGISTRADO")</f>
        <v>GUAIGUA REINOSO GENESIS CAROLINA</v>
      </c>
      <c r="BB1084" s="18" t="str">
        <f>Pospago[[#This Row],[TIPO_MOVIMIENTO]]&amp;" "&amp;Pospago[[#This Row],[FORMA_PAGO_FINAL]]</f>
        <v>ALTAS PAGO EN CAJA</v>
      </c>
      <c r="BC1084" s="18">
        <f>DAY(Pospago[[#This Row],[FECHA_ALTA]])</f>
        <v>6</v>
      </c>
      <c r="BD1084" s="18">
        <f>IF(Pospago[[#This Row],[TARIFA_BASICA]]=11.42,1,0)</f>
        <v>1</v>
      </c>
      <c r="BE1084" s="18">
        <f>IF(Pospago[[#This Row],[PLANES TELEVENTAS]]="SI",1,0)</f>
        <v>0</v>
      </c>
      <c r="BF1084" s="18">
        <f>1</f>
        <v>1</v>
      </c>
      <c r="BG1084" s="18">
        <f>IF(OR(Pospago[[#This Row],[TARIFA_BASICA]]=11.42,Pospago[[#This Row],[PLANES TELEVENTAS]]="SI"),1,0)</f>
        <v>1</v>
      </c>
      <c r="BH1084" s="18" t="str">
        <f>IF(MID(Pospago[[#This Row],[PlanDesc]],1,4) = "PLAN","POSPAGO",IF(MID(Pospago[[#This Row],[PlanDesc]],1,4)="FULL","FULL MEGAS","PREVIOPAGO"))</f>
        <v>PREVIOPAGO</v>
      </c>
      <c r="BI108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6.24</v>
      </c>
      <c r="BJ108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84" s="21">
        <f>Pospago[[#This Row],[TARIFA_BASICA]]*1.5</f>
        <v>17.13</v>
      </c>
    </row>
    <row r="1085" spans="1:63" x14ac:dyDescent="0.25">
      <c r="A1085" s="18" t="s">
        <v>154</v>
      </c>
      <c r="B1085" s="18" t="s">
        <v>6702</v>
      </c>
      <c r="C1085" s="18" t="s">
        <v>6703</v>
      </c>
      <c r="D1085" s="19">
        <v>44896</v>
      </c>
      <c r="E1085" s="18" t="s">
        <v>67</v>
      </c>
      <c r="F1085" s="18" t="s">
        <v>6704</v>
      </c>
      <c r="G1085" s="18" t="s">
        <v>6705</v>
      </c>
      <c r="H1085" s="18" t="s">
        <v>159</v>
      </c>
      <c r="I1085" s="18" t="s">
        <v>130</v>
      </c>
      <c r="J1085" s="18" t="s">
        <v>433</v>
      </c>
      <c r="K1085" s="18" t="s">
        <v>132</v>
      </c>
      <c r="L1085" s="20" t="s">
        <v>6706</v>
      </c>
      <c r="M1085" s="18" t="s">
        <v>75</v>
      </c>
      <c r="N1085" s="20" t="s">
        <v>6707</v>
      </c>
      <c r="O1085" s="18" t="s">
        <v>164</v>
      </c>
      <c r="P1085" s="18" t="s">
        <v>78</v>
      </c>
      <c r="Q1085" s="19">
        <v>44914</v>
      </c>
      <c r="R1085" s="21">
        <v>15</v>
      </c>
      <c r="S1085" s="18" t="s">
        <v>79</v>
      </c>
      <c r="T1085" s="18" t="s">
        <v>135</v>
      </c>
      <c r="U1085" s="18" t="s">
        <v>83</v>
      </c>
      <c r="V1085" s="18" t="s">
        <v>95</v>
      </c>
      <c r="W1085" s="18" t="s">
        <v>95</v>
      </c>
      <c r="X1085" s="18" t="s">
        <v>118</v>
      </c>
      <c r="Y1085" s="18" t="s">
        <v>85</v>
      </c>
      <c r="Z1085" s="18" t="s">
        <v>86</v>
      </c>
      <c r="AA1085" s="18" t="s">
        <v>119</v>
      </c>
      <c r="AB1085" s="18" t="s">
        <v>541</v>
      </c>
      <c r="AC1085" s="18" t="s">
        <v>542</v>
      </c>
      <c r="AD1085" s="18" t="s">
        <v>85</v>
      </c>
      <c r="AE1085" s="18" t="s">
        <v>90</v>
      </c>
      <c r="AF1085" s="18" t="s">
        <v>138</v>
      </c>
      <c r="AG1085" s="18" t="s">
        <v>139</v>
      </c>
      <c r="AH1085" s="18" t="s">
        <v>165</v>
      </c>
      <c r="AI1085" s="18" t="s">
        <v>94</v>
      </c>
      <c r="AJ1085" s="19">
        <v>44896</v>
      </c>
      <c r="AK1085" s="22" t="s">
        <v>95</v>
      </c>
      <c r="AL1085" s="18" t="s">
        <v>95</v>
      </c>
      <c r="AM1085" s="18" t="s">
        <v>95</v>
      </c>
      <c r="AN1085" s="18" t="s">
        <v>95</v>
      </c>
      <c r="AO1085" s="18" t="s">
        <v>95</v>
      </c>
      <c r="AP1085" s="18" t="s">
        <v>95</v>
      </c>
      <c r="AQ1085" s="18" t="s">
        <v>95</v>
      </c>
      <c r="AR1085" s="18" t="s">
        <v>95</v>
      </c>
      <c r="AS1085" s="18" t="s">
        <v>83</v>
      </c>
      <c r="AT1085" s="18" t="s">
        <v>83</v>
      </c>
      <c r="AU1085" s="18" t="s">
        <v>81</v>
      </c>
      <c r="AV1085" s="18" t="s">
        <v>95</v>
      </c>
      <c r="AW1085" s="18"/>
      <c r="AX1085" s="18"/>
      <c r="AY1085" s="18" t="str">
        <f>Pospago[[#This Row],[NUM_TELEFONICO]]&amp;"POSPAGOSI"</f>
        <v>999719923POSPAGOSI</v>
      </c>
      <c r="AZ1085" s="18" t="str">
        <f>VLOOKUP(Pospago[[#This Row],[NOM_PLAZA_FINAL]],[1]!Locales[#Data],3,0)</f>
        <v>TIENDA AMERICA</v>
      </c>
      <c r="BA1085" s="18" t="str">
        <f>IFERROR(VLOOKUP(Pospago[[#This Row],[USUARIO]],[1]!Personal[#Data],6,0),"EJECUTIVO NO REGISTRADO")</f>
        <v>CEVALLOS PONCE DIANA CAROLINA</v>
      </c>
      <c r="BB1085" s="18" t="str">
        <f>Pospago[[#This Row],[TIPO_MOVIMIENTO]]&amp;" "&amp;Pospago[[#This Row],[FORMA_PAGO_FINAL]]</f>
        <v>TRANSFERENCIAS PAGO EN CAJA</v>
      </c>
      <c r="BC1085" s="18">
        <f>DAY(Pospago[[#This Row],[FECHA_ALTA]])</f>
        <v>1</v>
      </c>
      <c r="BD1085" s="18">
        <f>IF(Pospago[[#This Row],[TARIFA_BASICA]]=11.42,1,0)</f>
        <v>0</v>
      </c>
      <c r="BE1085" s="18">
        <f>IF(Pospago[[#This Row],[PLANES TELEVENTAS]]="SI",1,0)</f>
        <v>0</v>
      </c>
      <c r="BF1085" s="18">
        <f>1</f>
        <v>1</v>
      </c>
      <c r="BG1085" s="18">
        <f>IF(OR(Pospago[[#This Row],[TARIFA_BASICA]]=11.42,Pospago[[#This Row],[PLANES TELEVENTAS]]="SI"),1,0)</f>
        <v>0</v>
      </c>
      <c r="BH1085" s="18" t="str">
        <f>IF(MID(Pospago[[#This Row],[PlanDesc]],1,4) = "PLAN","POSPAGO",IF(MID(Pospago[[#This Row],[PlanDesc]],1,4)="FULL","FULL MEGAS","PREVIOPAGO"))</f>
        <v>PREVIOPAGO</v>
      </c>
      <c r="BI108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08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85" s="21">
        <f>Pospago[[#This Row],[TARIFA_BASICA]]*1.5</f>
        <v>22.5</v>
      </c>
    </row>
    <row r="1086" spans="1:63" x14ac:dyDescent="0.25">
      <c r="A1086" s="18" t="s">
        <v>64</v>
      </c>
      <c r="B1086" s="18" t="s">
        <v>6708</v>
      </c>
      <c r="C1086" s="18" t="s">
        <v>6709</v>
      </c>
      <c r="D1086" s="19">
        <v>44898</v>
      </c>
      <c r="E1086" s="18" t="s">
        <v>67</v>
      </c>
      <c r="F1086" s="18" t="s">
        <v>6710</v>
      </c>
      <c r="G1086" s="18" t="s">
        <v>6711</v>
      </c>
      <c r="H1086" s="18" t="s">
        <v>70</v>
      </c>
      <c r="I1086" s="18" t="s">
        <v>3972</v>
      </c>
      <c r="J1086" s="18" t="s">
        <v>3973</v>
      </c>
      <c r="K1086" s="18" t="s">
        <v>73</v>
      </c>
      <c r="L1086" s="20" t="s">
        <v>6712</v>
      </c>
      <c r="M1086" s="18" t="s">
        <v>75</v>
      </c>
      <c r="N1086" s="20" t="s">
        <v>6713</v>
      </c>
      <c r="O1086" s="18" t="s">
        <v>311</v>
      </c>
      <c r="P1086" s="18" t="s">
        <v>78</v>
      </c>
      <c r="Q1086" s="19">
        <v>44914</v>
      </c>
      <c r="R1086" s="21">
        <v>26.78</v>
      </c>
      <c r="S1086" s="18" t="s">
        <v>79</v>
      </c>
      <c r="T1086" s="18" t="s">
        <v>80</v>
      </c>
      <c r="U1086" s="18" t="s">
        <v>83</v>
      </c>
      <c r="V1086" s="18" t="s">
        <v>95</v>
      </c>
      <c r="W1086" s="18" t="s">
        <v>83</v>
      </c>
      <c r="X1086" s="18" t="s">
        <v>84</v>
      </c>
      <c r="Y1086" s="18" t="s">
        <v>85</v>
      </c>
      <c r="Z1086" s="18" t="s">
        <v>86</v>
      </c>
      <c r="AA1086" s="18" t="s">
        <v>87</v>
      </c>
      <c r="AB1086" s="18" t="s">
        <v>88</v>
      </c>
      <c r="AC1086" s="18" t="s">
        <v>89</v>
      </c>
      <c r="AD1086" s="18" t="s">
        <v>85</v>
      </c>
      <c r="AE1086" s="18" t="s">
        <v>90</v>
      </c>
      <c r="AF1086" s="18" t="s">
        <v>91</v>
      </c>
      <c r="AG1086" s="18" t="s">
        <v>92</v>
      </c>
      <c r="AH1086" s="18" t="s">
        <v>93</v>
      </c>
      <c r="AI1086" s="18" t="s">
        <v>94</v>
      </c>
      <c r="AJ1086" s="19">
        <v>44898</v>
      </c>
      <c r="AK1086" s="22" t="s">
        <v>95</v>
      </c>
      <c r="AL1086" s="18" t="s">
        <v>95</v>
      </c>
      <c r="AM1086" s="18" t="s">
        <v>95</v>
      </c>
      <c r="AN1086" s="18" t="s">
        <v>95</v>
      </c>
      <c r="AO1086" s="18" t="s">
        <v>95</v>
      </c>
      <c r="AP1086" s="18" t="s">
        <v>95</v>
      </c>
      <c r="AQ1086" s="18" t="s">
        <v>95</v>
      </c>
      <c r="AR1086" s="18" t="s">
        <v>95</v>
      </c>
      <c r="AS1086" s="18" t="s">
        <v>83</v>
      </c>
      <c r="AT1086" s="18" t="s">
        <v>83</v>
      </c>
      <c r="AU1086" s="18" t="s">
        <v>83</v>
      </c>
      <c r="AV1086" s="18" t="s">
        <v>95</v>
      </c>
      <c r="AW1086" s="18"/>
      <c r="AX1086" s="18"/>
      <c r="AY1086" s="18" t="str">
        <f>Pospago[[#This Row],[NUM_TELEFONICO]]&amp;"POSPAGOSI"</f>
        <v>999721435POSPAGOSI</v>
      </c>
      <c r="AZ1086" s="18" t="str">
        <f>VLOOKUP(Pospago[[#This Row],[NOM_PLAZA_FINAL]],[1]!Locales[#Data],3,0)</f>
        <v>TIENDA CUENCA CENTRO</v>
      </c>
      <c r="BA1086" s="18" t="str">
        <f>IFERROR(VLOOKUP(Pospago[[#This Row],[USUARIO]],[1]!Personal[#Data],6,0),"EJECUTIVO NO REGISTRADO")</f>
        <v>ANDRADE CONDO CHRISTIAN EDUARDO</v>
      </c>
      <c r="BB1086" s="18" t="str">
        <f>Pospago[[#This Row],[TIPO_MOVIMIENTO]]&amp;" "&amp;Pospago[[#This Row],[FORMA_PAGO_FINAL]]</f>
        <v>ALTAS DOMICILIADO</v>
      </c>
      <c r="BC1086" s="18">
        <f>DAY(Pospago[[#This Row],[FECHA_ALTA]])</f>
        <v>3</v>
      </c>
      <c r="BD1086" s="18">
        <f>IF(Pospago[[#This Row],[TARIFA_BASICA]]=11.42,1,0)</f>
        <v>0</v>
      </c>
      <c r="BE1086" s="18">
        <f>IF(Pospago[[#This Row],[PLANES TELEVENTAS]]="SI",1,0)</f>
        <v>0</v>
      </c>
      <c r="BF1086" s="18">
        <f>1</f>
        <v>1</v>
      </c>
      <c r="BG1086" s="18">
        <f>IF(OR(Pospago[[#This Row],[TARIFA_BASICA]]=11.42,Pospago[[#This Row],[PLANES TELEVENTAS]]="SI"),1,0)</f>
        <v>0</v>
      </c>
      <c r="BH1086" s="18" t="str">
        <f>IF(MID(Pospago[[#This Row],[PlanDesc]],1,4) = "PLAN","POSPAGO",IF(MID(Pospago[[#This Row],[PlanDesc]],1,4)="FULL","FULL MEGAS","PREVIOPAGO"))</f>
        <v>POSPAGO</v>
      </c>
      <c r="BI108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108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86" s="21">
        <f>Pospago[[#This Row],[TARIFA_BASICA]]*1.5</f>
        <v>40.17</v>
      </c>
    </row>
    <row r="1087" spans="1:63" x14ac:dyDescent="0.25">
      <c r="A1087" s="18" t="s">
        <v>154</v>
      </c>
      <c r="B1087" s="18" t="s">
        <v>6714</v>
      </c>
      <c r="C1087" s="18" t="s">
        <v>6715</v>
      </c>
      <c r="D1087" s="19">
        <v>44900</v>
      </c>
      <c r="E1087" s="18" t="s">
        <v>67</v>
      </c>
      <c r="F1087" s="18" t="s">
        <v>6716</v>
      </c>
      <c r="G1087" s="18" t="s">
        <v>6717</v>
      </c>
      <c r="H1087" s="18" t="s">
        <v>159</v>
      </c>
      <c r="I1087" s="18" t="s">
        <v>1357</v>
      </c>
      <c r="J1087" s="18" t="s">
        <v>2022</v>
      </c>
      <c r="K1087" s="18" t="s">
        <v>73</v>
      </c>
      <c r="L1087" s="20" t="s">
        <v>6718</v>
      </c>
      <c r="M1087" s="18" t="s">
        <v>75</v>
      </c>
      <c r="N1087" s="20" t="s">
        <v>6719</v>
      </c>
      <c r="O1087" s="18" t="s">
        <v>164</v>
      </c>
      <c r="P1087" s="18" t="s">
        <v>78</v>
      </c>
      <c r="Q1087" s="19">
        <v>44914</v>
      </c>
      <c r="R1087" s="21">
        <v>11.42</v>
      </c>
      <c r="S1087" s="18" t="s">
        <v>79</v>
      </c>
      <c r="T1087" s="18" t="s">
        <v>117</v>
      </c>
      <c r="U1087" s="18" t="s">
        <v>83</v>
      </c>
      <c r="V1087" s="18" t="s">
        <v>95</v>
      </c>
      <c r="W1087" s="18" t="s">
        <v>95</v>
      </c>
      <c r="X1087" s="18" t="s">
        <v>84</v>
      </c>
      <c r="Y1087" s="18" t="s">
        <v>85</v>
      </c>
      <c r="Z1087" s="18" t="s">
        <v>86</v>
      </c>
      <c r="AA1087" s="18" t="s">
        <v>87</v>
      </c>
      <c r="AB1087" s="18" t="s">
        <v>651</v>
      </c>
      <c r="AC1087" s="18" t="s">
        <v>652</v>
      </c>
      <c r="AD1087" s="18" t="s">
        <v>85</v>
      </c>
      <c r="AE1087" s="18" t="s">
        <v>90</v>
      </c>
      <c r="AF1087" s="18" t="s">
        <v>122</v>
      </c>
      <c r="AG1087" s="18" t="s">
        <v>92</v>
      </c>
      <c r="AH1087" s="18" t="s">
        <v>165</v>
      </c>
      <c r="AI1087" s="18" t="s">
        <v>94</v>
      </c>
      <c r="AJ1087" s="19">
        <v>44900</v>
      </c>
      <c r="AK1087" s="22" t="s">
        <v>95</v>
      </c>
      <c r="AL1087" s="18" t="s">
        <v>95</v>
      </c>
      <c r="AM1087" s="18" t="s">
        <v>95</v>
      </c>
      <c r="AN1087" s="18" t="s">
        <v>95</v>
      </c>
      <c r="AO1087" s="18" t="s">
        <v>95</v>
      </c>
      <c r="AP1087" s="18" t="s">
        <v>95</v>
      </c>
      <c r="AQ1087" s="18" t="s">
        <v>95</v>
      </c>
      <c r="AR1087" s="18" t="s">
        <v>95</v>
      </c>
      <c r="AS1087" s="18" t="s">
        <v>83</v>
      </c>
      <c r="AT1087" s="18" t="s">
        <v>81</v>
      </c>
      <c r="AU1087" s="18" t="s">
        <v>81</v>
      </c>
      <c r="AV1087" s="18" t="s">
        <v>95</v>
      </c>
      <c r="AW1087" s="18"/>
      <c r="AX1087" s="18"/>
      <c r="AY1087" s="18" t="str">
        <f>Pospago[[#This Row],[NUM_TELEFONICO]]&amp;"POSPAGOSI"</f>
        <v>999722524POSPAGOSI</v>
      </c>
      <c r="AZ1087" s="18" t="str">
        <f>VLOOKUP(Pospago[[#This Row],[NOM_PLAZA_FINAL]],[1]!Locales[#Data],3,0)</f>
        <v>TIENDA MACHALA</v>
      </c>
      <c r="BA1087" s="18" t="str">
        <f>IFERROR(VLOOKUP(Pospago[[#This Row],[USUARIO]],[1]!Personal[#Data],6,0),"EJECUTIVO NO REGISTRADO")</f>
        <v>SANCHEZ SARITAMA JOEL LUIS</v>
      </c>
      <c r="BB1087" s="18" t="str">
        <f>Pospago[[#This Row],[TIPO_MOVIMIENTO]]&amp;" "&amp;Pospago[[#This Row],[FORMA_PAGO_FINAL]]</f>
        <v>TRANSFERENCIAS DOMICILIADO</v>
      </c>
      <c r="BC1087" s="18">
        <f>DAY(Pospago[[#This Row],[FECHA_ALTA]])</f>
        <v>5</v>
      </c>
      <c r="BD1087" s="18">
        <f>IF(Pospago[[#This Row],[TARIFA_BASICA]]=11.42,1,0)</f>
        <v>1</v>
      </c>
      <c r="BE1087" s="18">
        <f>IF(Pospago[[#This Row],[PLANES TELEVENTAS]]="SI",1,0)</f>
        <v>1</v>
      </c>
      <c r="BF1087" s="18">
        <f>1</f>
        <v>1</v>
      </c>
      <c r="BG1087" s="18">
        <f>IF(OR(Pospago[[#This Row],[TARIFA_BASICA]]=11.42,Pospago[[#This Row],[PLANES TELEVENTAS]]="SI"),1,0)</f>
        <v>1</v>
      </c>
      <c r="BH1087" s="18" t="str">
        <f>IF(MID(Pospago[[#This Row],[PlanDesc]],1,4) = "PLAN","POSPAGO",IF(MID(Pospago[[#This Row],[PlanDesc]],1,4)="FULL","FULL MEGAS","PREVIOPAGO"))</f>
        <v>PREVIOPAGO</v>
      </c>
      <c r="BI108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4.992</v>
      </c>
      <c r="BJ108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87" s="21">
        <f>Pospago[[#This Row],[TARIFA_BASICA]]*1.5</f>
        <v>17.13</v>
      </c>
    </row>
    <row r="1088" spans="1:63" x14ac:dyDescent="0.25">
      <c r="A1088" s="18" t="s">
        <v>64</v>
      </c>
      <c r="B1088" s="18" t="s">
        <v>6720</v>
      </c>
      <c r="C1088" s="18" t="s">
        <v>6721</v>
      </c>
      <c r="D1088" s="19">
        <v>44908</v>
      </c>
      <c r="E1088" s="18" t="s">
        <v>67</v>
      </c>
      <c r="F1088" s="18" t="s">
        <v>6722</v>
      </c>
      <c r="G1088" s="18" t="s">
        <v>6723</v>
      </c>
      <c r="H1088" s="18" t="s">
        <v>70</v>
      </c>
      <c r="I1088" s="18" t="s">
        <v>6724</v>
      </c>
      <c r="J1088" s="18" t="s">
        <v>6725</v>
      </c>
      <c r="K1088" s="18" t="s">
        <v>132</v>
      </c>
      <c r="L1088" s="20" t="s">
        <v>6726</v>
      </c>
      <c r="M1088" s="18" t="s">
        <v>75</v>
      </c>
      <c r="N1088" s="20" t="s">
        <v>6727</v>
      </c>
      <c r="O1088" s="18" t="s">
        <v>77</v>
      </c>
      <c r="P1088" s="18" t="s">
        <v>78</v>
      </c>
      <c r="Q1088" s="19">
        <v>44914</v>
      </c>
      <c r="R1088" s="21">
        <v>26.78</v>
      </c>
      <c r="S1088" s="18" t="s">
        <v>79</v>
      </c>
      <c r="T1088" s="18" t="s">
        <v>135</v>
      </c>
      <c r="U1088" s="18" t="s">
        <v>81</v>
      </c>
      <c r="V1088" s="18" t="s">
        <v>82</v>
      </c>
      <c r="W1088" s="18" t="s">
        <v>83</v>
      </c>
      <c r="X1088" s="18" t="s">
        <v>84</v>
      </c>
      <c r="Y1088" s="18" t="s">
        <v>85</v>
      </c>
      <c r="Z1088" s="18" t="s">
        <v>86</v>
      </c>
      <c r="AA1088" s="18" t="s">
        <v>87</v>
      </c>
      <c r="AB1088" s="18" t="s">
        <v>1545</v>
      </c>
      <c r="AC1088" s="18" t="s">
        <v>1546</v>
      </c>
      <c r="AD1088" s="18" t="s">
        <v>85</v>
      </c>
      <c r="AE1088" s="18" t="s">
        <v>90</v>
      </c>
      <c r="AF1088" s="18" t="s">
        <v>138</v>
      </c>
      <c r="AG1088" s="18" t="s">
        <v>139</v>
      </c>
      <c r="AH1088" s="18" t="s">
        <v>93</v>
      </c>
      <c r="AI1088" s="18" t="s">
        <v>94</v>
      </c>
      <c r="AJ1088" s="19">
        <v>44908</v>
      </c>
      <c r="AK1088" s="22" t="s">
        <v>95</v>
      </c>
      <c r="AL1088" s="18" t="s">
        <v>95</v>
      </c>
      <c r="AM1088" s="18" t="s">
        <v>95</v>
      </c>
      <c r="AN1088" s="18" t="s">
        <v>95</v>
      </c>
      <c r="AO1088" s="18" t="s">
        <v>95</v>
      </c>
      <c r="AP1088" s="18" t="s">
        <v>95</v>
      </c>
      <c r="AQ1088" s="18" t="s">
        <v>95</v>
      </c>
      <c r="AR1088" s="18" t="s">
        <v>95</v>
      </c>
      <c r="AS1088" s="18" t="s">
        <v>83</v>
      </c>
      <c r="AT1088" s="18" t="s">
        <v>81</v>
      </c>
      <c r="AU1088" s="18" t="s">
        <v>83</v>
      </c>
      <c r="AV1088" s="18" t="s">
        <v>95</v>
      </c>
      <c r="AW1088" s="18"/>
      <c r="AX1088" s="18"/>
      <c r="AY1088" s="18" t="str">
        <f>Pospago[[#This Row],[NUM_TELEFONICO]]&amp;"POSPAGOSI"</f>
        <v>999724123POSPAGOSI</v>
      </c>
      <c r="AZ1088" s="18" t="str">
        <f>VLOOKUP(Pospago[[#This Row],[NOM_PLAZA_FINAL]],[1]!Locales[#Data],3,0)</f>
        <v>TIENDA AMERICA</v>
      </c>
      <c r="BA1088" s="18" t="str">
        <f>IFERROR(VLOOKUP(Pospago[[#This Row],[USUARIO]],[1]!Personal[#Data],6,0),"EJECUTIVO NO REGISTRADO")</f>
        <v>GRANDA ESPINOZA ANDRES SEBASTIAN</v>
      </c>
      <c r="BB1088" s="18" t="str">
        <f>Pospago[[#This Row],[TIPO_MOVIMIENTO]]&amp;" "&amp;Pospago[[#This Row],[FORMA_PAGO_FINAL]]</f>
        <v>ALTAS DOMICILIADO</v>
      </c>
      <c r="BC1088" s="18">
        <f>DAY(Pospago[[#This Row],[FECHA_ALTA]])</f>
        <v>13</v>
      </c>
      <c r="BD1088" s="18">
        <f>IF(Pospago[[#This Row],[TARIFA_BASICA]]=11.42,1,0)</f>
        <v>0</v>
      </c>
      <c r="BE1088" s="18">
        <f>IF(Pospago[[#This Row],[PLANES TELEVENTAS]]="SI",1,0)</f>
        <v>1</v>
      </c>
      <c r="BF1088" s="18">
        <f>1</f>
        <v>1</v>
      </c>
      <c r="BG1088" s="18">
        <f>IF(OR(Pospago[[#This Row],[TARIFA_BASICA]]=11.42,Pospago[[#This Row],[PLANES TELEVENTAS]]="SI"),1,0)</f>
        <v>1</v>
      </c>
      <c r="BH1088" s="18" t="str">
        <f>IF(MID(Pospago[[#This Row],[PlanDesc]],1,4) = "PLAN","POSPAGO",IF(MID(Pospago[[#This Row],[PlanDesc]],1,4)="FULL","FULL MEGAS","PREVIOPAGO"))</f>
        <v>POSPAGO</v>
      </c>
      <c r="BI108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45.52</v>
      </c>
      <c r="BJ108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88" s="21">
        <f>Pospago[[#This Row],[TARIFA_BASICA]]*1.5</f>
        <v>40.17</v>
      </c>
    </row>
    <row r="1089" spans="1:63" x14ac:dyDescent="0.25">
      <c r="A1089" s="18" t="s">
        <v>154</v>
      </c>
      <c r="B1089" s="18" t="s">
        <v>6728</v>
      </c>
      <c r="C1089" s="18" t="s">
        <v>6729</v>
      </c>
      <c r="D1089" s="19">
        <v>44898</v>
      </c>
      <c r="E1089" s="18" t="s">
        <v>67</v>
      </c>
      <c r="F1089" s="18" t="s">
        <v>6730</v>
      </c>
      <c r="G1089" s="18" t="s">
        <v>6731</v>
      </c>
      <c r="H1089" s="18" t="s">
        <v>159</v>
      </c>
      <c r="I1089" s="18" t="s">
        <v>160</v>
      </c>
      <c r="J1089" s="18" t="s">
        <v>161</v>
      </c>
      <c r="K1089" s="18" t="s">
        <v>73</v>
      </c>
      <c r="L1089" s="20" t="s">
        <v>6732</v>
      </c>
      <c r="M1089" s="18" t="s">
        <v>287</v>
      </c>
      <c r="N1089" s="20" t="s">
        <v>6733</v>
      </c>
      <c r="O1089" s="18" t="s">
        <v>164</v>
      </c>
      <c r="P1089" s="18" t="s">
        <v>78</v>
      </c>
      <c r="Q1089" s="19">
        <v>44914</v>
      </c>
      <c r="R1089" s="21">
        <v>14.28</v>
      </c>
      <c r="S1089" s="18" t="s">
        <v>79</v>
      </c>
      <c r="T1089" s="18" t="s">
        <v>174</v>
      </c>
      <c r="U1089" s="18" t="s">
        <v>83</v>
      </c>
      <c r="V1089" s="18" t="s">
        <v>95</v>
      </c>
      <c r="W1089" s="18" t="s">
        <v>95</v>
      </c>
      <c r="X1089" s="18" t="s">
        <v>84</v>
      </c>
      <c r="Y1089" s="18" t="s">
        <v>85</v>
      </c>
      <c r="Z1089" s="18" t="s">
        <v>86</v>
      </c>
      <c r="AA1089" s="18" t="s">
        <v>87</v>
      </c>
      <c r="AB1089" s="18" t="s">
        <v>303</v>
      </c>
      <c r="AC1089" s="18" t="s">
        <v>304</v>
      </c>
      <c r="AD1089" s="18" t="s">
        <v>85</v>
      </c>
      <c r="AE1089" s="18" t="s">
        <v>90</v>
      </c>
      <c r="AF1089" s="18" t="s">
        <v>177</v>
      </c>
      <c r="AG1089" s="18" t="s">
        <v>139</v>
      </c>
      <c r="AH1089" s="18" t="s">
        <v>165</v>
      </c>
      <c r="AI1089" s="18" t="s">
        <v>94</v>
      </c>
      <c r="AJ1089" s="19">
        <v>44898</v>
      </c>
      <c r="AK1089" s="22" t="s">
        <v>95</v>
      </c>
      <c r="AL1089" s="18" t="s">
        <v>95</v>
      </c>
      <c r="AM1089" s="18" t="s">
        <v>95</v>
      </c>
      <c r="AN1089" s="18" t="s">
        <v>95</v>
      </c>
      <c r="AO1089" s="18" t="s">
        <v>95</v>
      </c>
      <c r="AP1089" s="18" t="s">
        <v>95</v>
      </c>
      <c r="AQ1089" s="18" t="s">
        <v>95</v>
      </c>
      <c r="AR1089" s="18" t="s">
        <v>95</v>
      </c>
      <c r="AS1089" s="18" t="s">
        <v>83</v>
      </c>
      <c r="AT1089" s="18" t="s">
        <v>83</v>
      </c>
      <c r="AU1089" s="18" t="s">
        <v>81</v>
      </c>
      <c r="AV1089" s="18" t="s">
        <v>95</v>
      </c>
      <c r="AW1089" s="18"/>
      <c r="AX1089" s="18"/>
      <c r="AY1089" s="18" t="str">
        <f>Pospago[[#This Row],[NUM_TELEFONICO]]&amp;"POSPAGOSI"</f>
        <v>999735335POSPAGOSI</v>
      </c>
      <c r="AZ1089" s="18" t="str">
        <f>VLOOKUP(Pospago[[#This Row],[NOM_PLAZA_FINAL]],[1]!Locales[#Data],3,0)</f>
        <v>TIENDA RECREO</v>
      </c>
      <c r="BA1089" s="18" t="str">
        <f>IFERROR(VLOOKUP(Pospago[[#This Row],[USUARIO]],[1]!Personal[#Data],6,0),"EJECUTIVO NO REGISTRADO")</f>
        <v>CORDOVA GAIBOR JONATHAN HERNAN</v>
      </c>
      <c r="BB1089" s="18" t="str">
        <f>Pospago[[#This Row],[TIPO_MOVIMIENTO]]&amp;" "&amp;Pospago[[#This Row],[FORMA_PAGO_FINAL]]</f>
        <v>TRANSFERENCIAS DOMICILIADO</v>
      </c>
      <c r="BC1089" s="18">
        <f>DAY(Pospago[[#This Row],[FECHA_ALTA]])</f>
        <v>3</v>
      </c>
      <c r="BD1089" s="18">
        <f>IF(Pospago[[#This Row],[TARIFA_BASICA]]=11.42,1,0)</f>
        <v>0</v>
      </c>
      <c r="BE1089" s="18">
        <f>IF(Pospago[[#This Row],[PLANES TELEVENTAS]]="SI",1,0)</f>
        <v>0</v>
      </c>
      <c r="BF1089" s="18">
        <f>1</f>
        <v>1</v>
      </c>
      <c r="BG1089" s="18">
        <f>IF(OR(Pospago[[#This Row],[TARIFA_BASICA]]=11.42,Pospago[[#This Row],[PLANES TELEVENTAS]]="SI"),1,0)</f>
        <v>0</v>
      </c>
      <c r="BH1089" s="18" t="str">
        <f>IF(MID(Pospago[[#This Row],[PlanDesc]],1,4) = "PLAN","POSPAGO",IF(MID(Pospago[[#This Row],[PlanDesc]],1,4)="FULL","FULL MEGAS","PREVIOPAGO"))</f>
        <v>PREVIOPAGO</v>
      </c>
      <c r="BI108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8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89" s="21">
        <f>Pospago[[#This Row],[TARIFA_BASICA]]*1.5</f>
        <v>21.419999999999998</v>
      </c>
    </row>
    <row r="1090" spans="1:63" x14ac:dyDescent="0.25">
      <c r="A1090" s="18" t="s">
        <v>154</v>
      </c>
      <c r="B1090" s="18" t="s">
        <v>6734</v>
      </c>
      <c r="C1090" s="18" t="s">
        <v>6735</v>
      </c>
      <c r="D1090" s="19">
        <v>44903</v>
      </c>
      <c r="E1090" s="18" t="s">
        <v>67</v>
      </c>
      <c r="F1090" s="18" t="s">
        <v>6736</v>
      </c>
      <c r="G1090" s="18" t="s">
        <v>6737</v>
      </c>
      <c r="H1090" s="18" t="s">
        <v>159</v>
      </c>
      <c r="I1090" s="18" t="s">
        <v>71</v>
      </c>
      <c r="J1090" s="18" t="s">
        <v>258</v>
      </c>
      <c r="K1090" s="18" t="s">
        <v>73</v>
      </c>
      <c r="L1090" s="20" t="s">
        <v>6738</v>
      </c>
      <c r="M1090" s="18" t="s">
        <v>75</v>
      </c>
      <c r="N1090" s="20" t="s">
        <v>6739</v>
      </c>
      <c r="O1090" s="18" t="s">
        <v>164</v>
      </c>
      <c r="P1090" s="18" t="s">
        <v>78</v>
      </c>
      <c r="Q1090" s="19">
        <v>44914</v>
      </c>
      <c r="R1090" s="21">
        <v>11.42</v>
      </c>
      <c r="S1090" s="18" t="s">
        <v>79</v>
      </c>
      <c r="T1090" s="18" t="s">
        <v>174</v>
      </c>
      <c r="U1090" s="18" t="s">
        <v>83</v>
      </c>
      <c r="V1090" s="18" t="s">
        <v>95</v>
      </c>
      <c r="W1090" s="18" t="s">
        <v>95</v>
      </c>
      <c r="X1090" s="18" t="s">
        <v>84</v>
      </c>
      <c r="Y1090" s="18" t="s">
        <v>85</v>
      </c>
      <c r="Z1090" s="18" t="s">
        <v>86</v>
      </c>
      <c r="AA1090" s="18" t="s">
        <v>87</v>
      </c>
      <c r="AB1090" s="18" t="s">
        <v>396</v>
      </c>
      <c r="AC1090" s="18" t="s">
        <v>397</v>
      </c>
      <c r="AD1090" s="18" t="s">
        <v>85</v>
      </c>
      <c r="AE1090" s="18" t="s">
        <v>90</v>
      </c>
      <c r="AF1090" s="18" t="s">
        <v>177</v>
      </c>
      <c r="AG1090" s="18" t="s">
        <v>139</v>
      </c>
      <c r="AH1090" s="18" t="s">
        <v>165</v>
      </c>
      <c r="AI1090" s="18" t="s">
        <v>94</v>
      </c>
      <c r="AJ1090" s="19">
        <v>44903</v>
      </c>
      <c r="AK1090" s="22" t="s">
        <v>95</v>
      </c>
      <c r="AL1090" s="18" t="s">
        <v>95</v>
      </c>
      <c r="AM1090" s="18" t="s">
        <v>95</v>
      </c>
      <c r="AN1090" s="18" t="s">
        <v>95</v>
      </c>
      <c r="AO1090" s="18" t="s">
        <v>95</v>
      </c>
      <c r="AP1090" s="18" t="s">
        <v>95</v>
      </c>
      <c r="AQ1090" s="18" t="s">
        <v>95</v>
      </c>
      <c r="AR1090" s="18" t="s">
        <v>95</v>
      </c>
      <c r="AS1090" s="18" t="s">
        <v>83</v>
      </c>
      <c r="AT1090" s="18" t="s">
        <v>83</v>
      </c>
      <c r="AU1090" s="18" t="s">
        <v>81</v>
      </c>
      <c r="AV1090" s="18" t="s">
        <v>95</v>
      </c>
      <c r="AW1090" s="18"/>
      <c r="AX1090" s="18"/>
      <c r="AY1090" s="18" t="str">
        <f>Pospago[[#This Row],[NUM_TELEFONICO]]&amp;"POSPAGOSI"</f>
        <v>999746193POSPAGOSI</v>
      </c>
      <c r="AZ1090" s="18" t="str">
        <f>VLOOKUP(Pospago[[#This Row],[NOM_PLAZA_FINAL]],[1]!Locales[#Data],3,0)</f>
        <v>TIENDA RECREO</v>
      </c>
      <c r="BA1090" s="18" t="str">
        <f>IFERROR(VLOOKUP(Pospago[[#This Row],[USUARIO]],[1]!Personal[#Data],6,0),"EJECUTIVO NO REGISTRADO")</f>
        <v>VINUEZA VELASCO ANGY DAYANA</v>
      </c>
      <c r="BB1090" s="18" t="str">
        <f>Pospago[[#This Row],[TIPO_MOVIMIENTO]]&amp;" "&amp;Pospago[[#This Row],[FORMA_PAGO_FINAL]]</f>
        <v>TRANSFERENCIAS DOMICILIADO</v>
      </c>
      <c r="BC1090" s="18">
        <f>DAY(Pospago[[#This Row],[FECHA_ALTA]])</f>
        <v>8</v>
      </c>
      <c r="BD1090" s="18">
        <f>IF(Pospago[[#This Row],[TARIFA_BASICA]]=11.42,1,0)</f>
        <v>1</v>
      </c>
      <c r="BE1090" s="18">
        <f>IF(Pospago[[#This Row],[PLANES TELEVENTAS]]="SI",1,0)</f>
        <v>0</v>
      </c>
      <c r="BF1090" s="18">
        <f>1</f>
        <v>1</v>
      </c>
      <c r="BG1090" s="18">
        <f>IF(OR(Pospago[[#This Row],[TARIFA_BASICA]]=11.42,Pospago[[#This Row],[PLANES TELEVENTAS]]="SI"),1,0)</f>
        <v>1</v>
      </c>
      <c r="BH1090" s="18" t="str">
        <f>IF(MID(Pospago[[#This Row],[PlanDesc]],1,4) = "PLAN","POSPAGO",IF(MID(Pospago[[#This Row],[PlanDesc]],1,4)="FULL","FULL MEGAS","PREVIOPAGO"))</f>
        <v>PREVIOPAGO</v>
      </c>
      <c r="BI109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109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90" s="21">
        <f>Pospago[[#This Row],[TARIFA_BASICA]]*1.5</f>
        <v>17.13</v>
      </c>
    </row>
    <row r="1091" spans="1:63" x14ac:dyDescent="0.25">
      <c r="A1091" s="18" t="s">
        <v>154</v>
      </c>
      <c r="B1091" s="18" t="s">
        <v>6740</v>
      </c>
      <c r="C1091" s="18" t="s">
        <v>6741</v>
      </c>
      <c r="D1091" s="19">
        <v>44902</v>
      </c>
      <c r="E1091" s="18" t="s">
        <v>67</v>
      </c>
      <c r="F1091" s="18" t="s">
        <v>6742</v>
      </c>
      <c r="G1091" s="18" t="s">
        <v>6743</v>
      </c>
      <c r="H1091" s="18" t="s">
        <v>159</v>
      </c>
      <c r="I1091" s="18" t="s">
        <v>160</v>
      </c>
      <c r="J1091" s="18" t="s">
        <v>161</v>
      </c>
      <c r="K1091" s="18" t="s">
        <v>95</v>
      </c>
      <c r="L1091" s="20" t="s">
        <v>6744</v>
      </c>
      <c r="M1091" s="18" t="s">
        <v>75</v>
      </c>
      <c r="N1091" s="20" t="s">
        <v>6745</v>
      </c>
      <c r="O1091" s="18" t="s">
        <v>164</v>
      </c>
      <c r="P1091" s="18" t="s">
        <v>78</v>
      </c>
      <c r="Q1091" s="19">
        <v>44914</v>
      </c>
      <c r="R1091" s="21">
        <v>14.28</v>
      </c>
      <c r="S1091" s="18" t="s">
        <v>79</v>
      </c>
      <c r="T1091" s="18" t="s">
        <v>174</v>
      </c>
      <c r="U1091" s="18" t="s">
        <v>83</v>
      </c>
      <c r="V1091" s="18" t="s">
        <v>95</v>
      </c>
      <c r="W1091" s="18" t="s">
        <v>95</v>
      </c>
      <c r="X1091" s="18" t="s">
        <v>118</v>
      </c>
      <c r="Y1091" s="18" t="s">
        <v>85</v>
      </c>
      <c r="Z1091" s="18" t="s">
        <v>86</v>
      </c>
      <c r="AA1091" s="18" t="s">
        <v>119</v>
      </c>
      <c r="AB1091" s="18" t="s">
        <v>760</v>
      </c>
      <c r="AC1091" s="18" t="s">
        <v>761</v>
      </c>
      <c r="AD1091" s="18" t="s">
        <v>85</v>
      </c>
      <c r="AE1091" s="18" t="s">
        <v>90</v>
      </c>
      <c r="AF1091" s="18" t="s">
        <v>177</v>
      </c>
      <c r="AG1091" s="18" t="s">
        <v>139</v>
      </c>
      <c r="AH1091" s="18" t="s">
        <v>165</v>
      </c>
      <c r="AI1091" s="18" t="s">
        <v>94</v>
      </c>
      <c r="AJ1091" s="19">
        <v>44902</v>
      </c>
      <c r="AK1091" s="22" t="s">
        <v>95</v>
      </c>
      <c r="AL1091" s="18" t="s">
        <v>95</v>
      </c>
      <c r="AM1091" s="18" t="s">
        <v>95</v>
      </c>
      <c r="AN1091" s="18" t="s">
        <v>95</v>
      </c>
      <c r="AO1091" s="18" t="s">
        <v>95</v>
      </c>
      <c r="AP1091" s="18" t="s">
        <v>95</v>
      </c>
      <c r="AQ1091" s="18" t="s">
        <v>95</v>
      </c>
      <c r="AR1091" s="18" t="s">
        <v>95</v>
      </c>
      <c r="AS1091" s="18" t="s">
        <v>83</v>
      </c>
      <c r="AT1091" s="18" t="s">
        <v>83</v>
      </c>
      <c r="AU1091" s="18" t="s">
        <v>81</v>
      </c>
      <c r="AV1091" s="18" t="s">
        <v>95</v>
      </c>
      <c r="AW1091" s="18"/>
      <c r="AX1091" s="18"/>
      <c r="AY1091" s="18" t="str">
        <f>Pospago[[#This Row],[NUM_TELEFONICO]]&amp;"POSPAGOSI"</f>
        <v>999747476POSPAGOSI</v>
      </c>
      <c r="AZ1091" s="18" t="str">
        <f>VLOOKUP(Pospago[[#This Row],[NOM_PLAZA_FINAL]],[1]!Locales[#Data],3,0)</f>
        <v>TIENDA RECREO</v>
      </c>
      <c r="BA1091" s="18" t="str">
        <f>IFERROR(VLOOKUP(Pospago[[#This Row],[USUARIO]],[1]!Personal[#Data],6,0),"EJECUTIVO NO REGISTRADO")</f>
        <v>VALBUENA SANCHEZ ALBERT ANTHONY</v>
      </c>
      <c r="BB1091" s="18" t="str">
        <f>Pospago[[#This Row],[TIPO_MOVIMIENTO]]&amp;" "&amp;Pospago[[#This Row],[FORMA_PAGO_FINAL]]</f>
        <v>TRANSFERENCIAS PAGO EN CAJA</v>
      </c>
      <c r="BC1091" s="18">
        <f>DAY(Pospago[[#This Row],[FECHA_ALTA]])</f>
        <v>7</v>
      </c>
      <c r="BD1091" s="18">
        <f>IF(Pospago[[#This Row],[TARIFA_BASICA]]=11.42,1,0)</f>
        <v>0</v>
      </c>
      <c r="BE1091" s="18">
        <f>IF(Pospago[[#This Row],[PLANES TELEVENTAS]]="SI",1,0)</f>
        <v>0</v>
      </c>
      <c r="BF1091" s="18">
        <f>1</f>
        <v>1</v>
      </c>
      <c r="BG1091" s="18">
        <f>IF(OR(Pospago[[#This Row],[TARIFA_BASICA]]=11.42,Pospago[[#This Row],[PLANES TELEVENTAS]]="SI"),1,0)</f>
        <v>0</v>
      </c>
      <c r="BH1091" s="18" t="str">
        <f>IF(MID(Pospago[[#This Row],[PlanDesc]],1,4) = "PLAN","POSPAGO",IF(MID(Pospago[[#This Row],[PlanDesc]],1,4)="FULL","FULL MEGAS","PREVIOPAGO"))</f>
        <v>PREVIOPAGO</v>
      </c>
      <c r="BI109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09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91" s="21">
        <f>Pospago[[#This Row],[TARIFA_BASICA]]*1.5</f>
        <v>21.419999999999998</v>
      </c>
    </row>
    <row r="1092" spans="1:63" x14ac:dyDescent="0.25">
      <c r="A1092" s="18" t="s">
        <v>154</v>
      </c>
      <c r="B1092" s="18" t="s">
        <v>6746</v>
      </c>
      <c r="C1092" s="18" t="s">
        <v>6747</v>
      </c>
      <c r="D1092" s="19">
        <v>44901</v>
      </c>
      <c r="E1092" s="18" t="s">
        <v>67</v>
      </c>
      <c r="F1092" s="18" t="s">
        <v>6748</v>
      </c>
      <c r="G1092" s="18" t="s">
        <v>6749</v>
      </c>
      <c r="H1092" s="18" t="s">
        <v>159</v>
      </c>
      <c r="I1092" s="18" t="s">
        <v>71</v>
      </c>
      <c r="J1092" s="18" t="s">
        <v>258</v>
      </c>
      <c r="K1092" s="18" t="s">
        <v>73</v>
      </c>
      <c r="L1092" s="20" t="s">
        <v>6750</v>
      </c>
      <c r="M1092" s="18" t="s">
        <v>75</v>
      </c>
      <c r="N1092" s="20" t="s">
        <v>6751</v>
      </c>
      <c r="O1092" s="18" t="s">
        <v>164</v>
      </c>
      <c r="P1092" s="18" t="s">
        <v>78</v>
      </c>
      <c r="Q1092" s="19">
        <v>44914</v>
      </c>
      <c r="R1092" s="21">
        <v>11.42</v>
      </c>
      <c r="S1092" s="18" t="s">
        <v>79</v>
      </c>
      <c r="T1092" s="18" t="s">
        <v>174</v>
      </c>
      <c r="U1092" s="18" t="s">
        <v>83</v>
      </c>
      <c r="V1092" s="18" t="s">
        <v>95</v>
      </c>
      <c r="W1092" s="18" t="s">
        <v>95</v>
      </c>
      <c r="X1092" s="18" t="s">
        <v>118</v>
      </c>
      <c r="Y1092" s="18" t="s">
        <v>85</v>
      </c>
      <c r="Z1092" s="18" t="s">
        <v>86</v>
      </c>
      <c r="AA1092" s="18" t="s">
        <v>119</v>
      </c>
      <c r="AB1092" s="18" t="s">
        <v>175</v>
      </c>
      <c r="AC1092" s="18" t="s">
        <v>176</v>
      </c>
      <c r="AD1092" s="18" t="s">
        <v>85</v>
      </c>
      <c r="AE1092" s="18" t="s">
        <v>90</v>
      </c>
      <c r="AF1092" s="18" t="s">
        <v>177</v>
      </c>
      <c r="AG1092" s="18" t="s">
        <v>139</v>
      </c>
      <c r="AH1092" s="18" t="s">
        <v>165</v>
      </c>
      <c r="AI1092" s="18" t="s">
        <v>94</v>
      </c>
      <c r="AJ1092" s="19">
        <v>44901</v>
      </c>
      <c r="AK1092" s="22" t="s">
        <v>95</v>
      </c>
      <c r="AL1092" s="18" t="s">
        <v>95</v>
      </c>
      <c r="AM1092" s="18" t="s">
        <v>95</v>
      </c>
      <c r="AN1092" s="18" t="s">
        <v>95</v>
      </c>
      <c r="AO1092" s="18" t="s">
        <v>95</v>
      </c>
      <c r="AP1092" s="18" t="s">
        <v>95</v>
      </c>
      <c r="AQ1092" s="18" t="s">
        <v>95</v>
      </c>
      <c r="AR1092" s="18" t="s">
        <v>95</v>
      </c>
      <c r="AS1092" s="18" t="s">
        <v>83</v>
      </c>
      <c r="AT1092" s="18" t="s">
        <v>83</v>
      </c>
      <c r="AU1092" s="18" t="s">
        <v>81</v>
      </c>
      <c r="AV1092" s="18" t="s">
        <v>95</v>
      </c>
      <c r="AW1092" s="18"/>
      <c r="AX1092" s="18"/>
      <c r="AY1092" s="18" t="str">
        <f>Pospago[[#This Row],[NUM_TELEFONICO]]&amp;"POSPAGOSI"</f>
        <v>999763657POSPAGOSI</v>
      </c>
      <c r="AZ1092" s="18" t="str">
        <f>VLOOKUP(Pospago[[#This Row],[NOM_PLAZA_FINAL]],[1]!Locales[#Data],3,0)</f>
        <v>TIENDA RECREO</v>
      </c>
      <c r="BA1092" s="18" t="str">
        <f>IFERROR(VLOOKUP(Pospago[[#This Row],[USUARIO]],[1]!Personal[#Data],6,0),"EJECUTIVO NO REGISTRADO")</f>
        <v>VARGAS REYES LUIS EDUARDO</v>
      </c>
      <c r="BB1092" s="18" t="str">
        <f>Pospago[[#This Row],[TIPO_MOVIMIENTO]]&amp;" "&amp;Pospago[[#This Row],[FORMA_PAGO_FINAL]]</f>
        <v>TRANSFERENCIAS PAGO EN CAJA</v>
      </c>
      <c r="BC1092" s="18">
        <f>DAY(Pospago[[#This Row],[FECHA_ALTA]])</f>
        <v>6</v>
      </c>
      <c r="BD1092" s="18">
        <f>IF(Pospago[[#This Row],[TARIFA_BASICA]]=11.42,1,0)</f>
        <v>1</v>
      </c>
      <c r="BE1092" s="18">
        <f>IF(Pospago[[#This Row],[PLANES TELEVENTAS]]="SI",1,0)</f>
        <v>0</v>
      </c>
      <c r="BF1092" s="18">
        <f>1</f>
        <v>1</v>
      </c>
      <c r="BG1092" s="18">
        <f>IF(OR(Pospago[[#This Row],[TARIFA_BASICA]]=11.42,Pospago[[#This Row],[PLANES TELEVENTAS]]="SI"),1,0)</f>
        <v>1</v>
      </c>
      <c r="BH1092" s="18" t="str">
        <f>IF(MID(Pospago[[#This Row],[PlanDesc]],1,4) = "PLAN","POSPAGO",IF(MID(Pospago[[#This Row],[PlanDesc]],1,4)="FULL","FULL MEGAS","PREVIOPAGO"))</f>
        <v>PREVIOPAGO</v>
      </c>
      <c r="BI109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09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92" s="21">
        <f>Pospago[[#This Row],[TARIFA_BASICA]]*1.5</f>
        <v>17.13</v>
      </c>
    </row>
    <row r="1093" spans="1:63" x14ac:dyDescent="0.25">
      <c r="A1093" s="18" t="s">
        <v>64</v>
      </c>
      <c r="B1093" s="18" t="s">
        <v>6752</v>
      </c>
      <c r="C1093" s="18" t="s">
        <v>6753</v>
      </c>
      <c r="D1093" s="19">
        <v>44903</v>
      </c>
      <c r="E1093" s="18" t="s">
        <v>67</v>
      </c>
      <c r="F1093" s="18" t="s">
        <v>6754</v>
      </c>
      <c r="G1093" s="18" t="s">
        <v>6755</v>
      </c>
      <c r="H1093" s="18" t="s">
        <v>70</v>
      </c>
      <c r="I1093" s="18" t="s">
        <v>160</v>
      </c>
      <c r="J1093" s="18" t="s">
        <v>195</v>
      </c>
      <c r="K1093" s="18" t="s">
        <v>132</v>
      </c>
      <c r="L1093" s="20" t="s">
        <v>6756</v>
      </c>
      <c r="M1093" s="18" t="s">
        <v>75</v>
      </c>
      <c r="N1093" s="20" t="s">
        <v>6757</v>
      </c>
      <c r="O1093" s="18" t="s">
        <v>77</v>
      </c>
      <c r="P1093" s="18" t="s">
        <v>78</v>
      </c>
      <c r="Q1093" s="19">
        <v>44914</v>
      </c>
      <c r="R1093" s="21">
        <v>14.28</v>
      </c>
      <c r="S1093" s="18" t="s">
        <v>79</v>
      </c>
      <c r="T1093" s="18" t="s">
        <v>135</v>
      </c>
      <c r="U1093" s="18" t="s">
        <v>83</v>
      </c>
      <c r="V1093" s="18" t="s">
        <v>95</v>
      </c>
      <c r="W1093" s="18" t="s">
        <v>83</v>
      </c>
      <c r="X1093" s="18" t="s">
        <v>84</v>
      </c>
      <c r="Y1093" s="18" t="s">
        <v>85</v>
      </c>
      <c r="Z1093" s="18" t="s">
        <v>86</v>
      </c>
      <c r="AA1093" s="18" t="s">
        <v>87</v>
      </c>
      <c r="AB1093" s="18" t="s">
        <v>1545</v>
      </c>
      <c r="AC1093" s="18" t="s">
        <v>1546</v>
      </c>
      <c r="AD1093" s="18" t="s">
        <v>85</v>
      </c>
      <c r="AE1093" s="18" t="s">
        <v>90</v>
      </c>
      <c r="AF1093" s="18" t="s">
        <v>138</v>
      </c>
      <c r="AG1093" s="18" t="s">
        <v>139</v>
      </c>
      <c r="AH1093" s="18" t="s">
        <v>93</v>
      </c>
      <c r="AI1093" s="18" t="s">
        <v>94</v>
      </c>
      <c r="AJ1093" s="19">
        <v>44903</v>
      </c>
      <c r="AK1093" s="22" t="s">
        <v>95</v>
      </c>
      <c r="AL1093" s="18" t="s">
        <v>95</v>
      </c>
      <c r="AM1093" s="18" t="s">
        <v>95</v>
      </c>
      <c r="AN1093" s="18" t="s">
        <v>95</v>
      </c>
      <c r="AO1093" s="18" t="s">
        <v>95</v>
      </c>
      <c r="AP1093" s="18" t="s">
        <v>95</v>
      </c>
      <c r="AQ1093" s="18" t="s">
        <v>95</v>
      </c>
      <c r="AR1093" s="18" t="s">
        <v>95</v>
      </c>
      <c r="AS1093" s="18" t="s">
        <v>83</v>
      </c>
      <c r="AT1093" s="18" t="s">
        <v>83</v>
      </c>
      <c r="AU1093" s="18" t="s">
        <v>81</v>
      </c>
      <c r="AV1093" s="18" t="s">
        <v>95</v>
      </c>
      <c r="AW1093" s="18"/>
      <c r="AX1093" s="18"/>
      <c r="AY1093" s="18" t="str">
        <f>Pospago[[#This Row],[NUM_TELEFONICO]]&amp;"POSPAGOSI"</f>
        <v>999772152POSPAGOSI</v>
      </c>
      <c r="AZ1093" s="18" t="str">
        <f>VLOOKUP(Pospago[[#This Row],[NOM_PLAZA_FINAL]],[1]!Locales[#Data],3,0)</f>
        <v>TIENDA AMERICA</v>
      </c>
      <c r="BA1093" s="18" t="str">
        <f>IFERROR(VLOOKUP(Pospago[[#This Row],[USUARIO]],[1]!Personal[#Data],6,0),"EJECUTIVO NO REGISTRADO")</f>
        <v>GRANDA ESPINOZA ANDRES SEBASTIAN</v>
      </c>
      <c r="BB1093" s="18" t="str">
        <f>Pospago[[#This Row],[TIPO_MOVIMIENTO]]&amp;" "&amp;Pospago[[#This Row],[FORMA_PAGO_FINAL]]</f>
        <v>ALTAS DOMICILIADO</v>
      </c>
      <c r="BC1093" s="18">
        <f>DAY(Pospago[[#This Row],[FECHA_ALTA]])</f>
        <v>8</v>
      </c>
      <c r="BD1093" s="18">
        <f>IF(Pospago[[#This Row],[TARIFA_BASICA]]=11.42,1,0)</f>
        <v>0</v>
      </c>
      <c r="BE1093" s="18">
        <f>IF(Pospago[[#This Row],[PLANES TELEVENTAS]]="SI",1,0)</f>
        <v>0</v>
      </c>
      <c r="BF1093" s="18">
        <f>1</f>
        <v>1</v>
      </c>
      <c r="BG1093" s="18">
        <f>IF(OR(Pospago[[#This Row],[TARIFA_BASICA]]=11.42,Pospago[[#This Row],[PLANES TELEVENTAS]]="SI"),1,0)</f>
        <v>0</v>
      </c>
      <c r="BH1093" s="18" t="str">
        <f>IF(MID(Pospago[[#This Row],[PlanDesc]],1,4) = "PLAN","POSPAGO",IF(MID(Pospago[[#This Row],[PlanDesc]],1,4)="FULL","FULL MEGAS","PREVIOPAGO"))</f>
        <v>PREVIOPAGO</v>
      </c>
      <c r="BI109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09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93" s="21">
        <f>Pospago[[#This Row],[TARIFA_BASICA]]*1.5</f>
        <v>21.419999999999998</v>
      </c>
    </row>
    <row r="1094" spans="1:63" x14ac:dyDescent="0.25">
      <c r="A1094" s="18" t="s">
        <v>154</v>
      </c>
      <c r="B1094" s="18" t="s">
        <v>6758</v>
      </c>
      <c r="C1094" s="18" t="s">
        <v>6759</v>
      </c>
      <c r="D1094" s="19">
        <v>44909</v>
      </c>
      <c r="E1094" s="18" t="s">
        <v>67</v>
      </c>
      <c r="F1094" s="18" t="s">
        <v>6760</v>
      </c>
      <c r="G1094" s="18" t="s">
        <v>6761</v>
      </c>
      <c r="H1094" s="18" t="s">
        <v>159</v>
      </c>
      <c r="I1094" s="18" t="s">
        <v>160</v>
      </c>
      <c r="J1094" s="18" t="s">
        <v>161</v>
      </c>
      <c r="K1094" s="18" t="s">
        <v>132</v>
      </c>
      <c r="L1094" s="20" t="s">
        <v>6762</v>
      </c>
      <c r="M1094" s="18" t="s">
        <v>75</v>
      </c>
      <c r="N1094" s="20" t="s">
        <v>6763</v>
      </c>
      <c r="O1094" s="18" t="s">
        <v>2241</v>
      </c>
      <c r="P1094" s="18" t="s">
        <v>78</v>
      </c>
      <c r="Q1094" s="19">
        <v>44914</v>
      </c>
      <c r="R1094" s="21">
        <v>14.28</v>
      </c>
      <c r="S1094" s="18" t="s">
        <v>79</v>
      </c>
      <c r="T1094" s="18" t="s">
        <v>232</v>
      </c>
      <c r="U1094" s="18" t="s">
        <v>83</v>
      </c>
      <c r="V1094" s="18" t="s">
        <v>95</v>
      </c>
      <c r="W1094" s="18" t="s">
        <v>95</v>
      </c>
      <c r="X1094" s="18" t="s">
        <v>84</v>
      </c>
      <c r="Y1094" s="18" t="s">
        <v>85</v>
      </c>
      <c r="Z1094" s="18" t="s">
        <v>86</v>
      </c>
      <c r="AA1094" s="18" t="s">
        <v>87</v>
      </c>
      <c r="AB1094" s="18" t="s">
        <v>233</v>
      </c>
      <c r="AC1094" s="18" t="s">
        <v>234</v>
      </c>
      <c r="AD1094" s="18" t="s">
        <v>85</v>
      </c>
      <c r="AE1094" s="18" t="s">
        <v>90</v>
      </c>
      <c r="AF1094" s="18" t="s">
        <v>235</v>
      </c>
      <c r="AG1094" s="18" t="s">
        <v>139</v>
      </c>
      <c r="AH1094" s="18" t="s">
        <v>165</v>
      </c>
      <c r="AI1094" s="18" t="s">
        <v>94</v>
      </c>
      <c r="AJ1094" s="19">
        <v>44909</v>
      </c>
      <c r="AK1094" s="22" t="s">
        <v>95</v>
      </c>
      <c r="AL1094" s="18" t="s">
        <v>95</v>
      </c>
      <c r="AM1094" s="18" t="s">
        <v>95</v>
      </c>
      <c r="AN1094" s="18" t="s">
        <v>95</v>
      </c>
      <c r="AO1094" s="18" t="s">
        <v>95</v>
      </c>
      <c r="AP1094" s="18" t="s">
        <v>95</v>
      </c>
      <c r="AQ1094" s="18" t="s">
        <v>95</v>
      </c>
      <c r="AR1094" s="18" t="s">
        <v>95</v>
      </c>
      <c r="AS1094" s="18" t="s">
        <v>83</v>
      </c>
      <c r="AT1094" s="18" t="s">
        <v>83</v>
      </c>
      <c r="AU1094" s="18" t="s">
        <v>81</v>
      </c>
      <c r="AV1094" s="18" t="s">
        <v>95</v>
      </c>
      <c r="AW1094" s="18"/>
      <c r="AX1094" s="18"/>
      <c r="AY1094" s="18" t="str">
        <f>Pospago[[#This Row],[NUM_TELEFONICO]]&amp;"POSPAGOSI"</f>
        <v>999777766POSPAGOSI</v>
      </c>
      <c r="AZ1094" s="18" t="str">
        <f>VLOOKUP(Pospago[[#This Row],[NOM_PLAZA_FINAL]],[1]!Locales[#Data],3,0)</f>
        <v>TIENDA CONDADO</v>
      </c>
      <c r="BA1094" s="18" t="str">
        <f>IFERROR(VLOOKUP(Pospago[[#This Row],[USUARIO]],[1]!Personal[#Data],6,0),"EJECUTIVO NO REGISTRADO")</f>
        <v>ROSALES MALDONADO JESSICA GABRIELA</v>
      </c>
      <c r="BB1094" s="18" t="str">
        <f>Pospago[[#This Row],[TIPO_MOVIMIENTO]]&amp;" "&amp;Pospago[[#This Row],[FORMA_PAGO_FINAL]]</f>
        <v>TRANSFERENCIAS DOMICILIADO</v>
      </c>
      <c r="BC1094" s="18">
        <f>DAY(Pospago[[#This Row],[FECHA_ALTA]])</f>
        <v>14</v>
      </c>
      <c r="BD1094" s="18">
        <f>IF(Pospago[[#This Row],[TARIFA_BASICA]]=11.42,1,0)</f>
        <v>0</v>
      </c>
      <c r="BE1094" s="18">
        <f>IF(Pospago[[#This Row],[PLANES TELEVENTAS]]="SI",1,0)</f>
        <v>0</v>
      </c>
      <c r="BF1094" s="18">
        <f>1</f>
        <v>1</v>
      </c>
      <c r="BG1094" s="18">
        <f>IF(OR(Pospago[[#This Row],[TARIFA_BASICA]]=11.42,Pospago[[#This Row],[PLANES TELEVENTAS]]="SI"),1,0)</f>
        <v>0</v>
      </c>
      <c r="BH1094" s="18" t="str">
        <f>IF(MID(Pospago[[#This Row],[PlanDesc]],1,4) = "PLAN","POSPAGO",IF(MID(Pospago[[#This Row],[PlanDesc]],1,4)="FULL","FULL MEGAS","PREVIOPAGO"))</f>
        <v>PREVIOPAGO</v>
      </c>
      <c r="BI109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09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94" s="21">
        <f>Pospago[[#This Row],[TARIFA_BASICA]]*1.5</f>
        <v>21.419999999999998</v>
      </c>
    </row>
    <row r="1095" spans="1:63" x14ac:dyDescent="0.25">
      <c r="A1095" s="18" t="s">
        <v>154</v>
      </c>
      <c r="B1095" s="18" t="s">
        <v>6764</v>
      </c>
      <c r="C1095" s="18" t="s">
        <v>6765</v>
      </c>
      <c r="D1095" s="19">
        <v>44910</v>
      </c>
      <c r="E1095" s="18" t="s">
        <v>67</v>
      </c>
      <c r="F1095" s="18" t="s">
        <v>6766</v>
      </c>
      <c r="G1095" s="18" t="s">
        <v>6767</v>
      </c>
      <c r="H1095" s="18" t="s">
        <v>159</v>
      </c>
      <c r="I1095" s="18" t="s">
        <v>160</v>
      </c>
      <c r="J1095" s="18" t="s">
        <v>161</v>
      </c>
      <c r="K1095" s="18" t="s">
        <v>95</v>
      </c>
      <c r="L1095" s="20" t="s">
        <v>6768</v>
      </c>
      <c r="M1095" s="18" t="s">
        <v>75</v>
      </c>
      <c r="N1095" s="20" t="s">
        <v>6769</v>
      </c>
      <c r="O1095" s="18" t="s">
        <v>164</v>
      </c>
      <c r="P1095" s="18" t="s">
        <v>78</v>
      </c>
      <c r="Q1095" s="19">
        <v>44914</v>
      </c>
      <c r="R1095" s="21">
        <v>14.28</v>
      </c>
      <c r="S1095" s="18" t="s">
        <v>79</v>
      </c>
      <c r="T1095" s="18" t="s">
        <v>174</v>
      </c>
      <c r="U1095" s="18" t="s">
        <v>83</v>
      </c>
      <c r="V1095" s="18" t="s">
        <v>95</v>
      </c>
      <c r="W1095" s="18" t="s">
        <v>95</v>
      </c>
      <c r="X1095" s="18" t="s">
        <v>118</v>
      </c>
      <c r="Y1095" s="18" t="s">
        <v>85</v>
      </c>
      <c r="Z1095" s="18" t="s">
        <v>86</v>
      </c>
      <c r="AA1095" s="18" t="s">
        <v>119</v>
      </c>
      <c r="AB1095" s="18" t="s">
        <v>822</v>
      </c>
      <c r="AC1095" s="18" t="s">
        <v>823</v>
      </c>
      <c r="AD1095" s="18" t="s">
        <v>85</v>
      </c>
      <c r="AE1095" s="18" t="s">
        <v>90</v>
      </c>
      <c r="AF1095" s="18" t="s">
        <v>177</v>
      </c>
      <c r="AG1095" s="18" t="s">
        <v>139</v>
      </c>
      <c r="AH1095" s="18" t="s">
        <v>165</v>
      </c>
      <c r="AI1095" s="18" t="s">
        <v>94</v>
      </c>
      <c r="AJ1095" s="19">
        <v>44910</v>
      </c>
      <c r="AK1095" s="22" t="s">
        <v>95</v>
      </c>
      <c r="AL1095" s="18" t="s">
        <v>95</v>
      </c>
      <c r="AM1095" s="18" t="s">
        <v>95</v>
      </c>
      <c r="AN1095" s="18" t="s">
        <v>95</v>
      </c>
      <c r="AO1095" s="18" t="s">
        <v>95</v>
      </c>
      <c r="AP1095" s="18" t="s">
        <v>95</v>
      </c>
      <c r="AQ1095" s="18" t="s">
        <v>95</v>
      </c>
      <c r="AR1095" s="18" t="s">
        <v>95</v>
      </c>
      <c r="AS1095" s="18" t="s">
        <v>83</v>
      </c>
      <c r="AT1095" s="18" t="s">
        <v>83</v>
      </c>
      <c r="AU1095" s="18" t="s">
        <v>81</v>
      </c>
      <c r="AV1095" s="18" t="s">
        <v>95</v>
      </c>
      <c r="AW1095" s="18"/>
      <c r="AX1095" s="18"/>
      <c r="AY1095" s="18" t="str">
        <f>Pospago[[#This Row],[NUM_TELEFONICO]]&amp;"POSPAGOSI"</f>
        <v>999787192POSPAGOSI</v>
      </c>
      <c r="AZ1095" s="18" t="str">
        <f>VLOOKUP(Pospago[[#This Row],[NOM_PLAZA_FINAL]],[1]!Locales[#Data],3,0)</f>
        <v>TIENDA RECREO</v>
      </c>
      <c r="BA1095" s="18" t="str">
        <f>IFERROR(VLOOKUP(Pospago[[#This Row],[USUARIO]],[1]!Personal[#Data],6,0),"EJECUTIVO NO REGISTRADO")</f>
        <v>SALAS PARRA MARIA JOSE</v>
      </c>
      <c r="BB1095" s="18" t="str">
        <f>Pospago[[#This Row],[TIPO_MOVIMIENTO]]&amp;" "&amp;Pospago[[#This Row],[FORMA_PAGO_FINAL]]</f>
        <v>TRANSFERENCIAS PAGO EN CAJA</v>
      </c>
      <c r="BC1095" s="18">
        <f>DAY(Pospago[[#This Row],[FECHA_ALTA]])</f>
        <v>15</v>
      </c>
      <c r="BD1095" s="18">
        <f>IF(Pospago[[#This Row],[TARIFA_BASICA]]=11.42,1,0)</f>
        <v>0</v>
      </c>
      <c r="BE1095" s="18">
        <f>IF(Pospago[[#This Row],[PLANES TELEVENTAS]]="SI",1,0)</f>
        <v>0</v>
      </c>
      <c r="BF1095" s="18">
        <f>1</f>
        <v>1</v>
      </c>
      <c r="BG1095" s="18">
        <f>IF(OR(Pospago[[#This Row],[TARIFA_BASICA]]=11.42,Pospago[[#This Row],[PLANES TELEVENTAS]]="SI"),1,0)</f>
        <v>0</v>
      </c>
      <c r="BH1095" s="18" t="str">
        <f>IF(MID(Pospago[[#This Row],[PlanDesc]],1,4) = "PLAN","POSPAGO",IF(MID(Pospago[[#This Row],[PlanDesc]],1,4)="FULL","FULL MEGAS","PREVIOPAGO"))</f>
        <v>PREVIOPAGO</v>
      </c>
      <c r="BI109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4.53</v>
      </c>
      <c r="BJ109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95" s="21">
        <f>Pospago[[#This Row],[TARIFA_BASICA]]*1.5</f>
        <v>21.419999999999998</v>
      </c>
    </row>
    <row r="1096" spans="1:63" x14ac:dyDescent="0.25">
      <c r="A1096" s="18" t="s">
        <v>64</v>
      </c>
      <c r="B1096" s="18" t="s">
        <v>6770</v>
      </c>
      <c r="C1096" s="18" t="s">
        <v>6771</v>
      </c>
      <c r="D1096" s="19">
        <v>44897</v>
      </c>
      <c r="E1096" s="18" t="s">
        <v>246</v>
      </c>
      <c r="F1096" s="18" t="s">
        <v>2466</v>
      </c>
      <c r="G1096" s="18" t="s">
        <v>2467</v>
      </c>
      <c r="H1096" s="18" t="s">
        <v>70</v>
      </c>
      <c r="I1096" s="18" t="s">
        <v>671</v>
      </c>
      <c r="J1096" s="18" t="s">
        <v>672</v>
      </c>
      <c r="K1096" s="18" t="s">
        <v>132</v>
      </c>
      <c r="L1096" s="20" t="s">
        <v>6772</v>
      </c>
      <c r="M1096" s="18" t="s">
        <v>75</v>
      </c>
      <c r="N1096" s="20" t="s">
        <v>6773</v>
      </c>
      <c r="O1096" s="18" t="s">
        <v>77</v>
      </c>
      <c r="P1096" s="18" t="s">
        <v>78</v>
      </c>
      <c r="Q1096" s="19">
        <v>44914</v>
      </c>
      <c r="R1096" s="21">
        <v>15</v>
      </c>
      <c r="S1096" s="18" t="s">
        <v>79</v>
      </c>
      <c r="T1096" s="18" t="s">
        <v>174</v>
      </c>
      <c r="U1096" s="18" t="s">
        <v>83</v>
      </c>
      <c r="V1096" s="18" t="s">
        <v>95</v>
      </c>
      <c r="W1096" s="18" t="s">
        <v>83</v>
      </c>
      <c r="X1096" s="18" t="s">
        <v>84</v>
      </c>
      <c r="Y1096" s="18" t="s">
        <v>85</v>
      </c>
      <c r="Z1096" s="18" t="s">
        <v>86</v>
      </c>
      <c r="AA1096" s="18" t="s">
        <v>87</v>
      </c>
      <c r="AB1096" s="18" t="s">
        <v>175</v>
      </c>
      <c r="AC1096" s="18" t="s">
        <v>176</v>
      </c>
      <c r="AD1096" s="18" t="s">
        <v>85</v>
      </c>
      <c r="AE1096" s="18" t="s">
        <v>90</v>
      </c>
      <c r="AF1096" s="18" t="s">
        <v>177</v>
      </c>
      <c r="AG1096" s="18" t="s">
        <v>139</v>
      </c>
      <c r="AH1096" s="18" t="s">
        <v>93</v>
      </c>
      <c r="AI1096" s="18" t="s">
        <v>94</v>
      </c>
      <c r="AJ1096" s="19">
        <v>44897</v>
      </c>
      <c r="AK1096" s="22" t="s">
        <v>95</v>
      </c>
      <c r="AL1096" s="18" t="s">
        <v>95</v>
      </c>
      <c r="AM1096" s="18" t="s">
        <v>95</v>
      </c>
      <c r="AN1096" s="18" t="s">
        <v>95</v>
      </c>
      <c r="AO1096" s="18" t="s">
        <v>95</v>
      </c>
      <c r="AP1096" s="18" t="s">
        <v>95</v>
      </c>
      <c r="AQ1096" s="18" t="s">
        <v>95</v>
      </c>
      <c r="AR1096" s="18" t="s">
        <v>95</v>
      </c>
      <c r="AS1096" s="18" t="s">
        <v>83</v>
      </c>
      <c r="AT1096" s="18" t="s">
        <v>83</v>
      </c>
      <c r="AU1096" s="18" t="s">
        <v>83</v>
      </c>
      <c r="AV1096" s="18" t="s">
        <v>95</v>
      </c>
      <c r="AW1096" s="18"/>
      <c r="AX1096" s="18"/>
      <c r="AY1096" s="18" t="str">
        <f>Pospago[[#This Row],[NUM_TELEFONICO]]&amp;"POSPAGOSI"</f>
        <v>999795676POSPAGOSI</v>
      </c>
      <c r="AZ1096" s="18" t="str">
        <f>VLOOKUP(Pospago[[#This Row],[NOM_PLAZA_FINAL]],[1]!Locales[#Data],3,0)</f>
        <v>TIENDA RECREO</v>
      </c>
      <c r="BA1096" s="18" t="str">
        <f>IFERROR(VLOOKUP(Pospago[[#This Row],[USUARIO]],[1]!Personal[#Data],6,0),"EJECUTIVO NO REGISTRADO")</f>
        <v>VARGAS REYES LUIS EDUARDO</v>
      </c>
      <c r="BB1096" s="18" t="str">
        <f>Pospago[[#This Row],[TIPO_MOVIMIENTO]]&amp;" "&amp;Pospago[[#This Row],[FORMA_PAGO_FINAL]]</f>
        <v>ALTAS DOMICILIADO</v>
      </c>
      <c r="BC1096" s="18">
        <f>DAY(Pospago[[#This Row],[FECHA_ALTA]])</f>
        <v>2</v>
      </c>
      <c r="BD1096" s="18">
        <f>IF(Pospago[[#This Row],[TARIFA_BASICA]]=11.42,1,0)</f>
        <v>0</v>
      </c>
      <c r="BE1096" s="18">
        <f>IF(Pospago[[#This Row],[PLANES TELEVENTAS]]="SI",1,0)</f>
        <v>0</v>
      </c>
      <c r="BF1096" s="18">
        <f>1</f>
        <v>1</v>
      </c>
      <c r="BG1096" s="18">
        <f>IF(OR(Pospago[[#This Row],[TARIFA_BASICA]]=11.42,Pospago[[#This Row],[PLANES TELEVENTAS]]="SI"),1,0)</f>
        <v>0</v>
      </c>
      <c r="BH1096" s="18" t="str">
        <f>IF(MID(Pospago[[#This Row],[PlanDesc]],1,4) = "PLAN","POSPAGO",IF(MID(Pospago[[#This Row],[PlanDesc]],1,4)="FULL","FULL MEGAS","PREVIOPAGO"))</f>
        <v>POSPAGO</v>
      </c>
      <c r="BI109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109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96" s="21">
        <f>Pospago[[#This Row],[TARIFA_BASICA]]*1.5</f>
        <v>22.5</v>
      </c>
    </row>
    <row r="1097" spans="1:63" x14ac:dyDescent="0.25">
      <c r="A1097" s="18" t="s">
        <v>64</v>
      </c>
      <c r="B1097" s="18" t="s">
        <v>6774</v>
      </c>
      <c r="C1097" s="18" t="s">
        <v>6509</v>
      </c>
      <c r="D1097" s="19">
        <v>44903</v>
      </c>
      <c r="E1097" s="18" t="s">
        <v>67</v>
      </c>
      <c r="F1097" s="18" t="s">
        <v>6510</v>
      </c>
      <c r="G1097" s="18" t="s">
        <v>6511</v>
      </c>
      <c r="H1097" s="18" t="s">
        <v>70</v>
      </c>
      <c r="I1097" s="18" t="s">
        <v>211</v>
      </c>
      <c r="J1097" s="18" t="s">
        <v>212</v>
      </c>
      <c r="K1097" s="18" t="s">
        <v>73</v>
      </c>
      <c r="L1097" s="20" t="s">
        <v>6775</v>
      </c>
      <c r="M1097" s="18" t="s">
        <v>75</v>
      </c>
      <c r="N1097" s="20" t="s">
        <v>6776</v>
      </c>
      <c r="O1097" s="18" t="s">
        <v>77</v>
      </c>
      <c r="P1097" s="18" t="s">
        <v>78</v>
      </c>
      <c r="Q1097" s="19">
        <v>44914</v>
      </c>
      <c r="R1097" s="21">
        <v>25</v>
      </c>
      <c r="S1097" s="18" t="s">
        <v>79</v>
      </c>
      <c r="T1097" s="18" t="s">
        <v>174</v>
      </c>
      <c r="U1097" s="18" t="s">
        <v>83</v>
      </c>
      <c r="V1097" s="18" t="s">
        <v>95</v>
      </c>
      <c r="W1097" s="18" t="s">
        <v>83</v>
      </c>
      <c r="X1097" s="18" t="s">
        <v>84</v>
      </c>
      <c r="Y1097" s="18" t="s">
        <v>85</v>
      </c>
      <c r="Z1097" s="18" t="s">
        <v>86</v>
      </c>
      <c r="AA1097" s="18" t="s">
        <v>87</v>
      </c>
      <c r="AB1097" s="18" t="s">
        <v>2159</v>
      </c>
      <c r="AC1097" s="18" t="s">
        <v>2160</v>
      </c>
      <c r="AD1097" s="18" t="s">
        <v>85</v>
      </c>
      <c r="AE1097" s="18" t="s">
        <v>90</v>
      </c>
      <c r="AF1097" s="18" t="s">
        <v>177</v>
      </c>
      <c r="AG1097" s="18" t="s">
        <v>139</v>
      </c>
      <c r="AH1097" s="18" t="s">
        <v>93</v>
      </c>
      <c r="AI1097" s="18" t="s">
        <v>94</v>
      </c>
      <c r="AJ1097" s="19">
        <v>44903</v>
      </c>
      <c r="AK1097" s="22" t="s">
        <v>95</v>
      </c>
      <c r="AL1097" s="18" t="s">
        <v>95</v>
      </c>
      <c r="AM1097" s="18" t="s">
        <v>95</v>
      </c>
      <c r="AN1097" s="18" t="s">
        <v>95</v>
      </c>
      <c r="AO1097" s="18" t="s">
        <v>95</v>
      </c>
      <c r="AP1097" s="18" t="s">
        <v>95</v>
      </c>
      <c r="AQ1097" s="18" t="s">
        <v>95</v>
      </c>
      <c r="AR1097" s="18" t="s">
        <v>95</v>
      </c>
      <c r="AS1097" s="18" t="s">
        <v>83</v>
      </c>
      <c r="AT1097" s="18" t="s">
        <v>95</v>
      </c>
      <c r="AU1097" s="18" t="s">
        <v>95</v>
      </c>
      <c r="AV1097" s="18" t="s">
        <v>95</v>
      </c>
      <c r="AW1097" s="18"/>
      <c r="AX1097" s="18"/>
      <c r="AY1097" s="18" t="str">
        <f>Pospago[[#This Row],[NUM_TELEFONICO]]&amp;"POSPAGOSI"</f>
        <v>999796526POSPAGOSI</v>
      </c>
      <c r="AZ1097" s="18" t="str">
        <f>VLOOKUP(Pospago[[#This Row],[NOM_PLAZA_FINAL]],[1]!Locales[#Data],3,0)</f>
        <v>TIENDA RECREO</v>
      </c>
      <c r="BA1097" s="18" t="str">
        <f>IFERROR(VLOOKUP(Pospago[[#This Row],[USUARIO]],[1]!Personal[#Data],6,0),"EJECUTIVO NO REGISTRADO")</f>
        <v>GUEVARA MAZA CRISTIAN FABIAN</v>
      </c>
      <c r="BB1097" s="18" t="str">
        <f>Pospago[[#This Row],[TIPO_MOVIMIENTO]]&amp;" "&amp;Pospago[[#This Row],[FORMA_PAGO_FINAL]]</f>
        <v>ALTAS DOMICILIADO</v>
      </c>
      <c r="BC1097" s="18">
        <f>DAY(Pospago[[#This Row],[FECHA_ALTA]])</f>
        <v>8</v>
      </c>
      <c r="BD1097" s="18">
        <f>IF(Pospago[[#This Row],[TARIFA_BASICA]]=11.42,1,0)</f>
        <v>0</v>
      </c>
      <c r="BE1097" s="18">
        <f>IF(Pospago[[#This Row],[PLANES TELEVENTAS]]="SI",1,0)</f>
        <v>0</v>
      </c>
      <c r="BF1097" s="18">
        <f>1</f>
        <v>1</v>
      </c>
      <c r="BG1097" s="18">
        <f>IF(OR(Pospago[[#This Row],[TARIFA_BASICA]]=11.42,Pospago[[#This Row],[PLANES TELEVENTAS]]="SI"),1,0)</f>
        <v>0</v>
      </c>
      <c r="BH1097" s="18" t="str">
        <f>IF(MID(Pospago[[#This Row],[PlanDesc]],1,4) = "PLAN","POSPAGO",IF(MID(Pospago[[#This Row],[PlanDesc]],1,4)="FULL","FULL MEGAS","PREVIOPAGO"))</f>
        <v>FULL MEGAS</v>
      </c>
      <c r="BI109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109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97" s="21">
        <f>Pospago[[#This Row],[TARIFA_BASICA]]*1.5</f>
        <v>37.5</v>
      </c>
    </row>
    <row r="1098" spans="1:63" x14ac:dyDescent="0.25">
      <c r="A1098" s="18" t="s">
        <v>64</v>
      </c>
      <c r="B1098" s="18" t="s">
        <v>6777</v>
      </c>
      <c r="C1098" s="18" t="s">
        <v>6778</v>
      </c>
      <c r="D1098" s="19">
        <v>44912</v>
      </c>
      <c r="E1098" s="18" t="s">
        <v>67</v>
      </c>
      <c r="F1098" s="18" t="s">
        <v>6779</v>
      </c>
      <c r="G1098" s="18" t="s">
        <v>6780</v>
      </c>
      <c r="H1098" s="18" t="s">
        <v>70</v>
      </c>
      <c r="I1098" s="18" t="s">
        <v>112</v>
      </c>
      <c r="J1098" s="18" t="s">
        <v>113</v>
      </c>
      <c r="K1098" s="18" t="s">
        <v>114</v>
      </c>
      <c r="L1098" s="20" t="s">
        <v>6781</v>
      </c>
      <c r="M1098" s="18" t="s">
        <v>75</v>
      </c>
      <c r="N1098" s="20" t="s">
        <v>6782</v>
      </c>
      <c r="O1098" s="18" t="s">
        <v>77</v>
      </c>
      <c r="P1098" s="18" t="s">
        <v>78</v>
      </c>
      <c r="Q1098" s="19">
        <v>44914</v>
      </c>
      <c r="R1098" s="21">
        <v>17.850000000000001</v>
      </c>
      <c r="S1098" s="18" t="s">
        <v>79</v>
      </c>
      <c r="T1098" s="18" t="s">
        <v>117</v>
      </c>
      <c r="U1098" s="18" t="s">
        <v>83</v>
      </c>
      <c r="V1098" s="18" t="s">
        <v>95</v>
      </c>
      <c r="W1098" s="18" t="s">
        <v>83</v>
      </c>
      <c r="X1098" s="18" t="s">
        <v>118</v>
      </c>
      <c r="Y1098" s="18" t="s">
        <v>85</v>
      </c>
      <c r="Z1098" s="18" t="s">
        <v>86</v>
      </c>
      <c r="AA1098" s="18" t="s">
        <v>119</v>
      </c>
      <c r="AB1098" s="18" t="s">
        <v>120</v>
      </c>
      <c r="AC1098" s="18" t="s">
        <v>121</v>
      </c>
      <c r="AD1098" s="18" t="s">
        <v>85</v>
      </c>
      <c r="AE1098" s="18" t="s">
        <v>90</v>
      </c>
      <c r="AF1098" s="18" t="s">
        <v>122</v>
      </c>
      <c r="AG1098" s="18" t="s">
        <v>92</v>
      </c>
      <c r="AH1098" s="18" t="s">
        <v>93</v>
      </c>
      <c r="AI1098" s="18" t="s">
        <v>94</v>
      </c>
      <c r="AJ1098" s="19">
        <v>44912</v>
      </c>
      <c r="AK1098" s="22" t="s">
        <v>95</v>
      </c>
      <c r="AL1098" s="18" t="s">
        <v>95</v>
      </c>
      <c r="AM1098" s="18" t="s">
        <v>95</v>
      </c>
      <c r="AN1098" s="18" t="s">
        <v>95</v>
      </c>
      <c r="AO1098" s="18" t="s">
        <v>95</v>
      </c>
      <c r="AP1098" s="18" t="s">
        <v>95</v>
      </c>
      <c r="AQ1098" s="18" t="s">
        <v>95</v>
      </c>
      <c r="AR1098" s="18" t="s">
        <v>95</v>
      </c>
      <c r="AS1098" s="18" t="s">
        <v>83</v>
      </c>
      <c r="AT1098" s="18" t="s">
        <v>83</v>
      </c>
      <c r="AU1098" s="18" t="s">
        <v>81</v>
      </c>
      <c r="AV1098" s="18" t="s">
        <v>95</v>
      </c>
      <c r="AW1098" s="18"/>
      <c r="AX1098" s="18"/>
      <c r="AY1098" s="18" t="str">
        <f>Pospago[[#This Row],[NUM_TELEFONICO]]&amp;"POSPAGOSI"</f>
        <v>999801702POSPAGOSI</v>
      </c>
      <c r="AZ1098" s="18" t="str">
        <f>VLOOKUP(Pospago[[#This Row],[NOM_PLAZA_FINAL]],[1]!Locales[#Data],3,0)</f>
        <v>TIENDA MACHALA</v>
      </c>
      <c r="BA1098" s="18" t="str">
        <f>IFERROR(VLOOKUP(Pospago[[#This Row],[USUARIO]],[1]!Personal[#Data],6,0),"EJECUTIVO NO REGISTRADO")</f>
        <v>ARROBO VICENTE YADIRA ESPERANZA</v>
      </c>
      <c r="BB1098" s="18" t="str">
        <f>Pospago[[#This Row],[TIPO_MOVIMIENTO]]&amp;" "&amp;Pospago[[#This Row],[FORMA_PAGO_FINAL]]</f>
        <v>ALTAS PAGO EN CAJA</v>
      </c>
      <c r="BC1098" s="18">
        <f>DAY(Pospago[[#This Row],[FECHA_ALTA]])</f>
        <v>17</v>
      </c>
      <c r="BD1098" s="18">
        <f>IF(Pospago[[#This Row],[TARIFA_BASICA]]=11.42,1,0)</f>
        <v>0</v>
      </c>
      <c r="BE1098" s="18">
        <f>IF(Pospago[[#This Row],[PLANES TELEVENTAS]]="SI",1,0)</f>
        <v>0</v>
      </c>
      <c r="BF1098" s="18">
        <f>1</f>
        <v>1</v>
      </c>
      <c r="BG1098" s="18">
        <f>IF(OR(Pospago[[#This Row],[TARIFA_BASICA]]=11.42,Pospago[[#This Row],[PLANES TELEVENTAS]]="SI"),1,0)</f>
        <v>0</v>
      </c>
      <c r="BH1098" s="18" t="str">
        <f>IF(MID(Pospago[[#This Row],[PlanDesc]],1,4) = "PLAN","POSPAGO",IF(MID(Pospago[[#This Row],[PlanDesc]],1,4)="FULL","FULL MEGAS","PREVIOPAGO"))</f>
        <v>PREVIOPAGO</v>
      </c>
      <c r="BI109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18.911999999999999</v>
      </c>
      <c r="BJ109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098" s="21">
        <f>Pospago[[#This Row],[TARIFA_BASICA]]*1.5</f>
        <v>26.775000000000002</v>
      </c>
    </row>
    <row r="1099" spans="1:63" x14ac:dyDescent="0.25">
      <c r="A1099" s="18" t="s">
        <v>154</v>
      </c>
      <c r="B1099" s="18" t="s">
        <v>6783</v>
      </c>
      <c r="C1099" s="18" t="s">
        <v>6784</v>
      </c>
      <c r="D1099" s="19">
        <v>44896</v>
      </c>
      <c r="E1099" s="18" t="s">
        <v>67</v>
      </c>
      <c r="F1099" s="18" t="s">
        <v>6785</v>
      </c>
      <c r="G1099" s="18" t="s">
        <v>6786</v>
      </c>
      <c r="H1099" s="18" t="s">
        <v>159</v>
      </c>
      <c r="I1099" s="18" t="s">
        <v>71</v>
      </c>
      <c r="J1099" s="18" t="s">
        <v>258</v>
      </c>
      <c r="K1099" s="18" t="s">
        <v>132</v>
      </c>
      <c r="L1099" s="20" t="s">
        <v>6787</v>
      </c>
      <c r="M1099" s="18" t="s">
        <v>75</v>
      </c>
      <c r="N1099" s="20" t="s">
        <v>6788</v>
      </c>
      <c r="O1099" s="18" t="s">
        <v>164</v>
      </c>
      <c r="P1099" s="18" t="s">
        <v>78</v>
      </c>
      <c r="Q1099" s="19">
        <v>44914</v>
      </c>
      <c r="R1099" s="21">
        <v>11.42</v>
      </c>
      <c r="S1099" s="18" t="s">
        <v>79</v>
      </c>
      <c r="T1099" s="18" t="s">
        <v>174</v>
      </c>
      <c r="U1099" s="18" t="s">
        <v>83</v>
      </c>
      <c r="V1099" s="18" t="s">
        <v>95</v>
      </c>
      <c r="W1099" s="18" t="s">
        <v>95</v>
      </c>
      <c r="X1099" s="18" t="s">
        <v>84</v>
      </c>
      <c r="Y1099" s="18" t="s">
        <v>85</v>
      </c>
      <c r="Z1099" s="18" t="s">
        <v>86</v>
      </c>
      <c r="AA1099" s="18" t="s">
        <v>87</v>
      </c>
      <c r="AB1099" s="18" t="s">
        <v>760</v>
      </c>
      <c r="AC1099" s="18" t="s">
        <v>761</v>
      </c>
      <c r="AD1099" s="18" t="s">
        <v>85</v>
      </c>
      <c r="AE1099" s="18" t="s">
        <v>90</v>
      </c>
      <c r="AF1099" s="18" t="s">
        <v>177</v>
      </c>
      <c r="AG1099" s="18" t="s">
        <v>139</v>
      </c>
      <c r="AH1099" s="18" t="s">
        <v>165</v>
      </c>
      <c r="AI1099" s="18" t="s">
        <v>94</v>
      </c>
      <c r="AJ1099" s="19">
        <v>44896</v>
      </c>
      <c r="AK1099" s="22" t="s">
        <v>95</v>
      </c>
      <c r="AL1099" s="18" t="s">
        <v>95</v>
      </c>
      <c r="AM1099" s="18" t="s">
        <v>95</v>
      </c>
      <c r="AN1099" s="18" t="s">
        <v>95</v>
      </c>
      <c r="AO1099" s="18" t="s">
        <v>95</v>
      </c>
      <c r="AP1099" s="18" t="s">
        <v>95</v>
      </c>
      <c r="AQ1099" s="18" t="s">
        <v>95</v>
      </c>
      <c r="AR1099" s="18" t="s">
        <v>95</v>
      </c>
      <c r="AS1099" s="18" t="s">
        <v>83</v>
      </c>
      <c r="AT1099" s="18" t="s">
        <v>83</v>
      </c>
      <c r="AU1099" s="18" t="s">
        <v>81</v>
      </c>
      <c r="AV1099" s="18" t="s">
        <v>95</v>
      </c>
      <c r="AW1099" s="18"/>
      <c r="AX1099" s="18"/>
      <c r="AY1099" s="18" t="str">
        <f>Pospago[[#This Row],[NUM_TELEFONICO]]&amp;"POSPAGOSI"</f>
        <v>999803739POSPAGOSI</v>
      </c>
      <c r="AZ1099" s="18" t="str">
        <f>VLOOKUP(Pospago[[#This Row],[NOM_PLAZA_FINAL]],[1]!Locales[#Data],3,0)</f>
        <v>TIENDA RECREO</v>
      </c>
      <c r="BA1099" s="18" t="str">
        <f>IFERROR(VLOOKUP(Pospago[[#This Row],[USUARIO]],[1]!Personal[#Data],6,0),"EJECUTIVO NO REGISTRADO")</f>
        <v>VALBUENA SANCHEZ ALBERT ANTHONY</v>
      </c>
      <c r="BB1099" s="18" t="str">
        <f>Pospago[[#This Row],[TIPO_MOVIMIENTO]]&amp;" "&amp;Pospago[[#This Row],[FORMA_PAGO_FINAL]]</f>
        <v>TRANSFERENCIAS DOMICILIADO</v>
      </c>
      <c r="BC1099" s="18">
        <f>DAY(Pospago[[#This Row],[FECHA_ALTA]])</f>
        <v>1</v>
      </c>
      <c r="BD1099" s="18">
        <f>IF(Pospago[[#This Row],[TARIFA_BASICA]]=11.42,1,0)</f>
        <v>1</v>
      </c>
      <c r="BE1099" s="18">
        <f>IF(Pospago[[#This Row],[PLANES TELEVENTAS]]="SI",1,0)</f>
        <v>0</v>
      </c>
      <c r="BF1099" s="18">
        <f>1</f>
        <v>1</v>
      </c>
      <c r="BG1099" s="18">
        <f>IF(OR(Pospago[[#This Row],[TARIFA_BASICA]]=11.42,Pospago[[#This Row],[PLANES TELEVENTAS]]="SI"),1,0)</f>
        <v>1</v>
      </c>
      <c r="BH1099" s="18" t="str">
        <f>IF(MID(Pospago[[#This Row],[PlanDesc]],1,4) = "PLAN","POSPAGO",IF(MID(Pospago[[#This Row],[PlanDesc]],1,4)="FULL","FULL MEGAS","PREVIOPAGO"))</f>
        <v>PREVIOPAGO</v>
      </c>
      <c r="BI109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109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099" s="21">
        <f>Pospago[[#This Row],[TARIFA_BASICA]]*1.5</f>
        <v>17.13</v>
      </c>
    </row>
    <row r="1100" spans="1:63" x14ac:dyDescent="0.25">
      <c r="A1100" s="18" t="s">
        <v>154</v>
      </c>
      <c r="B1100" s="18" t="s">
        <v>6789</v>
      </c>
      <c r="C1100" s="18" t="s">
        <v>6790</v>
      </c>
      <c r="D1100" s="19">
        <v>44909</v>
      </c>
      <c r="E1100" s="18" t="s">
        <v>67</v>
      </c>
      <c r="F1100" s="18" t="s">
        <v>6791</v>
      </c>
      <c r="G1100" s="18" t="s">
        <v>6792</v>
      </c>
      <c r="H1100" s="18" t="s">
        <v>159</v>
      </c>
      <c r="I1100" s="18" t="s">
        <v>160</v>
      </c>
      <c r="J1100" s="18" t="s">
        <v>161</v>
      </c>
      <c r="K1100" s="18" t="s">
        <v>132</v>
      </c>
      <c r="L1100" s="20" t="s">
        <v>6793</v>
      </c>
      <c r="M1100" s="18" t="s">
        <v>75</v>
      </c>
      <c r="N1100" s="20" t="s">
        <v>6794</v>
      </c>
      <c r="O1100" s="18" t="s">
        <v>164</v>
      </c>
      <c r="P1100" s="18" t="s">
        <v>78</v>
      </c>
      <c r="Q1100" s="19">
        <v>44914</v>
      </c>
      <c r="R1100" s="21">
        <v>14.28</v>
      </c>
      <c r="S1100" s="18" t="s">
        <v>79</v>
      </c>
      <c r="T1100" s="18" t="s">
        <v>232</v>
      </c>
      <c r="U1100" s="18" t="s">
        <v>83</v>
      </c>
      <c r="V1100" s="18" t="s">
        <v>95</v>
      </c>
      <c r="W1100" s="18" t="s">
        <v>95</v>
      </c>
      <c r="X1100" s="18" t="s">
        <v>84</v>
      </c>
      <c r="Y1100" s="18" t="s">
        <v>85</v>
      </c>
      <c r="Z1100" s="18" t="s">
        <v>86</v>
      </c>
      <c r="AA1100" s="18" t="s">
        <v>87</v>
      </c>
      <c r="AB1100" s="18" t="s">
        <v>280</v>
      </c>
      <c r="AC1100" s="18" t="s">
        <v>281</v>
      </c>
      <c r="AD1100" s="18" t="s">
        <v>85</v>
      </c>
      <c r="AE1100" s="18" t="s">
        <v>90</v>
      </c>
      <c r="AF1100" s="18" t="s">
        <v>235</v>
      </c>
      <c r="AG1100" s="18" t="s">
        <v>139</v>
      </c>
      <c r="AH1100" s="18" t="s">
        <v>165</v>
      </c>
      <c r="AI1100" s="18" t="s">
        <v>94</v>
      </c>
      <c r="AJ1100" s="19">
        <v>44909</v>
      </c>
      <c r="AK1100" s="22" t="s">
        <v>95</v>
      </c>
      <c r="AL1100" s="18" t="s">
        <v>95</v>
      </c>
      <c r="AM1100" s="18" t="s">
        <v>95</v>
      </c>
      <c r="AN1100" s="18" t="s">
        <v>95</v>
      </c>
      <c r="AO1100" s="18" t="s">
        <v>95</v>
      </c>
      <c r="AP1100" s="18" t="s">
        <v>95</v>
      </c>
      <c r="AQ1100" s="18" t="s">
        <v>95</v>
      </c>
      <c r="AR1100" s="18" t="s">
        <v>95</v>
      </c>
      <c r="AS1100" s="18" t="s">
        <v>83</v>
      </c>
      <c r="AT1100" s="18" t="s">
        <v>83</v>
      </c>
      <c r="AU1100" s="18" t="s">
        <v>81</v>
      </c>
      <c r="AV1100" s="18" t="s">
        <v>95</v>
      </c>
      <c r="AW1100" s="18"/>
      <c r="AX1100" s="18"/>
      <c r="AY1100" s="18" t="str">
        <f>Pospago[[#This Row],[NUM_TELEFONICO]]&amp;"POSPAGOSI"</f>
        <v>999822795POSPAGOSI</v>
      </c>
      <c r="AZ1100" s="18" t="str">
        <f>VLOOKUP(Pospago[[#This Row],[NOM_PLAZA_FINAL]],[1]!Locales[#Data],3,0)</f>
        <v>TIENDA CONDADO</v>
      </c>
      <c r="BA1100" s="18" t="str">
        <f>IFERROR(VLOOKUP(Pospago[[#This Row],[USUARIO]],[1]!Personal[#Data],6,0),"EJECUTIVO NO REGISTRADO")</f>
        <v>GUACHAMIN CAZA HUGO ADRIAN</v>
      </c>
      <c r="BB1100" s="18" t="str">
        <f>Pospago[[#This Row],[TIPO_MOVIMIENTO]]&amp;" "&amp;Pospago[[#This Row],[FORMA_PAGO_FINAL]]</f>
        <v>TRANSFERENCIAS DOMICILIADO</v>
      </c>
      <c r="BC1100" s="18">
        <f>DAY(Pospago[[#This Row],[FECHA_ALTA]])</f>
        <v>14</v>
      </c>
      <c r="BD1100" s="18">
        <f>IF(Pospago[[#This Row],[TARIFA_BASICA]]=11.42,1,0)</f>
        <v>0</v>
      </c>
      <c r="BE1100" s="18">
        <f>IF(Pospago[[#This Row],[PLANES TELEVENTAS]]="SI",1,0)</f>
        <v>0</v>
      </c>
      <c r="BF1100" s="18">
        <f>1</f>
        <v>1</v>
      </c>
      <c r="BG1100" s="18">
        <f>IF(OR(Pospago[[#This Row],[TARIFA_BASICA]]=11.42,Pospago[[#This Row],[PLANES TELEVENTAS]]="SI"),1,0)</f>
        <v>0</v>
      </c>
      <c r="BH1100" s="18" t="str">
        <f>IF(MID(Pospago[[#This Row],[PlanDesc]],1,4) = "PLAN","POSPAGO",IF(MID(Pospago[[#This Row],[PlanDesc]],1,4)="FULL","FULL MEGAS","PREVIOPAGO"))</f>
        <v>PREVIOPAGO</v>
      </c>
      <c r="BI110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10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00" s="21">
        <f>Pospago[[#This Row],[TARIFA_BASICA]]*1.5</f>
        <v>21.419999999999998</v>
      </c>
    </row>
    <row r="1101" spans="1:63" x14ac:dyDescent="0.25">
      <c r="A1101" s="18" t="s">
        <v>64</v>
      </c>
      <c r="B1101" s="18" t="s">
        <v>6795</v>
      </c>
      <c r="C1101" s="18" t="s">
        <v>6796</v>
      </c>
      <c r="D1101" s="19">
        <v>44897</v>
      </c>
      <c r="E1101" s="18" t="s">
        <v>67</v>
      </c>
      <c r="F1101" s="18" t="s">
        <v>6797</v>
      </c>
      <c r="G1101" s="18" t="s">
        <v>6798</v>
      </c>
      <c r="H1101" s="18" t="s">
        <v>70</v>
      </c>
      <c r="I1101" s="18" t="s">
        <v>194</v>
      </c>
      <c r="J1101" s="18" t="s">
        <v>195</v>
      </c>
      <c r="K1101" s="18" t="s">
        <v>73</v>
      </c>
      <c r="L1101" s="20" t="s">
        <v>6799</v>
      </c>
      <c r="M1101" s="18" t="s">
        <v>75</v>
      </c>
      <c r="N1101" s="20" t="s">
        <v>6800</v>
      </c>
      <c r="O1101" s="18" t="s">
        <v>77</v>
      </c>
      <c r="P1101" s="18" t="s">
        <v>78</v>
      </c>
      <c r="Q1101" s="19">
        <v>44914</v>
      </c>
      <c r="R1101" s="21">
        <v>14.28</v>
      </c>
      <c r="S1101" s="18" t="s">
        <v>79</v>
      </c>
      <c r="T1101" s="18" t="s">
        <v>148</v>
      </c>
      <c r="U1101" s="18" t="s">
        <v>83</v>
      </c>
      <c r="V1101" s="18" t="s">
        <v>95</v>
      </c>
      <c r="W1101" s="18" t="s">
        <v>83</v>
      </c>
      <c r="X1101" s="18" t="s">
        <v>215</v>
      </c>
      <c r="Y1101" s="18" t="s">
        <v>85</v>
      </c>
      <c r="Z1101" s="18" t="s">
        <v>86</v>
      </c>
      <c r="AA1101" s="18" t="s">
        <v>87</v>
      </c>
      <c r="AB1101" s="18" t="s">
        <v>318</v>
      </c>
      <c r="AC1101" s="18" t="s">
        <v>319</v>
      </c>
      <c r="AD1101" s="18" t="s">
        <v>85</v>
      </c>
      <c r="AE1101" s="18" t="s">
        <v>90</v>
      </c>
      <c r="AF1101" s="18" t="s">
        <v>151</v>
      </c>
      <c r="AG1101" s="18" t="s">
        <v>92</v>
      </c>
      <c r="AH1101" s="18" t="s">
        <v>93</v>
      </c>
      <c r="AI1101" s="18" t="s">
        <v>94</v>
      </c>
      <c r="AJ1101" s="19">
        <v>44897</v>
      </c>
      <c r="AK1101" s="22" t="s">
        <v>95</v>
      </c>
      <c r="AL1101" s="18" t="s">
        <v>95</v>
      </c>
      <c r="AM1101" s="18" t="s">
        <v>95</v>
      </c>
      <c r="AN1101" s="18" t="s">
        <v>95</v>
      </c>
      <c r="AO1101" s="18" t="s">
        <v>95</v>
      </c>
      <c r="AP1101" s="18" t="s">
        <v>95</v>
      </c>
      <c r="AQ1101" s="18" t="s">
        <v>95</v>
      </c>
      <c r="AR1101" s="18" t="s">
        <v>95</v>
      </c>
      <c r="AS1101" s="18" t="s">
        <v>83</v>
      </c>
      <c r="AT1101" s="18" t="s">
        <v>81</v>
      </c>
      <c r="AU1101" s="18" t="s">
        <v>81</v>
      </c>
      <c r="AV1101" s="18" t="s">
        <v>95</v>
      </c>
      <c r="AW1101" s="18"/>
      <c r="AX1101" s="18"/>
      <c r="AY1101" s="18" t="str">
        <f>Pospago[[#This Row],[NUM_TELEFONICO]]&amp;"POSPAGOSI"</f>
        <v>999836026POSPAGOSI</v>
      </c>
      <c r="AZ1101" s="18" t="str">
        <f>VLOOKUP(Pospago[[#This Row],[NOM_PLAZA_FINAL]],[1]!Locales[#Data],3,0)</f>
        <v>TIENDA CUENCA REMIGIO</v>
      </c>
      <c r="BA1101" s="18" t="str">
        <f>IFERROR(VLOOKUP(Pospago[[#This Row],[USUARIO]],[1]!Personal[#Data],6,0),"EJECUTIVO NO REGISTRADO")</f>
        <v>RODRIGUEZ QUITO JESSICA GABRIELA</v>
      </c>
      <c r="BB1101" s="18" t="str">
        <f>Pospago[[#This Row],[TIPO_MOVIMIENTO]]&amp;" "&amp;Pospago[[#This Row],[FORMA_PAGO_FINAL]]</f>
        <v>ALTAS DOMICILIADO</v>
      </c>
      <c r="BC1101" s="18">
        <f>DAY(Pospago[[#This Row],[FECHA_ALTA]])</f>
        <v>2</v>
      </c>
      <c r="BD1101" s="18">
        <f>IF(Pospago[[#This Row],[TARIFA_BASICA]]=11.42,1,0)</f>
        <v>0</v>
      </c>
      <c r="BE1101" s="18">
        <f>IF(Pospago[[#This Row],[PLANES TELEVENTAS]]="SI",1,0)</f>
        <v>1</v>
      </c>
      <c r="BF1101" s="18">
        <f>1</f>
        <v>1</v>
      </c>
      <c r="BG1101" s="18">
        <f>IF(OR(Pospago[[#This Row],[TARIFA_BASICA]]=11.42,Pospago[[#This Row],[PLANES TELEVENTAS]]="SI"),1,0)</f>
        <v>1</v>
      </c>
      <c r="BH1101" s="18" t="str">
        <f>IF(MID(Pospago[[#This Row],[PlanDesc]],1,4) = "PLAN","POSPAGO",IF(MID(Pospago[[#This Row],[PlanDesc]],1,4)="FULL","FULL MEGAS","PREVIOPAGO"))</f>
        <v>PREVIOPAGO</v>
      </c>
      <c r="BI110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10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01" s="21">
        <f>Pospago[[#This Row],[TARIFA_BASICA]]*1.5</f>
        <v>21.419999999999998</v>
      </c>
    </row>
    <row r="1102" spans="1:63" x14ac:dyDescent="0.25">
      <c r="A1102" s="18" t="s">
        <v>154</v>
      </c>
      <c r="B1102" s="18" t="s">
        <v>6801</v>
      </c>
      <c r="C1102" s="18" t="s">
        <v>6802</v>
      </c>
      <c r="D1102" s="19">
        <v>44900</v>
      </c>
      <c r="E1102" s="18" t="s">
        <v>67</v>
      </c>
      <c r="F1102" s="18" t="s">
        <v>6803</v>
      </c>
      <c r="G1102" s="18" t="s">
        <v>6804</v>
      </c>
      <c r="H1102" s="18" t="s">
        <v>159</v>
      </c>
      <c r="I1102" s="18" t="s">
        <v>1487</v>
      </c>
      <c r="J1102" s="18" t="s">
        <v>6805</v>
      </c>
      <c r="K1102" s="18" t="s">
        <v>132</v>
      </c>
      <c r="L1102" s="20" t="s">
        <v>6806</v>
      </c>
      <c r="M1102" s="18" t="s">
        <v>75</v>
      </c>
      <c r="N1102" s="20" t="s">
        <v>6807</v>
      </c>
      <c r="O1102" s="18" t="s">
        <v>164</v>
      </c>
      <c r="P1102" s="18" t="s">
        <v>78</v>
      </c>
      <c r="Q1102" s="19">
        <v>44914</v>
      </c>
      <c r="R1102" s="21">
        <v>21.42</v>
      </c>
      <c r="S1102" s="18" t="s">
        <v>79</v>
      </c>
      <c r="T1102" s="18" t="s">
        <v>174</v>
      </c>
      <c r="U1102" s="18" t="s">
        <v>83</v>
      </c>
      <c r="V1102" s="18" t="s">
        <v>95</v>
      </c>
      <c r="W1102" s="18" t="s">
        <v>95</v>
      </c>
      <c r="X1102" s="18" t="s">
        <v>118</v>
      </c>
      <c r="Y1102" s="18" t="s">
        <v>85</v>
      </c>
      <c r="Z1102" s="18" t="s">
        <v>86</v>
      </c>
      <c r="AA1102" s="18" t="s">
        <v>119</v>
      </c>
      <c r="AB1102" s="18" t="s">
        <v>175</v>
      </c>
      <c r="AC1102" s="18" t="s">
        <v>176</v>
      </c>
      <c r="AD1102" s="18" t="s">
        <v>85</v>
      </c>
      <c r="AE1102" s="18" t="s">
        <v>90</v>
      </c>
      <c r="AF1102" s="18" t="s">
        <v>177</v>
      </c>
      <c r="AG1102" s="18" t="s">
        <v>139</v>
      </c>
      <c r="AH1102" s="18" t="s">
        <v>165</v>
      </c>
      <c r="AI1102" s="18" t="s">
        <v>94</v>
      </c>
      <c r="AJ1102" s="19">
        <v>44900</v>
      </c>
      <c r="AK1102" s="22" t="s">
        <v>95</v>
      </c>
      <c r="AL1102" s="18" t="s">
        <v>95</v>
      </c>
      <c r="AM1102" s="18" t="s">
        <v>95</v>
      </c>
      <c r="AN1102" s="18" t="s">
        <v>95</v>
      </c>
      <c r="AO1102" s="18" t="s">
        <v>95</v>
      </c>
      <c r="AP1102" s="18" t="s">
        <v>95</v>
      </c>
      <c r="AQ1102" s="18" t="s">
        <v>95</v>
      </c>
      <c r="AR1102" s="18" t="s">
        <v>95</v>
      </c>
      <c r="AS1102" s="18" t="s">
        <v>83</v>
      </c>
      <c r="AT1102" s="18" t="s">
        <v>81</v>
      </c>
      <c r="AU1102" s="18" t="s">
        <v>81</v>
      </c>
      <c r="AV1102" s="18" t="s">
        <v>95</v>
      </c>
      <c r="AW1102" s="18"/>
      <c r="AX1102" s="18"/>
      <c r="AY1102" s="18" t="str">
        <f>Pospago[[#This Row],[NUM_TELEFONICO]]&amp;"POSPAGOSI"</f>
        <v>999837559POSPAGOSI</v>
      </c>
      <c r="AZ1102" s="18" t="str">
        <f>VLOOKUP(Pospago[[#This Row],[NOM_PLAZA_FINAL]],[1]!Locales[#Data],3,0)</f>
        <v>TIENDA RECREO</v>
      </c>
      <c r="BA1102" s="18" t="str">
        <f>IFERROR(VLOOKUP(Pospago[[#This Row],[USUARIO]],[1]!Personal[#Data],6,0),"EJECUTIVO NO REGISTRADO")</f>
        <v>VARGAS REYES LUIS EDUARDO</v>
      </c>
      <c r="BB1102" s="18" t="str">
        <f>Pospago[[#This Row],[TIPO_MOVIMIENTO]]&amp;" "&amp;Pospago[[#This Row],[FORMA_PAGO_FINAL]]</f>
        <v>TRANSFERENCIAS PAGO EN CAJA</v>
      </c>
      <c r="BC1102" s="18">
        <f>DAY(Pospago[[#This Row],[FECHA_ALTA]])</f>
        <v>5</v>
      </c>
      <c r="BD1102" s="18">
        <f>IF(Pospago[[#This Row],[TARIFA_BASICA]]=11.42,1,0)</f>
        <v>0</v>
      </c>
      <c r="BE1102" s="18">
        <f>IF(Pospago[[#This Row],[PLANES TELEVENTAS]]="SI",1,0)</f>
        <v>1</v>
      </c>
      <c r="BF1102" s="18">
        <f>1</f>
        <v>1</v>
      </c>
      <c r="BG1102" s="18">
        <f>IF(OR(Pospago[[#This Row],[TARIFA_BASICA]]=11.42,Pospago[[#This Row],[PLANES TELEVENTAS]]="SI"),1,0)</f>
        <v>1</v>
      </c>
      <c r="BH1102" s="18" t="str">
        <f>IF(MID(Pospago[[#This Row],[PlanDesc]],1,4) = "PLAN","POSPAGO",IF(MID(Pospago[[#This Row],[PlanDesc]],1,4)="FULL","FULL MEGAS","PREVIOPAGO"))</f>
        <v>PREVIOPAGO</v>
      </c>
      <c r="BI110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11.25</v>
      </c>
      <c r="BJ110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02" s="21">
        <f>Pospago[[#This Row],[TARIFA_BASICA]]*1.5</f>
        <v>32.130000000000003</v>
      </c>
    </row>
    <row r="1103" spans="1:63" x14ac:dyDescent="0.25">
      <c r="A1103" s="18" t="s">
        <v>64</v>
      </c>
      <c r="B1103" s="18" t="s">
        <v>6808</v>
      </c>
      <c r="C1103" s="18" t="s">
        <v>6809</v>
      </c>
      <c r="D1103" s="19">
        <v>44896</v>
      </c>
      <c r="E1103" s="18" t="s">
        <v>67</v>
      </c>
      <c r="F1103" s="18" t="s">
        <v>6810</v>
      </c>
      <c r="G1103" s="18" t="s">
        <v>6811</v>
      </c>
      <c r="H1103" s="18" t="s">
        <v>70</v>
      </c>
      <c r="I1103" s="18" t="s">
        <v>211</v>
      </c>
      <c r="J1103" s="18" t="s">
        <v>212</v>
      </c>
      <c r="K1103" s="18" t="s">
        <v>73</v>
      </c>
      <c r="L1103" s="20" t="s">
        <v>6812</v>
      </c>
      <c r="M1103" s="18" t="s">
        <v>75</v>
      </c>
      <c r="N1103" s="20" t="s">
        <v>6813</v>
      </c>
      <c r="O1103" s="18" t="s">
        <v>77</v>
      </c>
      <c r="P1103" s="18" t="s">
        <v>78</v>
      </c>
      <c r="Q1103" s="19">
        <v>44914</v>
      </c>
      <c r="R1103" s="21">
        <v>25</v>
      </c>
      <c r="S1103" s="18" t="s">
        <v>79</v>
      </c>
      <c r="T1103" s="18" t="s">
        <v>80</v>
      </c>
      <c r="U1103" s="18" t="s">
        <v>83</v>
      </c>
      <c r="V1103" s="18" t="s">
        <v>95</v>
      </c>
      <c r="W1103" s="18" t="s">
        <v>83</v>
      </c>
      <c r="X1103" s="18" t="s">
        <v>84</v>
      </c>
      <c r="Y1103" s="18" t="s">
        <v>85</v>
      </c>
      <c r="Z1103" s="18" t="s">
        <v>86</v>
      </c>
      <c r="AA1103" s="18" t="s">
        <v>87</v>
      </c>
      <c r="AB1103" s="18" t="s">
        <v>880</v>
      </c>
      <c r="AC1103" s="18" t="s">
        <v>881</v>
      </c>
      <c r="AD1103" s="18" t="s">
        <v>85</v>
      </c>
      <c r="AE1103" s="18" t="s">
        <v>90</v>
      </c>
      <c r="AF1103" s="18" t="s">
        <v>91</v>
      </c>
      <c r="AG1103" s="18" t="s">
        <v>92</v>
      </c>
      <c r="AH1103" s="18" t="s">
        <v>93</v>
      </c>
      <c r="AI1103" s="18" t="s">
        <v>94</v>
      </c>
      <c r="AJ1103" s="19">
        <v>44896</v>
      </c>
      <c r="AK1103" s="22" t="s">
        <v>95</v>
      </c>
      <c r="AL1103" s="18" t="s">
        <v>95</v>
      </c>
      <c r="AM1103" s="18" t="s">
        <v>95</v>
      </c>
      <c r="AN1103" s="18" t="s">
        <v>95</v>
      </c>
      <c r="AO1103" s="18" t="s">
        <v>95</v>
      </c>
      <c r="AP1103" s="18" t="s">
        <v>95</v>
      </c>
      <c r="AQ1103" s="18" t="s">
        <v>95</v>
      </c>
      <c r="AR1103" s="18" t="s">
        <v>95</v>
      </c>
      <c r="AS1103" s="18" t="s">
        <v>83</v>
      </c>
      <c r="AT1103" s="18" t="s">
        <v>95</v>
      </c>
      <c r="AU1103" s="18" t="s">
        <v>95</v>
      </c>
      <c r="AV1103" s="18" t="s">
        <v>95</v>
      </c>
      <c r="AW1103" s="18"/>
      <c r="AX1103" s="18"/>
      <c r="AY1103" s="18" t="str">
        <f>Pospago[[#This Row],[NUM_TELEFONICO]]&amp;"POSPAGOSI"</f>
        <v>999839751POSPAGOSI</v>
      </c>
      <c r="AZ1103" s="18" t="str">
        <f>VLOOKUP(Pospago[[#This Row],[NOM_PLAZA_FINAL]],[1]!Locales[#Data],3,0)</f>
        <v>TIENDA CUENCA CENTRO</v>
      </c>
      <c r="BA1103" s="18" t="str">
        <f>IFERROR(VLOOKUP(Pospago[[#This Row],[USUARIO]],[1]!Personal[#Data],6,0),"EJECUTIVO NO REGISTRADO")</f>
        <v>LUNA JACHO ANDREA GABRIELA</v>
      </c>
      <c r="BB1103" s="18" t="str">
        <f>Pospago[[#This Row],[TIPO_MOVIMIENTO]]&amp;" "&amp;Pospago[[#This Row],[FORMA_PAGO_FINAL]]</f>
        <v>ALTAS DOMICILIADO</v>
      </c>
      <c r="BC1103" s="18">
        <f>DAY(Pospago[[#This Row],[FECHA_ALTA]])</f>
        <v>1</v>
      </c>
      <c r="BD1103" s="18">
        <f>IF(Pospago[[#This Row],[TARIFA_BASICA]]=11.42,1,0)</f>
        <v>0</v>
      </c>
      <c r="BE1103" s="18">
        <f>IF(Pospago[[#This Row],[PLANES TELEVENTAS]]="SI",1,0)</f>
        <v>0</v>
      </c>
      <c r="BF1103" s="18">
        <f>1</f>
        <v>1</v>
      </c>
      <c r="BG1103" s="18">
        <f>IF(OR(Pospago[[#This Row],[TARIFA_BASICA]]=11.42,Pospago[[#This Row],[PLANES TELEVENTAS]]="SI"),1,0)</f>
        <v>0</v>
      </c>
      <c r="BH1103" s="18" t="str">
        <f>IF(MID(Pospago[[#This Row],[PlanDesc]],1,4) = "PLAN","POSPAGO",IF(MID(Pospago[[#This Row],[PlanDesc]],1,4)="FULL","FULL MEGAS","PREVIOPAGO"))</f>
        <v>FULL MEGAS</v>
      </c>
      <c r="BI110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42.5</v>
      </c>
      <c r="BJ110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03" s="21">
        <f>Pospago[[#This Row],[TARIFA_BASICA]]*1.5</f>
        <v>37.5</v>
      </c>
    </row>
    <row r="1104" spans="1:63" x14ac:dyDescent="0.25">
      <c r="A1104" s="18" t="s">
        <v>154</v>
      </c>
      <c r="B1104" s="18" t="s">
        <v>6814</v>
      </c>
      <c r="C1104" s="18" t="s">
        <v>6815</v>
      </c>
      <c r="D1104" s="19">
        <v>44902</v>
      </c>
      <c r="E1104" s="18" t="s">
        <v>67</v>
      </c>
      <c r="F1104" s="18" t="s">
        <v>6816</v>
      </c>
      <c r="G1104" s="18" t="s">
        <v>6817</v>
      </c>
      <c r="H1104" s="18" t="s">
        <v>159</v>
      </c>
      <c r="I1104" s="18" t="s">
        <v>71</v>
      </c>
      <c r="J1104" s="18" t="s">
        <v>258</v>
      </c>
      <c r="K1104" s="18" t="s">
        <v>132</v>
      </c>
      <c r="L1104" s="20" t="s">
        <v>6818</v>
      </c>
      <c r="M1104" s="18" t="s">
        <v>75</v>
      </c>
      <c r="N1104" s="20" t="s">
        <v>6819</v>
      </c>
      <c r="O1104" s="18" t="s">
        <v>164</v>
      </c>
      <c r="P1104" s="18" t="s">
        <v>78</v>
      </c>
      <c r="Q1104" s="19">
        <v>44914</v>
      </c>
      <c r="R1104" s="21">
        <v>11.42</v>
      </c>
      <c r="S1104" s="18" t="s">
        <v>79</v>
      </c>
      <c r="T1104" s="18" t="s">
        <v>174</v>
      </c>
      <c r="U1104" s="18" t="s">
        <v>83</v>
      </c>
      <c r="V1104" s="18" t="s">
        <v>95</v>
      </c>
      <c r="W1104" s="18" t="s">
        <v>95</v>
      </c>
      <c r="X1104" s="18" t="s">
        <v>118</v>
      </c>
      <c r="Y1104" s="18" t="s">
        <v>85</v>
      </c>
      <c r="Z1104" s="18" t="s">
        <v>86</v>
      </c>
      <c r="AA1104" s="18" t="s">
        <v>119</v>
      </c>
      <c r="AB1104" s="18" t="s">
        <v>760</v>
      </c>
      <c r="AC1104" s="18" t="s">
        <v>761</v>
      </c>
      <c r="AD1104" s="18" t="s">
        <v>85</v>
      </c>
      <c r="AE1104" s="18" t="s">
        <v>90</v>
      </c>
      <c r="AF1104" s="18" t="s">
        <v>177</v>
      </c>
      <c r="AG1104" s="18" t="s">
        <v>139</v>
      </c>
      <c r="AH1104" s="18" t="s">
        <v>165</v>
      </c>
      <c r="AI1104" s="18" t="s">
        <v>94</v>
      </c>
      <c r="AJ1104" s="19">
        <v>44902</v>
      </c>
      <c r="AK1104" s="22" t="s">
        <v>95</v>
      </c>
      <c r="AL1104" s="18" t="s">
        <v>95</v>
      </c>
      <c r="AM1104" s="18" t="s">
        <v>95</v>
      </c>
      <c r="AN1104" s="18" t="s">
        <v>95</v>
      </c>
      <c r="AO1104" s="18" t="s">
        <v>95</v>
      </c>
      <c r="AP1104" s="18" t="s">
        <v>95</v>
      </c>
      <c r="AQ1104" s="18" t="s">
        <v>95</v>
      </c>
      <c r="AR1104" s="18" t="s">
        <v>95</v>
      </c>
      <c r="AS1104" s="18" t="s">
        <v>83</v>
      </c>
      <c r="AT1104" s="18" t="s">
        <v>83</v>
      </c>
      <c r="AU1104" s="18" t="s">
        <v>81</v>
      </c>
      <c r="AV1104" s="18" t="s">
        <v>95</v>
      </c>
      <c r="AW1104" s="18"/>
      <c r="AX1104" s="18"/>
      <c r="AY1104" s="18" t="str">
        <f>Pospago[[#This Row],[NUM_TELEFONICO]]&amp;"POSPAGOSI"</f>
        <v>999846255POSPAGOSI</v>
      </c>
      <c r="AZ1104" s="18" t="str">
        <f>VLOOKUP(Pospago[[#This Row],[NOM_PLAZA_FINAL]],[1]!Locales[#Data],3,0)</f>
        <v>TIENDA RECREO</v>
      </c>
      <c r="BA1104" s="18" t="str">
        <f>IFERROR(VLOOKUP(Pospago[[#This Row],[USUARIO]],[1]!Personal[#Data],6,0),"EJECUTIVO NO REGISTRADO")</f>
        <v>VALBUENA SANCHEZ ALBERT ANTHONY</v>
      </c>
      <c r="BB1104" s="18" t="str">
        <f>Pospago[[#This Row],[TIPO_MOVIMIENTO]]&amp;" "&amp;Pospago[[#This Row],[FORMA_PAGO_FINAL]]</f>
        <v>TRANSFERENCIAS PAGO EN CAJA</v>
      </c>
      <c r="BC1104" s="18">
        <f>DAY(Pospago[[#This Row],[FECHA_ALTA]])</f>
        <v>7</v>
      </c>
      <c r="BD1104" s="18">
        <f>IF(Pospago[[#This Row],[TARIFA_BASICA]]=11.42,1,0)</f>
        <v>1</v>
      </c>
      <c r="BE1104" s="18">
        <f>IF(Pospago[[#This Row],[PLANES TELEVENTAS]]="SI",1,0)</f>
        <v>0</v>
      </c>
      <c r="BF1104" s="18">
        <f>1</f>
        <v>1</v>
      </c>
      <c r="BG1104" s="18">
        <f>IF(OR(Pospago[[#This Row],[TARIFA_BASICA]]=11.42,Pospago[[#This Row],[PLANES TELEVENTAS]]="SI"),1,0)</f>
        <v>1</v>
      </c>
      <c r="BH1104" s="18" t="str">
        <f>IF(MID(Pospago[[#This Row],[PlanDesc]],1,4) = "PLAN","POSPAGO",IF(MID(Pospago[[#This Row],[PlanDesc]],1,4)="FULL","FULL MEGAS","PREVIOPAGO"))</f>
        <v>PREVIOPAGO</v>
      </c>
      <c r="BI110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10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104" s="21">
        <f>Pospago[[#This Row],[TARIFA_BASICA]]*1.5</f>
        <v>17.13</v>
      </c>
    </row>
    <row r="1105" spans="1:63" x14ac:dyDescent="0.25">
      <c r="A1105" s="18" t="s">
        <v>64</v>
      </c>
      <c r="B1105" s="18" t="s">
        <v>6820</v>
      </c>
      <c r="C1105" s="18" t="s">
        <v>6821</v>
      </c>
      <c r="D1105" s="19">
        <v>44905</v>
      </c>
      <c r="E1105" s="18" t="s">
        <v>67</v>
      </c>
      <c r="F1105" s="18" t="s">
        <v>6822</v>
      </c>
      <c r="G1105" s="18" t="s">
        <v>6823</v>
      </c>
      <c r="H1105" s="18" t="s">
        <v>70</v>
      </c>
      <c r="I1105" s="18" t="s">
        <v>112</v>
      </c>
      <c r="J1105" s="18" t="s">
        <v>113</v>
      </c>
      <c r="K1105" s="18" t="s">
        <v>73</v>
      </c>
      <c r="L1105" s="20" t="s">
        <v>6824</v>
      </c>
      <c r="M1105" s="18" t="s">
        <v>75</v>
      </c>
      <c r="N1105" s="20" t="s">
        <v>6825</v>
      </c>
      <c r="O1105" s="18" t="s">
        <v>77</v>
      </c>
      <c r="P1105" s="18" t="s">
        <v>78</v>
      </c>
      <c r="Q1105" s="19">
        <v>44914</v>
      </c>
      <c r="R1105" s="21">
        <v>17.850000000000001</v>
      </c>
      <c r="S1105" s="18" t="s">
        <v>79</v>
      </c>
      <c r="T1105" s="18" t="s">
        <v>80</v>
      </c>
      <c r="U1105" s="18" t="s">
        <v>83</v>
      </c>
      <c r="V1105" s="18" t="s">
        <v>95</v>
      </c>
      <c r="W1105" s="18" t="s">
        <v>83</v>
      </c>
      <c r="X1105" s="18" t="s">
        <v>84</v>
      </c>
      <c r="Y1105" s="18" t="s">
        <v>85</v>
      </c>
      <c r="Z1105" s="18" t="s">
        <v>86</v>
      </c>
      <c r="AA1105" s="18" t="s">
        <v>87</v>
      </c>
      <c r="AB1105" s="18" t="s">
        <v>880</v>
      </c>
      <c r="AC1105" s="18" t="s">
        <v>881</v>
      </c>
      <c r="AD1105" s="18" t="s">
        <v>85</v>
      </c>
      <c r="AE1105" s="18" t="s">
        <v>90</v>
      </c>
      <c r="AF1105" s="18" t="s">
        <v>91</v>
      </c>
      <c r="AG1105" s="18" t="s">
        <v>92</v>
      </c>
      <c r="AH1105" s="18" t="s">
        <v>93</v>
      </c>
      <c r="AI1105" s="18" t="s">
        <v>94</v>
      </c>
      <c r="AJ1105" s="19">
        <v>44905</v>
      </c>
      <c r="AK1105" s="22" t="s">
        <v>95</v>
      </c>
      <c r="AL1105" s="18" t="s">
        <v>95</v>
      </c>
      <c r="AM1105" s="18" t="s">
        <v>95</v>
      </c>
      <c r="AN1105" s="18" t="s">
        <v>95</v>
      </c>
      <c r="AO1105" s="18" t="s">
        <v>95</v>
      </c>
      <c r="AP1105" s="18" t="s">
        <v>95</v>
      </c>
      <c r="AQ1105" s="18" t="s">
        <v>95</v>
      </c>
      <c r="AR1105" s="18" t="s">
        <v>95</v>
      </c>
      <c r="AS1105" s="18" t="s">
        <v>83</v>
      </c>
      <c r="AT1105" s="18" t="s">
        <v>83</v>
      </c>
      <c r="AU1105" s="18" t="s">
        <v>81</v>
      </c>
      <c r="AV1105" s="18" t="s">
        <v>95</v>
      </c>
      <c r="AW1105" s="18"/>
      <c r="AX1105" s="18"/>
      <c r="AY1105" s="18" t="str">
        <f>Pospago[[#This Row],[NUM_TELEFONICO]]&amp;"POSPAGOSI"</f>
        <v>999878671POSPAGOSI</v>
      </c>
      <c r="AZ1105" s="18" t="str">
        <f>VLOOKUP(Pospago[[#This Row],[NOM_PLAZA_FINAL]],[1]!Locales[#Data],3,0)</f>
        <v>TIENDA CUENCA CENTRO</v>
      </c>
      <c r="BA1105" s="18" t="str">
        <f>IFERROR(VLOOKUP(Pospago[[#This Row],[USUARIO]],[1]!Personal[#Data],6,0),"EJECUTIVO NO REGISTRADO")</f>
        <v>LUNA JACHO ANDREA GABRIELA</v>
      </c>
      <c r="BB1105" s="18" t="str">
        <f>Pospago[[#This Row],[TIPO_MOVIMIENTO]]&amp;" "&amp;Pospago[[#This Row],[FORMA_PAGO_FINAL]]</f>
        <v>ALTAS DOMICILIADO</v>
      </c>
      <c r="BC1105" s="18">
        <f>DAY(Pospago[[#This Row],[FECHA_ALTA]])</f>
        <v>10</v>
      </c>
      <c r="BD1105" s="18">
        <f>IF(Pospago[[#This Row],[TARIFA_BASICA]]=11.42,1,0)</f>
        <v>0</v>
      </c>
      <c r="BE1105" s="18">
        <f>IF(Pospago[[#This Row],[PLANES TELEVENTAS]]="SI",1,0)</f>
        <v>0</v>
      </c>
      <c r="BF1105" s="18">
        <f>1</f>
        <v>1</v>
      </c>
      <c r="BG1105" s="18">
        <f>IF(OR(Pospago[[#This Row],[TARIFA_BASICA]]=11.42,Pospago[[#This Row],[PLANES TELEVENTAS]]="SI"),1,0)</f>
        <v>0</v>
      </c>
      <c r="BH1105" s="18" t="str">
        <f>IF(MID(Pospago[[#This Row],[PlanDesc]],1,4) = "PLAN","POSPAGO",IF(MID(Pospago[[#This Row],[PlanDesc]],1,4)="FULL","FULL MEGAS","PREVIOPAGO"))</f>
        <v>PREVIOPAGO</v>
      </c>
      <c r="BI110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10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05" s="21">
        <f>Pospago[[#This Row],[TARIFA_BASICA]]*1.5</f>
        <v>26.775000000000002</v>
      </c>
    </row>
    <row r="1106" spans="1:63" x14ac:dyDescent="0.25">
      <c r="A1106" s="18" t="s">
        <v>64</v>
      </c>
      <c r="B1106" s="18" t="s">
        <v>6826</v>
      </c>
      <c r="C1106" s="18" t="s">
        <v>6827</v>
      </c>
      <c r="D1106" s="19">
        <v>44900</v>
      </c>
      <c r="E1106" s="18" t="s">
        <v>67</v>
      </c>
      <c r="F1106" s="18" t="s">
        <v>6828</v>
      </c>
      <c r="G1106" s="18" t="s">
        <v>6829</v>
      </c>
      <c r="H1106" s="18" t="s">
        <v>70</v>
      </c>
      <c r="I1106" s="18" t="s">
        <v>227</v>
      </c>
      <c r="J1106" s="18" t="s">
        <v>228</v>
      </c>
      <c r="K1106" s="18" t="s">
        <v>132</v>
      </c>
      <c r="L1106" s="20" t="s">
        <v>6830</v>
      </c>
      <c r="M1106" s="18" t="s">
        <v>75</v>
      </c>
      <c r="N1106" s="20" t="s">
        <v>6831</v>
      </c>
      <c r="O1106" s="18" t="s">
        <v>77</v>
      </c>
      <c r="P1106" s="18" t="s">
        <v>78</v>
      </c>
      <c r="Q1106" s="19">
        <v>44914</v>
      </c>
      <c r="R1106" s="21">
        <v>21.42</v>
      </c>
      <c r="S1106" s="18" t="s">
        <v>79</v>
      </c>
      <c r="T1106" s="18" t="s">
        <v>174</v>
      </c>
      <c r="U1106" s="18" t="s">
        <v>83</v>
      </c>
      <c r="V1106" s="18" t="s">
        <v>95</v>
      </c>
      <c r="W1106" s="18" t="s">
        <v>83</v>
      </c>
      <c r="X1106" s="18" t="s">
        <v>84</v>
      </c>
      <c r="Y1106" s="18" t="s">
        <v>85</v>
      </c>
      <c r="Z1106" s="18" t="s">
        <v>86</v>
      </c>
      <c r="AA1106" s="18" t="s">
        <v>87</v>
      </c>
      <c r="AB1106" s="18" t="s">
        <v>2159</v>
      </c>
      <c r="AC1106" s="18" t="s">
        <v>2160</v>
      </c>
      <c r="AD1106" s="18" t="s">
        <v>85</v>
      </c>
      <c r="AE1106" s="18" t="s">
        <v>90</v>
      </c>
      <c r="AF1106" s="18" t="s">
        <v>177</v>
      </c>
      <c r="AG1106" s="18" t="s">
        <v>139</v>
      </c>
      <c r="AH1106" s="18" t="s">
        <v>93</v>
      </c>
      <c r="AI1106" s="18" t="s">
        <v>94</v>
      </c>
      <c r="AJ1106" s="19">
        <v>44900</v>
      </c>
      <c r="AK1106" s="22" t="s">
        <v>95</v>
      </c>
      <c r="AL1106" s="18" t="s">
        <v>95</v>
      </c>
      <c r="AM1106" s="18" t="s">
        <v>95</v>
      </c>
      <c r="AN1106" s="18" t="s">
        <v>95</v>
      </c>
      <c r="AO1106" s="18" t="s">
        <v>95</v>
      </c>
      <c r="AP1106" s="18" t="s">
        <v>95</v>
      </c>
      <c r="AQ1106" s="18" t="s">
        <v>95</v>
      </c>
      <c r="AR1106" s="18" t="s">
        <v>95</v>
      </c>
      <c r="AS1106" s="18" t="s">
        <v>83</v>
      </c>
      <c r="AT1106" s="18" t="s">
        <v>83</v>
      </c>
      <c r="AU1106" s="18" t="s">
        <v>81</v>
      </c>
      <c r="AV1106" s="18" t="s">
        <v>95</v>
      </c>
      <c r="AW1106" s="18"/>
      <c r="AX1106" s="18"/>
      <c r="AY1106" s="18" t="str">
        <f>Pospago[[#This Row],[NUM_TELEFONICO]]&amp;"POSPAGOSI"</f>
        <v>999881922POSPAGOSI</v>
      </c>
      <c r="AZ1106" s="18" t="str">
        <f>VLOOKUP(Pospago[[#This Row],[NOM_PLAZA_FINAL]],[1]!Locales[#Data],3,0)</f>
        <v>TIENDA RECREO</v>
      </c>
      <c r="BA1106" s="18" t="str">
        <f>IFERROR(VLOOKUP(Pospago[[#This Row],[USUARIO]],[1]!Personal[#Data],6,0),"EJECUTIVO NO REGISTRADO")</f>
        <v>GUEVARA MAZA CRISTIAN FABIAN</v>
      </c>
      <c r="BB1106" s="18" t="str">
        <f>Pospago[[#This Row],[TIPO_MOVIMIENTO]]&amp;" "&amp;Pospago[[#This Row],[FORMA_PAGO_FINAL]]</f>
        <v>ALTAS DOMICILIADO</v>
      </c>
      <c r="BC1106" s="18">
        <f>DAY(Pospago[[#This Row],[FECHA_ALTA]])</f>
        <v>5</v>
      </c>
      <c r="BD1106" s="18">
        <f>IF(Pospago[[#This Row],[TARIFA_BASICA]]=11.42,1,0)</f>
        <v>0</v>
      </c>
      <c r="BE1106" s="18">
        <f>IF(Pospago[[#This Row],[PLANES TELEVENTAS]]="SI",1,0)</f>
        <v>0</v>
      </c>
      <c r="BF1106" s="18">
        <f>1</f>
        <v>1</v>
      </c>
      <c r="BG1106" s="18">
        <f>IF(OR(Pospago[[#This Row],[TARIFA_BASICA]]=11.42,Pospago[[#This Row],[PLANES TELEVENTAS]]="SI"),1,0)</f>
        <v>0</v>
      </c>
      <c r="BH1106" s="18" t="str">
        <f>IF(MID(Pospago[[#This Row],[PlanDesc]],1,4) = "PLAN","POSPAGO",IF(MID(Pospago[[#This Row],[PlanDesc]],1,4)="FULL","FULL MEGAS","PREVIOPAGO"))</f>
        <v>PREVIOPAGO</v>
      </c>
      <c r="BI110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30</v>
      </c>
      <c r="BJ110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06" s="21">
        <f>Pospago[[#This Row],[TARIFA_BASICA]]*1.5</f>
        <v>32.130000000000003</v>
      </c>
    </row>
    <row r="1107" spans="1:63" x14ac:dyDescent="0.25">
      <c r="A1107" s="18" t="s">
        <v>154</v>
      </c>
      <c r="B1107" s="18" t="s">
        <v>6832</v>
      </c>
      <c r="C1107" s="18" t="s">
        <v>6833</v>
      </c>
      <c r="D1107" s="19">
        <v>44907</v>
      </c>
      <c r="E1107" s="18" t="s">
        <v>67</v>
      </c>
      <c r="F1107" s="18" t="s">
        <v>6834</v>
      </c>
      <c r="G1107" s="18" t="s">
        <v>6835</v>
      </c>
      <c r="H1107" s="18" t="s">
        <v>159</v>
      </c>
      <c r="I1107" s="18" t="s">
        <v>71</v>
      </c>
      <c r="J1107" s="18" t="s">
        <v>258</v>
      </c>
      <c r="K1107" s="18" t="s">
        <v>73</v>
      </c>
      <c r="L1107" s="20" t="s">
        <v>6836</v>
      </c>
      <c r="M1107" s="18" t="s">
        <v>75</v>
      </c>
      <c r="N1107" s="20" t="s">
        <v>6837</v>
      </c>
      <c r="O1107" s="18" t="s">
        <v>164</v>
      </c>
      <c r="P1107" s="18" t="s">
        <v>78</v>
      </c>
      <c r="Q1107" s="19">
        <v>44914</v>
      </c>
      <c r="R1107" s="21">
        <v>11.42</v>
      </c>
      <c r="S1107" s="18" t="s">
        <v>79</v>
      </c>
      <c r="T1107" s="18" t="s">
        <v>148</v>
      </c>
      <c r="U1107" s="18" t="s">
        <v>83</v>
      </c>
      <c r="V1107" s="18" t="s">
        <v>95</v>
      </c>
      <c r="W1107" s="18" t="s">
        <v>95</v>
      </c>
      <c r="X1107" s="18" t="s">
        <v>84</v>
      </c>
      <c r="Y1107" s="18" t="s">
        <v>85</v>
      </c>
      <c r="Z1107" s="18" t="s">
        <v>86</v>
      </c>
      <c r="AA1107" s="18" t="s">
        <v>87</v>
      </c>
      <c r="AB1107" s="18" t="s">
        <v>149</v>
      </c>
      <c r="AC1107" s="18" t="s">
        <v>150</v>
      </c>
      <c r="AD1107" s="18" t="s">
        <v>85</v>
      </c>
      <c r="AE1107" s="18" t="s">
        <v>90</v>
      </c>
      <c r="AF1107" s="18" t="s">
        <v>151</v>
      </c>
      <c r="AG1107" s="18" t="s">
        <v>92</v>
      </c>
      <c r="AH1107" s="18" t="s">
        <v>165</v>
      </c>
      <c r="AI1107" s="18" t="s">
        <v>94</v>
      </c>
      <c r="AJ1107" s="19">
        <v>44907</v>
      </c>
      <c r="AK1107" s="22" t="s">
        <v>95</v>
      </c>
      <c r="AL1107" s="18" t="s">
        <v>95</v>
      </c>
      <c r="AM1107" s="18" t="s">
        <v>95</v>
      </c>
      <c r="AN1107" s="18" t="s">
        <v>95</v>
      </c>
      <c r="AO1107" s="18" t="s">
        <v>95</v>
      </c>
      <c r="AP1107" s="18" t="s">
        <v>95</v>
      </c>
      <c r="AQ1107" s="18" t="s">
        <v>95</v>
      </c>
      <c r="AR1107" s="18" t="s">
        <v>95</v>
      </c>
      <c r="AS1107" s="18" t="s">
        <v>83</v>
      </c>
      <c r="AT1107" s="18" t="s">
        <v>83</v>
      </c>
      <c r="AU1107" s="18" t="s">
        <v>81</v>
      </c>
      <c r="AV1107" s="18" t="s">
        <v>95</v>
      </c>
      <c r="AW1107" s="18"/>
      <c r="AX1107" s="18"/>
      <c r="AY1107" s="18" t="str">
        <f>Pospago[[#This Row],[NUM_TELEFONICO]]&amp;"POSPAGOSI"</f>
        <v>999882849POSPAGOSI</v>
      </c>
      <c r="AZ1107" s="18" t="str">
        <f>VLOOKUP(Pospago[[#This Row],[NOM_PLAZA_FINAL]],[1]!Locales[#Data],3,0)</f>
        <v>TIENDA CUENCA REMIGIO</v>
      </c>
      <c r="BA1107" s="18" t="str">
        <f>IFERROR(VLOOKUP(Pospago[[#This Row],[USUARIO]],[1]!Personal[#Data],6,0),"EJECUTIVO NO REGISTRADO")</f>
        <v>OSORIO TEJADA ANA ESTEFANIA</v>
      </c>
      <c r="BB1107" s="18" t="str">
        <f>Pospago[[#This Row],[TIPO_MOVIMIENTO]]&amp;" "&amp;Pospago[[#This Row],[FORMA_PAGO_FINAL]]</f>
        <v>TRANSFERENCIAS DOMICILIADO</v>
      </c>
      <c r="BC1107" s="18">
        <f>DAY(Pospago[[#This Row],[FECHA_ALTA]])</f>
        <v>12</v>
      </c>
      <c r="BD1107" s="18">
        <f>IF(Pospago[[#This Row],[TARIFA_BASICA]]=11.42,1,0)</f>
        <v>1</v>
      </c>
      <c r="BE1107" s="18">
        <f>IF(Pospago[[#This Row],[PLANES TELEVENTAS]]="SI",1,0)</f>
        <v>0</v>
      </c>
      <c r="BF1107" s="18">
        <f>1</f>
        <v>1</v>
      </c>
      <c r="BG1107" s="18">
        <f>IF(OR(Pospago[[#This Row],[TARIFA_BASICA]]=11.42,Pospago[[#This Row],[PLANES TELEVENTAS]]="SI"),1,0)</f>
        <v>1</v>
      </c>
      <c r="BH1107" s="18" t="str">
        <f>IF(MID(Pospago[[#This Row],[PlanDesc]],1,4) = "PLAN","POSPAGO",IF(MID(Pospago[[#This Row],[PlanDesc]],1,4)="FULL","FULL MEGAS","PREVIOPAGO"))</f>
        <v>PREVIOPAGO</v>
      </c>
      <c r="BI110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4.16</v>
      </c>
      <c r="BJ110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107" s="21">
        <f>Pospago[[#This Row],[TARIFA_BASICA]]*1.5</f>
        <v>17.13</v>
      </c>
    </row>
    <row r="1108" spans="1:63" x14ac:dyDescent="0.25">
      <c r="A1108" s="18" t="s">
        <v>154</v>
      </c>
      <c r="B1108" s="18" t="s">
        <v>6838</v>
      </c>
      <c r="C1108" s="18" t="s">
        <v>6839</v>
      </c>
      <c r="D1108" s="19">
        <v>44903</v>
      </c>
      <c r="E1108" s="18" t="s">
        <v>67</v>
      </c>
      <c r="F1108" s="18" t="s">
        <v>6840</v>
      </c>
      <c r="G1108" s="18" t="s">
        <v>6841</v>
      </c>
      <c r="H1108" s="18" t="s">
        <v>159</v>
      </c>
      <c r="I1108" s="18" t="s">
        <v>71</v>
      </c>
      <c r="J1108" s="18" t="s">
        <v>258</v>
      </c>
      <c r="K1108" s="18" t="s">
        <v>132</v>
      </c>
      <c r="L1108" s="20" t="s">
        <v>6842</v>
      </c>
      <c r="M1108" s="18" t="s">
        <v>75</v>
      </c>
      <c r="N1108" s="20" t="s">
        <v>6843</v>
      </c>
      <c r="O1108" s="18" t="s">
        <v>164</v>
      </c>
      <c r="P1108" s="18" t="s">
        <v>78</v>
      </c>
      <c r="Q1108" s="19">
        <v>44914</v>
      </c>
      <c r="R1108" s="21">
        <v>11.42</v>
      </c>
      <c r="S1108" s="18" t="s">
        <v>79</v>
      </c>
      <c r="T1108" s="18" t="s">
        <v>135</v>
      </c>
      <c r="U1108" s="18" t="s">
        <v>83</v>
      </c>
      <c r="V1108" s="18" t="s">
        <v>95</v>
      </c>
      <c r="W1108" s="18" t="s">
        <v>95</v>
      </c>
      <c r="X1108" s="18" t="s">
        <v>118</v>
      </c>
      <c r="Y1108" s="18" t="s">
        <v>85</v>
      </c>
      <c r="Z1108" s="18" t="s">
        <v>86</v>
      </c>
      <c r="AA1108" s="18" t="s">
        <v>119</v>
      </c>
      <c r="AB1108" s="18" t="s">
        <v>541</v>
      </c>
      <c r="AC1108" s="18" t="s">
        <v>542</v>
      </c>
      <c r="AD1108" s="18" t="s">
        <v>85</v>
      </c>
      <c r="AE1108" s="18" t="s">
        <v>90</v>
      </c>
      <c r="AF1108" s="18" t="s">
        <v>138</v>
      </c>
      <c r="AG1108" s="18" t="s">
        <v>139</v>
      </c>
      <c r="AH1108" s="18" t="s">
        <v>165</v>
      </c>
      <c r="AI1108" s="18" t="s">
        <v>94</v>
      </c>
      <c r="AJ1108" s="19">
        <v>44903</v>
      </c>
      <c r="AK1108" s="22" t="s">
        <v>95</v>
      </c>
      <c r="AL1108" s="18" t="s">
        <v>95</v>
      </c>
      <c r="AM1108" s="18" t="s">
        <v>95</v>
      </c>
      <c r="AN1108" s="18" t="s">
        <v>95</v>
      </c>
      <c r="AO1108" s="18" t="s">
        <v>95</v>
      </c>
      <c r="AP1108" s="18" t="s">
        <v>95</v>
      </c>
      <c r="AQ1108" s="18" t="s">
        <v>95</v>
      </c>
      <c r="AR1108" s="18" t="s">
        <v>95</v>
      </c>
      <c r="AS1108" s="18" t="s">
        <v>83</v>
      </c>
      <c r="AT1108" s="18" t="s">
        <v>83</v>
      </c>
      <c r="AU1108" s="18" t="s">
        <v>81</v>
      </c>
      <c r="AV1108" s="18" t="s">
        <v>95</v>
      </c>
      <c r="AW1108" s="18"/>
      <c r="AX1108" s="18"/>
      <c r="AY1108" s="18" t="str">
        <f>Pospago[[#This Row],[NUM_TELEFONICO]]&amp;"POSPAGOSI"</f>
        <v>999883109POSPAGOSI</v>
      </c>
      <c r="AZ1108" s="18" t="str">
        <f>VLOOKUP(Pospago[[#This Row],[NOM_PLAZA_FINAL]],[1]!Locales[#Data],3,0)</f>
        <v>TIENDA AMERICA</v>
      </c>
      <c r="BA1108" s="18" t="str">
        <f>IFERROR(VLOOKUP(Pospago[[#This Row],[USUARIO]],[1]!Personal[#Data],6,0),"EJECUTIVO NO REGISTRADO")</f>
        <v>CEVALLOS PONCE DIANA CAROLINA</v>
      </c>
      <c r="BB1108" s="18" t="str">
        <f>Pospago[[#This Row],[TIPO_MOVIMIENTO]]&amp;" "&amp;Pospago[[#This Row],[FORMA_PAGO_FINAL]]</f>
        <v>TRANSFERENCIAS PAGO EN CAJA</v>
      </c>
      <c r="BC1108" s="18">
        <f>DAY(Pospago[[#This Row],[FECHA_ALTA]])</f>
        <v>8</v>
      </c>
      <c r="BD1108" s="18">
        <f>IF(Pospago[[#This Row],[TARIFA_BASICA]]=11.42,1,0)</f>
        <v>1</v>
      </c>
      <c r="BE1108" s="18">
        <f>IF(Pospago[[#This Row],[PLANES TELEVENTAS]]="SI",1,0)</f>
        <v>0</v>
      </c>
      <c r="BF1108" s="18">
        <f>1</f>
        <v>1</v>
      </c>
      <c r="BG1108" s="18">
        <f>IF(OR(Pospago[[#This Row],[TARIFA_BASICA]]=11.42,Pospago[[#This Row],[PLANES TELEVENTAS]]="SI"),1,0)</f>
        <v>1</v>
      </c>
      <c r="BH1108" s="18" t="str">
        <f>IF(MID(Pospago[[#This Row],[PlanDesc]],1,4) = "PLAN","POSPAGO",IF(MID(Pospago[[#This Row],[PlanDesc]],1,4)="FULL","FULL MEGAS","PREVIOPAGO"))</f>
        <v>PREVIOPAGO</v>
      </c>
      <c r="BI110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10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108" s="21">
        <f>Pospago[[#This Row],[TARIFA_BASICA]]*1.5</f>
        <v>17.13</v>
      </c>
    </row>
    <row r="1109" spans="1:63" x14ac:dyDescent="0.25">
      <c r="A1109" s="18" t="s">
        <v>154</v>
      </c>
      <c r="B1109" s="18" t="s">
        <v>6844</v>
      </c>
      <c r="C1109" s="18" t="s">
        <v>6845</v>
      </c>
      <c r="D1109" s="19">
        <v>44901</v>
      </c>
      <c r="E1109" s="18" t="s">
        <v>67</v>
      </c>
      <c r="F1109" s="18" t="s">
        <v>6846</v>
      </c>
      <c r="G1109" s="18" t="s">
        <v>6847</v>
      </c>
      <c r="H1109" s="18" t="s">
        <v>159</v>
      </c>
      <c r="I1109" s="18" t="s">
        <v>160</v>
      </c>
      <c r="J1109" s="18" t="s">
        <v>161</v>
      </c>
      <c r="K1109" s="18" t="s">
        <v>95</v>
      </c>
      <c r="L1109" s="20" t="s">
        <v>6848</v>
      </c>
      <c r="M1109" s="18" t="s">
        <v>75</v>
      </c>
      <c r="N1109" s="20" t="s">
        <v>6849</v>
      </c>
      <c r="O1109" s="18" t="s">
        <v>164</v>
      </c>
      <c r="P1109" s="18" t="s">
        <v>78</v>
      </c>
      <c r="Q1109" s="19">
        <v>44914</v>
      </c>
      <c r="R1109" s="21">
        <v>14.28</v>
      </c>
      <c r="S1109" s="18" t="s">
        <v>79</v>
      </c>
      <c r="T1109" s="18" t="s">
        <v>174</v>
      </c>
      <c r="U1109" s="18" t="s">
        <v>83</v>
      </c>
      <c r="V1109" s="18" t="s">
        <v>95</v>
      </c>
      <c r="W1109" s="18" t="s">
        <v>95</v>
      </c>
      <c r="X1109" s="18" t="s">
        <v>84</v>
      </c>
      <c r="Y1109" s="18" t="s">
        <v>85</v>
      </c>
      <c r="Z1109" s="18" t="s">
        <v>86</v>
      </c>
      <c r="AA1109" s="18" t="s">
        <v>87</v>
      </c>
      <c r="AB1109" s="18" t="s">
        <v>303</v>
      </c>
      <c r="AC1109" s="18" t="s">
        <v>304</v>
      </c>
      <c r="AD1109" s="18" t="s">
        <v>85</v>
      </c>
      <c r="AE1109" s="18" t="s">
        <v>90</v>
      </c>
      <c r="AF1109" s="18" t="s">
        <v>177</v>
      </c>
      <c r="AG1109" s="18" t="s">
        <v>139</v>
      </c>
      <c r="AH1109" s="18" t="s">
        <v>165</v>
      </c>
      <c r="AI1109" s="18" t="s">
        <v>94</v>
      </c>
      <c r="AJ1109" s="19">
        <v>44901</v>
      </c>
      <c r="AK1109" s="22" t="s">
        <v>95</v>
      </c>
      <c r="AL1109" s="18" t="s">
        <v>95</v>
      </c>
      <c r="AM1109" s="18" t="s">
        <v>95</v>
      </c>
      <c r="AN1109" s="18" t="s">
        <v>95</v>
      </c>
      <c r="AO1109" s="18" t="s">
        <v>95</v>
      </c>
      <c r="AP1109" s="18" t="s">
        <v>95</v>
      </c>
      <c r="AQ1109" s="18" t="s">
        <v>95</v>
      </c>
      <c r="AR1109" s="18" t="s">
        <v>95</v>
      </c>
      <c r="AS1109" s="18" t="s">
        <v>83</v>
      </c>
      <c r="AT1109" s="18" t="s">
        <v>83</v>
      </c>
      <c r="AU1109" s="18" t="s">
        <v>81</v>
      </c>
      <c r="AV1109" s="18" t="s">
        <v>95</v>
      </c>
      <c r="AW1109" s="18"/>
      <c r="AX1109" s="18"/>
      <c r="AY1109" s="18" t="str">
        <f>Pospago[[#This Row],[NUM_TELEFONICO]]&amp;"POSPAGOSI"</f>
        <v>999886486POSPAGOSI</v>
      </c>
      <c r="AZ1109" s="18" t="str">
        <f>VLOOKUP(Pospago[[#This Row],[NOM_PLAZA_FINAL]],[1]!Locales[#Data],3,0)</f>
        <v>TIENDA RECREO</v>
      </c>
      <c r="BA1109" s="18" t="str">
        <f>IFERROR(VLOOKUP(Pospago[[#This Row],[USUARIO]],[1]!Personal[#Data],6,0),"EJECUTIVO NO REGISTRADO")</f>
        <v>CORDOVA GAIBOR JONATHAN HERNAN</v>
      </c>
      <c r="BB1109" s="18" t="str">
        <f>Pospago[[#This Row],[TIPO_MOVIMIENTO]]&amp;" "&amp;Pospago[[#This Row],[FORMA_PAGO_FINAL]]</f>
        <v>TRANSFERENCIAS DOMICILIADO</v>
      </c>
      <c r="BC1109" s="18">
        <f>DAY(Pospago[[#This Row],[FECHA_ALTA]])</f>
        <v>6</v>
      </c>
      <c r="BD1109" s="18">
        <f>IF(Pospago[[#This Row],[TARIFA_BASICA]]=11.42,1,0)</f>
        <v>0</v>
      </c>
      <c r="BE1109" s="18">
        <f>IF(Pospago[[#This Row],[PLANES TELEVENTAS]]="SI",1,0)</f>
        <v>0</v>
      </c>
      <c r="BF1109" s="18">
        <f>1</f>
        <v>1</v>
      </c>
      <c r="BG1109" s="18">
        <f>IF(OR(Pospago[[#This Row],[TARIFA_BASICA]]=11.42,Pospago[[#This Row],[PLANES TELEVENTAS]]="SI"),1,0)</f>
        <v>0</v>
      </c>
      <c r="BH1109" s="18" t="str">
        <f>IF(MID(Pospago[[#This Row],[PlanDesc]],1,4) = "PLAN","POSPAGO",IF(MID(Pospago[[#This Row],[PlanDesc]],1,4)="FULL","FULL MEGAS","PREVIOPAGO"))</f>
        <v>PREVIOPAGO</v>
      </c>
      <c r="BI110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10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09" s="21">
        <f>Pospago[[#This Row],[TARIFA_BASICA]]*1.5</f>
        <v>21.419999999999998</v>
      </c>
    </row>
    <row r="1110" spans="1:63" x14ac:dyDescent="0.25">
      <c r="A1110" s="18" t="s">
        <v>64</v>
      </c>
      <c r="B1110" s="18" t="s">
        <v>6850</v>
      </c>
      <c r="C1110" s="18" t="s">
        <v>6851</v>
      </c>
      <c r="D1110" s="19">
        <v>44908</v>
      </c>
      <c r="E1110" s="18" t="s">
        <v>67</v>
      </c>
      <c r="F1110" s="18" t="s">
        <v>6852</v>
      </c>
      <c r="G1110" s="18" t="s">
        <v>6853</v>
      </c>
      <c r="H1110" s="18" t="s">
        <v>70</v>
      </c>
      <c r="I1110" s="18" t="s">
        <v>160</v>
      </c>
      <c r="J1110" s="18" t="s">
        <v>195</v>
      </c>
      <c r="K1110" s="18" t="s">
        <v>114</v>
      </c>
      <c r="L1110" s="20" t="s">
        <v>6854</v>
      </c>
      <c r="M1110" s="18" t="s">
        <v>287</v>
      </c>
      <c r="N1110" s="20" t="s">
        <v>6855</v>
      </c>
      <c r="O1110" s="18" t="s">
        <v>77</v>
      </c>
      <c r="P1110" s="18" t="s">
        <v>78</v>
      </c>
      <c r="Q1110" s="19">
        <v>44914</v>
      </c>
      <c r="R1110" s="21">
        <v>14.28</v>
      </c>
      <c r="S1110" s="18" t="s">
        <v>79</v>
      </c>
      <c r="T1110" s="18" t="s">
        <v>117</v>
      </c>
      <c r="U1110" s="18" t="s">
        <v>83</v>
      </c>
      <c r="V1110" s="18" t="s">
        <v>95</v>
      </c>
      <c r="W1110" s="18" t="s">
        <v>83</v>
      </c>
      <c r="X1110" s="18" t="s">
        <v>84</v>
      </c>
      <c r="Y1110" s="18" t="s">
        <v>85</v>
      </c>
      <c r="Z1110" s="18" t="s">
        <v>86</v>
      </c>
      <c r="AA1110" s="18" t="s">
        <v>87</v>
      </c>
      <c r="AB1110" s="18" t="s">
        <v>120</v>
      </c>
      <c r="AC1110" s="18" t="s">
        <v>121</v>
      </c>
      <c r="AD1110" s="18" t="s">
        <v>85</v>
      </c>
      <c r="AE1110" s="18" t="s">
        <v>90</v>
      </c>
      <c r="AF1110" s="18" t="s">
        <v>122</v>
      </c>
      <c r="AG1110" s="18" t="s">
        <v>92</v>
      </c>
      <c r="AH1110" s="18" t="s">
        <v>93</v>
      </c>
      <c r="AI1110" s="18" t="s">
        <v>94</v>
      </c>
      <c r="AJ1110" s="19">
        <v>44908</v>
      </c>
      <c r="AK1110" s="22">
        <v>44908</v>
      </c>
      <c r="AL1110" s="18" t="s">
        <v>291</v>
      </c>
      <c r="AM1110" s="18" t="s">
        <v>292</v>
      </c>
      <c r="AN1110" s="18" t="s">
        <v>293</v>
      </c>
      <c r="AO1110" s="18" t="s">
        <v>2260</v>
      </c>
      <c r="AP1110" s="18">
        <v>1</v>
      </c>
      <c r="AQ1110" s="18">
        <v>245.53570999999999</v>
      </c>
      <c r="AR1110" s="18" t="s">
        <v>295</v>
      </c>
      <c r="AS1110" s="18" t="s">
        <v>81</v>
      </c>
      <c r="AT1110" s="18" t="s">
        <v>83</v>
      </c>
      <c r="AU1110" s="18" t="s">
        <v>81</v>
      </c>
      <c r="AV1110" s="18" t="s">
        <v>95</v>
      </c>
      <c r="AW1110" s="18"/>
      <c r="AX1110" s="18"/>
      <c r="AY1110" s="18" t="str">
        <f>Pospago[[#This Row],[NUM_TELEFONICO]]&amp;"POSPAGOSI"</f>
        <v>999891148POSPAGOSI</v>
      </c>
      <c r="AZ1110" s="18" t="str">
        <f>VLOOKUP(Pospago[[#This Row],[NOM_PLAZA_FINAL]],[1]!Locales[#Data],3,0)</f>
        <v>TIENDA MACHALA</v>
      </c>
      <c r="BA1110" s="18" t="str">
        <f>IFERROR(VLOOKUP(Pospago[[#This Row],[USUARIO]],[1]!Personal[#Data],6,0),"EJECUTIVO NO REGISTRADO")</f>
        <v>ARROBO VICENTE YADIRA ESPERANZA</v>
      </c>
      <c r="BB1110" s="18" t="str">
        <f>Pospago[[#This Row],[TIPO_MOVIMIENTO]]&amp;" "&amp;Pospago[[#This Row],[FORMA_PAGO_FINAL]]</f>
        <v>ALTAS DOMICILIADO</v>
      </c>
      <c r="BC1110" s="18">
        <f>DAY(Pospago[[#This Row],[FECHA_ALTA]])</f>
        <v>13</v>
      </c>
      <c r="BD1110" s="18">
        <f>IF(Pospago[[#This Row],[TARIFA_BASICA]]=11.42,1,0)</f>
        <v>0</v>
      </c>
      <c r="BE1110" s="18">
        <f>IF(Pospago[[#This Row],[PLANES TELEVENTAS]]="SI",1,0)</f>
        <v>0</v>
      </c>
      <c r="BF1110" s="18">
        <f>1</f>
        <v>1</v>
      </c>
      <c r="BG1110" s="18">
        <f>IF(OR(Pospago[[#This Row],[TARIFA_BASICA]]=11.42,Pospago[[#This Row],[PLANES TELEVENTAS]]="SI"),1,0)</f>
        <v>0</v>
      </c>
      <c r="BH1110" s="18" t="str">
        <f>IF(MID(Pospago[[#This Row],[PlanDesc]],1,4) = "PLAN","POSPAGO",IF(MID(Pospago[[#This Row],[PlanDesc]],1,4)="FULL","FULL MEGAS","PREVIOPAGO"))</f>
        <v>PREVIOPAGO</v>
      </c>
      <c r="BI111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14.507999999999999</v>
      </c>
      <c r="BJ111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0" s="21">
        <f>Pospago[[#This Row],[TARIFA_BASICA]]*1.5</f>
        <v>21.419999999999998</v>
      </c>
    </row>
    <row r="1111" spans="1:63" x14ac:dyDescent="0.25">
      <c r="A1111" s="18" t="s">
        <v>64</v>
      </c>
      <c r="B1111" s="18" t="s">
        <v>6856</v>
      </c>
      <c r="C1111" s="18" t="s">
        <v>6857</v>
      </c>
      <c r="D1111" s="19">
        <v>44898</v>
      </c>
      <c r="E1111" s="18" t="s">
        <v>67</v>
      </c>
      <c r="F1111" s="18" t="s">
        <v>6858</v>
      </c>
      <c r="G1111" s="18" t="s">
        <v>6859</v>
      </c>
      <c r="H1111" s="18" t="s">
        <v>70</v>
      </c>
      <c r="I1111" s="18" t="s">
        <v>160</v>
      </c>
      <c r="J1111" s="18" t="s">
        <v>195</v>
      </c>
      <c r="K1111" s="18" t="s">
        <v>132</v>
      </c>
      <c r="L1111" s="20" t="s">
        <v>6860</v>
      </c>
      <c r="M1111" s="18" t="s">
        <v>75</v>
      </c>
      <c r="N1111" s="20" t="s">
        <v>6861</v>
      </c>
      <c r="O1111" s="18" t="s">
        <v>77</v>
      </c>
      <c r="P1111" s="18" t="s">
        <v>78</v>
      </c>
      <c r="Q1111" s="19">
        <v>44914</v>
      </c>
      <c r="R1111" s="21">
        <v>14.28</v>
      </c>
      <c r="S1111" s="18" t="s">
        <v>79</v>
      </c>
      <c r="T1111" s="18" t="s">
        <v>174</v>
      </c>
      <c r="U1111" s="18" t="s">
        <v>83</v>
      </c>
      <c r="V1111" s="18" t="s">
        <v>95</v>
      </c>
      <c r="W1111" s="18" t="s">
        <v>83</v>
      </c>
      <c r="X1111" s="18" t="s">
        <v>118</v>
      </c>
      <c r="Y1111" s="18" t="s">
        <v>85</v>
      </c>
      <c r="Z1111" s="18" t="s">
        <v>86</v>
      </c>
      <c r="AA1111" s="18" t="s">
        <v>119</v>
      </c>
      <c r="AB1111" s="18" t="s">
        <v>822</v>
      </c>
      <c r="AC1111" s="18" t="s">
        <v>823</v>
      </c>
      <c r="AD1111" s="18" t="s">
        <v>85</v>
      </c>
      <c r="AE1111" s="18" t="s">
        <v>90</v>
      </c>
      <c r="AF1111" s="18" t="s">
        <v>177</v>
      </c>
      <c r="AG1111" s="18" t="s">
        <v>139</v>
      </c>
      <c r="AH1111" s="18" t="s">
        <v>93</v>
      </c>
      <c r="AI1111" s="18" t="s">
        <v>94</v>
      </c>
      <c r="AJ1111" s="19">
        <v>44898</v>
      </c>
      <c r="AK1111" s="22" t="s">
        <v>95</v>
      </c>
      <c r="AL1111" s="18" t="s">
        <v>95</v>
      </c>
      <c r="AM1111" s="18" t="s">
        <v>95</v>
      </c>
      <c r="AN1111" s="18" t="s">
        <v>95</v>
      </c>
      <c r="AO1111" s="18" t="s">
        <v>95</v>
      </c>
      <c r="AP1111" s="18" t="s">
        <v>95</v>
      </c>
      <c r="AQ1111" s="18" t="s">
        <v>95</v>
      </c>
      <c r="AR1111" s="18" t="s">
        <v>95</v>
      </c>
      <c r="AS1111" s="18" t="s">
        <v>83</v>
      </c>
      <c r="AT1111" s="18" t="s">
        <v>83</v>
      </c>
      <c r="AU1111" s="18" t="s">
        <v>81</v>
      </c>
      <c r="AV1111" s="18" t="s">
        <v>95</v>
      </c>
      <c r="AW1111" s="18"/>
      <c r="AX1111" s="18"/>
      <c r="AY1111" s="18" t="str">
        <f>Pospago[[#This Row],[NUM_TELEFONICO]]&amp;"POSPAGOSI"</f>
        <v>999902186POSPAGOSI</v>
      </c>
      <c r="AZ1111" s="18" t="str">
        <f>VLOOKUP(Pospago[[#This Row],[NOM_PLAZA_FINAL]],[1]!Locales[#Data],3,0)</f>
        <v>TIENDA RECREO</v>
      </c>
      <c r="BA1111" s="18" t="str">
        <f>IFERROR(VLOOKUP(Pospago[[#This Row],[USUARIO]],[1]!Personal[#Data],6,0),"EJECUTIVO NO REGISTRADO")</f>
        <v>SALAS PARRA MARIA JOSE</v>
      </c>
      <c r="BB1111" s="18" t="str">
        <f>Pospago[[#This Row],[TIPO_MOVIMIENTO]]&amp;" "&amp;Pospago[[#This Row],[FORMA_PAGO_FINAL]]</f>
        <v>ALTAS PAGO EN CAJA</v>
      </c>
      <c r="BC1111" s="18">
        <f>DAY(Pospago[[#This Row],[FECHA_ALTA]])</f>
        <v>3</v>
      </c>
      <c r="BD1111" s="18">
        <f>IF(Pospago[[#This Row],[TARIFA_BASICA]]=11.42,1,0)</f>
        <v>0</v>
      </c>
      <c r="BE1111" s="18">
        <f>IF(Pospago[[#This Row],[PLANES TELEVENTAS]]="SI",1,0)</f>
        <v>0</v>
      </c>
      <c r="BF1111" s="18">
        <f>1</f>
        <v>1</v>
      </c>
      <c r="BG1111" s="18">
        <f>IF(OR(Pospago[[#This Row],[TARIFA_BASICA]]=11.42,Pospago[[#This Row],[PLANES TELEVENTAS]]="SI"),1,0)</f>
        <v>0</v>
      </c>
      <c r="BH1111" s="18" t="str">
        <f>IF(MID(Pospago[[#This Row],[PlanDesc]],1,4) = "PLAN","POSPAGO",IF(MID(Pospago[[#This Row],[PlanDesc]],1,4)="FULL","FULL MEGAS","PREVIOPAGO"))</f>
        <v>PREVIOPAGO</v>
      </c>
      <c r="BI111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11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1" s="21">
        <f>Pospago[[#This Row],[TARIFA_BASICA]]*1.5</f>
        <v>21.419999999999998</v>
      </c>
    </row>
    <row r="1112" spans="1:63" x14ac:dyDescent="0.25">
      <c r="A1112" s="18" t="s">
        <v>154</v>
      </c>
      <c r="B1112" s="18" t="s">
        <v>6862</v>
      </c>
      <c r="C1112" s="18" t="s">
        <v>6863</v>
      </c>
      <c r="D1112" s="19">
        <v>44903</v>
      </c>
      <c r="E1112" s="18" t="s">
        <v>67</v>
      </c>
      <c r="F1112" s="18" t="s">
        <v>6864</v>
      </c>
      <c r="G1112" s="18" t="s">
        <v>6865</v>
      </c>
      <c r="H1112" s="18" t="s">
        <v>159</v>
      </c>
      <c r="I1112" s="18" t="s">
        <v>112</v>
      </c>
      <c r="J1112" s="18" t="s">
        <v>781</v>
      </c>
      <c r="K1112" s="18" t="s">
        <v>132</v>
      </c>
      <c r="L1112" s="20" t="s">
        <v>6866</v>
      </c>
      <c r="M1112" s="18" t="s">
        <v>75</v>
      </c>
      <c r="N1112" s="20" t="s">
        <v>6867</v>
      </c>
      <c r="O1112" s="18" t="s">
        <v>164</v>
      </c>
      <c r="P1112" s="18" t="s">
        <v>78</v>
      </c>
      <c r="Q1112" s="19">
        <v>44914</v>
      </c>
      <c r="R1112" s="21">
        <v>17.850000000000001</v>
      </c>
      <c r="S1112" s="18" t="s">
        <v>79</v>
      </c>
      <c r="T1112" s="18" t="s">
        <v>135</v>
      </c>
      <c r="U1112" s="18" t="s">
        <v>83</v>
      </c>
      <c r="V1112" s="18" t="s">
        <v>95</v>
      </c>
      <c r="W1112" s="18" t="s">
        <v>95</v>
      </c>
      <c r="X1112" s="18" t="s">
        <v>84</v>
      </c>
      <c r="Y1112" s="18" t="s">
        <v>85</v>
      </c>
      <c r="Z1112" s="18" t="s">
        <v>86</v>
      </c>
      <c r="AA1112" s="18" t="s">
        <v>87</v>
      </c>
      <c r="AB1112" s="18" t="s">
        <v>326</v>
      </c>
      <c r="AC1112" s="18" t="s">
        <v>327</v>
      </c>
      <c r="AD1112" s="18" t="s">
        <v>85</v>
      </c>
      <c r="AE1112" s="18" t="s">
        <v>90</v>
      </c>
      <c r="AF1112" s="18" t="s">
        <v>138</v>
      </c>
      <c r="AG1112" s="18" t="s">
        <v>139</v>
      </c>
      <c r="AH1112" s="18" t="s">
        <v>165</v>
      </c>
      <c r="AI1112" s="18" t="s">
        <v>94</v>
      </c>
      <c r="AJ1112" s="19">
        <v>44903</v>
      </c>
      <c r="AK1112" s="22" t="s">
        <v>95</v>
      </c>
      <c r="AL1112" s="18" t="s">
        <v>95</v>
      </c>
      <c r="AM1112" s="18" t="s">
        <v>95</v>
      </c>
      <c r="AN1112" s="18" t="s">
        <v>95</v>
      </c>
      <c r="AO1112" s="18" t="s">
        <v>95</v>
      </c>
      <c r="AP1112" s="18" t="s">
        <v>95</v>
      </c>
      <c r="AQ1112" s="18" t="s">
        <v>95</v>
      </c>
      <c r="AR1112" s="18" t="s">
        <v>95</v>
      </c>
      <c r="AS1112" s="18" t="s">
        <v>83</v>
      </c>
      <c r="AT1112" s="18" t="s">
        <v>83</v>
      </c>
      <c r="AU1112" s="18" t="s">
        <v>81</v>
      </c>
      <c r="AV1112" s="18" t="s">
        <v>95</v>
      </c>
      <c r="AW1112" s="18"/>
      <c r="AX1112" s="18"/>
      <c r="AY1112" s="18" t="str">
        <f>Pospago[[#This Row],[NUM_TELEFONICO]]&amp;"POSPAGOSI"</f>
        <v>999903120POSPAGOSI</v>
      </c>
      <c r="AZ1112" s="18" t="str">
        <f>VLOOKUP(Pospago[[#This Row],[NOM_PLAZA_FINAL]],[1]!Locales[#Data],3,0)</f>
        <v>TIENDA AMERICA</v>
      </c>
      <c r="BA1112" s="18" t="str">
        <f>IFERROR(VLOOKUP(Pospago[[#This Row],[USUARIO]],[1]!Personal[#Data],6,0),"EJECUTIVO NO REGISTRADO")</f>
        <v>AMBULUDI ROLDAN GIANELLA GRIMANEZA</v>
      </c>
      <c r="BB1112" s="18" t="str">
        <f>Pospago[[#This Row],[TIPO_MOVIMIENTO]]&amp;" "&amp;Pospago[[#This Row],[FORMA_PAGO_FINAL]]</f>
        <v>TRANSFERENCIAS DOMICILIADO</v>
      </c>
      <c r="BC1112" s="18">
        <f>DAY(Pospago[[#This Row],[FECHA_ALTA]])</f>
        <v>8</v>
      </c>
      <c r="BD1112" s="18">
        <f>IF(Pospago[[#This Row],[TARIFA_BASICA]]=11.42,1,0)</f>
        <v>0</v>
      </c>
      <c r="BE1112" s="18">
        <f>IF(Pospago[[#This Row],[PLANES TELEVENTAS]]="SI",1,0)</f>
        <v>0</v>
      </c>
      <c r="BF1112" s="18">
        <f>1</f>
        <v>1</v>
      </c>
      <c r="BG1112" s="18">
        <f>IF(OR(Pospago[[#This Row],[TARIFA_BASICA]]=11.42,Pospago[[#This Row],[PLANES TELEVENTAS]]="SI"),1,0)</f>
        <v>0</v>
      </c>
      <c r="BH1112" s="18" t="str">
        <f>IF(MID(Pospago[[#This Row],[PlanDesc]],1,4) = "PLAN","POSPAGO",IF(MID(Pospago[[#This Row],[PlanDesc]],1,4)="FULL","FULL MEGAS","PREVIOPAGO"))</f>
        <v>PREVIOPAGO</v>
      </c>
      <c r="BI111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10.51</v>
      </c>
      <c r="BJ111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2" s="21">
        <f>Pospago[[#This Row],[TARIFA_BASICA]]*1.5</f>
        <v>26.775000000000002</v>
      </c>
    </row>
    <row r="1113" spans="1:63" x14ac:dyDescent="0.25">
      <c r="A1113" s="18" t="s">
        <v>64</v>
      </c>
      <c r="B1113" s="18" t="s">
        <v>6868</v>
      </c>
      <c r="C1113" s="18" t="s">
        <v>6869</v>
      </c>
      <c r="D1113" s="19">
        <v>44909</v>
      </c>
      <c r="E1113" s="18" t="s">
        <v>67</v>
      </c>
      <c r="F1113" s="18" t="s">
        <v>6870</v>
      </c>
      <c r="G1113" s="18" t="s">
        <v>6871</v>
      </c>
      <c r="H1113" s="18" t="s">
        <v>70</v>
      </c>
      <c r="I1113" s="18" t="s">
        <v>160</v>
      </c>
      <c r="J1113" s="18" t="s">
        <v>195</v>
      </c>
      <c r="K1113" s="18" t="s">
        <v>132</v>
      </c>
      <c r="L1113" s="20" t="s">
        <v>6872</v>
      </c>
      <c r="M1113" s="18" t="s">
        <v>75</v>
      </c>
      <c r="N1113" s="20" t="s">
        <v>6873</v>
      </c>
      <c r="O1113" s="18" t="s">
        <v>77</v>
      </c>
      <c r="P1113" s="18" t="s">
        <v>78</v>
      </c>
      <c r="Q1113" s="19">
        <v>44914</v>
      </c>
      <c r="R1113" s="21">
        <v>14.28</v>
      </c>
      <c r="S1113" s="18" t="s">
        <v>79</v>
      </c>
      <c r="T1113" s="18" t="s">
        <v>135</v>
      </c>
      <c r="U1113" s="18" t="s">
        <v>83</v>
      </c>
      <c r="V1113" s="18" t="s">
        <v>95</v>
      </c>
      <c r="W1113" s="18" t="s">
        <v>83</v>
      </c>
      <c r="X1113" s="18" t="s">
        <v>118</v>
      </c>
      <c r="Y1113" s="18" t="s">
        <v>85</v>
      </c>
      <c r="Z1113" s="18" t="s">
        <v>86</v>
      </c>
      <c r="AA1113" s="18" t="s">
        <v>119</v>
      </c>
      <c r="AB1113" s="18" t="s">
        <v>665</v>
      </c>
      <c r="AC1113" s="18" t="s">
        <v>666</v>
      </c>
      <c r="AD1113" s="18" t="s">
        <v>85</v>
      </c>
      <c r="AE1113" s="18" t="s">
        <v>90</v>
      </c>
      <c r="AF1113" s="18" t="s">
        <v>138</v>
      </c>
      <c r="AG1113" s="18" t="s">
        <v>139</v>
      </c>
      <c r="AH1113" s="18" t="s">
        <v>93</v>
      </c>
      <c r="AI1113" s="18" t="s">
        <v>94</v>
      </c>
      <c r="AJ1113" s="19">
        <v>44909</v>
      </c>
      <c r="AK1113" s="22" t="s">
        <v>95</v>
      </c>
      <c r="AL1113" s="18" t="s">
        <v>95</v>
      </c>
      <c r="AM1113" s="18" t="s">
        <v>95</v>
      </c>
      <c r="AN1113" s="18" t="s">
        <v>95</v>
      </c>
      <c r="AO1113" s="18" t="s">
        <v>95</v>
      </c>
      <c r="AP1113" s="18" t="s">
        <v>95</v>
      </c>
      <c r="AQ1113" s="18" t="s">
        <v>95</v>
      </c>
      <c r="AR1113" s="18" t="s">
        <v>95</v>
      </c>
      <c r="AS1113" s="18" t="s">
        <v>83</v>
      </c>
      <c r="AT1113" s="18" t="s">
        <v>83</v>
      </c>
      <c r="AU1113" s="18" t="s">
        <v>81</v>
      </c>
      <c r="AV1113" s="18" t="s">
        <v>95</v>
      </c>
      <c r="AW1113" s="18"/>
      <c r="AX1113" s="18"/>
      <c r="AY1113" s="18" t="str">
        <f>Pospago[[#This Row],[NUM_TELEFONICO]]&amp;"POSPAGOSI"</f>
        <v>999915138POSPAGOSI</v>
      </c>
      <c r="AZ1113" s="18" t="str">
        <f>VLOOKUP(Pospago[[#This Row],[NOM_PLAZA_FINAL]],[1]!Locales[#Data],3,0)</f>
        <v>TIENDA AMERICA</v>
      </c>
      <c r="BA1113" s="18" t="str">
        <f>IFERROR(VLOOKUP(Pospago[[#This Row],[USUARIO]],[1]!Personal[#Data],6,0),"EJECUTIVO NO REGISTRADO")</f>
        <v>ROSERO CAICEDO JAIRO STEFANO</v>
      </c>
      <c r="BB1113" s="18" t="str">
        <f>Pospago[[#This Row],[TIPO_MOVIMIENTO]]&amp;" "&amp;Pospago[[#This Row],[FORMA_PAGO_FINAL]]</f>
        <v>ALTAS PAGO EN CAJA</v>
      </c>
      <c r="BC1113" s="18">
        <f>DAY(Pospago[[#This Row],[FECHA_ALTA]])</f>
        <v>14</v>
      </c>
      <c r="BD1113" s="18">
        <f>IF(Pospago[[#This Row],[TARIFA_BASICA]]=11.42,1,0)</f>
        <v>0</v>
      </c>
      <c r="BE1113" s="18">
        <f>IF(Pospago[[#This Row],[PLANES TELEVENTAS]]="SI",1,0)</f>
        <v>0</v>
      </c>
      <c r="BF1113" s="18">
        <f>1</f>
        <v>1</v>
      </c>
      <c r="BG1113" s="18">
        <f>IF(OR(Pospago[[#This Row],[TARIFA_BASICA]]=11.42,Pospago[[#This Row],[PLANES TELEVENTAS]]="SI"),1,0)</f>
        <v>0</v>
      </c>
      <c r="BH1113" s="18" t="str">
        <f>IF(MID(Pospago[[#This Row],[PlanDesc]],1,4) = "PLAN","POSPAGO",IF(MID(Pospago[[#This Row],[PlanDesc]],1,4)="FULL","FULL MEGAS","PREVIOPAGO"))</f>
        <v>PREVIOPAGO</v>
      </c>
      <c r="BI111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9.07</v>
      </c>
      <c r="BJ111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3" s="21">
        <f>Pospago[[#This Row],[TARIFA_BASICA]]*1.5</f>
        <v>21.419999999999998</v>
      </c>
    </row>
    <row r="1114" spans="1:63" x14ac:dyDescent="0.25">
      <c r="A1114" s="18" t="s">
        <v>64</v>
      </c>
      <c r="B1114" s="18" t="s">
        <v>6874</v>
      </c>
      <c r="C1114" s="18" t="s">
        <v>6875</v>
      </c>
      <c r="D1114" s="19">
        <v>44907</v>
      </c>
      <c r="E1114" s="18" t="s">
        <v>67</v>
      </c>
      <c r="F1114" s="18" t="s">
        <v>6876</v>
      </c>
      <c r="G1114" s="18" t="s">
        <v>6877</v>
      </c>
      <c r="H1114" s="18" t="s">
        <v>70</v>
      </c>
      <c r="I1114" s="18" t="s">
        <v>130</v>
      </c>
      <c r="J1114" s="18" t="s">
        <v>131</v>
      </c>
      <c r="K1114" s="18" t="s">
        <v>132</v>
      </c>
      <c r="L1114" s="20" t="s">
        <v>6878</v>
      </c>
      <c r="M1114" s="18" t="s">
        <v>75</v>
      </c>
      <c r="N1114" s="20" t="s">
        <v>6879</v>
      </c>
      <c r="O1114" s="18" t="s">
        <v>77</v>
      </c>
      <c r="P1114" s="18" t="s">
        <v>78</v>
      </c>
      <c r="Q1114" s="19">
        <v>44914</v>
      </c>
      <c r="R1114" s="21">
        <v>15</v>
      </c>
      <c r="S1114" s="18" t="s">
        <v>79</v>
      </c>
      <c r="T1114" s="18" t="s">
        <v>135</v>
      </c>
      <c r="U1114" s="18" t="s">
        <v>83</v>
      </c>
      <c r="V1114" s="18" t="s">
        <v>95</v>
      </c>
      <c r="W1114" s="18" t="s">
        <v>83</v>
      </c>
      <c r="X1114" s="18" t="s">
        <v>84</v>
      </c>
      <c r="Y1114" s="18" t="s">
        <v>85</v>
      </c>
      <c r="Z1114" s="18" t="s">
        <v>86</v>
      </c>
      <c r="AA1114" s="18" t="s">
        <v>87</v>
      </c>
      <c r="AB1114" s="18" t="s">
        <v>866</v>
      </c>
      <c r="AC1114" s="18" t="s">
        <v>867</v>
      </c>
      <c r="AD1114" s="18" t="s">
        <v>85</v>
      </c>
      <c r="AE1114" s="18" t="s">
        <v>90</v>
      </c>
      <c r="AF1114" s="18" t="s">
        <v>138</v>
      </c>
      <c r="AG1114" s="18" t="s">
        <v>139</v>
      </c>
      <c r="AH1114" s="18" t="s">
        <v>93</v>
      </c>
      <c r="AI1114" s="18" t="s">
        <v>94</v>
      </c>
      <c r="AJ1114" s="19">
        <v>44907</v>
      </c>
      <c r="AK1114" s="22" t="s">
        <v>95</v>
      </c>
      <c r="AL1114" s="18" t="s">
        <v>95</v>
      </c>
      <c r="AM1114" s="18" t="s">
        <v>95</v>
      </c>
      <c r="AN1114" s="18" t="s">
        <v>95</v>
      </c>
      <c r="AO1114" s="18" t="s">
        <v>95</v>
      </c>
      <c r="AP1114" s="18" t="s">
        <v>95</v>
      </c>
      <c r="AQ1114" s="18" t="s">
        <v>95</v>
      </c>
      <c r="AR1114" s="18" t="s">
        <v>95</v>
      </c>
      <c r="AS1114" s="18" t="s">
        <v>83</v>
      </c>
      <c r="AT1114" s="18" t="s">
        <v>83</v>
      </c>
      <c r="AU1114" s="18" t="s">
        <v>81</v>
      </c>
      <c r="AV1114" s="18" t="s">
        <v>95</v>
      </c>
      <c r="AW1114" s="18"/>
      <c r="AX1114" s="18"/>
      <c r="AY1114" s="18" t="str">
        <f>Pospago[[#This Row],[NUM_TELEFONICO]]&amp;"POSPAGOSI"</f>
        <v>999917749POSPAGOSI</v>
      </c>
      <c r="AZ1114" s="18" t="str">
        <f>VLOOKUP(Pospago[[#This Row],[NOM_PLAZA_FINAL]],[1]!Locales[#Data],3,0)</f>
        <v>TIENDA AMERICA</v>
      </c>
      <c r="BA1114" s="18" t="str">
        <f>IFERROR(VLOOKUP(Pospago[[#This Row],[USUARIO]],[1]!Personal[#Data],6,0),"EJECUTIVO NO REGISTRADO")</f>
        <v>ORTEGA RUIZ GABRIEL ANTONIO</v>
      </c>
      <c r="BB1114" s="18" t="str">
        <f>Pospago[[#This Row],[TIPO_MOVIMIENTO]]&amp;" "&amp;Pospago[[#This Row],[FORMA_PAGO_FINAL]]</f>
        <v>ALTAS DOMICILIADO</v>
      </c>
      <c r="BC1114" s="18">
        <f>DAY(Pospago[[#This Row],[FECHA_ALTA]])</f>
        <v>12</v>
      </c>
      <c r="BD1114" s="18">
        <f>IF(Pospago[[#This Row],[TARIFA_BASICA]]=11.42,1,0)</f>
        <v>0</v>
      </c>
      <c r="BE1114" s="18">
        <f>IF(Pospago[[#This Row],[PLANES TELEVENTAS]]="SI",1,0)</f>
        <v>0</v>
      </c>
      <c r="BF1114" s="18">
        <f>1</f>
        <v>1</v>
      </c>
      <c r="BG1114" s="18">
        <f>IF(OR(Pospago[[#This Row],[TARIFA_BASICA]]=11.42,Pospago[[#This Row],[PLANES TELEVENTAS]]="SI"),1,0)</f>
        <v>0</v>
      </c>
      <c r="BH1114" s="18" t="str">
        <f>IF(MID(Pospago[[#This Row],[PlanDesc]],1,4) = "PLAN","POSPAGO",IF(MID(Pospago[[#This Row],[PlanDesc]],1,4)="FULL","FULL MEGAS","PREVIOPAGO"))</f>
        <v>PREVIOPAGO</v>
      </c>
      <c r="BI111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16.5</v>
      </c>
      <c r="BJ111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4" s="21">
        <f>Pospago[[#This Row],[TARIFA_BASICA]]*1.5</f>
        <v>22.5</v>
      </c>
    </row>
    <row r="1115" spans="1:63" x14ac:dyDescent="0.25">
      <c r="A1115" s="18" t="s">
        <v>64</v>
      </c>
      <c r="B1115" s="18" t="s">
        <v>6880</v>
      </c>
      <c r="C1115" s="18" t="s">
        <v>6881</v>
      </c>
      <c r="D1115" s="19">
        <v>44896</v>
      </c>
      <c r="E1115" s="18" t="s">
        <v>67</v>
      </c>
      <c r="F1115" s="18" t="s">
        <v>6882</v>
      </c>
      <c r="G1115" s="18" t="s">
        <v>6883</v>
      </c>
      <c r="H1115" s="18" t="s">
        <v>70</v>
      </c>
      <c r="I1115" s="18" t="s">
        <v>606</v>
      </c>
      <c r="J1115" s="18" t="s">
        <v>607</v>
      </c>
      <c r="K1115" s="18" t="s">
        <v>114</v>
      </c>
      <c r="L1115" s="20" t="s">
        <v>6884</v>
      </c>
      <c r="M1115" s="18" t="s">
        <v>75</v>
      </c>
      <c r="N1115" s="20" t="s">
        <v>6885</v>
      </c>
      <c r="O1115" s="18" t="s">
        <v>77</v>
      </c>
      <c r="P1115" s="18" t="s">
        <v>78</v>
      </c>
      <c r="Q1115" s="19">
        <v>44914</v>
      </c>
      <c r="R1115" s="21">
        <v>26.78</v>
      </c>
      <c r="S1115" s="18" t="s">
        <v>79</v>
      </c>
      <c r="T1115" s="18" t="s">
        <v>135</v>
      </c>
      <c r="U1115" s="18" t="s">
        <v>83</v>
      </c>
      <c r="V1115" s="18" t="s">
        <v>95</v>
      </c>
      <c r="W1115" s="18" t="s">
        <v>83</v>
      </c>
      <c r="X1115" s="18" t="s">
        <v>118</v>
      </c>
      <c r="Y1115" s="18" t="s">
        <v>85</v>
      </c>
      <c r="Z1115" s="18" t="s">
        <v>86</v>
      </c>
      <c r="AA1115" s="18" t="s">
        <v>119</v>
      </c>
      <c r="AB1115" s="18" t="s">
        <v>866</v>
      </c>
      <c r="AC1115" s="18" t="s">
        <v>867</v>
      </c>
      <c r="AD1115" s="18" t="s">
        <v>85</v>
      </c>
      <c r="AE1115" s="18" t="s">
        <v>90</v>
      </c>
      <c r="AF1115" s="18" t="s">
        <v>138</v>
      </c>
      <c r="AG1115" s="18" t="s">
        <v>139</v>
      </c>
      <c r="AH1115" s="18" t="s">
        <v>93</v>
      </c>
      <c r="AI1115" s="18" t="s">
        <v>94</v>
      </c>
      <c r="AJ1115" s="19">
        <v>44896</v>
      </c>
      <c r="AK1115" s="22" t="s">
        <v>95</v>
      </c>
      <c r="AL1115" s="18" t="s">
        <v>95</v>
      </c>
      <c r="AM1115" s="18" t="s">
        <v>95</v>
      </c>
      <c r="AN1115" s="18" t="s">
        <v>95</v>
      </c>
      <c r="AO1115" s="18" t="s">
        <v>95</v>
      </c>
      <c r="AP1115" s="18" t="s">
        <v>95</v>
      </c>
      <c r="AQ1115" s="18" t="s">
        <v>95</v>
      </c>
      <c r="AR1115" s="18" t="s">
        <v>95</v>
      </c>
      <c r="AS1115" s="18" t="s">
        <v>83</v>
      </c>
      <c r="AT1115" s="18" t="s">
        <v>83</v>
      </c>
      <c r="AU1115" s="18" t="s">
        <v>81</v>
      </c>
      <c r="AV1115" s="18" t="s">
        <v>95</v>
      </c>
      <c r="AW1115" s="18"/>
      <c r="AX1115" s="18"/>
      <c r="AY1115" s="18" t="str">
        <f>Pospago[[#This Row],[NUM_TELEFONICO]]&amp;"POSPAGOSI"</f>
        <v>999919081POSPAGOSI</v>
      </c>
      <c r="AZ1115" s="18" t="str">
        <f>VLOOKUP(Pospago[[#This Row],[NOM_PLAZA_FINAL]],[1]!Locales[#Data],3,0)</f>
        <v>TIENDA AMERICA</v>
      </c>
      <c r="BA1115" s="18" t="str">
        <f>IFERROR(VLOOKUP(Pospago[[#This Row],[USUARIO]],[1]!Personal[#Data],6,0),"EJECUTIVO NO REGISTRADO")</f>
        <v>ORTEGA RUIZ GABRIEL ANTONIO</v>
      </c>
      <c r="BB1115" s="18" t="str">
        <f>Pospago[[#This Row],[TIPO_MOVIMIENTO]]&amp;" "&amp;Pospago[[#This Row],[FORMA_PAGO_FINAL]]</f>
        <v>ALTAS PAGO EN CAJA</v>
      </c>
      <c r="BC1115" s="18">
        <f>DAY(Pospago[[#This Row],[FECHA_ALTA]])</f>
        <v>1</v>
      </c>
      <c r="BD1115" s="18">
        <f>IF(Pospago[[#This Row],[TARIFA_BASICA]]=11.42,1,0)</f>
        <v>0</v>
      </c>
      <c r="BE1115" s="18">
        <f>IF(Pospago[[#This Row],[PLANES TELEVENTAS]]="SI",1,0)</f>
        <v>0</v>
      </c>
      <c r="BF1115" s="18">
        <f>1</f>
        <v>1</v>
      </c>
      <c r="BG1115" s="18">
        <f>IF(OR(Pospago[[#This Row],[TARIFA_BASICA]]=11.42,Pospago[[#This Row],[PLANES TELEVENTAS]]="SI"),1,0)</f>
        <v>0</v>
      </c>
      <c r="BH1115" s="18" t="str">
        <f>IF(MID(Pospago[[#This Row],[PlanDesc]],1,4) = "PLAN","POSPAGO",IF(MID(Pospago[[#This Row],[PlanDesc]],1,4)="FULL","FULL MEGAS","PREVIOPAGO"))</f>
        <v>PREVIOPAGO</v>
      </c>
      <c r="BI111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34.28</v>
      </c>
      <c r="BJ111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5" s="21">
        <f>Pospago[[#This Row],[TARIFA_BASICA]]*1.5</f>
        <v>40.17</v>
      </c>
    </row>
    <row r="1116" spans="1:63" x14ac:dyDescent="0.25">
      <c r="A1116" s="18" t="s">
        <v>64</v>
      </c>
      <c r="B1116" s="18" t="s">
        <v>6886</v>
      </c>
      <c r="C1116" s="18" t="s">
        <v>6887</v>
      </c>
      <c r="D1116" s="19">
        <v>44909</v>
      </c>
      <c r="E1116" s="18" t="s">
        <v>67</v>
      </c>
      <c r="F1116" s="18" t="s">
        <v>6888</v>
      </c>
      <c r="G1116" s="18" t="s">
        <v>6889</v>
      </c>
      <c r="H1116" s="18" t="s">
        <v>70</v>
      </c>
      <c r="I1116" s="18" t="s">
        <v>112</v>
      </c>
      <c r="J1116" s="18" t="s">
        <v>113</v>
      </c>
      <c r="K1116" s="18" t="s">
        <v>95</v>
      </c>
      <c r="L1116" s="20" t="s">
        <v>6890</v>
      </c>
      <c r="M1116" s="18" t="s">
        <v>75</v>
      </c>
      <c r="N1116" s="20" t="s">
        <v>6891</v>
      </c>
      <c r="O1116" s="18" t="s">
        <v>77</v>
      </c>
      <c r="P1116" s="18" t="s">
        <v>78</v>
      </c>
      <c r="Q1116" s="19">
        <v>44914</v>
      </c>
      <c r="R1116" s="21">
        <v>17.850000000000001</v>
      </c>
      <c r="S1116" s="18" t="s">
        <v>79</v>
      </c>
      <c r="T1116" s="18" t="s">
        <v>174</v>
      </c>
      <c r="U1116" s="18" t="s">
        <v>83</v>
      </c>
      <c r="V1116" s="18" t="s">
        <v>95</v>
      </c>
      <c r="W1116" s="18" t="s">
        <v>83</v>
      </c>
      <c r="X1116" s="18" t="s">
        <v>84</v>
      </c>
      <c r="Y1116" s="18" t="s">
        <v>85</v>
      </c>
      <c r="Z1116" s="18" t="s">
        <v>86</v>
      </c>
      <c r="AA1116" s="18" t="s">
        <v>87</v>
      </c>
      <c r="AB1116" s="18" t="s">
        <v>457</v>
      </c>
      <c r="AC1116" s="18" t="s">
        <v>458</v>
      </c>
      <c r="AD1116" s="18" t="s">
        <v>85</v>
      </c>
      <c r="AE1116" s="18" t="s">
        <v>90</v>
      </c>
      <c r="AF1116" s="18" t="s">
        <v>177</v>
      </c>
      <c r="AG1116" s="18" t="s">
        <v>139</v>
      </c>
      <c r="AH1116" s="18" t="s">
        <v>93</v>
      </c>
      <c r="AI1116" s="18" t="s">
        <v>94</v>
      </c>
      <c r="AJ1116" s="19">
        <v>44909</v>
      </c>
      <c r="AK1116" s="22" t="s">
        <v>95</v>
      </c>
      <c r="AL1116" s="18" t="s">
        <v>95</v>
      </c>
      <c r="AM1116" s="18" t="s">
        <v>95</v>
      </c>
      <c r="AN1116" s="18" t="s">
        <v>95</v>
      </c>
      <c r="AO1116" s="18" t="s">
        <v>95</v>
      </c>
      <c r="AP1116" s="18" t="s">
        <v>95</v>
      </c>
      <c r="AQ1116" s="18" t="s">
        <v>95</v>
      </c>
      <c r="AR1116" s="18" t="s">
        <v>95</v>
      </c>
      <c r="AS1116" s="18" t="s">
        <v>83</v>
      </c>
      <c r="AT1116" s="18" t="s">
        <v>83</v>
      </c>
      <c r="AU1116" s="18" t="s">
        <v>81</v>
      </c>
      <c r="AV1116" s="18" t="s">
        <v>95</v>
      </c>
      <c r="AW1116" s="18"/>
      <c r="AX1116" s="18"/>
      <c r="AY1116" s="18" t="str">
        <f>Pospago[[#This Row],[NUM_TELEFONICO]]&amp;"POSPAGOSI"</f>
        <v>999919636POSPAGOSI</v>
      </c>
      <c r="AZ1116" s="18" t="str">
        <f>VLOOKUP(Pospago[[#This Row],[NOM_PLAZA_FINAL]],[1]!Locales[#Data],3,0)</f>
        <v>TIENDA RECREO</v>
      </c>
      <c r="BA1116" s="18" t="str">
        <f>IFERROR(VLOOKUP(Pospago[[#This Row],[USUARIO]],[1]!Personal[#Data],6,0),"EJECUTIVO NO REGISTRADO")</f>
        <v>LOZADA REYES BERTHA MARIBEL</v>
      </c>
      <c r="BB1116" s="18" t="str">
        <f>Pospago[[#This Row],[TIPO_MOVIMIENTO]]&amp;" "&amp;Pospago[[#This Row],[FORMA_PAGO_FINAL]]</f>
        <v>ALTAS DOMICILIADO</v>
      </c>
      <c r="BC1116" s="18">
        <f>DAY(Pospago[[#This Row],[FECHA_ALTA]])</f>
        <v>14</v>
      </c>
      <c r="BD1116" s="18">
        <f>IF(Pospago[[#This Row],[TARIFA_BASICA]]=11.42,1,0)</f>
        <v>0</v>
      </c>
      <c r="BE1116" s="18">
        <f>IF(Pospago[[#This Row],[PLANES TELEVENTAS]]="SI",1,0)</f>
        <v>0</v>
      </c>
      <c r="BF1116" s="18">
        <f>1</f>
        <v>1</v>
      </c>
      <c r="BG1116" s="18">
        <f>IF(OR(Pospago[[#This Row],[TARIFA_BASICA]]=11.42,Pospago[[#This Row],[PLANES TELEVENTAS]]="SI"),1,0)</f>
        <v>0</v>
      </c>
      <c r="BH1116" s="18" t="str">
        <f>IF(MID(Pospago[[#This Row],[PlanDesc]],1,4) = "PLAN","POSPAGO",IF(MID(Pospago[[#This Row],[PlanDesc]],1,4)="FULL","FULL MEGAS","PREVIOPAGO"))</f>
        <v>PREVIOPAGO</v>
      </c>
      <c r="BI111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11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6" s="21">
        <f>Pospago[[#This Row],[TARIFA_BASICA]]*1.5</f>
        <v>26.775000000000002</v>
      </c>
    </row>
    <row r="1117" spans="1:63" x14ac:dyDescent="0.25">
      <c r="A1117" s="18" t="s">
        <v>154</v>
      </c>
      <c r="B1117" s="18" t="s">
        <v>6892</v>
      </c>
      <c r="C1117" s="18" t="s">
        <v>6893</v>
      </c>
      <c r="D1117" s="19">
        <v>44912</v>
      </c>
      <c r="E1117" s="18" t="s">
        <v>67</v>
      </c>
      <c r="F1117" s="18" t="s">
        <v>6894</v>
      </c>
      <c r="G1117" s="18" t="s">
        <v>6895</v>
      </c>
      <c r="H1117" s="18" t="s">
        <v>159</v>
      </c>
      <c r="I1117" s="18" t="s">
        <v>160</v>
      </c>
      <c r="J1117" s="18" t="s">
        <v>161</v>
      </c>
      <c r="K1117" s="18" t="s">
        <v>132</v>
      </c>
      <c r="L1117" s="20" t="s">
        <v>6896</v>
      </c>
      <c r="M1117" s="18" t="s">
        <v>75</v>
      </c>
      <c r="N1117" s="20" t="s">
        <v>6897</v>
      </c>
      <c r="O1117" s="18" t="s">
        <v>164</v>
      </c>
      <c r="P1117" s="18" t="s">
        <v>78</v>
      </c>
      <c r="Q1117" s="19">
        <v>44914</v>
      </c>
      <c r="R1117" s="21">
        <v>14.28</v>
      </c>
      <c r="S1117" s="18" t="s">
        <v>79</v>
      </c>
      <c r="T1117" s="18" t="s">
        <v>174</v>
      </c>
      <c r="U1117" s="18" t="s">
        <v>83</v>
      </c>
      <c r="V1117" s="18" t="s">
        <v>95</v>
      </c>
      <c r="W1117" s="18" t="s">
        <v>95</v>
      </c>
      <c r="X1117" s="18" t="s">
        <v>84</v>
      </c>
      <c r="Y1117" s="18" t="s">
        <v>85</v>
      </c>
      <c r="Z1117" s="18" t="s">
        <v>86</v>
      </c>
      <c r="AA1117" s="18" t="s">
        <v>87</v>
      </c>
      <c r="AB1117" s="18" t="s">
        <v>760</v>
      </c>
      <c r="AC1117" s="18" t="s">
        <v>761</v>
      </c>
      <c r="AD1117" s="18" t="s">
        <v>85</v>
      </c>
      <c r="AE1117" s="18" t="s">
        <v>90</v>
      </c>
      <c r="AF1117" s="18" t="s">
        <v>177</v>
      </c>
      <c r="AG1117" s="18" t="s">
        <v>139</v>
      </c>
      <c r="AH1117" s="18" t="s">
        <v>165</v>
      </c>
      <c r="AI1117" s="18" t="s">
        <v>94</v>
      </c>
      <c r="AJ1117" s="19">
        <v>44912</v>
      </c>
      <c r="AK1117" s="22" t="s">
        <v>95</v>
      </c>
      <c r="AL1117" s="18" t="s">
        <v>95</v>
      </c>
      <c r="AM1117" s="18" t="s">
        <v>95</v>
      </c>
      <c r="AN1117" s="18" t="s">
        <v>95</v>
      </c>
      <c r="AO1117" s="18" t="s">
        <v>95</v>
      </c>
      <c r="AP1117" s="18" t="s">
        <v>95</v>
      </c>
      <c r="AQ1117" s="18" t="s">
        <v>95</v>
      </c>
      <c r="AR1117" s="18" t="s">
        <v>95</v>
      </c>
      <c r="AS1117" s="18" t="s">
        <v>83</v>
      </c>
      <c r="AT1117" s="18" t="s">
        <v>83</v>
      </c>
      <c r="AU1117" s="18" t="s">
        <v>81</v>
      </c>
      <c r="AV1117" s="18" t="s">
        <v>95</v>
      </c>
      <c r="AW1117" s="18"/>
      <c r="AX1117" s="18"/>
      <c r="AY1117" s="18" t="str">
        <f>Pospago[[#This Row],[NUM_TELEFONICO]]&amp;"POSPAGOSI"</f>
        <v>999921296POSPAGOSI</v>
      </c>
      <c r="AZ1117" s="18" t="str">
        <f>VLOOKUP(Pospago[[#This Row],[NOM_PLAZA_FINAL]],[1]!Locales[#Data],3,0)</f>
        <v>TIENDA RECREO</v>
      </c>
      <c r="BA1117" s="18" t="str">
        <f>IFERROR(VLOOKUP(Pospago[[#This Row],[USUARIO]],[1]!Personal[#Data],6,0),"EJECUTIVO NO REGISTRADO")</f>
        <v>VALBUENA SANCHEZ ALBERT ANTHONY</v>
      </c>
      <c r="BB1117" s="18" t="str">
        <f>Pospago[[#This Row],[TIPO_MOVIMIENTO]]&amp;" "&amp;Pospago[[#This Row],[FORMA_PAGO_FINAL]]</f>
        <v>TRANSFERENCIAS DOMICILIADO</v>
      </c>
      <c r="BC1117" s="18">
        <f>DAY(Pospago[[#This Row],[FECHA_ALTA]])</f>
        <v>17</v>
      </c>
      <c r="BD1117" s="18">
        <f>IF(Pospago[[#This Row],[TARIFA_BASICA]]=11.42,1,0)</f>
        <v>0</v>
      </c>
      <c r="BE1117" s="18">
        <f>IF(Pospago[[#This Row],[PLANES TELEVENTAS]]="SI",1,0)</f>
        <v>0</v>
      </c>
      <c r="BF1117" s="18">
        <f>1</f>
        <v>1</v>
      </c>
      <c r="BG1117" s="18">
        <f>IF(OR(Pospago[[#This Row],[TARIFA_BASICA]]=11.42,Pospago[[#This Row],[PLANES TELEVENTAS]]="SI"),1,0)</f>
        <v>0</v>
      </c>
      <c r="BH1117" s="18" t="str">
        <f>IF(MID(Pospago[[#This Row],[PlanDesc]],1,4) = "PLAN","POSPAGO",IF(MID(Pospago[[#This Row],[PlanDesc]],1,4)="FULL","FULL MEGAS","PREVIOPAGO"))</f>
        <v>PREVIOPAGO</v>
      </c>
      <c r="BI111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11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7" s="21">
        <f>Pospago[[#This Row],[TARIFA_BASICA]]*1.5</f>
        <v>21.419999999999998</v>
      </c>
    </row>
    <row r="1118" spans="1:63" x14ac:dyDescent="0.25">
      <c r="A1118" s="18" t="s">
        <v>64</v>
      </c>
      <c r="B1118" s="18" t="s">
        <v>6898</v>
      </c>
      <c r="C1118" s="18" t="s">
        <v>6899</v>
      </c>
      <c r="D1118" s="19">
        <v>44896</v>
      </c>
      <c r="E1118" s="18" t="s">
        <v>67</v>
      </c>
      <c r="F1118" s="18" t="s">
        <v>6882</v>
      </c>
      <c r="G1118" s="18" t="s">
        <v>6883</v>
      </c>
      <c r="H1118" s="18" t="s">
        <v>70</v>
      </c>
      <c r="I1118" s="18" t="s">
        <v>130</v>
      </c>
      <c r="J1118" s="18" t="s">
        <v>131</v>
      </c>
      <c r="K1118" s="18" t="s">
        <v>114</v>
      </c>
      <c r="L1118" s="20" t="s">
        <v>6900</v>
      </c>
      <c r="M1118" s="18" t="s">
        <v>75</v>
      </c>
      <c r="N1118" s="20" t="s">
        <v>6901</v>
      </c>
      <c r="O1118" s="18" t="s">
        <v>77</v>
      </c>
      <c r="P1118" s="18" t="s">
        <v>78</v>
      </c>
      <c r="Q1118" s="19">
        <v>44914</v>
      </c>
      <c r="R1118" s="21">
        <v>15</v>
      </c>
      <c r="S1118" s="18" t="s">
        <v>79</v>
      </c>
      <c r="T1118" s="18" t="s">
        <v>135</v>
      </c>
      <c r="U1118" s="18" t="s">
        <v>83</v>
      </c>
      <c r="V1118" s="18" t="s">
        <v>95</v>
      </c>
      <c r="W1118" s="18" t="s">
        <v>83</v>
      </c>
      <c r="X1118" s="18" t="s">
        <v>118</v>
      </c>
      <c r="Y1118" s="18" t="s">
        <v>85</v>
      </c>
      <c r="Z1118" s="18" t="s">
        <v>86</v>
      </c>
      <c r="AA1118" s="18" t="s">
        <v>119</v>
      </c>
      <c r="AB1118" s="18" t="s">
        <v>866</v>
      </c>
      <c r="AC1118" s="18" t="s">
        <v>867</v>
      </c>
      <c r="AD1118" s="18" t="s">
        <v>85</v>
      </c>
      <c r="AE1118" s="18" t="s">
        <v>90</v>
      </c>
      <c r="AF1118" s="18" t="s">
        <v>138</v>
      </c>
      <c r="AG1118" s="18" t="s">
        <v>139</v>
      </c>
      <c r="AH1118" s="18" t="s">
        <v>93</v>
      </c>
      <c r="AI1118" s="18" t="s">
        <v>94</v>
      </c>
      <c r="AJ1118" s="19">
        <v>44896</v>
      </c>
      <c r="AK1118" s="22" t="s">
        <v>95</v>
      </c>
      <c r="AL1118" s="18" t="s">
        <v>95</v>
      </c>
      <c r="AM1118" s="18" t="s">
        <v>95</v>
      </c>
      <c r="AN1118" s="18" t="s">
        <v>95</v>
      </c>
      <c r="AO1118" s="18" t="s">
        <v>95</v>
      </c>
      <c r="AP1118" s="18" t="s">
        <v>95</v>
      </c>
      <c r="AQ1118" s="18" t="s">
        <v>95</v>
      </c>
      <c r="AR1118" s="18" t="s">
        <v>95</v>
      </c>
      <c r="AS1118" s="18" t="s">
        <v>83</v>
      </c>
      <c r="AT1118" s="18" t="s">
        <v>83</v>
      </c>
      <c r="AU1118" s="18" t="s">
        <v>81</v>
      </c>
      <c r="AV1118" s="18" t="s">
        <v>95</v>
      </c>
      <c r="AW1118" s="18"/>
      <c r="AX1118" s="18"/>
      <c r="AY1118" s="18" t="str">
        <f>Pospago[[#This Row],[NUM_TELEFONICO]]&amp;"POSPAGOSI"</f>
        <v>999931169POSPAGOSI</v>
      </c>
      <c r="AZ1118" s="18" t="str">
        <f>VLOOKUP(Pospago[[#This Row],[NOM_PLAZA_FINAL]],[1]!Locales[#Data],3,0)</f>
        <v>TIENDA AMERICA</v>
      </c>
      <c r="BA1118" s="18" t="str">
        <f>IFERROR(VLOOKUP(Pospago[[#This Row],[USUARIO]],[1]!Personal[#Data],6,0),"EJECUTIVO NO REGISTRADO")</f>
        <v>ORTEGA RUIZ GABRIEL ANTONIO</v>
      </c>
      <c r="BB1118" s="18" t="str">
        <f>Pospago[[#This Row],[TIPO_MOVIMIENTO]]&amp;" "&amp;Pospago[[#This Row],[FORMA_PAGO_FINAL]]</f>
        <v>ALTAS PAGO EN CAJA</v>
      </c>
      <c r="BC1118" s="18">
        <f>DAY(Pospago[[#This Row],[FECHA_ALTA]])</f>
        <v>1</v>
      </c>
      <c r="BD1118" s="18">
        <f>IF(Pospago[[#This Row],[TARIFA_BASICA]]=11.42,1,0)</f>
        <v>0</v>
      </c>
      <c r="BE1118" s="18">
        <f>IF(Pospago[[#This Row],[PLANES TELEVENTAS]]="SI",1,0)</f>
        <v>0</v>
      </c>
      <c r="BF1118" s="18">
        <f>1</f>
        <v>1</v>
      </c>
      <c r="BG1118" s="18">
        <f>IF(OR(Pospago[[#This Row],[TARIFA_BASICA]]=11.42,Pospago[[#This Row],[PLANES TELEVENTAS]]="SI"),1,0)</f>
        <v>0</v>
      </c>
      <c r="BH1118" s="18" t="str">
        <f>IF(MID(Pospago[[#This Row],[PlanDesc]],1,4) = "PLAN","POSPAGO",IF(MID(Pospago[[#This Row],[PlanDesc]],1,4)="FULL","FULL MEGAS","PREVIOPAGO"))</f>
        <v>PREVIOPAGO</v>
      </c>
      <c r="BI111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111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8" s="21">
        <f>Pospago[[#This Row],[TARIFA_BASICA]]*1.5</f>
        <v>22.5</v>
      </c>
    </row>
    <row r="1119" spans="1:63" x14ac:dyDescent="0.25">
      <c r="A1119" s="18" t="s">
        <v>64</v>
      </c>
      <c r="B1119" s="18" t="s">
        <v>6902</v>
      </c>
      <c r="C1119" s="18" t="s">
        <v>6903</v>
      </c>
      <c r="D1119" s="19">
        <v>44907</v>
      </c>
      <c r="E1119" s="18" t="s">
        <v>67</v>
      </c>
      <c r="F1119" s="18" t="s">
        <v>6904</v>
      </c>
      <c r="G1119" s="18" t="s">
        <v>6905</v>
      </c>
      <c r="H1119" s="18" t="s">
        <v>70</v>
      </c>
      <c r="I1119" s="18" t="s">
        <v>112</v>
      </c>
      <c r="J1119" s="18" t="s">
        <v>113</v>
      </c>
      <c r="K1119" s="18" t="s">
        <v>132</v>
      </c>
      <c r="L1119" s="20" t="s">
        <v>6906</v>
      </c>
      <c r="M1119" s="18" t="s">
        <v>75</v>
      </c>
      <c r="N1119" s="20" t="s">
        <v>6907</v>
      </c>
      <c r="O1119" s="18" t="s">
        <v>77</v>
      </c>
      <c r="P1119" s="18" t="s">
        <v>78</v>
      </c>
      <c r="Q1119" s="19">
        <v>44914</v>
      </c>
      <c r="R1119" s="21">
        <v>17.850000000000001</v>
      </c>
      <c r="S1119" s="18" t="s">
        <v>79</v>
      </c>
      <c r="T1119" s="18" t="s">
        <v>135</v>
      </c>
      <c r="U1119" s="18" t="s">
        <v>83</v>
      </c>
      <c r="V1119" s="18" t="s">
        <v>95</v>
      </c>
      <c r="W1119" s="18" t="s">
        <v>83</v>
      </c>
      <c r="X1119" s="18" t="s">
        <v>84</v>
      </c>
      <c r="Y1119" s="18" t="s">
        <v>85</v>
      </c>
      <c r="Z1119" s="18" t="s">
        <v>86</v>
      </c>
      <c r="AA1119" s="18" t="s">
        <v>87</v>
      </c>
      <c r="AB1119" s="18" t="s">
        <v>136</v>
      </c>
      <c r="AC1119" s="18" t="s">
        <v>137</v>
      </c>
      <c r="AD1119" s="18" t="s">
        <v>85</v>
      </c>
      <c r="AE1119" s="18" t="s">
        <v>90</v>
      </c>
      <c r="AF1119" s="18" t="s">
        <v>138</v>
      </c>
      <c r="AG1119" s="18" t="s">
        <v>139</v>
      </c>
      <c r="AH1119" s="18" t="s">
        <v>93</v>
      </c>
      <c r="AI1119" s="18" t="s">
        <v>94</v>
      </c>
      <c r="AJ1119" s="19">
        <v>44907</v>
      </c>
      <c r="AK1119" s="22" t="s">
        <v>95</v>
      </c>
      <c r="AL1119" s="18" t="s">
        <v>95</v>
      </c>
      <c r="AM1119" s="18" t="s">
        <v>95</v>
      </c>
      <c r="AN1119" s="18" t="s">
        <v>95</v>
      </c>
      <c r="AO1119" s="18" t="s">
        <v>95</v>
      </c>
      <c r="AP1119" s="18" t="s">
        <v>95</v>
      </c>
      <c r="AQ1119" s="18" t="s">
        <v>95</v>
      </c>
      <c r="AR1119" s="18" t="s">
        <v>95</v>
      </c>
      <c r="AS1119" s="18" t="s">
        <v>83</v>
      </c>
      <c r="AT1119" s="18" t="s">
        <v>83</v>
      </c>
      <c r="AU1119" s="18" t="s">
        <v>81</v>
      </c>
      <c r="AV1119" s="18" t="s">
        <v>95</v>
      </c>
      <c r="AW1119" s="18"/>
      <c r="AX1119" s="18"/>
      <c r="AY1119" s="18" t="str">
        <f>Pospago[[#This Row],[NUM_TELEFONICO]]&amp;"POSPAGOSI"</f>
        <v>999931616POSPAGOSI</v>
      </c>
      <c r="AZ1119" s="18" t="str">
        <f>VLOOKUP(Pospago[[#This Row],[NOM_PLAZA_FINAL]],[1]!Locales[#Data],3,0)</f>
        <v>TIENDA AMERICA</v>
      </c>
      <c r="BA1119" s="18" t="str">
        <f>IFERROR(VLOOKUP(Pospago[[#This Row],[USUARIO]],[1]!Personal[#Data],6,0),"EJECUTIVO NO REGISTRADO")</f>
        <v>SALVATIERRA GUERRA JULIAN ENRIQUE</v>
      </c>
      <c r="BB1119" s="18" t="str">
        <f>Pospago[[#This Row],[TIPO_MOVIMIENTO]]&amp;" "&amp;Pospago[[#This Row],[FORMA_PAGO_FINAL]]</f>
        <v>ALTAS DOMICILIADO</v>
      </c>
      <c r="BC1119" s="18">
        <f>DAY(Pospago[[#This Row],[FECHA_ALTA]])</f>
        <v>12</v>
      </c>
      <c r="BD1119" s="18">
        <f>IF(Pospago[[#This Row],[TARIFA_BASICA]]=11.42,1,0)</f>
        <v>0</v>
      </c>
      <c r="BE1119" s="18">
        <f>IF(Pospago[[#This Row],[PLANES TELEVENTAS]]="SI",1,0)</f>
        <v>0</v>
      </c>
      <c r="BF1119" s="18">
        <f>1</f>
        <v>1</v>
      </c>
      <c r="BG1119" s="18">
        <f>IF(OR(Pospago[[#This Row],[TARIFA_BASICA]]=11.42,Pospago[[#This Row],[PLANES TELEVENTAS]]="SI"),1,0)</f>
        <v>0</v>
      </c>
      <c r="BH1119" s="18" t="str">
        <f>IF(MID(Pospago[[#This Row],[PlanDesc]],1,4) = "PLAN","POSPAGO",IF(MID(Pospago[[#This Row],[PlanDesc]],1,4)="FULL","FULL MEGAS","PREVIOPAGO"))</f>
        <v>PREVIOPAGO</v>
      </c>
      <c r="BI1119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21.01</v>
      </c>
      <c r="BJ1119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19" s="21">
        <f>Pospago[[#This Row],[TARIFA_BASICA]]*1.5</f>
        <v>26.775000000000002</v>
      </c>
    </row>
    <row r="1120" spans="1:63" x14ac:dyDescent="0.25">
      <c r="A1120" s="18" t="s">
        <v>154</v>
      </c>
      <c r="B1120" s="18" t="s">
        <v>6908</v>
      </c>
      <c r="C1120" s="18" t="s">
        <v>6909</v>
      </c>
      <c r="D1120" s="19">
        <v>44912</v>
      </c>
      <c r="E1120" s="18" t="s">
        <v>67</v>
      </c>
      <c r="F1120" s="18" t="s">
        <v>6910</v>
      </c>
      <c r="G1120" s="18" t="s">
        <v>6911</v>
      </c>
      <c r="H1120" s="18" t="s">
        <v>159</v>
      </c>
      <c r="I1120" s="18" t="s">
        <v>160</v>
      </c>
      <c r="J1120" s="18" t="s">
        <v>161</v>
      </c>
      <c r="K1120" s="18" t="s">
        <v>132</v>
      </c>
      <c r="L1120" s="20" t="s">
        <v>6912</v>
      </c>
      <c r="M1120" s="18" t="s">
        <v>75</v>
      </c>
      <c r="N1120" s="20" t="s">
        <v>6913</v>
      </c>
      <c r="O1120" s="18" t="s">
        <v>2241</v>
      </c>
      <c r="P1120" s="18" t="s">
        <v>78</v>
      </c>
      <c r="Q1120" s="19">
        <v>44914</v>
      </c>
      <c r="R1120" s="21">
        <v>14.28</v>
      </c>
      <c r="S1120" s="18" t="s">
        <v>79</v>
      </c>
      <c r="T1120" s="18" t="s">
        <v>174</v>
      </c>
      <c r="U1120" s="18" t="s">
        <v>83</v>
      </c>
      <c r="V1120" s="18" t="s">
        <v>95</v>
      </c>
      <c r="W1120" s="18" t="s">
        <v>95</v>
      </c>
      <c r="X1120" s="18" t="s">
        <v>84</v>
      </c>
      <c r="Y1120" s="18" t="s">
        <v>85</v>
      </c>
      <c r="Z1120" s="18" t="s">
        <v>86</v>
      </c>
      <c r="AA1120" s="18" t="s">
        <v>87</v>
      </c>
      <c r="AB1120" s="18" t="s">
        <v>262</v>
      </c>
      <c r="AC1120" s="18" t="s">
        <v>263</v>
      </c>
      <c r="AD1120" s="18" t="s">
        <v>85</v>
      </c>
      <c r="AE1120" s="18" t="s">
        <v>90</v>
      </c>
      <c r="AF1120" s="18" t="s">
        <v>177</v>
      </c>
      <c r="AG1120" s="18" t="s">
        <v>139</v>
      </c>
      <c r="AH1120" s="18" t="s">
        <v>165</v>
      </c>
      <c r="AI1120" s="18" t="s">
        <v>94</v>
      </c>
      <c r="AJ1120" s="19">
        <v>44912</v>
      </c>
      <c r="AK1120" s="22" t="s">
        <v>95</v>
      </c>
      <c r="AL1120" s="18" t="s">
        <v>95</v>
      </c>
      <c r="AM1120" s="18" t="s">
        <v>95</v>
      </c>
      <c r="AN1120" s="18" t="s">
        <v>95</v>
      </c>
      <c r="AO1120" s="18" t="s">
        <v>95</v>
      </c>
      <c r="AP1120" s="18" t="s">
        <v>95</v>
      </c>
      <c r="AQ1120" s="18" t="s">
        <v>95</v>
      </c>
      <c r="AR1120" s="18" t="s">
        <v>95</v>
      </c>
      <c r="AS1120" s="18" t="s">
        <v>83</v>
      </c>
      <c r="AT1120" s="18" t="s">
        <v>83</v>
      </c>
      <c r="AU1120" s="18" t="s">
        <v>81</v>
      </c>
      <c r="AV1120" s="18" t="s">
        <v>95</v>
      </c>
      <c r="AW1120" s="18"/>
      <c r="AX1120" s="18"/>
      <c r="AY1120" s="18" t="str">
        <f>Pospago[[#This Row],[NUM_TELEFONICO]]&amp;"POSPAGOSI"</f>
        <v>999938985POSPAGOSI</v>
      </c>
      <c r="AZ1120" s="18" t="str">
        <f>VLOOKUP(Pospago[[#This Row],[NOM_PLAZA_FINAL]],[1]!Locales[#Data],3,0)</f>
        <v>TIENDA RECREO</v>
      </c>
      <c r="BA1120" s="18" t="str">
        <f>IFERROR(VLOOKUP(Pospago[[#This Row],[USUARIO]],[1]!Personal[#Data],6,0),"EJECUTIVO NO REGISTRADO")</f>
        <v>CHICAIZA TOAPANTA ALEX DANILO</v>
      </c>
      <c r="BB1120" s="18" t="str">
        <f>Pospago[[#This Row],[TIPO_MOVIMIENTO]]&amp;" "&amp;Pospago[[#This Row],[FORMA_PAGO_FINAL]]</f>
        <v>TRANSFERENCIAS DOMICILIADO</v>
      </c>
      <c r="BC1120" s="18">
        <f>DAY(Pospago[[#This Row],[FECHA_ALTA]])</f>
        <v>17</v>
      </c>
      <c r="BD1120" s="18">
        <f>IF(Pospago[[#This Row],[TARIFA_BASICA]]=11.42,1,0)</f>
        <v>0</v>
      </c>
      <c r="BE1120" s="18">
        <f>IF(Pospago[[#This Row],[PLANES TELEVENTAS]]="SI",1,0)</f>
        <v>0</v>
      </c>
      <c r="BF1120" s="18">
        <f>1</f>
        <v>1</v>
      </c>
      <c r="BG1120" s="18">
        <f>IF(OR(Pospago[[#This Row],[TARIFA_BASICA]]=11.42,Pospago[[#This Row],[PLANES TELEVENTAS]]="SI"),1,0)</f>
        <v>0</v>
      </c>
      <c r="BH1120" s="18" t="str">
        <f>IF(MID(Pospago[[#This Row],[PlanDesc]],1,4) = "PLAN","POSPAGO",IF(MID(Pospago[[#This Row],[PlanDesc]],1,4)="FULL","FULL MEGAS","PREVIOPAGO"))</f>
        <v>PREVIOPAGO</v>
      </c>
      <c r="BI1120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120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20" s="21">
        <f>Pospago[[#This Row],[TARIFA_BASICA]]*1.5</f>
        <v>21.419999999999998</v>
      </c>
    </row>
    <row r="1121" spans="1:63" x14ac:dyDescent="0.25">
      <c r="A1121" s="18" t="s">
        <v>64</v>
      </c>
      <c r="B1121" s="18" t="s">
        <v>6914</v>
      </c>
      <c r="C1121" s="18" t="s">
        <v>6915</v>
      </c>
      <c r="D1121" s="19">
        <v>44907</v>
      </c>
      <c r="E1121" s="18" t="s">
        <v>67</v>
      </c>
      <c r="F1121" s="18" t="s">
        <v>6916</v>
      </c>
      <c r="G1121" s="18" t="s">
        <v>6917</v>
      </c>
      <c r="H1121" s="18" t="s">
        <v>193</v>
      </c>
      <c r="I1121" s="18" t="s">
        <v>698</v>
      </c>
      <c r="J1121" s="18" t="s">
        <v>607</v>
      </c>
      <c r="K1121" s="18" t="s">
        <v>132</v>
      </c>
      <c r="L1121" s="20" t="s">
        <v>6918</v>
      </c>
      <c r="M1121" s="18" t="s">
        <v>75</v>
      </c>
      <c r="N1121" s="20" t="s">
        <v>6919</v>
      </c>
      <c r="O1121" s="18" t="s">
        <v>77</v>
      </c>
      <c r="P1121" s="18" t="s">
        <v>78</v>
      </c>
      <c r="Q1121" s="19">
        <v>44914</v>
      </c>
      <c r="R1121" s="21">
        <v>26.78</v>
      </c>
      <c r="S1121" s="18" t="s">
        <v>79</v>
      </c>
      <c r="T1121" s="18" t="s">
        <v>174</v>
      </c>
      <c r="U1121" s="18" t="s">
        <v>83</v>
      </c>
      <c r="V1121" s="18" t="s">
        <v>95</v>
      </c>
      <c r="W1121" s="18" t="s">
        <v>83</v>
      </c>
      <c r="X1121" s="18" t="s">
        <v>118</v>
      </c>
      <c r="Y1121" s="18" t="s">
        <v>85</v>
      </c>
      <c r="Z1121" s="18" t="s">
        <v>86</v>
      </c>
      <c r="AA1121" s="18" t="s">
        <v>119</v>
      </c>
      <c r="AB1121" s="18" t="s">
        <v>822</v>
      </c>
      <c r="AC1121" s="18" t="s">
        <v>823</v>
      </c>
      <c r="AD1121" s="18" t="s">
        <v>85</v>
      </c>
      <c r="AE1121" s="18" t="s">
        <v>90</v>
      </c>
      <c r="AF1121" s="18" t="s">
        <v>177</v>
      </c>
      <c r="AG1121" s="18" t="s">
        <v>139</v>
      </c>
      <c r="AH1121" s="18" t="s">
        <v>93</v>
      </c>
      <c r="AI1121" s="18" t="s">
        <v>94</v>
      </c>
      <c r="AJ1121" s="19">
        <v>44907</v>
      </c>
      <c r="AK1121" s="22" t="s">
        <v>95</v>
      </c>
      <c r="AL1121" s="18" t="s">
        <v>95</v>
      </c>
      <c r="AM1121" s="18" t="s">
        <v>95</v>
      </c>
      <c r="AN1121" s="18" t="s">
        <v>95</v>
      </c>
      <c r="AO1121" s="18" t="s">
        <v>95</v>
      </c>
      <c r="AP1121" s="18" t="s">
        <v>95</v>
      </c>
      <c r="AQ1121" s="18" t="s">
        <v>95</v>
      </c>
      <c r="AR1121" s="18" t="s">
        <v>95</v>
      </c>
      <c r="AS1121" s="18" t="s">
        <v>83</v>
      </c>
      <c r="AT1121" s="18" t="s">
        <v>81</v>
      </c>
      <c r="AU1121" s="18" t="s">
        <v>81</v>
      </c>
      <c r="AV1121" s="18" t="s">
        <v>95</v>
      </c>
      <c r="AW1121" s="18"/>
      <c r="AX1121" s="18"/>
      <c r="AY1121" s="18" t="str">
        <f>Pospago[[#This Row],[NUM_TELEFONICO]]&amp;"POSPAGOSI"</f>
        <v>999955042POSPAGOSI</v>
      </c>
      <c r="AZ1121" s="18" t="str">
        <f>VLOOKUP(Pospago[[#This Row],[NOM_PLAZA_FINAL]],[1]!Locales[#Data],3,0)</f>
        <v>TIENDA RECREO</v>
      </c>
      <c r="BA1121" s="18" t="str">
        <f>IFERROR(VLOOKUP(Pospago[[#This Row],[USUARIO]],[1]!Personal[#Data],6,0),"EJECUTIVO NO REGISTRADO")</f>
        <v>SALAS PARRA MARIA JOSE</v>
      </c>
      <c r="BB1121" s="18" t="str">
        <f>Pospago[[#This Row],[TIPO_MOVIMIENTO]]&amp;" "&amp;Pospago[[#This Row],[FORMA_PAGO_FINAL]]</f>
        <v>ALTAS PAGO EN CAJA</v>
      </c>
      <c r="BC1121" s="18">
        <f>DAY(Pospago[[#This Row],[FECHA_ALTA]])</f>
        <v>12</v>
      </c>
      <c r="BD1121" s="18">
        <f>IF(Pospago[[#This Row],[TARIFA_BASICA]]=11.42,1,0)</f>
        <v>0</v>
      </c>
      <c r="BE1121" s="18">
        <f>IF(Pospago[[#This Row],[PLANES TELEVENTAS]]="SI",1,0)</f>
        <v>1</v>
      </c>
      <c r="BF1121" s="18">
        <f>1</f>
        <v>1</v>
      </c>
      <c r="BG1121" s="18">
        <f>IF(OR(Pospago[[#This Row],[TARIFA_BASICA]]=11.42,Pospago[[#This Row],[PLANES TELEVENTAS]]="SI"),1,0)</f>
        <v>1</v>
      </c>
      <c r="BH1121" s="18" t="str">
        <f>IF(MID(Pospago[[#This Row],[PlanDesc]],1,4) = "PLAN","POSPAGO",IF(MID(Pospago[[#This Row],[PlanDesc]],1,4)="FULL","FULL MEGAS","PREVIOPAGO"))</f>
        <v>PREVIOPAGO</v>
      </c>
      <c r="BI1121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34.28</v>
      </c>
      <c r="BJ1121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21" s="21">
        <f>Pospago[[#This Row],[TARIFA_BASICA]]*1.5</f>
        <v>40.17</v>
      </c>
    </row>
    <row r="1122" spans="1:63" x14ac:dyDescent="0.25">
      <c r="A1122" s="18" t="s">
        <v>154</v>
      </c>
      <c r="B1122" s="18" t="s">
        <v>6920</v>
      </c>
      <c r="C1122" s="18" t="s">
        <v>6921</v>
      </c>
      <c r="D1122" s="19">
        <v>44902</v>
      </c>
      <c r="E1122" s="18" t="s">
        <v>67</v>
      </c>
      <c r="F1122" s="18" t="s">
        <v>6922</v>
      </c>
      <c r="G1122" s="18" t="s">
        <v>6923</v>
      </c>
      <c r="H1122" s="18" t="s">
        <v>159</v>
      </c>
      <c r="I1122" s="18" t="s">
        <v>130</v>
      </c>
      <c r="J1122" s="18" t="s">
        <v>433</v>
      </c>
      <c r="K1122" s="18" t="s">
        <v>132</v>
      </c>
      <c r="L1122" s="20" t="s">
        <v>6924</v>
      </c>
      <c r="M1122" s="18" t="s">
        <v>75</v>
      </c>
      <c r="N1122" s="20" t="s">
        <v>6925</v>
      </c>
      <c r="O1122" s="18" t="s">
        <v>164</v>
      </c>
      <c r="P1122" s="18" t="s">
        <v>78</v>
      </c>
      <c r="Q1122" s="19">
        <v>44914</v>
      </c>
      <c r="R1122" s="21">
        <v>15</v>
      </c>
      <c r="S1122" s="18" t="s">
        <v>79</v>
      </c>
      <c r="T1122" s="18" t="s">
        <v>232</v>
      </c>
      <c r="U1122" s="18" t="s">
        <v>83</v>
      </c>
      <c r="V1122" s="18" t="s">
        <v>95</v>
      </c>
      <c r="W1122" s="18" t="s">
        <v>95</v>
      </c>
      <c r="X1122" s="18" t="s">
        <v>84</v>
      </c>
      <c r="Y1122" s="18" t="s">
        <v>85</v>
      </c>
      <c r="Z1122" s="18" t="s">
        <v>86</v>
      </c>
      <c r="AA1122" s="18" t="s">
        <v>87</v>
      </c>
      <c r="AB1122" s="18" t="s">
        <v>233</v>
      </c>
      <c r="AC1122" s="18" t="s">
        <v>234</v>
      </c>
      <c r="AD1122" s="18" t="s">
        <v>85</v>
      </c>
      <c r="AE1122" s="18" t="s">
        <v>90</v>
      </c>
      <c r="AF1122" s="18" t="s">
        <v>235</v>
      </c>
      <c r="AG1122" s="18" t="s">
        <v>139</v>
      </c>
      <c r="AH1122" s="18" t="s">
        <v>165</v>
      </c>
      <c r="AI1122" s="18" t="s">
        <v>94</v>
      </c>
      <c r="AJ1122" s="19">
        <v>44902</v>
      </c>
      <c r="AK1122" s="22" t="s">
        <v>95</v>
      </c>
      <c r="AL1122" s="18" t="s">
        <v>95</v>
      </c>
      <c r="AM1122" s="18" t="s">
        <v>95</v>
      </c>
      <c r="AN1122" s="18" t="s">
        <v>95</v>
      </c>
      <c r="AO1122" s="18" t="s">
        <v>95</v>
      </c>
      <c r="AP1122" s="18" t="s">
        <v>95</v>
      </c>
      <c r="AQ1122" s="18" t="s">
        <v>95</v>
      </c>
      <c r="AR1122" s="18" t="s">
        <v>95</v>
      </c>
      <c r="AS1122" s="18" t="s">
        <v>83</v>
      </c>
      <c r="AT1122" s="18" t="s">
        <v>83</v>
      </c>
      <c r="AU1122" s="18" t="s">
        <v>81</v>
      </c>
      <c r="AV1122" s="18" t="s">
        <v>95</v>
      </c>
      <c r="AW1122" s="18"/>
      <c r="AX1122" s="18"/>
      <c r="AY1122" s="18" t="str">
        <f>Pospago[[#This Row],[NUM_TELEFONICO]]&amp;"POSPAGOSI"</f>
        <v>999956851POSPAGOSI</v>
      </c>
      <c r="AZ1122" s="18" t="str">
        <f>VLOOKUP(Pospago[[#This Row],[NOM_PLAZA_FINAL]],[1]!Locales[#Data],3,0)</f>
        <v>TIENDA CONDADO</v>
      </c>
      <c r="BA1122" s="18" t="str">
        <f>IFERROR(VLOOKUP(Pospago[[#This Row],[USUARIO]],[1]!Personal[#Data],6,0),"EJECUTIVO NO REGISTRADO")</f>
        <v>ROSALES MALDONADO JESSICA GABRIELA</v>
      </c>
      <c r="BB1122" s="18" t="str">
        <f>Pospago[[#This Row],[TIPO_MOVIMIENTO]]&amp;" "&amp;Pospago[[#This Row],[FORMA_PAGO_FINAL]]</f>
        <v>TRANSFERENCIAS DOMICILIADO</v>
      </c>
      <c r="BC1122" s="18">
        <f>DAY(Pospago[[#This Row],[FECHA_ALTA]])</f>
        <v>7</v>
      </c>
      <c r="BD1122" s="18">
        <f>IF(Pospago[[#This Row],[TARIFA_BASICA]]=11.42,1,0)</f>
        <v>0</v>
      </c>
      <c r="BE1122" s="18">
        <f>IF(Pospago[[#This Row],[PLANES TELEVENTAS]]="SI",1,0)</f>
        <v>0</v>
      </c>
      <c r="BF1122" s="18">
        <f>1</f>
        <v>1</v>
      </c>
      <c r="BG1122" s="18">
        <f>IF(OR(Pospago[[#This Row],[TARIFA_BASICA]]=11.42,Pospago[[#This Row],[PLANES TELEVENTAS]]="SI"),1,0)</f>
        <v>0</v>
      </c>
      <c r="BH1122" s="18" t="str">
        <f>IF(MID(Pospago[[#This Row],[PlanDesc]],1,4) = "PLAN","POSPAGO",IF(MID(Pospago[[#This Row],[PlanDesc]],1,4)="FULL","FULL MEGAS","PREVIOPAGO"))</f>
        <v>PREVIOPAGO</v>
      </c>
      <c r="BI1122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8.25</v>
      </c>
      <c r="BJ1122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22" s="21">
        <f>Pospago[[#This Row],[TARIFA_BASICA]]*1.5</f>
        <v>22.5</v>
      </c>
    </row>
    <row r="1123" spans="1:63" x14ac:dyDescent="0.25">
      <c r="A1123" s="18" t="s">
        <v>154</v>
      </c>
      <c r="B1123" s="18" t="s">
        <v>6926</v>
      </c>
      <c r="C1123" s="18" t="s">
        <v>6927</v>
      </c>
      <c r="D1123" s="19">
        <v>44907</v>
      </c>
      <c r="E1123" s="18" t="s">
        <v>67</v>
      </c>
      <c r="F1123" s="18" t="s">
        <v>6928</v>
      </c>
      <c r="G1123" s="18" t="s">
        <v>6929</v>
      </c>
      <c r="H1123" s="18" t="s">
        <v>159</v>
      </c>
      <c r="I1123" s="18" t="s">
        <v>160</v>
      </c>
      <c r="J1123" s="18" t="s">
        <v>161</v>
      </c>
      <c r="K1123" s="18" t="s">
        <v>73</v>
      </c>
      <c r="L1123" s="20" t="s">
        <v>6930</v>
      </c>
      <c r="M1123" s="18" t="s">
        <v>75</v>
      </c>
      <c r="N1123" s="20" t="s">
        <v>6931</v>
      </c>
      <c r="O1123" s="18" t="s">
        <v>164</v>
      </c>
      <c r="P1123" s="18" t="s">
        <v>78</v>
      </c>
      <c r="Q1123" s="19">
        <v>44914</v>
      </c>
      <c r="R1123" s="21">
        <v>14.28</v>
      </c>
      <c r="S1123" s="18" t="s">
        <v>79</v>
      </c>
      <c r="T1123" s="18" t="s">
        <v>174</v>
      </c>
      <c r="U1123" s="18" t="s">
        <v>83</v>
      </c>
      <c r="V1123" s="18" t="s">
        <v>95</v>
      </c>
      <c r="W1123" s="18" t="s">
        <v>95</v>
      </c>
      <c r="X1123" s="18" t="s">
        <v>84</v>
      </c>
      <c r="Y1123" s="18" t="s">
        <v>85</v>
      </c>
      <c r="Z1123" s="18" t="s">
        <v>86</v>
      </c>
      <c r="AA1123" s="18" t="s">
        <v>87</v>
      </c>
      <c r="AB1123" s="18" t="s">
        <v>760</v>
      </c>
      <c r="AC1123" s="18" t="s">
        <v>761</v>
      </c>
      <c r="AD1123" s="18" t="s">
        <v>85</v>
      </c>
      <c r="AE1123" s="18" t="s">
        <v>90</v>
      </c>
      <c r="AF1123" s="18" t="s">
        <v>177</v>
      </c>
      <c r="AG1123" s="18" t="s">
        <v>139</v>
      </c>
      <c r="AH1123" s="18" t="s">
        <v>165</v>
      </c>
      <c r="AI1123" s="18" t="s">
        <v>94</v>
      </c>
      <c r="AJ1123" s="19">
        <v>44907</v>
      </c>
      <c r="AK1123" s="22" t="s">
        <v>95</v>
      </c>
      <c r="AL1123" s="18" t="s">
        <v>95</v>
      </c>
      <c r="AM1123" s="18" t="s">
        <v>95</v>
      </c>
      <c r="AN1123" s="18" t="s">
        <v>95</v>
      </c>
      <c r="AO1123" s="18" t="s">
        <v>95</v>
      </c>
      <c r="AP1123" s="18" t="s">
        <v>95</v>
      </c>
      <c r="AQ1123" s="18" t="s">
        <v>95</v>
      </c>
      <c r="AR1123" s="18" t="s">
        <v>95</v>
      </c>
      <c r="AS1123" s="18" t="s">
        <v>83</v>
      </c>
      <c r="AT1123" s="18" t="s">
        <v>83</v>
      </c>
      <c r="AU1123" s="18" t="s">
        <v>81</v>
      </c>
      <c r="AV1123" s="18" t="s">
        <v>95</v>
      </c>
      <c r="AW1123" s="18"/>
      <c r="AX1123" s="18"/>
      <c r="AY1123" s="18" t="str">
        <f>Pospago[[#This Row],[NUM_TELEFONICO]]&amp;"POSPAGOSI"</f>
        <v>999961930POSPAGOSI</v>
      </c>
      <c r="AZ1123" s="18" t="str">
        <f>VLOOKUP(Pospago[[#This Row],[NOM_PLAZA_FINAL]],[1]!Locales[#Data],3,0)</f>
        <v>TIENDA RECREO</v>
      </c>
      <c r="BA1123" s="18" t="str">
        <f>IFERROR(VLOOKUP(Pospago[[#This Row],[USUARIO]],[1]!Personal[#Data],6,0),"EJECUTIVO NO REGISTRADO")</f>
        <v>VALBUENA SANCHEZ ALBERT ANTHONY</v>
      </c>
      <c r="BB1123" s="18" t="str">
        <f>Pospago[[#This Row],[TIPO_MOVIMIENTO]]&amp;" "&amp;Pospago[[#This Row],[FORMA_PAGO_FINAL]]</f>
        <v>TRANSFERENCIAS DOMICILIADO</v>
      </c>
      <c r="BC1123" s="18">
        <f>DAY(Pospago[[#This Row],[FECHA_ALTA]])</f>
        <v>12</v>
      </c>
      <c r="BD1123" s="18">
        <f>IF(Pospago[[#This Row],[TARIFA_BASICA]]=11.42,1,0)</f>
        <v>0</v>
      </c>
      <c r="BE1123" s="18">
        <f>IF(Pospago[[#This Row],[PLANES TELEVENTAS]]="SI",1,0)</f>
        <v>0</v>
      </c>
      <c r="BF1123" s="18">
        <f>1</f>
        <v>1</v>
      </c>
      <c r="BG1123" s="18">
        <f>IF(OR(Pospago[[#This Row],[TARIFA_BASICA]]=11.42,Pospago[[#This Row],[PLANES TELEVENTAS]]="SI"),1,0)</f>
        <v>0</v>
      </c>
      <c r="BH1123" s="18" t="str">
        <f>IF(MID(Pospago[[#This Row],[PlanDesc]],1,4) = "PLAN","POSPAGO",IF(MID(Pospago[[#This Row],[PlanDesc]],1,4)="FULL","FULL MEGAS","PREVIOPAGO"))</f>
        <v>PREVIOPAGO</v>
      </c>
      <c r="BI1123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123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23" s="21">
        <f>Pospago[[#This Row],[TARIFA_BASICA]]*1.5</f>
        <v>21.419999999999998</v>
      </c>
    </row>
    <row r="1124" spans="1:63" x14ac:dyDescent="0.25">
      <c r="A1124" s="18" t="s">
        <v>64</v>
      </c>
      <c r="B1124" s="18" t="s">
        <v>6932</v>
      </c>
      <c r="C1124" s="18" t="s">
        <v>6933</v>
      </c>
      <c r="D1124" s="19">
        <v>44911</v>
      </c>
      <c r="E1124" s="18" t="s">
        <v>67</v>
      </c>
      <c r="F1124" s="18" t="s">
        <v>6934</v>
      </c>
      <c r="G1124" s="18" t="s">
        <v>6935</v>
      </c>
      <c r="H1124" s="18" t="s">
        <v>70</v>
      </c>
      <c r="I1124" s="18" t="s">
        <v>160</v>
      </c>
      <c r="J1124" s="18" t="s">
        <v>195</v>
      </c>
      <c r="K1124" s="18" t="s">
        <v>132</v>
      </c>
      <c r="L1124" s="20" t="s">
        <v>6936</v>
      </c>
      <c r="M1124" s="18" t="s">
        <v>75</v>
      </c>
      <c r="N1124" s="20" t="s">
        <v>6937</v>
      </c>
      <c r="O1124" s="18" t="s">
        <v>77</v>
      </c>
      <c r="P1124" s="18" t="s">
        <v>78</v>
      </c>
      <c r="Q1124" s="19">
        <v>44914</v>
      </c>
      <c r="R1124" s="21">
        <v>14.28</v>
      </c>
      <c r="S1124" s="18" t="s">
        <v>79</v>
      </c>
      <c r="T1124" s="18" t="s">
        <v>174</v>
      </c>
      <c r="U1124" s="18" t="s">
        <v>83</v>
      </c>
      <c r="V1124" s="18" t="s">
        <v>95</v>
      </c>
      <c r="W1124" s="18" t="s">
        <v>83</v>
      </c>
      <c r="X1124" s="18" t="s">
        <v>84</v>
      </c>
      <c r="Y1124" s="18" t="s">
        <v>85</v>
      </c>
      <c r="Z1124" s="18" t="s">
        <v>86</v>
      </c>
      <c r="AA1124" s="18" t="s">
        <v>87</v>
      </c>
      <c r="AB1124" s="18" t="s">
        <v>303</v>
      </c>
      <c r="AC1124" s="18" t="s">
        <v>304</v>
      </c>
      <c r="AD1124" s="18" t="s">
        <v>85</v>
      </c>
      <c r="AE1124" s="18" t="s">
        <v>90</v>
      </c>
      <c r="AF1124" s="18" t="s">
        <v>177</v>
      </c>
      <c r="AG1124" s="18" t="s">
        <v>139</v>
      </c>
      <c r="AH1124" s="18" t="s">
        <v>93</v>
      </c>
      <c r="AI1124" s="18" t="s">
        <v>94</v>
      </c>
      <c r="AJ1124" s="19">
        <v>44911</v>
      </c>
      <c r="AK1124" s="22" t="s">
        <v>95</v>
      </c>
      <c r="AL1124" s="18" t="s">
        <v>95</v>
      </c>
      <c r="AM1124" s="18" t="s">
        <v>95</v>
      </c>
      <c r="AN1124" s="18" t="s">
        <v>95</v>
      </c>
      <c r="AO1124" s="18" t="s">
        <v>95</v>
      </c>
      <c r="AP1124" s="18" t="s">
        <v>95</v>
      </c>
      <c r="AQ1124" s="18" t="s">
        <v>95</v>
      </c>
      <c r="AR1124" s="18" t="s">
        <v>95</v>
      </c>
      <c r="AS1124" s="18" t="s">
        <v>83</v>
      </c>
      <c r="AT1124" s="18" t="s">
        <v>83</v>
      </c>
      <c r="AU1124" s="18" t="s">
        <v>81</v>
      </c>
      <c r="AV1124" s="18" t="s">
        <v>95</v>
      </c>
      <c r="AW1124" s="18"/>
      <c r="AX1124" s="18"/>
      <c r="AY1124" s="18" t="str">
        <f>Pospago[[#This Row],[NUM_TELEFONICO]]&amp;"POSPAGOSI"</f>
        <v>999968872POSPAGOSI</v>
      </c>
      <c r="AZ1124" s="18" t="str">
        <f>VLOOKUP(Pospago[[#This Row],[NOM_PLAZA_FINAL]],[1]!Locales[#Data],3,0)</f>
        <v>TIENDA RECREO</v>
      </c>
      <c r="BA1124" s="18" t="str">
        <f>IFERROR(VLOOKUP(Pospago[[#This Row],[USUARIO]],[1]!Personal[#Data],6,0),"EJECUTIVO NO REGISTRADO")</f>
        <v>CORDOVA GAIBOR JONATHAN HERNAN</v>
      </c>
      <c r="BB1124" s="18" t="str">
        <f>Pospago[[#This Row],[TIPO_MOVIMIENTO]]&amp;" "&amp;Pospago[[#This Row],[FORMA_PAGO_FINAL]]</f>
        <v>ALTAS DOMICILIADO</v>
      </c>
      <c r="BC1124" s="18">
        <f>DAY(Pospago[[#This Row],[FECHA_ALTA]])</f>
        <v>16</v>
      </c>
      <c r="BD1124" s="18">
        <f>IF(Pospago[[#This Row],[TARIFA_BASICA]]=11.42,1,0)</f>
        <v>0</v>
      </c>
      <c r="BE1124" s="18">
        <f>IF(Pospago[[#This Row],[PLANES TELEVENTAS]]="SI",1,0)</f>
        <v>0</v>
      </c>
      <c r="BF1124" s="18">
        <f>1</f>
        <v>1</v>
      </c>
      <c r="BG1124" s="18">
        <f>IF(OR(Pospago[[#This Row],[TARIFA_BASICA]]=11.42,Pospago[[#This Row],[PLANES TELEVENTAS]]="SI"),1,0)</f>
        <v>0</v>
      </c>
      <c r="BH1124" s="18" t="str">
        <f>IF(MID(Pospago[[#This Row],[PlanDesc]],1,4) = "PLAN","POSPAGO",IF(MID(Pospago[[#This Row],[PlanDesc]],1,4)="FULL","FULL MEGAS","PREVIOPAGO"))</f>
        <v>PREVIOPAGO</v>
      </c>
      <c r="BI1124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12.09</v>
      </c>
      <c r="BJ1124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24" s="21">
        <f>Pospago[[#This Row],[TARIFA_BASICA]]*1.5</f>
        <v>21.419999999999998</v>
      </c>
    </row>
    <row r="1125" spans="1:63" x14ac:dyDescent="0.25">
      <c r="A1125" s="18" t="s">
        <v>64</v>
      </c>
      <c r="B1125" s="18" t="s">
        <v>6938</v>
      </c>
      <c r="C1125" s="18" t="s">
        <v>6939</v>
      </c>
      <c r="D1125" s="19">
        <v>44910</v>
      </c>
      <c r="E1125" s="18" t="s">
        <v>67</v>
      </c>
      <c r="F1125" s="18" t="s">
        <v>6940</v>
      </c>
      <c r="G1125" s="18" t="s">
        <v>6941</v>
      </c>
      <c r="H1125" s="18" t="s">
        <v>70</v>
      </c>
      <c r="I1125" s="18" t="s">
        <v>130</v>
      </c>
      <c r="J1125" s="18" t="s">
        <v>131</v>
      </c>
      <c r="K1125" s="18" t="s">
        <v>132</v>
      </c>
      <c r="L1125" s="20" t="s">
        <v>6942</v>
      </c>
      <c r="M1125" s="18" t="s">
        <v>75</v>
      </c>
      <c r="N1125" s="20" t="s">
        <v>6943</v>
      </c>
      <c r="O1125" s="18" t="s">
        <v>77</v>
      </c>
      <c r="P1125" s="18" t="s">
        <v>78</v>
      </c>
      <c r="Q1125" s="19">
        <v>44914</v>
      </c>
      <c r="R1125" s="21">
        <v>15</v>
      </c>
      <c r="S1125" s="18" t="s">
        <v>79</v>
      </c>
      <c r="T1125" s="18" t="s">
        <v>135</v>
      </c>
      <c r="U1125" s="18" t="s">
        <v>83</v>
      </c>
      <c r="V1125" s="18" t="s">
        <v>95</v>
      </c>
      <c r="W1125" s="18" t="s">
        <v>83</v>
      </c>
      <c r="X1125" s="18" t="s">
        <v>118</v>
      </c>
      <c r="Y1125" s="18" t="s">
        <v>85</v>
      </c>
      <c r="Z1125" s="18" t="s">
        <v>86</v>
      </c>
      <c r="AA1125" s="18" t="s">
        <v>119</v>
      </c>
      <c r="AB1125" s="18" t="s">
        <v>541</v>
      </c>
      <c r="AC1125" s="18" t="s">
        <v>542</v>
      </c>
      <c r="AD1125" s="18" t="s">
        <v>85</v>
      </c>
      <c r="AE1125" s="18" t="s">
        <v>90</v>
      </c>
      <c r="AF1125" s="18" t="s">
        <v>138</v>
      </c>
      <c r="AG1125" s="18" t="s">
        <v>139</v>
      </c>
      <c r="AH1125" s="18" t="s">
        <v>93</v>
      </c>
      <c r="AI1125" s="18" t="s">
        <v>94</v>
      </c>
      <c r="AJ1125" s="19">
        <v>44910</v>
      </c>
      <c r="AK1125" s="22" t="s">
        <v>95</v>
      </c>
      <c r="AL1125" s="18" t="s">
        <v>95</v>
      </c>
      <c r="AM1125" s="18" t="s">
        <v>95</v>
      </c>
      <c r="AN1125" s="18" t="s">
        <v>95</v>
      </c>
      <c r="AO1125" s="18" t="s">
        <v>95</v>
      </c>
      <c r="AP1125" s="18" t="s">
        <v>95</v>
      </c>
      <c r="AQ1125" s="18" t="s">
        <v>95</v>
      </c>
      <c r="AR1125" s="18" t="s">
        <v>95</v>
      </c>
      <c r="AS1125" s="18" t="s">
        <v>83</v>
      </c>
      <c r="AT1125" s="18" t="s">
        <v>83</v>
      </c>
      <c r="AU1125" s="18" t="s">
        <v>81</v>
      </c>
      <c r="AV1125" s="18" t="s">
        <v>95</v>
      </c>
      <c r="AW1125" s="18"/>
      <c r="AX1125" s="18"/>
      <c r="AY1125" s="18" t="str">
        <f>Pospago[[#This Row],[NUM_TELEFONICO]]&amp;"POSPAGOSI"</f>
        <v>999971200POSPAGOSI</v>
      </c>
      <c r="AZ1125" s="18" t="str">
        <f>VLOOKUP(Pospago[[#This Row],[NOM_PLAZA_FINAL]],[1]!Locales[#Data],3,0)</f>
        <v>TIENDA AMERICA</v>
      </c>
      <c r="BA1125" s="18" t="str">
        <f>IFERROR(VLOOKUP(Pospago[[#This Row],[USUARIO]],[1]!Personal[#Data],6,0),"EJECUTIVO NO REGISTRADO")</f>
        <v>CEVALLOS PONCE DIANA CAROLINA</v>
      </c>
      <c r="BB1125" s="18" t="str">
        <f>Pospago[[#This Row],[TIPO_MOVIMIENTO]]&amp;" "&amp;Pospago[[#This Row],[FORMA_PAGO_FINAL]]</f>
        <v>ALTAS PAGO EN CAJA</v>
      </c>
      <c r="BC1125" s="18">
        <f>DAY(Pospago[[#This Row],[FECHA_ALTA]])</f>
        <v>15</v>
      </c>
      <c r="BD1125" s="18">
        <f>IF(Pospago[[#This Row],[TARIFA_BASICA]]=11.42,1,0)</f>
        <v>0</v>
      </c>
      <c r="BE1125" s="18">
        <f>IF(Pospago[[#This Row],[PLANES TELEVENTAS]]="SI",1,0)</f>
        <v>0</v>
      </c>
      <c r="BF1125" s="18">
        <f>1</f>
        <v>1</v>
      </c>
      <c r="BG1125" s="18">
        <f>IF(OR(Pospago[[#This Row],[TARIFA_BASICA]]=11.42,Pospago[[#This Row],[PLANES TELEVENTAS]]="SI"),1,0)</f>
        <v>0</v>
      </c>
      <c r="BH1125" s="18" t="str">
        <f>IF(MID(Pospago[[#This Row],[PlanDesc]],1,4) = "PLAN","POSPAGO",IF(MID(Pospago[[#This Row],[PlanDesc]],1,4)="FULL","FULL MEGAS","PREVIOPAGO"))</f>
        <v>PREVIOPAGO</v>
      </c>
      <c r="BI1125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12.38</v>
      </c>
      <c r="BJ1125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25" s="21">
        <f>Pospago[[#This Row],[TARIFA_BASICA]]*1.5</f>
        <v>22.5</v>
      </c>
    </row>
    <row r="1126" spans="1:63" x14ac:dyDescent="0.25">
      <c r="A1126" s="18" t="s">
        <v>154</v>
      </c>
      <c r="B1126" s="18" t="s">
        <v>6944</v>
      </c>
      <c r="C1126" s="18" t="s">
        <v>6945</v>
      </c>
      <c r="D1126" s="19">
        <v>44912</v>
      </c>
      <c r="E1126" s="18" t="s">
        <v>67</v>
      </c>
      <c r="F1126" s="18" t="s">
        <v>6946</v>
      </c>
      <c r="G1126" s="18" t="s">
        <v>6947</v>
      </c>
      <c r="H1126" s="18" t="s">
        <v>159</v>
      </c>
      <c r="I1126" s="18" t="s">
        <v>71</v>
      </c>
      <c r="J1126" s="18" t="s">
        <v>258</v>
      </c>
      <c r="K1126" s="18" t="s">
        <v>73</v>
      </c>
      <c r="L1126" s="20" t="s">
        <v>6948</v>
      </c>
      <c r="M1126" s="18" t="s">
        <v>75</v>
      </c>
      <c r="N1126" s="20" t="s">
        <v>6949</v>
      </c>
      <c r="O1126" s="18" t="s">
        <v>164</v>
      </c>
      <c r="P1126" s="18" t="s">
        <v>78</v>
      </c>
      <c r="Q1126" s="19">
        <v>44914</v>
      </c>
      <c r="R1126" s="21">
        <v>11.42</v>
      </c>
      <c r="S1126" s="18" t="s">
        <v>79</v>
      </c>
      <c r="T1126" s="18" t="s">
        <v>174</v>
      </c>
      <c r="U1126" s="18" t="s">
        <v>83</v>
      </c>
      <c r="V1126" s="18" t="s">
        <v>95</v>
      </c>
      <c r="W1126" s="18" t="s">
        <v>95</v>
      </c>
      <c r="X1126" s="18" t="s">
        <v>118</v>
      </c>
      <c r="Y1126" s="18" t="s">
        <v>85</v>
      </c>
      <c r="Z1126" s="18" t="s">
        <v>86</v>
      </c>
      <c r="AA1126" s="18" t="s">
        <v>119</v>
      </c>
      <c r="AB1126" s="18" t="s">
        <v>918</v>
      </c>
      <c r="AC1126" s="18" t="s">
        <v>919</v>
      </c>
      <c r="AD1126" s="18" t="s">
        <v>85</v>
      </c>
      <c r="AE1126" s="18" t="s">
        <v>90</v>
      </c>
      <c r="AF1126" s="18" t="s">
        <v>177</v>
      </c>
      <c r="AG1126" s="18" t="s">
        <v>139</v>
      </c>
      <c r="AH1126" s="18" t="s">
        <v>165</v>
      </c>
      <c r="AI1126" s="18" t="s">
        <v>94</v>
      </c>
      <c r="AJ1126" s="19">
        <v>44912</v>
      </c>
      <c r="AK1126" s="22" t="s">
        <v>95</v>
      </c>
      <c r="AL1126" s="18" t="s">
        <v>95</v>
      </c>
      <c r="AM1126" s="18" t="s">
        <v>95</v>
      </c>
      <c r="AN1126" s="18" t="s">
        <v>95</v>
      </c>
      <c r="AO1126" s="18" t="s">
        <v>95</v>
      </c>
      <c r="AP1126" s="18" t="s">
        <v>95</v>
      </c>
      <c r="AQ1126" s="18" t="s">
        <v>95</v>
      </c>
      <c r="AR1126" s="18" t="s">
        <v>95</v>
      </c>
      <c r="AS1126" s="18" t="s">
        <v>83</v>
      </c>
      <c r="AT1126" s="18" t="s">
        <v>83</v>
      </c>
      <c r="AU1126" s="18" t="s">
        <v>81</v>
      </c>
      <c r="AV1126" s="18" t="s">
        <v>95</v>
      </c>
      <c r="AW1126" s="18"/>
      <c r="AX1126" s="18"/>
      <c r="AY1126" s="18" t="str">
        <f>Pospago[[#This Row],[NUM_TELEFONICO]]&amp;"POSPAGOSI"</f>
        <v>999975205POSPAGOSI</v>
      </c>
      <c r="AZ1126" s="18" t="str">
        <f>VLOOKUP(Pospago[[#This Row],[NOM_PLAZA_FINAL]],[1]!Locales[#Data],3,0)</f>
        <v>TIENDA RECREO</v>
      </c>
      <c r="BA1126" s="18" t="str">
        <f>IFERROR(VLOOKUP(Pospago[[#This Row],[USUARIO]],[1]!Personal[#Data],6,0),"EJECUTIVO NO REGISTRADO")</f>
        <v>ORELLANA CARRERA MICHAEL ALEXANDER</v>
      </c>
      <c r="BB1126" s="18" t="str">
        <f>Pospago[[#This Row],[TIPO_MOVIMIENTO]]&amp;" "&amp;Pospago[[#This Row],[FORMA_PAGO_FINAL]]</f>
        <v>TRANSFERENCIAS PAGO EN CAJA</v>
      </c>
      <c r="BC1126" s="18">
        <f>DAY(Pospago[[#This Row],[FECHA_ALTA]])</f>
        <v>17</v>
      </c>
      <c r="BD1126" s="18">
        <f>IF(Pospago[[#This Row],[TARIFA_BASICA]]=11.42,1,0)</f>
        <v>1</v>
      </c>
      <c r="BE1126" s="18">
        <f>IF(Pospago[[#This Row],[PLANES TELEVENTAS]]="SI",1,0)</f>
        <v>0</v>
      </c>
      <c r="BF1126" s="18">
        <f>1</f>
        <v>1</v>
      </c>
      <c r="BG1126" s="18">
        <f>IF(OR(Pospago[[#This Row],[TARIFA_BASICA]]=11.42,Pospago[[#This Row],[PLANES TELEVENTAS]]="SI"),1,0)</f>
        <v>1</v>
      </c>
      <c r="BH1126" s="18" t="str">
        <f>IF(MID(Pospago[[#This Row],[PlanDesc]],1,4) = "PLAN","POSPAGO",IF(MID(Pospago[[#This Row],[PlanDesc]],1,4)="FULL","FULL MEGAS","PREVIOPAGO"))</f>
        <v>PREVIOPAGO</v>
      </c>
      <c r="BI1126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3.12</v>
      </c>
      <c r="BJ1126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4.1999999999999993</v>
      </c>
      <c r="BK1126" s="21">
        <f>Pospago[[#This Row],[TARIFA_BASICA]]*1.5</f>
        <v>17.13</v>
      </c>
    </row>
    <row r="1127" spans="1:63" x14ac:dyDescent="0.25">
      <c r="A1127" s="18" t="s">
        <v>154</v>
      </c>
      <c r="B1127" s="18" t="s">
        <v>6950</v>
      </c>
      <c r="C1127" s="18" t="s">
        <v>6951</v>
      </c>
      <c r="D1127" s="19">
        <v>44900</v>
      </c>
      <c r="E1127" s="18" t="s">
        <v>67</v>
      </c>
      <c r="F1127" s="18" t="s">
        <v>6952</v>
      </c>
      <c r="G1127" s="18" t="s">
        <v>6953</v>
      </c>
      <c r="H1127" s="18" t="s">
        <v>159</v>
      </c>
      <c r="I1127" s="18" t="s">
        <v>160</v>
      </c>
      <c r="J1127" s="18" t="s">
        <v>161</v>
      </c>
      <c r="K1127" s="18" t="s">
        <v>132</v>
      </c>
      <c r="L1127" s="20" t="s">
        <v>6954</v>
      </c>
      <c r="M1127" s="18" t="s">
        <v>75</v>
      </c>
      <c r="N1127" s="20" t="s">
        <v>6955</v>
      </c>
      <c r="O1127" s="18" t="s">
        <v>164</v>
      </c>
      <c r="P1127" s="18" t="s">
        <v>78</v>
      </c>
      <c r="Q1127" s="19">
        <v>44914</v>
      </c>
      <c r="R1127" s="21">
        <v>14.28</v>
      </c>
      <c r="S1127" s="18" t="s">
        <v>79</v>
      </c>
      <c r="T1127" s="18" t="s">
        <v>174</v>
      </c>
      <c r="U1127" s="18" t="s">
        <v>83</v>
      </c>
      <c r="V1127" s="18" t="s">
        <v>95</v>
      </c>
      <c r="W1127" s="18" t="s">
        <v>95</v>
      </c>
      <c r="X1127" s="18" t="s">
        <v>215</v>
      </c>
      <c r="Y1127" s="18" t="s">
        <v>85</v>
      </c>
      <c r="Z1127" s="18" t="s">
        <v>86</v>
      </c>
      <c r="AA1127" s="18" t="s">
        <v>87</v>
      </c>
      <c r="AB1127" s="18" t="s">
        <v>303</v>
      </c>
      <c r="AC1127" s="18" t="s">
        <v>304</v>
      </c>
      <c r="AD1127" s="18" t="s">
        <v>85</v>
      </c>
      <c r="AE1127" s="18" t="s">
        <v>90</v>
      </c>
      <c r="AF1127" s="18" t="s">
        <v>177</v>
      </c>
      <c r="AG1127" s="18" t="s">
        <v>139</v>
      </c>
      <c r="AH1127" s="18" t="s">
        <v>165</v>
      </c>
      <c r="AI1127" s="18" t="s">
        <v>94</v>
      </c>
      <c r="AJ1127" s="19">
        <v>44900</v>
      </c>
      <c r="AK1127" s="22" t="s">
        <v>95</v>
      </c>
      <c r="AL1127" s="18" t="s">
        <v>95</v>
      </c>
      <c r="AM1127" s="18" t="s">
        <v>95</v>
      </c>
      <c r="AN1127" s="18" t="s">
        <v>95</v>
      </c>
      <c r="AO1127" s="18" t="s">
        <v>95</v>
      </c>
      <c r="AP1127" s="18" t="s">
        <v>95</v>
      </c>
      <c r="AQ1127" s="18" t="s">
        <v>95</v>
      </c>
      <c r="AR1127" s="18" t="s">
        <v>95</v>
      </c>
      <c r="AS1127" s="18" t="s">
        <v>83</v>
      </c>
      <c r="AT1127" s="18" t="s">
        <v>83</v>
      </c>
      <c r="AU1127" s="18" t="s">
        <v>81</v>
      </c>
      <c r="AV1127" s="18" t="s">
        <v>95</v>
      </c>
      <c r="AW1127" s="18"/>
      <c r="AX1127" s="18"/>
      <c r="AY1127" s="18" t="str">
        <f>Pospago[[#This Row],[NUM_TELEFONICO]]&amp;"POSPAGOSI"</f>
        <v>999985801POSPAGOSI</v>
      </c>
      <c r="AZ1127" s="18" t="str">
        <f>VLOOKUP(Pospago[[#This Row],[NOM_PLAZA_FINAL]],[1]!Locales[#Data],3,0)</f>
        <v>TIENDA RECREO</v>
      </c>
      <c r="BA1127" s="18" t="str">
        <f>IFERROR(VLOOKUP(Pospago[[#This Row],[USUARIO]],[1]!Personal[#Data],6,0),"EJECUTIVO NO REGISTRADO")</f>
        <v>CORDOVA GAIBOR JONATHAN HERNAN</v>
      </c>
      <c r="BB1127" s="18" t="str">
        <f>Pospago[[#This Row],[TIPO_MOVIMIENTO]]&amp;" "&amp;Pospago[[#This Row],[FORMA_PAGO_FINAL]]</f>
        <v>TRANSFERENCIAS DOMICILIADO</v>
      </c>
      <c r="BC1127" s="18">
        <f>DAY(Pospago[[#This Row],[FECHA_ALTA]])</f>
        <v>5</v>
      </c>
      <c r="BD1127" s="18">
        <f>IF(Pospago[[#This Row],[TARIFA_BASICA]]=11.42,1,0)</f>
        <v>0</v>
      </c>
      <c r="BE1127" s="18">
        <f>IF(Pospago[[#This Row],[PLANES TELEVENTAS]]="SI",1,0)</f>
        <v>0</v>
      </c>
      <c r="BF1127" s="18">
        <f>1</f>
        <v>1</v>
      </c>
      <c r="BG1127" s="18">
        <f>IF(OR(Pospago[[#This Row],[TARIFA_BASICA]]=11.42,Pospago[[#This Row],[PLANES TELEVENTAS]]="SI"),1,0)</f>
        <v>0</v>
      </c>
      <c r="BH1127" s="18" t="str">
        <f>IF(MID(Pospago[[#This Row],[PlanDesc]],1,4) = "PLAN","POSPAGO",IF(MID(Pospago[[#This Row],[PlanDesc]],1,4)="FULL","FULL MEGAS","PREVIOPAGO"))</f>
        <v>PREVIOPAGO</v>
      </c>
      <c r="BI1127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6.05</v>
      </c>
      <c r="BJ1127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27" s="21">
        <f>Pospago[[#This Row],[TARIFA_BASICA]]*1.5</f>
        <v>21.419999999999998</v>
      </c>
    </row>
    <row r="1128" spans="1:63" x14ac:dyDescent="0.25">
      <c r="A1128" s="18" t="s">
        <v>154</v>
      </c>
      <c r="B1128" s="18" t="s">
        <v>6956</v>
      </c>
      <c r="C1128" s="18" t="s">
        <v>6957</v>
      </c>
      <c r="D1128" s="19">
        <v>44910</v>
      </c>
      <c r="E1128" s="18" t="s">
        <v>67</v>
      </c>
      <c r="F1128" s="18" t="s">
        <v>6958</v>
      </c>
      <c r="G1128" s="18" t="s">
        <v>6959</v>
      </c>
      <c r="H1128" s="18" t="s">
        <v>159</v>
      </c>
      <c r="I1128" s="18" t="s">
        <v>130</v>
      </c>
      <c r="J1128" s="18" t="s">
        <v>433</v>
      </c>
      <c r="K1128" s="18" t="s">
        <v>73</v>
      </c>
      <c r="L1128" s="20" t="s">
        <v>6960</v>
      </c>
      <c r="M1128" s="18" t="s">
        <v>75</v>
      </c>
      <c r="N1128" s="20" t="s">
        <v>6961</v>
      </c>
      <c r="O1128" s="18" t="s">
        <v>164</v>
      </c>
      <c r="P1128" s="18" t="s">
        <v>78</v>
      </c>
      <c r="Q1128" s="19">
        <v>44914</v>
      </c>
      <c r="R1128" s="21">
        <v>15</v>
      </c>
      <c r="S1128" s="18" t="s">
        <v>79</v>
      </c>
      <c r="T1128" s="18" t="s">
        <v>135</v>
      </c>
      <c r="U1128" s="18" t="s">
        <v>83</v>
      </c>
      <c r="V1128" s="18" t="s">
        <v>95</v>
      </c>
      <c r="W1128" s="18" t="s">
        <v>95</v>
      </c>
      <c r="X1128" s="18" t="s">
        <v>118</v>
      </c>
      <c r="Y1128" s="18" t="s">
        <v>85</v>
      </c>
      <c r="Z1128" s="18" t="s">
        <v>86</v>
      </c>
      <c r="AA1128" s="18" t="s">
        <v>119</v>
      </c>
      <c r="AB1128" s="18" t="s">
        <v>665</v>
      </c>
      <c r="AC1128" s="18" t="s">
        <v>666</v>
      </c>
      <c r="AD1128" s="18" t="s">
        <v>85</v>
      </c>
      <c r="AE1128" s="18" t="s">
        <v>90</v>
      </c>
      <c r="AF1128" s="18" t="s">
        <v>138</v>
      </c>
      <c r="AG1128" s="18" t="s">
        <v>139</v>
      </c>
      <c r="AH1128" s="18" t="s">
        <v>165</v>
      </c>
      <c r="AI1128" s="18" t="s">
        <v>94</v>
      </c>
      <c r="AJ1128" s="19">
        <v>44910</v>
      </c>
      <c r="AK1128" s="22" t="s">
        <v>95</v>
      </c>
      <c r="AL1128" s="18" t="s">
        <v>95</v>
      </c>
      <c r="AM1128" s="18" t="s">
        <v>95</v>
      </c>
      <c r="AN1128" s="18" t="s">
        <v>95</v>
      </c>
      <c r="AO1128" s="18" t="s">
        <v>95</v>
      </c>
      <c r="AP1128" s="18" t="s">
        <v>95</v>
      </c>
      <c r="AQ1128" s="18" t="s">
        <v>95</v>
      </c>
      <c r="AR1128" s="18" t="s">
        <v>95</v>
      </c>
      <c r="AS1128" s="18" t="s">
        <v>83</v>
      </c>
      <c r="AT1128" s="18" t="s">
        <v>83</v>
      </c>
      <c r="AU1128" s="18" t="s">
        <v>81</v>
      </c>
      <c r="AV1128" s="18" t="s">
        <v>95</v>
      </c>
      <c r="AW1128" s="18"/>
      <c r="AX1128" s="18"/>
      <c r="AY1128" s="18" t="str">
        <f>Pospago[[#This Row],[NUM_TELEFONICO]]&amp;"POSPAGOSI"</f>
        <v>999988092POSPAGOSI</v>
      </c>
      <c r="AZ1128" s="18" t="str">
        <f>VLOOKUP(Pospago[[#This Row],[NOM_PLAZA_FINAL]],[1]!Locales[#Data],3,0)</f>
        <v>TIENDA AMERICA</v>
      </c>
      <c r="BA1128" s="18" t="str">
        <f>IFERROR(VLOOKUP(Pospago[[#This Row],[USUARIO]],[1]!Personal[#Data],6,0),"EJECUTIVO NO REGISTRADO")</f>
        <v>ROSERO CAICEDO JAIRO STEFANO</v>
      </c>
      <c r="BB1128" s="18" t="str">
        <f>Pospago[[#This Row],[TIPO_MOVIMIENTO]]&amp;" "&amp;Pospago[[#This Row],[FORMA_PAGO_FINAL]]</f>
        <v>TRANSFERENCIAS PAGO EN CAJA</v>
      </c>
      <c r="BC1128" s="18">
        <f>DAY(Pospago[[#This Row],[FECHA_ALTA]])</f>
        <v>15</v>
      </c>
      <c r="BD1128" s="18">
        <f>IF(Pospago[[#This Row],[TARIFA_BASICA]]=11.42,1,0)</f>
        <v>0</v>
      </c>
      <c r="BE1128" s="18">
        <f>IF(Pospago[[#This Row],[PLANES TELEVENTAS]]="SI",1,0)</f>
        <v>0</v>
      </c>
      <c r="BF1128" s="18">
        <f>1</f>
        <v>1</v>
      </c>
      <c r="BG1128" s="18">
        <f>IF(OR(Pospago[[#This Row],[TARIFA_BASICA]]=11.42,Pospago[[#This Row],[PLANES TELEVENTAS]]="SI"),1,0)</f>
        <v>0</v>
      </c>
      <c r="BH1128" s="18" t="str">
        <f>IF(MID(Pospago[[#This Row],[PlanDesc]],1,4) = "PLAN","POSPAGO",IF(MID(Pospago[[#This Row],[PlanDesc]],1,4)="FULL","FULL MEGAS","PREVIOPAGO"))</f>
        <v>PREVIOPAGO</v>
      </c>
      <c r="BI1128" s="21">
        <f>IF(Pospago[[#This Row],[LOCALES]]="TIENDA MACHALA",IFERROR(INDEX([1]!Comisiones[#Data],MATCH(Pospago[[#This Row],[TARIFA_BASICA]],[1]!Comisiones[Producto],0),MATCH(Pospago[[#This Row],[TIPO]],[1]!Comisiones[#Headers],0)),"No esta en Comisiones")*1.2,IFERROR(INDEX([1]!Comisiones[#Data],MATCH(Pospago[[#This Row],[TARIFA_BASICA]],[1]!Comisiones[Producto],0),MATCH(Pospago[[#This Row],[TIPO]],[1]!Comisiones[#Headers],0)),"No esta en Comisiones"))</f>
        <v>6.19</v>
      </c>
      <c r="BJ1128" s="21">
        <f>IF(LEN(Pospago[[#This Row],[DOCUMENTO_CLIENTE]])=13,0,IFERROR(INDEX([1]!Comisiones[#Data],MATCH(Pospago[[#This Row],[TARIFA_BASICA]],[1]!Comisiones[Producto],0),MATCH("Bono Actividad Comercial",[1]!Comisiones[#Headers],0)),"No esta en Comisiones"))</f>
        <v>8.3999999999999986</v>
      </c>
      <c r="BK1128" s="21">
        <f>Pospago[[#This Row],[TARIFA_BASICA]]*1.5</f>
        <v>22.5</v>
      </c>
    </row>
  </sheetData>
  <conditionalFormatting sqref="G1:G1128">
    <cfRule type="duplicateValues" dxfId="413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8118-05E6-4184-BC37-27FB1639477C}">
  <sheetPr codeName="Hoja2"/>
  <dimension ref="A1:CH256"/>
  <sheetViews>
    <sheetView topLeftCell="BZ1" workbookViewId="0">
      <selection activeCell="CE1" sqref="CE1"/>
    </sheetView>
  </sheetViews>
  <sheetFormatPr baseColWidth="10" defaultRowHeight="15" x14ac:dyDescent="0.25"/>
  <cols>
    <col min="1" max="1" width="12.140625" customWidth="1"/>
    <col min="2" max="2" width="15.28515625" customWidth="1"/>
    <col min="3" max="3" width="11.7109375" customWidth="1"/>
    <col min="4" max="4" width="20.5703125" customWidth="1"/>
    <col min="5" max="5" width="17.7109375" customWidth="1"/>
    <col min="6" max="6" width="12.5703125" customWidth="1"/>
    <col min="7" max="7" width="17" customWidth="1"/>
    <col min="8" max="8" width="19.42578125" customWidth="1"/>
    <col min="9" max="9" width="22.28515625" customWidth="1"/>
    <col min="10" max="10" width="12.42578125" customWidth="1"/>
    <col min="11" max="11" width="15.140625" customWidth="1"/>
    <col min="12" max="12" width="15.28515625" customWidth="1"/>
    <col min="13" max="13" width="27.7109375" customWidth="1"/>
    <col min="14" max="14" width="26" customWidth="1"/>
    <col min="15" max="15" width="23.85546875" customWidth="1"/>
    <col min="16" max="16" width="25.7109375" customWidth="1"/>
    <col min="17" max="17" width="27.140625" customWidth="1"/>
    <col min="18" max="18" width="28.85546875" customWidth="1"/>
    <col min="19" max="19" width="30.140625" customWidth="1"/>
    <col min="20" max="20" width="34.28515625" customWidth="1"/>
    <col min="21" max="21" width="36" customWidth="1"/>
    <col min="22" max="22" width="33.28515625" customWidth="1"/>
    <col min="23" max="23" width="34.85546875" customWidth="1"/>
    <col min="24" max="24" width="24.7109375" customWidth="1"/>
    <col min="25" max="25" width="20.7109375" customWidth="1"/>
    <col min="26" max="26" width="19.5703125" customWidth="1"/>
    <col min="27" max="27" width="45.5703125" bestFit="1" customWidth="1"/>
    <col min="28" max="28" width="27.85546875" customWidth="1"/>
    <col min="29" max="29" width="25.7109375" customWidth="1"/>
    <col min="30" max="30" width="30" customWidth="1"/>
    <col min="31" max="31" width="22.5703125" customWidth="1"/>
    <col min="32" max="32" width="27.28515625" customWidth="1"/>
    <col min="33" max="33" width="29.140625" customWidth="1"/>
    <col min="34" max="34" width="30.28515625" customWidth="1"/>
    <col min="35" max="35" width="34.42578125" customWidth="1"/>
    <col min="36" max="36" width="36.28515625" customWidth="1"/>
    <col min="37" max="37" width="33.5703125" customWidth="1"/>
    <col min="38" max="38" width="35.140625" customWidth="1"/>
    <col min="39" max="39" width="24.85546875" customWidth="1"/>
    <col min="40" max="40" width="22.7109375" customWidth="1"/>
    <col min="41" max="41" width="22" customWidth="1"/>
    <col min="42" max="42" width="20.7109375" customWidth="1"/>
    <col min="43" max="43" width="27.85546875" customWidth="1"/>
    <col min="44" max="44" width="21.140625" customWidth="1"/>
    <col min="45" max="45" width="23.85546875" customWidth="1"/>
    <col min="47" max="47" width="13.140625" customWidth="1"/>
    <col min="49" max="49" width="12.42578125" customWidth="1"/>
    <col min="50" max="50" width="20.42578125" customWidth="1"/>
    <col min="51" max="51" width="22.7109375" customWidth="1"/>
    <col min="52" max="52" width="25.5703125" customWidth="1"/>
    <col min="53" max="53" width="22.5703125" customWidth="1"/>
    <col min="54" max="55" width="15.28515625" customWidth="1"/>
    <col min="56" max="56" width="14.140625" customWidth="1"/>
    <col min="57" max="57" width="19.7109375" customWidth="1"/>
    <col min="58" max="58" width="19.85546875" customWidth="1"/>
    <col min="60" max="60" width="22.7109375" customWidth="1"/>
    <col min="61" max="61" width="13.7109375" customWidth="1"/>
    <col min="62" max="62" width="16.140625" customWidth="1"/>
    <col min="63" max="63" width="19.28515625" customWidth="1"/>
    <col min="65" max="65" width="19.7109375" customWidth="1"/>
    <col min="66" max="66" width="25.7109375" customWidth="1"/>
    <col min="67" max="67" width="15.28515625" customWidth="1"/>
    <col min="68" max="68" width="14.85546875" customWidth="1"/>
    <col min="69" max="69" width="25.7109375" customWidth="1"/>
    <col min="70" max="70" width="17.140625" customWidth="1"/>
    <col min="71" max="71" width="29.28515625" customWidth="1"/>
    <col min="72" max="72" width="19.85546875" customWidth="1"/>
    <col min="73" max="73" width="32" customWidth="1"/>
    <col min="74" max="74" width="31.28515625" customWidth="1"/>
    <col min="75" max="75" width="21.42578125" bestFit="1" customWidth="1"/>
    <col min="76" max="76" width="23.7109375" bestFit="1" customWidth="1"/>
    <col min="77" max="77" width="39.140625" bestFit="1" customWidth="1"/>
    <col min="78" max="78" width="37.28515625" bestFit="1" customWidth="1"/>
    <col min="80" max="80" width="19.140625" bestFit="1" customWidth="1"/>
    <col min="81" max="81" width="17" bestFit="1" customWidth="1"/>
    <col min="82" max="82" width="25.140625" bestFit="1" customWidth="1"/>
  </cols>
  <sheetData>
    <row r="1" spans="1:84" x14ac:dyDescent="0.25">
      <c r="A1" s="36" t="s">
        <v>7903</v>
      </c>
      <c r="B1" s="48" t="s">
        <v>6962</v>
      </c>
      <c r="C1" s="36" t="s">
        <v>6963</v>
      </c>
      <c r="D1" s="48" t="s">
        <v>6964</v>
      </c>
      <c r="E1" s="48" t="s">
        <v>6965</v>
      </c>
      <c r="F1" s="36" t="s">
        <v>15</v>
      </c>
      <c r="G1" s="48" t="s">
        <v>14</v>
      </c>
      <c r="H1" s="48" t="s">
        <v>4</v>
      </c>
      <c r="I1" s="36" t="s">
        <v>6</v>
      </c>
      <c r="J1" s="36" t="s">
        <v>6966</v>
      </c>
      <c r="K1" s="36" t="s">
        <v>23</v>
      </c>
      <c r="L1" s="36" t="s">
        <v>8</v>
      </c>
      <c r="M1" s="36" t="s">
        <v>6967</v>
      </c>
      <c r="N1" s="48" t="s">
        <v>6968</v>
      </c>
      <c r="O1" s="36" t="s">
        <v>6969</v>
      </c>
      <c r="P1" s="48" t="s">
        <v>6970</v>
      </c>
      <c r="Q1" s="48" t="s">
        <v>6971</v>
      </c>
      <c r="R1" s="48" t="s">
        <v>6972</v>
      </c>
      <c r="S1" s="48" t="s">
        <v>6973</v>
      </c>
      <c r="T1" s="48" t="s">
        <v>6974</v>
      </c>
      <c r="U1" s="48" t="s">
        <v>6975</v>
      </c>
      <c r="V1" s="48" t="s">
        <v>6976</v>
      </c>
      <c r="W1" s="48" t="s">
        <v>6977</v>
      </c>
      <c r="X1" s="48" t="s">
        <v>6978</v>
      </c>
      <c r="Y1" s="48" t="s">
        <v>6979</v>
      </c>
      <c r="Z1" s="36" t="s">
        <v>6980</v>
      </c>
      <c r="AA1" s="36" t="s">
        <v>6981</v>
      </c>
      <c r="AB1" s="48" t="s">
        <v>6982</v>
      </c>
      <c r="AC1" s="36" t="s">
        <v>6983</v>
      </c>
      <c r="AD1" s="48" t="s">
        <v>6984</v>
      </c>
      <c r="AE1" s="48" t="s">
        <v>6985</v>
      </c>
      <c r="AF1" s="48" t="s">
        <v>6986</v>
      </c>
      <c r="AG1" s="48" t="s">
        <v>6987</v>
      </c>
      <c r="AH1" s="48" t="s">
        <v>6988</v>
      </c>
      <c r="AI1" s="48" t="s">
        <v>6989</v>
      </c>
      <c r="AJ1" s="48" t="s">
        <v>6990</v>
      </c>
      <c r="AK1" s="48" t="s">
        <v>6991</v>
      </c>
      <c r="AL1" s="48" t="s">
        <v>6992</v>
      </c>
      <c r="AM1" s="48" t="s">
        <v>6993</v>
      </c>
      <c r="AN1" s="48" t="s">
        <v>6994</v>
      </c>
      <c r="AO1" s="36" t="s">
        <v>6995</v>
      </c>
      <c r="AP1" s="36" t="s">
        <v>6996</v>
      </c>
      <c r="AQ1" s="48" t="s">
        <v>6997</v>
      </c>
      <c r="AR1" s="48" t="s">
        <v>6998</v>
      </c>
      <c r="AS1" s="48" t="s">
        <v>6999</v>
      </c>
      <c r="AT1" s="36" t="s">
        <v>7000</v>
      </c>
      <c r="AU1" s="48" t="s">
        <v>7001</v>
      </c>
      <c r="AV1" s="48" t="s">
        <v>7002</v>
      </c>
      <c r="AW1" s="48" t="s">
        <v>7003</v>
      </c>
      <c r="AX1" s="48" t="s">
        <v>7004</v>
      </c>
      <c r="AY1" s="36" t="s">
        <v>7005</v>
      </c>
      <c r="AZ1" s="48" t="s">
        <v>7006</v>
      </c>
      <c r="BA1" s="48" t="s">
        <v>7007</v>
      </c>
      <c r="BB1" s="48" t="s">
        <v>7008</v>
      </c>
      <c r="BC1" s="48" t="s">
        <v>7009</v>
      </c>
      <c r="BD1" s="36" t="s">
        <v>33</v>
      </c>
      <c r="BE1" s="48" t="s">
        <v>7010</v>
      </c>
      <c r="BF1" s="48" t="s">
        <v>7011</v>
      </c>
      <c r="BG1" s="48" t="s">
        <v>25</v>
      </c>
      <c r="BH1" s="48" t="s">
        <v>7012</v>
      </c>
      <c r="BI1" s="48" t="s">
        <v>7013</v>
      </c>
      <c r="BJ1" s="48" t="s">
        <v>7014</v>
      </c>
      <c r="BK1" s="48" t="s">
        <v>7015</v>
      </c>
      <c r="BL1" s="48" t="s">
        <v>24</v>
      </c>
      <c r="BM1" s="48" t="s">
        <v>29</v>
      </c>
      <c r="BN1" s="48" t="s">
        <v>32</v>
      </c>
      <c r="BO1" s="52" t="s">
        <v>7016</v>
      </c>
      <c r="BP1" s="48" t="s">
        <v>7017</v>
      </c>
      <c r="BQ1" s="48" t="s">
        <v>7018</v>
      </c>
      <c r="BR1" s="48" t="s">
        <v>7019</v>
      </c>
      <c r="BS1" s="48" t="s">
        <v>7020</v>
      </c>
      <c r="BT1" s="48" t="s">
        <v>7021</v>
      </c>
      <c r="BU1" s="48" t="s">
        <v>7022</v>
      </c>
      <c r="BV1" s="37" t="s">
        <v>7023</v>
      </c>
      <c r="BW1" s="37" t="s">
        <v>54</v>
      </c>
      <c r="BX1" s="37" t="s">
        <v>97</v>
      </c>
      <c r="BY1" s="37" t="s">
        <v>52</v>
      </c>
      <c r="BZ1" s="38" t="s">
        <v>7024</v>
      </c>
      <c r="CA1" s="37" t="s">
        <v>7025</v>
      </c>
      <c r="CB1" s="36" t="s">
        <v>7904</v>
      </c>
      <c r="CC1" s="36" t="s">
        <v>7905</v>
      </c>
      <c r="CD1" s="36" t="s">
        <v>7906</v>
      </c>
      <c r="CE1" t="s">
        <v>7898</v>
      </c>
      <c r="CF1" t="s">
        <v>7899</v>
      </c>
    </row>
    <row r="2" spans="1:84" x14ac:dyDescent="0.25">
      <c r="A2">
        <v>202212</v>
      </c>
      <c r="B2" s="39">
        <v>44914</v>
      </c>
      <c r="C2" t="s">
        <v>7026</v>
      </c>
      <c r="D2" t="s">
        <v>7027</v>
      </c>
      <c r="E2" t="s">
        <v>95</v>
      </c>
      <c r="F2" t="s">
        <v>77</v>
      </c>
      <c r="G2" t="s">
        <v>164</v>
      </c>
      <c r="H2" t="s">
        <v>67</v>
      </c>
      <c r="I2" t="s">
        <v>7028</v>
      </c>
      <c r="J2" t="s">
        <v>7029</v>
      </c>
      <c r="K2" t="s">
        <v>84</v>
      </c>
      <c r="L2" t="s">
        <v>606</v>
      </c>
      <c r="M2" t="s">
        <v>1672</v>
      </c>
      <c r="N2" t="s">
        <v>79</v>
      </c>
      <c r="O2" s="40">
        <v>26.78</v>
      </c>
      <c r="P2" t="s">
        <v>95</v>
      </c>
      <c r="Q2" t="s">
        <v>95</v>
      </c>
      <c r="R2" t="s">
        <v>95</v>
      </c>
      <c r="S2" s="40">
        <v>0</v>
      </c>
      <c r="T2" t="s">
        <v>95</v>
      </c>
      <c r="U2" t="s">
        <v>95</v>
      </c>
      <c r="V2" t="s">
        <v>95</v>
      </c>
      <c r="W2" t="s">
        <v>95</v>
      </c>
      <c r="X2" s="40">
        <v>26.78</v>
      </c>
      <c r="Y2" t="s">
        <v>81</v>
      </c>
      <c r="Z2" t="s">
        <v>112</v>
      </c>
      <c r="AA2" t="s">
        <v>781</v>
      </c>
      <c r="AB2" t="s">
        <v>79</v>
      </c>
      <c r="AC2" s="40">
        <v>17.850000000000001</v>
      </c>
      <c r="AD2" t="s">
        <v>95</v>
      </c>
      <c r="AE2" t="s">
        <v>95</v>
      </c>
      <c r="AF2" t="s">
        <v>95</v>
      </c>
      <c r="AG2" t="s">
        <v>95</v>
      </c>
      <c r="AH2" s="40">
        <v>0</v>
      </c>
      <c r="AI2" t="s">
        <v>95</v>
      </c>
      <c r="AJ2" t="s">
        <v>95</v>
      </c>
      <c r="AK2" t="s">
        <v>95</v>
      </c>
      <c r="AL2" t="s">
        <v>95</v>
      </c>
      <c r="AM2" s="40">
        <v>17.850000000000001</v>
      </c>
      <c r="AN2" t="s">
        <v>81</v>
      </c>
      <c r="AO2" s="39">
        <v>44912</v>
      </c>
      <c r="AP2" t="s">
        <v>318</v>
      </c>
      <c r="AQ2" t="s">
        <v>319</v>
      </c>
      <c r="AR2" t="s">
        <v>318</v>
      </c>
      <c r="AS2" t="s">
        <v>319</v>
      </c>
      <c r="AT2" t="s">
        <v>85</v>
      </c>
      <c r="AU2" t="s">
        <v>7030</v>
      </c>
      <c r="AV2" t="s">
        <v>7031</v>
      </c>
      <c r="AW2" t="s">
        <v>7031</v>
      </c>
      <c r="AX2" t="s">
        <v>90</v>
      </c>
      <c r="AY2" t="s">
        <v>73</v>
      </c>
      <c r="AZ2" t="s">
        <v>7029</v>
      </c>
      <c r="BA2" t="s">
        <v>92</v>
      </c>
      <c r="BB2" s="40">
        <v>8.93</v>
      </c>
      <c r="BC2" s="40">
        <v>8.93</v>
      </c>
      <c r="BD2" t="s">
        <v>7032</v>
      </c>
      <c r="BE2" t="s">
        <v>81</v>
      </c>
      <c r="BF2" t="s">
        <v>81</v>
      </c>
      <c r="BG2" t="s">
        <v>86</v>
      </c>
      <c r="BH2" t="s">
        <v>151</v>
      </c>
      <c r="BI2" t="s">
        <v>7033</v>
      </c>
      <c r="BJ2" t="s">
        <v>7030</v>
      </c>
      <c r="BK2" t="s">
        <v>92</v>
      </c>
      <c r="BL2" t="s">
        <v>85</v>
      </c>
      <c r="BM2" t="s">
        <v>85</v>
      </c>
      <c r="BN2" t="s">
        <v>92</v>
      </c>
      <c r="BO2">
        <v>8.93</v>
      </c>
      <c r="BP2" t="s">
        <v>7032</v>
      </c>
      <c r="BQ2">
        <v>8.93</v>
      </c>
      <c r="BR2" t="s">
        <v>7032</v>
      </c>
      <c r="BS2" s="41">
        <v>8.93</v>
      </c>
      <c r="BT2" t="s">
        <v>7032</v>
      </c>
      <c r="BU2" t="s">
        <v>7032</v>
      </c>
      <c r="BV2" s="42" t="str">
        <f>CambioPlan[[#This Row],[TELEFONO]]&amp;"UPSELLSI"</f>
        <v>939805727UPSELLSI</v>
      </c>
      <c r="BW2">
        <f>DAY(CambioPlan[[#This Row],[FECHA_CAMBIO_PLAN]])</f>
        <v>17</v>
      </c>
      <c r="BX2" t="str">
        <f>VLOOKUP(CambioPlan[[#This Row],[NOM_PLAZA]],[1]!Locales[#Data],3,0)</f>
        <v>TIENDA CUENCA REMIGIO</v>
      </c>
      <c r="BY2" t="str">
        <f>VLOOKUP(CambioPlan[[#This Row],[DOMAIN_LOGIN_OW]],[1]!Personal[#Data],6,0)</f>
        <v>RODRIGUEZ QUITO JESSICA GABRIELA</v>
      </c>
      <c r="BZ2" s="42"/>
      <c r="CA2" s="42" t="str">
        <f>IFERROR(IF(FIND("ADULTO",CambioPlan[[#This Row],[DESCRIPCION_PLAN_ACTUAL]],1),"NO SE PAGA",),"SI SE PAGA")</f>
        <v>SI SE PAGA</v>
      </c>
      <c r="CB2" s="54">
        <f>CambioPlan[[#This Row],[TARIFA_BASICA_ACTUAL]]-CambioPlan[[#This Row],[TARIFA_BASICA_ANTERIOR]]</f>
        <v>8.93</v>
      </c>
      <c r="CC2" s="56">
        <f>CambioPlan[[#This Row],[DIF. TARIFAS]]*4</f>
        <v>35.72</v>
      </c>
      <c r="CD2" s="53" t="str">
        <f>IF(CambioPlan[[#This Row],[C. COMISIÓN TME]]&lt;0,"DOWNSELL",IF(CambioPlan[[#This Row],[C. COMISIÓN TME]]=0,"MISMA TARIFA",IF(CambioPlan[[#This Row],[C. COMISIÓN TME]]&gt;0,"UPSELL")))</f>
        <v>UPSELL</v>
      </c>
      <c r="CE2">
        <f>VLOOKUP(CambioPlan[[#This Row],[TARIFA_BASICA_ANTERIOR]],[3]Hoja1!$F:$G,2,0)</f>
        <v>2</v>
      </c>
      <c r="CF2">
        <f>VLOOKUP(CambioPlan[[#This Row],[TARIFA_BASICA_ACTUAL]],[3]Hoja1!$B:$C,2,0)</f>
        <v>4</v>
      </c>
    </row>
    <row r="3" spans="1:84" x14ac:dyDescent="0.25">
      <c r="A3" s="43">
        <v>202212</v>
      </c>
      <c r="B3" s="44">
        <v>44914</v>
      </c>
      <c r="C3" s="43" t="s">
        <v>7034</v>
      </c>
      <c r="D3" s="43" t="s">
        <v>7035</v>
      </c>
      <c r="E3" s="43" t="s">
        <v>95</v>
      </c>
      <c r="F3" s="43" t="s">
        <v>77</v>
      </c>
      <c r="G3" s="43" t="s">
        <v>2241</v>
      </c>
      <c r="H3" s="43" t="s">
        <v>67</v>
      </c>
      <c r="I3" s="43" t="s">
        <v>7036</v>
      </c>
      <c r="J3" s="43" t="s">
        <v>7037</v>
      </c>
      <c r="K3" s="43" t="s">
        <v>84</v>
      </c>
      <c r="L3" s="43" t="s">
        <v>112</v>
      </c>
      <c r="M3" s="43" t="s">
        <v>781</v>
      </c>
      <c r="N3" s="43" t="s">
        <v>79</v>
      </c>
      <c r="O3" s="45">
        <v>17.850000000000001</v>
      </c>
      <c r="P3" s="43" t="s">
        <v>95</v>
      </c>
      <c r="Q3" s="43" t="s">
        <v>95</v>
      </c>
      <c r="R3" s="43" t="s">
        <v>95</v>
      </c>
      <c r="S3" s="45">
        <v>0</v>
      </c>
      <c r="T3" s="43" t="s">
        <v>95</v>
      </c>
      <c r="U3" s="44" t="s">
        <v>95</v>
      </c>
      <c r="V3" s="44" t="s">
        <v>95</v>
      </c>
      <c r="W3" s="43" t="s">
        <v>95</v>
      </c>
      <c r="X3" s="45">
        <v>17.850000000000001</v>
      </c>
      <c r="Y3" s="43" t="s">
        <v>81</v>
      </c>
      <c r="Z3" s="43" t="s">
        <v>71</v>
      </c>
      <c r="AA3" s="43" t="s">
        <v>258</v>
      </c>
      <c r="AB3" s="43" t="s">
        <v>79</v>
      </c>
      <c r="AC3" s="45">
        <v>11.42</v>
      </c>
      <c r="AD3" s="43" t="s">
        <v>95</v>
      </c>
      <c r="AE3" s="43" t="s">
        <v>95</v>
      </c>
      <c r="AF3" s="43" t="s">
        <v>95</v>
      </c>
      <c r="AG3" s="43" t="s">
        <v>95</v>
      </c>
      <c r="AH3" s="45">
        <v>0</v>
      </c>
      <c r="AI3" s="43" t="s">
        <v>95</v>
      </c>
      <c r="AJ3" s="43" t="s">
        <v>95</v>
      </c>
      <c r="AK3" s="43" t="s">
        <v>95</v>
      </c>
      <c r="AL3" s="43" t="s">
        <v>95</v>
      </c>
      <c r="AM3" s="45">
        <v>11.42</v>
      </c>
      <c r="AN3" s="43" t="s">
        <v>81</v>
      </c>
      <c r="AO3" s="44">
        <v>44912</v>
      </c>
      <c r="AP3" s="43" t="s">
        <v>199</v>
      </c>
      <c r="AQ3" s="43" t="s">
        <v>200</v>
      </c>
      <c r="AR3" s="43" t="s">
        <v>199</v>
      </c>
      <c r="AS3" s="43" t="s">
        <v>200</v>
      </c>
      <c r="AT3" s="43" t="s">
        <v>85</v>
      </c>
      <c r="AU3" s="43" t="s">
        <v>7030</v>
      </c>
      <c r="AV3" s="43" t="s">
        <v>7031</v>
      </c>
      <c r="AW3" s="43" t="s">
        <v>7031</v>
      </c>
      <c r="AX3" s="43" t="s">
        <v>90</v>
      </c>
      <c r="AY3" s="43" t="s">
        <v>132</v>
      </c>
      <c r="AZ3" s="43" t="s">
        <v>7037</v>
      </c>
      <c r="BA3" s="43" t="s">
        <v>139</v>
      </c>
      <c r="BB3" s="45">
        <v>6.43</v>
      </c>
      <c r="BC3" s="45">
        <v>6.43</v>
      </c>
      <c r="BD3" s="43" t="s">
        <v>7032</v>
      </c>
      <c r="BE3" s="43" t="s">
        <v>81</v>
      </c>
      <c r="BF3" s="43" t="s">
        <v>81</v>
      </c>
      <c r="BG3" s="43" t="s">
        <v>86</v>
      </c>
      <c r="BH3" s="43" t="s">
        <v>177</v>
      </c>
      <c r="BI3" s="43" t="s">
        <v>7038</v>
      </c>
      <c r="BJ3" s="43" t="s">
        <v>7030</v>
      </c>
      <c r="BK3" s="43" t="s">
        <v>139</v>
      </c>
      <c r="BL3" s="43" t="s">
        <v>85</v>
      </c>
      <c r="BM3" s="43" t="s">
        <v>85</v>
      </c>
      <c r="BN3" s="43" t="s">
        <v>139</v>
      </c>
      <c r="BO3" s="46">
        <v>6.43</v>
      </c>
      <c r="BP3" s="43" t="s">
        <v>7032</v>
      </c>
      <c r="BQ3" s="43">
        <v>6.43</v>
      </c>
      <c r="BR3" s="43" t="s">
        <v>7032</v>
      </c>
      <c r="BS3" s="47">
        <v>6.43</v>
      </c>
      <c r="BT3" s="43" t="s">
        <v>7032</v>
      </c>
      <c r="BU3" s="43" t="s">
        <v>7032</v>
      </c>
      <c r="BV3" s="43" t="str">
        <f>CambioPlan[[#This Row],[TELEFONO]]&amp;"UPSELLSI"</f>
        <v>958615807UPSELLSI</v>
      </c>
      <c r="BW3" s="43">
        <f>DAY(CambioPlan[[#This Row],[FECHA_CAMBIO_PLAN]])</f>
        <v>17</v>
      </c>
      <c r="BX3" s="43" t="str">
        <f>VLOOKUP(CambioPlan[[#This Row],[NOM_PLAZA]],[1]!Locales[#Data],3,0)</f>
        <v>TIENDA RECREO</v>
      </c>
      <c r="BY3" s="43" t="str">
        <f>VLOOKUP(CambioPlan[[#This Row],[DOMAIN_LOGIN_OW]],[1]!Personal[#Data],6,0)</f>
        <v>MEDINA LAPO DAYANNA CAROLINA</v>
      </c>
      <c r="BZ3" s="43"/>
      <c r="CA3" s="43" t="str">
        <f>IFERROR(IF(FIND("ADULTO",CambioPlan[[#This Row],[DESCRIPCION_PLAN_ACTUAL]],1),"NO SE PAGA",),"SI SE PAGA")</f>
        <v>SI SE PAGA</v>
      </c>
      <c r="CB3" s="45">
        <f>CambioPlan[[#This Row],[TARIFA_BASICA_ACTUAL]]-CambioPlan[[#This Row],[TARIFA_BASICA_ANTERIOR]]</f>
        <v>6.4300000000000015</v>
      </c>
      <c r="CC3" s="56">
        <f>CambioPlan[[#This Row],[DIF. TARIFAS]]*4</f>
        <v>25.720000000000006</v>
      </c>
      <c r="CD3" s="53" t="str">
        <f>IF(CambioPlan[[#This Row],[C. COMISIÓN TME]]&lt;0,"DOWNSELL",IF(CambioPlan[[#This Row],[C. COMISIÓN TME]]=0,"MISMA TARIFA",IF(CambioPlan[[#This Row],[C. COMISIÓN TME]]&gt;0,"UPSELL")))</f>
        <v>UPSELL</v>
      </c>
      <c r="CE3">
        <f>VLOOKUP(CambioPlan[[#This Row],[TARIFA_BASICA_ANTERIOR]],[3]Hoja1!$F:$G,2,0)</f>
        <v>0</v>
      </c>
      <c r="CF3">
        <f>VLOOKUP(CambioPlan[[#This Row],[TARIFA_BASICA_ACTUAL]],[3]Hoja1!$B:$C,2,0)</f>
        <v>2</v>
      </c>
    </row>
    <row r="4" spans="1:84" x14ac:dyDescent="0.25">
      <c r="A4" s="43">
        <v>202212</v>
      </c>
      <c r="B4" s="44">
        <v>44914</v>
      </c>
      <c r="C4" s="43" t="s">
        <v>7039</v>
      </c>
      <c r="D4" s="43" t="s">
        <v>7040</v>
      </c>
      <c r="E4" s="43" t="s">
        <v>95</v>
      </c>
      <c r="F4" s="43" t="s">
        <v>231</v>
      </c>
      <c r="G4" s="43" t="s">
        <v>231</v>
      </c>
      <c r="H4" s="43" t="s">
        <v>67</v>
      </c>
      <c r="I4" s="43" t="s">
        <v>7041</v>
      </c>
      <c r="J4" s="43" t="s">
        <v>7037</v>
      </c>
      <c r="K4" s="43" t="s">
        <v>84</v>
      </c>
      <c r="L4" s="43" t="s">
        <v>6724</v>
      </c>
      <c r="M4" s="43" t="s">
        <v>6725</v>
      </c>
      <c r="N4" s="43" t="s">
        <v>79</v>
      </c>
      <c r="O4" s="45">
        <v>26.78</v>
      </c>
      <c r="P4" s="43" t="s">
        <v>95</v>
      </c>
      <c r="Q4" s="43" t="s">
        <v>95</v>
      </c>
      <c r="R4" s="43" t="s">
        <v>95</v>
      </c>
      <c r="S4" s="45">
        <v>0</v>
      </c>
      <c r="T4" s="43" t="s">
        <v>95</v>
      </c>
      <c r="U4" s="44" t="s">
        <v>95</v>
      </c>
      <c r="V4" s="44" t="s">
        <v>95</v>
      </c>
      <c r="W4" s="43" t="s">
        <v>95</v>
      </c>
      <c r="X4" s="45">
        <v>26.78</v>
      </c>
      <c r="Y4" s="43" t="s">
        <v>81</v>
      </c>
      <c r="Z4" s="43" t="s">
        <v>3972</v>
      </c>
      <c r="AA4" s="43" t="s">
        <v>3973</v>
      </c>
      <c r="AB4" s="43" t="s">
        <v>79</v>
      </c>
      <c r="AC4" s="45">
        <v>26.78</v>
      </c>
      <c r="AD4" s="43" t="s">
        <v>95</v>
      </c>
      <c r="AE4" s="43" t="s">
        <v>95</v>
      </c>
      <c r="AF4" s="43" t="s">
        <v>95</v>
      </c>
      <c r="AG4" s="43" t="s">
        <v>95</v>
      </c>
      <c r="AH4" s="45">
        <v>0</v>
      </c>
      <c r="AI4" s="43" t="s">
        <v>95</v>
      </c>
      <c r="AJ4" s="43" t="s">
        <v>95</v>
      </c>
      <c r="AK4" s="43" t="s">
        <v>95</v>
      </c>
      <c r="AL4" s="43" t="s">
        <v>95</v>
      </c>
      <c r="AM4" s="45">
        <v>26.78</v>
      </c>
      <c r="AN4" s="43" t="s">
        <v>81</v>
      </c>
      <c r="AO4" s="44">
        <v>44897</v>
      </c>
      <c r="AP4" s="43" t="s">
        <v>492</v>
      </c>
      <c r="AQ4" s="43" t="s">
        <v>493</v>
      </c>
      <c r="AR4" s="43" t="s">
        <v>492</v>
      </c>
      <c r="AS4" s="43" t="s">
        <v>493</v>
      </c>
      <c r="AT4" s="43" t="s">
        <v>85</v>
      </c>
      <c r="AU4" s="43" t="s">
        <v>7030</v>
      </c>
      <c r="AV4" s="43" t="s">
        <v>7031</v>
      </c>
      <c r="AW4" s="43" t="s">
        <v>7031</v>
      </c>
      <c r="AX4" s="43" t="s">
        <v>90</v>
      </c>
      <c r="AY4" s="43" t="s">
        <v>132</v>
      </c>
      <c r="AZ4" s="43" t="s">
        <v>7037</v>
      </c>
      <c r="BA4" s="43" t="s">
        <v>139</v>
      </c>
      <c r="BB4" s="45">
        <v>0</v>
      </c>
      <c r="BC4" s="45">
        <v>0</v>
      </c>
      <c r="BD4" s="43" t="s">
        <v>7042</v>
      </c>
      <c r="BE4" s="43" t="s">
        <v>81</v>
      </c>
      <c r="BF4" s="43" t="s">
        <v>81</v>
      </c>
      <c r="BG4" s="43" t="s">
        <v>86</v>
      </c>
      <c r="BH4" s="43" t="s">
        <v>177</v>
      </c>
      <c r="BI4" s="43" t="s">
        <v>7038</v>
      </c>
      <c r="BJ4" s="43" t="s">
        <v>7030</v>
      </c>
      <c r="BK4" s="43" t="s">
        <v>139</v>
      </c>
      <c r="BL4" s="43" t="s">
        <v>85</v>
      </c>
      <c r="BM4" s="43" t="s">
        <v>85</v>
      </c>
      <c r="BN4" s="43" t="s">
        <v>139</v>
      </c>
      <c r="BO4" s="46">
        <v>0</v>
      </c>
      <c r="BP4" s="43" t="s">
        <v>7042</v>
      </c>
      <c r="BQ4" s="43">
        <v>0</v>
      </c>
      <c r="BR4" s="43" t="s">
        <v>7042</v>
      </c>
      <c r="BS4" s="47">
        <v>0</v>
      </c>
      <c r="BT4" s="43" t="s">
        <v>7042</v>
      </c>
      <c r="BU4" s="43" t="s">
        <v>7042</v>
      </c>
      <c r="BV4" s="43" t="str">
        <f>CambioPlan[[#This Row],[TELEFONO]]&amp;"UPSELLSI"</f>
        <v>958617594UPSELLSI</v>
      </c>
      <c r="BW4" s="43">
        <f>DAY(CambioPlan[[#This Row],[FECHA_CAMBIO_PLAN]])</f>
        <v>2</v>
      </c>
      <c r="BX4" s="43" t="str">
        <f>VLOOKUP(CambioPlan[[#This Row],[NOM_PLAZA]],[1]!Locales[#Data],3,0)</f>
        <v>TIENDA RECREO</v>
      </c>
      <c r="BY4" s="43" t="str">
        <f>VLOOKUP(CambioPlan[[#This Row],[DOMAIN_LOGIN_OW]],[1]!Personal[#Data],6,0)</f>
        <v>CONDO GARCIA NICOLAS MATIAS</v>
      </c>
      <c r="BZ4" s="43"/>
      <c r="CA4" s="43" t="str">
        <f>IFERROR(IF(FIND("ADULTO",CambioPlan[[#This Row],[DESCRIPCION_PLAN_ACTUAL]],1),"NO SE PAGA",),"SI SE PAGA")</f>
        <v>SI SE PAGA</v>
      </c>
      <c r="CB4" s="45">
        <f>CambioPlan[[#This Row],[TARIFA_BASICA_ACTUAL]]-CambioPlan[[#This Row],[TARIFA_BASICA_ANTERIOR]]</f>
        <v>0</v>
      </c>
      <c r="CC4" s="56">
        <f>CambioPlan[[#This Row],[DIF. TARIFAS]]*4</f>
        <v>0</v>
      </c>
      <c r="CD4" s="53" t="str">
        <f>IF(CambioPlan[[#This Row],[C. COMISIÓN TME]]&lt;0,"DOWNSELL",IF(CambioPlan[[#This Row],[C. COMISIÓN TME]]=0,"MISMA TARIFA",IF(CambioPlan[[#This Row],[C. COMISIÓN TME]]&gt;0,"UPSELL")))</f>
        <v>MISMA TARIFA</v>
      </c>
      <c r="CE4">
        <f>VLOOKUP(CambioPlan[[#This Row],[TARIFA_BASICA_ANTERIOR]],[3]Hoja1!$F:$G,2,0)</f>
        <v>4</v>
      </c>
      <c r="CF4">
        <f>VLOOKUP(CambioPlan[[#This Row],[TARIFA_BASICA_ACTUAL]],[3]Hoja1!$B:$C,2,0)</f>
        <v>4</v>
      </c>
    </row>
    <row r="5" spans="1:84" x14ac:dyDescent="0.25">
      <c r="A5" s="43">
        <v>202212</v>
      </c>
      <c r="B5" s="44">
        <v>44914</v>
      </c>
      <c r="C5" s="43" t="s">
        <v>7043</v>
      </c>
      <c r="D5" s="43" t="s">
        <v>7044</v>
      </c>
      <c r="E5" s="43" t="s">
        <v>95</v>
      </c>
      <c r="F5" s="43" t="s">
        <v>768</v>
      </c>
      <c r="G5" s="43" t="s">
        <v>1036</v>
      </c>
      <c r="H5" s="43" t="s">
        <v>67</v>
      </c>
      <c r="I5" s="43" t="s">
        <v>5405</v>
      </c>
      <c r="J5" s="43" t="s">
        <v>7037</v>
      </c>
      <c r="K5" s="43" t="s">
        <v>118</v>
      </c>
      <c r="L5" s="43" t="s">
        <v>160</v>
      </c>
      <c r="M5" s="43" t="s">
        <v>161</v>
      </c>
      <c r="N5" s="43" t="s">
        <v>79</v>
      </c>
      <c r="O5" s="45">
        <v>14.28</v>
      </c>
      <c r="P5" s="43" t="s">
        <v>95</v>
      </c>
      <c r="Q5" s="43" t="s">
        <v>95</v>
      </c>
      <c r="R5" s="43" t="s">
        <v>95</v>
      </c>
      <c r="S5" s="45">
        <v>0</v>
      </c>
      <c r="T5" s="43" t="s">
        <v>95</v>
      </c>
      <c r="U5" s="44" t="s">
        <v>95</v>
      </c>
      <c r="V5" s="44" t="s">
        <v>95</v>
      </c>
      <c r="W5" s="43" t="s">
        <v>95</v>
      </c>
      <c r="X5" s="45">
        <v>14.28</v>
      </c>
      <c r="Y5" s="43" t="s">
        <v>81</v>
      </c>
      <c r="Z5" s="43" t="s">
        <v>71</v>
      </c>
      <c r="AA5" s="43" t="s">
        <v>258</v>
      </c>
      <c r="AB5" s="43" t="s">
        <v>79</v>
      </c>
      <c r="AC5" s="45">
        <v>11.42</v>
      </c>
      <c r="AD5" s="43" t="s">
        <v>95</v>
      </c>
      <c r="AE5" s="43" t="s">
        <v>95</v>
      </c>
      <c r="AF5" s="43" t="s">
        <v>95</v>
      </c>
      <c r="AG5" s="43" t="s">
        <v>95</v>
      </c>
      <c r="AH5" s="45">
        <v>0</v>
      </c>
      <c r="AI5" s="43" t="s">
        <v>95</v>
      </c>
      <c r="AJ5" s="43" t="s">
        <v>95</v>
      </c>
      <c r="AK5" s="43" t="s">
        <v>95</v>
      </c>
      <c r="AL5" s="43" t="s">
        <v>95</v>
      </c>
      <c r="AM5" s="45">
        <v>11.42</v>
      </c>
      <c r="AN5" s="43" t="s">
        <v>81</v>
      </c>
      <c r="AO5" s="44">
        <v>44903</v>
      </c>
      <c r="AP5" s="43" t="s">
        <v>808</v>
      </c>
      <c r="AQ5" s="43" t="s">
        <v>809</v>
      </c>
      <c r="AR5" s="43" t="s">
        <v>7045</v>
      </c>
      <c r="AS5" s="43" t="s">
        <v>7046</v>
      </c>
      <c r="AT5" s="43" t="s">
        <v>85</v>
      </c>
      <c r="AU5" s="43" t="s">
        <v>7030</v>
      </c>
      <c r="AV5" s="43" t="s">
        <v>7031</v>
      </c>
      <c r="AW5" s="43" t="s">
        <v>7031</v>
      </c>
      <c r="AX5" s="43" t="s">
        <v>90</v>
      </c>
      <c r="AY5" s="43" t="s">
        <v>114</v>
      </c>
      <c r="AZ5" s="43" t="s">
        <v>7047</v>
      </c>
      <c r="BA5" s="43" t="s">
        <v>92</v>
      </c>
      <c r="BB5" s="45">
        <v>2.86</v>
      </c>
      <c r="BC5" s="45">
        <v>2.86</v>
      </c>
      <c r="BD5" s="43" t="s">
        <v>7032</v>
      </c>
      <c r="BE5" s="43" t="s">
        <v>81</v>
      </c>
      <c r="BF5" s="43" t="s">
        <v>81</v>
      </c>
      <c r="BG5" s="43" t="s">
        <v>86</v>
      </c>
      <c r="BH5" s="43" t="s">
        <v>122</v>
      </c>
      <c r="BI5" s="43" t="s">
        <v>7048</v>
      </c>
      <c r="BJ5" s="43" t="s">
        <v>7030</v>
      </c>
      <c r="BK5" s="43" t="s">
        <v>92</v>
      </c>
      <c r="BL5" s="43" t="s">
        <v>85</v>
      </c>
      <c r="BM5" s="43" t="s">
        <v>85</v>
      </c>
      <c r="BN5" s="43" t="s">
        <v>92</v>
      </c>
      <c r="BO5" s="46">
        <v>2.86</v>
      </c>
      <c r="BP5" s="43" t="s">
        <v>7032</v>
      </c>
      <c r="BQ5" s="43">
        <v>2.86</v>
      </c>
      <c r="BR5" s="43" t="s">
        <v>7032</v>
      </c>
      <c r="BS5" s="47">
        <v>2.86</v>
      </c>
      <c r="BT5" s="43" t="s">
        <v>7032</v>
      </c>
      <c r="BU5" s="43" t="s">
        <v>7032</v>
      </c>
      <c r="BV5" s="43" t="str">
        <f>CambioPlan[[#This Row],[TELEFONO]]&amp;"UPSELLSI"</f>
        <v>958647504UPSELLSI</v>
      </c>
      <c r="BW5" s="43">
        <f>DAY(CambioPlan[[#This Row],[FECHA_CAMBIO_PLAN]])</f>
        <v>8</v>
      </c>
      <c r="BX5" s="43" t="str">
        <f>VLOOKUP(CambioPlan[[#This Row],[NOM_PLAZA]],[1]!Locales[#Data],3,0)</f>
        <v>TIENDA MACHALA</v>
      </c>
      <c r="BY5" s="43" t="str">
        <f>VLOOKUP(CambioPlan[[#This Row],[DOMAIN_LOGIN_OW]],[1]!Personal[#Data],6,0)</f>
        <v>ALICIA ROMINA GONZALEZ SANDOYA</v>
      </c>
      <c r="BZ5" s="43"/>
      <c r="CA5" s="43" t="str">
        <f>IFERROR(IF(FIND("ADULTO",CambioPlan[[#This Row],[DESCRIPCION_PLAN_ACTUAL]],1),"NO SE PAGA",),"SI SE PAGA")</f>
        <v>SI SE PAGA</v>
      </c>
      <c r="CB5" s="45">
        <f>CambioPlan[[#This Row],[TARIFA_BASICA_ACTUAL]]-CambioPlan[[#This Row],[TARIFA_BASICA_ANTERIOR]]</f>
        <v>2.8599999999999994</v>
      </c>
      <c r="CC5" s="56">
        <f>CambioPlan[[#This Row],[DIF. TARIFAS]]*4</f>
        <v>11.439999999999998</v>
      </c>
      <c r="CD5" s="53" t="str">
        <f>IF(CambioPlan[[#This Row],[C. COMISIÓN TME]]&lt;0,"DOWNSELL",IF(CambioPlan[[#This Row],[C. COMISIÓN TME]]=0,"MISMA TARIFA",IF(CambioPlan[[#This Row],[C. COMISIÓN TME]]&gt;0,"UPSELL")))</f>
        <v>UPSELL</v>
      </c>
      <c r="CE5">
        <f>VLOOKUP(CambioPlan[[#This Row],[TARIFA_BASICA_ANTERIOR]],[3]Hoja1!$F:$G,2,0)</f>
        <v>0</v>
      </c>
      <c r="CF5">
        <f>VLOOKUP(CambioPlan[[#This Row],[TARIFA_BASICA_ACTUAL]],[3]Hoja1!$B:$C,2,0)</f>
        <v>1</v>
      </c>
    </row>
    <row r="6" spans="1:84" x14ac:dyDescent="0.25">
      <c r="A6" s="43">
        <v>202212</v>
      </c>
      <c r="B6" s="44">
        <v>44914</v>
      </c>
      <c r="C6" s="43" t="s">
        <v>7049</v>
      </c>
      <c r="D6" s="43" t="s">
        <v>7050</v>
      </c>
      <c r="E6" s="43" t="s">
        <v>95</v>
      </c>
      <c r="F6" s="43" t="s">
        <v>77</v>
      </c>
      <c r="G6" s="43" t="s">
        <v>2241</v>
      </c>
      <c r="H6" s="43" t="s">
        <v>67</v>
      </c>
      <c r="I6" s="43" t="s">
        <v>7051</v>
      </c>
      <c r="J6" s="43" t="s">
        <v>7037</v>
      </c>
      <c r="K6" s="43" t="s">
        <v>118</v>
      </c>
      <c r="L6" s="43" t="s">
        <v>227</v>
      </c>
      <c r="M6" s="43" t="s">
        <v>426</v>
      </c>
      <c r="N6" s="43" t="s">
        <v>79</v>
      </c>
      <c r="O6" s="45">
        <v>21.42</v>
      </c>
      <c r="P6" s="43" t="s">
        <v>95</v>
      </c>
      <c r="Q6" s="43" t="s">
        <v>95</v>
      </c>
      <c r="R6" s="43" t="s">
        <v>95</v>
      </c>
      <c r="S6" s="45">
        <v>0</v>
      </c>
      <c r="T6" s="43" t="s">
        <v>95</v>
      </c>
      <c r="U6" s="44" t="s">
        <v>95</v>
      </c>
      <c r="V6" s="44" t="s">
        <v>95</v>
      </c>
      <c r="W6" s="43" t="s">
        <v>95</v>
      </c>
      <c r="X6" s="45">
        <v>21.42</v>
      </c>
      <c r="Y6" s="43" t="s">
        <v>81</v>
      </c>
      <c r="Z6" s="43" t="s">
        <v>160</v>
      </c>
      <c r="AA6" s="43" t="s">
        <v>161</v>
      </c>
      <c r="AB6" s="43" t="s">
        <v>79</v>
      </c>
      <c r="AC6" s="45">
        <v>14.28</v>
      </c>
      <c r="AD6" s="43" t="s">
        <v>95</v>
      </c>
      <c r="AE6" s="43" t="s">
        <v>95</v>
      </c>
      <c r="AF6" s="43" t="s">
        <v>95</v>
      </c>
      <c r="AG6" s="43" t="s">
        <v>95</v>
      </c>
      <c r="AH6" s="45">
        <v>0</v>
      </c>
      <c r="AI6" s="43" t="s">
        <v>95</v>
      </c>
      <c r="AJ6" s="43" t="s">
        <v>95</v>
      </c>
      <c r="AK6" s="43" t="s">
        <v>95</v>
      </c>
      <c r="AL6" s="43" t="s">
        <v>95</v>
      </c>
      <c r="AM6" s="45">
        <v>14.28</v>
      </c>
      <c r="AN6" s="43" t="s">
        <v>81</v>
      </c>
      <c r="AO6" s="44">
        <v>44909</v>
      </c>
      <c r="AP6" s="43" t="s">
        <v>175</v>
      </c>
      <c r="AQ6" s="43" t="s">
        <v>176</v>
      </c>
      <c r="AR6" s="43" t="s">
        <v>175</v>
      </c>
      <c r="AS6" s="43" t="s">
        <v>176</v>
      </c>
      <c r="AT6" s="43" t="s">
        <v>85</v>
      </c>
      <c r="AU6" s="43" t="s">
        <v>7030</v>
      </c>
      <c r="AV6" s="43" t="s">
        <v>7031</v>
      </c>
      <c r="AW6" s="43" t="s">
        <v>7031</v>
      </c>
      <c r="AX6" s="43" t="s">
        <v>90</v>
      </c>
      <c r="AY6" s="43" t="s">
        <v>132</v>
      </c>
      <c r="AZ6" s="43" t="s">
        <v>7037</v>
      </c>
      <c r="BA6" s="43" t="s">
        <v>139</v>
      </c>
      <c r="BB6" s="45">
        <v>7.14</v>
      </c>
      <c r="BC6" s="45">
        <v>7.14</v>
      </c>
      <c r="BD6" s="43" t="s">
        <v>7032</v>
      </c>
      <c r="BE6" s="43" t="s">
        <v>81</v>
      </c>
      <c r="BF6" s="43" t="s">
        <v>81</v>
      </c>
      <c r="BG6" s="43" t="s">
        <v>86</v>
      </c>
      <c r="BH6" s="43" t="s">
        <v>177</v>
      </c>
      <c r="BI6" s="43" t="s">
        <v>7038</v>
      </c>
      <c r="BJ6" s="43" t="s">
        <v>7030</v>
      </c>
      <c r="BK6" s="43" t="s">
        <v>139</v>
      </c>
      <c r="BL6" s="43" t="s">
        <v>85</v>
      </c>
      <c r="BM6" s="43" t="s">
        <v>85</v>
      </c>
      <c r="BN6" s="43" t="s">
        <v>139</v>
      </c>
      <c r="BO6" s="46">
        <v>7.14</v>
      </c>
      <c r="BP6" s="43" t="s">
        <v>7032</v>
      </c>
      <c r="BQ6" s="43">
        <v>7.14</v>
      </c>
      <c r="BR6" s="43" t="s">
        <v>7032</v>
      </c>
      <c r="BS6" s="47">
        <v>7.14</v>
      </c>
      <c r="BT6" s="43" t="s">
        <v>7032</v>
      </c>
      <c r="BU6" s="43" t="s">
        <v>7032</v>
      </c>
      <c r="BV6" s="43" t="str">
        <f>CambioPlan[[#This Row],[TELEFONO]]&amp;"UPSELLSI"</f>
        <v>958726904UPSELLSI</v>
      </c>
      <c r="BW6" s="43">
        <f>DAY(CambioPlan[[#This Row],[FECHA_CAMBIO_PLAN]])</f>
        <v>14</v>
      </c>
      <c r="BX6" s="43" t="str">
        <f>VLOOKUP(CambioPlan[[#This Row],[NOM_PLAZA]],[1]!Locales[#Data],3,0)</f>
        <v>TIENDA RECREO</v>
      </c>
      <c r="BY6" s="43" t="str">
        <f>VLOOKUP(CambioPlan[[#This Row],[DOMAIN_LOGIN_OW]],[1]!Personal[#Data],6,0)</f>
        <v>VARGAS REYES LUIS EDUARDO</v>
      </c>
      <c r="BZ6" s="43"/>
      <c r="CA6" s="43" t="str">
        <f>IFERROR(IF(FIND("ADULTO",CambioPlan[[#This Row],[DESCRIPCION_PLAN_ACTUAL]],1),"NO SE PAGA",),"SI SE PAGA")</f>
        <v>SI SE PAGA</v>
      </c>
      <c r="CB6" s="45">
        <f>CambioPlan[[#This Row],[TARIFA_BASICA_ACTUAL]]-CambioPlan[[#This Row],[TARIFA_BASICA_ANTERIOR]]</f>
        <v>7.1400000000000023</v>
      </c>
      <c r="CC6" s="56">
        <f>CambioPlan[[#This Row],[DIF. TARIFAS]]*4</f>
        <v>28.560000000000009</v>
      </c>
      <c r="CD6" s="53" t="str">
        <f>IF(CambioPlan[[#This Row],[C. COMISIÓN TME]]&lt;0,"DOWNSELL",IF(CambioPlan[[#This Row],[C. COMISIÓN TME]]=0,"MISMA TARIFA",IF(CambioPlan[[#This Row],[C. COMISIÓN TME]]&gt;0,"UPSELL")))</f>
        <v>UPSELL</v>
      </c>
      <c r="CE6">
        <f>VLOOKUP(CambioPlan[[#This Row],[TARIFA_BASICA_ANTERIOR]],[3]Hoja1!$F:$G,2,0)</f>
        <v>1</v>
      </c>
      <c r="CF6">
        <f>VLOOKUP(CambioPlan[[#This Row],[TARIFA_BASICA_ACTUAL]],[3]Hoja1!$B:$C,2,0)</f>
        <v>3</v>
      </c>
    </row>
    <row r="7" spans="1:84" x14ac:dyDescent="0.25">
      <c r="A7" s="43">
        <v>202212</v>
      </c>
      <c r="B7" s="44">
        <v>44914</v>
      </c>
      <c r="C7" s="43" t="s">
        <v>7052</v>
      </c>
      <c r="D7" s="43" t="s">
        <v>7053</v>
      </c>
      <c r="E7" s="43" t="s">
        <v>95</v>
      </c>
      <c r="F7" s="43" t="s">
        <v>231</v>
      </c>
      <c r="G7" s="43" t="s">
        <v>231</v>
      </c>
      <c r="H7" s="43" t="s">
        <v>67</v>
      </c>
      <c r="I7" s="43" t="s">
        <v>7054</v>
      </c>
      <c r="J7" s="43" t="s">
        <v>7037</v>
      </c>
      <c r="K7" s="43" t="s">
        <v>84</v>
      </c>
      <c r="L7" s="43" t="s">
        <v>574</v>
      </c>
      <c r="M7" s="43" t="s">
        <v>575</v>
      </c>
      <c r="N7" s="43" t="s">
        <v>79</v>
      </c>
      <c r="O7" s="45">
        <v>17.850000000000001</v>
      </c>
      <c r="P7" s="43" t="s">
        <v>95</v>
      </c>
      <c r="Q7" s="43" t="s">
        <v>95</v>
      </c>
      <c r="R7" s="43" t="s">
        <v>95</v>
      </c>
      <c r="S7" s="45">
        <v>0</v>
      </c>
      <c r="T7" s="43" t="s">
        <v>95</v>
      </c>
      <c r="U7" s="44" t="s">
        <v>95</v>
      </c>
      <c r="V7" s="44" t="s">
        <v>95</v>
      </c>
      <c r="W7" s="43" t="s">
        <v>95</v>
      </c>
      <c r="X7" s="45">
        <v>17.850000000000001</v>
      </c>
      <c r="Y7" s="43" t="s">
        <v>81</v>
      </c>
      <c r="Z7" s="43" t="s">
        <v>7055</v>
      </c>
      <c r="AA7" s="43" t="s">
        <v>7056</v>
      </c>
      <c r="AB7" s="43" t="s">
        <v>79</v>
      </c>
      <c r="AC7" s="45">
        <v>15</v>
      </c>
      <c r="AD7" s="43" t="s">
        <v>95</v>
      </c>
      <c r="AE7" s="43" t="s">
        <v>95</v>
      </c>
      <c r="AF7" s="43" t="s">
        <v>95</v>
      </c>
      <c r="AG7" s="43" t="s">
        <v>95</v>
      </c>
      <c r="AH7" s="45">
        <v>0</v>
      </c>
      <c r="AI7" s="43" t="s">
        <v>95</v>
      </c>
      <c r="AJ7" s="43" t="s">
        <v>95</v>
      </c>
      <c r="AK7" s="43" t="s">
        <v>95</v>
      </c>
      <c r="AL7" s="43" t="s">
        <v>95</v>
      </c>
      <c r="AM7" s="45">
        <v>15</v>
      </c>
      <c r="AN7" s="43" t="s">
        <v>81</v>
      </c>
      <c r="AO7" s="44">
        <v>44898</v>
      </c>
      <c r="AP7" s="43" t="s">
        <v>120</v>
      </c>
      <c r="AQ7" s="43" t="s">
        <v>121</v>
      </c>
      <c r="AR7" s="43" t="s">
        <v>120</v>
      </c>
      <c r="AS7" s="43" t="s">
        <v>121</v>
      </c>
      <c r="AT7" s="43" t="s">
        <v>85</v>
      </c>
      <c r="AU7" s="43" t="s">
        <v>7030</v>
      </c>
      <c r="AV7" s="43" t="s">
        <v>7031</v>
      </c>
      <c r="AW7" s="43" t="s">
        <v>7031</v>
      </c>
      <c r="AX7" s="43" t="s">
        <v>90</v>
      </c>
      <c r="AY7" s="43" t="s">
        <v>114</v>
      </c>
      <c r="AZ7" s="43" t="s">
        <v>7047</v>
      </c>
      <c r="BA7" s="43" t="s">
        <v>92</v>
      </c>
      <c r="BB7" s="45">
        <v>2.85</v>
      </c>
      <c r="BC7" s="45">
        <v>2.85</v>
      </c>
      <c r="BD7" s="43" t="s">
        <v>7032</v>
      </c>
      <c r="BE7" s="43" t="s">
        <v>81</v>
      </c>
      <c r="BF7" s="43" t="s">
        <v>81</v>
      </c>
      <c r="BG7" s="43" t="s">
        <v>86</v>
      </c>
      <c r="BH7" s="43" t="s">
        <v>122</v>
      </c>
      <c r="BI7" s="43" t="s">
        <v>7048</v>
      </c>
      <c r="BJ7" s="43" t="s">
        <v>7030</v>
      </c>
      <c r="BK7" s="43" t="s">
        <v>92</v>
      </c>
      <c r="BL7" s="43" t="s">
        <v>85</v>
      </c>
      <c r="BM7" s="43" t="s">
        <v>85</v>
      </c>
      <c r="BN7" s="43" t="s">
        <v>92</v>
      </c>
      <c r="BO7" s="46">
        <v>2.85</v>
      </c>
      <c r="BP7" s="43" t="s">
        <v>7032</v>
      </c>
      <c r="BQ7" s="43">
        <v>2.85</v>
      </c>
      <c r="BR7" s="43" t="s">
        <v>7032</v>
      </c>
      <c r="BS7" s="47">
        <v>2.85</v>
      </c>
      <c r="BT7" s="43" t="s">
        <v>7032</v>
      </c>
      <c r="BU7" s="43" t="s">
        <v>7032</v>
      </c>
      <c r="BV7" s="43" t="str">
        <f>CambioPlan[[#This Row],[TELEFONO]]&amp;"UPSELLSI"</f>
        <v>958734758UPSELLSI</v>
      </c>
      <c r="BW7" s="43">
        <f>DAY(CambioPlan[[#This Row],[FECHA_CAMBIO_PLAN]])</f>
        <v>3</v>
      </c>
      <c r="BX7" s="43" t="str">
        <f>VLOOKUP(CambioPlan[[#This Row],[NOM_PLAZA]],[1]!Locales[#Data],3,0)</f>
        <v>TIENDA MACHALA</v>
      </c>
      <c r="BY7" s="43" t="str">
        <f>VLOOKUP(CambioPlan[[#This Row],[DOMAIN_LOGIN_OW]],[1]!Personal[#Data],6,0)</f>
        <v>ARROBO VICENTE YADIRA ESPERANZA</v>
      </c>
      <c r="BZ7" s="43"/>
      <c r="CA7" s="43" t="str">
        <f>IFERROR(IF(FIND("ADULTO",CambioPlan[[#This Row],[DESCRIPCION_PLAN_ACTUAL]],1),"NO SE PAGA",),"SI SE PAGA")</f>
        <v>SI SE PAGA</v>
      </c>
      <c r="CB7" s="45">
        <f>CambioPlan[[#This Row],[TARIFA_BASICA_ACTUAL]]-CambioPlan[[#This Row],[TARIFA_BASICA_ANTERIOR]]</f>
        <v>2.8500000000000014</v>
      </c>
      <c r="CC7" s="56">
        <f>CambioPlan[[#This Row],[DIF. TARIFAS]]*4</f>
        <v>11.400000000000006</v>
      </c>
      <c r="CD7" s="53" t="str">
        <f>IF(CambioPlan[[#This Row],[C. COMISIÓN TME]]&lt;0,"DOWNSELL",IF(CambioPlan[[#This Row],[C. COMISIÓN TME]]=0,"MISMA TARIFA",IF(CambioPlan[[#This Row],[C. COMISIÓN TME]]&gt;0,"UPSELL")))</f>
        <v>UPSELL</v>
      </c>
      <c r="CE7">
        <f>VLOOKUP(CambioPlan[[#This Row],[TARIFA_BASICA_ANTERIOR]],[3]Hoja1!$F:$G,2,0)</f>
        <v>2</v>
      </c>
      <c r="CF7">
        <f>VLOOKUP(CambioPlan[[#This Row],[TARIFA_BASICA_ACTUAL]],[3]Hoja1!$B:$C,2,0)</f>
        <v>2</v>
      </c>
    </row>
    <row r="8" spans="1:84" x14ac:dyDescent="0.25">
      <c r="A8" s="43">
        <v>202212</v>
      </c>
      <c r="B8" s="44">
        <v>44914</v>
      </c>
      <c r="C8" s="43" t="s">
        <v>7057</v>
      </c>
      <c r="D8" s="43" t="s">
        <v>7058</v>
      </c>
      <c r="E8" s="43" t="s">
        <v>95</v>
      </c>
      <c r="F8" s="43" t="s">
        <v>231</v>
      </c>
      <c r="G8" s="43" t="s">
        <v>231</v>
      </c>
      <c r="H8" s="43" t="s">
        <v>67</v>
      </c>
      <c r="I8" s="43" t="s">
        <v>7059</v>
      </c>
      <c r="J8" s="43" t="s">
        <v>7037</v>
      </c>
      <c r="K8" s="43" t="s">
        <v>118</v>
      </c>
      <c r="L8" s="43" t="s">
        <v>515</v>
      </c>
      <c r="M8" s="43" t="s">
        <v>516</v>
      </c>
      <c r="N8" s="43" t="s">
        <v>79</v>
      </c>
      <c r="O8" s="45">
        <v>14.28</v>
      </c>
      <c r="P8" s="43" t="s">
        <v>95</v>
      </c>
      <c r="Q8" s="43" t="s">
        <v>95</v>
      </c>
      <c r="R8" s="43" t="s">
        <v>95</v>
      </c>
      <c r="S8" s="45">
        <v>0</v>
      </c>
      <c r="T8" s="43" t="s">
        <v>95</v>
      </c>
      <c r="U8" s="44" t="s">
        <v>95</v>
      </c>
      <c r="V8" s="44" t="s">
        <v>95</v>
      </c>
      <c r="W8" s="43" t="s">
        <v>95</v>
      </c>
      <c r="X8" s="45">
        <v>14.28</v>
      </c>
      <c r="Y8" s="43" t="s">
        <v>81</v>
      </c>
      <c r="Z8" s="43" t="s">
        <v>7060</v>
      </c>
      <c r="AA8" s="43" t="s">
        <v>7061</v>
      </c>
      <c r="AB8" s="43" t="s">
        <v>79</v>
      </c>
      <c r="AC8" s="45">
        <v>12.99</v>
      </c>
      <c r="AD8" s="43" t="s">
        <v>95</v>
      </c>
      <c r="AE8" s="43" t="s">
        <v>95</v>
      </c>
      <c r="AF8" s="43" t="s">
        <v>95</v>
      </c>
      <c r="AG8" s="43" t="s">
        <v>95</v>
      </c>
      <c r="AH8" s="45">
        <v>0</v>
      </c>
      <c r="AI8" s="43" t="s">
        <v>95</v>
      </c>
      <c r="AJ8" s="43" t="s">
        <v>95</v>
      </c>
      <c r="AK8" s="43" t="s">
        <v>95</v>
      </c>
      <c r="AL8" s="43" t="s">
        <v>95</v>
      </c>
      <c r="AM8" s="45">
        <v>12.99</v>
      </c>
      <c r="AN8" s="43" t="s">
        <v>81</v>
      </c>
      <c r="AO8" s="44">
        <v>44907</v>
      </c>
      <c r="AP8" s="43" t="s">
        <v>1315</v>
      </c>
      <c r="AQ8" s="43" t="s">
        <v>1316</v>
      </c>
      <c r="AR8" s="43" t="s">
        <v>7062</v>
      </c>
      <c r="AS8" s="43" t="s">
        <v>95</v>
      </c>
      <c r="AT8" s="43" t="s">
        <v>85</v>
      </c>
      <c r="AU8" s="43" t="s">
        <v>7030</v>
      </c>
      <c r="AV8" s="43" t="s">
        <v>7031</v>
      </c>
      <c r="AW8" s="43" t="s">
        <v>7031</v>
      </c>
      <c r="AX8" s="43" t="s">
        <v>90</v>
      </c>
      <c r="AY8" s="43" t="s">
        <v>132</v>
      </c>
      <c r="AZ8" s="43" t="s">
        <v>7037</v>
      </c>
      <c r="BA8" s="43" t="s">
        <v>139</v>
      </c>
      <c r="BB8" s="45">
        <v>1.29</v>
      </c>
      <c r="BC8" s="45">
        <v>1.29</v>
      </c>
      <c r="BD8" s="43" t="s">
        <v>7032</v>
      </c>
      <c r="BE8" s="43" t="s">
        <v>81</v>
      </c>
      <c r="BF8" s="43" t="s">
        <v>81</v>
      </c>
      <c r="BG8" s="43" t="s">
        <v>86</v>
      </c>
      <c r="BH8" s="43" t="s">
        <v>177</v>
      </c>
      <c r="BI8" s="43" t="s">
        <v>7038</v>
      </c>
      <c r="BJ8" s="43" t="s">
        <v>7030</v>
      </c>
      <c r="BK8" s="43" t="s">
        <v>139</v>
      </c>
      <c r="BL8" s="43" t="s">
        <v>85</v>
      </c>
      <c r="BM8" s="43" t="s">
        <v>85</v>
      </c>
      <c r="BN8" s="43" t="s">
        <v>139</v>
      </c>
      <c r="BO8" s="46">
        <v>1.29</v>
      </c>
      <c r="BP8" s="43" t="s">
        <v>7032</v>
      </c>
      <c r="BQ8" s="43">
        <v>1.29</v>
      </c>
      <c r="BR8" s="43" t="s">
        <v>7032</v>
      </c>
      <c r="BS8" s="47">
        <v>1.29</v>
      </c>
      <c r="BT8" s="43" t="s">
        <v>7032</v>
      </c>
      <c r="BU8" s="43" t="s">
        <v>7032</v>
      </c>
      <c r="BV8" s="43" t="str">
        <f>CambioPlan[[#This Row],[TELEFONO]]&amp;"UPSELLSI"</f>
        <v>958745974UPSELLSI</v>
      </c>
      <c r="BW8" s="43">
        <f>DAY(CambioPlan[[#This Row],[FECHA_CAMBIO_PLAN]])</f>
        <v>12</v>
      </c>
      <c r="BX8" s="43" t="str">
        <f>VLOOKUP(CambioPlan[[#This Row],[NOM_PLAZA]],[1]!Locales[#Data],3,0)</f>
        <v>TIENDA RECREO</v>
      </c>
      <c r="BY8" s="43" t="str">
        <f>VLOOKUP(CambioPlan[[#This Row],[DOMAIN_LOGIN_OW]],[1]!Personal[#Data],6,0)</f>
        <v>ORTEGA  NATALIE MÉNDEZ</v>
      </c>
      <c r="BZ8" s="43"/>
      <c r="CA8" s="43" t="str">
        <f>IFERROR(IF(FIND("ADULTO",CambioPlan[[#This Row],[DESCRIPCION_PLAN_ACTUAL]],1),"NO SE PAGA",),"SI SE PAGA")</f>
        <v>SI SE PAGA</v>
      </c>
      <c r="CB8" s="45">
        <f>CambioPlan[[#This Row],[TARIFA_BASICA_ACTUAL]]-CambioPlan[[#This Row],[TARIFA_BASICA_ANTERIOR]]</f>
        <v>1.2899999999999991</v>
      </c>
      <c r="CC8" s="56">
        <f>CambioPlan[[#This Row],[DIF. TARIFAS]]*4</f>
        <v>5.1599999999999966</v>
      </c>
      <c r="CD8" s="53" t="str">
        <f>IF(CambioPlan[[#This Row],[C. COMISIÓN TME]]&lt;0,"DOWNSELL",IF(CambioPlan[[#This Row],[C. COMISIÓN TME]]=0,"MISMA TARIFA",IF(CambioPlan[[#This Row],[C. COMISIÓN TME]]&gt;0,"UPSELL")))</f>
        <v>UPSELL</v>
      </c>
      <c r="CE8">
        <f>VLOOKUP(CambioPlan[[#This Row],[TARIFA_BASICA_ANTERIOR]],[3]Hoja1!$F:$G,2,0)</f>
        <v>1</v>
      </c>
      <c r="CF8">
        <f>VLOOKUP(CambioPlan[[#This Row],[TARIFA_BASICA_ACTUAL]],[3]Hoja1!$B:$C,2,0)</f>
        <v>1</v>
      </c>
    </row>
    <row r="9" spans="1:84" x14ac:dyDescent="0.25">
      <c r="A9" s="43">
        <v>202212</v>
      </c>
      <c r="B9" s="44">
        <v>44914</v>
      </c>
      <c r="C9" s="43" t="s">
        <v>7063</v>
      </c>
      <c r="D9" s="43" t="s">
        <v>7064</v>
      </c>
      <c r="E9" s="43" t="s">
        <v>95</v>
      </c>
      <c r="F9" s="43" t="s">
        <v>231</v>
      </c>
      <c r="G9" s="43" t="s">
        <v>231</v>
      </c>
      <c r="H9" s="43" t="s">
        <v>246</v>
      </c>
      <c r="I9" s="43" t="s">
        <v>7065</v>
      </c>
      <c r="J9" s="43" t="s">
        <v>7066</v>
      </c>
      <c r="K9" s="43" t="s">
        <v>215</v>
      </c>
      <c r="L9" s="43" t="s">
        <v>7067</v>
      </c>
      <c r="M9" s="43" t="s">
        <v>7068</v>
      </c>
      <c r="N9" s="43" t="s">
        <v>79</v>
      </c>
      <c r="O9" s="45">
        <v>51.78</v>
      </c>
      <c r="P9" s="43" t="s">
        <v>95</v>
      </c>
      <c r="Q9" s="43" t="s">
        <v>95</v>
      </c>
      <c r="R9" s="43" t="s">
        <v>95</v>
      </c>
      <c r="S9" s="45">
        <v>0</v>
      </c>
      <c r="T9" s="43" t="s">
        <v>95</v>
      </c>
      <c r="U9" s="44" t="s">
        <v>95</v>
      </c>
      <c r="V9" s="44" t="s">
        <v>95</v>
      </c>
      <c r="W9" s="43" t="s">
        <v>95</v>
      </c>
      <c r="X9" s="45">
        <v>51.78</v>
      </c>
      <c r="Y9" s="43" t="s">
        <v>81</v>
      </c>
      <c r="Z9" s="43" t="s">
        <v>7069</v>
      </c>
      <c r="AA9" s="43" t="s">
        <v>7070</v>
      </c>
      <c r="AB9" s="43" t="s">
        <v>79</v>
      </c>
      <c r="AC9" s="45">
        <v>21.42</v>
      </c>
      <c r="AD9" s="43" t="s">
        <v>95</v>
      </c>
      <c r="AE9" s="43" t="s">
        <v>95</v>
      </c>
      <c r="AF9" s="43" t="s">
        <v>95</v>
      </c>
      <c r="AG9" s="43" t="s">
        <v>95</v>
      </c>
      <c r="AH9" s="45">
        <v>0</v>
      </c>
      <c r="AI9" s="43" t="s">
        <v>95</v>
      </c>
      <c r="AJ9" s="43" t="s">
        <v>95</v>
      </c>
      <c r="AK9" s="43" t="s">
        <v>95</v>
      </c>
      <c r="AL9" s="43" t="s">
        <v>95</v>
      </c>
      <c r="AM9" s="45">
        <v>21.42</v>
      </c>
      <c r="AN9" s="43" t="s">
        <v>81</v>
      </c>
      <c r="AO9" s="44">
        <v>44911</v>
      </c>
      <c r="AP9" s="43" t="s">
        <v>822</v>
      </c>
      <c r="AQ9" s="43" t="s">
        <v>823</v>
      </c>
      <c r="AR9" s="43" t="s">
        <v>822</v>
      </c>
      <c r="AS9" s="43" t="s">
        <v>823</v>
      </c>
      <c r="AT9" s="43" t="s">
        <v>85</v>
      </c>
      <c r="AU9" s="43" t="s">
        <v>7030</v>
      </c>
      <c r="AV9" s="43" t="s">
        <v>7031</v>
      </c>
      <c r="AW9" s="43" t="s">
        <v>7031</v>
      </c>
      <c r="AX9" s="43" t="s">
        <v>90</v>
      </c>
      <c r="AY9" s="43" t="s">
        <v>132</v>
      </c>
      <c r="AZ9" s="43" t="s">
        <v>7037</v>
      </c>
      <c r="BA9" s="43" t="s">
        <v>139</v>
      </c>
      <c r="BB9" s="45">
        <v>30.36</v>
      </c>
      <c r="BC9" s="45">
        <v>30.36</v>
      </c>
      <c r="BD9" s="43" t="s">
        <v>7032</v>
      </c>
      <c r="BE9" s="43" t="s">
        <v>81</v>
      </c>
      <c r="BF9" s="43" t="s">
        <v>81</v>
      </c>
      <c r="BG9" s="43" t="s">
        <v>86</v>
      </c>
      <c r="BH9" s="43" t="s">
        <v>177</v>
      </c>
      <c r="BI9" s="43" t="s">
        <v>7038</v>
      </c>
      <c r="BJ9" s="43" t="s">
        <v>7030</v>
      </c>
      <c r="BK9" s="43" t="s">
        <v>139</v>
      </c>
      <c r="BL9" s="43" t="s">
        <v>85</v>
      </c>
      <c r="BM9" s="43" t="s">
        <v>85</v>
      </c>
      <c r="BN9" s="43" t="s">
        <v>139</v>
      </c>
      <c r="BO9" s="46">
        <v>30.36</v>
      </c>
      <c r="BP9" s="43" t="s">
        <v>7032</v>
      </c>
      <c r="BQ9" s="43">
        <v>30.36</v>
      </c>
      <c r="BR9" s="43" t="s">
        <v>7032</v>
      </c>
      <c r="BS9" s="47">
        <v>30.36</v>
      </c>
      <c r="BT9" s="43" t="s">
        <v>7032</v>
      </c>
      <c r="BU9" s="43" t="s">
        <v>7032</v>
      </c>
      <c r="BV9" s="43" t="str">
        <f>CambioPlan[[#This Row],[TELEFONO]]&amp;"UPSELLSI"</f>
        <v>958893169UPSELLSI</v>
      </c>
      <c r="BW9" s="43">
        <f>DAY(CambioPlan[[#This Row],[FECHA_CAMBIO_PLAN]])</f>
        <v>16</v>
      </c>
      <c r="BX9" s="43" t="str">
        <f>VLOOKUP(CambioPlan[[#This Row],[NOM_PLAZA]],[1]!Locales[#Data],3,0)</f>
        <v>TIENDA RECREO</v>
      </c>
      <c r="BY9" s="43" t="str">
        <f>VLOOKUP(CambioPlan[[#This Row],[DOMAIN_LOGIN_OW]],[1]!Personal[#Data],6,0)</f>
        <v>SALAS PARRA MARIA JOSE</v>
      </c>
      <c r="BZ9" s="43"/>
      <c r="CA9" s="43" t="str">
        <f>IFERROR(IF(FIND("ADULTO",CambioPlan[[#This Row],[DESCRIPCION_PLAN_ACTUAL]],1),"NO SE PAGA",),"SI SE PAGA")</f>
        <v>SI SE PAGA</v>
      </c>
      <c r="CB9" s="45">
        <f>CambioPlan[[#This Row],[TARIFA_BASICA_ACTUAL]]-CambioPlan[[#This Row],[TARIFA_BASICA_ANTERIOR]]</f>
        <v>30.36</v>
      </c>
      <c r="CC9" s="56">
        <f>CambioPlan[[#This Row],[DIF. TARIFAS]]*4</f>
        <v>121.44</v>
      </c>
      <c r="CD9" s="53" t="str">
        <f>IF(CambioPlan[[#This Row],[C. COMISIÓN TME]]&lt;0,"DOWNSELL",IF(CambioPlan[[#This Row],[C. COMISIÓN TME]]=0,"MISMA TARIFA",IF(CambioPlan[[#This Row],[C. COMISIÓN TME]]&gt;0,"UPSELL")))</f>
        <v>UPSELL</v>
      </c>
      <c r="CE9">
        <f>VLOOKUP(CambioPlan[[#This Row],[TARIFA_BASICA_ANTERIOR]],[3]Hoja1!$F:$G,2,0)</f>
        <v>3</v>
      </c>
      <c r="CF9">
        <f>VLOOKUP(CambioPlan[[#This Row],[TARIFA_BASICA_ACTUAL]],[3]Hoja1!$B:$C,2,0)</f>
        <v>6</v>
      </c>
    </row>
    <row r="10" spans="1:84" x14ac:dyDescent="0.25">
      <c r="A10" s="43">
        <v>202212</v>
      </c>
      <c r="B10" s="44">
        <v>44914</v>
      </c>
      <c r="C10" s="43" t="s">
        <v>7071</v>
      </c>
      <c r="D10" s="43" t="s">
        <v>7072</v>
      </c>
      <c r="E10" s="43" t="s">
        <v>95</v>
      </c>
      <c r="F10" s="43" t="s">
        <v>77</v>
      </c>
      <c r="G10" s="43" t="s">
        <v>2241</v>
      </c>
      <c r="H10" s="43" t="s">
        <v>67</v>
      </c>
      <c r="I10" s="43" t="s">
        <v>7073</v>
      </c>
      <c r="J10" s="43" t="s">
        <v>7029</v>
      </c>
      <c r="K10" s="43" t="s">
        <v>84</v>
      </c>
      <c r="L10" s="43" t="s">
        <v>112</v>
      </c>
      <c r="M10" s="43" t="s">
        <v>781</v>
      </c>
      <c r="N10" s="43" t="s">
        <v>79</v>
      </c>
      <c r="O10" s="45">
        <v>17.850000000000001</v>
      </c>
      <c r="P10" s="43" t="s">
        <v>95</v>
      </c>
      <c r="Q10" s="43" t="s">
        <v>95</v>
      </c>
      <c r="R10" s="43" t="s">
        <v>95</v>
      </c>
      <c r="S10" s="45">
        <v>0</v>
      </c>
      <c r="T10" s="43" t="s">
        <v>95</v>
      </c>
      <c r="U10" s="44" t="s">
        <v>95</v>
      </c>
      <c r="V10" s="44" t="s">
        <v>95</v>
      </c>
      <c r="W10" s="43" t="s">
        <v>95</v>
      </c>
      <c r="X10" s="45">
        <v>17.850000000000001</v>
      </c>
      <c r="Y10" s="43" t="s">
        <v>81</v>
      </c>
      <c r="Z10" s="43" t="s">
        <v>7074</v>
      </c>
      <c r="AA10" s="43" t="s">
        <v>7075</v>
      </c>
      <c r="AB10" s="43" t="s">
        <v>79</v>
      </c>
      <c r="AC10" s="45">
        <v>12.99</v>
      </c>
      <c r="AD10" s="43" t="s">
        <v>95</v>
      </c>
      <c r="AE10" s="43" t="s">
        <v>95</v>
      </c>
      <c r="AF10" s="43" t="s">
        <v>95</v>
      </c>
      <c r="AG10" s="43" t="s">
        <v>95</v>
      </c>
      <c r="AH10" s="45">
        <v>0</v>
      </c>
      <c r="AI10" s="43" t="s">
        <v>95</v>
      </c>
      <c r="AJ10" s="43" t="s">
        <v>95</v>
      </c>
      <c r="AK10" s="43" t="s">
        <v>95</v>
      </c>
      <c r="AL10" s="43" t="s">
        <v>95</v>
      </c>
      <c r="AM10" s="45">
        <v>12.99</v>
      </c>
      <c r="AN10" s="43" t="s">
        <v>81</v>
      </c>
      <c r="AO10" s="44">
        <v>44903</v>
      </c>
      <c r="AP10" s="43" t="s">
        <v>326</v>
      </c>
      <c r="AQ10" s="43" t="s">
        <v>327</v>
      </c>
      <c r="AR10" s="43" t="s">
        <v>326</v>
      </c>
      <c r="AS10" s="43" t="s">
        <v>327</v>
      </c>
      <c r="AT10" s="43" t="s">
        <v>85</v>
      </c>
      <c r="AU10" s="43" t="s">
        <v>7030</v>
      </c>
      <c r="AV10" s="43" t="s">
        <v>7031</v>
      </c>
      <c r="AW10" s="43" t="s">
        <v>7031</v>
      </c>
      <c r="AX10" s="43" t="s">
        <v>90</v>
      </c>
      <c r="AY10" s="43" t="s">
        <v>132</v>
      </c>
      <c r="AZ10" s="43" t="s">
        <v>7037</v>
      </c>
      <c r="BA10" s="43" t="s">
        <v>139</v>
      </c>
      <c r="BB10" s="45">
        <v>4.8600000000000003</v>
      </c>
      <c r="BC10" s="45">
        <v>4.8600000000000003</v>
      </c>
      <c r="BD10" s="43" t="s">
        <v>7032</v>
      </c>
      <c r="BE10" s="43" t="s">
        <v>81</v>
      </c>
      <c r="BF10" s="43" t="s">
        <v>81</v>
      </c>
      <c r="BG10" s="43" t="s">
        <v>86</v>
      </c>
      <c r="BH10" s="43" t="s">
        <v>138</v>
      </c>
      <c r="BI10" s="43" t="s">
        <v>7076</v>
      </c>
      <c r="BJ10" s="43" t="s">
        <v>7030</v>
      </c>
      <c r="BK10" s="43" t="s">
        <v>139</v>
      </c>
      <c r="BL10" s="43" t="s">
        <v>85</v>
      </c>
      <c r="BM10" s="43" t="s">
        <v>85</v>
      </c>
      <c r="BN10" s="43" t="s">
        <v>139</v>
      </c>
      <c r="BO10" s="46">
        <v>4.8600000000000003</v>
      </c>
      <c r="BP10" s="43" t="s">
        <v>7032</v>
      </c>
      <c r="BQ10" s="43">
        <v>4.8600000000000003</v>
      </c>
      <c r="BR10" s="43" t="s">
        <v>7032</v>
      </c>
      <c r="BS10" s="47">
        <v>4.8600000000000003</v>
      </c>
      <c r="BT10" s="43" t="s">
        <v>7032</v>
      </c>
      <c r="BU10" s="43" t="s">
        <v>7032</v>
      </c>
      <c r="BV10" s="43" t="str">
        <f>CambioPlan[[#This Row],[TELEFONO]]&amp;"UPSELLSI"</f>
        <v>958894917UPSELLSI</v>
      </c>
      <c r="BW10" s="43">
        <f>DAY(CambioPlan[[#This Row],[FECHA_CAMBIO_PLAN]])</f>
        <v>8</v>
      </c>
      <c r="BX10" s="43" t="str">
        <f>VLOOKUP(CambioPlan[[#This Row],[NOM_PLAZA]],[1]!Locales[#Data],3,0)</f>
        <v>TIENDA AMERICA</v>
      </c>
      <c r="BY10" s="43" t="str">
        <f>VLOOKUP(CambioPlan[[#This Row],[DOMAIN_LOGIN_OW]],[1]!Personal[#Data],6,0)</f>
        <v>AMBULUDI ROLDAN GIANELLA GRIMANEZA</v>
      </c>
      <c r="BZ10" s="43"/>
      <c r="CA10" s="43" t="str">
        <f>IFERROR(IF(FIND("ADULTO",CambioPlan[[#This Row],[DESCRIPCION_PLAN_ACTUAL]],1),"NO SE PAGA",),"SI SE PAGA")</f>
        <v>SI SE PAGA</v>
      </c>
      <c r="CB10" s="45">
        <f>CambioPlan[[#This Row],[TARIFA_BASICA_ACTUAL]]-CambioPlan[[#This Row],[TARIFA_BASICA_ANTERIOR]]</f>
        <v>4.8600000000000012</v>
      </c>
      <c r="CC10" s="56">
        <f>CambioPlan[[#This Row],[DIF. TARIFAS]]*4</f>
        <v>19.440000000000005</v>
      </c>
      <c r="CD10" s="53" t="str">
        <f>IF(CambioPlan[[#This Row],[C. COMISIÓN TME]]&lt;0,"DOWNSELL",IF(CambioPlan[[#This Row],[C. COMISIÓN TME]]=0,"MISMA TARIFA",IF(CambioPlan[[#This Row],[C. COMISIÓN TME]]&gt;0,"UPSELL")))</f>
        <v>UPSELL</v>
      </c>
      <c r="CE10">
        <f>VLOOKUP(CambioPlan[[#This Row],[TARIFA_BASICA_ANTERIOR]],[3]Hoja1!$F:$G,2,0)</f>
        <v>1</v>
      </c>
      <c r="CF10">
        <f>VLOOKUP(CambioPlan[[#This Row],[TARIFA_BASICA_ACTUAL]],[3]Hoja1!$B:$C,2,0)</f>
        <v>2</v>
      </c>
    </row>
    <row r="11" spans="1:84" x14ac:dyDescent="0.25">
      <c r="A11" s="43">
        <v>202212</v>
      </c>
      <c r="B11" s="44">
        <v>44914</v>
      </c>
      <c r="C11" s="43" t="s">
        <v>7077</v>
      </c>
      <c r="D11" s="43" t="s">
        <v>7078</v>
      </c>
      <c r="E11" s="43" t="s">
        <v>95</v>
      </c>
      <c r="F11" s="43" t="s">
        <v>77</v>
      </c>
      <c r="G11" s="43" t="s">
        <v>164</v>
      </c>
      <c r="H11" s="43" t="s">
        <v>67</v>
      </c>
      <c r="I11" s="43" t="s">
        <v>7079</v>
      </c>
      <c r="J11" s="43" t="s">
        <v>7080</v>
      </c>
      <c r="K11" s="43" t="s">
        <v>84</v>
      </c>
      <c r="L11" s="43" t="s">
        <v>112</v>
      </c>
      <c r="M11" s="43" t="s">
        <v>781</v>
      </c>
      <c r="N11" s="43" t="s">
        <v>79</v>
      </c>
      <c r="O11" s="45">
        <v>17.850000000000001</v>
      </c>
      <c r="P11" s="43" t="s">
        <v>95</v>
      </c>
      <c r="Q11" s="43" t="s">
        <v>95</v>
      </c>
      <c r="R11" s="43" t="s">
        <v>95</v>
      </c>
      <c r="S11" s="45">
        <v>0</v>
      </c>
      <c r="T11" s="43" t="s">
        <v>95</v>
      </c>
      <c r="U11" s="44" t="s">
        <v>95</v>
      </c>
      <c r="V11" s="44" t="s">
        <v>95</v>
      </c>
      <c r="W11" s="43" t="s">
        <v>95</v>
      </c>
      <c r="X11" s="45">
        <v>17.850000000000001</v>
      </c>
      <c r="Y11" s="43" t="s">
        <v>81</v>
      </c>
      <c r="Z11" s="43" t="s">
        <v>160</v>
      </c>
      <c r="AA11" s="43" t="s">
        <v>161</v>
      </c>
      <c r="AB11" s="43" t="s">
        <v>79</v>
      </c>
      <c r="AC11" s="45">
        <v>14.28</v>
      </c>
      <c r="AD11" s="43" t="s">
        <v>95</v>
      </c>
      <c r="AE11" s="43" t="s">
        <v>95</v>
      </c>
      <c r="AF11" s="43" t="s">
        <v>95</v>
      </c>
      <c r="AG11" s="43" t="s">
        <v>95</v>
      </c>
      <c r="AH11" s="45">
        <v>0</v>
      </c>
      <c r="AI11" s="43" t="s">
        <v>95</v>
      </c>
      <c r="AJ11" s="43" t="s">
        <v>95</v>
      </c>
      <c r="AK11" s="43" t="s">
        <v>95</v>
      </c>
      <c r="AL11" s="43" t="s">
        <v>95</v>
      </c>
      <c r="AM11" s="45">
        <v>14.28</v>
      </c>
      <c r="AN11" s="43" t="s">
        <v>81</v>
      </c>
      <c r="AO11" s="44">
        <v>44903</v>
      </c>
      <c r="AP11" s="43" t="s">
        <v>1043</v>
      </c>
      <c r="AQ11" s="43" t="s">
        <v>1044</v>
      </c>
      <c r="AR11" s="43" t="s">
        <v>1043</v>
      </c>
      <c r="AS11" s="43" t="s">
        <v>1044</v>
      </c>
      <c r="AT11" s="43" t="s">
        <v>85</v>
      </c>
      <c r="AU11" s="43" t="s">
        <v>7030</v>
      </c>
      <c r="AV11" s="43" t="s">
        <v>7031</v>
      </c>
      <c r="AW11" s="43" t="s">
        <v>7031</v>
      </c>
      <c r="AX11" s="43" t="s">
        <v>90</v>
      </c>
      <c r="AY11" s="43" t="s">
        <v>114</v>
      </c>
      <c r="AZ11" s="43" t="s">
        <v>7047</v>
      </c>
      <c r="BA11" s="43" t="s">
        <v>92</v>
      </c>
      <c r="BB11" s="45">
        <v>3.57</v>
      </c>
      <c r="BC11" s="45">
        <v>3.57</v>
      </c>
      <c r="BD11" s="43" t="s">
        <v>7032</v>
      </c>
      <c r="BE11" s="43" t="s">
        <v>81</v>
      </c>
      <c r="BF11" s="43" t="s">
        <v>81</v>
      </c>
      <c r="BG11" s="43" t="s">
        <v>86</v>
      </c>
      <c r="BH11" s="43" t="s">
        <v>122</v>
      </c>
      <c r="BI11" s="43" t="s">
        <v>7048</v>
      </c>
      <c r="BJ11" s="43" t="s">
        <v>7030</v>
      </c>
      <c r="BK11" s="43" t="s">
        <v>92</v>
      </c>
      <c r="BL11" s="43" t="s">
        <v>85</v>
      </c>
      <c r="BM11" s="43" t="s">
        <v>85</v>
      </c>
      <c r="BN11" s="43" t="s">
        <v>92</v>
      </c>
      <c r="BO11" s="46">
        <v>3.57</v>
      </c>
      <c r="BP11" s="43" t="s">
        <v>7032</v>
      </c>
      <c r="BQ11" s="43">
        <v>3.57</v>
      </c>
      <c r="BR11" s="43" t="s">
        <v>7032</v>
      </c>
      <c r="BS11" s="47">
        <v>3.57</v>
      </c>
      <c r="BT11" s="43" t="s">
        <v>7032</v>
      </c>
      <c r="BU11" s="43" t="s">
        <v>7032</v>
      </c>
      <c r="BV11" s="43" t="str">
        <f>CambioPlan[[#This Row],[TELEFONO]]&amp;"UPSELLSI"</f>
        <v>960115247UPSELLSI</v>
      </c>
      <c r="BW11" s="43">
        <f>DAY(CambioPlan[[#This Row],[FECHA_CAMBIO_PLAN]])</f>
        <v>8</v>
      </c>
      <c r="BX11" s="43" t="str">
        <f>VLOOKUP(CambioPlan[[#This Row],[NOM_PLAZA]],[1]!Locales[#Data],3,0)</f>
        <v>TIENDA MACHALA</v>
      </c>
      <c r="BY11" s="43" t="str">
        <f>VLOOKUP(CambioPlan[[#This Row],[DOMAIN_LOGIN_OW]],[1]!Personal[#Data],6,0)</f>
        <v>GONZAGA YUPANGUI LIZBETH KATHERINE</v>
      </c>
      <c r="BZ11" s="43"/>
      <c r="CA11" s="43" t="str">
        <f>IFERROR(IF(FIND("ADULTO",CambioPlan[[#This Row],[DESCRIPCION_PLAN_ACTUAL]],1),"NO SE PAGA",),"SI SE PAGA")</f>
        <v>SI SE PAGA</v>
      </c>
      <c r="CB11" s="45">
        <f>CambioPlan[[#This Row],[TARIFA_BASICA_ACTUAL]]-CambioPlan[[#This Row],[TARIFA_BASICA_ANTERIOR]]</f>
        <v>3.5700000000000021</v>
      </c>
      <c r="CC11" s="56">
        <f>CambioPlan[[#This Row],[DIF. TARIFAS]]*4</f>
        <v>14.280000000000008</v>
      </c>
      <c r="CD11" s="53" t="str">
        <f>IF(CambioPlan[[#This Row],[C. COMISIÓN TME]]&lt;0,"DOWNSELL",IF(CambioPlan[[#This Row],[C. COMISIÓN TME]]=0,"MISMA TARIFA",IF(CambioPlan[[#This Row],[C. COMISIÓN TME]]&gt;0,"UPSELL")))</f>
        <v>UPSELL</v>
      </c>
      <c r="CE11">
        <f>VLOOKUP(CambioPlan[[#This Row],[TARIFA_BASICA_ANTERIOR]],[3]Hoja1!$F:$G,2,0)</f>
        <v>1</v>
      </c>
      <c r="CF11">
        <f>VLOOKUP(CambioPlan[[#This Row],[TARIFA_BASICA_ACTUAL]],[3]Hoja1!$B:$C,2,0)</f>
        <v>2</v>
      </c>
    </row>
    <row r="12" spans="1:84" x14ac:dyDescent="0.25">
      <c r="A12" s="43">
        <v>202212</v>
      </c>
      <c r="B12" s="44">
        <v>44914</v>
      </c>
      <c r="C12" s="43" t="s">
        <v>7081</v>
      </c>
      <c r="D12" s="43" t="s">
        <v>7082</v>
      </c>
      <c r="E12" s="43" t="s">
        <v>95</v>
      </c>
      <c r="F12" s="43" t="s">
        <v>77</v>
      </c>
      <c r="G12" s="43" t="s">
        <v>4453</v>
      </c>
      <c r="H12" s="43" t="s">
        <v>67</v>
      </c>
      <c r="I12" s="43" t="s">
        <v>7083</v>
      </c>
      <c r="J12" s="43" t="s">
        <v>7029</v>
      </c>
      <c r="K12" s="43" t="s">
        <v>118</v>
      </c>
      <c r="L12" s="43" t="s">
        <v>7084</v>
      </c>
      <c r="M12" s="43" t="s">
        <v>7085</v>
      </c>
      <c r="N12" s="43" t="s">
        <v>79</v>
      </c>
      <c r="O12" s="45">
        <v>50</v>
      </c>
      <c r="P12" s="43" t="s">
        <v>95</v>
      </c>
      <c r="Q12" s="43" t="s">
        <v>95</v>
      </c>
      <c r="R12" s="43" t="s">
        <v>95</v>
      </c>
      <c r="S12" s="45">
        <v>0</v>
      </c>
      <c r="T12" s="43" t="s">
        <v>95</v>
      </c>
      <c r="U12" s="44" t="s">
        <v>95</v>
      </c>
      <c r="V12" s="44" t="s">
        <v>95</v>
      </c>
      <c r="W12" s="43" t="s">
        <v>95</v>
      </c>
      <c r="X12" s="45">
        <v>50</v>
      </c>
      <c r="Y12" s="43" t="s">
        <v>81</v>
      </c>
      <c r="Z12" s="43" t="s">
        <v>211</v>
      </c>
      <c r="AA12" s="43" t="s">
        <v>212</v>
      </c>
      <c r="AB12" s="43" t="s">
        <v>79</v>
      </c>
      <c r="AC12" s="45">
        <v>25</v>
      </c>
      <c r="AD12" s="43" t="s">
        <v>95</v>
      </c>
      <c r="AE12" s="43" t="s">
        <v>95</v>
      </c>
      <c r="AF12" s="43" t="s">
        <v>95</v>
      </c>
      <c r="AG12" s="43" t="s">
        <v>95</v>
      </c>
      <c r="AH12" s="45">
        <v>0</v>
      </c>
      <c r="AI12" s="43" t="s">
        <v>95</v>
      </c>
      <c r="AJ12" s="43" t="s">
        <v>95</v>
      </c>
      <c r="AK12" s="43" t="s">
        <v>95</v>
      </c>
      <c r="AL12" s="43" t="s">
        <v>95</v>
      </c>
      <c r="AM12" s="45">
        <v>25</v>
      </c>
      <c r="AN12" s="43" t="s">
        <v>81</v>
      </c>
      <c r="AO12" s="44">
        <v>44907</v>
      </c>
      <c r="AP12" s="43" t="s">
        <v>1020</v>
      </c>
      <c r="AQ12" s="43" t="s">
        <v>1021</v>
      </c>
      <c r="AR12" s="43" t="s">
        <v>1020</v>
      </c>
      <c r="AS12" s="43" t="s">
        <v>1021</v>
      </c>
      <c r="AT12" s="43" t="s">
        <v>85</v>
      </c>
      <c r="AU12" s="43" t="s">
        <v>7030</v>
      </c>
      <c r="AV12" s="43" t="s">
        <v>7031</v>
      </c>
      <c r="AW12" s="43" t="s">
        <v>7031</v>
      </c>
      <c r="AX12" s="43" t="s">
        <v>90</v>
      </c>
      <c r="AY12" s="43" t="s">
        <v>73</v>
      </c>
      <c r="AZ12" s="43" t="s">
        <v>7029</v>
      </c>
      <c r="BA12" s="43" t="s">
        <v>92</v>
      </c>
      <c r="BB12" s="45">
        <v>25</v>
      </c>
      <c r="BC12" s="45">
        <v>25</v>
      </c>
      <c r="BD12" s="43" t="s">
        <v>7032</v>
      </c>
      <c r="BE12" s="43" t="s">
        <v>81</v>
      </c>
      <c r="BF12" s="43" t="s">
        <v>81</v>
      </c>
      <c r="BG12" s="43" t="s">
        <v>86</v>
      </c>
      <c r="BH12" s="43" t="s">
        <v>91</v>
      </c>
      <c r="BI12" s="43" t="s">
        <v>7086</v>
      </c>
      <c r="BJ12" s="43" t="s">
        <v>7030</v>
      </c>
      <c r="BK12" s="43" t="s">
        <v>92</v>
      </c>
      <c r="BL12" s="43" t="s">
        <v>85</v>
      </c>
      <c r="BM12" s="43" t="s">
        <v>85</v>
      </c>
      <c r="BN12" s="43" t="s">
        <v>92</v>
      </c>
      <c r="BO12" s="46">
        <v>25</v>
      </c>
      <c r="BP12" s="43" t="s">
        <v>7032</v>
      </c>
      <c r="BQ12" s="43">
        <v>25</v>
      </c>
      <c r="BR12" s="43" t="s">
        <v>7032</v>
      </c>
      <c r="BS12" s="47">
        <v>25</v>
      </c>
      <c r="BT12" s="43" t="s">
        <v>7032</v>
      </c>
      <c r="BU12" s="43" t="s">
        <v>7032</v>
      </c>
      <c r="BV12" s="43" t="str">
        <f>CambioPlan[[#This Row],[TELEFONO]]&amp;"UPSELLSI"</f>
        <v>962526602UPSELLSI</v>
      </c>
      <c r="BW12" s="43">
        <f>DAY(CambioPlan[[#This Row],[FECHA_CAMBIO_PLAN]])</f>
        <v>12</v>
      </c>
      <c r="BX12" s="43" t="str">
        <f>VLOOKUP(CambioPlan[[#This Row],[NOM_PLAZA]],[1]!Locales[#Data],3,0)</f>
        <v>TIENDA CUENCA CENTRO</v>
      </c>
      <c r="BY12" s="43" t="str">
        <f>VLOOKUP(CambioPlan[[#This Row],[DOMAIN_LOGIN_OW]],[1]!Personal[#Data],6,0)</f>
        <v>GONZALES ALVARRACIN PAOLA YESSENIA</v>
      </c>
      <c r="BZ12" s="43"/>
      <c r="CA12" s="43" t="str">
        <f>IFERROR(IF(FIND("ADULTO",CambioPlan[[#This Row],[DESCRIPCION_PLAN_ACTUAL]],1),"NO SE PAGA",),"SI SE PAGA")</f>
        <v>SI SE PAGA</v>
      </c>
      <c r="CB12" s="45">
        <f>CambioPlan[[#This Row],[TARIFA_BASICA_ACTUAL]]-CambioPlan[[#This Row],[TARIFA_BASICA_ANTERIOR]]</f>
        <v>25</v>
      </c>
      <c r="CC12" s="56">
        <f>CambioPlan[[#This Row],[DIF. TARIFAS]]*4</f>
        <v>100</v>
      </c>
      <c r="CD12" s="53" t="str">
        <f>IF(CambioPlan[[#This Row],[C. COMISIÓN TME]]&lt;0,"DOWNSELL",IF(CambioPlan[[#This Row],[C. COMISIÓN TME]]=0,"MISMA TARIFA",IF(CambioPlan[[#This Row],[C. COMISIÓN TME]]&gt;0,"UPSELL")))</f>
        <v>UPSELL</v>
      </c>
      <c r="CE12">
        <f>VLOOKUP(CambioPlan[[#This Row],[TARIFA_BASICA_ANTERIOR]],[3]Hoja1!$F:$G,2,0)</f>
        <v>4</v>
      </c>
      <c r="CF12">
        <f>VLOOKUP(CambioPlan[[#This Row],[TARIFA_BASICA_ACTUAL]],[3]Hoja1!$B:$C,2,0)</f>
        <v>6</v>
      </c>
    </row>
    <row r="13" spans="1:84" x14ac:dyDescent="0.25">
      <c r="A13" s="43">
        <v>202212</v>
      </c>
      <c r="B13" s="44">
        <v>44914</v>
      </c>
      <c r="C13" s="43" t="s">
        <v>7087</v>
      </c>
      <c r="D13" s="43" t="s">
        <v>7088</v>
      </c>
      <c r="E13" s="43" t="s">
        <v>95</v>
      </c>
      <c r="F13" s="43" t="s">
        <v>768</v>
      </c>
      <c r="G13" s="43" t="s">
        <v>1036</v>
      </c>
      <c r="H13" s="43" t="s">
        <v>67</v>
      </c>
      <c r="I13" s="43" t="s">
        <v>7089</v>
      </c>
      <c r="J13" s="43" t="s">
        <v>7037</v>
      </c>
      <c r="K13" s="43" t="s">
        <v>118</v>
      </c>
      <c r="L13" s="43" t="s">
        <v>112</v>
      </c>
      <c r="M13" s="43" t="s">
        <v>781</v>
      </c>
      <c r="N13" s="43" t="s">
        <v>79</v>
      </c>
      <c r="O13" s="45">
        <v>17.850000000000001</v>
      </c>
      <c r="P13" s="43" t="s">
        <v>95</v>
      </c>
      <c r="Q13" s="43" t="s">
        <v>95</v>
      </c>
      <c r="R13" s="43" t="s">
        <v>95</v>
      </c>
      <c r="S13" s="45">
        <v>0</v>
      </c>
      <c r="T13" s="43" t="s">
        <v>95</v>
      </c>
      <c r="U13" s="44" t="s">
        <v>95</v>
      </c>
      <c r="V13" s="44" t="s">
        <v>95</v>
      </c>
      <c r="W13" s="43" t="s">
        <v>95</v>
      </c>
      <c r="X13" s="45">
        <v>17.850000000000001</v>
      </c>
      <c r="Y13" s="43" t="s">
        <v>81</v>
      </c>
      <c r="Z13" s="43" t="s">
        <v>7090</v>
      </c>
      <c r="AA13" s="43" t="s">
        <v>7091</v>
      </c>
      <c r="AB13" s="43" t="s">
        <v>79</v>
      </c>
      <c r="AC13" s="45">
        <v>17.03</v>
      </c>
      <c r="AD13" s="43" t="s">
        <v>95</v>
      </c>
      <c r="AE13" s="43" t="s">
        <v>95</v>
      </c>
      <c r="AF13" s="43" t="s">
        <v>95</v>
      </c>
      <c r="AG13" s="43" t="s">
        <v>95</v>
      </c>
      <c r="AH13" s="45">
        <v>0</v>
      </c>
      <c r="AI13" s="43" t="s">
        <v>95</v>
      </c>
      <c r="AJ13" s="43" t="s">
        <v>95</v>
      </c>
      <c r="AK13" s="43" t="s">
        <v>95</v>
      </c>
      <c r="AL13" s="43" t="s">
        <v>95</v>
      </c>
      <c r="AM13" s="45">
        <v>17.03</v>
      </c>
      <c r="AN13" s="43" t="s">
        <v>81</v>
      </c>
      <c r="AO13" s="44">
        <v>44907</v>
      </c>
      <c r="AP13" s="43" t="s">
        <v>492</v>
      </c>
      <c r="AQ13" s="43" t="s">
        <v>493</v>
      </c>
      <c r="AR13" s="43" t="s">
        <v>492</v>
      </c>
      <c r="AS13" s="43" t="s">
        <v>493</v>
      </c>
      <c r="AT13" s="43" t="s">
        <v>85</v>
      </c>
      <c r="AU13" s="43" t="s">
        <v>7030</v>
      </c>
      <c r="AV13" s="43" t="s">
        <v>7031</v>
      </c>
      <c r="AW13" s="43" t="s">
        <v>7031</v>
      </c>
      <c r="AX13" s="43" t="s">
        <v>90</v>
      </c>
      <c r="AY13" s="43" t="s">
        <v>132</v>
      </c>
      <c r="AZ13" s="43" t="s">
        <v>7037</v>
      </c>
      <c r="BA13" s="43" t="s">
        <v>139</v>
      </c>
      <c r="BB13" s="45">
        <v>0.82</v>
      </c>
      <c r="BC13" s="45">
        <v>0.82</v>
      </c>
      <c r="BD13" s="43" t="s">
        <v>7032</v>
      </c>
      <c r="BE13" s="43" t="s">
        <v>81</v>
      </c>
      <c r="BF13" s="43" t="s">
        <v>81</v>
      </c>
      <c r="BG13" s="43" t="s">
        <v>86</v>
      </c>
      <c r="BH13" s="43" t="s">
        <v>177</v>
      </c>
      <c r="BI13" s="43" t="s">
        <v>7038</v>
      </c>
      <c r="BJ13" s="43" t="s">
        <v>7030</v>
      </c>
      <c r="BK13" s="43" t="s">
        <v>139</v>
      </c>
      <c r="BL13" s="43" t="s">
        <v>85</v>
      </c>
      <c r="BM13" s="43" t="s">
        <v>85</v>
      </c>
      <c r="BN13" s="43" t="s">
        <v>139</v>
      </c>
      <c r="BO13" s="46">
        <v>0.82</v>
      </c>
      <c r="BP13" s="43" t="s">
        <v>7032</v>
      </c>
      <c r="BQ13" s="43">
        <v>0.82</v>
      </c>
      <c r="BR13" s="43" t="s">
        <v>7032</v>
      </c>
      <c r="BS13" s="47">
        <v>0.82</v>
      </c>
      <c r="BT13" s="43" t="s">
        <v>7032</v>
      </c>
      <c r="BU13" s="43" t="s">
        <v>7092</v>
      </c>
      <c r="BV13" s="43" t="str">
        <f>CambioPlan[[#This Row],[TELEFONO]]&amp;"UPSELLSI"</f>
        <v>962618230UPSELLSI</v>
      </c>
      <c r="BW13" s="43">
        <f>DAY(CambioPlan[[#This Row],[FECHA_CAMBIO_PLAN]])</f>
        <v>12</v>
      </c>
      <c r="BX13" s="43" t="str">
        <f>VLOOKUP(CambioPlan[[#This Row],[NOM_PLAZA]],[1]!Locales[#Data],3,0)</f>
        <v>TIENDA RECREO</v>
      </c>
      <c r="BY13" s="43" t="str">
        <f>VLOOKUP(CambioPlan[[#This Row],[DOMAIN_LOGIN_OW]],[1]!Personal[#Data],6,0)</f>
        <v>CONDO GARCIA NICOLAS MATIAS</v>
      </c>
      <c r="BZ13" s="43"/>
      <c r="CA13" s="43" t="str">
        <f>IFERROR(IF(FIND("ADULTO",CambioPlan[[#This Row],[DESCRIPCION_PLAN_ACTUAL]],1),"NO SE PAGA",),"SI SE PAGA")</f>
        <v>SI SE PAGA</v>
      </c>
      <c r="CB13" s="45">
        <f>CambioPlan[[#This Row],[TARIFA_BASICA_ACTUAL]]-CambioPlan[[#This Row],[TARIFA_BASICA_ANTERIOR]]</f>
        <v>0.82000000000000028</v>
      </c>
      <c r="CC13" s="56">
        <f>CambioPlan[[#This Row],[DIF. TARIFAS]]*4</f>
        <v>3.2800000000000011</v>
      </c>
      <c r="CD13" s="53" t="str">
        <f>IF(CambioPlan[[#This Row],[C. COMISIÓN TME]]&lt;0,"DOWNSELL",IF(CambioPlan[[#This Row],[C. COMISIÓN TME]]=0,"MISMA TARIFA",IF(CambioPlan[[#This Row],[C. COMISIÓN TME]]&gt;0,"UPSELL")))</f>
        <v>UPSELL</v>
      </c>
      <c r="CE13">
        <f>VLOOKUP(CambioPlan[[#This Row],[TARIFA_BASICA_ANTERIOR]],[3]Hoja1!$F:$G,2,0)</f>
        <v>2</v>
      </c>
      <c r="CF13">
        <f>VLOOKUP(CambioPlan[[#This Row],[TARIFA_BASICA_ACTUAL]],[3]Hoja1!$B:$C,2,0)</f>
        <v>2</v>
      </c>
    </row>
    <row r="14" spans="1:84" x14ac:dyDescent="0.25">
      <c r="A14" s="43">
        <v>202212</v>
      </c>
      <c r="B14" s="44">
        <v>44914</v>
      </c>
      <c r="C14" s="43" t="s">
        <v>7093</v>
      </c>
      <c r="D14" s="43" t="s">
        <v>7094</v>
      </c>
      <c r="E14" s="43" t="s">
        <v>95</v>
      </c>
      <c r="F14" s="43" t="s">
        <v>77</v>
      </c>
      <c r="G14" s="43" t="s">
        <v>2241</v>
      </c>
      <c r="H14" s="43" t="s">
        <v>67</v>
      </c>
      <c r="I14" s="43" t="s">
        <v>7095</v>
      </c>
      <c r="J14" s="43" t="s">
        <v>7029</v>
      </c>
      <c r="K14" s="43" t="s">
        <v>118</v>
      </c>
      <c r="L14" s="43" t="s">
        <v>227</v>
      </c>
      <c r="M14" s="43" t="s">
        <v>426</v>
      </c>
      <c r="N14" s="43" t="s">
        <v>79</v>
      </c>
      <c r="O14" s="45">
        <v>21.42</v>
      </c>
      <c r="P14" s="43" t="s">
        <v>95</v>
      </c>
      <c r="Q14" s="43" t="s">
        <v>95</v>
      </c>
      <c r="R14" s="43" t="s">
        <v>95</v>
      </c>
      <c r="S14" s="45">
        <v>0</v>
      </c>
      <c r="T14" s="43" t="s">
        <v>95</v>
      </c>
      <c r="U14" s="44" t="s">
        <v>95</v>
      </c>
      <c r="V14" s="44" t="s">
        <v>95</v>
      </c>
      <c r="W14" s="43" t="s">
        <v>95</v>
      </c>
      <c r="X14" s="45">
        <v>21.42</v>
      </c>
      <c r="Y14" s="43" t="s">
        <v>81</v>
      </c>
      <c r="Z14" s="43" t="s">
        <v>7096</v>
      </c>
      <c r="AA14" s="43" t="s">
        <v>7097</v>
      </c>
      <c r="AB14" s="43" t="s">
        <v>79</v>
      </c>
      <c r="AC14" s="45">
        <v>16.989999999999998</v>
      </c>
      <c r="AD14" s="43" t="s">
        <v>95</v>
      </c>
      <c r="AE14" s="43" t="s">
        <v>95</v>
      </c>
      <c r="AF14" s="43" t="s">
        <v>95</v>
      </c>
      <c r="AG14" s="43" t="s">
        <v>95</v>
      </c>
      <c r="AH14" s="45">
        <v>0</v>
      </c>
      <c r="AI14" s="43" t="s">
        <v>95</v>
      </c>
      <c r="AJ14" s="43" t="s">
        <v>95</v>
      </c>
      <c r="AK14" s="43" t="s">
        <v>95</v>
      </c>
      <c r="AL14" s="43" t="s">
        <v>95</v>
      </c>
      <c r="AM14" s="45">
        <v>16.989999999999998</v>
      </c>
      <c r="AN14" s="43" t="s">
        <v>81</v>
      </c>
      <c r="AO14" s="44">
        <v>44900</v>
      </c>
      <c r="AP14" s="43" t="s">
        <v>242</v>
      </c>
      <c r="AQ14" s="43" t="s">
        <v>243</v>
      </c>
      <c r="AR14" s="43" t="s">
        <v>242</v>
      </c>
      <c r="AS14" s="43" t="s">
        <v>243</v>
      </c>
      <c r="AT14" s="43" t="s">
        <v>85</v>
      </c>
      <c r="AU14" s="43" t="s">
        <v>7030</v>
      </c>
      <c r="AV14" s="43" t="s">
        <v>7031</v>
      </c>
      <c r="AW14" s="43" t="s">
        <v>7031</v>
      </c>
      <c r="AX14" s="43" t="s">
        <v>90</v>
      </c>
      <c r="AY14" s="43" t="s">
        <v>73</v>
      </c>
      <c r="AZ14" s="43" t="s">
        <v>7029</v>
      </c>
      <c r="BA14" s="43" t="s">
        <v>92</v>
      </c>
      <c r="BB14" s="45">
        <v>4.43</v>
      </c>
      <c r="BC14" s="45">
        <v>4.43</v>
      </c>
      <c r="BD14" s="43" t="s">
        <v>7032</v>
      </c>
      <c r="BE14" s="43" t="s">
        <v>81</v>
      </c>
      <c r="BF14" s="43" t="s">
        <v>81</v>
      </c>
      <c r="BG14" s="43" t="s">
        <v>86</v>
      </c>
      <c r="BH14" s="43" t="s">
        <v>91</v>
      </c>
      <c r="BI14" s="43" t="s">
        <v>7086</v>
      </c>
      <c r="BJ14" s="43" t="s">
        <v>7030</v>
      </c>
      <c r="BK14" s="43" t="s">
        <v>92</v>
      </c>
      <c r="BL14" s="43" t="s">
        <v>85</v>
      </c>
      <c r="BM14" s="43" t="s">
        <v>85</v>
      </c>
      <c r="BN14" s="43" t="s">
        <v>92</v>
      </c>
      <c r="BO14" s="46">
        <v>4.43</v>
      </c>
      <c r="BP14" s="43" t="s">
        <v>7032</v>
      </c>
      <c r="BQ14" s="43">
        <v>4.43</v>
      </c>
      <c r="BR14" s="43" t="s">
        <v>7032</v>
      </c>
      <c r="BS14" s="47">
        <v>4.43</v>
      </c>
      <c r="BT14" s="43" t="s">
        <v>7032</v>
      </c>
      <c r="BU14" s="43" t="s">
        <v>7032</v>
      </c>
      <c r="BV14" s="43" t="str">
        <f>CambioPlan[[#This Row],[TELEFONO]]&amp;"UPSELLSI"</f>
        <v>962672635UPSELLSI</v>
      </c>
      <c r="BW14" s="43">
        <f>DAY(CambioPlan[[#This Row],[FECHA_CAMBIO_PLAN]])</f>
        <v>5</v>
      </c>
      <c r="BX14" s="43" t="str">
        <f>VLOOKUP(CambioPlan[[#This Row],[NOM_PLAZA]],[1]!Locales[#Data],3,0)</f>
        <v>TIENDA CUENCA CENTRO</v>
      </c>
      <c r="BY14" s="43" t="str">
        <f>VLOOKUP(CambioPlan[[#This Row],[DOMAIN_LOGIN_OW]],[1]!Personal[#Data],6,0)</f>
        <v>VALLEJO DELEG ROMAN NICOLAS</v>
      </c>
      <c r="BZ14" s="43"/>
      <c r="CA14" s="43" t="str">
        <f>IFERROR(IF(FIND("ADULTO",CambioPlan[[#This Row],[DESCRIPCION_PLAN_ACTUAL]],1),"NO SE PAGA",),"SI SE PAGA")</f>
        <v>SI SE PAGA</v>
      </c>
      <c r="CB14" s="45">
        <f>CambioPlan[[#This Row],[TARIFA_BASICA_ACTUAL]]-CambioPlan[[#This Row],[TARIFA_BASICA_ANTERIOR]]</f>
        <v>4.4300000000000033</v>
      </c>
      <c r="CC14" s="56">
        <f>CambioPlan[[#This Row],[DIF. TARIFAS]]*4</f>
        <v>17.720000000000013</v>
      </c>
      <c r="CD14" s="53" t="str">
        <f>IF(CambioPlan[[#This Row],[C. COMISIÓN TME]]&lt;0,"DOWNSELL",IF(CambioPlan[[#This Row],[C. COMISIÓN TME]]=0,"MISMA TARIFA",IF(CambioPlan[[#This Row],[C. COMISIÓN TME]]&gt;0,"UPSELL")))</f>
        <v>UPSELL</v>
      </c>
      <c r="CE14">
        <f>VLOOKUP(CambioPlan[[#This Row],[TARIFA_BASICA_ANTERIOR]],[3]Hoja1!$F:$G,2,0)</f>
        <v>2</v>
      </c>
      <c r="CF14">
        <f>VLOOKUP(CambioPlan[[#This Row],[TARIFA_BASICA_ACTUAL]],[3]Hoja1!$B:$C,2,0)</f>
        <v>3</v>
      </c>
    </row>
    <row r="15" spans="1:84" x14ac:dyDescent="0.25">
      <c r="A15" s="43">
        <v>202212</v>
      </c>
      <c r="B15" s="44">
        <v>44914</v>
      </c>
      <c r="C15" s="43" t="s">
        <v>7098</v>
      </c>
      <c r="D15" s="43" t="s">
        <v>7099</v>
      </c>
      <c r="E15" s="43" t="s">
        <v>95</v>
      </c>
      <c r="F15" s="43" t="s">
        <v>77</v>
      </c>
      <c r="G15" s="43" t="s">
        <v>1532</v>
      </c>
      <c r="H15" s="43" t="s">
        <v>67</v>
      </c>
      <c r="I15" s="43" t="s">
        <v>7100</v>
      </c>
      <c r="J15" s="43" t="s">
        <v>7066</v>
      </c>
      <c r="K15" s="43" t="s">
        <v>118</v>
      </c>
      <c r="L15" s="43" t="s">
        <v>7069</v>
      </c>
      <c r="M15" s="43" t="s">
        <v>7070</v>
      </c>
      <c r="N15" s="43" t="s">
        <v>79</v>
      </c>
      <c r="O15" s="45">
        <v>21.42</v>
      </c>
      <c r="P15" s="43" t="s">
        <v>95</v>
      </c>
      <c r="Q15" s="43" t="s">
        <v>95</v>
      </c>
      <c r="R15" s="43" t="s">
        <v>95</v>
      </c>
      <c r="S15" s="45">
        <v>0</v>
      </c>
      <c r="T15" s="43" t="s">
        <v>95</v>
      </c>
      <c r="U15" s="44" t="s">
        <v>95</v>
      </c>
      <c r="V15" s="44" t="s">
        <v>95</v>
      </c>
      <c r="W15" s="43" t="s">
        <v>95</v>
      </c>
      <c r="X15" s="45">
        <v>21.42</v>
      </c>
      <c r="Y15" s="43" t="s">
        <v>81</v>
      </c>
      <c r="Z15" s="43" t="s">
        <v>574</v>
      </c>
      <c r="AA15" s="43" t="s">
        <v>575</v>
      </c>
      <c r="AB15" s="43" t="s">
        <v>79</v>
      </c>
      <c r="AC15" s="45">
        <v>17.850000000000001</v>
      </c>
      <c r="AD15" s="43" t="s">
        <v>95</v>
      </c>
      <c r="AE15" s="43" t="s">
        <v>95</v>
      </c>
      <c r="AF15" s="43" t="s">
        <v>95</v>
      </c>
      <c r="AG15" s="43" t="s">
        <v>95</v>
      </c>
      <c r="AH15" s="45">
        <v>0</v>
      </c>
      <c r="AI15" s="43" t="s">
        <v>95</v>
      </c>
      <c r="AJ15" s="43" t="s">
        <v>95</v>
      </c>
      <c r="AK15" s="43" t="s">
        <v>95</v>
      </c>
      <c r="AL15" s="43" t="s">
        <v>95</v>
      </c>
      <c r="AM15" s="45">
        <v>17.850000000000001</v>
      </c>
      <c r="AN15" s="43" t="s">
        <v>81</v>
      </c>
      <c r="AO15" s="44">
        <v>44910</v>
      </c>
      <c r="AP15" s="43" t="s">
        <v>651</v>
      </c>
      <c r="AQ15" s="43" t="s">
        <v>652</v>
      </c>
      <c r="AR15" s="43" t="s">
        <v>651</v>
      </c>
      <c r="AS15" s="43" t="s">
        <v>652</v>
      </c>
      <c r="AT15" s="43" t="s">
        <v>85</v>
      </c>
      <c r="AU15" s="43" t="s">
        <v>7030</v>
      </c>
      <c r="AV15" s="43" t="s">
        <v>7031</v>
      </c>
      <c r="AW15" s="43" t="s">
        <v>7031</v>
      </c>
      <c r="AX15" s="43" t="s">
        <v>90</v>
      </c>
      <c r="AY15" s="43" t="s">
        <v>114</v>
      </c>
      <c r="AZ15" s="43" t="s">
        <v>7047</v>
      </c>
      <c r="BA15" s="43" t="s">
        <v>92</v>
      </c>
      <c r="BB15" s="45">
        <v>3.57</v>
      </c>
      <c r="BC15" s="45">
        <v>3.57</v>
      </c>
      <c r="BD15" s="43" t="s">
        <v>7032</v>
      </c>
      <c r="BE15" s="43" t="s">
        <v>81</v>
      </c>
      <c r="BF15" s="43" t="s">
        <v>81</v>
      </c>
      <c r="BG15" s="43" t="s">
        <v>86</v>
      </c>
      <c r="BH15" s="43" t="s">
        <v>122</v>
      </c>
      <c r="BI15" s="43" t="s">
        <v>7048</v>
      </c>
      <c r="BJ15" s="43" t="s">
        <v>7030</v>
      </c>
      <c r="BK15" s="43" t="s">
        <v>92</v>
      </c>
      <c r="BL15" s="43" t="s">
        <v>85</v>
      </c>
      <c r="BM15" s="43" t="s">
        <v>85</v>
      </c>
      <c r="BN15" s="43" t="s">
        <v>92</v>
      </c>
      <c r="BO15" s="46">
        <v>3.57</v>
      </c>
      <c r="BP15" s="43" t="s">
        <v>7032</v>
      </c>
      <c r="BQ15" s="43">
        <v>3.57</v>
      </c>
      <c r="BR15" s="43" t="s">
        <v>7032</v>
      </c>
      <c r="BS15" s="47">
        <v>3.57</v>
      </c>
      <c r="BT15" s="43" t="s">
        <v>7032</v>
      </c>
      <c r="BU15" s="43" t="s">
        <v>7032</v>
      </c>
      <c r="BV15" s="43" t="str">
        <f>CambioPlan[[#This Row],[TELEFONO]]&amp;"UPSELLSI"</f>
        <v>962723322UPSELLSI</v>
      </c>
      <c r="BW15" s="43">
        <f>DAY(CambioPlan[[#This Row],[FECHA_CAMBIO_PLAN]])</f>
        <v>15</v>
      </c>
      <c r="BX15" s="43" t="str">
        <f>VLOOKUP(CambioPlan[[#This Row],[NOM_PLAZA]],[1]!Locales[#Data],3,0)</f>
        <v>TIENDA MACHALA</v>
      </c>
      <c r="BY15" s="43" t="str">
        <f>VLOOKUP(CambioPlan[[#This Row],[DOMAIN_LOGIN_OW]],[1]!Personal[#Data],6,0)</f>
        <v>SANCHEZ SARITAMA JOEL LUIS</v>
      </c>
      <c r="BZ15" s="43"/>
      <c r="CA15" s="43" t="str">
        <f>IFERROR(IF(FIND("ADULTO",CambioPlan[[#This Row],[DESCRIPCION_PLAN_ACTUAL]],1),"NO SE PAGA",),"SI SE PAGA")</f>
        <v>SI SE PAGA</v>
      </c>
      <c r="CB15" s="45">
        <f>CambioPlan[[#This Row],[TARIFA_BASICA_ACTUAL]]-CambioPlan[[#This Row],[TARIFA_BASICA_ANTERIOR]]</f>
        <v>3.5700000000000003</v>
      </c>
      <c r="CC15" s="56">
        <f>CambioPlan[[#This Row],[DIF. TARIFAS]]*4</f>
        <v>14.280000000000001</v>
      </c>
      <c r="CD15" s="53" t="str">
        <f>IF(CambioPlan[[#This Row],[C. COMISIÓN TME]]&lt;0,"DOWNSELL",IF(CambioPlan[[#This Row],[C. COMISIÓN TME]]=0,"MISMA TARIFA",IF(CambioPlan[[#This Row],[C. COMISIÓN TME]]&gt;0,"UPSELL")))</f>
        <v>UPSELL</v>
      </c>
      <c r="CE15">
        <f>VLOOKUP(CambioPlan[[#This Row],[TARIFA_BASICA_ANTERIOR]],[3]Hoja1!$F:$G,2,0)</f>
        <v>2</v>
      </c>
      <c r="CF15">
        <f>VLOOKUP(CambioPlan[[#This Row],[TARIFA_BASICA_ACTUAL]],[3]Hoja1!$B:$C,2,0)</f>
        <v>3</v>
      </c>
    </row>
    <row r="16" spans="1:84" x14ac:dyDescent="0.25">
      <c r="A16" s="43">
        <v>202212</v>
      </c>
      <c r="B16" s="44">
        <v>44914</v>
      </c>
      <c r="C16" s="43" t="s">
        <v>7101</v>
      </c>
      <c r="D16" s="43" t="s">
        <v>7102</v>
      </c>
      <c r="E16" s="43" t="s">
        <v>95</v>
      </c>
      <c r="F16" s="43" t="s">
        <v>77</v>
      </c>
      <c r="G16" s="43" t="s">
        <v>2241</v>
      </c>
      <c r="H16" s="43" t="s">
        <v>67</v>
      </c>
      <c r="I16" s="43" t="s">
        <v>7103</v>
      </c>
      <c r="J16" s="43" t="s">
        <v>7037</v>
      </c>
      <c r="K16" s="43" t="s">
        <v>118</v>
      </c>
      <c r="L16" s="43" t="s">
        <v>130</v>
      </c>
      <c r="M16" s="43" t="s">
        <v>433</v>
      </c>
      <c r="N16" s="43" t="s">
        <v>79</v>
      </c>
      <c r="O16" s="45">
        <v>15</v>
      </c>
      <c r="P16" s="43" t="s">
        <v>95</v>
      </c>
      <c r="Q16" s="43" t="s">
        <v>95</v>
      </c>
      <c r="R16" s="43" t="s">
        <v>95</v>
      </c>
      <c r="S16" s="45">
        <v>7.5</v>
      </c>
      <c r="T16" s="43" t="s">
        <v>7104</v>
      </c>
      <c r="U16" s="44">
        <v>44902</v>
      </c>
      <c r="V16" s="44" t="s">
        <v>95</v>
      </c>
      <c r="W16" s="43" t="s">
        <v>7105</v>
      </c>
      <c r="X16" s="45">
        <v>7.5</v>
      </c>
      <c r="Y16" s="43" t="s">
        <v>81</v>
      </c>
      <c r="Z16" s="43" t="s">
        <v>71</v>
      </c>
      <c r="AA16" s="43" t="s">
        <v>258</v>
      </c>
      <c r="AB16" s="43" t="s">
        <v>79</v>
      </c>
      <c r="AC16" s="45">
        <v>11.42</v>
      </c>
      <c r="AD16" s="43" t="s">
        <v>95</v>
      </c>
      <c r="AE16" s="43" t="s">
        <v>95</v>
      </c>
      <c r="AF16" s="43" t="s">
        <v>95</v>
      </c>
      <c r="AG16" s="43" t="s">
        <v>95</v>
      </c>
      <c r="AH16" s="45">
        <v>0</v>
      </c>
      <c r="AI16" s="43" t="s">
        <v>95</v>
      </c>
      <c r="AJ16" s="43" t="s">
        <v>95</v>
      </c>
      <c r="AK16" s="43" t="s">
        <v>95</v>
      </c>
      <c r="AL16" s="43" t="s">
        <v>95</v>
      </c>
      <c r="AM16" s="45">
        <v>11.42</v>
      </c>
      <c r="AN16" s="43" t="s">
        <v>81</v>
      </c>
      <c r="AO16" s="44">
        <v>44901</v>
      </c>
      <c r="AP16" s="43" t="s">
        <v>740</v>
      </c>
      <c r="AQ16" s="43" t="s">
        <v>741</v>
      </c>
      <c r="AR16" s="43" t="s">
        <v>740</v>
      </c>
      <c r="AS16" s="43" t="s">
        <v>741</v>
      </c>
      <c r="AT16" s="43" t="s">
        <v>85</v>
      </c>
      <c r="AU16" s="43" t="s">
        <v>7030</v>
      </c>
      <c r="AV16" s="43" t="s">
        <v>7031</v>
      </c>
      <c r="AW16" s="43" t="s">
        <v>7031</v>
      </c>
      <c r="AX16" s="43" t="s">
        <v>90</v>
      </c>
      <c r="AY16" s="43" t="s">
        <v>132</v>
      </c>
      <c r="AZ16" s="43" t="s">
        <v>7037</v>
      </c>
      <c r="BA16" s="43" t="s">
        <v>139</v>
      </c>
      <c r="BB16" s="45">
        <v>3.58</v>
      </c>
      <c r="BC16" s="45">
        <v>-3.92</v>
      </c>
      <c r="BD16" s="43" t="s">
        <v>7106</v>
      </c>
      <c r="BE16" s="43" t="s">
        <v>81</v>
      </c>
      <c r="BF16" s="43" t="s">
        <v>81</v>
      </c>
      <c r="BG16" s="43" t="s">
        <v>86</v>
      </c>
      <c r="BH16" s="43" t="s">
        <v>177</v>
      </c>
      <c r="BI16" s="43" t="s">
        <v>7038</v>
      </c>
      <c r="BJ16" s="43" t="s">
        <v>7030</v>
      </c>
      <c r="BK16" s="43" t="s">
        <v>139</v>
      </c>
      <c r="BL16" s="43" t="s">
        <v>85</v>
      </c>
      <c r="BM16" s="43" t="s">
        <v>85</v>
      </c>
      <c r="BN16" s="43" t="s">
        <v>139</v>
      </c>
      <c r="BO16" s="46">
        <v>3.58</v>
      </c>
      <c r="BP16" s="43" t="s">
        <v>7032</v>
      </c>
      <c r="BQ16" s="43">
        <v>3.58</v>
      </c>
      <c r="BR16" s="43" t="s">
        <v>7032</v>
      </c>
      <c r="BS16" s="47">
        <v>-3.92</v>
      </c>
      <c r="BT16" s="43" t="s">
        <v>7106</v>
      </c>
      <c r="BU16" s="43" t="s">
        <v>7032</v>
      </c>
      <c r="BV16" s="43" t="str">
        <f>CambioPlan[[#This Row],[TELEFONO]]&amp;"UPSELLSI"</f>
        <v>962803846UPSELLSI</v>
      </c>
      <c r="BW16" s="43">
        <f>DAY(CambioPlan[[#This Row],[FECHA_CAMBIO_PLAN]])</f>
        <v>6</v>
      </c>
      <c r="BX16" s="43" t="str">
        <f>VLOOKUP(CambioPlan[[#This Row],[NOM_PLAZA]],[1]!Locales[#Data],3,0)</f>
        <v>TIENDA RECREO</v>
      </c>
      <c r="BY16" s="43" t="str">
        <f>VLOOKUP(CambioPlan[[#This Row],[DOMAIN_LOGIN_OW]],[1]!Personal[#Data],6,0)</f>
        <v>CHAVEZ VASQUEZ YESSENIA KATHERINE</v>
      </c>
      <c r="BZ16" s="43"/>
      <c r="CA16" s="43" t="str">
        <f>IFERROR(IF(FIND("ADULTO",CambioPlan[[#This Row],[DESCRIPCION_PLAN_ACTUAL]],1),"NO SE PAGA",),"SI SE PAGA")</f>
        <v>NO SE PAGA</v>
      </c>
      <c r="CB16" s="45">
        <f>CambioPlan[[#This Row],[TARIFA_BASICA_ACTUAL]]-CambioPlan[[#This Row],[TARIFA_BASICA_ANTERIOR]]</f>
        <v>3.58</v>
      </c>
      <c r="CC16" s="56">
        <f>CambioPlan[[#This Row],[DIF. TARIFAS]]*4</f>
        <v>14.32</v>
      </c>
      <c r="CD16" s="53" t="str">
        <f>IF(CambioPlan[[#This Row],[C. COMISIÓN TME]]&lt;0,"DOWNSELL",IF(CambioPlan[[#This Row],[C. COMISIÓN TME]]=0,"MISMA TARIFA",IF(CambioPlan[[#This Row],[C. COMISIÓN TME]]&gt;0,"UPSELL")))</f>
        <v>UPSELL</v>
      </c>
      <c r="CE16">
        <f>VLOOKUP(CambioPlan[[#This Row],[TARIFA_BASICA_ANTERIOR]],[3]Hoja1!$F:$G,2,0)</f>
        <v>0</v>
      </c>
      <c r="CF16">
        <f>VLOOKUP(CambioPlan[[#This Row],[TARIFA_BASICA_ACTUAL]],[3]Hoja1!$B:$C,2,0)</f>
        <v>2</v>
      </c>
    </row>
    <row r="17" spans="1:86" x14ac:dyDescent="0.25">
      <c r="A17" s="43">
        <v>202212</v>
      </c>
      <c r="B17" s="44">
        <v>44914</v>
      </c>
      <c r="C17" s="43" t="s">
        <v>7107</v>
      </c>
      <c r="D17" s="43" t="s">
        <v>7108</v>
      </c>
      <c r="E17" s="43" t="s">
        <v>95</v>
      </c>
      <c r="F17" s="43" t="s">
        <v>77</v>
      </c>
      <c r="G17" s="43" t="s">
        <v>2241</v>
      </c>
      <c r="H17" s="43" t="s">
        <v>67</v>
      </c>
      <c r="I17" s="43" t="s">
        <v>7109</v>
      </c>
      <c r="J17" s="43" t="s">
        <v>7029</v>
      </c>
      <c r="K17" s="43" t="s">
        <v>84</v>
      </c>
      <c r="L17" s="43" t="s">
        <v>112</v>
      </c>
      <c r="M17" s="43" t="s">
        <v>781</v>
      </c>
      <c r="N17" s="43" t="s">
        <v>79</v>
      </c>
      <c r="O17" s="45">
        <v>17.850000000000001</v>
      </c>
      <c r="P17" s="43" t="s">
        <v>95</v>
      </c>
      <c r="Q17" s="43" t="s">
        <v>95</v>
      </c>
      <c r="R17" s="43" t="s">
        <v>95</v>
      </c>
      <c r="S17" s="45">
        <v>0</v>
      </c>
      <c r="T17" s="43" t="s">
        <v>95</v>
      </c>
      <c r="U17" s="44" t="s">
        <v>95</v>
      </c>
      <c r="V17" s="44" t="s">
        <v>95</v>
      </c>
      <c r="W17" s="43" t="s">
        <v>95</v>
      </c>
      <c r="X17" s="45">
        <v>17.850000000000001</v>
      </c>
      <c r="Y17" s="43" t="s">
        <v>81</v>
      </c>
      <c r="Z17" s="43" t="s">
        <v>160</v>
      </c>
      <c r="AA17" s="43" t="s">
        <v>161</v>
      </c>
      <c r="AB17" s="43" t="s">
        <v>79</v>
      </c>
      <c r="AC17" s="45">
        <v>14.28</v>
      </c>
      <c r="AD17" s="43" t="s">
        <v>95</v>
      </c>
      <c r="AE17" s="43" t="s">
        <v>95</v>
      </c>
      <c r="AF17" s="43" t="s">
        <v>95</v>
      </c>
      <c r="AG17" s="43" t="s">
        <v>95</v>
      </c>
      <c r="AH17" s="45">
        <v>0</v>
      </c>
      <c r="AI17" s="43" t="s">
        <v>95</v>
      </c>
      <c r="AJ17" s="43" t="s">
        <v>95</v>
      </c>
      <c r="AK17" s="43" t="s">
        <v>95</v>
      </c>
      <c r="AL17" s="43" t="s">
        <v>95</v>
      </c>
      <c r="AM17" s="45">
        <v>14.28</v>
      </c>
      <c r="AN17" s="43" t="s">
        <v>81</v>
      </c>
      <c r="AO17" s="44">
        <v>44901</v>
      </c>
      <c r="AP17" s="43" t="s">
        <v>318</v>
      </c>
      <c r="AQ17" s="43" t="s">
        <v>319</v>
      </c>
      <c r="AR17" s="43" t="s">
        <v>318</v>
      </c>
      <c r="AS17" s="43" t="s">
        <v>319</v>
      </c>
      <c r="AT17" s="43" t="s">
        <v>85</v>
      </c>
      <c r="AU17" s="43" t="s">
        <v>7030</v>
      </c>
      <c r="AV17" s="43" t="s">
        <v>7031</v>
      </c>
      <c r="AW17" s="43" t="s">
        <v>7031</v>
      </c>
      <c r="AX17" s="43" t="s">
        <v>90</v>
      </c>
      <c r="AY17" s="43" t="s">
        <v>73</v>
      </c>
      <c r="AZ17" s="43" t="s">
        <v>7029</v>
      </c>
      <c r="BA17" s="43" t="s">
        <v>92</v>
      </c>
      <c r="BB17" s="45">
        <v>3.57</v>
      </c>
      <c r="BC17" s="45">
        <v>3.57</v>
      </c>
      <c r="BD17" s="43" t="s">
        <v>7032</v>
      </c>
      <c r="BE17" s="43" t="s">
        <v>81</v>
      </c>
      <c r="BF17" s="43" t="s">
        <v>81</v>
      </c>
      <c r="BG17" s="43" t="s">
        <v>86</v>
      </c>
      <c r="BH17" s="43" t="s">
        <v>151</v>
      </c>
      <c r="BI17" s="43" t="s">
        <v>7033</v>
      </c>
      <c r="BJ17" s="43" t="s">
        <v>7030</v>
      </c>
      <c r="BK17" s="43" t="s">
        <v>92</v>
      </c>
      <c r="BL17" s="43" t="s">
        <v>85</v>
      </c>
      <c r="BM17" s="43" t="s">
        <v>85</v>
      </c>
      <c r="BN17" s="43" t="s">
        <v>92</v>
      </c>
      <c r="BO17" s="46">
        <v>3.57</v>
      </c>
      <c r="BP17" s="43" t="s">
        <v>7032</v>
      </c>
      <c r="BQ17" s="43">
        <v>3.57</v>
      </c>
      <c r="BR17" s="43" t="s">
        <v>7032</v>
      </c>
      <c r="BS17" s="47">
        <v>3.57</v>
      </c>
      <c r="BT17" s="43" t="s">
        <v>7032</v>
      </c>
      <c r="BU17" s="43" t="s">
        <v>7032</v>
      </c>
      <c r="BV17" s="43" t="str">
        <f>CambioPlan[[#This Row],[TELEFONO]]&amp;"UPSELLSI"</f>
        <v>962805966UPSELLSI</v>
      </c>
      <c r="BW17" s="43">
        <f>DAY(CambioPlan[[#This Row],[FECHA_CAMBIO_PLAN]])</f>
        <v>6</v>
      </c>
      <c r="BX17" s="43" t="str">
        <f>VLOOKUP(CambioPlan[[#This Row],[NOM_PLAZA]],[1]!Locales[#Data],3,0)</f>
        <v>TIENDA CUENCA REMIGIO</v>
      </c>
      <c r="BY17" s="43" t="str">
        <f>VLOOKUP(CambioPlan[[#This Row],[DOMAIN_LOGIN_OW]],[1]!Personal[#Data],6,0)</f>
        <v>RODRIGUEZ QUITO JESSICA GABRIELA</v>
      </c>
      <c r="BZ17" s="43"/>
      <c r="CA17" s="43" t="str">
        <f>IFERROR(IF(FIND("ADULTO",CambioPlan[[#This Row],[DESCRIPCION_PLAN_ACTUAL]],1),"NO SE PAGA",),"SI SE PAGA")</f>
        <v>SI SE PAGA</v>
      </c>
      <c r="CB17" s="45">
        <f>CambioPlan[[#This Row],[TARIFA_BASICA_ACTUAL]]-CambioPlan[[#This Row],[TARIFA_BASICA_ANTERIOR]]</f>
        <v>3.5700000000000021</v>
      </c>
      <c r="CC17" s="56">
        <f>CambioPlan[[#This Row],[DIF. TARIFAS]]*4</f>
        <v>14.280000000000008</v>
      </c>
      <c r="CD17" s="53" t="str">
        <f>IF(CambioPlan[[#This Row],[C. COMISIÓN TME]]&lt;0,"DOWNSELL",IF(CambioPlan[[#This Row],[C. COMISIÓN TME]]=0,"MISMA TARIFA",IF(CambioPlan[[#This Row],[C. COMISIÓN TME]]&gt;0,"UPSELL")))</f>
        <v>UPSELL</v>
      </c>
      <c r="CE17">
        <f>VLOOKUP(CambioPlan[[#This Row],[TARIFA_BASICA_ANTERIOR]],[3]Hoja1!$F:$G,2,0)</f>
        <v>1</v>
      </c>
      <c r="CF17">
        <f>VLOOKUP(CambioPlan[[#This Row],[TARIFA_BASICA_ACTUAL]],[3]Hoja1!$B:$C,2,0)</f>
        <v>2</v>
      </c>
    </row>
    <row r="18" spans="1:86" x14ac:dyDescent="0.25">
      <c r="A18" s="43">
        <v>202212</v>
      </c>
      <c r="B18" s="44">
        <v>44914</v>
      </c>
      <c r="C18" s="43" t="s">
        <v>7110</v>
      </c>
      <c r="D18" s="43" t="s">
        <v>7111</v>
      </c>
      <c r="E18" s="43" t="s">
        <v>95</v>
      </c>
      <c r="F18" s="43" t="s">
        <v>77</v>
      </c>
      <c r="G18" s="43" t="s">
        <v>164</v>
      </c>
      <c r="H18" s="43" t="s">
        <v>67</v>
      </c>
      <c r="I18" s="43" t="s">
        <v>7112</v>
      </c>
      <c r="J18" s="43" t="s">
        <v>7047</v>
      </c>
      <c r="K18" s="43" t="s">
        <v>84</v>
      </c>
      <c r="L18" s="43" t="s">
        <v>698</v>
      </c>
      <c r="M18" s="43" t="s">
        <v>699</v>
      </c>
      <c r="N18" s="43" t="s">
        <v>79</v>
      </c>
      <c r="O18" s="45">
        <v>26.78</v>
      </c>
      <c r="P18" s="43" t="s">
        <v>95</v>
      </c>
      <c r="Q18" s="43" t="s">
        <v>95</v>
      </c>
      <c r="R18" s="43" t="s">
        <v>95</v>
      </c>
      <c r="S18" s="45">
        <v>0</v>
      </c>
      <c r="T18" s="43" t="s">
        <v>95</v>
      </c>
      <c r="U18" s="44" t="s">
        <v>95</v>
      </c>
      <c r="V18" s="44" t="s">
        <v>95</v>
      </c>
      <c r="W18" s="43" t="s">
        <v>95</v>
      </c>
      <c r="X18" s="45">
        <v>26.78</v>
      </c>
      <c r="Y18" s="43" t="s">
        <v>81</v>
      </c>
      <c r="Z18" s="43" t="s">
        <v>112</v>
      </c>
      <c r="AA18" s="43" t="s">
        <v>781</v>
      </c>
      <c r="AB18" s="43" t="s">
        <v>79</v>
      </c>
      <c r="AC18" s="45">
        <v>17.850000000000001</v>
      </c>
      <c r="AD18" s="43" t="s">
        <v>95</v>
      </c>
      <c r="AE18" s="43" t="s">
        <v>95</v>
      </c>
      <c r="AF18" s="43" t="s">
        <v>95</v>
      </c>
      <c r="AG18" s="43" t="s">
        <v>95</v>
      </c>
      <c r="AH18" s="45">
        <v>0</v>
      </c>
      <c r="AI18" s="43" t="s">
        <v>95</v>
      </c>
      <c r="AJ18" s="43" t="s">
        <v>95</v>
      </c>
      <c r="AK18" s="43" t="s">
        <v>95</v>
      </c>
      <c r="AL18" s="43" t="s">
        <v>95</v>
      </c>
      <c r="AM18" s="45">
        <v>17.850000000000001</v>
      </c>
      <c r="AN18" s="43" t="s">
        <v>81</v>
      </c>
      <c r="AO18" s="44">
        <v>44903</v>
      </c>
      <c r="AP18" s="43" t="s">
        <v>1043</v>
      </c>
      <c r="AQ18" s="43" t="s">
        <v>1044</v>
      </c>
      <c r="AR18" s="43" t="s">
        <v>1043</v>
      </c>
      <c r="AS18" s="43" t="s">
        <v>1044</v>
      </c>
      <c r="AT18" s="43" t="s">
        <v>85</v>
      </c>
      <c r="AU18" s="43" t="s">
        <v>7030</v>
      </c>
      <c r="AV18" s="43" t="s">
        <v>7031</v>
      </c>
      <c r="AW18" s="43" t="s">
        <v>7031</v>
      </c>
      <c r="AX18" s="43" t="s">
        <v>90</v>
      </c>
      <c r="AY18" s="43" t="s">
        <v>114</v>
      </c>
      <c r="AZ18" s="43" t="s">
        <v>7047</v>
      </c>
      <c r="BA18" s="43" t="s">
        <v>92</v>
      </c>
      <c r="BB18" s="45">
        <v>8.93</v>
      </c>
      <c r="BC18" s="45">
        <v>8.93</v>
      </c>
      <c r="BD18" s="43" t="s">
        <v>7032</v>
      </c>
      <c r="BE18" s="43" t="s">
        <v>81</v>
      </c>
      <c r="BF18" s="43" t="s">
        <v>81</v>
      </c>
      <c r="BG18" s="43" t="s">
        <v>86</v>
      </c>
      <c r="BH18" s="43" t="s">
        <v>122</v>
      </c>
      <c r="BI18" s="43" t="s">
        <v>7048</v>
      </c>
      <c r="BJ18" s="43" t="s">
        <v>7030</v>
      </c>
      <c r="BK18" s="43" t="s">
        <v>92</v>
      </c>
      <c r="BL18" s="43" t="s">
        <v>85</v>
      </c>
      <c r="BM18" s="43" t="s">
        <v>85</v>
      </c>
      <c r="BN18" s="43" t="s">
        <v>92</v>
      </c>
      <c r="BO18" s="46">
        <v>8.93</v>
      </c>
      <c r="BP18" s="43" t="s">
        <v>7032</v>
      </c>
      <c r="BQ18" s="43">
        <v>8.93</v>
      </c>
      <c r="BR18" s="43" t="s">
        <v>7032</v>
      </c>
      <c r="BS18" s="47">
        <v>8.93</v>
      </c>
      <c r="BT18" s="43" t="s">
        <v>7032</v>
      </c>
      <c r="BU18" s="43" t="s">
        <v>7032</v>
      </c>
      <c r="BV18" s="43" t="str">
        <f>CambioPlan[[#This Row],[TELEFONO]]&amp;"UPSELLSI"</f>
        <v>962899889UPSELLSI</v>
      </c>
      <c r="BW18" s="43">
        <f>DAY(CambioPlan[[#This Row],[FECHA_CAMBIO_PLAN]])</f>
        <v>8</v>
      </c>
      <c r="BX18" s="43" t="str">
        <f>VLOOKUP(CambioPlan[[#This Row],[NOM_PLAZA]],[1]!Locales[#Data],3,0)</f>
        <v>TIENDA MACHALA</v>
      </c>
      <c r="BY18" s="43" t="str">
        <f>VLOOKUP(CambioPlan[[#This Row],[DOMAIN_LOGIN_OW]],[1]!Personal[#Data],6,0)</f>
        <v>GONZAGA YUPANGUI LIZBETH KATHERINE</v>
      </c>
      <c r="BZ18" s="43"/>
      <c r="CA18" s="43" t="str">
        <f>IFERROR(IF(FIND("ADULTO",CambioPlan[[#This Row],[DESCRIPCION_PLAN_ACTUAL]],1),"NO SE PAGA",),"SI SE PAGA")</f>
        <v>SI SE PAGA</v>
      </c>
      <c r="CB18" s="45">
        <f>CambioPlan[[#This Row],[TARIFA_BASICA_ACTUAL]]-CambioPlan[[#This Row],[TARIFA_BASICA_ANTERIOR]]</f>
        <v>8.93</v>
      </c>
      <c r="CC18" s="56">
        <f>CambioPlan[[#This Row],[DIF. TARIFAS]]*4</f>
        <v>35.72</v>
      </c>
      <c r="CD18" s="53" t="str">
        <f>IF(CambioPlan[[#This Row],[C. COMISIÓN TME]]&lt;0,"DOWNSELL",IF(CambioPlan[[#This Row],[C. COMISIÓN TME]]=0,"MISMA TARIFA",IF(CambioPlan[[#This Row],[C. COMISIÓN TME]]&gt;0,"UPSELL")))</f>
        <v>UPSELL</v>
      </c>
      <c r="CE18">
        <f>VLOOKUP(CambioPlan[[#This Row],[TARIFA_BASICA_ANTERIOR]],[3]Hoja1!$F:$G,2,0)</f>
        <v>2</v>
      </c>
      <c r="CF18">
        <f>VLOOKUP(CambioPlan[[#This Row],[TARIFA_BASICA_ACTUAL]],[3]Hoja1!$B:$C,2,0)</f>
        <v>4</v>
      </c>
    </row>
    <row r="19" spans="1:86" x14ac:dyDescent="0.25">
      <c r="A19" s="43">
        <v>202212</v>
      </c>
      <c r="B19" s="44">
        <v>44914</v>
      </c>
      <c r="C19" s="43" t="s">
        <v>7113</v>
      </c>
      <c r="D19" s="43" t="s">
        <v>7114</v>
      </c>
      <c r="E19" s="43" t="s">
        <v>95</v>
      </c>
      <c r="F19" s="43" t="s">
        <v>77</v>
      </c>
      <c r="G19" s="43" t="s">
        <v>164</v>
      </c>
      <c r="H19" s="43" t="s">
        <v>67</v>
      </c>
      <c r="I19" s="43" t="s">
        <v>7115</v>
      </c>
      <c r="J19" s="43" t="s">
        <v>7080</v>
      </c>
      <c r="K19" s="43" t="s">
        <v>118</v>
      </c>
      <c r="L19" s="43" t="s">
        <v>712</v>
      </c>
      <c r="M19" s="43" t="s">
        <v>2836</v>
      </c>
      <c r="N19" s="43" t="s">
        <v>79</v>
      </c>
      <c r="O19" s="45">
        <v>17.850000000000001</v>
      </c>
      <c r="P19" s="43" t="s">
        <v>95</v>
      </c>
      <c r="Q19" s="43" t="s">
        <v>95</v>
      </c>
      <c r="R19" s="43" t="s">
        <v>95</v>
      </c>
      <c r="S19" s="45">
        <v>0</v>
      </c>
      <c r="T19" s="43" t="s">
        <v>95</v>
      </c>
      <c r="U19" s="44" t="s">
        <v>95</v>
      </c>
      <c r="V19" s="44" t="s">
        <v>95</v>
      </c>
      <c r="W19" s="43" t="s">
        <v>95</v>
      </c>
      <c r="X19" s="45">
        <v>17.850000000000001</v>
      </c>
      <c r="Y19" s="43" t="s">
        <v>81</v>
      </c>
      <c r="Z19" s="43" t="s">
        <v>71</v>
      </c>
      <c r="AA19" s="43" t="s">
        <v>258</v>
      </c>
      <c r="AB19" s="43" t="s">
        <v>79</v>
      </c>
      <c r="AC19" s="45">
        <v>11.42</v>
      </c>
      <c r="AD19" s="43" t="s">
        <v>95</v>
      </c>
      <c r="AE19" s="43" t="s">
        <v>95</v>
      </c>
      <c r="AF19" s="43" t="s">
        <v>95</v>
      </c>
      <c r="AG19" s="43" t="s">
        <v>95</v>
      </c>
      <c r="AH19" s="45">
        <v>0</v>
      </c>
      <c r="AI19" s="43" t="s">
        <v>95</v>
      </c>
      <c r="AJ19" s="43" t="s">
        <v>95</v>
      </c>
      <c r="AK19" s="43" t="s">
        <v>95</v>
      </c>
      <c r="AL19" s="43" t="s">
        <v>95</v>
      </c>
      <c r="AM19" s="45">
        <v>11.42</v>
      </c>
      <c r="AN19" s="43" t="s">
        <v>81</v>
      </c>
      <c r="AO19" s="44">
        <v>44897</v>
      </c>
      <c r="AP19" s="43" t="s">
        <v>443</v>
      </c>
      <c r="AQ19" s="43" t="s">
        <v>444</v>
      </c>
      <c r="AR19" s="43" t="s">
        <v>443</v>
      </c>
      <c r="AS19" s="43" t="s">
        <v>444</v>
      </c>
      <c r="AT19" s="43" t="s">
        <v>85</v>
      </c>
      <c r="AU19" s="43" t="s">
        <v>7030</v>
      </c>
      <c r="AV19" s="43" t="s">
        <v>7031</v>
      </c>
      <c r="AW19" s="43" t="s">
        <v>7031</v>
      </c>
      <c r="AX19" s="43" t="s">
        <v>90</v>
      </c>
      <c r="AY19" s="43" t="s">
        <v>132</v>
      </c>
      <c r="AZ19" s="43" t="s">
        <v>7037</v>
      </c>
      <c r="BA19" s="43" t="s">
        <v>139</v>
      </c>
      <c r="BB19" s="45">
        <v>6.43</v>
      </c>
      <c r="BC19" s="45">
        <v>6.43</v>
      </c>
      <c r="BD19" s="43" t="s">
        <v>7032</v>
      </c>
      <c r="BE19" s="43" t="s">
        <v>81</v>
      </c>
      <c r="BF19" s="43" t="s">
        <v>81</v>
      </c>
      <c r="BG19" s="43" t="s">
        <v>86</v>
      </c>
      <c r="BH19" s="43" t="s">
        <v>235</v>
      </c>
      <c r="BI19" s="43" t="s">
        <v>7076</v>
      </c>
      <c r="BJ19" s="43" t="s">
        <v>7030</v>
      </c>
      <c r="BK19" s="43" t="s">
        <v>139</v>
      </c>
      <c r="BL19" s="43" t="s">
        <v>85</v>
      </c>
      <c r="BM19" s="43" t="s">
        <v>85</v>
      </c>
      <c r="BN19" s="43" t="s">
        <v>139</v>
      </c>
      <c r="BO19" s="46">
        <v>6.43</v>
      </c>
      <c r="BP19" s="43" t="s">
        <v>7032</v>
      </c>
      <c r="BQ19" s="43">
        <v>6.43</v>
      </c>
      <c r="BR19" s="43" t="s">
        <v>7032</v>
      </c>
      <c r="BS19" s="47">
        <v>6.43</v>
      </c>
      <c r="BT19" s="43" t="s">
        <v>7032</v>
      </c>
      <c r="BU19" s="43" t="s">
        <v>7032</v>
      </c>
      <c r="BV19" s="43" t="str">
        <f>CambioPlan[[#This Row],[TELEFONO]]&amp;"UPSELLSI"</f>
        <v>962914340UPSELLSI</v>
      </c>
      <c r="BW19" s="43">
        <f>DAY(CambioPlan[[#This Row],[FECHA_CAMBIO_PLAN]])</f>
        <v>2</v>
      </c>
      <c r="BX19" s="43" t="str">
        <f>VLOOKUP(CambioPlan[[#This Row],[NOM_PLAZA]],[1]!Locales[#Data],3,0)</f>
        <v>TIENDA CONDADO</v>
      </c>
      <c r="BY19" s="43" t="str">
        <f>VLOOKUP(CambioPlan[[#This Row],[DOMAIN_LOGIN_OW]],[1]!Personal[#Data],6,0)</f>
        <v>JARAMILLO ESPINOZA KENIA KATRINA</v>
      </c>
      <c r="BZ19" s="43"/>
      <c r="CA19" s="43" t="str">
        <f>IFERROR(IF(FIND("ADULTO",CambioPlan[[#This Row],[DESCRIPCION_PLAN_ACTUAL]],1),"NO SE PAGA",),"SI SE PAGA")</f>
        <v>SI SE PAGA</v>
      </c>
      <c r="CB19" s="45">
        <f>CambioPlan[[#This Row],[TARIFA_BASICA_ACTUAL]]-CambioPlan[[#This Row],[TARIFA_BASICA_ANTERIOR]]</f>
        <v>6.4300000000000015</v>
      </c>
      <c r="CC19" s="56">
        <f>CambioPlan[[#This Row],[DIF. TARIFAS]]*4</f>
        <v>25.720000000000006</v>
      </c>
      <c r="CD19" s="53" t="str">
        <f>IF(CambioPlan[[#This Row],[C. COMISIÓN TME]]&lt;0,"DOWNSELL",IF(CambioPlan[[#This Row],[C. COMISIÓN TME]]=0,"MISMA TARIFA",IF(CambioPlan[[#This Row],[C. COMISIÓN TME]]&gt;0,"UPSELL")))</f>
        <v>UPSELL</v>
      </c>
      <c r="CE19">
        <f>VLOOKUP(CambioPlan[[#This Row],[TARIFA_BASICA_ANTERIOR]],[3]Hoja1!$F:$G,2,0)</f>
        <v>0</v>
      </c>
      <c r="CF19">
        <f>VLOOKUP(CambioPlan[[#This Row],[TARIFA_BASICA_ACTUAL]],[3]Hoja1!$B:$C,2,0)</f>
        <v>2</v>
      </c>
    </row>
    <row r="20" spans="1:86" x14ac:dyDescent="0.25">
      <c r="A20" s="43">
        <v>202212</v>
      </c>
      <c r="B20" s="44">
        <v>44914</v>
      </c>
      <c r="C20" s="43" t="s">
        <v>7116</v>
      </c>
      <c r="D20" s="43" t="s">
        <v>7117</v>
      </c>
      <c r="E20" s="43" t="s">
        <v>95</v>
      </c>
      <c r="F20" s="43" t="s">
        <v>77</v>
      </c>
      <c r="G20" s="43" t="s">
        <v>2241</v>
      </c>
      <c r="H20" s="43" t="s">
        <v>67</v>
      </c>
      <c r="I20" s="43" t="s">
        <v>7118</v>
      </c>
      <c r="J20" s="43" t="s">
        <v>7037</v>
      </c>
      <c r="K20" s="43" t="s">
        <v>118</v>
      </c>
      <c r="L20" s="43" t="s">
        <v>112</v>
      </c>
      <c r="M20" s="43" t="s">
        <v>781</v>
      </c>
      <c r="N20" s="43" t="s">
        <v>79</v>
      </c>
      <c r="O20" s="45">
        <v>17.850000000000001</v>
      </c>
      <c r="P20" s="43" t="s">
        <v>95</v>
      </c>
      <c r="Q20" s="43" t="s">
        <v>95</v>
      </c>
      <c r="R20" s="43" t="s">
        <v>95</v>
      </c>
      <c r="S20" s="45">
        <v>0</v>
      </c>
      <c r="T20" s="43" t="s">
        <v>95</v>
      </c>
      <c r="U20" s="44" t="s">
        <v>95</v>
      </c>
      <c r="V20" s="44" t="s">
        <v>95</v>
      </c>
      <c r="W20" s="43" t="s">
        <v>95</v>
      </c>
      <c r="X20" s="45">
        <v>17.850000000000001</v>
      </c>
      <c r="Y20" s="43" t="s">
        <v>81</v>
      </c>
      <c r="Z20" s="43" t="s">
        <v>160</v>
      </c>
      <c r="AA20" s="43" t="s">
        <v>161</v>
      </c>
      <c r="AB20" s="43" t="s">
        <v>79</v>
      </c>
      <c r="AC20" s="45">
        <v>14.28</v>
      </c>
      <c r="AD20" s="43" t="s">
        <v>95</v>
      </c>
      <c r="AE20" s="43" t="s">
        <v>95</v>
      </c>
      <c r="AF20" s="43" t="s">
        <v>95</v>
      </c>
      <c r="AG20" s="43" t="s">
        <v>95</v>
      </c>
      <c r="AH20" s="45">
        <v>0</v>
      </c>
      <c r="AI20" s="43" t="s">
        <v>95</v>
      </c>
      <c r="AJ20" s="43" t="s">
        <v>95</v>
      </c>
      <c r="AK20" s="43" t="s">
        <v>95</v>
      </c>
      <c r="AL20" s="43" t="s">
        <v>95</v>
      </c>
      <c r="AM20" s="45">
        <v>14.28</v>
      </c>
      <c r="AN20" s="43" t="s">
        <v>81</v>
      </c>
      <c r="AO20" s="44">
        <v>44908</v>
      </c>
      <c r="AP20" s="43" t="s">
        <v>369</v>
      </c>
      <c r="AQ20" s="43" t="s">
        <v>370</v>
      </c>
      <c r="AR20" s="43" t="s">
        <v>7062</v>
      </c>
      <c r="AS20" s="43" t="s">
        <v>95</v>
      </c>
      <c r="AT20" s="43" t="s">
        <v>85</v>
      </c>
      <c r="AU20" s="43" t="s">
        <v>7030</v>
      </c>
      <c r="AV20" s="43" t="s">
        <v>7031</v>
      </c>
      <c r="AW20" s="43" t="s">
        <v>7031</v>
      </c>
      <c r="AX20" s="43" t="s">
        <v>90</v>
      </c>
      <c r="AY20" s="43" t="s">
        <v>132</v>
      </c>
      <c r="AZ20" s="43" t="s">
        <v>7037</v>
      </c>
      <c r="BA20" s="43" t="s">
        <v>139</v>
      </c>
      <c r="BB20" s="45">
        <v>3.57</v>
      </c>
      <c r="BC20" s="45">
        <v>3.57</v>
      </c>
      <c r="BD20" s="43" t="s">
        <v>7032</v>
      </c>
      <c r="BE20" s="43" t="s">
        <v>81</v>
      </c>
      <c r="BF20" s="43" t="s">
        <v>81</v>
      </c>
      <c r="BG20" s="43" t="s">
        <v>86</v>
      </c>
      <c r="BH20" s="43" t="s">
        <v>177</v>
      </c>
      <c r="BI20" s="43" t="s">
        <v>7038</v>
      </c>
      <c r="BJ20" s="43" t="s">
        <v>7030</v>
      </c>
      <c r="BK20" s="43" t="s">
        <v>139</v>
      </c>
      <c r="BL20" s="43" t="s">
        <v>85</v>
      </c>
      <c r="BM20" s="43" t="s">
        <v>85</v>
      </c>
      <c r="BN20" s="43" t="s">
        <v>139</v>
      </c>
      <c r="BO20" s="46">
        <v>3.57</v>
      </c>
      <c r="BP20" s="43" t="s">
        <v>7032</v>
      </c>
      <c r="BQ20" s="43">
        <v>3.57</v>
      </c>
      <c r="BR20" s="43" t="s">
        <v>7032</v>
      </c>
      <c r="BS20" s="47">
        <v>3.57</v>
      </c>
      <c r="BT20" s="43" t="s">
        <v>7032</v>
      </c>
      <c r="BU20" s="43" t="s">
        <v>7032</v>
      </c>
      <c r="BV20" s="43" t="str">
        <f>CambioPlan[[#This Row],[TELEFONO]]&amp;"UPSELLSI"</f>
        <v>962934143UPSELLSI</v>
      </c>
      <c r="BW20" s="43">
        <f>DAY(CambioPlan[[#This Row],[FECHA_CAMBIO_PLAN]])</f>
        <v>13</v>
      </c>
      <c r="BX20" s="43" t="str">
        <f>VLOOKUP(CambioPlan[[#This Row],[NOM_PLAZA]],[1]!Locales[#Data],3,0)</f>
        <v>TIENDA RECREO</v>
      </c>
      <c r="BY20" s="43" t="str">
        <f>VLOOKUP(CambioPlan[[#This Row],[DOMAIN_LOGIN_OW]],[1]!Personal[#Data],6,0)</f>
        <v>GUAIGUA REINOSO GENESIS CAROLINA</v>
      </c>
      <c r="BZ20" s="43"/>
      <c r="CA20" s="43" t="str">
        <f>IFERROR(IF(FIND("ADULTO",CambioPlan[[#This Row],[DESCRIPCION_PLAN_ACTUAL]],1),"NO SE PAGA",),"SI SE PAGA")</f>
        <v>SI SE PAGA</v>
      </c>
      <c r="CB20" s="45">
        <f>CambioPlan[[#This Row],[TARIFA_BASICA_ACTUAL]]-CambioPlan[[#This Row],[TARIFA_BASICA_ANTERIOR]]</f>
        <v>3.5700000000000021</v>
      </c>
      <c r="CC20" s="56">
        <f>CambioPlan[[#This Row],[DIF. TARIFAS]]*4</f>
        <v>14.280000000000008</v>
      </c>
      <c r="CD20" s="53" t="str">
        <f>IF(CambioPlan[[#This Row],[C. COMISIÓN TME]]&lt;0,"DOWNSELL",IF(CambioPlan[[#This Row],[C. COMISIÓN TME]]=0,"MISMA TARIFA",IF(CambioPlan[[#This Row],[C. COMISIÓN TME]]&gt;0,"UPSELL")))</f>
        <v>UPSELL</v>
      </c>
      <c r="CE20">
        <f>VLOOKUP(CambioPlan[[#This Row],[TARIFA_BASICA_ANTERIOR]],[3]Hoja1!$F:$G,2,0)</f>
        <v>1</v>
      </c>
      <c r="CF20">
        <f>VLOOKUP(CambioPlan[[#This Row],[TARIFA_BASICA_ACTUAL]],[3]Hoja1!$B:$C,2,0)</f>
        <v>2</v>
      </c>
    </row>
    <row r="21" spans="1:86" x14ac:dyDescent="0.25">
      <c r="A21" s="43">
        <v>202212</v>
      </c>
      <c r="B21" s="44">
        <v>44914</v>
      </c>
      <c r="C21" s="43" t="s">
        <v>7119</v>
      </c>
      <c r="D21" s="43" t="s">
        <v>7120</v>
      </c>
      <c r="E21" s="43" t="s">
        <v>95</v>
      </c>
      <c r="F21" s="43" t="s">
        <v>77</v>
      </c>
      <c r="G21" s="43" t="s">
        <v>2241</v>
      </c>
      <c r="H21" s="43" t="s">
        <v>67</v>
      </c>
      <c r="I21" s="43" t="s">
        <v>7121</v>
      </c>
      <c r="J21" s="43" t="s">
        <v>7122</v>
      </c>
      <c r="K21" s="43" t="s">
        <v>118</v>
      </c>
      <c r="L21" s="43" t="s">
        <v>160</v>
      </c>
      <c r="M21" s="43" t="s">
        <v>161</v>
      </c>
      <c r="N21" s="43" t="s">
        <v>79</v>
      </c>
      <c r="O21" s="45">
        <v>14.28</v>
      </c>
      <c r="P21" s="43" t="s">
        <v>95</v>
      </c>
      <c r="Q21" s="43" t="s">
        <v>95</v>
      </c>
      <c r="R21" s="43" t="s">
        <v>95</v>
      </c>
      <c r="S21" s="45">
        <v>0</v>
      </c>
      <c r="T21" s="43" t="s">
        <v>95</v>
      </c>
      <c r="U21" s="44" t="s">
        <v>95</v>
      </c>
      <c r="V21" s="44" t="s">
        <v>95</v>
      </c>
      <c r="W21" s="43" t="s">
        <v>95</v>
      </c>
      <c r="X21" s="45">
        <v>14.28</v>
      </c>
      <c r="Y21" s="43" t="s">
        <v>81</v>
      </c>
      <c r="Z21" s="43" t="s">
        <v>71</v>
      </c>
      <c r="AA21" s="43" t="s">
        <v>258</v>
      </c>
      <c r="AB21" s="43" t="s">
        <v>79</v>
      </c>
      <c r="AC21" s="45">
        <v>11.42</v>
      </c>
      <c r="AD21" s="43" t="s">
        <v>95</v>
      </c>
      <c r="AE21" s="43" t="s">
        <v>95</v>
      </c>
      <c r="AF21" s="43" t="s">
        <v>95</v>
      </c>
      <c r="AG21" s="43" t="s">
        <v>95</v>
      </c>
      <c r="AH21" s="45">
        <v>0</v>
      </c>
      <c r="AI21" s="43" t="s">
        <v>95</v>
      </c>
      <c r="AJ21" s="43" t="s">
        <v>95</v>
      </c>
      <c r="AK21" s="43" t="s">
        <v>95</v>
      </c>
      <c r="AL21" s="43" t="s">
        <v>95</v>
      </c>
      <c r="AM21" s="45">
        <v>11.42</v>
      </c>
      <c r="AN21" s="43" t="s">
        <v>81</v>
      </c>
      <c r="AO21" s="44">
        <v>44903</v>
      </c>
      <c r="AP21" s="43" t="s">
        <v>740</v>
      </c>
      <c r="AQ21" s="43" t="s">
        <v>741</v>
      </c>
      <c r="AR21" s="43" t="s">
        <v>740</v>
      </c>
      <c r="AS21" s="43" t="s">
        <v>741</v>
      </c>
      <c r="AT21" s="43" t="s">
        <v>85</v>
      </c>
      <c r="AU21" s="43" t="s">
        <v>7030</v>
      </c>
      <c r="AV21" s="43" t="s">
        <v>7031</v>
      </c>
      <c r="AW21" s="43" t="s">
        <v>7031</v>
      </c>
      <c r="AX21" s="43" t="s">
        <v>90</v>
      </c>
      <c r="AY21" s="43" t="s">
        <v>132</v>
      </c>
      <c r="AZ21" s="43" t="s">
        <v>7037</v>
      </c>
      <c r="BA21" s="43" t="s">
        <v>139</v>
      </c>
      <c r="BB21" s="45">
        <v>2.86</v>
      </c>
      <c r="BC21" s="45">
        <v>2.86</v>
      </c>
      <c r="BD21" s="43" t="s">
        <v>7032</v>
      </c>
      <c r="BE21" s="43" t="s">
        <v>81</v>
      </c>
      <c r="BF21" s="43" t="s">
        <v>81</v>
      </c>
      <c r="BG21" s="43" t="s">
        <v>86</v>
      </c>
      <c r="BH21" s="43" t="s">
        <v>177</v>
      </c>
      <c r="BI21" s="43" t="s">
        <v>7038</v>
      </c>
      <c r="BJ21" s="43" t="s">
        <v>7030</v>
      </c>
      <c r="BK21" s="43" t="s">
        <v>139</v>
      </c>
      <c r="BL21" s="43" t="s">
        <v>85</v>
      </c>
      <c r="BM21" s="43" t="s">
        <v>85</v>
      </c>
      <c r="BN21" s="43" t="s">
        <v>139</v>
      </c>
      <c r="BO21" s="46">
        <v>2.86</v>
      </c>
      <c r="BP21" s="43" t="s">
        <v>7032</v>
      </c>
      <c r="BQ21" s="43">
        <v>2.86</v>
      </c>
      <c r="BR21" s="43" t="s">
        <v>7032</v>
      </c>
      <c r="BS21" s="47">
        <v>2.86</v>
      </c>
      <c r="BT21" s="43" t="s">
        <v>7032</v>
      </c>
      <c r="BU21" s="43" t="s">
        <v>7032</v>
      </c>
      <c r="BV21" s="43" t="str">
        <f>CambioPlan[[#This Row],[TELEFONO]]&amp;"UPSELLSI"</f>
        <v>962958368UPSELLSI</v>
      </c>
      <c r="BW21" s="43">
        <f>DAY(CambioPlan[[#This Row],[FECHA_CAMBIO_PLAN]])</f>
        <v>8</v>
      </c>
      <c r="BX21" s="43" t="str">
        <f>VLOOKUP(CambioPlan[[#This Row],[NOM_PLAZA]],[1]!Locales[#Data],3,0)</f>
        <v>TIENDA RECREO</v>
      </c>
      <c r="BY21" s="43" t="str">
        <f>VLOOKUP(CambioPlan[[#This Row],[DOMAIN_LOGIN_OW]],[1]!Personal[#Data],6,0)</f>
        <v>CHAVEZ VASQUEZ YESSENIA KATHERINE</v>
      </c>
      <c r="BZ21" s="43"/>
      <c r="CA21" s="43" t="str">
        <f>IFERROR(IF(FIND("ADULTO",CambioPlan[[#This Row],[DESCRIPCION_PLAN_ACTUAL]],1),"NO SE PAGA",),"SI SE PAGA")</f>
        <v>SI SE PAGA</v>
      </c>
      <c r="CB21" s="45">
        <f>CambioPlan[[#This Row],[TARIFA_BASICA_ACTUAL]]-CambioPlan[[#This Row],[TARIFA_BASICA_ANTERIOR]]</f>
        <v>2.8599999999999994</v>
      </c>
      <c r="CC21" s="56">
        <f>CambioPlan[[#This Row],[DIF. TARIFAS]]*4</f>
        <v>11.439999999999998</v>
      </c>
      <c r="CD21" s="53" t="str">
        <f>IF(CambioPlan[[#This Row],[C. COMISIÓN TME]]&lt;0,"DOWNSELL",IF(CambioPlan[[#This Row],[C. COMISIÓN TME]]=0,"MISMA TARIFA",IF(CambioPlan[[#This Row],[C. COMISIÓN TME]]&gt;0,"UPSELL")))</f>
        <v>UPSELL</v>
      </c>
      <c r="CE21">
        <f>VLOOKUP(CambioPlan[[#This Row],[TARIFA_BASICA_ANTERIOR]],[3]Hoja1!$F:$G,2,0)</f>
        <v>0</v>
      </c>
      <c r="CF21">
        <f>VLOOKUP(CambioPlan[[#This Row],[TARIFA_BASICA_ACTUAL]],[3]Hoja1!$B:$C,2,0)</f>
        <v>1</v>
      </c>
    </row>
    <row r="22" spans="1:86" x14ac:dyDescent="0.25">
      <c r="A22" s="43">
        <v>202212</v>
      </c>
      <c r="B22" s="44">
        <v>44914</v>
      </c>
      <c r="C22" s="43" t="s">
        <v>7123</v>
      </c>
      <c r="D22" s="43" t="s">
        <v>7124</v>
      </c>
      <c r="E22" s="43" t="s">
        <v>95</v>
      </c>
      <c r="F22" s="43" t="s">
        <v>311</v>
      </c>
      <c r="G22" s="43" t="s">
        <v>7125</v>
      </c>
      <c r="H22" s="43" t="s">
        <v>67</v>
      </c>
      <c r="I22" s="43" t="s">
        <v>7126</v>
      </c>
      <c r="J22" s="43" t="s">
        <v>7029</v>
      </c>
      <c r="K22" s="43" t="s">
        <v>84</v>
      </c>
      <c r="L22" s="43" t="s">
        <v>160</v>
      </c>
      <c r="M22" s="43" t="s">
        <v>161</v>
      </c>
      <c r="N22" s="43" t="s">
        <v>79</v>
      </c>
      <c r="O22" s="45">
        <v>14.28</v>
      </c>
      <c r="P22" s="43" t="s">
        <v>95</v>
      </c>
      <c r="Q22" s="43" t="s">
        <v>95</v>
      </c>
      <c r="R22" s="43" t="s">
        <v>95</v>
      </c>
      <c r="S22" s="45">
        <v>0</v>
      </c>
      <c r="T22" s="43" t="s">
        <v>95</v>
      </c>
      <c r="U22" s="44" t="s">
        <v>95</v>
      </c>
      <c r="V22" s="44" t="s">
        <v>95</v>
      </c>
      <c r="W22" s="43" t="s">
        <v>95</v>
      </c>
      <c r="X22" s="45">
        <v>14.28</v>
      </c>
      <c r="Y22" s="43" t="s">
        <v>81</v>
      </c>
      <c r="Z22" s="43" t="s">
        <v>7127</v>
      </c>
      <c r="AA22" s="43" t="s">
        <v>7128</v>
      </c>
      <c r="AB22" s="43" t="s">
        <v>79</v>
      </c>
      <c r="AC22" s="45">
        <v>13.79</v>
      </c>
      <c r="AD22" s="43" t="s">
        <v>95</v>
      </c>
      <c r="AE22" s="43" t="s">
        <v>95</v>
      </c>
      <c r="AF22" s="43" t="s">
        <v>95</v>
      </c>
      <c r="AG22" s="43" t="s">
        <v>95</v>
      </c>
      <c r="AH22" s="45">
        <v>0</v>
      </c>
      <c r="AI22" s="43" t="s">
        <v>95</v>
      </c>
      <c r="AJ22" s="43" t="s">
        <v>95</v>
      </c>
      <c r="AK22" s="43" t="s">
        <v>95</v>
      </c>
      <c r="AL22" s="43" t="s">
        <v>95</v>
      </c>
      <c r="AM22" s="45">
        <v>13.79</v>
      </c>
      <c r="AN22" s="43" t="s">
        <v>81</v>
      </c>
      <c r="AO22" s="44">
        <v>44913</v>
      </c>
      <c r="AP22" s="43" t="s">
        <v>187</v>
      </c>
      <c r="AQ22" s="43" t="s">
        <v>188</v>
      </c>
      <c r="AR22" s="43" t="s">
        <v>187</v>
      </c>
      <c r="AS22" s="43" t="s">
        <v>188</v>
      </c>
      <c r="AT22" s="43" t="s">
        <v>85</v>
      </c>
      <c r="AU22" s="43" t="s">
        <v>7030</v>
      </c>
      <c r="AV22" s="43" t="s">
        <v>7031</v>
      </c>
      <c r="AW22" s="43" t="s">
        <v>7031</v>
      </c>
      <c r="AX22" s="43" t="s">
        <v>90</v>
      </c>
      <c r="AY22" s="43" t="s">
        <v>132</v>
      </c>
      <c r="AZ22" s="43" t="s">
        <v>7037</v>
      </c>
      <c r="BA22" s="43" t="s">
        <v>139</v>
      </c>
      <c r="BB22" s="45">
        <v>0.49</v>
      </c>
      <c r="BC22" s="45">
        <v>0.49</v>
      </c>
      <c r="BD22" s="43" t="s">
        <v>7032</v>
      </c>
      <c r="BE22" s="43" t="s">
        <v>81</v>
      </c>
      <c r="BF22" s="43" t="s">
        <v>81</v>
      </c>
      <c r="BG22" s="43" t="s">
        <v>86</v>
      </c>
      <c r="BH22" s="43" t="s">
        <v>177</v>
      </c>
      <c r="BI22" s="43" t="s">
        <v>7038</v>
      </c>
      <c r="BJ22" s="43" t="s">
        <v>7030</v>
      </c>
      <c r="BK22" s="43" t="s">
        <v>139</v>
      </c>
      <c r="BL22" s="43" t="s">
        <v>85</v>
      </c>
      <c r="BM22" s="43" t="s">
        <v>85</v>
      </c>
      <c r="BN22" s="43" t="s">
        <v>139</v>
      </c>
      <c r="BO22" s="46">
        <v>0.49</v>
      </c>
      <c r="BP22" s="43" t="s">
        <v>7032</v>
      </c>
      <c r="BQ22" s="43">
        <v>0.49</v>
      </c>
      <c r="BR22" s="43" t="s">
        <v>7032</v>
      </c>
      <c r="BS22" s="47">
        <v>0.49</v>
      </c>
      <c r="BT22" s="43" t="s">
        <v>7032</v>
      </c>
      <c r="BU22" s="43" t="s">
        <v>7092</v>
      </c>
      <c r="BV22" s="43" t="str">
        <f>CambioPlan[[#This Row],[TELEFONO]]&amp;"UPSELLSI"</f>
        <v>963033429UPSELLSI</v>
      </c>
      <c r="BW22" s="43">
        <f>DAY(CambioPlan[[#This Row],[FECHA_CAMBIO_PLAN]])</f>
        <v>18</v>
      </c>
      <c r="BX22" s="43" t="str">
        <f>VLOOKUP(CambioPlan[[#This Row],[NOM_PLAZA]],[1]!Locales[#Data],3,0)</f>
        <v>TIENDA RECREO</v>
      </c>
      <c r="BY22" s="43" t="str">
        <f>VLOOKUP(CambioPlan[[#This Row],[DOMAIN_LOGIN_OW]],[1]!Personal[#Data],6,0)</f>
        <v>ESPINOZA MARTINES LAURA XIOMARA</v>
      </c>
      <c r="BZ22" s="43"/>
      <c r="CA22" s="43" t="str">
        <f>IFERROR(IF(FIND("ADULTO",CambioPlan[[#This Row],[DESCRIPCION_PLAN_ACTUAL]],1),"NO SE PAGA",),"SI SE PAGA")</f>
        <v>SI SE PAGA</v>
      </c>
      <c r="CB22" s="45">
        <f>CambioPlan[[#This Row],[TARIFA_BASICA_ACTUAL]]-CambioPlan[[#This Row],[TARIFA_BASICA_ANTERIOR]]</f>
        <v>0.49000000000000021</v>
      </c>
      <c r="CC22" s="56">
        <f>CambioPlan[[#This Row],[DIF. TARIFAS]]*4</f>
        <v>1.9600000000000009</v>
      </c>
      <c r="CD22" s="53" t="str">
        <f>IF(CambioPlan[[#This Row],[C. COMISIÓN TME]]&lt;0,"DOWNSELL",IF(CambioPlan[[#This Row],[C. COMISIÓN TME]]=0,"MISMA TARIFA",IF(CambioPlan[[#This Row],[C. COMISIÓN TME]]&gt;0,"UPSELL")))</f>
        <v>UPSELL</v>
      </c>
      <c r="CE22">
        <f>VLOOKUP(CambioPlan[[#This Row],[TARIFA_BASICA_ANTERIOR]],[3]Hoja1!$F:$G,2,0)</f>
        <v>1</v>
      </c>
      <c r="CF22">
        <f>VLOOKUP(CambioPlan[[#This Row],[TARIFA_BASICA_ACTUAL]],[3]Hoja1!$B:$C,2,0)</f>
        <v>1</v>
      </c>
    </row>
    <row r="23" spans="1:86" x14ac:dyDescent="0.25">
      <c r="A23" s="43">
        <v>202212</v>
      </c>
      <c r="B23" s="44">
        <v>44914</v>
      </c>
      <c r="C23" s="43" t="s">
        <v>7129</v>
      </c>
      <c r="D23" s="43" t="s">
        <v>7130</v>
      </c>
      <c r="E23" s="43" t="s">
        <v>95</v>
      </c>
      <c r="F23" s="43" t="s">
        <v>77</v>
      </c>
      <c r="G23" s="43" t="s">
        <v>2241</v>
      </c>
      <c r="H23" s="43" t="s">
        <v>67</v>
      </c>
      <c r="I23" s="43" t="s">
        <v>7131</v>
      </c>
      <c r="J23" s="43" t="s">
        <v>7037</v>
      </c>
      <c r="K23" s="43" t="s">
        <v>118</v>
      </c>
      <c r="L23" s="43" t="s">
        <v>160</v>
      </c>
      <c r="M23" s="43" t="s">
        <v>161</v>
      </c>
      <c r="N23" s="43" t="s">
        <v>79</v>
      </c>
      <c r="O23" s="45">
        <v>14.28</v>
      </c>
      <c r="P23" s="43" t="s">
        <v>95</v>
      </c>
      <c r="Q23" s="43" t="s">
        <v>95</v>
      </c>
      <c r="R23" s="43" t="s">
        <v>95</v>
      </c>
      <c r="S23" s="45">
        <v>0</v>
      </c>
      <c r="T23" s="43" t="s">
        <v>95</v>
      </c>
      <c r="U23" s="44" t="s">
        <v>95</v>
      </c>
      <c r="V23" s="44" t="s">
        <v>95</v>
      </c>
      <c r="W23" s="43" t="s">
        <v>95</v>
      </c>
      <c r="X23" s="45">
        <v>14.28</v>
      </c>
      <c r="Y23" s="43" t="s">
        <v>81</v>
      </c>
      <c r="Z23" s="43" t="s">
        <v>392</v>
      </c>
      <c r="AA23" s="43" t="s">
        <v>393</v>
      </c>
      <c r="AB23" s="43" t="s">
        <v>79</v>
      </c>
      <c r="AC23" s="45">
        <v>15</v>
      </c>
      <c r="AD23" s="43" t="s">
        <v>95</v>
      </c>
      <c r="AE23" s="43" t="s">
        <v>95</v>
      </c>
      <c r="AF23" s="43" t="s">
        <v>95</v>
      </c>
      <c r="AG23" s="43" t="s">
        <v>95</v>
      </c>
      <c r="AH23" s="45">
        <v>0</v>
      </c>
      <c r="AI23" s="43" t="s">
        <v>95</v>
      </c>
      <c r="AJ23" s="43" t="s">
        <v>95</v>
      </c>
      <c r="AK23" s="43" t="s">
        <v>95</v>
      </c>
      <c r="AL23" s="43" t="s">
        <v>95</v>
      </c>
      <c r="AM23" s="45">
        <v>15</v>
      </c>
      <c r="AN23" s="43" t="s">
        <v>81</v>
      </c>
      <c r="AO23" s="44">
        <v>44912</v>
      </c>
      <c r="AP23" s="43" t="s">
        <v>136</v>
      </c>
      <c r="AQ23" s="43" t="s">
        <v>137</v>
      </c>
      <c r="AR23" s="43" t="s">
        <v>7062</v>
      </c>
      <c r="AS23" s="43" t="s">
        <v>95</v>
      </c>
      <c r="AT23" s="43" t="s">
        <v>85</v>
      </c>
      <c r="AU23" s="43" t="s">
        <v>7030</v>
      </c>
      <c r="AV23" s="43" t="s">
        <v>7031</v>
      </c>
      <c r="AW23" s="43" t="s">
        <v>7031</v>
      </c>
      <c r="AX23" s="43" t="s">
        <v>90</v>
      </c>
      <c r="AY23" s="43" t="s">
        <v>132</v>
      </c>
      <c r="AZ23" s="43" t="s">
        <v>7037</v>
      </c>
      <c r="BA23" s="43" t="s">
        <v>139</v>
      </c>
      <c r="BB23" s="45">
        <v>-0.72000000000000097</v>
      </c>
      <c r="BC23" s="45">
        <v>-0.71999999999999897</v>
      </c>
      <c r="BD23" s="43" t="s">
        <v>7106</v>
      </c>
      <c r="BE23" s="43" t="s">
        <v>81</v>
      </c>
      <c r="BF23" s="43" t="s">
        <v>81</v>
      </c>
      <c r="BG23" s="43" t="s">
        <v>86</v>
      </c>
      <c r="BH23" s="43" t="s">
        <v>138</v>
      </c>
      <c r="BI23" s="43" t="s">
        <v>7076</v>
      </c>
      <c r="BJ23" s="43" t="s">
        <v>7030</v>
      </c>
      <c r="BK23" s="43" t="s">
        <v>139</v>
      </c>
      <c r="BL23" s="43" t="s">
        <v>85</v>
      </c>
      <c r="BM23" s="43" t="s">
        <v>85</v>
      </c>
      <c r="BN23" s="43" t="s">
        <v>139</v>
      </c>
      <c r="BO23" s="46">
        <v>-0.71999999999999897</v>
      </c>
      <c r="BP23" s="43" t="s">
        <v>7106</v>
      </c>
      <c r="BQ23" s="43">
        <v>-0.71999999999999897</v>
      </c>
      <c r="BR23" s="43" t="s">
        <v>7106</v>
      </c>
      <c r="BS23" s="47">
        <v>-0.71999999999999897</v>
      </c>
      <c r="BT23" s="43" t="s">
        <v>7106</v>
      </c>
      <c r="BU23" s="43" t="s">
        <v>7106</v>
      </c>
      <c r="BV23" s="43" t="str">
        <f>CambioPlan[[#This Row],[TELEFONO]]&amp;"UPSELLSI"</f>
        <v>963039308UPSELLSI</v>
      </c>
      <c r="BW23" s="43">
        <f>DAY(CambioPlan[[#This Row],[FECHA_CAMBIO_PLAN]])</f>
        <v>17</v>
      </c>
      <c r="BX23" s="43" t="str">
        <f>VLOOKUP(CambioPlan[[#This Row],[NOM_PLAZA]],[1]!Locales[#Data],3,0)</f>
        <v>TIENDA AMERICA</v>
      </c>
      <c r="BY23" s="43" t="str">
        <f>VLOOKUP(CambioPlan[[#This Row],[DOMAIN_LOGIN_OW]],[1]!Personal[#Data],6,0)</f>
        <v>SALVATIERRA GUERRA JULIAN ENRIQUE</v>
      </c>
      <c r="BZ23" s="43"/>
      <c r="CA23" s="43" t="str">
        <f>IFERROR(IF(FIND("ADULTO",CambioPlan[[#This Row],[DESCRIPCION_PLAN_ACTUAL]],1),"NO SE PAGA",),"SI SE PAGA")</f>
        <v>SI SE PAGA</v>
      </c>
      <c r="CB23" s="45">
        <f>CambioPlan[[#This Row],[TARIFA_BASICA_ACTUAL]]-CambioPlan[[#This Row],[TARIFA_BASICA_ANTERIOR]]</f>
        <v>-0.72000000000000064</v>
      </c>
      <c r="CC23" s="56">
        <f>CambioPlan[[#This Row],[DIF. TARIFAS]]*4</f>
        <v>-2.8800000000000026</v>
      </c>
      <c r="CD23" s="53" t="str">
        <f>IF(CambioPlan[[#This Row],[C. COMISIÓN TME]]&lt;0,"DOWNSELL",IF(CambioPlan[[#This Row],[C. COMISIÓN TME]]=0,"MISMA TARIFA",IF(CambioPlan[[#This Row],[C. COMISIÓN TME]]&gt;0,"UPSELL")))</f>
        <v>DOWNSELL</v>
      </c>
      <c r="CE23">
        <f>VLOOKUP(CambioPlan[[#This Row],[TARIFA_BASICA_ANTERIOR]],[3]Hoja1!$F:$G,2,0)</f>
        <v>2</v>
      </c>
      <c r="CF23">
        <f>VLOOKUP(CambioPlan[[#This Row],[TARIFA_BASICA_ACTUAL]],[3]Hoja1!$B:$C,2,0)</f>
        <v>1</v>
      </c>
      <c r="CG23">
        <f>CF23-CE23</f>
        <v>-1</v>
      </c>
      <c r="CH23" t="e">
        <f>VLOOKUP(CambioPlan[[#This Row],[TELEFONO]],[1]Retenciones!$R$63:$R$287,1,0)</f>
        <v>#N/A</v>
      </c>
    </row>
    <row r="24" spans="1:86" x14ac:dyDescent="0.25">
      <c r="A24" s="43">
        <v>202212</v>
      </c>
      <c r="B24" s="44">
        <v>44914</v>
      </c>
      <c r="C24" s="43" t="s">
        <v>7132</v>
      </c>
      <c r="D24" s="43" t="s">
        <v>7133</v>
      </c>
      <c r="E24" s="43" t="s">
        <v>95</v>
      </c>
      <c r="F24" s="43" t="s">
        <v>77</v>
      </c>
      <c r="G24" s="43" t="s">
        <v>4453</v>
      </c>
      <c r="H24" s="43" t="s">
        <v>67</v>
      </c>
      <c r="I24" s="43" t="s">
        <v>7134</v>
      </c>
      <c r="J24" s="43" t="s">
        <v>7047</v>
      </c>
      <c r="K24" s="43" t="s">
        <v>118</v>
      </c>
      <c r="L24" s="43" t="s">
        <v>606</v>
      </c>
      <c r="M24" s="43" t="s">
        <v>1672</v>
      </c>
      <c r="N24" s="43" t="s">
        <v>79</v>
      </c>
      <c r="O24" s="45">
        <v>26.78</v>
      </c>
      <c r="P24" s="43" t="s">
        <v>95</v>
      </c>
      <c r="Q24" s="43" t="s">
        <v>95</v>
      </c>
      <c r="R24" s="43" t="s">
        <v>95</v>
      </c>
      <c r="S24" s="45">
        <v>0</v>
      </c>
      <c r="T24" s="43" t="s">
        <v>95</v>
      </c>
      <c r="U24" s="44" t="s">
        <v>95</v>
      </c>
      <c r="V24" s="44" t="s">
        <v>95</v>
      </c>
      <c r="W24" s="43" t="s">
        <v>95</v>
      </c>
      <c r="X24" s="45">
        <v>26.78</v>
      </c>
      <c r="Y24" s="43" t="s">
        <v>81</v>
      </c>
      <c r="Z24" s="43" t="s">
        <v>712</v>
      </c>
      <c r="AA24" s="43" t="s">
        <v>2836</v>
      </c>
      <c r="AB24" s="43" t="s">
        <v>79</v>
      </c>
      <c r="AC24" s="45">
        <v>17.850000000000001</v>
      </c>
      <c r="AD24" s="43" t="s">
        <v>95</v>
      </c>
      <c r="AE24" s="43" t="s">
        <v>95</v>
      </c>
      <c r="AF24" s="43" t="s">
        <v>95</v>
      </c>
      <c r="AG24" s="43" t="s">
        <v>95</v>
      </c>
      <c r="AH24" s="45">
        <v>0</v>
      </c>
      <c r="AI24" s="43" t="s">
        <v>95</v>
      </c>
      <c r="AJ24" s="43" t="s">
        <v>95</v>
      </c>
      <c r="AK24" s="43" t="s">
        <v>95</v>
      </c>
      <c r="AL24" s="43" t="s">
        <v>95</v>
      </c>
      <c r="AM24" s="45">
        <v>17.850000000000001</v>
      </c>
      <c r="AN24" s="43" t="s">
        <v>81</v>
      </c>
      <c r="AO24" s="44">
        <v>44907</v>
      </c>
      <c r="AP24" s="43" t="s">
        <v>651</v>
      </c>
      <c r="AQ24" s="43" t="s">
        <v>652</v>
      </c>
      <c r="AR24" s="43" t="s">
        <v>651</v>
      </c>
      <c r="AS24" s="43" t="s">
        <v>652</v>
      </c>
      <c r="AT24" s="43" t="s">
        <v>85</v>
      </c>
      <c r="AU24" s="43" t="s">
        <v>7030</v>
      </c>
      <c r="AV24" s="43" t="s">
        <v>7031</v>
      </c>
      <c r="AW24" s="43" t="s">
        <v>7031</v>
      </c>
      <c r="AX24" s="43" t="s">
        <v>90</v>
      </c>
      <c r="AY24" s="43" t="s">
        <v>114</v>
      </c>
      <c r="AZ24" s="43" t="s">
        <v>7047</v>
      </c>
      <c r="BA24" s="43" t="s">
        <v>92</v>
      </c>
      <c r="BB24" s="45">
        <v>8.93</v>
      </c>
      <c r="BC24" s="45">
        <v>8.93</v>
      </c>
      <c r="BD24" s="43" t="s">
        <v>7032</v>
      </c>
      <c r="BE24" s="43" t="s">
        <v>81</v>
      </c>
      <c r="BF24" s="43" t="s">
        <v>81</v>
      </c>
      <c r="BG24" s="43" t="s">
        <v>86</v>
      </c>
      <c r="BH24" s="43" t="s">
        <v>122</v>
      </c>
      <c r="BI24" s="43" t="s">
        <v>7048</v>
      </c>
      <c r="BJ24" s="43" t="s">
        <v>7030</v>
      </c>
      <c r="BK24" s="43" t="s">
        <v>92</v>
      </c>
      <c r="BL24" s="43" t="s">
        <v>85</v>
      </c>
      <c r="BM24" s="43" t="s">
        <v>85</v>
      </c>
      <c r="BN24" s="43" t="s">
        <v>92</v>
      </c>
      <c r="BO24" s="46">
        <v>8.93</v>
      </c>
      <c r="BP24" s="43" t="s">
        <v>7032</v>
      </c>
      <c r="BQ24" s="43">
        <v>8.93</v>
      </c>
      <c r="BR24" s="43" t="s">
        <v>7032</v>
      </c>
      <c r="BS24" s="47">
        <v>8.93</v>
      </c>
      <c r="BT24" s="43" t="s">
        <v>7032</v>
      </c>
      <c r="BU24" s="43" t="s">
        <v>7032</v>
      </c>
      <c r="BV24" s="43" t="str">
        <f>CambioPlan[[#This Row],[TELEFONO]]&amp;"UPSELLSI"</f>
        <v>963077248UPSELLSI</v>
      </c>
      <c r="BW24" s="43">
        <f>DAY(CambioPlan[[#This Row],[FECHA_CAMBIO_PLAN]])</f>
        <v>12</v>
      </c>
      <c r="BX24" s="43" t="str">
        <f>VLOOKUP(CambioPlan[[#This Row],[NOM_PLAZA]],[1]!Locales[#Data],3,0)</f>
        <v>TIENDA MACHALA</v>
      </c>
      <c r="BY24" s="43" t="str">
        <f>VLOOKUP(CambioPlan[[#This Row],[DOMAIN_LOGIN_OW]],[1]!Personal[#Data],6,0)</f>
        <v>SANCHEZ SARITAMA JOEL LUIS</v>
      </c>
      <c r="BZ24" s="43"/>
      <c r="CA24" s="43" t="str">
        <f>IFERROR(IF(FIND("ADULTO",CambioPlan[[#This Row],[DESCRIPCION_PLAN_ACTUAL]],1),"NO SE PAGA",),"SI SE PAGA")</f>
        <v>SI SE PAGA</v>
      </c>
      <c r="CB24" s="45">
        <f>CambioPlan[[#This Row],[TARIFA_BASICA_ACTUAL]]-CambioPlan[[#This Row],[TARIFA_BASICA_ANTERIOR]]</f>
        <v>8.93</v>
      </c>
      <c r="CC24" s="56">
        <f>CambioPlan[[#This Row],[DIF. TARIFAS]]*4</f>
        <v>35.72</v>
      </c>
      <c r="CD24" s="53" t="str">
        <f>IF(CambioPlan[[#This Row],[C. COMISIÓN TME]]&lt;0,"DOWNSELL",IF(CambioPlan[[#This Row],[C. COMISIÓN TME]]=0,"MISMA TARIFA",IF(CambioPlan[[#This Row],[C. COMISIÓN TME]]&gt;0,"UPSELL")))</f>
        <v>UPSELL</v>
      </c>
      <c r="CE24">
        <f>VLOOKUP(CambioPlan[[#This Row],[TARIFA_BASICA_ANTERIOR]],[3]Hoja1!$F:$G,2,0)</f>
        <v>2</v>
      </c>
      <c r="CF24">
        <f>VLOOKUP(CambioPlan[[#This Row],[TARIFA_BASICA_ACTUAL]],[3]Hoja1!$B:$C,2,0)</f>
        <v>4</v>
      </c>
      <c r="CG24">
        <f t="shared" ref="CG24:CG87" si="0">CF24-CE24</f>
        <v>2</v>
      </c>
      <c r="CH24" t="e">
        <f>VLOOKUP(CambioPlan[[#This Row],[TELEFONO]],[1]Retenciones!$R$63:$R$287,1,0)</f>
        <v>#N/A</v>
      </c>
    </row>
    <row r="25" spans="1:86" x14ac:dyDescent="0.25">
      <c r="A25" s="43">
        <v>202212</v>
      </c>
      <c r="B25" s="44">
        <v>44914</v>
      </c>
      <c r="C25" s="43" t="s">
        <v>7135</v>
      </c>
      <c r="D25" s="43" t="s">
        <v>7136</v>
      </c>
      <c r="E25" s="43" t="s">
        <v>95</v>
      </c>
      <c r="F25" s="43" t="s">
        <v>77</v>
      </c>
      <c r="G25" s="43" t="s">
        <v>2241</v>
      </c>
      <c r="H25" s="43" t="s">
        <v>67</v>
      </c>
      <c r="I25" s="43" t="s">
        <v>7137</v>
      </c>
      <c r="J25" s="43" t="s">
        <v>7037</v>
      </c>
      <c r="K25" s="43" t="s">
        <v>118</v>
      </c>
      <c r="L25" s="43" t="s">
        <v>4157</v>
      </c>
      <c r="M25" s="43" t="s">
        <v>7138</v>
      </c>
      <c r="N25" s="43" t="s">
        <v>79</v>
      </c>
      <c r="O25" s="45">
        <v>32.130000000000003</v>
      </c>
      <c r="P25" s="43" t="s">
        <v>95</v>
      </c>
      <c r="Q25" s="43" t="s">
        <v>95</v>
      </c>
      <c r="R25" s="43" t="s">
        <v>95</v>
      </c>
      <c r="S25" s="45">
        <v>0</v>
      </c>
      <c r="T25" s="43" t="s">
        <v>95</v>
      </c>
      <c r="U25" s="44" t="s">
        <v>95</v>
      </c>
      <c r="V25" s="44" t="s">
        <v>95</v>
      </c>
      <c r="W25" s="43" t="s">
        <v>95</v>
      </c>
      <c r="X25" s="45">
        <v>32.130000000000003</v>
      </c>
      <c r="Y25" s="43" t="s">
        <v>81</v>
      </c>
      <c r="Z25" s="43" t="s">
        <v>7139</v>
      </c>
      <c r="AA25" s="43" t="s">
        <v>7140</v>
      </c>
      <c r="AB25" s="43" t="s">
        <v>79</v>
      </c>
      <c r="AC25" s="45">
        <v>20.28</v>
      </c>
      <c r="AD25" s="43" t="s">
        <v>95</v>
      </c>
      <c r="AE25" s="43" t="s">
        <v>95</v>
      </c>
      <c r="AF25" s="43" t="s">
        <v>95</v>
      </c>
      <c r="AG25" s="43" t="s">
        <v>95</v>
      </c>
      <c r="AH25" s="45">
        <v>0</v>
      </c>
      <c r="AI25" s="43" t="s">
        <v>95</v>
      </c>
      <c r="AJ25" s="43" t="s">
        <v>95</v>
      </c>
      <c r="AK25" s="43" t="s">
        <v>95</v>
      </c>
      <c r="AL25" s="43" t="s">
        <v>95</v>
      </c>
      <c r="AM25" s="45">
        <v>20.28</v>
      </c>
      <c r="AN25" s="43" t="s">
        <v>81</v>
      </c>
      <c r="AO25" s="44">
        <v>44897</v>
      </c>
      <c r="AP25" s="43" t="s">
        <v>478</v>
      </c>
      <c r="AQ25" s="43" t="s">
        <v>479</v>
      </c>
      <c r="AR25" s="43" t="s">
        <v>478</v>
      </c>
      <c r="AS25" s="43" t="s">
        <v>479</v>
      </c>
      <c r="AT25" s="43" t="s">
        <v>85</v>
      </c>
      <c r="AU25" s="43" t="s">
        <v>7030</v>
      </c>
      <c r="AV25" s="43" t="s">
        <v>7031</v>
      </c>
      <c r="AW25" s="43" t="s">
        <v>7031</v>
      </c>
      <c r="AX25" s="43" t="s">
        <v>90</v>
      </c>
      <c r="AY25" s="43" t="s">
        <v>132</v>
      </c>
      <c r="AZ25" s="43" t="s">
        <v>7037</v>
      </c>
      <c r="BA25" s="43" t="s">
        <v>139</v>
      </c>
      <c r="BB25" s="45">
        <v>11.85</v>
      </c>
      <c r="BC25" s="45">
        <v>11.85</v>
      </c>
      <c r="BD25" s="43" t="s">
        <v>7032</v>
      </c>
      <c r="BE25" s="43" t="s">
        <v>81</v>
      </c>
      <c r="BF25" s="43" t="s">
        <v>81</v>
      </c>
      <c r="BG25" s="43" t="s">
        <v>86</v>
      </c>
      <c r="BH25" s="43" t="s">
        <v>138</v>
      </c>
      <c r="BI25" s="43" t="s">
        <v>7076</v>
      </c>
      <c r="BJ25" s="43" t="s">
        <v>7030</v>
      </c>
      <c r="BK25" s="43" t="s">
        <v>139</v>
      </c>
      <c r="BL25" s="43" t="s">
        <v>85</v>
      </c>
      <c r="BM25" s="43" t="s">
        <v>85</v>
      </c>
      <c r="BN25" s="43" t="s">
        <v>139</v>
      </c>
      <c r="BO25" s="46">
        <v>11.85</v>
      </c>
      <c r="BP25" s="43" t="s">
        <v>7032</v>
      </c>
      <c r="BQ25" s="43">
        <v>11.85</v>
      </c>
      <c r="BR25" s="43" t="s">
        <v>7032</v>
      </c>
      <c r="BS25" s="47">
        <v>11.85</v>
      </c>
      <c r="BT25" s="43" t="s">
        <v>7032</v>
      </c>
      <c r="BU25" s="43" t="s">
        <v>7032</v>
      </c>
      <c r="BV25" s="43" t="str">
        <f>CambioPlan[[#This Row],[TELEFONO]]&amp;"UPSELLSI"</f>
        <v>963828724UPSELLSI</v>
      </c>
      <c r="BW25" s="43">
        <f>DAY(CambioPlan[[#This Row],[FECHA_CAMBIO_PLAN]])</f>
        <v>2</v>
      </c>
      <c r="BX25" s="43" t="str">
        <f>VLOOKUP(CambioPlan[[#This Row],[NOM_PLAZA]],[1]!Locales[#Data],3,0)</f>
        <v>TIENDA AMERICA</v>
      </c>
      <c r="BY25" s="43" t="str">
        <f>VLOOKUP(CambioPlan[[#This Row],[DOMAIN_LOGIN_OW]],[1]!Personal[#Data],6,0)</f>
        <v>REINO TUFINO PAULTEH KATHERINE</v>
      </c>
      <c r="BZ25" s="43"/>
      <c r="CA25" s="43" t="str">
        <f>IFERROR(IF(FIND("ADULTO",CambioPlan[[#This Row],[DESCRIPCION_PLAN_ACTUAL]],1),"NO SE PAGA",),"SI SE PAGA")</f>
        <v>SI SE PAGA</v>
      </c>
      <c r="CB25" s="45">
        <f>CambioPlan[[#This Row],[TARIFA_BASICA_ACTUAL]]-CambioPlan[[#This Row],[TARIFA_BASICA_ANTERIOR]]</f>
        <v>11.850000000000001</v>
      </c>
      <c r="CC25" s="56">
        <f>CambioPlan[[#This Row],[DIF. TARIFAS]]*4</f>
        <v>47.400000000000006</v>
      </c>
      <c r="CD25" s="53" t="str">
        <f>IF(CambioPlan[[#This Row],[C. COMISIÓN TME]]&lt;0,"DOWNSELL",IF(CambioPlan[[#This Row],[C. COMISIÓN TME]]=0,"MISMA TARIFA",IF(CambioPlan[[#This Row],[C. COMISIÓN TME]]&gt;0,"UPSELL")))</f>
        <v>UPSELL</v>
      </c>
      <c r="CE25">
        <f>VLOOKUP(CambioPlan[[#This Row],[TARIFA_BASICA_ANTERIOR]],[3]Hoja1!$F:$G,2,0)</f>
        <v>3</v>
      </c>
      <c r="CF25">
        <f>VLOOKUP(CambioPlan[[#This Row],[TARIFA_BASICA_ACTUAL]],[3]Hoja1!$B:$C,2,0)</f>
        <v>5</v>
      </c>
      <c r="CG25">
        <f t="shared" si="0"/>
        <v>2</v>
      </c>
      <c r="CH25" t="e">
        <f>VLOOKUP(CambioPlan[[#This Row],[TELEFONO]],[1]Retenciones!$R$63:$R$287,1,0)</f>
        <v>#N/A</v>
      </c>
    </row>
    <row r="26" spans="1:86" x14ac:dyDescent="0.25">
      <c r="A26" s="43">
        <v>202212</v>
      </c>
      <c r="B26" s="44">
        <v>44914</v>
      </c>
      <c r="C26" s="43" t="s">
        <v>7141</v>
      </c>
      <c r="D26" s="43" t="s">
        <v>7142</v>
      </c>
      <c r="E26" s="43" t="s">
        <v>95</v>
      </c>
      <c r="F26" s="43" t="s">
        <v>77</v>
      </c>
      <c r="G26" s="43" t="s">
        <v>2241</v>
      </c>
      <c r="H26" s="43" t="s">
        <v>67</v>
      </c>
      <c r="I26" s="43" t="s">
        <v>7143</v>
      </c>
      <c r="J26" s="43" t="s">
        <v>7066</v>
      </c>
      <c r="K26" s="43" t="s">
        <v>84</v>
      </c>
      <c r="L26" s="43" t="s">
        <v>112</v>
      </c>
      <c r="M26" s="43" t="s">
        <v>781</v>
      </c>
      <c r="N26" s="43" t="s">
        <v>79</v>
      </c>
      <c r="O26" s="45">
        <v>17.850000000000001</v>
      </c>
      <c r="P26" s="43" t="s">
        <v>95</v>
      </c>
      <c r="Q26" s="43" t="s">
        <v>95</v>
      </c>
      <c r="R26" s="43" t="s">
        <v>95</v>
      </c>
      <c r="S26" s="45">
        <v>0</v>
      </c>
      <c r="T26" s="43" t="s">
        <v>95</v>
      </c>
      <c r="U26" s="44" t="s">
        <v>95</v>
      </c>
      <c r="V26" s="44" t="s">
        <v>95</v>
      </c>
      <c r="W26" s="43" t="s">
        <v>95</v>
      </c>
      <c r="X26" s="45">
        <v>17.850000000000001</v>
      </c>
      <c r="Y26" s="43" t="s">
        <v>81</v>
      </c>
      <c r="Z26" s="43" t="s">
        <v>712</v>
      </c>
      <c r="AA26" s="43" t="s">
        <v>2836</v>
      </c>
      <c r="AB26" s="43" t="s">
        <v>79</v>
      </c>
      <c r="AC26" s="45">
        <v>17.850000000000001</v>
      </c>
      <c r="AD26" s="43" t="s">
        <v>95</v>
      </c>
      <c r="AE26" s="43" t="s">
        <v>95</v>
      </c>
      <c r="AF26" s="43" t="s">
        <v>95</v>
      </c>
      <c r="AG26" s="43" t="s">
        <v>95</v>
      </c>
      <c r="AH26" s="45">
        <v>0</v>
      </c>
      <c r="AI26" s="43" t="s">
        <v>95</v>
      </c>
      <c r="AJ26" s="43" t="s">
        <v>95</v>
      </c>
      <c r="AK26" s="43" t="s">
        <v>95</v>
      </c>
      <c r="AL26" s="43" t="s">
        <v>95</v>
      </c>
      <c r="AM26" s="45">
        <v>17.850000000000001</v>
      </c>
      <c r="AN26" s="43" t="s">
        <v>81</v>
      </c>
      <c r="AO26" s="44">
        <v>44904</v>
      </c>
      <c r="AP26" s="43" t="s">
        <v>120</v>
      </c>
      <c r="AQ26" s="43" t="s">
        <v>121</v>
      </c>
      <c r="AR26" s="43" t="s">
        <v>120</v>
      </c>
      <c r="AS26" s="43" t="s">
        <v>121</v>
      </c>
      <c r="AT26" s="43" t="s">
        <v>85</v>
      </c>
      <c r="AU26" s="43" t="s">
        <v>7030</v>
      </c>
      <c r="AV26" s="43" t="s">
        <v>7031</v>
      </c>
      <c r="AW26" s="43" t="s">
        <v>7031</v>
      </c>
      <c r="AX26" s="43" t="s">
        <v>90</v>
      </c>
      <c r="AY26" s="43" t="s">
        <v>114</v>
      </c>
      <c r="AZ26" s="43" t="s">
        <v>7047</v>
      </c>
      <c r="BA26" s="43" t="s">
        <v>92</v>
      </c>
      <c r="BB26" s="45">
        <v>0</v>
      </c>
      <c r="BC26" s="45">
        <v>0</v>
      </c>
      <c r="BD26" s="43" t="s">
        <v>7042</v>
      </c>
      <c r="BE26" s="43" t="s">
        <v>81</v>
      </c>
      <c r="BF26" s="43" t="s">
        <v>81</v>
      </c>
      <c r="BG26" s="43" t="s">
        <v>86</v>
      </c>
      <c r="BH26" s="43" t="s">
        <v>122</v>
      </c>
      <c r="BI26" s="43" t="s">
        <v>7048</v>
      </c>
      <c r="BJ26" s="43" t="s">
        <v>7030</v>
      </c>
      <c r="BK26" s="43" t="s">
        <v>92</v>
      </c>
      <c r="BL26" s="43" t="s">
        <v>85</v>
      </c>
      <c r="BM26" s="43" t="s">
        <v>85</v>
      </c>
      <c r="BN26" s="43" t="s">
        <v>92</v>
      </c>
      <c r="BO26" s="46">
        <v>0</v>
      </c>
      <c r="BP26" s="43" t="s">
        <v>7042</v>
      </c>
      <c r="BQ26" s="43">
        <v>0</v>
      </c>
      <c r="BR26" s="43" t="s">
        <v>7042</v>
      </c>
      <c r="BS26" s="47">
        <v>0</v>
      </c>
      <c r="BT26" s="43" t="s">
        <v>7042</v>
      </c>
      <c r="BU26" s="43" t="s">
        <v>7042</v>
      </c>
      <c r="BV26" s="43" t="str">
        <f>CambioPlan[[#This Row],[TELEFONO]]&amp;"UPSELLSI"</f>
        <v>968874057UPSELLSI</v>
      </c>
      <c r="BW26" s="43">
        <f>DAY(CambioPlan[[#This Row],[FECHA_CAMBIO_PLAN]])</f>
        <v>9</v>
      </c>
      <c r="BX26" s="43" t="str">
        <f>VLOOKUP(CambioPlan[[#This Row],[NOM_PLAZA]],[1]!Locales[#Data],3,0)</f>
        <v>TIENDA MACHALA</v>
      </c>
      <c r="BY26" s="43" t="str">
        <f>VLOOKUP(CambioPlan[[#This Row],[DOMAIN_LOGIN_OW]],[1]!Personal[#Data],6,0)</f>
        <v>ARROBO VICENTE YADIRA ESPERANZA</v>
      </c>
      <c r="BZ26" s="43"/>
      <c r="CA26" s="43" t="str">
        <f>IFERROR(IF(FIND("ADULTO",CambioPlan[[#This Row],[DESCRIPCION_PLAN_ACTUAL]],1),"NO SE PAGA",),"SI SE PAGA")</f>
        <v>SI SE PAGA</v>
      </c>
      <c r="CB26" s="45">
        <f>CambioPlan[[#This Row],[TARIFA_BASICA_ACTUAL]]-CambioPlan[[#This Row],[TARIFA_BASICA_ANTERIOR]]</f>
        <v>0</v>
      </c>
      <c r="CC26" s="56">
        <f>CambioPlan[[#This Row],[DIF. TARIFAS]]*4</f>
        <v>0</v>
      </c>
      <c r="CD26" s="53" t="str">
        <f>IF(CambioPlan[[#This Row],[C. COMISIÓN TME]]&lt;0,"DOWNSELL",IF(CambioPlan[[#This Row],[C. COMISIÓN TME]]=0,"MISMA TARIFA",IF(CambioPlan[[#This Row],[C. COMISIÓN TME]]&gt;0,"UPSELL")))</f>
        <v>MISMA TARIFA</v>
      </c>
      <c r="CE26">
        <f>VLOOKUP(CambioPlan[[#This Row],[TARIFA_BASICA_ANTERIOR]],[3]Hoja1!$F:$G,2,0)</f>
        <v>2</v>
      </c>
      <c r="CF26">
        <f>VLOOKUP(CambioPlan[[#This Row],[TARIFA_BASICA_ACTUAL]],[3]Hoja1!$B:$C,2,0)</f>
        <v>2</v>
      </c>
      <c r="CG26">
        <f t="shared" si="0"/>
        <v>0</v>
      </c>
      <c r="CH26" t="e">
        <f>VLOOKUP(CambioPlan[[#This Row],[TELEFONO]],[1]Retenciones!$R$63:$R$287,1,0)</f>
        <v>#N/A</v>
      </c>
    </row>
    <row r="27" spans="1:86" x14ac:dyDescent="0.25">
      <c r="A27" s="43">
        <v>202212</v>
      </c>
      <c r="B27" s="44">
        <v>44914</v>
      </c>
      <c r="C27" s="43" t="s">
        <v>7144</v>
      </c>
      <c r="D27" s="43" t="s">
        <v>7145</v>
      </c>
      <c r="E27" s="43" t="s">
        <v>95</v>
      </c>
      <c r="F27" s="43" t="s">
        <v>231</v>
      </c>
      <c r="G27" s="43" t="s">
        <v>231</v>
      </c>
      <c r="H27" s="43" t="s">
        <v>67</v>
      </c>
      <c r="I27" s="43" t="s">
        <v>7146</v>
      </c>
      <c r="J27" s="43" t="s">
        <v>7029</v>
      </c>
      <c r="K27" s="43" t="s">
        <v>215</v>
      </c>
      <c r="L27" s="43" t="s">
        <v>574</v>
      </c>
      <c r="M27" s="43" t="s">
        <v>575</v>
      </c>
      <c r="N27" s="43" t="s">
        <v>79</v>
      </c>
      <c r="O27" s="45">
        <v>17.850000000000001</v>
      </c>
      <c r="P27" s="43" t="s">
        <v>95</v>
      </c>
      <c r="Q27" s="43" t="s">
        <v>95</v>
      </c>
      <c r="R27" s="43" t="s">
        <v>95</v>
      </c>
      <c r="S27" s="45">
        <v>0</v>
      </c>
      <c r="T27" s="43" t="s">
        <v>95</v>
      </c>
      <c r="U27" s="44" t="s">
        <v>95</v>
      </c>
      <c r="V27" s="44" t="s">
        <v>95</v>
      </c>
      <c r="W27" s="43" t="s">
        <v>95</v>
      </c>
      <c r="X27" s="45">
        <v>17.850000000000001</v>
      </c>
      <c r="Y27" s="43" t="s">
        <v>81</v>
      </c>
      <c r="Z27" s="43" t="s">
        <v>7147</v>
      </c>
      <c r="AA27" s="43" t="s">
        <v>7148</v>
      </c>
      <c r="AB27" s="43" t="s">
        <v>79</v>
      </c>
      <c r="AC27" s="45">
        <v>13.79</v>
      </c>
      <c r="AD27" s="43" t="s">
        <v>95</v>
      </c>
      <c r="AE27" s="43" t="s">
        <v>95</v>
      </c>
      <c r="AF27" s="43" t="s">
        <v>95</v>
      </c>
      <c r="AG27" s="43" t="s">
        <v>95</v>
      </c>
      <c r="AH27" s="45">
        <v>0</v>
      </c>
      <c r="AI27" s="43" t="s">
        <v>95</v>
      </c>
      <c r="AJ27" s="43" t="s">
        <v>95</v>
      </c>
      <c r="AK27" s="43" t="s">
        <v>95</v>
      </c>
      <c r="AL27" s="43" t="s">
        <v>95</v>
      </c>
      <c r="AM27" s="45">
        <v>13.79</v>
      </c>
      <c r="AN27" s="43" t="s">
        <v>81</v>
      </c>
      <c r="AO27" s="44">
        <v>44904</v>
      </c>
      <c r="AP27" s="43" t="s">
        <v>420</v>
      </c>
      <c r="AQ27" s="43" t="s">
        <v>421</v>
      </c>
      <c r="AR27" s="43" t="s">
        <v>420</v>
      </c>
      <c r="AS27" s="43" t="s">
        <v>421</v>
      </c>
      <c r="AT27" s="43" t="s">
        <v>85</v>
      </c>
      <c r="AU27" s="43" t="s">
        <v>7030</v>
      </c>
      <c r="AV27" s="43" t="s">
        <v>7031</v>
      </c>
      <c r="AW27" s="43" t="s">
        <v>7031</v>
      </c>
      <c r="AX27" s="43" t="s">
        <v>90</v>
      </c>
      <c r="AY27" s="43" t="s">
        <v>73</v>
      </c>
      <c r="AZ27" s="43" t="s">
        <v>7029</v>
      </c>
      <c r="BA27" s="43" t="s">
        <v>92</v>
      </c>
      <c r="BB27" s="45">
        <v>4.0599999999999996</v>
      </c>
      <c r="BC27" s="45">
        <v>4.0599999999999996</v>
      </c>
      <c r="BD27" s="43" t="s">
        <v>7032</v>
      </c>
      <c r="BE27" s="43" t="s">
        <v>81</v>
      </c>
      <c r="BF27" s="43" t="s">
        <v>81</v>
      </c>
      <c r="BG27" s="43" t="s">
        <v>86</v>
      </c>
      <c r="BH27" s="43" t="s">
        <v>151</v>
      </c>
      <c r="BI27" s="43" t="s">
        <v>7033</v>
      </c>
      <c r="BJ27" s="43" t="s">
        <v>7030</v>
      </c>
      <c r="BK27" s="43" t="s">
        <v>92</v>
      </c>
      <c r="BL27" s="43" t="s">
        <v>85</v>
      </c>
      <c r="BM27" s="43" t="s">
        <v>85</v>
      </c>
      <c r="BN27" s="43" t="s">
        <v>92</v>
      </c>
      <c r="BO27" s="46">
        <v>4.0599999999999996</v>
      </c>
      <c r="BP27" s="43" t="s">
        <v>7032</v>
      </c>
      <c r="BQ27" s="43">
        <v>4.0599999999999996</v>
      </c>
      <c r="BR27" s="43" t="s">
        <v>7032</v>
      </c>
      <c r="BS27" s="47">
        <v>4.0599999999999996</v>
      </c>
      <c r="BT27" s="43" t="s">
        <v>7032</v>
      </c>
      <c r="BU27" s="43" t="s">
        <v>7032</v>
      </c>
      <c r="BV27" s="43" t="str">
        <f>CambioPlan[[#This Row],[TELEFONO]]&amp;"UPSELLSI"</f>
        <v>969091137UPSELLSI</v>
      </c>
      <c r="BW27" s="43">
        <f>DAY(CambioPlan[[#This Row],[FECHA_CAMBIO_PLAN]])</f>
        <v>9</v>
      </c>
      <c r="BX27" s="43" t="str">
        <f>VLOOKUP(CambioPlan[[#This Row],[NOM_PLAZA]],[1]!Locales[#Data],3,0)</f>
        <v>TIENDA CUENCA REMIGIO</v>
      </c>
      <c r="BY27" s="43" t="str">
        <f>VLOOKUP(CambioPlan[[#This Row],[DOMAIN_LOGIN_OW]],[1]!Personal[#Data],6,0)</f>
        <v>YEPEZ PALOMEQUE DIANA PATRICIA</v>
      </c>
      <c r="BZ27" s="43"/>
      <c r="CA27" s="43" t="str">
        <f>IFERROR(IF(FIND("ADULTO",CambioPlan[[#This Row],[DESCRIPCION_PLAN_ACTUAL]],1),"NO SE PAGA",),"SI SE PAGA")</f>
        <v>SI SE PAGA</v>
      </c>
      <c r="CB27" s="45">
        <f>CambioPlan[[#This Row],[TARIFA_BASICA_ACTUAL]]-CambioPlan[[#This Row],[TARIFA_BASICA_ANTERIOR]]</f>
        <v>4.0600000000000023</v>
      </c>
      <c r="CC27" s="56">
        <f>CambioPlan[[#This Row],[DIF. TARIFAS]]*4</f>
        <v>16.240000000000009</v>
      </c>
      <c r="CD27" s="53" t="str">
        <f>IF(CambioPlan[[#This Row],[C. COMISIÓN TME]]&lt;0,"DOWNSELL",IF(CambioPlan[[#This Row],[C. COMISIÓN TME]]=0,"MISMA TARIFA",IF(CambioPlan[[#This Row],[C. COMISIÓN TME]]&gt;0,"UPSELL")))</f>
        <v>UPSELL</v>
      </c>
      <c r="CE27">
        <f>VLOOKUP(CambioPlan[[#This Row],[TARIFA_BASICA_ANTERIOR]],[3]Hoja1!$F:$G,2,0)</f>
        <v>1</v>
      </c>
      <c r="CF27">
        <f>VLOOKUP(CambioPlan[[#This Row],[TARIFA_BASICA_ACTUAL]],[3]Hoja1!$B:$C,2,0)</f>
        <v>2</v>
      </c>
      <c r="CG27">
        <f t="shared" si="0"/>
        <v>1</v>
      </c>
      <c r="CH27" t="e">
        <f>VLOOKUP(CambioPlan[[#This Row],[TELEFONO]],[1]Retenciones!$R$63:$R$287,1,0)</f>
        <v>#N/A</v>
      </c>
    </row>
    <row r="28" spans="1:86" x14ac:dyDescent="0.25">
      <c r="A28" s="43">
        <v>202212</v>
      </c>
      <c r="B28" s="44">
        <v>44914</v>
      </c>
      <c r="C28" s="43" t="s">
        <v>7149</v>
      </c>
      <c r="D28" s="43" t="s">
        <v>7150</v>
      </c>
      <c r="E28" s="43" t="s">
        <v>95</v>
      </c>
      <c r="F28" s="43" t="s">
        <v>231</v>
      </c>
      <c r="G28" s="43" t="s">
        <v>1378</v>
      </c>
      <c r="H28" s="43" t="s">
        <v>67</v>
      </c>
      <c r="I28" s="43" t="s">
        <v>7151</v>
      </c>
      <c r="J28" s="43" t="s">
        <v>7029</v>
      </c>
      <c r="K28" s="43" t="s">
        <v>84</v>
      </c>
      <c r="L28" s="43" t="s">
        <v>112</v>
      </c>
      <c r="M28" s="43" t="s">
        <v>781</v>
      </c>
      <c r="N28" s="43" t="s">
        <v>79</v>
      </c>
      <c r="O28" s="45">
        <v>17.850000000000001</v>
      </c>
      <c r="P28" s="43" t="s">
        <v>95</v>
      </c>
      <c r="Q28" s="43" t="s">
        <v>95</v>
      </c>
      <c r="R28" s="43" t="s">
        <v>95</v>
      </c>
      <c r="S28" s="45">
        <v>0</v>
      </c>
      <c r="T28" s="43" t="s">
        <v>95</v>
      </c>
      <c r="U28" s="44" t="s">
        <v>95</v>
      </c>
      <c r="V28" s="44" t="s">
        <v>95</v>
      </c>
      <c r="W28" s="43" t="s">
        <v>95</v>
      </c>
      <c r="X28" s="45">
        <v>17.850000000000001</v>
      </c>
      <c r="Y28" s="43" t="s">
        <v>81</v>
      </c>
      <c r="Z28" s="43" t="s">
        <v>7096</v>
      </c>
      <c r="AA28" s="43" t="s">
        <v>7097</v>
      </c>
      <c r="AB28" s="43" t="s">
        <v>79</v>
      </c>
      <c r="AC28" s="45">
        <v>16.989999999999998</v>
      </c>
      <c r="AD28" s="43" t="s">
        <v>95</v>
      </c>
      <c r="AE28" s="43" t="s">
        <v>95</v>
      </c>
      <c r="AF28" s="43" t="s">
        <v>95</v>
      </c>
      <c r="AG28" s="43" t="s">
        <v>95</v>
      </c>
      <c r="AH28" s="45">
        <v>0</v>
      </c>
      <c r="AI28" s="43" t="s">
        <v>95</v>
      </c>
      <c r="AJ28" s="43" t="s">
        <v>95</v>
      </c>
      <c r="AK28" s="43" t="s">
        <v>95</v>
      </c>
      <c r="AL28" s="43" t="s">
        <v>95</v>
      </c>
      <c r="AM28" s="45">
        <v>16.989999999999998</v>
      </c>
      <c r="AN28" s="43" t="s">
        <v>81</v>
      </c>
      <c r="AO28" s="44">
        <v>44911</v>
      </c>
      <c r="AP28" s="43" t="s">
        <v>404</v>
      </c>
      <c r="AQ28" s="43" t="s">
        <v>405</v>
      </c>
      <c r="AR28" s="43" t="s">
        <v>404</v>
      </c>
      <c r="AS28" s="43" t="s">
        <v>405</v>
      </c>
      <c r="AT28" s="43" t="s">
        <v>85</v>
      </c>
      <c r="AU28" s="43" t="s">
        <v>7030</v>
      </c>
      <c r="AV28" s="43" t="s">
        <v>7031</v>
      </c>
      <c r="AW28" s="43" t="s">
        <v>7031</v>
      </c>
      <c r="AX28" s="43" t="s">
        <v>90</v>
      </c>
      <c r="AY28" s="43" t="s">
        <v>132</v>
      </c>
      <c r="AZ28" s="43" t="s">
        <v>7037</v>
      </c>
      <c r="BA28" s="43" t="s">
        <v>139</v>
      </c>
      <c r="BB28" s="45">
        <v>0.86000000000000298</v>
      </c>
      <c r="BC28" s="45">
        <v>0.85999999999999899</v>
      </c>
      <c r="BD28" s="43" t="s">
        <v>7032</v>
      </c>
      <c r="BE28" s="43" t="s">
        <v>81</v>
      </c>
      <c r="BF28" s="43" t="s">
        <v>81</v>
      </c>
      <c r="BG28" s="43" t="s">
        <v>86</v>
      </c>
      <c r="BH28" s="43" t="s">
        <v>177</v>
      </c>
      <c r="BI28" s="43" t="s">
        <v>7038</v>
      </c>
      <c r="BJ28" s="43" t="s">
        <v>7030</v>
      </c>
      <c r="BK28" s="43" t="s">
        <v>139</v>
      </c>
      <c r="BL28" s="43" t="s">
        <v>85</v>
      </c>
      <c r="BM28" s="43" t="s">
        <v>85</v>
      </c>
      <c r="BN28" s="43" t="s">
        <v>139</v>
      </c>
      <c r="BO28" s="46">
        <v>0.85999999999999899</v>
      </c>
      <c r="BP28" s="43" t="s">
        <v>7032</v>
      </c>
      <c r="BQ28" s="43">
        <v>0.85999999999999899</v>
      </c>
      <c r="BR28" s="43" t="s">
        <v>7032</v>
      </c>
      <c r="BS28" s="47">
        <v>0.85999999999999899</v>
      </c>
      <c r="BT28" s="43" t="s">
        <v>7032</v>
      </c>
      <c r="BU28" s="43" t="s">
        <v>7092</v>
      </c>
      <c r="BV28" s="43" t="str">
        <f>CambioPlan[[#This Row],[TELEFONO]]&amp;"UPSELLSI"</f>
        <v>969096177UPSELLSI</v>
      </c>
      <c r="BW28" s="43">
        <f>DAY(CambioPlan[[#This Row],[FECHA_CAMBIO_PLAN]])</f>
        <v>16</v>
      </c>
      <c r="BX28" s="43" t="str">
        <f>VLOOKUP(CambioPlan[[#This Row],[NOM_PLAZA]],[1]!Locales[#Data],3,0)</f>
        <v>TIENDA RECREO</v>
      </c>
      <c r="BY28" s="43" t="str">
        <f>VLOOKUP(CambioPlan[[#This Row],[DOMAIN_LOGIN_OW]],[1]!Personal[#Data],6,0)</f>
        <v>OTERO YEPEZ ANDREA SOLEDAD</v>
      </c>
      <c r="BZ28" s="43"/>
      <c r="CA28" s="43" t="str">
        <f>IFERROR(IF(FIND("ADULTO",CambioPlan[[#This Row],[DESCRIPCION_PLAN_ACTUAL]],1),"NO SE PAGA",),"SI SE PAGA")</f>
        <v>SI SE PAGA</v>
      </c>
      <c r="CB28" s="45">
        <f>CambioPlan[[#This Row],[TARIFA_BASICA_ACTUAL]]-CambioPlan[[#This Row],[TARIFA_BASICA_ANTERIOR]]</f>
        <v>0.86000000000000298</v>
      </c>
      <c r="CC28" s="56">
        <f>CambioPlan[[#This Row],[DIF. TARIFAS]]*4</f>
        <v>3.4400000000000119</v>
      </c>
      <c r="CD28" s="53" t="str">
        <f>IF(CambioPlan[[#This Row],[C. COMISIÓN TME]]&lt;0,"DOWNSELL",IF(CambioPlan[[#This Row],[C. COMISIÓN TME]]=0,"MISMA TARIFA",IF(CambioPlan[[#This Row],[C. COMISIÓN TME]]&gt;0,"UPSELL")))</f>
        <v>UPSELL</v>
      </c>
      <c r="CE28">
        <f>VLOOKUP(CambioPlan[[#This Row],[TARIFA_BASICA_ANTERIOR]],[3]Hoja1!$F:$G,2,0)</f>
        <v>2</v>
      </c>
      <c r="CF28">
        <f>VLOOKUP(CambioPlan[[#This Row],[TARIFA_BASICA_ACTUAL]],[3]Hoja1!$B:$C,2,0)</f>
        <v>2</v>
      </c>
      <c r="CG28">
        <f t="shared" si="0"/>
        <v>0</v>
      </c>
      <c r="CH28" t="e">
        <f>VLOOKUP(CambioPlan[[#This Row],[TELEFONO]],[1]Retenciones!$R$63:$R$287,1,0)</f>
        <v>#N/A</v>
      </c>
    </row>
    <row r="29" spans="1:86" x14ac:dyDescent="0.25">
      <c r="A29" s="43">
        <v>202212</v>
      </c>
      <c r="B29" s="44">
        <v>44914</v>
      </c>
      <c r="C29" s="43" t="s">
        <v>7152</v>
      </c>
      <c r="D29" s="43" t="s">
        <v>7153</v>
      </c>
      <c r="E29" s="43" t="s">
        <v>95</v>
      </c>
      <c r="F29" s="43" t="s">
        <v>77</v>
      </c>
      <c r="G29" s="43" t="s">
        <v>2241</v>
      </c>
      <c r="H29" s="43" t="s">
        <v>67</v>
      </c>
      <c r="I29" s="43" t="s">
        <v>7154</v>
      </c>
      <c r="J29" s="43" t="s">
        <v>7029</v>
      </c>
      <c r="K29" s="43" t="s">
        <v>84</v>
      </c>
      <c r="L29" s="43" t="s">
        <v>1487</v>
      </c>
      <c r="M29" s="43" t="s">
        <v>6805</v>
      </c>
      <c r="N29" s="43" t="s">
        <v>79</v>
      </c>
      <c r="O29" s="45">
        <v>21.42</v>
      </c>
      <c r="P29" s="43" t="s">
        <v>95</v>
      </c>
      <c r="Q29" s="43" t="s">
        <v>95</v>
      </c>
      <c r="R29" s="43" t="s">
        <v>95</v>
      </c>
      <c r="S29" s="45">
        <v>0</v>
      </c>
      <c r="T29" s="43" t="s">
        <v>95</v>
      </c>
      <c r="U29" s="44" t="s">
        <v>95</v>
      </c>
      <c r="V29" s="44" t="s">
        <v>95</v>
      </c>
      <c r="W29" s="43" t="s">
        <v>95</v>
      </c>
      <c r="X29" s="45">
        <v>21.42</v>
      </c>
      <c r="Y29" s="43" t="s">
        <v>81</v>
      </c>
      <c r="Z29" s="43" t="s">
        <v>7155</v>
      </c>
      <c r="AA29" s="43" t="s">
        <v>7156</v>
      </c>
      <c r="AB29" s="43" t="s">
        <v>79</v>
      </c>
      <c r="AC29" s="45">
        <v>12.99</v>
      </c>
      <c r="AD29" s="43" t="s">
        <v>95</v>
      </c>
      <c r="AE29" s="43" t="s">
        <v>95</v>
      </c>
      <c r="AF29" s="43" t="s">
        <v>95</v>
      </c>
      <c r="AG29" s="43" t="s">
        <v>95</v>
      </c>
      <c r="AH29" s="45">
        <v>0</v>
      </c>
      <c r="AI29" s="43" t="s">
        <v>95</v>
      </c>
      <c r="AJ29" s="43" t="s">
        <v>95</v>
      </c>
      <c r="AK29" s="43" t="s">
        <v>95</v>
      </c>
      <c r="AL29" s="43" t="s">
        <v>95</v>
      </c>
      <c r="AM29" s="45">
        <v>12.99</v>
      </c>
      <c r="AN29" s="43" t="s">
        <v>81</v>
      </c>
      <c r="AO29" s="44">
        <v>44907</v>
      </c>
      <c r="AP29" s="43" t="s">
        <v>280</v>
      </c>
      <c r="AQ29" s="43" t="s">
        <v>281</v>
      </c>
      <c r="AR29" s="43" t="s">
        <v>280</v>
      </c>
      <c r="AS29" s="43" t="s">
        <v>281</v>
      </c>
      <c r="AT29" s="43" t="s">
        <v>85</v>
      </c>
      <c r="AU29" s="43" t="s">
        <v>7030</v>
      </c>
      <c r="AV29" s="43" t="s">
        <v>7031</v>
      </c>
      <c r="AW29" s="43" t="s">
        <v>7031</v>
      </c>
      <c r="AX29" s="43" t="s">
        <v>90</v>
      </c>
      <c r="AY29" s="43" t="s">
        <v>132</v>
      </c>
      <c r="AZ29" s="43" t="s">
        <v>7037</v>
      </c>
      <c r="BA29" s="43" t="s">
        <v>139</v>
      </c>
      <c r="BB29" s="45">
        <v>8.43</v>
      </c>
      <c r="BC29" s="45">
        <v>8.43</v>
      </c>
      <c r="BD29" s="43" t="s">
        <v>7032</v>
      </c>
      <c r="BE29" s="43" t="s">
        <v>81</v>
      </c>
      <c r="BF29" s="43" t="s">
        <v>81</v>
      </c>
      <c r="BG29" s="43" t="s">
        <v>86</v>
      </c>
      <c r="BH29" s="43" t="s">
        <v>235</v>
      </c>
      <c r="BI29" s="43" t="s">
        <v>7076</v>
      </c>
      <c r="BJ29" s="43" t="s">
        <v>7030</v>
      </c>
      <c r="BK29" s="43" t="s">
        <v>139</v>
      </c>
      <c r="BL29" s="43" t="s">
        <v>85</v>
      </c>
      <c r="BM29" s="43" t="s">
        <v>85</v>
      </c>
      <c r="BN29" s="43" t="s">
        <v>139</v>
      </c>
      <c r="BO29" s="46">
        <v>8.43</v>
      </c>
      <c r="BP29" s="43" t="s">
        <v>7032</v>
      </c>
      <c r="BQ29" s="43">
        <v>8.43</v>
      </c>
      <c r="BR29" s="43" t="s">
        <v>7032</v>
      </c>
      <c r="BS29" s="47">
        <v>8.43</v>
      </c>
      <c r="BT29" s="43" t="s">
        <v>7032</v>
      </c>
      <c r="BU29" s="43" t="s">
        <v>7032</v>
      </c>
      <c r="BV29" s="43" t="str">
        <f>CambioPlan[[#This Row],[TELEFONO]]&amp;"UPSELLSI"</f>
        <v>978830257UPSELLSI</v>
      </c>
      <c r="BW29" s="43">
        <f>DAY(CambioPlan[[#This Row],[FECHA_CAMBIO_PLAN]])</f>
        <v>12</v>
      </c>
      <c r="BX29" s="43" t="str">
        <f>VLOOKUP(CambioPlan[[#This Row],[NOM_PLAZA]],[1]!Locales[#Data],3,0)</f>
        <v>TIENDA CONDADO</v>
      </c>
      <c r="BY29" s="43" t="str">
        <f>VLOOKUP(CambioPlan[[#This Row],[DOMAIN_LOGIN_OW]],[1]!Personal[#Data],6,0)</f>
        <v>GUACHAMIN CAZA HUGO ADRIAN</v>
      </c>
      <c r="BZ29" s="43"/>
      <c r="CA29" s="43" t="str">
        <f>IFERROR(IF(FIND("ADULTO",CambioPlan[[#This Row],[DESCRIPCION_PLAN_ACTUAL]],1),"NO SE PAGA",),"SI SE PAGA")</f>
        <v>SI SE PAGA</v>
      </c>
      <c r="CB29" s="45">
        <f>CambioPlan[[#This Row],[TARIFA_BASICA_ACTUAL]]-CambioPlan[[#This Row],[TARIFA_BASICA_ANTERIOR]]</f>
        <v>8.4300000000000015</v>
      </c>
      <c r="CC29" s="56">
        <f>CambioPlan[[#This Row],[DIF. TARIFAS]]*4</f>
        <v>33.720000000000006</v>
      </c>
      <c r="CD29" s="53" t="str">
        <f>IF(CambioPlan[[#This Row],[C. COMISIÓN TME]]&lt;0,"DOWNSELL",IF(CambioPlan[[#This Row],[C. COMISIÓN TME]]=0,"MISMA TARIFA",IF(CambioPlan[[#This Row],[C. COMISIÓN TME]]&gt;0,"UPSELL")))</f>
        <v>UPSELL</v>
      </c>
      <c r="CE29">
        <f>VLOOKUP(CambioPlan[[#This Row],[TARIFA_BASICA_ANTERIOR]],[3]Hoja1!$F:$G,2,0)</f>
        <v>1</v>
      </c>
      <c r="CF29">
        <f>VLOOKUP(CambioPlan[[#This Row],[TARIFA_BASICA_ACTUAL]],[3]Hoja1!$B:$C,2,0)</f>
        <v>3</v>
      </c>
      <c r="CG29">
        <f t="shared" si="0"/>
        <v>2</v>
      </c>
      <c r="CH29" t="e">
        <f>VLOOKUP(CambioPlan[[#This Row],[TELEFONO]],[1]Retenciones!$R$63:$R$287,1,0)</f>
        <v>#N/A</v>
      </c>
    </row>
    <row r="30" spans="1:86" x14ac:dyDescent="0.25">
      <c r="A30" s="43">
        <v>202212</v>
      </c>
      <c r="B30" s="44">
        <v>44914</v>
      </c>
      <c r="C30" s="43" t="s">
        <v>7157</v>
      </c>
      <c r="D30" s="43" t="s">
        <v>7158</v>
      </c>
      <c r="E30" s="43" t="s">
        <v>95</v>
      </c>
      <c r="F30" s="43" t="s">
        <v>77</v>
      </c>
      <c r="G30" s="43" t="s">
        <v>2241</v>
      </c>
      <c r="H30" s="43" t="s">
        <v>67</v>
      </c>
      <c r="I30" s="43" t="s">
        <v>7159</v>
      </c>
      <c r="J30" s="43" t="s">
        <v>7037</v>
      </c>
      <c r="K30" s="43" t="s">
        <v>118</v>
      </c>
      <c r="L30" s="43" t="s">
        <v>227</v>
      </c>
      <c r="M30" s="43" t="s">
        <v>426</v>
      </c>
      <c r="N30" s="43" t="s">
        <v>79</v>
      </c>
      <c r="O30" s="45">
        <v>21.42</v>
      </c>
      <c r="P30" s="43" t="s">
        <v>95</v>
      </c>
      <c r="Q30" s="43" t="s">
        <v>95</v>
      </c>
      <c r="R30" s="43" t="s">
        <v>95</v>
      </c>
      <c r="S30" s="45">
        <v>0</v>
      </c>
      <c r="T30" s="43" t="s">
        <v>95</v>
      </c>
      <c r="U30" s="44" t="s">
        <v>95</v>
      </c>
      <c r="V30" s="44" t="s">
        <v>95</v>
      </c>
      <c r="W30" s="43" t="s">
        <v>95</v>
      </c>
      <c r="X30" s="45">
        <v>21.42</v>
      </c>
      <c r="Y30" s="43" t="s">
        <v>81</v>
      </c>
      <c r="Z30" s="43" t="s">
        <v>112</v>
      </c>
      <c r="AA30" s="43" t="s">
        <v>781</v>
      </c>
      <c r="AB30" s="43" t="s">
        <v>79</v>
      </c>
      <c r="AC30" s="45">
        <v>17.850000000000001</v>
      </c>
      <c r="AD30" s="43" t="s">
        <v>95</v>
      </c>
      <c r="AE30" s="43" t="s">
        <v>95</v>
      </c>
      <c r="AF30" s="43" t="s">
        <v>95</v>
      </c>
      <c r="AG30" s="43" t="s">
        <v>95</v>
      </c>
      <c r="AH30" s="45">
        <v>0</v>
      </c>
      <c r="AI30" s="43" t="s">
        <v>95</v>
      </c>
      <c r="AJ30" s="43" t="s">
        <v>95</v>
      </c>
      <c r="AK30" s="43" t="s">
        <v>95</v>
      </c>
      <c r="AL30" s="43" t="s">
        <v>95</v>
      </c>
      <c r="AM30" s="45">
        <v>17.850000000000001</v>
      </c>
      <c r="AN30" s="43" t="s">
        <v>81</v>
      </c>
      <c r="AO30" s="44">
        <v>44905</v>
      </c>
      <c r="AP30" s="43" t="s">
        <v>1315</v>
      </c>
      <c r="AQ30" s="43" t="s">
        <v>1316</v>
      </c>
      <c r="AR30" s="43" t="s">
        <v>1315</v>
      </c>
      <c r="AS30" s="43" t="s">
        <v>1316</v>
      </c>
      <c r="AT30" s="43" t="s">
        <v>85</v>
      </c>
      <c r="AU30" s="43" t="s">
        <v>7030</v>
      </c>
      <c r="AV30" s="43" t="s">
        <v>7031</v>
      </c>
      <c r="AW30" s="43" t="s">
        <v>7031</v>
      </c>
      <c r="AX30" s="43" t="s">
        <v>90</v>
      </c>
      <c r="AY30" s="43" t="s">
        <v>132</v>
      </c>
      <c r="AZ30" s="43" t="s">
        <v>7037</v>
      </c>
      <c r="BA30" s="43" t="s">
        <v>139</v>
      </c>
      <c r="BB30" s="45">
        <v>3.57</v>
      </c>
      <c r="BC30" s="45">
        <v>3.57</v>
      </c>
      <c r="BD30" s="43" t="s">
        <v>7032</v>
      </c>
      <c r="BE30" s="43" t="s">
        <v>81</v>
      </c>
      <c r="BF30" s="43" t="s">
        <v>81</v>
      </c>
      <c r="BG30" s="43" t="s">
        <v>86</v>
      </c>
      <c r="BH30" s="43" t="s">
        <v>177</v>
      </c>
      <c r="BI30" s="43" t="s">
        <v>7038</v>
      </c>
      <c r="BJ30" s="43" t="s">
        <v>7030</v>
      </c>
      <c r="BK30" s="43" t="s">
        <v>139</v>
      </c>
      <c r="BL30" s="43" t="s">
        <v>85</v>
      </c>
      <c r="BM30" s="43" t="s">
        <v>85</v>
      </c>
      <c r="BN30" s="43" t="s">
        <v>139</v>
      </c>
      <c r="BO30" s="46">
        <v>3.57</v>
      </c>
      <c r="BP30" s="43" t="s">
        <v>7032</v>
      </c>
      <c r="BQ30" s="43">
        <v>3.57</v>
      </c>
      <c r="BR30" s="43" t="s">
        <v>7032</v>
      </c>
      <c r="BS30" s="47">
        <v>3.57</v>
      </c>
      <c r="BT30" s="43" t="s">
        <v>7032</v>
      </c>
      <c r="BU30" s="43" t="s">
        <v>7032</v>
      </c>
      <c r="BV30" s="43" t="str">
        <f>CambioPlan[[#This Row],[TELEFONO]]&amp;"UPSELLSI"</f>
        <v>979038337UPSELLSI</v>
      </c>
      <c r="BW30" s="43">
        <f>DAY(CambioPlan[[#This Row],[FECHA_CAMBIO_PLAN]])</f>
        <v>10</v>
      </c>
      <c r="BX30" s="43" t="str">
        <f>VLOOKUP(CambioPlan[[#This Row],[NOM_PLAZA]],[1]!Locales[#Data],3,0)</f>
        <v>TIENDA RECREO</v>
      </c>
      <c r="BY30" s="43" t="str">
        <f>VLOOKUP(CambioPlan[[#This Row],[DOMAIN_LOGIN_OW]],[1]!Personal[#Data],6,0)</f>
        <v>ORTEGA  NATALIE MÉNDEZ</v>
      </c>
      <c r="BZ30" s="43"/>
      <c r="CA30" s="43" t="str">
        <f>IFERROR(IF(FIND("ADULTO",CambioPlan[[#This Row],[DESCRIPCION_PLAN_ACTUAL]],1),"NO SE PAGA",),"SI SE PAGA")</f>
        <v>SI SE PAGA</v>
      </c>
      <c r="CB30" s="45">
        <f>CambioPlan[[#This Row],[TARIFA_BASICA_ACTUAL]]-CambioPlan[[#This Row],[TARIFA_BASICA_ANTERIOR]]</f>
        <v>3.5700000000000003</v>
      </c>
      <c r="CC30" s="56">
        <f>CambioPlan[[#This Row],[DIF. TARIFAS]]*4</f>
        <v>14.280000000000001</v>
      </c>
      <c r="CD30" s="53" t="str">
        <f>IF(CambioPlan[[#This Row],[C. COMISIÓN TME]]&lt;0,"DOWNSELL",IF(CambioPlan[[#This Row],[C. COMISIÓN TME]]=0,"MISMA TARIFA",IF(CambioPlan[[#This Row],[C. COMISIÓN TME]]&gt;0,"UPSELL")))</f>
        <v>UPSELL</v>
      </c>
      <c r="CE30">
        <f>VLOOKUP(CambioPlan[[#This Row],[TARIFA_BASICA_ANTERIOR]],[3]Hoja1!$F:$G,2,0)</f>
        <v>2</v>
      </c>
      <c r="CF30">
        <f>VLOOKUP(CambioPlan[[#This Row],[TARIFA_BASICA_ACTUAL]],[3]Hoja1!$B:$C,2,0)</f>
        <v>3</v>
      </c>
      <c r="CG30">
        <f t="shared" si="0"/>
        <v>1</v>
      </c>
      <c r="CH30" t="e">
        <f>VLOOKUP(CambioPlan[[#This Row],[TELEFONO]],[1]Retenciones!$R$63:$R$287,1,0)</f>
        <v>#N/A</v>
      </c>
    </row>
    <row r="31" spans="1:86" x14ac:dyDescent="0.25">
      <c r="A31" s="43">
        <v>202212</v>
      </c>
      <c r="B31" s="44">
        <v>44914</v>
      </c>
      <c r="C31" s="43" t="s">
        <v>7160</v>
      </c>
      <c r="D31" s="43" t="s">
        <v>7161</v>
      </c>
      <c r="E31" s="43" t="s">
        <v>95</v>
      </c>
      <c r="F31" s="43" t="s">
        <v>768</v>
      </c>
      <c r="G31" s="43" t="s">
        <v>768</v>
      </c>
      <c r="H31" s="43" t="s">
        <v>67</v>
      </c>
      <c r="I31" s="43" t="s">
        <v>7162</v>
      </c>
      <c r="J31" s="43" t="s">
        <v>7037</v>
      </c>
      <c r="K31" s="43" t="s">
        <v>84</v>
      </c>
      <c r="L31" s="43" t="s">
        <v>359</v>
      </c>
      <c r="M31" s="43" t="s">
        <v>360</v>
      </c>
      <c r="N31" s="43" t="s">
        <v>79</v>
      </c>
      <c r="O31" s="45">
        <v>14.28</v>
      </c>
      <c r="P31" s="43" t="s">
        <v>95</v>
      </c>
      <c r="Q31" s="43" t="s">
        <v>95</v>
      </c>
      <c r="R31" s="43" t="s">
        <v>95</v>
      </c>
      <c r="S31" s="45">
        <v>0</v>
      </c>
      <c r="T31" s="43" t="s">
        <v>95</v>
      </c>
      <c r="U31" s="44" t="s">
        <v>95</v>
      </c>
      <c r="V31" s="44" t="s">
        <v>95</v>
      </c>
      <c r="W31" s="43" t="s">
        <v>95</v>
      </c>
      <c r="X31" s="45">
        <v>14.28</v>
      </c>
      <c r="Y31" s="43" t="s">
        <v>81</v>
      </c>
      <c r="Z31" s="43" t="s">
        <v>7147</v>
      </c>
      <c r="AA31" s="43" t="s">
        <v>7148</v>
      </c>
      <c r="AB31" s="43" t="s">
        <v>79</v>
      </c>
      <c r="AC31" s="45">
        <v>13.79</v>
      </c>
      <c r="AD31" s="43" t="s">
        <v>95</v>
      </c>
      <c r="AE31" s="43" t="s">
        <v>95</v>
      </c>
      <c r="AF31" s="43" t="s">
        <v>95</v>
      </c>
      <c r="AG31" s="43" t="s">
        <v>95</v>
      </c>
      <c r="AH31" s="45">
        <v>0</v>
      </c>
      <c r="AI31" s="43" t="s">
        <v>95</v>
      </c>
      <c r="AJ31" s="43" t="s">
        <v>95</v>
      </c>
      <c r="AK31" s="43" t="s">
        <v>95</v>
      </c>
      <c r="AL31" s="43" t="s">
        <v>95</v>
      </c>
      <c r="AM31" s="45">
        <v>13.79</v>
      </c>
      <c r="AN31" s="43" t="s">
        <v>81</v>
      </c>
      <c r="AO31" s="44">
        <v>44897</v>
      </c>
      <c r="AP31" s="43" t="s">
        <v>492</v>
      </c>
      <c r="AQ31" s="43" t="s">
        <v>493</v>
      </c>
      <c r="AR31" s="43" t="s">
        <v>492</v>
      </c>
      <c r="AS31" s="43" t="s">
        <v>493</v>
      </c>
      <c r="AT31" s="43" t="s">
        <v>85</v>
      </c>
      <c r="AU31" s="43" t="s">
        <v>7030</v>
      </c>
      <c r="AV31" s="43" t="s">
        <v>7031</v>
      </c>
      <c r="AW31" s="43" t="s">
        <v>7031</v>
      </c>
      <c r="AX31" s="43" t="s">
        <v>90</v>
      </c>
      <c r="AY31" s="43" t="s">
        <v>132</v>
      </c>
      <c r="AZ31" s="43" t="s">
        <v>7037</v>
      </c>
      <c r="BA31" s="43" t="s">
        <v>139</v>
      </c>
      <c r="BB31" s="45">
        <v>0.49</v>
      </c>
      <c r="BC31" s="45">
        <v>0.49</v>
      </c>
      <c r="BD31" s="43" t="s">
        <v>7032</v>
      </c>
      <c r="BE31" s="43" t="s">
        <v>81</v>
      </c>
      <c r="BF31" s="43" t="s">
        <v>81</v>
      </c>
      <c r="BG31" s="43" t="s">
        <v>86</v>
      </c>
      <c r="BH31" s="43" t="s">
        <v>177</v>
      </c>
      <c r="BI31" s="43" t="s">
        <v>7038</v>
      </c>
      <c r="BJ31" s="43" t="s">
        <v>7030</v>
      </c>
      <c r="BK31" s="43" t="s">
        <v>139</v>
      </c>
      <c r="BL31" s="43" t="s">
        <v>85</v>
      </c>
      <c r="BM31" s="43" t="s">
        <v>85</v>
      </c>
      <c r="BN31" s="43" t="s">
        <v>139</v>
      </c>
      <c r="BO31" s="46">
        <v>0.49</v>
      </c>
      <c r="BP31" s="43" t="s">
        <v>7032</v>
      </c>
      <c r="BQ31" s="43">
        <v>0.49</v>
      </c>
      <c r="BR31" s="43" t="s">
        <v>7032</v>
      </c>
      <c r="BS31" s="47">
        <v>0.49</v>
      </c>
      <c r="BT31" s="43" t="s">
        <v>7032</v>
      </c>
      <c r="BU31" s="43" t="s">
        <v>7092</v>
      </c>
      <c r="BV31" s="43" t="str">
        <f>CambioPlan[[#This Row],[TELEFONO]]&amp;"UPSELLSI"</f>
        <v>979161248UPSELLSI</v>
      </c>
      <c r="BW31" s="43">
        <f>DAY(CambioPlan[[#This Row],[FECHA_CAMBIO_PLAN]])</f>
        <v>2</v>
      </c>
      <c r="BX31" s="43" t="str">
        <f>VLOOKUP(CambioPlan[[#This Row],[NOM_PLAZA]],[1]!Locales[#Data],3,0)</f>
        <v>TIENDA RECREO</v>
      </c>
      <c r="BY31" s="43" t="str">
        <f>VLOOKUP(CambioPlan[[#This Row],[DOMAIN_LOGIN_OW]],[1]!Personal[#Data],6,0)</f>
        <v>CONDO GARCIA NICOLAS MATIAS</v>
      </c>
      <c r="BZ31" s="43"/>
      <c r="CA31" s="43" t="str">
        <f>IFERROR(IF(FIND("ADULTO",CambioPlan[[#This Row],[DESCRIPCION_PLAN_ACTUAL]],1),"NO SE PAGA",),"SI SE PAGA")</f>
        <v>SI SE PAGA</v>
      </c>
      <c r="CB31" s="45">
        <f>CambioPlan[[#This Row],[TARIFA_BASICA_ACTUAL]]-CambioPlan[[#This Row],[TARIFA_BASICA_ANTERIOR]]</f>
        <v>0.49000000000000021</v>
      </c>
      <c r="CC31" s="56">
        <f>CambioPlan[[#This Row],[DIF. TARIFAS]]*4</f>
        <v>1.9600000000000009</v>
      </c>
      <c r="CD31" s="53" t="str">
        <f>IF(CambioPlan[[#This Row],[C. COMISIÓN TME]]&lt;0,"DOWNSELL",IF(CambioPlan[[#This Row],[C. COMISIÓN TME]]=0,"MISMA TARIFA",IF(CambioPlan[[#This Row],[C. COMISIÓN TME]]&gt;0,"UPSELL")))</f>
        <v>UPSELL</v>
      </c>
      <c r="CE31">
        <f>VLOOKUP(CambioPlan[[#This Row],[TARIFA_BASICA_ANTERIOR]],[3]Hoja1!$F:$G,2,0)</f>
        <v>1</v>
      </c>
      <c r="CF31">
        <f>VLOOKUP(CambioPlan[[#This Row],[TARIFA_BASICA_ACTUAL]],[3]Hoja1!$B:$C,2,0)</f>
        <v>1</v>
      </c>
      <c r="CG31">
        <f t="shared" si="0"/>
        <v>0</v>
      </c>
      <c r="CH31" t="str">
        <f>VLOOKUP(CambioPlan[[#This Row],[TELEFONO]],[1]Retenciones!$R$63:$R$287,1,0)</f>
        <v>979161248</v>
      </c>
    </row>
    <row r="32" spans="1:86" x14ac:dyDescent="0.25">
      <c r="A32" s="43">
        <v>202212</v>
      </c>
      <c r="B32" s="44">
        <v>44914</v>
      </c>
      <c r="C32" s="43" t="s">
        <v>7163</v>
      </c>
      <c r="D32" s="43" t="s">
        <v>7164</v>
      </c>
      <c r="E32" s="43" t="s">
        <v>95</v>
      </c>
      <c r="F32" s="43" t="s">
        <v>77</v>
      </c>
      <c r="G32" s="43" t="s">
        <v>2241</v>
      </c>
      <c r="H32" s="43" t="s">
        <v>67</v>
      </c>
      <c r="I32" s="43" t="s">
        <v>7165</v>
      </c>
      <c r="J32" s="43" t="s">
        <v>7037</v>
      </c>
      <c r="K32" s="43" t="s">
        <v>84</v>
      </c>
      <c r="L32" s="43" t="s">
        <v>112</v>
      </c>
      <c r="M32" s="43" t="s">
        <v>781</v>
      </c>
      <c r="N32" s="43" t="s">
        <v>79</v>
      </c>
      <c r="O32" s="45">
        <v>17.850000000000001</v>
      </c>
      <c r="P32" s="43" t="s">
        <v>95</v>
      </c>
      <c r="Q32" s="43" t="s">
        <v>95</v>
      </c>
      <c r="R32" s="43" t="s">
        <v>95</v>
      </c>
      <c r="S32" s="45">
        <v>0</v>
      </c>
      <c r="T32" s="43" t="s">
        <v>95</v>
      </c>
      <c r="U32" s="44" t="s">
        <v>95</v>
      </c>
      <c r="V32" s="44" t="s">
        <v>95</v>
      </c>
      <c r="W32" s="43" t="s">
        <v>95</v>
      </c>
      <c r="X32" s="45">
        <v>17.850000000000001</v>
      </c>
      <c r="Y32" s="43" t="s">
        <v>81</v>
      </c>
      <c r="Z32" s="43" t="s">
        <v>160</v>
      </c>
      <c r="AA32" s="43" t="s">
        <v>161</v>
      </c>
      <c r="AB32" s="43" t="s">
        <v>79</v>
      </c>
      <c r="AC32" s="45">
        <v>14.28</v>
      </c>
      <c r="AD32" s="43" t="s">
        <v>95</v>
      </c>
      <c r="AE32" s="43" t="s">
        <v>95</v>
      </c>
      <c r="AF32" s="43" t="s">
        <v>95</v>
      </c>
      <c r="AG32" s="43" t="s">
        <v>95</v>
      </c>
      <c r="AH32" s="45">
        <v>0</v>
      </c>
      <c r="AI32" s="43" t="s">
        <v>95</v>
      </c>
      <c r="AJ32" s="43" t="s">
        <v>95</v>
      </c>
      <c r="AK32" s="43" t="s">
        <v>95</v>
      </c>
      <c r="AL32" s="43" t="s">
        <v>95</v>
      </c>
      <c r="AM32" s="45">
        <v>14.28</v>
      </c>
      <c r="AN32" s="43" t="s">
        <v>81</v>
      </c>
      <c r="AO32" s="44">
        <v>44904</v>
      </c>
      <c r="AP32" s="43" t="s">
        <v>926</v>
      </c>
      <c r="AQ32" s="43" t="s">
        <v>927</v>
      </c>
      <c r="AR32" s="43" t="s">
        <v>926</v>
      </c>
      <c r="AS32" s="43" t="s">
        <v>927</v>
      </c>
      <c r="AT32" s="43" t="s">
        <v>85</v>
      </c>
      <c r="AU32" s="43" t="s">
        <v>7030</v>
      </c>
      <c r="AV32" s="43" t="s">
        <v>7031</v>
      </c>
      <c r="AW32" s="43" t="s">
        <v>7031</v>
      </c>
      <c r="AX32" s="43" t="s">
        <v>90</v>
      </c>
      <c r="AY32" s="43" t="s">
        <v>132</v>
      </c>
      <c r="AZ32" s="43" t="s">
        <v>7037</v>
      </c>
      <c r="BA32" s="43" t="s">
        <v>139</v>
      </c>
      <c r="BB32" s="45">
        <v>3.57</v>
      </c>
      <c r="BC32" s="45">
        <v>3.57</v>
      </c>
      <c r="BD32" s="43" t="s">
        <v>7032</v>
      </c>
      <c r="BE32" s="43" t="s">
        <v>81</v>
      </c>
      <c r="BF32" s="43" t="s">
        <v>81</v>
      </c>
      <c r="BG32" s="43" t="s">
        <v>86</v>
      </c>
      <c r="BH32" s="43" t="s">
        <v>177</v>
      </c>
      <c r="BI32" s="43" t="s">
        <v>7038</v>
      </c>
      <c r="BJ32" s="43" t="s">
        <v>7030</v>
      </c>
      <c r="BK32" s="43" t="s">
        <v>139</v>
      </c>
      <c r="BL32" s="43" t="s">
        <v>85</v>
      </c>
      <c r="BM32" s="43" t="s">
        <v>85</v>
      </c>
      <c r="BN32" s="43" t="s">
        <v>139</v>
      </c>
      <c r="BO32" s="46">
        <v>3.57</v>
      </c>
      <c r="BP32" s="43" t="s">
        <v>7032</v>
      </c>
      <c r="BQ32" s="43">
        <v>3.57</v>
      </c>
      <c r="BR32" s="43" t="s">
        <v>7032</v>
      </c>
      <c r="BS32" s="47">
        <v>3.57</v>
      </c>
      <c r="BT32" s="43" t="s">
        <v>7032</v>
      </c>
      <c r="BU32" s="43" t="s">
        <v>7032</v>
      </c>
      <c r="BV32" s="43" t="str">
        <f>CambioPlan[[#This Row],[TELEFONO]]&amp;"UPSELLSI"</f>
        <v>979208411UPSELLSI</v>
      </c>
      <c r="BW32" s="43">
        <f>DAY(CambioPlan[[#This Row],[FECHA_CAMBIO_PLAN]])</f>
        <v>9</v>
      </c>
      <c r="BX32" s="43" t="str">
        <f>VLOOKUP(CambioPlan[[#This Row],[NOM_PLAZA]],[1]!Locales[#Data],3,0)</f>
        <v>TIENDA RECREO</v>
      </c>
      <c r="BY32" s="43" t="str">
        <f>VLOOKUP(CambioPlan[[#This Row],[DOMAIN_LOGIN_OW]],[1]!Personal[#Data],6,0)</f>
        <v>CABEZAS LOPEZ ROBERTO ALEJANDRO</v>
      </c>
      <c r="BZ32" s="43"/>
      <c r="CA32" s="43" t="str">
        <f>IFERROR(IF(FIND("ADULTO",CambioPlan[[#This Row],[DESCRIPCION_PLAN_ACTUAL]],1),"NO SE PAGA",),"SI SE PAGA")</f>
        <v>SI SE PAGA</v>
      </c>
      <c r="CB32" s="45">
        <f>CambioPlan[[#This Row],[TARIFA_BASICA_ACTUAL]]-CambioPlan[[#This Row],[TARIFA_BASICA_ANTERIOR]]</f>
        <v>3.5700000000000021</v>
      </c>
      <c r="CC32" s="56">
        <f>CambioPlan[[#This Row],[DIF. TARIFAS]]*4</f>
        <v>14.280000000000008</v>
      </c>
      <c r="CD32" s="53" t="str">
        <f>IF(CambioPlan[[#This Row],[C. COMISIÓN TME]]&lt;0,"DOWNSELL",IF(CambioPlan[[#This Row],[C. COMISIÓN TME]]=0,"MISMA TARIFA",IF(CambioPlan[[#This Row],[C. COMISIÓN TME]]&gt;0,"UPSELL")))</f>
        <v>UPSELL</v>
      </c>
      <c r="CE32">
        <f>VLOOKUP(CambioPlan[[#This Row],[TARIFA_BASICA_ANTERIOR]],[3]Hoja1!$F:$G,2,0)</f>
        <v>1</v>
      </c>
      <c r="CF32">
        <f>VLOOKUP(CambioPlan[[#This Row],[TARIFA_BASICA_ACTUAL]],[3]Hoja1!$B:$C,2,0)</f>
        <v>2</v>
      </c>
      <c r="CG32">
        <f t="shared" si="0"/>
        <v>1</v>
      </c>
      <c r="CH32" t="e">
        <f>VLOOKUP(CambioPlan[[#This Row],[TELEFONO]],[1]Retenciones!$R$63:$R$287,1,0)</f>
        <v>#N/A</v>
      </c>
    </row>
    <row r="33" spans="1:86" x14ac:dyDescent="0.25">
      <c r="A33" s="43">
        <v>202212</v>
      </c>
      <c r="B33" s="44">
        <v>44914</v>
      </c>
      <c r="C33" s="43" t="s">
        <v>7166</v>
      </c>
      <c r="D33" s="43" t="s">
        <v>7167</v>
      </c>
      <c r="E33" s="43" t="s">
        <v>95</v>
      </c>
      <c r="F33" s="43" t="s">
        <v>77</v>
      </c>
      <c r="G33" s="43" t="s">
        <v>7168</v>
      </c>
      <c r="H33" s="43" t="s">
        <v>67</v>
      </c>
      <c r="I33" s="43" t="s">
        <v>7169</v>
      </c>
      <c r="J33" s="43" t="s">
        <v>7047</v>
      </c>
      <c r="K33" s="43" t="s">
        <v>118</v>
      </c>
      <c r="L33" s="43" t="s">
        <v>160</v>
      </c>
      <c r="M33" s="43" t="s">
        <v>161</v>
      </c>
      <c r="N33" s="43" t="s">
        <v>79</v>
      </c>
      <c r="O33" s="45">
        <v>14.28</v>
      </c>
      <c r="P33" s="43" t="s">
        <v>95</v>
      </c>
      <c r="Q33" s="43" t="s">
        <v>95</v>
      </c>
      <c r="R33" s="43" t="s">
        <v>95</v>
      </c>
      <c r="S33" s="45">
        <v>0</v>
      </c>
      <c r="T33" s="43" t="s">
        <v>95</v>
      </c>
      <c r="U33" s="44" t="s">
        <v>95</v>
      </c>
      <c r="V33" s="44" t="s">
        <v>95</v>
      </c>
      <c r="W33" s="43" t="s">
        <v>95</v>
      </c>
      <c r="X33" s="45">
        <v>14.28</v>
      </c>
      <c r="Y33" s="43" t="s">
        <v>81</v>
      </c>
      <c r="Z33" s="43" t="s">
        <v>71</v>
      </c>
      <c r="AA33" s="43" t="s">
        <v>258</v>
      </c>
      <c r="AB33" s="43" t="s">
        <v>79</v>
      </c>
      <c r="AC33" s="45">
        <v>11.42</v>
      </c>
      <c r="AD33" s="43" t="s">
        <v>95</v>
      </c>
      <c r="AE33" s="43" t="s">
        <v>95</v>
      </c>
      <c r="AF33" s="43" t="s">
        <v>95</v>
      </c>
      <c r="AG33" s="43" t="s">
        <v>95</v>
      </c>
      <c r="AH33" s="45">
        <v>0</v>
      </c>
      <c r="AI33" s="43" t="s">
        <v>95</v>
      </c>
      <c r="AJ33" s="43" t="s">
        <v>95</v>
      </c>
      <c r="AK33" s="43" t="s">
        <v>95</v>
      </c>
      <c r="AL33" s="43" t="s">
        <v>95</v>
      </c>
      <c r="AM33" s="45">
        <v>11.42</v>
      </c>
      <c r="AN33" s="43" t="s">
        <v>81</v>
      </c>
      <c r="AO33" s="44">
        <v>44901</v>
      </c>
      <c r="AP33" s="43" t="s">
        <v>120</v>
      </c>
      <c r="AQ33" s="43" t="s">
        <v>121</v>
      </c>
      <c r="AR33" s="43" t="s">
        <v>120</v>
      </c>
      <c r="AS33" s="43" t="s">
        <v>121</v>
      </c>
      <c r="AT33" s="43" t="s">
        <v>85</v>
      </c>
      <c r="AU33" s="43" t="s">
        <v>7030</v>
      </c>
      <c r="AV33" s="43" t="s">
        <v>7031</v>
      </c>
      <c r="AW33" s="43" t="s">
        <v>7031</v>
      </c>
      <c r="AX33" s="43" t="s">
        <v>90</v>
      </c>
      <c r="AY33" s="43" t="s">
        <v>114</v>
      </c>
      <c r="AZ33" s="43" t="s">
        <v>7047</v>
      </c>
      <c r="BA33" s="43" t="s">
        <v>92</v>
      </c>
      <c r="BB33" s="45">
        <v>2.86</v>
      </c>
      <c r="BC33" s="45">
        <v>2.86</v>
      </c>
      <c r="BD33" s="43" t="s">
        <v>7032</v>
      </c>
      <c r="BE33" s="43" t="s">
        <v>81</v>
      </c>
      <c r="BF33" s="43" t="s">
        <v>81</v>
      </c>
      <c r="BG33" s="43" t="s">
        <v>86</v>
      </c>
      <c r="BH33" s="43" t="s">
        <v>122</v>
      </c>
      <c r="BI33" s="43" t="s">
        <v>7048</v>
      </c>
      <c r="BJ33" s="43" t="s">
        <v>7030</v>
      </c>
      <c r="BK33" s="43" t="s">
        <v>92</v>
      </c>
      <c r="BL33" s="43" t="s">
        <v>85</v>
      </c>
      <c r="BM33" s="43" t="s">
        <v>85</v>
      </c>
      <c r="BN33" s="43" t="s">
        <v>92</v>
      </c>
      <c r="BO33" s="46">
        <v>2.86</v>
      </c>
      <c r="BP33" s="43" t="s">
        <v>7032</v>
      </c>
      <c r="BQ33" s="43">
        <v>2.86</v>
      </c>
      <c r="BR33" s="43" t="s">
        <v>7032</v>
      </c>
      <c r="BS33" s="47">
        <v>2.86</v>
      </c>
      <c r="BT33" s="43" t="s">
        <v>7032</v>
      </c>
      <c r="BU33" s="43" t="s">
        <v>7032</v>
      </c>
      <c r="BV33" s="43" t="str">
        <f>CambioPlan[[#This Row],[TELEFONO]]&amp;"UPSELLSI"</f>
        <v>979314711UPSELLSI</v>
      </c>
      <c r="BW33" s="43">
        <f>DAY(CambioPlan[[#This Row],[FECHA_CAMBIO_PLAN]])</f>
        <v>6</v>
      </c>
      <c r="BX33" s="43" t="str">
        <f>VLOOKUP(CambioPlan[[#This Row],[NOM_PLAZA]],[1]!Locales[#Data],3,0)</f>
        <v>TIENDA MACHALA</v>
      </c>
      <c r="BY33" s="43" t="str">
        <f>VLOOKUP(CambioPlan[[#This Row],[DOMAIN_LOGIN_OW]],[1]!Personal[#Data],6,0)</f>
        <v>ARROBO VICENTE YADIRA ESPERANZA</v>
      </c>
      <c r="BZ33" s="43"/>
      <c r="CA33" s="43" t="str">
        <f>IFERROR(IF(FIND("ADULTO",CambioPlan[[#This Row],[DESCRIPCION_PLAN_ACTUAL]],1),"NO SE PAGA",),"SI SE PAGA")</f>
        <v>SI SE PAGA</v>
      </c>
      <c r="CB33" s="45">
        <f>CambioPlan[[#This Row],[TARIFA_BASICA_ACTUAL]]-CambioPlan[[#This Row],[TARIFA_BASICA_ANTERIOR]]</f>
        <v>2.8599999999999994</v>
      </c>
      <c r="CC33" s="56">
        <f>CambioPlan[[#This Row],[DIF. TARIFAS]]*4</f>
        <v>11.439999999999998</v>
      </c>
      <c r="CD33" s="53" t="str">
        <f>IF(CambioPlan[[#This Row],[C. COMISIÓN TME]]&lt;0,"DOWNSELL",IF(CambioPlan[[#This Row],[C. COMISIÓN TME]]=0,"MISMA TARIFA",IF(CambioPlan[[#This Row],[C. COMISIÓN TME]]&gt;0,"UPSELL")))</f>
        <v>UPSELL</v>
      </c>
      <c r="CE33">
        <f>VLOOKUP(CambioPlan[[#This Row],[TARIFA_BASICA_ANTERIOR]],[3]Hoja1!$F:$G,2,0)</f>
        <v>0</v>
      </c>
      <c r="CF33">
        <f>VLOOKUP(CambioPlan[[#This Row],[TARIFA_BASICA_ACTUAL]],[3]Hoja1!$B:$C,2,0)</f>
        <v>1</v>
      </c>
      <c r="CG33">
        <f t="shared" si="0"/>
        <v>1</v>
      </c>
      <c r="CH33" t="str">
        <f>VLOOKUP(CambioPlan[[#This Row],[TELEFONO]],[1]Retenciones!$R$63:$R$287,1,0)</f>
        <v>979314711</v>
      </c>
    </row>
    <row r="34" spans="1:86" x14ac:dyDescent="0.25">
      <c r="A34" s="43">
        <v>202212</v>
      </c>
      <c r="B34" s="44">
        <v>44914</v>
      </c>
      <c r="C34" s="43" t="s">
        <v>7170</v>
      </c>
      <c r="D34" s="43" t="s">
        <v>7171</v>
      </c>
      <c r="E34" s="43" t="s">
        <v>95</v>
      </c>
      <c r="F34" s="43" t="s">
        <v>77</v>
      </c>
      <c r="G34" s="43" t="s">
        <v>164</v>
      </c>
      <c r="H34" s="43" t="s">
        <v>67</v>
      </c>
      <c r="I34" s="43" t="s">
        <v>7172</v>
      </c>
      <c r="J34" s="43" t="s">
        <v>7029</v>
      </c>
      <c r="K34" s="43" t="s">
        <v>118</v>
      </c>
      <c r="L34" s="43" t="s">
        <v>71</v>
      </c>
      <c r="M34" s="43" t="s">
        <v>258</v>
      </c>
      <c r="N34" s="43" t="s">
        <v>79</v>
      </c>
      <c r="O34" s="45">
        <v>11.42</v>
      </c>
      <c r="P34" s="43" t="s">
        <v>95</v>
      </c>
      <c r="Q34" s="43" t="s">
        <v>95</v>
      </c>
      <c r="R34" s="43" t="s">
        <v>95</v>
      </c>
      <c r="S34" s="45">
        <v>0</v>
      </c>
      <c r="T34" s="43" t="s">
        <v>95</v>
      </c>
      <c r="U34" s="44" t="s">
        <v>95</v>
      </c>
      <c r="V34" s="44" t="s">
        <v>95</v>
      </c>
      <c r="W34" s="43" t="s">
        <v>95</v>
      </c>
      <c r="X34" s="45">
        <v>11.42</v>
      </c>
      <c r="Y34" s="43" t="s">
        <v>81</v>
      </c>
      <c r="Z34" s="43" t="s">
        <v>160</v>
      </c>
      <c r="AA34" s="43" t="s">
        <v>161</v>
      </c>
      <c r="AB34" s="43" t="s">
        <v>79</v>
      </c>
      <c r="AC34" s="45">
        <v>14.28</v>
      </c>
      <c r="AD34" s="43" t="s">
        <v>95</v>
      </c>
      <c r="AE34" s="43" t="s">
        <v>95</v>
      </c>
      <c r="AF34" s="43" t="s">
        <v>95</v>
      </c>
      <c r="AG34" s="43" t="s">
        <v>95</v>
      </c>
      <c r="AH34" s="45">
        <v>0</v>
      </c>
      <c r="AI34" s="43" t="s">
        <v>95</v>
      </c>
      <c r="AJ34" s="43" t="s">
        <v>95</v>
      </c>
      <c r="AK34" s="43" t="s">
        <v>95</v>
      </c>
      <c r="AL34" s="43" t="s">
        <v>95</v>
      </c>
      <c r="AM34" s="45">
        <v>14.28</v>
      </c>
      <c r="AN34" s="43" t="s">
        <v>81</v>
      </c>
      <c r="AO34" s="44">
        <v>44896</v>
      </c>
      <c r="AP34" s="43" t="s">
        <v>262</v>
      </c>
      <c r="AQ34" s="43" t="s">
        <v>263</v>
      </c>
      <c r="AR34" s="43" t="s">
        <v>262</v>
      </c>
      <c r="AS34" s="43" t="s">
        <v>263</v>
      </c>
      <c r="AT34" s="43" t="s">
        <v>85</v>
      </c>
      <c r="AU34" s="43" t="s">
        <v>7030</v>
      </c>
      <c r="AV34" s="43" t="s">
        <v>7031</v>
      </c>
      <c r="AW34" s="43" t="s">
        <v>7031</v>
      </c>
      <c r="AX34" s="43" t="s">
        <v>90</v>
      </c>
      <c r="AY34" s="43" t="s">
        <v>132</v>
      </c>
      <c r="AZ34" s="43" t="s">
        <v>7037</v>
      </c>
      <c r="BA34" s="43" t="s">
        <v>139</v>
      </c>
      <c r="BB34" s="45">
        <v>-2.86</v>
      </c>
      <c r="BC34" s="45">
        <v>-2.86</v>
      </c>
      <c r="BD34" s="43" t="s">
        <v>7106</v>
      </c>
      <c r="BE34" s="43" t="s">
        <v>81</v>
      </c>
      <c r="BF34" s="43" t="s">
        <v>81</v>
      </c>
      <c r="BG34" s="43" t="s">
        <v>86</v>
      </c>
      <c r="BH34" s="43" t="s">
        <v>177</v>
      </c>
      <c r="BI34" s="43" t="s">
        <v>7038</v>
      </c>
      <c r="BJ34" s="43" t="s">
        <v>7030</v>
      </c>
      <c r="BK34" s="43" t="s">
        <v>139</v>
      </c>
      <c r="BL34" s="43" t="s">
        <v>85</v>
      </c>
      <c r="BM34" s="43" t="s">
        <v>85</v>
      </c>
      <c r="BN34" s="43" t="s">
        <v>139</v>
      </c>
      <c r="BO34" s="46">
        <v>-2.86</v>
      </c>
      <c r="BP34" s="43" t="s">
        <v>7106</v>
      </c>
      <c r="BQ34" s="43">
        <v>-2.86</v>
      </c>
      <c r="BR34" s="43" t="s">
        <v>7106</v>
      </c>
      <c r="BS34" s="47">
        <v>-2.86</v>
      </c>
      <c r="BT34" s="43" t="s">
        <v>7106</v>
      </c>
      <c r="BU34" s="43" t="s">
        <v>7106</v>
      </c>
      <c r="BV34" s="43" t="str">
        <f>CambioPlan[[#This Row],[TELEFONO]]&amp;"UPSELLSI"</f>
        <v>979394222UPSELLSI</v>
      </c>
      <c r="BW34" s="43">
        <f>DAY(CambioPlan[[#This Row],[FECHA_CAMBIO_PLAN]])</f>
        <v>1</v>
      </c>
      <c r="BX34" s="43" t="str">
        <f>VLOOKUP(CambioPlan[[#This Row],[NOM_PLAZA]],[1]!Locales[#Data],3,0)</f>
        <v>TIENDA RECREO</v>
      </c>
      <c r="BY34" s="43" t="str">
        <f>VLOOKUP(CambioPlan[[#This Row],[DOMAIN_LOGIN_OW]],[1]!Personal[#Data],6,0)</f>
        <v>CHICAIZA TOAPANTA ALEX DANILO</v>
      </c>
      <c r="BZ34" s="43"/>
      <c r="CA34" s="43" t="str">
        <f>IFERROR(IF(FIND("ADULTO",CambioPlan[[#This Row],[DESCRIPCION_PLAN_ACTUAL]],1),"NO SE PAGA",),"SI SE PAGA")</f>
        <v>SI SE PAGA</v>
      </c>
      <c r="CB34" s="45">
        <f>CambioPlan[[#This Row],[TARIFA_BASICA_ACTUAL]]-CambioPlan[[#This Row],[TARIFA_BASICA_ANTERIOR]]</f>
        <v>-2.8599999999999994</v>
      </c>
      <c r="CC34" s="56">
        <f>CambioPlan[[#This Row],[DIF. TARIFAS]]*4</f>
        <v>-11.439999999999998</v>
      </c>
      <c r="CD34" s="53" t="str">
        <f>IF(CambioPlan[[#This Row],[C. COMISIÓN TME]]&lt;0,"DOWNSELL",IF(CambioPlan[[#This Row],[C. COMISIÓN TME]]=0,"MISMA TARIFA",IF(CambioPlan[[#This Row],[C. COMISIÓN TME]]&gt;0,"UPSELL")))</f>
        <v>DOWNSELL</v>
      </c>
      <c r="CE34">
        <f>VLOOKUP(CambioPlan[[#This Row],[TARIFA_BASICA_ANTERIOR]],[3]Hoja1!$F:$G,2,0)</f>
        <v>1</v>
      </c>
      <c r="CF34">
        <f>VLOOKUP(CambioPlan[[#This Row],[TARIFA_BASICA_ACTUAL]],[3]Hoja1!$B:$C,2,0)</f>
        <v>0</v>
      </c>
      <c r="CG34">
        <f t="shared" si="0"/>
        <v>-1</v>
      </c>
      <c r="CH34" t="e">
        <f>VLOOKUP(CambioPlan[[#This Row],[TELEFONO]],[1]Retenciones!$R$63:$R$287,1,0)</f>
        <v>#N/A</v>
      </c>
    </row>
    <row r="35" spans="1:86" x14ac:dyDescent="0.25">
      <c r="A35" s="43">
        <v>202212</v>
      </c>
      <c r="B35" s="44">
        <v>44914</v>
      </c>
      <c r="C35" s="43" t="s">
        <v>7173</v>
      </c>
      <c r="D35" s="43" t="s">
        <v>7174</v>
      </c>
      <c r="E35" s="43" t="s">
        <v>95</v>
      </c>
      <c r="F35" s="43" t="s">
        <v>311</v>
      </c>
      <c r="G35" s="43" t="s">
        <v>311</v>
      </c>
      <c r="H35" s="43" t="s">
        <v>67</v>
      </c>
      <c r="I35" s="43" t="s">
        <v>7175</v>
      </c>
      <c r="J35" s="43" t="s">
        <v>7037</v>
      </c>
      <c r="K35" s="43" t="s">
        <v>215</v>
      </c>
      <c r="L35" s="43" t="s">
        <v>7067</v>
      </c>
      <c r="M35" s="43" t="s">
        <v>7068</v>
      </c>
      <c r="N35" s="43" t="s">
        <v>79</v>
      </c>
      <c r="O35" s="45">
        <v>51.78</v>
      </c>
      <c r="P35" s="43" t="s">
        <v>95</v>
      </c>
      <c r="Q35" s="43" t="s">
        <v>95</v>
      </c>
      <c r="R35" s="43" t="s">
        <v>95</v>
      </c>
      <c r="S35" s="45">
        <v>0</v>
      </c>
      <c r="T35" s="43" t="s">
        <v>95</v>
      </c>
      <c r="U35" s="44" t="s">
        <v>95</v>
      </c>
      <c r="V35" s="44" t="s">
        <v>95</v>
      </c>
      <c r="W35" s="43" t="s">
        <v>95</v>
      </c>
      <c r="X35" s="45">
        <v>51.78</v>
      </c>
      <c r="Y35" s="43" t="s">
        <v>81</v>
      </c>
      <c r="Z35" s="43" t="s">
        <v>7176</v>
      </c>
      <c r="AA35" s="43" t="s">
        <v>7177</v>
      </c>
      <c r="AB35" s="43" t="s">
        <v>79</v>
      </c>
      <c r="AC35" s="45">
        <v>16.989999999999998</v>
      </c>
      <c r="AD35" s="43" t="s">
        <v>95</v>
      </c>
      <c r="AE35" s="43" t="s">
        <v>95</v>
      </c>
      <c r="AF35" s="43" t="s">
        <v>95</v>
      </c>
      <c r="AG35" s="43" t="s">
        <v>95</v>
      </c>
      <c r="AH35" s="45">
        <v>0</v>
      </c>
      <c r="AI35" s="43" t="s">
        <v>95</v>
      </c>
      <c r="AJ35" s="43" t="s">
        <v>95</v>
      </c>
      <c r="AK35" s="43" t="s">
        <v>95</v>
      </c>
      <c r="AL35" s="43" t="s">
        <v>95</v>
      </c>
      <c r="AM35" s="45">
        <v>16.989999999999998</v>
      </c>
      <c r="AN35" s="43" t="s">
        <v>81</v>
      </c>
      <c r="AO35" s="44">
        <v>44908</v>
      </c>
      <c r="AP35" s="43" t="s">
        <v>233</v>
      </c>
      <c r="AQ35" s="43" t="s">
        <v>234</v>
      </c>
      <c r="AR35" s="43" t="s">
        <v>233</v>
      </c>
      <c r="AS35" s="43" t="s">
        <v>234</v>
      </c>
      <c r="AT35" s="43" t="s">
        <v>85</v>
      </c>
      <c r="AU35" s="43" t="s">
        <v>7030</v>
      </c>
      <c r="AV35" s="43" t="s">
        <v>7031</v>
      </c>
      <c r="AW35" s="43" t="s">
        <v>7031</v>
      </c>
      <c r="AX35" s="43" t="s">
        <v>90</v>
      </c>
      <c r="AY35" s="43" t="s">
        <v>132</v>
      </c>
      <c r="AZ35" s="43" t="s">
        <v>7037</v>
      </c>
      <c r="BA35" s="43" t="s">
        <v>139</v>
      </c>
      <c r="BB35" s="45">
        <v>34.79</v>
      </c>
      <c r="BC35" s="45">
        <v>34.79</v>
      </c>
      <c r="BD35" s="43" t="s">
        <v>7032</v>
      </c>
      <c r="BE35" s="43" t="s">
        <v>81</v>
      </c>
      <c r="BF35" s="43" t="s">
        <v>81</v>
      </c>
      <c r="BG35" s="43" t="s">
        <v>86</v>
      </c>
      <c r="BH35" s="43" t="s">
        <v>235</v>
      </c>
      <c r="BI35" s="43" t="s">
        <v>7076</v>
      </c>
      <c r="BJ35" s="43" t="s">
        <v>7030</v>
      </c>
      <c r="BK35" s="43" t="s">
        <v>139</v>
      </c>
      <c r="BL35" s="43" t="s">
        <v>85</v>
      </c>
      <c r="BM35" s="43" t="s">
        <v>85</v>
      </c>
      <c r="BN35" s="43" t="s">
        <v>139</v>
      </c>
      <c r="BO35" s="46">
        <v>34.79</v>
      </c>
      <c r="BP35" s="43" t="s">
        <v>7032</v>
      </c>
      <c r="BQ35" s="43">
        <v>34.79</v>
      </c>
      <c r="BR35" s="43" t="s">
        <v>7032</v>
      </c>
      <c r="BS35" s="47">
        <v>34.79</v>
      </c>
      <c r="BT35" s="43" t="s">
        <v>7032</v>
      </c>
      <c r="BU35" s="43" t="s">
        <v>7032</v>
      </c>
      <c r="BV35" s="43" t="str">
        <f>CambioPlan[[#This Row],[TELEFONO]]&amp;"UPSELLSI"</f>
        <v>980674379UPSELLSI</v>
      </c>
      <c r="BW35" s="43">
        <f>DAY(CambioPlan[[#This Row],[FECHA_CAMBIO_PLAN]])</f>
        <v>13</v>
      </c>
      <c r="BX35" s="43" t="str">
        <f>VLOOKUP(CambioPlan[[#This Row],[NOM_PLAZA]],[1]!Locales[#Data],3,0)</f>
        <v>TIENDA CONDADO</v>
      </c>
      <c r="BY35" s="43" t="str">
        <f>VLOOKUP(CambioPlan[[#This Row],[DOMAIN_LOGIN_OW]],[1]!Personal[#Data],6,0)</f>
        <v>ROSALES MALDONADO JESSICA GABRIELA</v>
      </c>
      <c r="BZ35" s="43"/>
      <c r="CA35" s="43" t="str">
        <f>IFERROR(IF(FIND("ADULTO",CambioPlan[[#This Row],[DESCRIPCION_PLAN_ACTUAL]],1),"NO SE PAGA",),"SI SE PAGA")</f>
        <v>SI SE PAGA</v>
      </c>
      <c r="CB35" s="45">
        <f>CambioPlan[[#This Row],[TARIFA_BASICA_ACTUAL]]-CambioPlan[[#This Row],[TARIFA_BASICA_ANTERIOR]]</f>
        <v>34.790000000000006</v>
      </c>
      <c r="CC35" s="56">
        <f>CambioPlan[[#This Row],[DIF. TARIFAS]]*4</f>
        <v>139.16000000000003</v>
      </c>
      <c r="CD35" s="53" t="str">
        <f>IF(CambioPlan[[#This Row],[C. COMISIÓN TME]]&lt;0,"DOWNSELL",IF(CambioPlan[[#This Row],[C. COMISIÓN TME]]=0,"MISMA TARIFA",IF(CambioPlan[[#This Row],[C. COMISIÓN TME]]&gt;0,"UPSELL")))</f>
        <v>UPSELL</v>
      </c>
      <c r="CE35">
        <f>VLOOKUP(CambioPlan[[#This Row],[TARIFA_BASICA_ANTERIOR]],[3]Hoja1!$F:$G,2,0)</f>
        <v>2</v>
      </c>
      <c r="CF35">
        <f>VLOOKUP(CambioPlan[[#This Row],[TARIFA_BASICA_ACTUAL]],[3]Hoja1!$B:$C,2,0)</f>
        <v>6</v>
      </c>
      <c r="CG35">
        <f t="shared" si="0"/>
        <v>4</v>
      </c>
      <c r="CH35" t="e">
        <f>VLOOKUP(CambioPlan[[#This Row],[TELEFONO]],[1]Retenciones!$R$63:$R$287,1,0)</f>
        <v>#N/A</v>
      </c>
    </row>
    <row r="36" spans="1:86" x14ac:dyDescent="0.25">
      <c r="A36" s="43">
        <v>202212</v>
      </c>
      <c r="B36" s="44">
        <v>44914</v>
      </c>
      <c r="C36" s="43" t="s">
        <v>7178</v>
      </c>
      <c r="D36" s="43" t="s">
        <v>7179</v>
      </c>
      <c r="E36" s="43" t="s">
        <v>95</v>
      </c>
      <c r="F36" s="43" t="s">
        <v>768</v>
      </c>
      <c r="G36" s="43" t="s">
        <v>1036</v>
      </c>
      <c r="H36" s="43" t="s">
        <v>67</v>
      </c>
      <c r="I36" s="43" t="s">
        <v>7180</v>
      </c>
      <c r="J36" s="43" t="s">
        <v>7037</v>
      </c>
      <c r="K36" s="43" t="s">
        <v>215</v>
      </c>
      <c r="L36" s="43" t="s">
        <v>606</v>
      </c>
      <c r="M36" s="43" t="s">
        <v>1672</v>
      </c>
      <c r="N36" s="43" t="s">
        <v>79</v>
      </c>
      <c r="O36" s="45">
        <v>26.78</v>
      </c>
      <c r="P36" s="43" t="s">
        <v>95</v>
      </c>
      <c r="Q36" s="43" t="s">
        <v>95</v>
      </c>
      <c r="R36" s="43" t="s">
        <v>95</v>
      </c>
      <c r="S36" s="45">
        <v>0</v>
      </c>
      <c r="T36" s="43" t="s">
        <v>95</v>
      </c>
      <c r="U36" s="44" t="s">
        <v>95</v>
      </c>
      <c r="V36" s="44" t="s">
        <v>95</v>
      </c>
      <c r="W36" s="43" t="s">
        <v>95</v>
      </c>
      <c r="X36" s="45">
        <v>26.78</v>
      </c>
      <c r="Y36" s="43" t="s">
        <v>81</v>
      </c>
      <c r="Z36" s="43" t="s">
        <v>227</v>
      </c>
      <c r="AA36" s="43" t="s">
        <v>426</v>
      </c>
      <c r="AB36" s="43" t="s">
        <v>79</v>
      </c>
      <c r="AC36" s="45">
        <v>21.42</v>
      </c>
      <c r="AD36" s="43" t="s">
        <v>95</v>
      </c>
      <c r="AE36" s="43" t="s">
        <v>95</v>
      </c>
      <c r="AF36" s="43" t="s">
        <v>95</v>
      </c>
      <c r="AG36" s="43" t="s">
        <v>95</v>
      </c>
      <c r="AH36" s="45">
        <v>0</v>
      </c>
      <c r="AI36" s="43" t="s">
        <v>95</v>
      </c>
      <c r="AJ36" s="43" t="s">
        <v>95</v>
      </c>
      <c r="AK36" s="43" t="s">
        <v>95</v>
      </c>
      <c r="AL36" s="43" t="s">
        <v>95</v>
      </c>
      <c r="AM36" s="45">
        <v>21.42</v>
      </c>
      <c r="AN36" s="43" t="s">
        <v>81</v>
      </c>
      <c r="AO36" s="44">
        <v>44909</v>
      </c>
      <c r="AP36" s="43" t="s">
        <v>665</v>
      </c>
      <c r="AQ36" s="43" t="s">
        <v>666</v>
      </c>
      <c r="AR36" s="43" t="s">
        <v>665</v>
      </c>
      <c r="AS36" s="43" t="s">
        <v>666</v>
      </c>
      <c r="AT36" s="43" t="s">
        <v>85</v>
      </c>
      <c r="AU36" s="43" t="s">
        <v>7030</v>
      </c>
      <c r="AV36" s="43" t="s">
        <v>7031</v>
      </c>
      <c r="AW36" s="43" t="s">
        <v>7031</v>
      </c>
      <c r="AX36" s="43" t="s">
        <v>90</v>
      </c>
      <c r="AY36" s="43" t="s">
        <v>132</v>
      </c>
      <c r="AZ36" s="43" t="s">
        <v>7037</v>
      </c>
      <c r="BA36" s="43" t="s">
        <v>139</v>
      </c>
      <c r="BB36" s="45">
        <v>5.36</v>
      </c>
      <c r="BC36" s="45">
        <v>5.36</v>
      </c>
      <c r="BD36" s="43" t="s">
        <v>7032</v>
      </c>
      <c r="BE36" s="43" t="s">
        <v>81</v>
      </c>
      <c r="BF36" s="43" t="s">
        <v>81</v>
      </c>
      <c r="BG36" s="43" t="s">
        <v>86</v>
      </c>
      <c r="BH36" s="43" t="s">
        <v>138</v>
      </c>
      <c r="BI36" s="43" t="s">
        <v>7076</v>
      </c>
      <c r="BJ36" s="43" t="s">
        <v>7030</v>
      </c>
      <c r="BK36" s="43" t="s">
        <v>139</v>
      </c>
      <c r="BL36" s="43" t="s">
        <v>85</v>
      </c>
      <c r="BM36" s="43" t="s">
        <v>85</v>
      </c>
      <c r="BN36" s="43" t="s">
        <v>139</v>
      </c>
      <c r="BO36" s="46">
        <v>5.36</v>
      </c>
      <c r="BP36" s="43" t="s">
        <v>7032</v>
      </c>
      <c r="BQ36" s="43">
        <v>5.36</v>
      </c>
      <c r="BR36" s="43" t="s">
        <v>7032</v>
      </c>
      <c r="BS36" s="47">
        <v>5.36</v>
      </c>
      <c r="BT36" s="43" t="s">
        <v>7032</v>
      </c>
      <c r="BU36" s="43" t="s">
        <v>7032</v>
      </c>
      <c r="BV36" s="43" t="str">
        <f>CambioPlan[[#This Row],[TELEFONO]]&amp;"UPSELLSI"</f>
        <v>982503992UPSELLSI</v>
      </c>
      <c r="BW36" s="43">
        <f>DAY(CambioPlan[[#This Row],[FECHA_CAMBIO_PLAN]])</f>
        <v>14</v>
      </c>
      <c r="BX36" s="43" t="str">
        <f>VLOOKUP(CambioPlan[[#This Row],[NOM_PLAZA]],[1]!Locales[#Data],3,0)</f>
        <v>TIENDA AMERICA</v>
      </c>
      <c r="BY36" s="43" t="str">
        <f>VLOOKUP(CambioPlan[[#This Row],[DOMAIN_LOGIN_OW]],[1]!Personal[#Data],6,0)</f>
        <v>ROSERO CAICEDO JAIRO STEFANO</v>
      </c>
      <c r="BZ36" s="43"/>
      <c r="CA36" s="43" t="str">
        <f>IFERROR(IF(FIND("ADULTO",CambioPlan[[#This Row],[DESCRIPCION_PLAN_ACTUAL]],1),"NO SE PAGA",),"SI SE PAGA")</f>
        <v>SI SE PAGA</v>
      </c>
      <c r="CB36" s="45">
        <f>CambioPlan[[#This Row],[TARIFA_BASICA_ACTUAL]]-CambioPlan[[#This Row],[TARIFA_BASICA_ANTERIOR]]</f>
        <v>5.3599999999999994</v>
      </c>
      <c r="CC36" s="56">
        <f>CambioPlan[[#This Row],[DIF. TARIFAS]]*4</f>
        <v>21.439999999999998</v>
      </c>
      <c r="CD36" s="53" t="str">
        <f>IF(CambioPlan[[#This Row],[C. COMISIÓN TME]]&lt;0,"DOWNSELL",IF(CambioPlan[[#This Row],[C. COMISIÓN TME]]=0,"MISMA TARIFA",IF(CambioPlan[[#This Row],[C. COMISIÓN TME]]&gt;0,"UPSELL")))</f>
        <v>UPSELL</v>
      </c>
      <c r="CE36">
        <f>VLOOKUP(CambioPlan[[#This Row],[TARIFA_BASICA_ANTERIOR]],[3]Hoja1!$F:$G,2,0)</f>
        <v>3</v>
      </c>
      <c r="CF36">
        <f>VLOOKUP(CambioPlan[[#This Row],[TARIFA_BASICA_ACTUAL]],[3]Hoja1!$B:$C,2,0)</f>
        <v>4</v>
      </c>
      <c r="CG36">
        <f t="shared" si="0"/>
        <v>1</v>
      </c>
      <c r="CH36" t="e">
        <f>VLOOKUP(CambioPlan[[#This Row],[TELEFONO]],[1]Retenciones!$R$63:$R$287,1,0)</f>
        <v>#N/A</v>
      </c>
    </row>
    <row r="37" spans="1:86" x14ac:dyDescent="0.25">
      <c r="A37" s="43">
        <v>202212</v>
      </c>
      <c r="B37" s="44">
        <v>44914</v>
      </c>
      <c r="C37" s="43" t="s">
        <v>7181</v>
      </c>
      <c r="D37" s="43" t="s">
        <v>7182</v>
      </c>
      <c r="E37" s="43" t="s">
        <v>95</v>
      </c>
      <c r="F37" s="43" t="s">
        <v>77</v>
      </c>
      <c r="G37" s="43" t="s">
        <v>7168</v>
      </c>
      <c r="H37" s="43" t="s">
        <v>67</v>
      </c>
      <c r="I37" s="43" t="s">
        <v>7183</v>
      </c>
      <c r="J37" s="43" t="s">
        <v>7047</v>
      </c>
      <c r="K37" s="43" t="s">
        <v>118</v>
      </c>
      <c r="L37" s="43" t="s">
        <v>112</v>
      </c>
      <c r="M37" s="43" t="s">
        <v>781</v>
      </c>
      <c r="N37" s="43" t="s">
        <v>79</v>
      </c>
      <c r="O37" s="45">
        <v>17.850000000000001</v>
      </c>
      <c r="P37" s="43" t="s">
        <v>95</v>
      </c>
      <c r="Q37" s="43" t="s">
        <v>95</v>
      </c>
      <c r="R37" s="43" t="s">
        <v>95</v>
      </c>
      <c r="S37" s="45">
        <v>0</v>
      </c>
      <c r="T37" s="43" t="s">
        <v>95</v>
      </c>
      <c r="U37" s="44" t="s">
        <v>95</v>
      </c>
      <c r="V37" s="44" t="s">
        <v>95</v>
      </c>
      <c r="W37" s="43" t="s">
        <v>95</v>
      </c>
      <c r="X37" s="45">
        <v>17.850000000000001</v>
      </c>
      <c r="Y37" s="43" t="s">
        <v>81</v>
      </c>
      <c r="Z37" s="43" t="s">
        <v>7184</v>
      </c>
      <c r="AA37" s="43" t="s">
        <v>7185</v>
      </c>
      <c r="AB37" s="43" t="s">
        <v>79</v>
      </c>
      <c r="AC37" s="45">
        <v>10.54</v>
      </c>
      <c r="AD37" s="43" t="s">
        <v>95</v>
      </c>
      <c r="AE37" s="43" t="s">
        <v>95</v>
      </c>
      <c r="AF37" s="43" t="s">
        <v>95</v>
      </c>
      <c r="AG37" s="43" t="s">
        <v>95</v>
      </c>
      <c r="AH37" s="45">
        <v>0</v>
      </c>
      <c r="AI37" s="43" t="s">
        <v>95</v>
      </c>
      <c r="AJ37" s="43" t="s">
        <v>95</v>
      </c>
      <c r="AK37" s="43" t="s">
        <v>95</v>
      </c>
      <c r="AL37" s="43" t="s">
        <v>95</v>
      </c>
      <c r="AM37" s="45">
        <v>10.54</v>
      </c>
      <c r="AN37" s="43" t="s">
        <v>81</v>
      </c>
      <c r="AO37" s="44">
        <v>44908</v>
      </c>
      <c r="AP37" s="43" t="s">
        <v>352</v>
      </c>
      <c r="AQ37" s="43" t="s">
        <v>353</v>
      </c>
      <c r="AR37" s="43" t="s">
        <v>352</v>
      </c>
      <c r="AS37" s="43" t="s">
        <v>353</v>
      </c>
      <c r="AT37" s="43" t="s">
        <v>85</v>
      </c>
      <c r="AU37" s="43" t="s">
        <v>7030</v>
      </c>
      <c r="AV37" s="43" t="s">
        <v>7031</v>
      </c>
      <c r="AW37" s="43" t="s">
        <v>7031</v>
      </c>
      <c r="AX37" s="43" t="s">
        <v>90</v>
      </c>
      <c r="AY37" s="43" t="s">
        <v>114</v>
      </c>
      <c r="AZ37" s="43" t="s">
        <v>7047</v>
      </c>
      <c r="BA37" s="43" t="s">
        <v>92</v>
      </c>
      <c r="BB37" s="45">
        <v>7.31</v>
      </c>
      <c r="BC37" s="45">
        <v>7.31</v>
      </c>
      <c r="BD37" s="43" t="s">
        <v>7032</v>
      </c>
      <c r="BE37" s="43" t="s">
        <v>81</v>
      </c>
      <c r="BF37" s="43" t="s">
        <v>81</v>
      </c>
      <c r="BG37" s="43" t="s">
        <v>86</v>
      </c>
      <c r="BH37" s="43" t="s">
        <v>122</v>
      </c>
      <c r="BI37" s="43" t="s">
        <v>7048</v>
      </c>
      <c r="BJ37" s="43" t="s">
        <v>7030</v>
      </c>
      <c r="BK37" s="43" t="s">
        <v>92</v>
      </c>
      <c r="BL37" s="43" t="s">
        <v>85</v>
      </c>
      <c r="BM37" s="43" t="s">
        <v>85</v>
      </c>
      <c r="BN37" s="43" t="s">
        <v>92</v>
      </c>
      <c r="BO37" s="46">
        <v>7.31</v>
      </c>
      <c r="BP37" s="43" t="s">
        <v>7032</v>
      </c>
      <c r="BQ37" s="43">
        <v>7.31</v>
      </c>
      <c r="BR37" s="43" t="s">
        <v>7032</v>
      </c>
      <c r="BS37" s="47">
        <v>7.31</v>
      </c>
      <c r="BT37" s="43" t="s">
        <v>7032</v>
      </c>
      <c r="BU37" s="43" t="s">
        <v>7032</v>
      </c>
      <c r="BV37" s="43" t="str">
        <f>CambioPlan[[#This Row],[TELEFONO]]&amp;"UPSELLSI"</f>
        <v>983005796UPSELLSI</v>
      </c>
      <c r="BW37" s="43">
        <f>DAY(CambioPlan[[#This Row],[FECHA_CAMBIO_PLAN]])</f>
        <v>13</v>
      </c>
      <c r="BX37" s="43" t="str">
        <f>VLOOKUP(CambioPlan[[#This Row],[NOM_PLAZA]],[1]!Locales[#Data],3,0)</f>
        <v>TIENDA MACHALA</v>
      </c>
      <c r="BY37" s="43" t="str">
        <f>VLOOKUP(CambioPlan[[#This Row],[DOMAIN_LOGIN_OW]],[1]!Personal[#Data],6,0)</f>
        <v>TENORIO MARIA DEL PILAR</v>
      </c>
      <c r="BZ37" s="43"/>
      <c r="CA37" s="43" t="str">
        <f>IFERROR(IF(FIND("ADULTO",CambioPlan[[#This Row],[DESCRIPCION_PLAN_ACTUAL]],1),"NO SE PAGA",),"SI SE PAGA")</f>
        <v>SI SE PAGA</v>
      </c>
      <c r="CB37" s="45">
        <f>CambioPlan[[#This Row],[TARIFA_BASICA_ACTUAL]]-CambioPlan[[#This Row],[TARIFA_BASICA_ANTERIOR]]</f>
        <v>7.3100000000000023</v>
      </c>
      <c r="CC37" s="56">
        <f>CambioPlan[[#This Row],[DIF. TARIFAS]]*4</f>
        <v>29.240000000000009</v>
      </c>
      <c r="CD37" s="53" t="str">
        <f>IF(CambioPlan[[#This Row],[C. COMISIÓN TME]]&lt;0,"DOWNSELL",IF(CambioPlan[[#This Row],[C. COMISIÓN TME]]=0,"MISMA TARIFA",IF(CambioPlan[[#This Row],[C. COMISIÓN TME]]&gt;0,"UPSELL")))</f>
        <v>UPSELL</v>
      </c>
      <c r="CE37">
        <f>VLOOKUP(CambioPlan[[#This Row],[TARIFA_BASICA_ANTERIOR]],[3]Hoja1!$F:$G,2,0)</f>
        <v>0</v>
      </c>
      <c r="CF37">
        <f>VLOOKUP(CambioPlan[[#This Row],[TARIFA_BASICA_ACTUAL]],[3]Hoja1!$B:$C,2,0)</f>
        <v>2</v>
      </c>
      <c r="CG37">
        <f t="shared" si="0"/>
        <v>2</v>
      </c>
      <c r="CH37" t="e">
        <f>VLOOKUP(CambioPlan[[#This Row],[TELEFONO]],[1]Retenciones!$R$63:$R$287,1,0)</f>
        <v>#N/A</v>
      </c>
    </row>
    <row r="38" spans="1:86" x14ac:dyDescent="0.25">
      <c r="A38" s="43">
        <v>202212</v>
      </c>
      <c r="B38" s="44">
        <v>44914</v>
      </c>
      <c r="C38" s="43" t="s">
        <v>7186</v>
      </c>
      <c r="D38" s="43" t="s">
        <v>7187</v>
      </c>
      <c r="E38" s="43" t="s">
        <v>95</v>
      </c>
      <c r="F38" s="43" t="s">
        <v>77</v>
      </c>
      <c r="G38" s="43" t="s">
        <v>2241</v>
      </c>
      <c r="H38" s="43" t="s">
        <v>67</v>
      </c>
      <c r="I38" s="43" t="s">
        <v>7188</v>
      </c>
      <c r="J38" s="43" t="s">
        <v>7037</v>
      </c>
      <c r="K38" s="43" t="s">
        <v>118</v>
      </c>
      <c r="L38" s="43" t="s">
        <v>227</v>
      </c>
      <c r="M38" s="43" t="s">
        <v>426</v>
      </c>
      <c r="N38" s="43" t="s">
        <v>79</v>
      </c>
      <c r="O38" s="45">
        <v>21.42</v>
      </c>
      <c r="P38" s="43" t="s">
        <v>95</v>
      </c>
      <c r="Q38" s="43" t="s">
        <v>95</v>
      </c>
      <c r="R38" s="43" t="s">
        <v>95</v>
      </c>
      <c r="S38" s="45">
        <v>0</v>
      </c>
      <c r="T38" s="43" t="s">
        <v>95</v>
      </c>
      <c r="U38" s="44" t="s">
        <v>95</v>
      </c>
      <c r="V38" s="44" t="s">
        <v>95</v>
      </c>
      <c r="W38" s="43" t="s">
        <v>95</v>
      </c>
      <c r="X38" s="45">
        <v>21.42</v>
      </c>
      <c r="Y38" s="43" t="s">
        <v>81</v>
      </c>
      <c r="Z38" s="43" t="s">
        <v>7189</v>
      </c>
      <c r="AA38" s="43" t="s">
        <v>7190</v>
      </c>
      <c r="AB38" s="43" t="s">
        <v>79</v>
      </c>
      <c r="AC38" s="45">
        <v>10.54</v>
      </c>
      <c r="AD38" s="43" t="s">
        <v>95</v>
      </c>
      <c r="AE38" s="43" t="s">
        <v>95</v>
      </c>
      <c r="AF38" s="43" t="s">
        <v>95</v>
      </c>
      <c r="AG38" s="43" t="s">
        <v>95</v>
      </c>
      <c r="AH38" s="45">
        <v>0</v>
      </c>
      <c r="AI38" s="43" t="s">
        <v>95</v>
      </c>
      <c r="AJ38" s="43" t="s">
        <v>95</v>
      </c>
      <c r="AK38" s="43" t="s">
        <v>95</v>
      </c>
      <c r="AL38" s="43" t="s">
        <v>95</v>
      </c>
      <c r="AM38" s="45">
        <v>10.54</v>
      </c>
      <c r="AN38" s="43" t="s">
        <v>81</v>
      </c>
      <c r="AO38" s="44">
        <v>44907</v>
      </c>
      <c r="AP38" s="43" t="s">
        <v>175</v>
      </c>
      <c r="AQ38" s="43" t="s">
        <v>176</v>
      </c>
      <c r="AR38" s="43" t="s">
        <v>175</v>
      </c>
      <c r="AS38" s="43" t="s">
        <v>176</v>
      </c>
      <c r="AT38" s="43" t="s">
        <v>85</v>
      </c>
      <c r="AU38" s="43" t="s">
        <v>7030</v>
      </c>
      <c r="AV38" s="43" t="s">
        <v>7031</v>
      </c>
      <c r="AW38" s="43" t="s">
        <v>7031</v>
      </c>
      <c r="AX38" s="43" t="s">
        <v>90</v>
      </c>
      <c r="AY38" s="43" t="s">
        <v>132</v>
      </c>
      <c r="AZ38" s="43" t="s">
        <v>7037</v>
      </c>
      <c r="BA38" s="43" t="s">
        <v>139</v>
      </c>
      <c r="BB38" s="45">
        <v>10.88</v>
      </c>
      <c r="BC38" s="45">
        <v>10.88</v>
      </c>
      <c r="BD38" s="43" t="s">
        <v>7032</v>
      </c>
      <c r="BE38" s="43" t="s">
        <v>81</v>
      </c>
      <c r="BF38" s="43" t="s">
        <v>81</v>
      </c>
      <c r="BG38" s="43" t="s">
        <v>86</v>
      </c>
      <c r="BH38" s="43" t="s">
        <v>177</v>
      </c>
      <c r="BI38" s="43" t="s">
        <v>7038</v>
      </c>
      <c r="BJ38" s="43" t="s">
        <v>7030</v>
      </c>
      <c r="BK38" s="43" t="s">
        <v>139</v>
      </c>
      <c r="BL38" s="43" t="s">
        <v>85</v>
      </c>
      <c r="BM38" s="43" t="s">
        <v>85</v>
      </c>
      <c r="BN38" s="43" t="s">
        <v>139</v>
      </c>
      <c r="BO38" s="46">
        <v>10.88</v>
      </c>
      <c r="BP38" s="43" t="s">
        <v>7032</v>
      </c>
      <c r="BQ38" s="43">
        <v>10.88</v>
      </c>
      <c r="BR38" s="43" t="s">
        <v>7032</v>
      </c>
      <c r="BS38" s="47">
        <v>10.88</v>
      </c>
      <c r="BT38" s="43" t="s">
        <v>7032</v>
      </c>
      <c r="BU38" s="43" t="s">
        <v>7032</v>
      </c>
      <c r="BV38" s="43" t="str">
        <f>CambioPlan[[#This Row],[TELEFONO]]&amp;"UPSELLSI"</f>
        <v>983040374UPSELLSI</v>
      </c>
      <c r="BW38" s="43">
        <f>DAY(CambioPlan[[#This Row],[FECHA_CAMBIO_PLAN]])</f>
        <v>12</v>
      </c>
      <c r="BX38" s="43" t="str">
        <f>VLOOKUP(CambioPlan[[#This Row],[NOM_PLAZA]],[1]!Locales[#Data],3,0)</f>
        <v>TIENDA RECREO</v>
      </c>
      <c r="BY38" s="43" t="str">
        <f>VLOOKUP(CambioPlan[[#This Row],[DOMAIN_LOGIN_OW]],[1]!Personal[#Data],6,0)</f>
        <v>VARGAS REYES LUIS EDUARDO</v>
      </c>
      <c r="BZ38" s="43"/>
      <c r="CA38" s="43" t="str">
        <f>IFERROR(IF(FIND("ADULTO",CambioPlan[[#This Row],[DESCRIPCION_PLAN_ACTUAL]],1),"NO SE PAGA",),"SI SE PAGA")</f>
        <v>SI SE PAGA</v>
      </c>
      <c r="CB38" s="45">
        <f>CambioPlan[[#This Row],[TARIFA_BASICA_ACTUAL]]-CambioPlan[[#This Row],[TARIFA_BASICA_ANTERIOR]]</f>
        <v>10.880000000000003</v>
      </c>
      <c r="CC38" s="56">
        <f>CambioPlan[[#This Row],[DIF. TARIFAS]]*4</f>
        <v>43.52000000000001</v>
      </c>
      <c r="CD38" s="53" t="str">
        <f>IF(CambioPlan[[#This Row],[C. COMISIÓN TME]]&lt;0,"DOWNSELL",IF(CambioPlan[[#This Row],[C. COMISIÓN TME]]=0,"MISMA TARIFA",IF(CambioPlan[[#This Row],[C. COMISIÓN TME]]&gt;0,"UPSELL")))</f>
        <v>UPSELL</v>
      </c>
      <c r="CE38">
        <f>VLOOKUP(CambioPlan[[#This Row],[TARIFA_BASICA_ANTERIOR]],[3]Hoja1!$F:$G,2,0)</f>
        <v>0</v>
      </c>
      <c r="CF38">
        <f>VLOOKUP(CambioPlan[[#This Row],[TARIFA_BASICA_ACTUAL]],[3]Hoja1!$B:$C,2,0)</f>
        <v>3</v>
      </c>
      <c r="CG38">
        <f t="shared" si="0"/>
        <v>3</v>
      </c>
      <c r="CH38" t="e">
        <f>VLOOKUP(CambioPlan[[#This Row],[TELEFONO]],[1]Retenciones!$R$63:$R$287,1,0)</f>
        <v>#N/A</v>
      </c>
    </row>
    <row r="39" spans="1:86" x14ac:dyDescent="0.25">
      <c r="A39" s="43">
        <v>202212</v>
      </c>
      <c r="B39" s="44">
        <v>44914</v>
      </c>
      <c r="C39" s="43" t="s">
        <v>7191</v>
      </c>
      <c r="D39" s="43" t="s">
        <v>7192</v>
      </c>
      <c r="E39" s="43" t="s">
        <v>95</v>
      </c>
      <c r="F39" s="43" t="s">
        <v>77</v>
      </c>
      <c r="G39" s="43" t="s">
        <v>7168</v>
      </c>
      <c r="H39" s="43" t="s">
        <v>67</v>
      </c>
      <c r="I39" s="43" t="s">
        <v>7193</v>
      </c>
      <c r="J39" s="43" t="s">
        <v>7037</v>
      </c>
      <c r="K39" s="43" t="s">
        <v>118</v>
      </c>
      <c r="L39" s="43" t="s">
        <v>160</v>
      </c>
      <c r="M39" s="43" t="s">
        <v>161</v>
      </c>
      <c r="N39" s="43" t="s">
        <v>79</v>
      </c>
      <c r="O39" s="45">
        <v>14.28</v>
      </c>
      <c r="P39" s="43" t="s">
        <v>95</v>
      </c>
      <c r="Q39" s="43" t="s">
        <v>95</v>
      </c>
      <c r="R39" s="43" t="s">
        <v>95</v>
      </c>
      <c r="S39" s="45">
        <v>0</v>
      </c>
      <c r="T39" s="43" t="s">
        <v>95</v>
      </c>
      <c r="U39" s="44" t="s">
        <v>95</v>
      </c>
      <c r="V39" s="44" t="s">
        <v>95</v>
      </c>
      <c r="W39" s="43" t="s">
        <v>95</v>
      </c>
      <c r="X39" s="45">
        <v>14.28</v>
      </c>
      <c r="Y39" s="43" t="s">
        <v>81</v>
      </c>
      <c r="Z39" s="43" t="s">
        <v>112</v>
      </c>
      <c r="AA39" s="43" t="s">
        <v>781</v>
      </c>
      <c r="AB39" s="43" t="s">
        <v>79</v>
      </c>
      <c r="AC39" s="45">
        <v>17.850000000000001</v>
      </c>
      <c r="AD39" s="43" t="s">
        <v>95</v>
      </c>
      <c r="AE39" s="43" t="s">
        <v>95</v>
      </c>
      <c r="AF39" s="43" t="s">
        <v>95</v>
      </c>
      <c r="AG39" s="43" t="s">
        <v>95</v>
      </c>
      <c r="AH39" s="45">
        <v>0</v>
      </c>
      <c r="AI39" s="43" t="s">
        <v>95</v>
      </c>
      <c r="AJ39" s="43" t="s">
        <v>95</v>
      </c>
      <c r="AK39" s="43" t="s">
        <v>95</v>
      </c>
      <c r="AL39" s="43" t="s">
        <v>95</v>
      </c>
      <c r="AM39" s="45">
        <v>17.850000000000001</v>
      </c>
      <c r="AN39" s="43" t="s">
        <v>81</v>
      </c>
      <c r="AO39" s="44">
        <v>44902</v>
      </c>
      <c r="AP39" s="43" t="s">
        <v>262</v>
      </c>
      <c r="AQ39" s="43" t="s">
        <v>263</v>
      </c>
      <c r="AR39" s="43" t="s">
        <v>262</v>
      </c>
      <c r="AS39" s="43" t="s">
        <v>263</v>
      </c>
      <c r="AT39" s="43" t="s">
        <v>85</v>
      </c>
      <c r="AU39" s="43" t="s">
        <v>7030</v>
      </c>
      <c r="AV39" s="43" t="s">
        <v>7031</v>
      </c>
      <c r="AW39" s="43" t="s">
        <v>7031</v>
      </c>
      <c r="AX39" s="43" t="s">
        <v>90</v>
      </c>
      <c r="AY39" s="43" t="s">
        <v>132</v>
      </c>
      <c r="AZ39" s="43" t="s">
        <v>7037</v>
      </c>
      <c r="BA39" s="43" t="s">
        <v>139</v>
      </c>
      <c r="BB39" s="45">
        <v>-3.57</v>
      </c>
      <c r="BC39" s="45">
        <v>-3.57</v>
      </c>
      <c r="BD39" s="43" t="s">
        <v>7106</v>
      </c>
      <c r="BE39" s="43" t="s">
        <v>81</v>
      </c>
      <c r="BF39" s="43" t="s">
        <v>81</v>
      </c>
      <c r="BG39" s="43" t="s">
        <v>86</v>
      </c>
      <c r="BH39" s="43" t="s">
        <v>177</v>
      </c>
      <c r="BI39" s="43" t="s">
        <v>7038</v>
      </c>
      <c r="BJ39" s="43" t="s">
        <v>7030</v>
      </c>
      <c r="BK39" s="43" t="s">
        <v>139</v>
      </c>
      <c r="BL39" s="43" t="s">
        <v>85</v>
      </c>
      <c r="BM39" s="43" t="s">
        <v>85</v>
      </c>
      <c r="BN39" s="43" t="s">
        <v>139</v>
      </c>
      <c r="BO39" s="46">
        <v>-3.57</v>
      </c>
      <c r="BP39" s="43" t="s">
        <v>7106</v>
      </c>
      <c r="BQ39" s="43">
        <v>-3.57</v>
      </c>
      <c r="BR39" s="43" t="s">
        <v>7106</v>
      </c>
      <c r="BS39" s="47">
        <v>-3.57</v>
      </c>
      <c r="BT39" s="43" t="s">
        <v>7106</v>
      </c>
      <c r="BU39" s="43" t="s">
        <v>7106</v>
      </c>
      <c r="BV39" s="43" t="str">
        <f>CambioPlan[[#This Row],[TELEFONO]]&amp;"UPSELLSI"</f>
        <v>983132699UPSELLSI</v>
      </c>
      <c r="BW39" s="43">
        <f>DAY(CambioPlan[[#This Row],[FECHA_CAMBIO_PLAN]])</f>
        <v>7</v>
      </c>
      <c r="BX39" s="43" t="str">
        <f>VLOOKUP(CambioPlan[[#This Row],[NOM_PLAZA]],[1]!Locales[#Data],3,0)</f>
        <v>TIENDA RECREO</v>
      </c>
      <c r="BY39" s="43" t="str">
        <f>VLOOKUP(CambioPlan[[#This Row],[DOMAIN_LOGIN_OW]],[1]!Personal[#Data],6,0)</f>
        <v>CHICAIZA TOAPANTA ALEX DANILO</v>
      </c>
      <c r="BZ39" s="43"/>
      <c r="CA39" s="43" t="str">
        <f>IFERROR(IF(FIND("ADULTO",CambioPlan[[#This Row],[DESCRIPCION_PLAN_ACTUAL]],1),"NO SE PAGA",),"SI SE PAGA")</f>
        <v>SI SE PAGA</v>
      </c>
      <c r="CB39" s="45">
        <f>CambioPlan[[#This Row],[TARIFA_BASICA_ACTUAL]]-CambioPlan[[#This Row],[TARIFA_BASICA_ANTERIOR]]</f>
        <v>-3.5700000000000021</v>
      </c>
      <c r="CC39" s="56">
        <f>CambioPlan[[#This Row],[DIF. TARIFAS]]*4</f>
        <v>-14.280000000000008</v>
      </c>
      <c r="CD39" s="53" t="str">
        <f>IF(CambioPlan[[#This Row],[C. COMISIÓN TME]]&lt;0,"DOWNSELL",IF(CambioPlan[[#This Row],[C. COMISIÓN TME]]=0,"MISMA TARIFA",IF(CambioPlan[[#This Row],[C. COMISIÓN TME]]&gt;0,"UPSELL")))</f>
        <v>DOWNSELL</v>
      </c>
      <c r="CE39">
        <f>VLOOKUP(CambioPlan[[#This Row],[TARIFA_BASICA_ANTERIOR]],[3]Hoja1!$F:$G,2,0)</f>
        <v>2</v>
      </c>
      <c r="CF39">
        <f>VLOOKUP(CambioPlan[[#This Row],[TARIFA_BASICA_ACTUAL]],[3]Hoja1!$B:$C,2,0)</f>
        <v>1</v>
      </c>
      <c r="CG39">
        <f t="shared" si="0"/>
        <v>-1</v>
      </c>
      <c r="CH39" t="e">
        <f>VLOOKUP(CambioPlan[[#This Row],[TELEFONO]],[1]Retenciones!$R$63:$R$287,1,0)</f>
        <v>#N/A</v>
      </c>
    </row>
    <row r="40" spans="1:86" x14ac:dyDescent="0.25">
      <c r="A40" s="43">
        <v>202212</v>
      </c>
      <c r="B40" s="44">
        <v>44914</v>
      </c>
      <c r="C40" s="43" t="s">
        <v>7194</v>
      </c>
      <c r="D40" s="43" t="s">
        <v>7195</v>
      </c>
      <c r="E40" s="43" t="s">
        <v>95</v>
      </c>
      <c r="F40" s="43" t="s">
        <v>77</v>
      </c>
      <c r="G40" s="43" t="s">
        <v>2241</v>
      </c>
      <c r="H40" s="43" t="s">
        <v>67</v>
      </c>
      <c r="I40" s="43" t="s">
        <v>7196</v>
      </c>
      <c r="J40" s="43" t="s">
        <v>7037</v>
      </c>
      <c r="K40" s="43" t="s">
        <v>118</v>
      </c>
      <c r="L40" s="43" t="s">
        <v>112</v>
      </c>
      <c r="M40" s="43" t="s">
        <v>781</v>
      </c>
      <c r="N40" s="43" t="s">
        <v>79</v>
      </c>
      <c r="O40" s="45">
        <v>17.850000000000001</v>
      </c>
      <c r="P40" s="43" t="s">
        <v>95</v>
      </c>
      <c r="Q40" s="43" t="s">
        <v>95</v>
      </c>
      <c r="R40" s="43" t="s">
        <v>95</v>
      </c>
      <c r="S40" s="45">
        <v>0</v>
      </c>
      <c r="T40" s="43" t="s">
        <v>95</v>
      </c>
      <c r="U40" s="44" t="s">
        <v>95</v>
      </c>
      <c r="V40" s="44" t="s">
        <v>95</v>
      </c>
      <c r="W40" s="43" t="s">
        <v>95</v>
      </c>
      <c r="X40" s="45">
        <v>17.850000000000001</v>
      </c>
      <c r="Y40" s="43" t="s">
        <v>81</v>
      </c>
      <c r="Z40" s="43" t="s">
        <v>71</v>
      </c>
      <c r="AA40" s="43" t="s">
        <v>258</v>
      </c>
      <c r="AB40" s="43" t="s">
        <v>79</v>
      </c>
      <c r="AC40" s="45">
        <v>11.42</v>
      </c>
      <c r="AD40" s="43" t="s">
        <v>95</v>
      </c>
      <c r="AE40" s="43" t="s">
        <v>95</v>
      </c>
      <c r="AF40" s="43" t="s">
        <v>95</v>
      </c>
      <c r="AG40" s="43" t="s">
        <v>95</v>
      </c>
      <c r="AH40" s="45">
        <v>0</v>
      </c>
      <c r="AI40" s="43" t="s">
        <v>95</v>
      </c>
      <c r="AJ40" s="43" t="s">
        <v>95</v>
      </c>
      <c r="AK40" s="43" t="s">
        <v>95</v>
      </c>
      <c r="AL40" s="43" t="s">
        <v>95</v>
      </c>
      <c r="AM40" s="45">
        <v>11.42</v>
      </c>
      <c r="AN40" s="43" t="s">
        <v>81</v>
      </c>
      <c r="AO40" s="44">
        <v>44908</v>
      </c>
      <c r="AP40" s="43" t="s">
        <v>610</v>
      </c>
      <c r="AQ40" s="43" t="s">
        <v>611</v>
      </c>
      <c r="AR40" s="43" t="s">
        <v>610</v>
      </c>
      <c r="AS40" s="43" t="s">
        <v>611</v>
      </c>
      <c r="AT40" s="43" t="s">
        <v>85</v>
      </c>
      <c r="AU40" s="43" t="s">
        <v>7030</v>
      </c>
      <c r="AV40" s="43" t="s">
        <v>7031</v>
      </c>
      <c r="AW40" s="43" t="s">
        <v>7031</v>
      </c>
      <c r="AX40" s="43" t="s">
        <v>90</v>
      </c>
      <c r="AY40" s="43" t="s">
        <v>73</v>
      </c>
      <c r="AZ40" s="43" t="s">
        <v>7029</v>
      </c>
      <c r="BA40" s="43" t="s">
        <v>92</v>
      </c>
      <c r="BB40" s="45">
        <v>6.43</v>
      </c>
      <c r="BC40" s="45">
        <v>6.43</v>
      </c>
      <c r="BD40" s="43" t="s">
        <v>7032</v>
      </c>
      <c r="BE40" s="43" t="s">
        <v>81</v>
      </c>
      <c r="BF40" s="43" t="s">
        <v>81</v>
      </c>
      <c r="BG40" s="43" t="s">
        <v>86</v>
      </c>
      <c r="BH40" s="43" t="s">
        <v>151</v>
      </c>
      <c r="BI40" s="43" t="s">
        <v>7033</v>
      </c>
      <c r="BJ40" s="43" t="s">
        <v>7030</v>
      </c>
      <c r="BK40" s="43" t="s">
        <v>92</v>
      </c>
      <c r="BL40" s="43" t="s">
        <v>85</v>
      </c>
      <c r="BM40" s="43" t="s">
        <v>85</v>
      </c>
      <c r="BN40" s="43" t="s">
        <v>92</v>
      </c>
      <c r="BO40" s="46">
        <v>6.43</v>
      </c>
      <c r="BP40" s="43" t="s">
        <v>7032</v>
      </c>
      <c r="BQ40" s="43">
        <v>6.43</v>
      </c>
      <c r="BR40" s="43" t="s">
        <v>7032</v>
      </c>
      <c r="BS40" s="47">
        <v>6.43</v>
      </c>
      <c r="BT40" s="43" t="s">
        <v>7032</v>
      </c>
      <c r="BU40" s="43" t="s">
        <v>7032</v>
      </c>
      <c r="BV40" s="43" t="str">
        <f>CambioPlan[[#This Row],[TELEFONO]]&amp;"UPSELLSI"</f>
        <v>983139672UPSELLSI</v>
      </c>
      <c r="BW40" s="43">
        <f>DAY(CambioPlan[[#This Row],[FECHA_CAMBIO_PLAN]])</f>
        <v>13</v>
      </c>
      <c r="BX40" s="43" t="str">
        <f>VLOOKUP(CambioPlan[[#This Row],[NOM_PLAZA]],[1]!Locales[#Data],3,0)</f>
        <v>TIENDA CUENCA REMIGIO</v>
      </c>
      <c r="BY40" s="43" t="str">
        <f>VLOOKUP(CambioPlan[[#This Row],[DOMAIN_LOGIN_OW]],[1]!Personal[#Data],6,0)</f>
        <v>PATIÑO TAPIA ANDRES SANTIAGO</v>
      </c>
      <c r="BZ40" s="43"/>
      <c r="CA40" s="43" t="str">
        <f>IFERROR(IF(FIND("ADULTO",CambioPlan[[#This Row],[DESCRIPCION_PLAN_ACTUAL]],1),"NO SE PAGA",),"SI SE PAGA")</f>
        <v>SI SE PAGA</v>
      </c>
      <c r="CB40" s="45">
        <f>CambioPlan[[#This Row],[TARIFA_BASICA_ACTUAL]]-CambioPlan[[#This Row],[TARIFA_BASICA_ANTERIOR]]</f>
        <v>6.4300000000000015</v>
      </c>
      <c r="CC40" s="56">
        <f>CambioPlan[[#This Row],[DIF. TARIFAS]]*4</f>
        <v>25.720000000000006</v>
      </c>
      <c r="CD40" s="53" t="str">
        <f>IF(CambioPlan[[#This Row],[C. COMISIÓN TME]]&lt;0,"DOWNSELL",IF(CambioPlan[[#This Row],[C. COMISIÓN TME]]=0,"MISMA TARIFA",IF(CambioPlan[[#This Row],[C. COMISIÓN TME]]&gt;0,"UPSELL")))</f>
        <v>UPSELL</v>
      </c>
      <c r="CE40">
        <f>VLOOKUP(CambioPlan[[#This Row],[TARIFA_BASICA_ANTERIOR]],[3]Hoja1!$F:$G,2,0)</f>
        <v>0</v>
      </c>
      <c r="CF40">
        <f>VLOOKUP(CambioPlan[[#This Row],[TARIFA_BASICA_ACTUAL]],[3]Hoja1!$B:$C,2,0)</f>
        <v>2</v>
      </c>
      <c r="CG40">
        <f t="shared" si="0"/>
        <v>2</v>
      </c>
      <c r="CH40" t="e">
        <f>VLOOKUP(CambioPlan[[#This Row],[TELEFONO]],[1]Retenciones!$R$63:$R$287,1,0)</f>
        <v>#N/A</v>
      </c>
    </row>
    <row r="41" spans="1:86" x14ac:dyDescent="0.25">
      <c r="A41" s="43">
        <v>202212</v>
      </c>
      <c r="B41" s="44">
        <v>44914</v>
      </c>
      <c r="C41" s="43" t="s">
        <v>7197</v>
      </c>
      <c r="D41" s="43" t="s">
        <v>7198</v>
      </c>
      <c r="E41" s="43" t="s">
        <v>95</v>
      </c>
      <c r="F41" s="43" t="s">
        <v>77</v>
      </c>
      <c r="G41" s="43" t="s">
        <v>164</v>
      </c>
      <c r="H41" s="43" t="s">
        <v>67</v>
      </c>
      <c r="I41" s="43" t="s">
        <v>7199</v>
      </c>
      <c r="J41" s="43" t="s">
        <v>7037</v>
      </c>
      <c r="K41" s="43" t="s">
        <v>118</v>
      </c>
      <c r="L41" s="43" t="s">
        <v>71</v>
      </c>
      <c r="M41" s="43" t="s">
        <v>258</v>
      </c>
      <c r="N41" s="43" t="s">
        <v>79</v>
      </c>
      <c r="O41" s="45">
        <v>11.42</v>
      </c>
      <c r="P41" s="43" t="s">
        <v>95</v>
      </c>
      <c r="Q41" s="43" t="s">
        <v>95</v>
      </c>
      <c r="R41" s="43" t="s">
        <v>95</v>
      </c>
      <c r="S41" s="45">
        <v>0</v>
      </c>
      <c r="T41" s="43" t="s">
        <v>95</v>
      </c>
      <c r="U41" s="44" t="s">
        <v>95</v>
      </c>
      <c r="V41" s="44" t="s">
        <v>95</v>
      </c>
      <c r="W41" s="43" t="s">
        <v>95</v>
      </c>
      <c r="X41" s="45">
        <v>11.42</v>
      </c>
      <c r="Y41" s="43" t="s">
        <v>81</v>
      </c>
      <c r="Z41" s="43" t="s">
        <v>160</v>
      </c>
      <c r="AA41" s="43" t="s">
        <v>161</v>
      </c>
      <c r="AB41" s="43" t="s">
        <v>79</v>
      </c>
      <c r="AC41" s="45">
        <v>14.28</v>
      </c>
      <c r="AD41" s="43" t="s">
        <v>95</v>
      </c>
      <c r="AE41" s="43" t="s">
        <v>95</v>
      </c>
      <c r="AF41" s="43" t="s">
        <v>95</v>
      </c>
      <c r="AG41" s="43" t="s">
        <v>95</v>
      </c>
      <c r="AH41" s="45">
        <v>0</v>
      </c>
      <c r="AI41" s="43" t="s">
        <v>95</v>
      </c>
      <c r="AJ41" s="43" t="s">
        <v>95</v>
      </c>
      <c r="AK41" s="43" t="s">
        <v>95</v>
      </c>
      <c r="AL41" s="43" t="s">
        <v>95</v>
      </c>
      <c r="AM41" s="45">
        <v>14.28</v>
      </c>
      <c r="AN41" s="43" t="s">
        <v>81</v>
      </c>
      <c r="AO41" s="44">
        <v>44896</v>
      </c>
      <c r="AP41" s="43" t="s">
        <v>251</v>
      </c>
      <c r="AQ41" s="43" t="s">
        <v>252</v>
      </c>
      <c r="AR41" s="43" t="s">
        <v>251</v>
      </c>
      <c r="AS41" s="43" t="s">
        <v>252</v>
      </c>
      <c r="AT41" s="43" t="s">
        <v>85</v>
      </c>
      <c r="AU41" s="43" t="s">
        <v>7030</v>
      </c>
      <c r="AV41" s="43" t="s">
        <v>7031</v>
      </c>
      <c r="AW41" s="43" t="s">
        <v>7031</v>
      </c>
      <c r="AX41" s="43" t="s">
        <v>90</v>
      </c>
      <c r="AY41" s="43" t="s">
        <v>132</v>
      </c>
      <c r="AZ41" s="43" t="s">
        <v>7037</v>
      </c>
      <c r="BA41" s="43" t="s">
        <v>139</v>
      </c>
      <c r="BB41" s="45">
        <v>-2.86</v>
      </c>
      <c r="BC41" s="45">
        <v>-2.86</v>
      </c>
      <c r="BD41" s="43" t="s">
        <v>7106</v>
      </c>
      <c r="BE41" s="43" t="s">
        <v>81</v>
      </c>
      <c r="BF41" s="43" t="s">
        <v>81</v>
      </c>
      <c r="BG41" s="43" t="s">
        <v>86</v>
      </c>
      <c r="BH41" s="43" t="s">
        <v>177</v>
      </c>
      <c r="BI41" s="43" t="s">
        <v>7038</v>
      </c>
      <c r="BJ41" s="43" t="s">
        <v>7030</v>
      </c>
      <c r="BK41" s="43" t="s">
        <v>139</v>
      </c>
      <c r="BL41" s="43" t="s">
        <v>85</v>
      </c>
      <c r="BM41" s="43" t="s">
        <v>85</v>
      </c>
      <c r="BN41" s="43" t="s">
        <v>139</v>
      </c>
      <c r="BO41" s="46">
        <v>-2.86</v>
      </c>
      <c r="BP41" s="43" t="s">
        <v>7106</v>
      </c>
      <c r="BQ41" s="43">
        <v>-2.86</v>
      </c>
      <c r="BR41" s="43" t="s">
        <v>7106</v>
      </c>
      <c r="BS41" s="47">
        <v>-2.86</v>
      </c>
      <c r="BT41" s="43" t="s">
        <v>7106</v>
      </c>
      <c r="BU41" s="43" t="s">
        <v>7106</v>
      </c>
      <c r="BV41" s="43" t="str">
        <f>CambioPlan[[#This Row],[TELEFONO]]&amp;"UPSELLSI"</f>
        <v>983241471UPSELLSI</v>
      </c>
      <c r="BW41" s="43">
        <f>DAY(CambioPlan[[#This Row],[FECHA_CAMBIO_PLAN]])</f>
        <v>1</v>
      </c>
      <c r="BX41" s="43" t="str">
        <f>VLOOKUP(CambioPlan[[#This Row],[NOM_PLAZA]],[1]!Locales[#Data],3,0)</f>
        <v>TIENDA RECREO</v>
      </c>
      <c r="BY41" s="43" t="str">
        <f>VLOOKUP(CambioPlan[[#This Row],[DOMAIN_LOGIN_OW]],[1]!Personal[#Data],6,0)</f>
        <v>CRUZ MONTUFAR KATHERINE ALEJANDRA</v>
      </c>
      <c r="BZ41" s="43"/>
      <c r="CA41" s="43" t="str">
        <f>IFERROR(IF(FIND("ADULTO",CambioPlan[[#This Row],[DESCRIPCION_PLAN_ACTUAL]],1),"NO SE PAGA",),"SI SE PAGA")</f>
        <v>SI SE PAGA</v>
      </c>
      <c r="CB41" s="45">
        <f>CambioPlan[[#This Row],[TARIFA_BASICA_ACTUAL]]-CambioPlan[[#This Row],[TARIFA_BASICA_ANTERIOR]]</f>
        <v>-2.8599999999999994</v>
      </c>
      <c r="CC41" s="56">
        <f>CambioPlan[[#This Row],[DIF. TARIFAS]]*4</f>
        <v>-11.439999999999998</v>
      </c>
      <c r="CD41" s="53" t="str">
        <f>IF(CambioPlan[[#This Row],[C. COMISIÓN TME]]&lt;0,"DOWNSELL",IF(CambioPlan[[#This Row],[C. COMISIÓN TME]]=0,"MISMA TARIFA",IF(CambioPlan[[#This Row],[C. COMISIÓN TME]]&gt;0,"UPSELL")))</f>
        <v>DOWNSELL</v>
      </c>
      <c r="CE41">
        <f>VLOOKUP(CambioPlan[[#This Row],[TARIFA_BASICA_ANTERIOR]],[3]Hoja1!$F:$G,2,0)</f>
        <v>1</v>
      </c>
      <c r="CF41">
        <f>VLOOKUP(CambioPlan[[#This Row],[TARIFA_BASICA_ACTUAL]],[3]Hoja1!$B:$C,2,0)</f>
        <v>0</v>
      </c>
      <c r="CG41">
        <f t="shared" si="0"/>
        <v>-1</v>
      </c>
      <c r="CH41" t="e">
        <f>VLOOKUP(CambioPlan[[#This Row],[TELEFONO]],[1]Retenciones!$R$63:$R$287,1,0)</f>
        <v>#N/A</v>
      </c>
    </row>
    <row r="42" spans="1:86" x14ac:dyDescent="0.25">
      <c r="A42" s="43">
        <v>202212</v>
      </c>
      <c r="B42" s="44">
        <v>44914</v>
      </c>
      <c r="C42" s="43" t="s">
        <v>7200</v>
      </c>
      <c r="D42" s="43" t="s">
        <v>7201</v>
      </c>
      <c r="E42" s="43" t="s">
        <v>95</v>
      </c>
      <c r="F42" s="43" t="s">
        <v>231</v>
      </c>
      <c r="G42" s="43" t="s">
        <v>231</v>
      </c>
      <c r="H42" s="43" t="s">
        <v>67</v>
      </c>
      <c r="I42" s="43" t="s">
        <v>7202</v>
      </c>
      <c r="J42" s="43" t="s">
        <v>7080</v>
      </c>
      <c r="K42" s="43" t="s">
        <v>215</v>
      </c>
      <c r="L42" s="43" t="s">
        <v>574</v>
      </c>
      <c r="M42" s="43" t="s">
        <v>575</v>
      </c>
      <c r="N42" s="43" t="s">
        <v>79</v>
      </c>
      <c r="O42" s="45">
        <v>17.850000000000001</v>
      </c>
      <c r="P42" s="43" t="s">
        <v>95</v>
      </c>
      <c r="Q42" s="43" t="s">
        <v>95</v>
      </c>
      <c r="R42" s="43" t="s">
        <v>95</v>
      </c>
      <c r="S42" s="45">
        <v>0</v>
      </c>
      <c r="T42" s="43" t="s">
        <v>95</v>
      </c>
      <c r="U42" s="44" t="s">
        <v>95</v>
      </c>
      <c r="V42" s="44" t="s">
        <v>95</v>
      </c>
      <c r="W42" s="43" t="s">
        <v>95</v>
      </c>
      <c r="X42" s="45">
        <v>17.850000000000001</v>
      </c>
      <c r="Y42" s="43" t="s">
        <v>81</v>
      </c>
      <c r="Z42" s="43" t="s">
        <v>7203</v>
      </c>
      <c r="AA42" s="43" t="s">
        <v>7204</v>
      </c>
      <c r="AB42" s="43" t="s">
        <v>79</v>
      </c>
      <c r="AC42" s="45">
        <v>15</v>
      </c>
      <c r="AD42" s="43" t="s">
        <v>95</v>
      </c>
      <c r="AE42" s="43" t="s">
        <v>95</v>
      </c>
      <c r="AF42" s="43" t="s">
        <v>95</v>
      </c>
      <c r="AG42" s="43" t="s">
        <v>95</v>
      </c>
      <c r="AH42" s="45">
        <v>0</v>
      </c>
      <c r="AI42" s="43" t="s">
        <v>95</v>
      </c>
      <c r="AJ42" s="43" t="s">
        <v>95</v>
      </c>
      <c r="AK42" s="43" t="s">
        <v>95</v>
      </c>
      <c r="AL42" s="43" t="s">
        <v>95</v>
      </c>
      <c r="AM42" s="45">
        <v>15</v>
      </c>
      <c r="AN42" s="43" t="s">
        <v>81</v>
      </c>
      <c r="AO42" s="44">
        <v>44905</v>
      </c>
      <c r="AP42" s="43" t="s">
        <v>233</v>
      </c>
      <c r="AQ42" s="43" t="s">
        <v>234</v>
      </c>
      <c r="AR42" s="43" t="s">
        <v>233</v>
      </c>
      <c r="AS42" s="43" t="s">
        <v>234</v>
      </c>
      <c r="AT42" s="43" t="s">
        <v>85</v>
      </c>
      <c r="AU42" s="43" t="s">
        <v>7030</v>
      </c>
      <c r="AV42" s="43" t="s">
        <v>7031</v>
      </c>
      <c r="AW42" s="43" t="s">
        <v>7031</v>
      </c>
      <c r="AX42" s="43" t="s">
        <v>90</v>
      </c>
      <c r="AY42" s="43" t="s">
        <v>132</v>
      </c>
      <c r="AZ42" s="43" t="s">
        <v>7037</v>
      </c>
      <c r="BA42" s="43" t="s">
        <v>139</v>
      </c>
      <c r="BB42" s="45">
        <v>2.85</v>
      </c>
      <c r="BC42" s="45">
        <v>2.85</v>
      </c>
      <c r="BD42" s="43" t="s">
        <v>7032</v>
      </c>
      <c r="BE42" s="43" t="s">
        <v>81</v>
      </c>
      <c r="BF42" s="43" t="s">
        <v>81</v>
      </c>
      <c r="BG42" s="43" t="s">
        <v>86</v>
      </c>
      <c r="BH42" s="43" t="s">
        <v>235</v>
      </c>
      <c r="BI42" s="43" t="s">
        <v>7076</v>
      </c>
      <c r="BJ42" s="43" t="s">
        <v>7030</v>
      </c>
      <c r="BK42" s="43" t="s">
        <v>139</v>
      </c>
      <c r="BL42" s="43" t="s">
        <v>85</v>
      </c>
      <c r="BM42" s="43" t="s">
        <v>85</v>
      </c>
      <c r="BN42" s="43" t="s">
        <v>139</v>
      </c>
      <c r="BO42" s="46">
        <v>2.85</v>
      </c>
      <c r="BP42" s="43" t="s">
        <v>7032</v>
      </c>
      <c r="BQ42" s="43">
        <v>2.85</v>
      </c>
      <c r="BR42" s="43" t="s">
        <v>7032</v>
      </c>
      <c r="BS42" s="47">
        <v>2.85</v>
      </c>
      <c r="BT42" s="43" t="s">
        <v>7032</v>
      </c>
      <c r="BU42" s="43" t="s">
        <v>7032</v>
      </c>
      <c r="BV42" s="43" t="str">
        <f>CambioPlan[[#This Row],[TELEFONO]]&amp;"UPSELLSI"</f>
        <v>983389641UPSELLSI</v>
      </c>
      <c r="BW42" s="43">
        <f>DAY(CambioPlan[[#This Row],[FECHA_CAMBIO_PLAN]])</f>
        <v>10</v>
      </c>
      <c r="BX42" s="43" t="str">
        <f>VLOOKUP(CambioPlan[[#This Row],[NOM_PLAZA]],[1]!Locales[#Data],3,0)</f>
        <v>TIENDA CONDADO</v>
      </c>
      <c r="BY42" s="43" t="str">
        <f>VLOOKUP(CambioPlan[[#This Row],[DOMAIN_LOGIN_OW]],[1]!Personal[#Data],6,0)</f>
        <v>ROSALES MALDONADO JESSICA GABRIELA</v>
      </c>
      <c r="BZ42" s="43"/>
      <c r="CA42" s="43" t="str">
        <f>IFERROR(IF(FIND("ADULTO",CambioPlan[[#This Row],[DESCRIPCION_PLAN_ACTUAL]],1),"NO SE PAGA",),"SI SE PAGA")</f>
        <v>SI SE PAGA</v>
      </c>
      <c r="CB42" s="45">
        <f>CambioPlan[[#This Row],[TARIFA_BASICA_ACTUAL]]-CambioPlan[[#This Row],[TARIFA_BASICA_ANTERIOR]]</f>
        <v>2.8500000000000014</v>
      </c>
      <c r="CC42" s="56">
        <f>CambioPlan[[#This Row],[DIF. TARIFAS]]*4</f>
        <v>11.400000000000006</v>
      </c>
      <c r="CD42" s="53" t="str">
        <f>IF(CambioPlan[[#This Row],[C. COMISIÓN TME]]&lt;0,"DOWNSELL",IF(CambioPlan[[#This Row],[C. COMISIÓN TME]]=0,"MISMA TARIFA",IF(CambioPlan[[#This Row],[C. COMISIÓN TME]]&gt;0,"UPSELL")))</f>
        <v>UPSELL</v>
      </c>
      <c r="CE42">
        <f>VLOOKUP(CambioPlan[[#This Row],[TARIFA_BASICA_ANTERIOR]],[3]Hoja1!$F:$G,2,0)</f>
        <v>2</v>
      </c>
      <c r="CF42">
        <f>VLOOKUP(CambioPlan[[#This Row],[TARIFA_BASICA_ACTUAL]],[3]Hoja1!$B:$C,2,0)</f>
        <v>2</v>
      </c>
      <c r="CG42">
        <f t="shared" si="0"/>
        <v>0</v>
      </c>
      <c r="CH42" t="e">
        <f>VLOOKUP(CambioPlan[[#This Row],[TELEFONO]],[1]Retenciones!$R$63:$R$287,1,0)</f>
        <v>#N/A</v>
      </c>
    </row>
    <row r="43" spans="1:86" x14ac:dyDescent="0.25">
      <c r="A43" s="43">
        <v>202212</v>
      </c>
      <c r="B43" s="44">
        <v>44914</v>
      </c>
      <c r="C43" s="43" t="s">
        <v>7205</v>
      </c>
      <c r="D43" s="43" t="s">
        <v>7206</v>
      </c>
      <c r="E43" s="43" t="s">
        <v>95</v>
      </c>
      <c r="F43" s="43" t="s">
        <v>77</v>
      </c>
      <c r="G43" s="43" t="s">
        <v>1532</v>
      </c>
      <c r="H43" s="43" t="s">
        <v>67</v>
      </c>
      <c r="I43" s="43" t="s">
        <v>7207</v>
      </c>
      <c r="J43" s="43" t="s">
        <v>7029</v>
      </c>
      <c r="K43" s="43" t="s">
        <v>84</v>
      </c>
      <c r="L43" s="43" t="s">
        <v>7208</v>
      </c>
      <c r="M43" s="43" t="s">
        <v>7209</v>
      </c>
      <c r="N43" s="43" t="s">
        <v>79</v>
      </c>
      <c r="O43" s="45">
        <v>21.42</v>
      </c>
      <c r="P43" s="43" t="s">
        <v>95</v>
      </c>
      <c r="Q43" s="43" t="s">
        <v>95</v>
      </c>
      <c r="R43" s="43" t="s">
        <v>95</v>
      </c>
      <c r="S43" s="45">
        <v>0</v>
      </c>
      <c r="T43" s="43" t="s">
        <v>95</v>
      </c>
      <c r="U43" s="44" t="s">
        <v>95</v>
      </c>
      <c r="V43" s="44" t="s">
        <v>95</v>
      </c>
      <c r="W43" s="43" t="s">
        <v>95</v>
      </c>
      <c r="X43" s="45">
        <v>21.42</v>
      </c>
      <c r="Y43" s="43" t="s">
        <v>81</v>
      </c>
      <c r="Z43" s="43" t="s">
        <v>574</v>
      </c>
      <c r="AA43" s="43" t="s">
        <v>575</v>
      </c>
      <c r="AB43" s="43" t="s">
        <v>79</v>
      </c>
      <c r="AC43" s="45">
        <v>17.850000000000001</v>
      </c>
      <c r="AD43" s="43" t="s">
        <v>95</v>
      </c>
      <c r="AE43" s="43" t="s">
        <v>95</v>
      </c>
      <c r="AF43" s="43" t="s">
        <v>95</v>
      </c>
      <c r="AG43" s="43" t="s">
        <v>95</v>
      </c>
      <c r="AH43" s="45">
        <v>0</v>
      </c>
      <c r="AI43" s="43" t="s">
        <v>95</v>
      </c>
      <c r="AJ43" s="43" t="s">
        <v>95</v>
      </c>
      <c r="AK43" s="43" t="s">
        <v>95</v>
      </c>
      <c r="AL43" s="43" t="s">
        <v>95</v>
      </c>
      <c r="AM43" s="45">
        <v>17.850000000000001</v>
      </c>
      <c r="AN43" s="43" t="s">
        <v>81</v>
      </c>
      <c r="AO43" s="44">
        <v>44911</v>
      </c>
      <c r="AP43" s="43" t="s">
        <v>492</v>
      </c>
      <c r="AQ43" s="43" t="s">
        <v>493</v>
      </c>
      <c r="AR43" s="43" t="s">
        <v>7062</v>
      </c>
      <c r="AS43" s="43" t="s">
        <v>95</v>
      </c>
      <c r="AT43" s="43" t="s">
        <v>85</v>
      </c>
      <c r="AU43" s="43" t="s">
        <v>7030</v>
      </c>
      <c r="AV43" s="43" t="s">
        <v>7031</v>
      </c>
      <c r="AW43" s="43" t="s">
        <v>7031</v>
      </c>
      <c r="AX43" s="43" t="s">
        <v>90</v>
      </c>
      <c r="AY43" s="43" t="s">
        <v>132</v>
      </c>
      <c r="AZ43" s="43" t="s">
        <v>7037</v>
      </c>
      <c r="BA43" s="43" t="s">
        <v>139</v>
      </c>
      <c r="BB43" s="45">
        <v>3.57</v>
      </c>
      <c r="BC43" s="45">
        <v>3.57</v>
      </c>
      <c r="BD43" s="43" t="s">
        <v>7032</v>
      </c>
      <c r="BE43" s="43" t="s">
        <v>81</v>
      </c>
      <c r="BF43" s="43" t="s">
        <v>81</v>
      </c>
      <c r="BG43" s="43" t="s">
        <v>86</v>
      </c>
      <c r="BH43" s="43" t="s">
        <v>177</v>
      </c>
      <c r="BI43" s="43" t="s">
        <v>7038</v>
      </c>
      <c r="BJ43" s="43" t="s">
        <v>7030</v>
      </c>
      <c r="BK43" s="43" t="s">
        <v>139</v>
      </c>
      <c r="BL43" s="43" t="s">
        <v>85</v>
      </c>
      <c r="BM43" s="43" t="s">
        <v>85</v>
      </c>
      <c r="BN43" s="43" t="s">
        <v>139</v>
      </c>
      <c r="BO43" s="46">
        <v>3.57</v>
      </c>
      <c r="BP43" s="43" t="s">
        <v>7032</v>
      </c>
      <c r="BQ43" s="43">
        <v>3.57</v>
      </c>
      <c r="BR43" s="43" t="s">
        <v>7032</v>
      </c>
      <c r="BS43" s="47">
        <v>3.57</v>
      </c>
      <c r="BT43" s="43" t="s">
        <v>7032</v>
      </c>
      <c r="BU43" s="43" t="s">
        <v>7032</v>
      </c>
      <c r="BV43" s="43" t="str">
        <f>CambioPlan[[#This Row],[TELEFONO]]&amp;"UPSELLSI"</f>
        <v>983401463UPSELLSI</v>
      </c>
      <c r="BW43" s="43">
        <f>DAY(CambioPlan[[#This Row],[FECHA_CAMBIO_PLAN]])</f>
        <v>16</v>
      </c>
      <c r="BX43" s="43" t="str">
        <f>VLOOKUP(CambioPlan[[#This Row],[NOM_PLAZA]],[1]!Locales[#Data],3,0)</f>
        <v>TIENDA RECREO</v>
      </c>
      <c r="BY43" s="43" t="str">
        <f>VLOOKUP(CambioPlan[[#This Row],[DOMAIN_LOGIN_OW]],[1]!Personal[#Data],6,0)</f>
        <v>CONDO GARCIA NICOLAS MATIAS</v>
      </c>
      <c r="BZ43" s="43"/>
      <c r="CA43" s="43" t="str">
        <f>IFERROR(IF(FIND("ADULTO",CambioPlan[[#This Row],[DESCRIPCION_PLAN_ACTUAL]],1),"NO SE PAGA",),"SI SE PAGA")</f>
        <v>SI SE PAGA</v>
      </c>
      <c r="CB43" s="45">
        <f>CambioPlan[[#This Row],[TARIFA_BASICA_ACTUAL]]-CambioPlan[[#This Row],[TARIFA_BASICA_ANTERIOR]]</f>
        <v>3.5700000000000003</v>
      </c>
      <c r="CC43" s="56">
        <f>CambioPlan[[#This Row],[DIF. TARIFAS]]*4</f>
        <v>14.280000000000001</v>
      </c>
      <c r="CD43" s="53" t="str">
        <f>IF(CambioPlan[[#This Row],[C. COMISIÓN TME]]&lt;0,"DOWNSELL",IF(CambioPlan[[#This Row],[C. COMISIÓN TME]]=0,"MISMA TARIFA",IF(CambioPlan[[#This Row],[C. COMISIÓN TME]]&gt;0,"UPSELL")))</f>
        <v>UPSELL</v>
      </c>
      <c r="CE43">
        <f>VLOOKUP(CambioPlan[[#This Row],[TARIFA_BASICA_ANTERIOR]],[3]Hoja1!$F:$G,2,0)</f>
        <v>2</v>
      </c>
      <c r="CF43">
        <f>VLOOKUP(CambioPlan[[#This Row],[TARIFA_BASICA_ACTUAL]],[3]Hoja1!$B:$C,2,0)</f>
        <v>3</v>
      </c>
      <c r="CG43">
        <f t="shared" si="0"/>
        <v>1</v>
      </c>
      <c r="CH43" t="e">
        <f>VLOOKUP(CambioPlan[[#This Row],[TELEFONO]],[1]Retenciones!$R$63:$R$287,1,0)</f>
        <v>#N/A</v>
      </c>
    </row>
    <row r="44" spans="1:86" x14ac:dyDescent="0.25">
      <c r="A44" s="43">
        <v>202212</v>
      </c>
      <c r="B44" s="44">
        <v>44914</v>
      </c>
      <c r="C44" s="43" t="s">
        <v>7210</v>
      </c>
      <c r="D44" s="43" t="s">
        <v>7211</v>
      </c>
      <c r="E44" s="43" t="s">
        <v>95</v>
      </c>
      <c r="F44" s="43" t="s">
        <v>231</v>
      </c>
      <c r="G44" s="43" t="s">
        <v>231</v>
      </c>
      <c r="H44" s="43" t="s">
        <v>67</v>
      </c>
      <c r="I44" s="43" t="s">
        <v>7212</v>
      </c>
      <c r="J44" s="43" t="s">
        <v>7037</v>
      </c>
      <c r="K44" s="43" t="s">
        <v>84</v>
      </c>
      <c r="L44" s="43" t="s">
        <v>7069</v>
      </c>
      <c r="M44" s="43" t="s">
        <v>7070</v>
      </c>
      <c r="N44" s="43" t="s">
        <v>79</v>
      </c>
      <c r="O44" s="45">
        <v>21.42</v>
      </c>
      <c r="P44" s="43" t="s">
        <v>95</v>
      </c>
      <c r="Q44" s="43" t="s">
        <v>95</v>
      </c>
      <c r="R44" s="43" t="s">
        <v>95</v>
      </c>
      <c r="S44" s="45">
        <v>0</v>
      </c>
      <c r="T44" s="43" t="s">
        <v>95</v>
      </c>
      <c r="U44" s="44" t="s">
        <v>95</v>
      </c>
      <c r="V44" s="44" t="s">
        <v>95</v>
      </c>
      <c r="W44" s="43" t="s">
        <v>95</v>
      </c>
      <c r="X44" s="45">
        <v>21.42</v>
      </c>
      <c r="Y44" s="43" t="s">
        <v>81</v>
      </c>
      <c r="Z44" s="43" t="s">
        <v>7213</v>
      </c>
      <c r="AA44" s="43" t="s">
        <v>7214</v>
      </c>
      <c r="AB44" s="43" t="s">
        <v>79</v>
      </c>
      <c r="AC44" s="45">
        <v>24.99</v>
      </c>
      <c r="AD44" s="43" t="s">
        <v>95</v>
      </c>
      <c r="AE44" s="43" t="s">
        <v>95</v>
      </c>
      <c r="AF44" s="43" t="s">
        <v>95</v>
      </c>
      <c r="AG44" s="43" t="s">
        <v>95</v>
      </c>
      <c r="AH44" s="45">
        <v>0</v>
      </c>
      <c r="AI44" s="43" t="s">
        <v>95</v>
      </c>
      <c r="AJ44" s="43" t="s">
        <v>95</v>
      </c>
      <c r="AK44" s="43" t="s">
        <v>95</v>
      </c>
      <c r="AL44" s="43" t="s">
        <v>95</v>
      </c>
      <c r="AM44" s="45">
        <v>24.99</v>
      </c>
      <c r="AN44" s="43" t="s">
        <v>81</v>
      </c>
      <c r="AO44" s="44">
        <v>44904</v>
      </c>
      <c r="AP44" s="43" t="s">
        <v>396</v>
      </c>
      <c r="AQ44" s="43" t="s">
        <v>397</v>
      </c>
      <c r="AR44" s="43" t="s">
        <v>396</v>
      </c>
      <c r="AS44" s="43" t="s">
        <v>397</v>
      </c>
      <c r="AT44" s="43" t="s">
        <v>85</v>
      </c>
      <c r="AU44" s="43" t="s">
        <v>7030</v>
      </c>
      <c r="AV44" s="43" t="s">
        <v>7031</v>
      </c>
      <c r="AW44" s="43" t="s">
        <v>7031</v>
      </c>
      <c r="AX44" s="43" t="s">
        <v>90</v>
      </c>
      <c r="AY44" s="43" t="s">
        <v>132</v>
      </c>
      <c r="AZ44" s="43" t="s">
        <v>7037</v>
      </c>
      <c r="BA44" s="43" t="s">
        <v>139</v>
      </c>
      <c r="BB44" s="45">
        <v>-3.57</v>
      </c>
      <c r="BC44" s="45">
        <v>-3.57</v>
      </c>
      <c r="BD44" s="43" t="s">
        <v>7106</v>
      </c>
      <c r="BE44" s="43" t="s">
        <v>81</v>
      </c>
      <c r="BF44" s="43" t="s">
        <v>81</v>
      </c>
      <c r="BG44" s="43" t="s">
        <v>86</v>
      </c>
      <c r="BH44" s="43" t="s">
        <v>177</v>
      </c>
      <c r="BI44" s="43" t="s">
        <v>7038</v>
      </c>
      <c r="BJ44" s="43" t="s">
        <v>7030</v>
      </c>
      <c r="BK44" s="43" t="s">
        <v>139</v>
      </c>
      <c r="BL44" s="43" t="s">
        <v>85</v>
      </c>
      <c r="BM44" s="43" t="s">
        <v>85</v>
      </c>
      <c r="BN44" s="43" t="s">
        <v>139</v>
      </c>
      <c r="BO44" s="46">
        <v>-3.57</v>
      </c>
      <c r="BP44" s="43" t="s">
        <v>7106</v>
      </c>
      <c r="BQ44" s="43">
        <v>-3.57</v>
      </c>
      <c r="BR44" s="43" t="s">
        <v>7106</v>
      </c>
      <c r="BS44" s="47">
        <v>-3.57</v>
      </c>
      <c r="BT44" s="43" t="s">
        <v>7106</v>
      </c>
      <c r="BU44" s="43" t="s">
        <v>7106</v>
      </c>
      <c r="BV44" s="43" t="str">
        <f>CambioPlan[[#This Row],[TELEFONO]]&amp;"UPSELLSI"</f>
        <v>983543481UPSELLSI</v>
      </c>
      <c r="BW44" s="43">
        <f>DAY(CambioPlan[[#This Row],[FECHA_CAMBIO_PLAN]])</f>
        <v>9</v>
      </c>
      <c r="BX44" s="43" t="str">
        <f>VLOOKUP(CambioPlan[[#This Row],[NOM_PLAZA]],[1]!Locales[#Data],3,0)</f>
        <v>TIENDA RECREO</v>
      </c>
      <c r="BY44" s="43" t="str">
        <f>VLOOKUP(CambioPlan[[#This Row],[DOMAIN_LOGIN_OW]],[1]!Personal[#Data],6,0)</f>
        <v>VINUEZA VELASCO ANGY DAYANA</v>
      </c>
      <c r="BZ44" s="43"/>
      <c r="CA44" s="43" t="str">
        <f>IFERROR(IF(FIND("ADULTO",CambioPlan[[#This Row],[DESCRIPCION_PLAN_ACTUAL]],1),"NO SE PAGA",),"SI SE PAGA")</f>
        <v>SI SE PAGA</v>
      </c>
      <c r="CB44" s="45">
        <f>CambioPlan[[#This Row],[TARIFA_BASICA_ACTUAL]]-CambioPlan[[#This Row],[TARIFA_BASICA_ANTERIOR]]</f>
        <v>-3.5699999999999967</v>
      </c>
      <c r="CC44" s="56">
        <f>CambioPlan[[#This Row],[DIF. TARIFAS]]*4</f>
        <v>-14.279999999999987</v>
      </c>
      <c r="CD44" s="53" t="str">
        <f>IF(CambioPlan[[#This Row],[C. COMISIÓN TME]]&lt;0,"DOWNSELL",IF(CambioPlan[[#This Row],[C. COMISIÓN TME]]=0,"MISMA TARIFA",IF(CambioPlan[[#This Row],[C. COMISIÓN TME]]&gt;0,"UPSELL")))</f>
        <v>DOWNSELL</v>
      </c>
      <c r="CE44">
        <f>VLOOKUP(CambioPlan[[#This Row],[TARIFA_BASICA_ANTERIOR]],[3]Hoja1!$F:$G,2,0)</f>
        <v>4</v>
      </c>
      <c r="CF44">
        <f>VLOOKUP(CambioPlan[[#This Row],[TARIFA_BASICA_ACTUAL]],[3]Hoja1!$B:$C,2,0)</f>
        <v>3</v>
      </c>
      <c r="CG44">
        <f t="shared" si="0"/>
        <v>-1</v>
      </c>
      <c r="CH44" t="e">
        <f>VLOOKUP(CambioPlan[[#This Row],[TELEFONO]],[1]Retenciones!$R$63:$R$287,1,0)</f>
        <v>#N/A</v>
      </c>
    </row>
    <row r="45" spans="1:86" x14ac:dyDescent="0.25">
      <c r="A45" s="43">
        <v>202212</v>
      </c>
      <c r="B45" s="44">
        <v>44914</v>
      </c>
      <c r="C45" s="43" t="s">
        <v>7215</v>
      </c>
      <c r="D45" s="43" t="s">
        <v>7216</v>
      </c>
      <c r="E45" s="43" t="s">
        <v>95</v>
      </c>
      <c r="F45" s="43" t="s">
        <v>768</v>
      </c>
      <c r="G45" s="43" t="s">
        <v>768</v>
      </c>
      <c r="H45" s="43" t="s">
        <v>67</v>
      </c>
      <c r="I45" s="43" t="s">
        <v>7217</v>
      </c>
      <c r="J45" s="43" t="s">
        <v>7037</v>
      </c>
      <c r="K45" s="43" t="s">
        <v>84</v>
      </c>
      <c r="L45" s="43" t="s">
        <v>359</v>
      </c>
      <c r="M45" s="43" t="s">
        <v>360</v>
      </c>
      <c r="N45" s="43" t="s">
        <v>79</v>
      </c>
      <c r="O45" s="45">
        <v>14.28</v>
      </c>
      <c r="P45" s="43" t="s">
        <v>95</v>
      </c>
      <c r="Q45" s="43" t="s">
        <v>95</v>
      </c>
      <c r="R45" s="43" t="s">
        <v>95</v>
      </c>
      <c r="S45" s="45">
        <v>0</v>
      </c>
      <c r="T45" s="43" t="s">
        <v>95</v>
      </c>
      <c r="U45" s="44" t="s">
        <v>95</v>
      </c>
      <c r="V45" s="44" t="s">
        <v>95</v>
      </c>
      <c r="W45" s="43" t="s">
        <v>95</v>
      </c>
      <c r="X45" s="45">
        <v>14.28</v>
      </c>
      <c r="Y45" s="43" t="s">
        <v>81</v>
      </c>
      <c r="Z45" s="43" t="s">
        <v>183</v>
      </c>
      <c r="AA45" s="43" t="s">
        <v>184</v>
      </c>
      <c r="AB45" s="43" t="s">
        <v>79</v>
      </c>
      <c r="AC45" s="45">
        <v>11.42</v>
      </c>
      <c r="AD45" s="43" t="s">
        <v>95</v>
      </c>
      <c r="AE45" s="43" t="s">
        <v>95</v>
      </c>
      <c r="AF45" s="43" t="s">
        <v>95</v>
      </c>
      <c r="AG45" s="43" t="s">
        <v>95</v>
      </c>
      <c r="AH45" s="45">
        <v>0</v>
      </c>
      <c r="AI45" s="43" t="s">
        <v>95</v>
      </c>
      <c r="AJ45" s="43" t="s">
        <v>95</v>
      </c>
      <c r="AK45" s="43" t="s">
        <v>95</v>
      </c>
      <c r="AL45" s="43" t="s">
        <v>95</v>
      </c>
      <c r="AM45" s="45">
        <v>11.42</v>
      </c>
      <c r="AN45" s="43" t="s">
        <v>81</v>
      </c>
      <c r="AO45" s="44">
        <v>44899</v>
      </c>
      <c r="AP45" s="43" t="s">
        <v>769</v>
      </c>
      <c r="AQ45" s="43" t="s">
        <v>770</v>
      </c>
      <c r="AR45" s="43" t="s">
        <v>769</v>
      </c>
      <c r="AS45" s="43" t="s">
        <v>770</v>
      </c>
      <c r="AT45" s="43" t="s">
        <v>85</v>
      </c>
      <c r="AU45" s="43" t="s">
        <v>7030</v>
      </c>
      <c r="AV45" s="43" t="s">
        <v>7031</v>
      </c>
      <c r="AW45" s="43" t="s">
        <v>7031</v>
      </c>
      <c r="AX45" s="43" t="s">
        <v>90</v>
      </c>
      <c r="AY45" s="43" t="s">
        <v>132</v>
      </c>
      <c r="AZ45" s="43" t="s">
        <v>7037</v>
      </c>
      <c r="BA45" s="43" t="s">
        <v>139</v>
      </c>
      <c r="BB45" s="45">
        <v>2.86</v>
      </c>
      <c r="BC45" s="45">
        <v>2.86</v>
      </c>
      <c r="BD45" s="43" t="s">
        <v>7032</v>
      </c>
      <c r="BE45" s="43" t="s">
        <v>81</v>
      </c>
      <c r="BF45" s="43" t="s">
        <v>81</v>
      </c>
      <c r="BG45" s="43" t="s">
        <v>86</v>
      </c>
      <c r="BH45" s="43" t="s">
        <v>235</v>
      </c>
      <c r="BI45" s="43" t="s">
        <v>7076</v>
      </c>
      <c r="BJ45" s="43" t="s">
        <v>7030</v>
      </c>
      <c r="BK45" s="43" t="s">
        <v>139</v>
      </c>
      <c r="BL45" s="43" t="s">
        <v>85</v>
      </c>
      <c r="BM45" s="43" t="s">
        <v>85</v>
      </c>
      <c r="BN45" s="43" t="s">
        <v>139</v>
      </c>
      <c r="BO45" s="46">
        <v>2.86</v>
      </c>
      <c r="BP45" s="43" t="s">
        <v>7032</v>
      </c>
      <c r="BQ45" s="43">
        <v>2.86</v>
      </c>
      <c r="BR45" s="43" t="s">
        <v>7032</v>
      </c>
      <c r="BS45" s="47">
        <v>2.86</v>
      </c>
      <c r="BT45" s="43" t="s">
        <v>7032</v>
      </c>
      <c r="BU45" s="43" t="s">
        <v>7032</v>
      </c>
      <c r="BV45" s="43" t="str">
        <f>CambioPlan[[#This Row],[TELEFONO]]&amp;"UPSELLSI"</f>
        <v>983732241UPSELLSI</v>
      </c>
      <c r="BW45" s="43">
        <f>DAY(CambioPlan[[#This Row],[FECHA_CAMBIO_PLAN]])</f>
        <v>4</v>
      </c>
      <c r="BX45" s="43" t="str">
        <f>VLOOKUP(CambioPlan[[#This Row],[NOM_PLAZA]],[1]!Locales[#Data],3,0)</f>
        <v>TIENDA CONDADO</v>
      </c>
      <c r="BY45" s="43" t="str">
        <f>VLOOKUP(CambioPlan[[#This Row],[DOMAIN_LOGIN_OW]],[1]!Personal[#Data],6,0)</f>
        <v>ROJAS VEGA JHOSMERY MICHELE</v>
      </c>
      <c r="BZ45" s="43"/>
      <c r="CA45" s="43" t="str">
        <f>IFERROR(IF(FIND("ADULTO",CambioPlan[[#This Row],[DESCRIPCION_PLAN_ACTUAL]],1),"NO SE PAGA",),"SI SE PAGA")</f>
        <v>SI SE PAGA</v>
      </c>
      <c r="CB45" s="45">
        <f>CambioPlan[[#This Row],[TARIFA_BASICA_ACTUAL]]-CambioPlan[[#This Row],[TARIFA_BASICA_ANTERIOR]]</f>
        <v>2.8599999999999994</v>
      </c>
      <c r="CC45" s="56">
        <f>CambioPlan[[#This Row],[DIF. TARIFAS]]*4</f>
        <v>11.439999999999998</v>
      </c>
      <c r="CD45" s="53" t="str">
        <f>IF(CambioPlan[[#This Row],[C. COMISIÓN TME]]&lt;0,"DOWNSELL",IF(CambioPlan[[#This Row],[C. COMISIÓN TME]]=0,"MISMA TARIFA",IF(CambioPlan[[#This Row],[C. COMISIÓN TME]]&gt;0,"UPSELL")))</f>
        <v>UPSELL</v>
      </c>
      <c r="CE45">
        <f>VLOOKUP(CambioPlan[[#This Row],[TARIFA_BASICA_ANTERIOR]],[3]Hoja1!$F:$G,2,0)</f>
        <v>0</v>
      </c>
      <c r="CF45">
        <f>VLOOKUP(CambioPlan[[#This Row],[TARIFA_BASICA_ACTUAL]],[3]Hoja1!$B:$C,2,0)</f>
        <v>1</v>
      </c>
      <c r="CG45">
        <f t="shared" si="0"/>
        <v>1</v>
      </c>
      <c r="CH45" t="e">
        <f>VLOOKUP(CambioPlan[[#This Row],[TELEFONO]],[1]Retenciones!$R$63:$R$287,1,0)</f>
        <v>#N/A</v>
      </c>
    </row>
    <row r="46" spans="1:86" x14ac:dyDescent="0.25">
      <c r="A46" s="43">
        <v>202212</v>
      </c>
      <c r="B46" s="44">
        <v>44914</v>
      </c>
      <c r="C46" s="43" t="s">
        <v>7218</v>
      </c>
      <c r="D46" s="43" t="s">
        <v>7219</v>
      </c>
      <c r="E46" s="43" t="s">
        <v>95</v>
      </c>
      <c r="F46" s="43" t="s">
        <v>231</v>
      </c>
      <c r="G46" s="43" t="s">
        <v>231</v>
      </c>
      <c r="H46" s="43" t="s">
        <v>246</v>
      </c>
      <c r="I46" s="43" t="s">
        <v>4973</v>
      </c>
      <c r="J46" s="43" t="s">
        <v>7220</v>
      </c>
      <c r="K46" s="43" t="s">
        <v>84</v>
      </c>
      <c r="L46" s="43" t="s">
        <v>359</v>
      </c>
      <c r="M46" s="43" t="s">
        <v>360</v>
      </c>
      <c r="N46" s="43" t="s">
        <v>79</v>
      </c>
      <c r="O46" s="45">
        <v>14.28</v>
      </c>
      <c r="P46" s="43" t="s">
        <v>95</v>
      </c>
      <c r="Q46" s="43" t="s">
        <v>95</v>
      </c>
      <c r="R46" s="43" t="s">
        <v>95</v>
      </c>
      <c r="S46" s="45">
        <v>0</v>
      </c>
      <c r="T46" s="43" t="s">
        <v>95</v>
      </c>
      <c r="U46" s="44" t="s">
        <v>95</v>
      </c>
      <c r="V46" s="44" t="s">
        <v>95</v>
      </c>
      <c r="W46" s="43" t="s">
        <v>95</v>
      </c>
      <c r="X46" s="45">
        <v>14.28</v>
      </c>
      <c r="Y46" s="43" t="s">
        <v>81</v>
      </c>
      <c r="Z46" s="43" t="s">
        <v>2207</v>
      </c>
      <c r="AA46" s="43" t="s">
        <v>2208</v>
      </c>
      <c r="AB46" s="43" t="s">
        <v>79</v>
      </c>
      <c r="AC46" s="45">
        <v>15</v>
      </c>
      <c r="AD46" s="43" t="s">
        <v>95</v>
      </c>
      <c r="AE46" s="43" t="s">
        <v>95</v>
      </c>
      <c r="AF46" s="43" t="s">
        <v>95</v>
      </c>
      <c r="AG46" s="43" t="s">
        <v>95</v>
      </c>
      <c r="AH46" s="45">
        <v>0</v>
      </c>
      <c r="AI46" s="43" t="s">
        <v>95</v>
      </c>
      <c r="AJ46" s="43" t="s">
        <v>95</v>
      </c>
      <c r="AK46" s="43" t="s">
        <v>95</v>
      </c>
      <c r="AL46" s="43" t="s">
        <v>95</v>
      </c>
      <c r="AM46" s="45">
        <v>15</v>
      </c>
      <c r="AN46" s="43" t="s">
        <v>81</v>
      </c>
      <c r="AO46" s="44">
        <v>44902</v>
      </c>
      <c r="AP46" s="43" t="s">
        <v>262</v>
      </c>
      <c r="AQ46" s="43" t="s">
        <v>263</v>
      </c>
      <c r="AR46" s="43" t="s">
        <v>262</v>
      </c>
      <c r="AS46" s="43" t="s">
        <v>263</v>
      </c>
      <c r="AT46" s="43" t="s">
        <v>85</v>
      </c>
      <c r="AU46" s="43" t="s">
        <v>7030</v>
      </c>
      <c r="AV46" s="43" t="s">
        <v>7031</v>
      </c>
      <c r="AW46" s="43" t="s">
        <v>7031</v>
      </c>
      <c r="AX46" s="43" t="s">
        <v>90</v>
      </c>
      <c r="AY46" s="43" t="s">
        <v>132</v>
      </c>
      <c r="AZ46" s="43" t="s">
        <v>7037</v>
      </c>
      <c r="BA46" s="43" t="s">
        <v>139</v>
      </c>
      <c r="BB46" s="45">
        <v>-0.72000000000000097</v>
      </c>
      <c r="BC46" s="45">
        <v>-0.71999999999999897</v>
      </c>
      <c r="BD46" s="43" t="s">
        <v>7106</v>
      </c>
      <c r="BE46" s="43" t="s">
        <v>81</v>
      </c>
      <c r="BF46" s="43" t="s">
        <v>81</v>
      </c>
      <c r="BG46" s="43" t="s">
        <v>86</v>
      </c>
      <c r="BH46" s="43" t="s">
        <v>177</v>
      </c>
      <c r="BI46" s="43" t="s">
        <v>7038</v>
      </c>
      <c r="BJ46" s="43" t="s">
        <v>7030</v>
      </c>
      <c r="BK46" s="43" t="s">
        <v>139</v>
      </c>
      <c r="BL46" s="43" t="s">
        <v>85</v>
      </c>
      <c r="BM46" s="43" t="s">
        <v>85</v>
      </c>
      <c r="BN46" s="43" t="s">
        <v>139</v>
      </c>
      <c r="BO46" s="46">
        <v>-0.71999999999999897</v>
      </c>
      <c r="BP46" s="43" t="s">
        <v>7106</v>
      </c>
      <c r="BQ46" s="43">
        <v>-0.71999999999999897</v>
      </c>
      <c r="BR46" s="43" t="s">
        <v>7106</v>
      </c>
      <c r="BS46" s="47">
        <v>-0.71999999999999897</v>
      </c>
      <c r="BT46" s="43" t="s">
        <v>7106</v>
      </c>
      <c r="BU46" s="43" t="s">
        <v>7106</v>
      </c>
      <c r="BV46" s="43" t="str">
        <f>CambioPlan[[#This Row],[TELEFONO]]&amp;"UPSELLSI"</f>
        <v>983750440UPSELLSI</v>
      </c>
      <c r="BW46" s="43">
        <f>DAY(CambioPlan[[#This Row],[FECHA_CAMBIO_PLAN]])</f>
        <v>7</v>
      </c>
      <c r="BX46" s="43" t="str">
        <f>VLOOKUP(CambioPlan[[#This Row],[NOM_PLAZA]],[1]!Locales[#Data],3,0)</f>
        <v>TIENDA RECREO</v>
      </c>
      <c r="BY46" s="43" t="str">
        <f>VLOOKUP(CambioPlan[[#This Row],[DOMAIN_LOGIN_OW]],[1]!Personal[#Data],6,0)</f>
        <v>CHICAIZA TOAPANTA ALEX DANILO</v>
      </c>
      <c r="BZ46" s="43"/>
      <c r="CA46" s="43" t="str">
        <f>IFERROR(IF(FIND("ADULTO",CambioPlan[[#This Row],[DESCRIPCION_PLAN_ACTUAL]],1),"NO SE PAGA",),"SI SE PAGA")</f>
        <v>SI SE PAGA</v>
      </c>
      <c r="CB46" s="45">
        <f>CambioPlan[[#This Row],[TARIFA_BASICA_ACTUAL]]-CambioPlan[[#This Row],[TARIFA_BASICA_ANTERIOR]]</f>
        <v>-0.72000000000000064</v>
      </c>
      <c r="CC46" s="56">
        <f>CambioPlan[[#This Row],[DIF. TARIFAS]]*4</f>
        <v>-2.8800000000000026</v>
      </c>
      <c r="CD46" s="53" t="str">
        <f>IF(CambioPlan[[#This Row],[C. COMISIÓN TME]]&lt;0,"DOWNSELL",IF(CambioPlan[[#This Row],[C. COMISIÓN TME]]=0,"MISMA TARIFA",IF(CambioPlan[[#This Row],[C. COMISIÓN TME]]&gt;0,"UPSELL")))</f>
        <v>DOWNSELL</v>
      </c>
      <c r="CE46">
        <f>VLOOKUP(CambioPlan[[#This Row],[TARIFA_BASICA_ANTERIOR]],[3]Hoja1!$F:$G,2,0)</f>
        <v>2</v>
      </c>
      <c r="CF46">
        <f>VLOOKUP(CambioPlan[[#This Row],[TARIFA_BASICA_ACTUAL]],[3]Hoja1!$B:$C,2,0)</f>
        <v>1</v>
      </c>
      <c r="CG46">
        <f t="shared" si="0"/>
        <v>-1</v>
      </c>
      <c r="CH46" t="e">
        <f>VLOOKUP(CambioPlan[[#This Row],[TELEFONO]],[1]Retenciones!$R$63:$R$287,1,0)</f>
        <v>#N/A</v>
      </c>
    </row>
    <row r="47" spans="1:86" x14ac:dyDescent="0.25">
      <c r="A47" s="43">
        <v>202212</v>
      </c>
      <c r="B47" s="44">
        <v>44914</v>
      </c>
      <c r="C47" s="43" t="s">
        <v>7221</v>
      </c>
      <c r="D47" s="43" t="s">
        <v>7222</v>
      </c>
      <c r="E47" s="43" t="s">
        <v>95</v>
      </c>
      <c r="F47" s="43" t="s">
        <v>77</v>
      </c>
      <c r="G47" s="43" t="s">
        <v>2241</v>
      </c>
      <c r="H47" s="43" t="s">
        <v>67</v>
      </c>
      <c r="I47" s="43" t="s">
        <v>7223</v>
      </c>
      <c r="J47" s="43" t="s">
        <v>7029</v>
      </c>
      <c r="K47" s="43" t="s">
        <v>84</v>
      </c>
      <c r="L47" s="43" t="s">
        <v>606</v>
      </c>
      <c r="M47" s="43" t="s">
        <v>1672</v>
      </c>
      <c r="N47" s="43" t="s">
        <v>79</v>
      </c>
      <c r="O47" s="45">
        <v>26.78</v>
      </c>
      <c r="P47" s="43" t="s">
        <v>95</v>
      </c>
      <c r="Q47" s="43" t="s">
        <v>95</v>
      </c>
      <c r="R47" s="43" t="s">
        <v>95</v>
      </c>
      <c r="S47" s="45">
        <v>0</v>
      </c>
      <c r="T47" s="43" t="s">
        <v>95</v>
      </c>
      <c r="U47" s="44" t="s">
        <v>95</v>
      </c>
      <c r="V47" s="44" t="s">
        <v>95</v>
      </c>
      <c r="W47" s="43" t="s">
        <v>95</v>
      </c>
      <c r="X47" s="45">
        <v>26.78</v>
      </c>
      <c r="Y47" s="43" t="s">
        <v>81</v>
      </c>
      <c r="Z47" s="43" t="s">
        <v>7074</v>
      </c>
      <c r="AA47" s="43" t="s">
        <v>7075</v>
      </c>
      <c r="AB47" s="43" t="s">
        <v>79</v>
      </c>
      <c r="AC47" s="45">
        <v>12.99</v>
      </c>
      <c r="AD47" s="43" t="s">
        <v>95</v>
      </c>
      <c r="AE47" s="43" t="s">
        <v>95</v>
      </c>
      <c r="AF47" s="43" t="s">
        <v>95</v>
      </c>
      <c r="AG47" s="43" t="s">
        <v>95</v>
      </c>
      <c r="AH47" s="45">
        <v>0</v>
      </c>
      <c r="AI47" s="43" t="s">
        <v>95</v>
      </c>
      <c r="AJ47" s="43" t="s">
        <v>95</v>
      </c>
      <c r="AK47" s="43" t="s">
        <v>95</v>
      </c>
      <c r="AL47" s="43" t="s">
        <v>95</v>
      </c>
      <c r="AM47" s="45">
        <v>12.99</v>
      </c>
      <c r="AN47" s="43" t="s">
        <v>81</v>
      </c>
      <c r="AO47" s="44">
        <v>44907</v>
      </c>
      <c r="AP47" s="43" t="s">
        <v>175</v>
      </c>
      <c r="AQ47" s="43" t="s">
        <v>176</v>
      </c>
      <c r="AR47" s="43" t="s">
        <v>175</v>
      </c>
      <c r="AS47" s="43" t="s">
        <v>176</v>
      </c>
      <c r="AT47" s="43" t="s">
        <v>85</v>
      </c>
      <c r="AU47" s="43" t="s">
        <v>7030</v>
      </c>
      <c r="AV47" s="43" t="s">
        <v>7031</v>
      </c>
      <c r="AW47" s="43" t="s">
        <v>7031</v>
      </c>
      <c r="AX47" s="43" t="s">
        <v>90</v>
      </c>
      <c r="AY47" s="43" t="s">
        <v>132</v>
      </c>
      <c r="AZ47" s="43" t="s">
        <v>7037</v>
      </c>
      <c r="BA47" s="43" t="s">
        <v>139</v>
      </c>
      <c r="BB47" s="45">
        <v>13.79</v>
      </c>
      <c r="BC47" s="45">
        <v>13.79</v>
      </c>
      <c r="BD47" s="43" t="s">
        <v>7032</v>
      </c>
      <c r="BE47" s="43" t="s">
        <v>81</v>
      </c>
      <c r="BF47" s="43" t="s">
        <v>81</v>
      </c>
      <c r="BG47" s="43" t="s">
        <v>86</v>
      </c>
      <c r="BH47" s="43" t="s">
        <v>177</v>
      </c>
      <c r="BI47" s="43" t="s">
        <v>7038</v>
      </c>
      <c r="BJ47" s="43" t="s">
        <v>7030</v>
      </c>
      <c r="BK47" s="43" t="s">
        <v>139</v>
      </c>
      <c r="BL47" s="43" t="s">
        <v>85</v>
      </c>
      <c r="BM47" s="43" t="s">
        <v>85</v>
      </c>
      <c r="BN47" s="43" t="s">
        <v>139</v>
      </c>
      <c r="BO47" s="46">
        <v>13.79</v>
      </c>
      <c r="BP47" s="43" t="s">
        <v>7032</v>
      </c>
      <c r="BQ47" s="43">
        <v>13.79</v>
      </c>
      <c r="BR47" s="43" t="s">
        <v>7032</v>
      </c>
      <c r="BS47" s="47">
        <v>13.79</v>
      </c>
      <c r="BT47" s="43" t="s">
        <v>7032</v>
      </c>
      <c r="BU47" s="43" t="s">
        <v>7032</v>
      </c>
      <c r="BV47" s="43" t="str">
        <f>CambioPlan[[#This Row],[TELEFONO]]&amp;"UPSELLSI"</f>
        <v>983754983UPSELLSI</v>
      </c>
      <c r="BW47" s="43">
        <f>DAY(CambioPlan[[#This Row],[FECHA_CAMBIO_PLAN]])</f>
        <v>12</v>
      </c>
      <c r="BX47" s="43" t="str">
        <f>VLOOKUP(CambioPlan[[#This Row],[NOM_PLAZA]],[1]!Locales[#Data],3,0)</f>
        <v>TIENDA RECREO</v>
      </c>
      <c r="BY47" s="43" t="str">
        <f>VLOOKUP(CambioPlan[[#This Row],[DOMAIN_LOGIN_OW]],[1]!Personal[#Data],6,0)</f>
        <v>VARGAS REYES LUIS EDUARDO</v>
      </c>
      <c r="BZ47" s="43"/>
      <c r="CA47" s="43" t="str">
        <f>IFERROR(IF(FIND("ADULTO",CambioPlan[[#This Row],[DESCRIPCION_PLAN_ACTUAL]],1),"NO SE PAGA",),"SI SE PAGA")</f>
        <v>SI SE PAGA</v>
      </c>
      <c r="CB47" s="45">
        <f>CambioPlan[[#This Row],[TARIFA_BASICA_ACTUAL]]-CambioPlan[[#This Row],[TARIFA_BASICA_ANTERIOR]]</f>
        <v>13.790000000000001</v>
      </c>
      <c r="CC47" s="56">
        <f>CambioPlan[[#This Row],[DIF. TARIFAS]]*4</f>
        <v>55.160000000000004</v>
      </c>
      <c r="CD47" s="53" t="str">
        <f>IF(CambioPlan[[#This Row],[C. COMISIÓN TME]]&lt;0,"DOWNSELL",IF(CambioPlan[[#This Row],[C. COMISIÓN TME]]=0,"MISMA TARIFA",IF(CambioPlan[[#This Row],[C. COMISIÓN TME]]&gt;0,"UPSELL")))</f>
        <v>UPSELL</v>
      </c>
      <c r="CE47">
        <f>VLOOKUP(CambioPlan[[#This Row],[TARIFA_BASICA_ANTERIOR]],[3]Hoja1!$F:$G,2,0)</f>
        <v>1</v>
      </c>
      <c r="CF47">
        <f>VLOOKUP(CambioPlan[[#This Row],[TARIFA_BASICA_ACTUAL]],[3]Hoja1!$B:$C,2,0)</f>
        <v>4</v>
      </c>
      <c r="CG47">
        <f t="shared" si="0"/>
        <v>3</v>
      </c>
      <c r="CH47" t="e">
        <f>VLOOKUP(CambioPlan[[#This Row],[TELEFONO]],[1]Retenciones!$R$63:$R$287,1,0)</f>
        <v>#N/A</v>
      </c>
    </row>
    <row r="48" spans="1:86" x14ac:dyDescent="0.25">
      <c r="A48" s="43">
        <v>202212</v>
      </c>
      <c r="B48" s="44">
        <v>44914</v>
      </c>
      <c r="C48" s="43" t="s">
        <v>7224</v>
      </c>
      <c r="D48" s="43" t="s">
        <v>7225</v>
      </c>
      <c r="E48" s="43" t="s">
        <v>95</v>
      </c>
      <c r="F48" s="43" t="s">
        <v>77</v>
      </c>
      <c r="G48" s="43" t="s">
        <v>1532</v>
      </c>
      <c r="H48" s="43" t="s">
        <v>67</v>
      </c>
      <c r="I48" s="43" t="s">
        <v>7226</v>
      </c>
      <c r="J48" s="43" t="s">
        <v>7037</v>
      </c>
      <c r="K48" s="43" t="s">
        <v>118</v>
      </c>
      <c r="L48" s="43" t="s">
        <v>359</v>
      </c>
      <c r="M48" s="43" t="s">
        <v>360</v>
      </c>
      <c r="N48" s="43" t="s">
        <v>79</v>
      </c>
      <c r="O48" s="45">
        <v>14.28</v>
      </c>
      <c r="P48" s="43" t="s">
        <v>95</v>
      </c>
      <c r="Q48" s="43" t="s">
        <v>95</v>
      </c>
      <c r="R48" s="43" t="s">
        <v>95</v>
      </c>
      <c r="S48" s="45">
        <v>0</v>
      </c>
      <c r="T48" s="43" t="s">
        <v>95</v>
      </c>
      <c r="U48" s="44" t="s">
        <v>95</v>
      </c>
      <c r="V48" s="44" t="s">
        <v>95</v>
      </c>
      <c r="W48" s="43" t="s">
        <v>95</v>
      </c>
      <c r="X48" s="45">
        <v>14.28</v>
      </c>
      <c r="Y48" s="43" t="s">
        <v>81</v>
      </c>
      <c r="Z48" s="43" t="s">
        <v>7227</v>
      </c>
      <c r="AA48" s="43" t="s">
        <v>7228</v>
      </c>
      <c r="AB48" s="43" t="s">
        <v>79</v>
      </c>
      <c r="AC48" s="45">
        <v>9.99</v>
      </c>
      <c r="AD48" s="43" t="s">
        <v>95</v>
      </c>
      <c r="AE48" s="43" t="s">
        <v>95</v>
      </c>
      <c r="AF48" s="43" t="s">
        <v>95</v>
      </c>
      <c r="AG48" s="43" t="s">
        <v>95</v>
      </c>
      <c r="AH48" s="45">
        <v>0</v>
      </c>
      <c r="AI48" s="43" t="s">
        <v>95</v>
      </c>
      <c r="AJ48" s="43" t="s">
        <v>95</v>
      </c>
      <c r="AK48" s="43" t="s">
        <v>95</v>
      </c>
      <c r="AL48" s="43" t="s">
        <v>95</v>
      </c>
      <c r="AM48" s="45">
        <v>9.99</v>
      </c>
      <c r="AN48" s="43" t="s">
        <v>81</v>
      </c>
      <c r="AO48" s="44">
        <v>44904</v>
      </c>
      <c r="AP48" s="43" t="s">
        <v>918</v>
      </c>
      <c r="AQ48" s="43" t="s">
        <v>919</v>
      </c>
      <c r="AR48" s="43" t="s">
        <v>7062</v>
      </c>
      <c r="AS48" s="43" t="s">
        <v>95</v>
      </c>
      <c r="AT48" s="43" t="s">
        <v>85</v>
      </c>
      <c r="AU48" s="43" t="s">
        <v>7030</v>
      </c>
      <c r="AV48" s="43" t="s">
        <v>7031</v>
      </c>
      <c r="AW48" s="43" t="s">
        <v>7031</v>
      </c>
      <c r="AX48" s="43" t="s">
        <v>90</v>
      </c>
      <c r="AY48" s="43" t="s">
        <v>132</v>
      </c>
      <c r="AZ48" s="43" t="s">
        <v>7037</v>
      </c>
      <c r="BA48" s="43" t="s">
        <v>139</v>
      </c>
      <c r="BB48" s="45">
        <v>4.29</v>
      </c>
      <c r="BC48" s="45">
        <v>4.29</v>
      </c>
      <c r="BD48" s="43" t="s">
        <v>7032</v>
      </c>
      <c r="BE48" s="43" t="s">
        <v>81</v>
      </c>
      <c r="BF48" s="43" t="s">
        <v>81</v>
      </c>
      <c r="BG48" s="43" t="s">
        <v>86</v>
      </c>
      <c r="BH48" s="43" t="s">
        <v>177</v>
      </c>
      <c r="BI48" s="43" t="s">
        <v>7038</v>
      </c>
      <c r="BJ48" s="43" t="s">
        <v>7030</v>
      </c>
      <c r="BK48" s="43" t="s">
        <v>139</v>
      </c>
      <c r="BL48" s="43" t="s">
        <v>85</v>
      </c>
      <c r="BM48" s="43" t="s">
        <v>85</v>
      </c>
      <c r="BN48" s="43" t="s">
        <v>139</v>
      </c>
      <c r="BO48" s="46">
        <v>4.29</v>
      </c>
      <c r="BP48" s="43" t="s">
        <v>7032</v>
      </c>
      <c r="BQ48" s="43">
        <v>4.29</v>
      </c>
      <c r="BR48" s="43" t="s">
        <v>7032</v>
      </c>
      <c r="BS48" s="47">
        <v>4.29</v>
      </c>
      <c r="BT48" s="43" t="s">
        <v>7032</v>
      </c>
      <c r="BU48" s="43" t="s">
        <v>7032</v>
      </c>
      <c r="BV48" s="43" t="str">
        <f>CambioPlan[[#This Row],[TELEFONO]]&amp;"UPSELLSI"</f>
        <v>983845103UPSELLSI</v>
      </c>
      <c r="BW48" s="43">
        <f>DAY(CambioPlan[[#This Row],[FECHA_CAMBIO_PLAN]])</f>
        <v>9</v>
      </c>
      <c r="BX48" s="43" t="str">
        <f>VLOOKUP(CambioPlan[[#This Row],[NOM_PLAZA]],[1]!Locales[#Data],3,0)</f>
        <v>TIENDA RECREO</v>
      </c>
      <c r="BY48" s="43" t="str">
        <f>VLOOKUP(CambioPlan[[#This Row],[DOMAIN_LOGIN_OW]],[1]!Personal[#Data],6,0)</f>
        <v>ORELLANA CARRERA MICHAEL ALEXANDER</v>
      </c>
      <c r="BZ48" s="43"/>
      <c r="CA48" s="43" t="str">
        <f>IFERROR(IF(FIND("ADULTO",CambioPlan[[#This Row],[DESCRIPCION_PLAN_ACTUAL]],1),"NO SE PAGA",),"SI SE PAGA")</f>
        <v>SI SE PAGA</v>
      </c>
      <c r="CB48" s="45">
        <f>CambioPlan[[#This Row],[TARIFA_BASICA_ACTUAL]]-CambioPlan[[#This Row],[TARIFA_BASICA_ANTERIOR]]</f>
        <v>4.2899999999999991</v>
      </c>
      <c r="CC48" s="56">
        <f>CambioPlan[[#This Row],[DIF. TARIFAS]]*4</f>
        <v>17.159999999999997</v>
      </c>
      <c r="CD48" s="53" t="str">
        <f>IF(CambioPlan[[#This Row],[C. COMISIÓN TME]]&lt;0,"DOWNSELL",IF(CambioPlan[[#This Row],[C. COMISIÓN TME]]=0,"MISMA TARIFA",IF(CambioPlan[[#This Row],[C. COMISIÓN TME]]&gt;0,"UPSELL")))</f>
        <v>UPSELL</v>
      </c>
      <c r="CE48">
        <f>VLOOKUP(CambioPlan[[#This Row],[TARIFA_BASICA_ANTERIOR]],[3]Hoja1!$F:$G,2,0)</f>
        <v>0</v>
      </c>
      <c r="CF48">
        <f>VLOOKUP(CambioPlan[[#This Row],[TARIFA_BASICA_ACTUAL]],[3]Hoja1!$B:$C,2,0)</f>
        <v>1</v>
      </c>
      <c r="CG48">
        <f t="shared" si="0"/>
        <v>1</v>
      </c>
      <c r="CH48" t="e">
        <f>VLOOKUP(CambioPlan[[#This Row],[TELEFONO]],[1]Retenciones!$R$63:$R$287,1,0)</f>
        <v>#N/A</v>
      </c>
    </row>
    <row r="49" spans="1:86" x14ac:dyDescent="0.25">
      <c r="A49" s="43">
        <v>202212</v>
      </c>
      <c r="B49" s="44">
        <v>44914</v>
      </c>
      <c r="C49" s="43" t="s">
        <v>7229</v>
      </c>
      <c r="D49" s="43" t="s">
        <v>7230</v>
      </c>
      <c r="E49" s="43" t="s">
        <v>95</v>
      </c>
      <c r="F49" s="43" t="s">
        <v>231</v>
      </c>
      <c r="G49" s="43" t="s">
        <v>1378</v>
      </c>
      <c r="H49" s="43" t="s">
        <v>67</v>
      </c>
      <c r="I49" s="43" t="s">
        <v>6196</v>
      </c>
      <c r="J49" s="43" t="s">
        <v>7037</v>
      </c>
      <c r="K49" s="43" t="s">
        <v>118</v>
      </c>
      <c r="L49" s="43" t="s">
        <v>112</v>
      </c>
      <c r="M49" s="43" t="s">
        <v>781</v>
      </c>
      <c r="N49" s="43" t="s">
        <v>79</v>
      </c>
      <c r="O49" s="45">
        <v>17.850000000000001</v>
      </c>
      <c r="P49" s="43" t="s">
        <v>95</v>
      </c>
      <c r="Q49" s="43" t="s">
        <v>95</v>
      </c>
      <c r="R49" s="43" t="s">
        <v>95</v>
      </c>
      <c r="S49" s="45">
        <v>0</v>
      </c>
      <c r="T49" s="43" t="s">
        <v>95</v>
      </c>
      <c r="U49" s="44" t="s">
        <v>95</v>
      </c>
      <c r="V49" s="44" t="s">
        <v>95</v>
      </c>
      <c r="W49" s="43" t="s">
        <v>95</v>
      </c>
      <c r="X49" s="45">
        <v>17.850000000000001</v>
      </c>
      <c r="Y49" s="43" t="s">
        <v>81</v>
      </c>
      <c r="Z49" s="43" t="s">
        <v>7090</v>
      </c>
      <c r="AA49" s="43" t="s">
        <v>7091</v>
      </c>
      <c r="AB49" s="43" t="s">
        <v>79</v>
      </c>
      <c r="AC49" s="45">
        <v>17.03</v>
      </c>
      <c r="AD49" s="43" t="s">
        <v>95</v>
      </c>
      <c r="AE49" s="43" t="s">
        <v>95</v>
      </c>
      <c r="AF49" s="43" t="s">
        <v>95</v>
      </c>
      <c r="AG49" s="43" t="s">
        <v>95</v>
      </c>
      <c r="AH49" s="45">
        <v>0</v>
      </c>
      <c r="AI49" s="43" t="s">
        <v>95</v>
      </c>
      <c r="AJ49" s="43" t="s">
        <v>95</v>
      </c>
      <c r="AK49" s="43" t="s">
        <v>95</v>
      </c>
      <c r="AL49" s="43" t="s">
        <v>95</v>
      </c>
      <c r="AM49" s="45">
        <v>17.03</v>
      </c>
      <c r="AN49" s="43" t="s">
        <v>81</v>
      </c>
      <c r="AO49" s="44">
        <v>44904</v>
      </c>
      <c r="AP49" s="43" t="s">
        <v>665</v>
      </c>
      <c r="AQ49" s="43" t="s">
        <v>666</v>
      </c>
      <c r="AR49" s="43" t="s">
        <v>665</v>
      </c>
      <c r="AS49" s="43" t="s">
        <v>666</v>
      </c>
      <c r="AT49" s="43" t="s">
        <v>85</v>
      </c>
      <c r="AU49" s="43" t="s">
        <v>7030</v>
      </c>
      <c r="AV49" s="43" t="s">
        <v>7031</v>
      </c>
      <c r="AW49" s="43" t="s">
        <v>7031</v>
      </c>
      <c r="AX49" s="43" t="s">
        <v>90</v>
      </c>
      <c r="AY49" s="43" t="s">
        <v>132</v>
      </c>
      <c r="AZ49" s="43" t="s">
        <v>7037</v>
      </c>
      <c r="BA49" s="43" t="s">
        <v>139</v>
      </c>
      <c r="BB49" s="45">
        <v>0.82</v>
      </c>
      <c r="BC49" s="45">
        <v>0.82</v>
      </c>
      <c r="BD49" s="43" t="s">
        <v>7032</v>
      </c>
      <c r="BE49" s="43" t="s">
        <v>81</v>
      </c>
      <c r="BF49" s="43" t="s">
        <v>81</v>
      </c>
      <c r="BG49" s="43" t="s">
        <v>86</v>
      </c>
      <c r="BH49" s="43" t="s">
        <v>138</v>
      </c>
      <c r="BI49" s="43" t="s">
        <v>7076</v>
      </c>
      <c r="BJ49" s="43" t="s">
        <v>7030</v>
      </c>
      <c r="BK49" s="43" t="s">
        <v>139</v>
      </c>
      <c r="BL49" s="43" t="s">
        <v>85</v>
      </c>
      <c r="BM49" s="43" t="s">
        <v>85</v>
      </c>
      <c r="BN49" s="43" t="s">
        <v>139</v>
      </c>
      <c r="BO49" s="46">
        <v>0.82</v>
      </c>
      <c r="BP49" s="43" t="s">
        <v>7032</v>
      </c>
      <c r="BQ49" s="43">
        <v>0.82</v>
      </c>
      <c r="BR49" s="43" t="s">
        <v>7032</v>
      </c>
      <c r="BS49" s="47">
        <v>0.82</v>
      </c>
      <c r="BT49" s="43" t="s">
        <v>7032</v>
      </c>
      <c r="BU49" s="43" t="s">
        <v>7092</v>
      </c>
      <c r="BV49" s="43" t="str">
        <f>CambioPlan[[#This Row],[TELEFONO]]&amp;"UPSELLSI"</f>
        <v>983850299UPSELLSI</v>
      </c>
      <c r="BW49" s="43">
        <f>DAY(CambioPlan[[#This Row],[FECHA_CAMBIO_PLAN]])</f>
        <v>9</v>
      </c>
      <c r="BX49" s="43" t="str">
        <f>VLOOKUP(CambioPlan[[#This Row],[NOM_PLAZA]],[1]!Locales[#Data],3,0)</f>
        <v>TIENDA AMERICA</v>
      </c>
      <c r="BY49" s="43" t="str">
        <f>VLOOKUP(CambioPlan[[#This Row],[DOMAIN_LOGIN_OW]],[1]!Personal[#Data],6,0)</f>
        <v>ROSERO CAICEDO JAIRO STEFANO</v>
      </c>
      <c r="BZ49" s="43"/>
      <c r="CA49" s="43" t="str">
        <f>IFERROR(IF(FIND("ADULTO",CambioPlan[[#This Row],[DESCRIPCION_PLAN_ACTUAL]],1),"NO SE PAGA",),"SI SE PAGA")</f>
        <v>SI SE PAGA</v>
      </c>
      <c r="CB49" s="45">
        <f>CambioPlan[[#This Row],[TARIFA_BASICA_ACTUAL]]-CambioPlan[[#This Row],[TARIFA_BASICA_ANTERIOR]]</f>
        <v>0.82000000000000028</v>
      </c>
      <c r="CC49" s="56">
        <f>CambioPlan[[#This Row],[DIF. TARIFAS]]*4</f>
        <v>3.2800000000000011</v>
      </c>
      <c r="CD49" s="53" t="str">
        <f>IF(CambioPlan[[#This Row],[C. COMISIÓN TME]]&lt;0,"DOWNSELL",IF(CambioPlan[[#This Row],[C. COMISIÓN TME]]=0,"MISMA TARIFA",IF(CambioPlan[[#This Row],[C. COMISIÓN TME]]&gt;0,"UPSELL")))</f>
        <v>UPSELL</v>
      </c>
      <c r="CE49">
        <f>VLOOKUP(CambioPlan[[#This Row],[TARIFA_BASICA_ANTERIOR]],[3]Hoja1!$F:$G,2,0)</f>
        <v>2</v>
      </c>
      <c r="CF49">
        <f>VLOOKUP(CambioPlan[[#This Row],[TARIFA_BASICA_ACTUAL]],[3]Hoja1!$B:$C,2,0)</f>
        <v>2</v>
      </c>
      <c r="CG49">
        <f t="shared" si="0"/>
        <v>0</v>
      </c>
      <c r="CH49" t="e">
        <f>VLOOKUP(CambioPlan[[#This Row],[TELEFONO]],[1]Retenciones!$R$63:$R$287,1,0)</f>
        <v>#N/A</v>
      </c>
    </row>
    <row r="50" spans="1:86" x14ac:dyDescent="0.25">
      <c r="A50" s="43">
        <v>202212</v>
      </c>
      <c r="B50" s="44">
        <v>44914</v>
      </c>
      <c r="C50" s="43" t="s">
        <v>7231</v>
      </c>
      <c r="D50" s="43" t="s">
        <v>7232</v>
      </c>
      <c r="E50" s="43" t="s">
        <v>95</v>
      </c>
      <c r="F50" s="43" t="s">
        <v>77</v>
      </c>
      <c r="G50" s="43" t="s">
        <v>2241</v>
      </c>
      <c r="H50" s="43" t="s">
        <v>67</v>
      </c>
      <c r="I50" s="43" t="s">
        <v>7233</v>
      </c>
      <c r="J50" s="43" t="s">
        <v>7037</v>
      </c>
      <c r="K50" s="43" t="s">
        <v>118</v>
      </c>
      <c r="L50" s="43" t="s">
        <v>227</v>
      </c>
      <c r="M50" s="43" t="s">
        <v>426</v>
      </c>
      <c r="N50" s="43" t="s">
        <v>79</v>
      </c>
      <c r="O50" s="45">
        <v>21.42</v>
      </c>
      <c r="P50" s="43" t="s">
        <v>95</v>
      </c>
      <c r="Q50" s="43" t="s">
        <v>95</v>
      </c>
      <c r="R50" s="43" t="s">
        <v>95</v>
      </c>
      <c r="S50" s="45">
        <v>0</v>
      </c>
      <c r="T50" s="43" t="s">
        <v>95</v>
      </c>
      <c r="U50" s="44" t="s">
        <v>95</v>
      </c>
      <c r="V50" s="44" t="s">
        <v>95</v>
      </c>
      <c r="W50" s="43" t="s">
        <v>95</v>
      </c>
      <c r="X50" s="45">
        <v>21.42</v>
      </c>
      <c r="Y50" s="43" t="s">
        <v>81</v>
      </c>
      <c r="Z50" s="43" t="s">
        <v>112</v>
      </c>
      <c r="AA50" s="43" t="s">
        <v>781</v>
      </c>
      <c r="AB50" s="43" t="s">
        <v>79</v>
      </c>
      <c r="AC50" s="45">
        <v>17.850000000000001</v>
      </c>
      <c r="AD50" s="43" t="s">
        <v>95</v>
      </c>
      <c r="AE50" s="43" t="s">
        <v>95</v>
      </c>
      <c r="AF50" s="43" t="s">
        <v>95</v>
      </c>
      <c r="AG50" s="43" t="s">
        <v>95</v>
      </c>
      <c r="AH50" s="45">
        <v>0</v>
      </c>
      <c r="AI50" s="43" t="s">
        <v>95</v>
      </c>
      <c r="AJ50" s="43" t="s">
        <v>95</v>
      </c>
      <c r="AK50" s="43" t="s">
        <v>95</v>
      </c>
      <c r="AL50" s="43" t="s">
        <v>95</v>
      </c>
      <c r="AM50" s="45">
        <v>17.850000000000001</v>
      </c>
      <c r="AN50" s="43" t="s">
        <v>81</v>
      </c>
      <c r="AO50" s="44">
        <v>44902</v>
      </c>
      <c r="AP50" s="43" t="s">
        <v>457</v>
      </c>
      <c r="AQ50" s="43" t="s">
        <v>458</v>
      </c>
      <c r="AR50" s="43" t="s">
        <v>457</v>
      </c>
      <c r="AS50" s="43" t="s">
        <v>458</v>
      </c>
      <c r="AT50" s="43" t="s">
        <v>85</v>
      </c>
      <c r="AU50" s="43" t="s">
        <v>7030</v>
      </c>
      <c r="AV50" s="43" t="s">
        <v>7031</v>
      </c>
      <c r="AW50" s="43" t="s">
        <v>7031</v>
      </c>
      <c r="AX50" s="43" t="s">
        <v>90</v>
      </c>
      <c r="AY50" s="43" t="s">
        <v>132</v>
      </c>
      <c r="AZ50" s="43" t="s">
        <v>7037</v>
      </c>
      <c r="BA50" s="43" t="s">
        <v>139</v>
      </c>
      <c r="BB50" s="45">
        <v>3.57</v>
      </c>
      <c r="BC50" s="45">
        <v>3.57</v>
      </c>
      <c r="BD50" s="43" t="s">
        <v>7032</v>
      </c>
      <c r="BE50" s="43" t="s">
        <v>81</v>
      </c>
      <c r="BF50" s="43" t="s">
        <v>81</v>
      </c>
      <c r="BG50" s="43" t="s">
        <v>86</v>
      </c>
      <c r="BH50" s="43" t="s">
        <v>177</v>
      </c>
      <c r="BI50" s="43" t="s">
        <v>7038</v>
      </c>
      <c r="BJ50" s="43" t="s">
        <v>7030</v>
      </c>
      <c r="BK50" s="43" t="s">
        <v>139</v>
      </c>
      <c r="BL50" s="43" t="s">
        <v>85</v>
      </c>
      <c r="BM50" s="43" t="s">
        <v>85</v>
      </c>
      <c r="BN50" s="43" t="s">
        <v>139</v>
      </c>
      <c r="BO50" s="46">
        <v>3.57</v>
      </c>
      <c r="BP50" s="43" t="s">
        <v>7032</v>
      </c>
      <c r="BQ50" s="43">
        <v>3.57</v>
      </c>
      <c r="BR50" s="43" t="s">
        <v>7032</v>
      </c>
      <c r="BS50" s="47">
        <v>3.57</v>
      </c>
      <c r="BT50" s="43" t="s">
        <v>7032</v>
      </c>
      <c r="BU50" s="43" t="s">
        <v>7032</v>
      </c>
      <c r="BV50" s="43" t="str">
        <f>CambioPlan[[#This Row],[TELEFONO]]&amp;"UPSELLSI"</f>
        <v>983858583UPSELLSI</v>
      </c>
      <c r="BW50" s="43">
        <f>DAY(CambioPlan[[#This Row],[FECHA_CAMBIO_PLAN]])</f>
        <v>7</v>
      </c>
      <c r="BX50" s="43" t="str">
        <f>VLOOKUP(CambioPlan[[#This Row],[NOM_PLAZA]],[1]!Locales[#Data],3,0)</f>
        <v>TIENDA RECREO</v>
      </c>
      <c r="BY50" s="43" t="str">
        <f>VLOOKUP(CambioPlan[[#This Row],[DOMAIN_LOGIN_OW]],[1]!Personal[#Data],6,0)</f>
        <v>LOZADA REYES BERTHA MARIBEL</v>
      </c>
      <c r="BZ50" s="43"/>
      <c r="CA50" s="43" t="str">
        <f>IFERROR(IF(FIND("ADULTO",CambioPlan[[#This Row],[DESCRIPCION_PLAN_ACTUAL]],1),"NO SE PAGA",),"SI SE PAGA")</f>
        <v>SI SE PAGA</v>
      </c>
      <c r="CB50" s="45">
        <f>CambioPlan[[#This Row],[TARIFA_BASICA_ACTUAL]]-CambioPlan[[#This Row],[TARIFA_BASICA_ANTERIOR]]</f>
        <v>3.5700000000000003</v>
      </c>
      <c r="CC50" s="56">
        <f>CambioPlan[[#This Row],[DIF. TARIFAS]]*4</f>
        <v>14.280000000000001</v>
      </c>
      <c r="CD50" s="53" t="str">
        <f>IF(CambioPlan[[#This Row],[C. COMISIÓN TME]]&lt;0,"DOWNSELL",IF(CambioPlan[[#This Row],[C. COMISIÓN TME]]=0,"MISMA TARIFA",IF(CambioPlan[[#This Row],[C. COMISIÓN TME]]&gt;0,"UPSELL")))</f>
        <v>UPSELL</v>
      </c>
      <c r="CE50">
        <f>VLOOKUP(CambioPlan[[#This Row],[TARIFA_BASICA_ANTERIOR]],[3]Hoja1!$F:$G,2,0)</f>
        <v>2</v>
      </c>
      <c r="CF50">
        <f>VLOOKUP(CambioPlan[[#This Row],[TARIFA_BASICA_ACTUAL]],[3]Hoja1!$B:$C,2,0)</f>
        <v>3</v>
      </c>
      <c r="CG50">
        <f t="shared" si="0"/>
        <v>1</v>
      </c>
      <c r="CH50" t="e">
        <f>VLOOKUP(CambioPlan[[#This Row],[TELEFONO]],[1]Retenciones!$R$63:$R$287,1,0)</f>
        <v>#N/A</v>
      </c>
    </row>
    <row r="51" spans="1:86" x14ac:dyDescent="0.25">
      <c r="A51" s="43">
        <v>202212</v>
      </c>
      <c r="B51" s="44">
        <v>44914</v>
      </c>
      <c r="C51" s="43" t="s">
        <v>7234</v>
      </c>
      <c r="D51" s="43" t="s">
        <v>7235</v>
      </c>
      <c r="E51" s="43" t="s">
        <v>95</v>
      </c>
      <c r="F51" s="43" t="s">
        <v>77</v>
      </c>
      <c r="G51" s="43" t="s">
        <v>2241</v>
      </c>
      <c r="H51" s="43" t="s">
        <v>67</v>
      </c>
      <c r="I51" s="43" t="s">
        <v>7236</v>
      </c>
      <c r="J51" s="43" t="s">
        <v>7037</v>
      </c>
      <c r="K51" s="43" t="s">
        <v>84</v>
      </c>
      <c r="L51" s="43" t="s">
        <v>3232</v>
      </c>
      <c r="M51" s="43" t="s">
        <v>7237</v>
      </c>
      <c r="N51" s="43" t="s">
        <v>79</v>
      </c>
      <c r="O51" s="45">
        <v>51.78</v>
      </c>
      <c r="P51" s="43" t="s">
        <v>95</v>
      </c>
      <c r="Q51" s="43" t="s">
        <v>95</v>
      </c>
      <c r="R51" s="43" t="s">
        <v>95</v>
      </c>
      <c r="S51" s="45">
        <v>0</v>
      </c>
      <c r="T51" s="43" t="s">
        <v>95</v>
      </c>
      <c r="U51" s="44" t="s">
        <v>95</v>
      </c>
      <c r="V51" s="44" t="s">
        <v>95</v>
      </c>
      <c r="W51" s="43" t="s">
        <v>95</v>
      </c>
      <c r="X51" s="45">
        <v>51.78</v>
      </c>
      <c r="Y51" s="43" t="s">
        <v>81</v>
      </c>
      <c r="Z51" s="43" t="s">
        <v>130</v>
      </c>
      <c r="AA51" s="43" t="s">
        <v>433</v>
      </c>
      <c r="AB51" s="43" t="s">
        <v>79</v>
      </c>
      <c r="AC51" s="45">
        <v>15</v>
      </c>
      <c r="AD51" s="43" t="s">
        <v>95</v>
      </c>
      <c r="AE51" s="43" t="s">
        <v>95</v>
      </c>
      <c r="AF51" s="43" t="s">
        <v>95</v>
      </c>
      <c r="AG51" s="43" t="s">
        <v>95</v>
      </c>
      <c r="AH51" s="45">
        <v>0</v>
      </c>
      <c r="AI51" s="43" t="s">
        <v>95</v>
      </c>
      <c r="AJ51" s="43" t="s">
        <v>95</v>
      </c>
      <c r="AK51" s="43" t="s">
        <v>95</v>
      </c>
      <c r="AL51" s="43" t="s">
        <v>95</v>
      </c>
      <c r="AM51" s="45">
        <v>15</v>
      </c>
      <c r="AN51" s="43" t="s">
        <v>81</v>
      </c>
      <c r="AO51" s="44">
        <v>44911</v>
      </c>
      <c r="AP51" s="43" t="s">
        <v>280</v>
      </c>
      <c r="AQ51" s="43" t="s">
        <v>281</v>
      </c>
      <c r="AR51" s="43" t="s">
        <v>280</v>
      </c>
      <c r="AS51" s="43" t="s">
        <v>281</v>
      </c>
      <c r="AT51" s="43" t="s">
        <v>85</v>
      </c>
      <c r="AU51" s="43" t="s">
        <v>7030</v>
      </c>
      <c r="AV51" s="43" t="s">
        <v>7031</v>
      </c>
      <c r="AW51" s="43" t="s">
        <v>7031</v>
      </c>
      <c r="AX51" s="43" t="s">
        <v>90</v>
      </c>
      <c r="AY51" s="43" t="s">
        <v>132</v>
      </c>
      <c r="AZ51" s="43" t="s">
        <v>7037</v>
      </c>
      <c r="BA51" s="43" t="s">
        <v>139</v>
      </c>
      <c r="BB51" s="45">
        <v>36.78</v>
      </c>
      <c r="BC51" s="45">
        <v>36.78</v>
      </c>
      <c r="BD51" s="43" t="s">
        <v>7032</v>
      </c>
      <c r="BE51" s="43" t="s">
        <v>81</v>
      </c>
      <c r="BF51" s="43" t="s">
        <v>81</v>
      </c>
      <c r="BG51" s="43" t="s">
        <v>86</v>
      </c>
      <c r="BH51" s="43" t="s">
        <v>235</v>
      </c>
      <c r="BI51" s="43" t="s">
        <v>7076</v>
      </c>
      <c r="BJ51" s="43" t="s">
        <v>7030</v>
      </c>
      <c r="BK51" s="43" t="s">
        <v>139</v>
      </c>
      <c r="BL51" s="43" t="s">
        <v>85</v>
      </c>
      <c r="BM51" s="43" t="s">
        <v>85</v>
      </c>
      <c r="BN51" s="43" t="s">
        <v>139</v>
      </c>
      <c r="BO51" s="46">
        <v>36.78</v>
      </c>
      <c r="BP51" s="43" t="s">
        <v>7032</v>
      </c>
      <c r="BQ51" s="43">
        <v>36.78</v>
      </c>
      <c r="BR51" s="43" t="s">
        <v>7032</v>
      </c>
      <c r="BS51" s="47">
        <v>36.78</v>
      </c>
      <c r="BT51" s="43" t="s">
        <v>7032</v>
      </c>
      <c r="BU51" s="43" t="s">
        <v>7032</v>
      </c>
      <c r="BV51" s="43" t="str">
        <f>CambioPlan[[#This Row],[TELEFONO]]&amp;"UPSELLSI"</f>
        <v>983875084UPSELLSI</v>
      </c>
      <c r="BW51" s="43">
        <f>DAY(CambioPlan[[#This Row],[FECHA_CAMBIO_PLAN]])</f>
        <v>16</v>
      </c>
      <c r="BX51" s="43" t="str">
        <f>VLOOKUP(CambioPlan[[#This Row],[NOM_PLAZA]],[1]!Locales[#Data],3,0)</f>
        <v>TIENDA CONDADO</v>
      </c>
      <c r="BY51" s="43" t="str">
        <f>VLOOKUP(CambioPlan[[#This Row],[DOMAIN_LOGIN_OW]],[1]!Personal[#Data],6,0)</f>
        <v>GUACHAMIN CAZA HUGO ADRIAN</v>
      </c>
      <c r="BZ51" s="43"/>
      <c r="CA51" s="43" t="str">
        <f>IFERROR(IF(FIND("ADULTO",CambioPlan[[#This Row],[DESCRIPCION_PLAN_ACTUAL]],1),"NO SE PAGA",),"SI SE PAGA")</f>
        <v>SI SE PAGA</v>
      </c>
      <c r="CB51" s="45">
        <f>CambioPlan[[#This Row],[TARIFA_BASICA_ACTUAL]]-CambioPlan[[#This Row],[TARIFA_BASICA_ANTERIOR]]</f>
        <v>36.78</v>
      </c>
      <c r="CC51" s="56">
        <f>CambioPlan[[#This Row],[DIF. TARIFAS]]*4</f>
        <v>147.12</v>
      </c>
      <c r="CD51" s="53" t="str">
        <f>IF(CambioPlan[[#This Row],[C. COMISIÓN TME]]&lt;0,"DOWNSELL",IF(CambioPlan[[#This Row],[C. COMISIÓN TME]]=0,"MISMA TARIFA",IF(CambioPlan[[#This Row],[C. COMISIÓN TME]]&gt;0,"UPSELL")))</f>
        <v>UPSELL</v>
      </c>
      <c r="CE51">
        <f>VLOOKUP(CambioPlan[[#This Row],[TARIFA_BASICA_ANTERIOR]],[3]Hoja1!$F:$G,2,0)</f>
        <v>2</v>
      </c>
      <c r="CF51">
        <f>VLOOKUP(CambioPlan[[#This Row],[TARIFA_BASICA_ACTUAL]],[3]Hoja1!$B:$C,2,0)</f>
        <v>6</v>
      </c>
      <c r="CG51">
        <f t="shared" si="0"/>
        <v>4</v>
      </c>
      <c r="CH51" t="e">
        <f>VLOOKUP(CambioPlan[[#This Row],[TELEFONO]],[1]Retenciones!$R$63:$R$287,1,0)</f>
        <v>#N/A</v>
      </c>
    </row>
    <row r="52" spans="1:86" x14ac:dyDescent="0.25">
      <c r="A52" s="43">
        <v>202212</v>
      </c>
      <c r="B52" s="44">
        <v>44914</v>
      </c>
      <c r="C52" s="43" t="s">
        <v>7238</v>
      </c>
      <c r="D52" s="43" t="s">
        <v>7239</v>
      </c>
      <c r="E52" s="43" t="s">
        <v>95</v>
      </c>
      <c r="F52" s="43" t="s">
        <v>77</v>
      </c>
      <c r="G52" s="43" t="s">
        <v>2241</v>
      </c>
      <c r="H52" s="43" t="s">
        <v>67</v>
      </c>
      <c r="I52" s="43" t="s">
        <v>7240</v>
      </c>
      <c r="J52" s="43" t="s">
        <v>7029</v>
      </c>
      <c r="K52" s="43" t="s">
        <v>118</v>
      </c>
      <c r="L52" s="43" t="s">
        <v>112</v>
      </c>
      <c r="M52" s="43" t="s">
        <v>781</v>
      </c>
      <c r="N52" s="43" t="s">
        <v>79</v>
      </c>
      <c r="O52" s="45">
        <v>17.850000000000001</v>
      </c>
      <c r="P52" s="43" t="s">
        <v>95</v>
      </c>
      <c r="Q52" s="43" t="s">
        <v>95</v>
      </c>
      <c r="R52" s="43" t="s">
        <v>95</v>
      </c>
      <c r="S52" s="45">
        <v>0</v>
      </c>
      <c r="T52" s="43" t="s">
        <v>95</v>
      </c>
      <c r="U52" s="44" t="s">
        <v>95</v>
      </c>
      <c r="V52" s="44" t="s">
        <v>95</v>
      </c>
      <c r="W52" s="43" t="s">
        <v>95</v>
      </c>
      <c r="X52" s="45">
        <v>17.850000000000001</v>
      </c>
      <c r="Y52" s="43" t="s">
        <v>81</v>
      </c>
      <c r="Z52" s="43" t="s">
        <v>7184</v>
      </c>
      <c r="AA52" s="43" t="s">
        <v>7185</v>
      </c>
      <c r="AB52" s="43" t="s">
        <v>79</v>
      </c>
      <c r="AC52" s="45">
        <v>10.54</v>
      </c>
      <c r="AD52" s="43" t="s">
        <v>95</v>
      </c>
      <c r="AE52" s="43" t="s">
        <v>95</v>
      </c>
      <c r="AF52" s="43" t="s">
        <v>95</v>
      </c>
      <c r="AG52" s="43" t="s">
        <v>95</v>
      </c>
      <c r="AH52" s="45">
        <v>0</v>
      </c>
      <c r="AI52" s="43" t="s">
        <v>95</v>
      </c>
      <c r="AJ52" s="43" t="s">
        <v>95</v>
      </c>
      <c r="AK52" s="43" t="s">
        <v>95</v>
      </c>
      <c r="AL52" s="43" t="s">
        <v>95</v>
      </c>
      <c r="AM52" s="45">
        <v>10.54</v>
      </c>
      <c r="AN52" s="43" t="s">
        <v>81</v>
      </c>
      <c r="AO52" s="44">
        <v>44911</v>
      </c>
      <c r="AP52" s="43" t="s">
        <v>1415</v>
      </c>
      <c r="AQ52" s="43" t="s">
        <v>1416</v>
      </c>
      <c r="AR52" s="43" t="s">
        <v>1415</v>
      </c>
      <c r="AS52" s="43" t="s">
        <v>1416</v>
      </c>
      <c r="AT52" s="43" t="s">
        <v>85</v>
      </c>
      <c r="AU52" s="43" t="s">
        <v>7030</v>
      </c>
      <c r="AV52" s="43" t="s">
        <v>7031</v>
      </c>
      <c r="AW52" s="43" t="s">
        <v>7031</v>
      </c>
      <c r="AX52" s="43" t="s">
        <v>90</v>
      </c>
      <c r="AY52" s="43" t="s">
        <v>73</v>
      </c>
      <c r="AZ52" s="43" t="s">
        <v>7029</v>
      </c>
      <c r="BA52" s="43" t="s">
        <v>92</v>
      </c>
      <c r="BB52" s="45">
        <v>7.31</v>
      </c>
      <c r="BC52" s="45">
        <v>7.31</v>
      </c>
      <c r="BD52" s="43" t="s">
        <v>7032</v>
      </c>
      <c r="BE52" s="43" t="s">
        <v>81</v>
      </c>
      <c r="BF52" s="43" t="s">
        <v>81</v>
      </c>
      <c r="BG52" s="43" t="s">
        <v>86</v>
      </c>
      <c r="BH52" s="43" t="s">
        <v>91</v>
      </c>
      <c r="BI52" s="43" t="s">
        <v>7086</v>
      </c>
      <c r="BJ52" s="43" t="s">
        <v>7030</v>
      </c>
      <c r="BK52" s="43" t="s">
        <v>92</v>
      </c>
      <c r="BL52" s="43" t="s">
        <v>85</v>
      </c>
      <c r="BM52" s="43" t="s">
        <v>85</v>
      </c>
      <c r="BN52" s="43" t="s">
        <v>92</v>
      </c>
      <c r="BO52" s="46">
        <v>7.31</v>
      </c>
      <c r="BP52" s="43" t="s">
        <v>7032</v>
      </c>
      <c r="BQ52" s="43">
        <v>7.31</v>
      </c>
      <c r="BR52" s="43" t="s">
        <v>7032</v>
      </c>
      <c r="BS52" s="47">
        <v>7.31</v>
      </c>
      <c r="BT52" s="43" t="s">
        <v>7032</v>
      </c>
      <c r="BU52" s="43" t="s">
        <v>7032</v>
      </c>
      <c r="BV52" s="43" t="str">
        <f>CambioPlan[[#This Row],[TELEFONO]]&amp;"UPSELLSI"</f>
        <v>983882764UPSELLSI</v>
      </c>
      <c r="BW52" s="43">
        <f>DAY(CambioPlan[[#This Row],[FECHA_CAMBIO_PLAN]])</f>
        <v>16</v>
      </c>
      <c r="BX52" s="43" t="str">
        <f>VLOOKUP(CambioPlan[[#This Row],[NOM_PLAZA]],[1]!Locales[#Data],3,0)</f>
        <v>TIENDA CUENCA CENTRO</v>
      </c>
      <c r="BY52" s="43" t="str">
        <f>VLOOKUP(CambioPlan[[#This Row],[DOMAIN_LOGIN_OW]],[1]!Personal[#Data],6,0)</f>
        <v>PATIÑO URGILES DIANA CATALINA</v>
      </c>
      <c r="BZ52" s="43"/>
      <c r="CA52" s="43" t="str">
        <f>IFERROR(IF(FIND("ADULTO",CambioPlan[[#This Row],[DESCRIPCION_PLAN_ACTUAL]],1),"NO SE PAGA",),"SI SE PAGA")</f>
        <v>SI SE PAGA</v>
      </c>
      <c r="CB52" s="45">
        <f>CambioPlan[[#This Row],[TARIFA_BASICA_ACTUAL]]-CambioPlan[[#This Row],[TARIFA_BASICA_ANTERIOR]]</f>
        <v>7.3100000000000023</v>
      </c>
      <c r="CC52" s="56">
        <f>CambioPlan[[#This Row],[DIF. TARIFAS]]*4</f>
        <v>29.240000000000009</v>
      </c>
      <c r="CD52" s="53" t="str">
        <f>IF(CambioPlan[[#This Row],[C. COMISIÓN TME]]&lt;0,"DOWNSELL",IF(CambioPlan[[#This Row],[C. COMISIÓN TME]]=0,"MISMA TARIFA",IF(CambioPlan[[#This Row],[C. COMISIÓN TME]]&gt;0,"UPSELL")))</f>
        <v>UPSELL</v>
      </c>
      <c r="CE52">
        <f>VLOOKUP(CambioPlan[[#This Row],[TARIFA_BASICA_ANTERIOR]],[3]Hoja1!$F:$G,2,0)</f>
        <v>0</v>
      </c>
      <c r="CF52">
        <f>VLOOKUP(CambioPlan[[#This Row],[TARIFA_BASICA_ACTUAL]],[3]Hoja1!$B:$C,2,0)</f>
        <v>2</v>
      </c>
      <c r="CG52">
        <f t="shared" si="0"/>
        <v>2</v>
      </c>
      <c r="CH52" t="e">
        <f>VLOOKUP(CambioPlan[[#This Row],[TELEFONO]],[1]Retenciones!$R$63:$R$287,1,0)</f>
        <v>#N/A</v>
      </c>
    </row>
    <row r="53" spans="1:86" x14ac:dyDescent="0.25">
      <c r="A53" s="43">
        <v>202212</v>
      </c>
      <c r="B53" s="44">
        <v>44914</v>
      </c>
      <c r="C53" s="43" t="s">
        <v>7241</v>
      </c>
      <c r="D53" s="43" t="s">
        <v>7242</v>
      </c>
      <c r="E53" s="43" t="s">
        <v>95</v>
      </c>
      <c r="F53" s="43" t="s">
        <v>77</v>
      </c>
      <c r="G53" s="43" t="s">
        <v>2241</v>
      </c>
      <c r="H53" s="43" t="s">
        <v>67</v>
      </c>
      <c r="I53" s="43" t="s">
        <v>7243</v>
      </c>
      <c r="J53" s="43" t="s">
        <v>7047</v>
      </c>
      <c r="K53" s="43" t="s">
        <v>118</v>
      </c>
      <c r="L53" s="43" t="s">
        <v>112</v>
      </c>
      <c r="M53" s="43" t="s">
        <v>781</v>
      </c>
      <c r="N53" s="43" t="s">
        <v>79</v>
      </c>
      <c r="O53" s="45">
        <v>17.850000000000001</v>
      </c>
      <c r="P53" s="43" t="s">
        <v>95</v>
      </c>
      <c r="Q53" s="43" t="s">
        <v>95</v>
      </c>
      <c r="R53" s="43" t="s">
        <v>95</v>
      </c>
      <c r="S53" s="45">
        <v>0</v>
      </c>
      <c r="T53" s="43" t="s">
        <v>95</v>
      </c>
      <c r="U53" s="44" t="s">
        <v>95</v>
      </c>
      <c r="V53" s="44" t="s">
        <v>95</v>
      </c>
      <c r="W53" s="43" t="s">
        <v>95</v>
      </c>
      <c r="X53" s="45">
        <v>17.850000000000001</v>
      </c>
      <c r="Y53" s="43" t="s">
        <v>81</v>
      </c>
      <c r="Z53" s="43" t="s">
        <v>7155</v>
      </c>
      <c r="AA53" s="43" t="s">
        <v>7156</v>
      </c>
      <c r="AB53" s="43" t="s">
        <v>79</v>
      </c>
      <c r="AC53" s="45">
        <v>12.99</v>
      </c>
      <c r="AD53" s="43" t="s">
        <v>95</v>
      </c>
      <c r="AE53" s="43" t="s">
        <v>95</v>
      </c>
      <c r="AF53" s="43" t="s">
        <v>95</v>
      </c>
      <c r="AG53" s="43" t="s">
        <v>95</v>
      </c>
      <c r="AH53" s="45">
        <v>0</v>
      </c>
      <c r="AI53" s="43" t="s">
        <v>95</v>
      </c>
      <c r="AJ53" s="43" t="s">
        <v>95</v>
      </c>
      <c r="AK53" s="43" t="s">
        <v>95</v>
      </c>
      <c r="AL53" s="43" t="s">
        <v>95</v>
      </c>
      <c r="AM53" s="45">
        <v>12.99</v>
      </c>
      <c r="AN53" s="43" t="s">
        <v>81</v>
      </c>
      <c r="AO53" s="44">
        <v>44909</v>
      </c>
      <c r="AP53" s="43" t="s">
        <v>1020</v>
      </c>
      <c r="AQ53" s="43" t="s">
        <v>1021</v>
      </c>
      <c r="AR53" s="43" t="s">
        <v>1020</v>
      </c>
      <c r="AS53" s="43" t="s">
        <v>1021</v>
      </c>
      <c r="AT53" s="43" t="s">
        <v>85</v>
      </c>
      <c r="AU53" s="43" t="s">
        <v>7030</v>
      </c>
      <c r="AV53" s="43" t="s">
        <v>7031</v>
      </c>
      <c r="AW53" s="43" t="s">
        <v>7031</v>
      </c>
      <c r="AX53" s="43" t="s">
        <v>90</v>
      </c>
      <c r="AY53" s="43" t="s">
        <v>73</v>
      </c>
      <c r="AZ53" s="43" t="s">
        <v>7029</v>
      </c>
      <c r="BA53" s="43" t="s">
        <v>92</v>
      </c>
      <c r="BB53" s="45">
        <v>4.8600000000000003</v>
      </c>
      <c r="BC53" s="45">
        <v>4.8600000000000003</v>
      </c>
      <c r="BD53" s="43" t="s">
        <v>7032</v>
      </c>
      <c r="BE53" s="43" t="s">
        <v>81</v>
      </c>
      <c r="BF53" s="43" t="s">
        <v>81</v>
      </c>
      <c r="BG53" s="43" t="s">
        <v>86</v>
      </c>
      <c r="BH53" s="43" t="s">
        <v>91</v>
      </c>
      <c r="BI53" s="43" t="s">
        <v>7086</v>
      </c>
      <c r="BJ53" s="43" t="s">
        <v>7030</v>
      </c>
      <c r="BK53" s="43" t="s">
        <v>92</v>
      </c>
      <c r="BL53" s="43" t="s">
        <v>85</v>
      </c>
      <c r="BM53" s="43" t="s">
        <v>85</v>
      </c>
      <c r="BN53" s="43" t="s">
        <v>92</v>
      </c>
      <c r="BO53" s="46">
        <v>4.8600000000000003</v>
      </c>
      <c r="BP53" s="43" t="s">
        <v>7032</v>
      </c>
      <c r="BQ53" s="43">
        <v>4.8600000000000003</v>
      </c>
      <c r="BR53" s="43" t="s">
        <v>7032</v>
      </c>
      <c r="BS53" s="47">
        <v>4.8600000000000003</v>
      </c>
      <c r="BT53" s="43" t="s">
        <v>7032</v>
      </c>
      <c r="BU53" s="43" t="s">
        <v>7032</v>
      </c>
      <c r="BV53" s="43" t="str">
        <f>CambioPlan[[#This Row],[TELEFONO]]&amp;"UPSELLSI"</f>
        <v>983884812UPSELLSI</v>
      </c>
      <c r="BW53" s="43">
        <f>DAY(CambioPlan[[#This Row],[FECHA_CAMBIO_PLAN]])</f>
        <v>14</v>
      </c>
      <c r="BX53" s="43" t="str">
        <f>VLOOKUP(CambioPlan[[#This Row],[NOM_PLAZA]],[1]!Locales[#Data],3,0)</f>
        <v>TIENDA CUENCA CENTRO</v>
      </c>
      <c r="BY53" s="43" t="str">
        <f>VLOOKUP(CambioPlan[[#This Row],[DOMAIN_LOGIN_OW]],[1]!Personal[#Data],6,0)</f>
        <v>GONZALES ALVARRACIN PAOLA YESSENIA</v>
      </c>
      <c r="BZ53" s="43"/>
      <c r="CA53" s="43" t="str">
        <f>IFERROR(IF(FIND("ADULTO",CambioPlan[[#This Row],[DESCRIPCION_PLAN_ACTUAL]],1),"NO SE PAGA",),"SI SE PAGA")</f>
        <v>SI SE PAGA</v>
      </c>
      <c r="CB53" s="45">
        <f>CambioPlan[[#This Row],[TARIFA_BASICA_ACTUAL]]-CambioPlan[[#This Row],[TARIFA_BASICA_ANTERIOR]]</f>
        <v>4.8600000000000012</v>
      </c>
      <c r="CC53" s="56">
        <f>CambioPlan[[#This Row],[DIF. TARIFAS]]*4</f>
        <v>19.440000000000005</v>
      </c>
      <c r="CD53" s="53" t="str">
        <f>IF(CambioPlan[[#This Row],[C. COMISIÓN TME]]&lt;0,"DOWNSELL",IF(CambioPlan[[#This Row],[C. COMISIÓN TME]]=0,"MISMA TARIFA",IF(CambioPlan[[#This Row],[C. COMISIÓN TME]]&gt;0,"UPSELL")))</f>
        <v>UPSELL</v>
      </c>
      <c r="CE53">
        <f>VLOOKUP(CambioPlan[[#This Row],[TARIFA_BASICA_ANTERIOR]],[3]Hoja1!$F:$G,2,0)</f>
        <v>1</v>
      </c>
      <c r="CF53">
        <f>VLOOKUP(CambioPlan[[#This Row],[TARIFA_BASICA_ACTUAL]],[3]Hoja1!$B:$C,2,0)</f>
        <v>2</v>
      </c>
      <c r="CG53">
        <f t="shared" si="0"/>
        <v>1</v>
      </c>
      <c r="CH53" t="e">
        <f>VLOOKUP(CambioPlan[[#This Row],[TELEFONO]],[1]Retenciones!$R$63:$R$287,1,0)</f>
        <v>#N/A</v>
      </c>
    </row>
    <row r="54" spans="1:86" x14ac:dyDescent="0.25">
      <c r="A54" s="43">
        <v>202212</v>
      </c>
      <c r="B54" s="44">
        <v>44914</v>
      </c>
      <c r="C54" s="43" t="s">
        <v>7244</v>
      </c>
      <c r="D54" s="43" t="s">
        <v>7245</v>
      </c>
      <c r="E54" s="43" t="s">
        <v>95</v>
      </c>
      <c r="F54" s="43" t="s">
        <v>77</v>
      </c>
      <c r="G54" s="43" t="s">
        <v>1532</v>
      </c>
      <c r="H54" s="43" t="s">
        <v>67</v>
      </c>
      <c r="I54" s="43" t="s">
        <v>7246</v>
      </c>
      <c r="J54" s="43" t="s">
        <v>7037</v>
      </c>
      <c r="K54" s="43" t="s">
        <v>118</v>
      </c>
      <c r="L54" s="43" t="s">
        <v>7069</v>
      </c>
      <c r="M54" s="43" t="s">
        <v>7070</v>
      </c>
      <c r="N54" s="43" t="s">
        <v>79</v>
      </c>
      <c r="O54" s="45">
        <v>21.42</v>
      </c>
      <c r="P54" s="43" t="s">
        <v>95</v>
      </c>
      <c r="Q54" s="43" t="s">
        <v>95</v>
      </c>
      <c r="R54" s="43" t="s">
        <v>95</v>
      </c>
      <c r="S54" s="45">
        <v>0</v>
      </c>
      <c r="T54" s="43" t="s">
        <v>95</v>
      </c>
      <c r="U54" s="44" t="s">
        <v>95</v>
      </c>
      <c r="V54" s="44" t="s">
        <v>95</v>
      </c>
      <c r="W54" s="43" t="s">
        <v>95</v>
      </c>
      <c r="X54" s="45">
        <v>21.42</v>
      </c>
      <c r="Y54" s="43" t="s">
        <v>81</v>
      </c>
      <c r="Z54" s="43" t="s">
        <v>7247</v>
      </c>
      <c r="AA54" s="43" t="s">
        <v>7248</v>
      </c>
      <c r="AB54" s="43" t="s">
        <v>79</v>
      </c>
      <c r="AC54" s="45">
        <v>19.989999999999998</v>
      </c>
      <c r="AD54" s="43" t="s">
        <v>95</v>
      </c>
      <c r="AE54" s="43" t="s">
        <v>95</v>
      </c>
      <c r="AF54" s="43" t="s">
        <v>95</v>
      </c>
      <c r="AG54" s="43" t="s">
        <v>95</v>
      </c>
      <c r="AH54" s="45">
        <v>0</v>
      </c>
      <c r="AI54" s="43" t="s">
        <v>95</v>
      </c>
      <c r="AJ54" s="43" t="s">
        <v>95</v>
      </c>
      <c r="AK54" s="43" t="s">
        <v>95</v>
      </c>
      <c r="AL54" s="43" t="s">
        <v>95</v>
      </c>
      <c r="AM54" s="45">
        <v>19.989999999999998</v>
      </c>
      <c r="AN54" s="43" t="s">
        <v>81</v>
      </c>
      <c r="AO54" s="44">
        <v>44903</v>
      </c>
      <c r="AP54" s="43" t="s">
        <v>187</v>
      </c>
      <c r="AQ54" s="43" t="s">
        <v>188</v>
      </c>
      <c r="AR54" s="43" t="s">
        <v>187</v>
      </c>
      <c r="AS54" s="43" t="s">
        <v>188</v>
      </c>
      <c r="AT54" s="43" t="s">
        <v>85</v>
      </c>
      <c r="AU54" s="43" t="s">
        <v>7030</v>
      </c>
      <c r="AV54" s="43" t="s">
        <v>7031</v>
      </c>
      <c r="AW54" s="43" t="s">
        <v>7031</v>
      </c>
      <c r="AX54" s="43" t="s">
        <v>90</v>
      </c>
      <c r="AY54" s="43" t="s">
        <v>132</v>
      </c>
      <c r="AZ54" s="43" t="s">
        <v>7037</v>
      </c>
      <c r="BA54" s="43" t="s">
        <v>139</v>
      </c>
      <c r="BB54" s="45">
        <v>1.43</v>
      </c>
      <c r="BC54" s="45">
        <v>1.43</v>
      </c>
      <c r="BD54" s="43" t="s">
        <v>7032</v>
      </c>
      <c r="BE54" s="43" t="s">
        <v>81</v>
      </c>
      <c r="BF54" s="43" t="s">
        <v>81</v>
      </c>
      <c r="BG54" s="43" t="s">
        <v>86</v>
      </c>
      <c r="BH54" s="43" t="s">
        <v>177</v>
      </c>
      <c r="BI54" s="43" t="s">
        <v>7038</v>
      </c>
      <c r="BJ54" s="43" t="s">
        <v>7030</v>
      </c>
      <c r="BK54" s="43" t="s">
        <v>139</v>
      </c>
      <c r="BL54" s="43" t="s">
        <v>85</v>
      </c>
      <c r="BM54" s="43" t="s">
        <v>85</v>
      </c>
      <c r="BN54" s="43" t="s">
        <v>139</v>
      </c>
      <c r="BO54" s="46">
        <v>1.43</v>
      </c>
      <c r="BP54" s="43" t="s">
        <v>7032</v>
      </c>
      <c r="BQ54" s="43">
        <v>1.43</v>
      </c>
      <c r="BR54" s="43" t="s">
        <v>7032</v>
      </c>
      <c r="BS54" s="47">
        <v>1.43</v>
      </c>
      <c r="BT54" s="43" t="s">
        <v>7032</v>
      </c>
      <c r="BU54" s="43" t="s">
        <v>7032</v>
      </c>
      <c r="BV54" s="43" t="str">
        <f>CambioPlan[[#This Row],[TELEFONO]]&amp;"UPSELLSI"</f>
        <v>983896816UPSELLSI</v>
      </c>
      <c r="BW54" s="43">
        <f>DAY(CambioPlan[[#This Row],[FECHA_CAMBIO_PLAN]])</f>
        <v>8</v>
      </c>
      <c r="BX54" s="43" t="str">
        <f>VLOOKUP(CambioPlan[[#This Row],[NOM_PLAZA]],[1]!Locales[#Data],3,0)</f>
        <v>TIENDA RECREO</v>
      </c>
      <c r="BY54" s="43" t="str">
        <f>VLOOKUP(CambioPlan[[#This Row],[DOMAIN_LOGIN_OW]],[1]!Personal[#Data],6,0)</f>
        <v>ESPINOZA MARTINES LAURA XIOMARA</v>
      </c>
      <c r="BZ54" s="43"/>
      <c r="CA54" s="43" t="str">
        <f>IFERROR(IF(FIND("ADULTO",CambioPlan[[#This Row],[DESCRIPCION_PLAN_ACTUAL]],1),"NO SE PAGA",),"SI SE PAGA")</f>
        <v>SI SE PAGA</v>
      </c>
      <c r="CB54" s="45">
        <f>CambioPlan[[#This Row],[TARIFA_BASICA_ACTUAL]]-CambioPlan[[#This Row],[TARIFA_BASICA_ANTERIOR]]</f>
        <v>1.4300000000000033</v>
      </c>
      <c r="CC54" s="56">
        <f>CambioPlan[[#This Row],[DIF. TARIFAS]]*4</f>
        <v>5.7200000000000131</v>
      </c>
      <c r="CD54" s="53" t="str">
        <f>IF(CambioPlan[[#This Row],[C. COMISIÓN TME]]&lt;0,"DOWNSELL",IF(CambioPlan[[#This Row],[C. COMISIÓN TME]]=0,"MISMA TARIFA",IF(CambioPlan[[#This Row],[C. COMISIÓN TME]]&gt;0,"UPSELL")))</f>
        <v>UPSELL</v>
      </c>
      <c r="CE54">
        <f>VLOOKUP(CambioPlan[[#This Row],[TARIFA_BASICA_ANTERIOR]],[3]Hoja1!$F:$G,2,0)</f>
        <v>3</v>
      </c>
      <c r="CF54">
        <f>VLOOKUP(CambioPlan[[#This Row],[TARIFA_BASICA_ACTUAL]],[3]Hoja1!$B:$C,2,0)</f>
        <v>3</v>
      </c>
      <c r="CG54">
        <f t="shared" si="0"/>
        <v>0</v>
      </c>
      <c r="CH54" t="str">
        <f>VLOOKUP(CambioPlan[[#This Row],[TELEFONO]],[1]Retenciones!$R$63:$R$287,1,0)</f>
        <v>983896816</v>
      </c>
    </row>
    <row r="55" spans="1:86" x14ac:dyDescent="0.25">
      <c r="A55" s="43">
        <v>202212</v>
      </c>
      <c r="B55" s="44">
        <v>44914</v>
      </c>
      <c r="C55" s="43" t="s">
        <v>7249</v>
      </c>
      <c r="D55" s="43" t="s">
        <v>7250</v>
      </c>
      <c r="E55" s="43" t="s">
        <v>95</v>
      </c>
      <c r="F55" s="43" t="s">
        <v>77</v>
      </c>
      <c r="G55" s="43" t="s">
        <v>2241</v>
      </c>
      <c r="H55" s="43" t="s">
        <v>67</v>
      </c>
      <c r="I55" s="43" t="s">
        <v>7251</v>
      </c>
      <c r="J55" s="43" t="s">
        <v>7220</v>
      </c>
      <c r="K55" s="43" t="s">
        <v>84</v>
      </c>
      <c r="L55" s="43" t="s">
        <v>4157</v>
      </c>
      <c r="M55" s="43" t="s">
        <v>7138</v>
      </c>
      <c r="N55" s="43" t="s">
        <v>79</v>
      </c>
      <c r="O55" s="45">
        <v>32.130000000000003</v>
      </c>
      <c r="P55" s="43" t="s">
        <v>95</v>
      </c>
      <c r="Q55" s="43" t="s">
        <v>95</v>
      </c>
      <c r="R55" s="43" t="s">
        <v>95</v>
      </c>
      <c r="S55" s="45">
        <v>0</v>
      </c>
      <c r="T55" s="43" t="s">
        <v>95</v>
      </c>
      <c r="U55" s="44" t="s">
        <v>95</v>
      </c>
      <c r="V55" s="44" t="s">
        <v>95</v>
      </c>
      <c r="W55" s="43" t="s">
        <v>95</v>
      </c>
      <c r="X55" s="45">
        <v>32.130000000000003</v>
      </c>
      <c r="Y55" s="43" t="s">
        <v>81</v>
      </c>
      <c r="Z55" s="43" t="s">
        <v>606</v>
      </c>
      <c r="AA55" s="43" t="s">
        <v>1672</v>
      </c>
      <c r="AB55" s="43" t="s">
        <v>79</v>
      </c>
      <c r="AC55" s="45">
        <v>26.78</v>
      </c>
      <c r="AD55" s="43" t="s">
        <v>95</v>
      </c>
      <c r="AE55" s="43" t="s">
        <v>95</v>
      </c>
      <c r="AF55" s="43" t="s">
        <v>95</v>
      </c>
      <c r="AG55" s="43" t="s">
        <v>95</v>
      </c>
      <c r="AH55" s="45">
        <v>0</v>
      </c>
      <c r="AI55" s="43" t="s">
        <v>95</v>
      </c>
      <c r="AJ55" s="43" t="s">
        <v>95</v>
      </c>
      <c r="AK55" s="43" t="s">
        <v>95</v>
      </c>
      <c r="AL55" s="43" t="s">
        <v>95</v>
      </c>
      <c r="AM55" s="45">
        <v>26.78</v>
      </c>
      <c r="AN55" s="43" t="s">
        <v>81</v>
      </c>
      <c r="AO55" s="44">
        <v>44901</v>
      </c>
      <c r="AP55" s="43" t="s">
        <v>822</v>
      </c>
      <c r="AQ55" s="43" t="s">
        <v>823</v>
      </c>
      <c r="AR55" s="43" t="s">
        <v>822</v>
      </c>
      <c r="AS55" s="43" t="s">
        <v>823</v>
      </c>
      <c r="AT55" s="43" t="s">
        <v>85</v>
      </c>
      <c r="AU55" s="43" t="s">
        <v>7030</v>
      </c>
      <c r="AV55" s="43" t="s">
        <v>7031</v>
      </c>
      <c r="AW55" s="43" t="s">
        <v>7031</v>
      </c>
      <c r="AX55" s="43" t="s">
        <v>90</v>
      </c>
      <c r="AY55" s="43" t="s">
        <v>132</v>
      </c>
      <c r="AZ55" s="43" t="s">
        <v>7037</v>
      </c>
      <c r="BA55" s="43" t="s">
        <v>139</v>
      </c>
      <c r="BB55" s="45">
        <v>5.35</v>
      </c>
      <c r="BC55" s="45">
        <v>5.35</v>
      </c>
      <c r="BD55" s="43" t="s">
        <v>7032</v>
      </c>
      <c r="BE55" s="43" t="s">
        <v>81</v>
      </c>
      <c r="BF55" s="43" t="s">
        <v>81</v>
      </c>
      <c r="BG55" s="43" t="s">
        <v>86</v>
      </c>
      <c r="BH55" s="43" t="s">
        <v>177</v>
      </c>
      <c r="BI55" s="43" t="s">
        <v>7038</v>
      </c>
      <c r="BJ55" s="43" t="s">
        <v>7030</v>
      </c>
      <c r="BK55" s="43" t="s">
        <v>139</v>
      </c>
      <c r="BL55" s="43" t="s">
        <v>85</v>
      </c>
      <c r="BM55" s="43" t="s">
        <v>85</v>
      </c>
      <c r="BN55" s="43" t="s">
        <v>139</v>
      </c>
      <c r="BO55" s="46">
        <v>5.35</v>
      </c>
      <c r="BP55" s="43" t="s">
        <v>7032</v>
      </c>
      <c r="BQ55" s="43">
        <v>5.35</v>
      </c>
      <c r="BR55" s="43" t="s">
        <v>7032</v>
      </c>
      <c r="BS55" s="47">
        <v>5.35</v>
      </c>
      <c r="BT55" s="43" t="s">
        <v>7032</v>
      </c>
      <c r="BU55" s="43" t="s">
        <v>7032</v>
      </c>
      <c r="BV55" s="43" t="str">
        <f>CambioPlan[[#This Row],[TELEFONO]]&amp;"UPSELLSI"</f>
        <v>983970662UPSELLSI</v>
      </c>
      <c r="BW55" s="43">
        <f>DAY(CambioPlan[[#This Row],[FECHA_CAMBIO_PLAN]])</f>
        <v>6</v>
      </c>
      <c r="BX55" s="43" t="str">
        <f>VLOOKUP(CambioPlan[[#This Row],[NOM_PLAZA]],[1]!Locales[#Data],3,0)</f>
        <v>TIENDA RECREO</v>
      </c>
      <c r="BY55" s="43" t="str">
        <f>VLOOKUP(CambioPlan[[#This Row],[DOMAIN_LOGIN_OW]],[1]!Personal[#Data],6,0)</f>
        <v>SALAS PARRA MARIA JOSE</v>
      </c>
      <c r="BZ55" s="43"/>
      <c r="CA55" s="43" t="str">
        <f>IFERROR(IF(FIND("ADULTO",CambioPlan[[#This Row],[DESCRIPCION_PLAN_ACTUAL]],1),"NO SE PAGA",),"SI SE PAGA")</f>
        <v>SI SE PAGA</v>
      </c>
      <c r="CB55" s="45">
        <f>CambioPlan[[#This Row],[TARIFA_BASICA_ACTUAL]]-CambioPlan[[#This Row],[TARIFA_BASICA_ANTERIOR]]</f>
        <v>5.3500000000000014</v>
      </c>
      <c r="CC55" s="56">
        <f>CambioPlan[[#This Row],[DIF. TARIFAS]]*4</f>
        <v>21.400000000000006</v>
      </c>
      <c r="CD55" s="53" t="str">
        <f>IF(CambioPlan[[#This Row],[C. COMISIÓN TME]]&lt;0,"DOWNSELL",IF(CambioPlan[[#This Row],[C. COMISIÓN TME]]=0,"MISMA TARIFA",IF(CambioPlan[[#This Row],[C. COMISIÓN TME]]&gt;0,"UPSELL")))</f>
        <v>UPSELL</v>
      </c>
      <c r="CE55">
        <f>VLOOKUP(CambioPlan[[#This Row],[TARIFA_BASICA_ANTERIOR]],[3]Hoja1!$F:$G,2,0)</f>
        <v>4</v>
      </c>
      <c r="CF55">
        <f>VLOOKUP(CambioPlan[[#This Row],[TARIFA_BASICA_ACTUAL]],[3]Hoja1!$B:$C,2,0)</f>
        <v>5</v>
      </c>
      <c r="CG55">
        <f t="shared" si="0"/>
        <v>1</v>
      </c>
      <c r="CH55" t="e">
        <f>VLOOKUP(CambioPlan[[#This Row],[TELEFONO]],[1]Retenciones!$R$63:$R$287,1,0)</f>
        <v>#N/A</v>
      </c>
    </row>
    <row r="56" spans="1:86" x14ac:dyDescent="0.25">
      <c r="A56" s="43">
        <v>202212</v>
      </c>
      <c r="B56" s="44">
        <v>44914</v>
      </c>
      <c r="C56" s="43" t="s">
        <v>7252</v>
      </c>
      <c r="D56" s="43" t="s">
        <v>7253</v>
      </c>
      <c r="E56" s="43" t="s">
        <v>95</v>
      </c>
      <c r="F56" s="43" t="s">
        <v>231</v>
      </c>
      <c r="G56" s="43" t="s">
        <v>1378</v>
      </c>
      <c r="H56" s="43" t="s">
        <v>67</v>
      </c>
      <c r="I56" s="43" t="s">
        <v>7254</v>
      </c>
      <c r="J56" s="43" t="s">
        <v>7029</v>
      </c>
      <c r="K56" s="43" t="s">
        <v>84</v>
      </c>
      <c r="L56" s="43" t="s">
        <v>160</v>
      </c>
      <c r="M56" s="43" t="s">
        <v>161</v>
      </c>
      <c r="N56" s="43" t="s">
        <v>79</v>
      </c>
      <c r="O56" s="45">
        <v>14.28</v>
      </c>
      <c r="P56" s="43" t="s">
        <v>95</v>
      </c>
      <c r="Q56" s="43" t="s">
        <v>95</v>
      </c>
      <c r="R56" s="43" t="s">
        <v>95</v>
      </c>
      <c r="S56" s="45">
        <v>0</v>
      </c>
      <c r="T56" s="43" t="s">
        <v>95</v>
      </c>
      <c r="U56" s="44" t="s">
        <v>95</v>
      </c>
      <c r="V56" s="44" t="s">
        <v>95</v>
      </c>
      <c r="W56" s="43" t="s">
        <v>95</v>
      </c>
      <c r="X56" s="45">
        <v>14.28</v>
      </c>
      <c r="Y56" s="43" t="s">
        <v>81</v>
      </c>
      <c r="Z56" s="43" t="s">
        <v>71</v>
      </c>
      <c r="AA56" s="43" t="s">
        <v>258</v>
      </c>
      <c r="AB56" s="43" t="s">
        <v>79</v>
      </c>
      <c r="AC56" s="45">
        <v>11.42</v>
      </c>
      <c r="AD56" s="43" t="s">
        <v>95</v>
      </c>
      <c r="AE56" s="43" t="s">
        <v>95</v>
      </c>
      <c r="AF56" s="43" t="s">
        <v>95</v>
      </c>
      <c r="AG56" s="43" t="s">
        <v>95</v>
      </c>
      <c r="AH56" s="45">
        <v>0</v>
      </c>
      <c r="AI56" s="43" t="s">
        <v>95</v>
      </c>
      <c r="AJ56" s="43" t="s">
        <v>95</v>
      </c>
      <c r="AK56" s="43" t="s">
        <v>95</v>
      </c>
      <c r="AL56" s="43" t="s">
        <v>95</v>
      </c>
      <c r="AM56" s="45">
        <v>11.42</v>
      </c>
      <c r="AN56" s="43" t="s">
        <v>81</v>
      </c>
      <c r="AO56" s="44">
        <v>44896</v>
      </c>
      <c r="AP56" s="43" t="s">
        <v>88</v>
      </c>
      <c r="AQ56" s="43" t="s">
        <v>89</v>
      </c>
      <c r="AR56" s="43" t="s">
        <v>88</v>
      </c>
      <c r="AS56" s="43" t="s">
        <v>89</v>
      </c>
      <c r="AT56" s="43" t="s">
        <v>85</v>
      </c>
      <c r="AU56" s="43" t="s">
        <v>7030</v>
      </c>
      <c r="AV56" s="43" t="s">
        <v>7031</v>
      </c>
      <c r="AW56" s="43" t="s">
        <v>7031</v>
      </c>
      <c r="AX56" s="43" t="s">
        <v>90</v>
      </c>
      <c r="AY56" s="43" t="s">
        <v>73</v>
      </c>
      <c r="AZ56" s="43" t="s">
        <v>7029</v>
      </c>
      <c r="BA56" s="43" t="s">
        <v>92</v>
      </c>
      <c r="BB56" s="45">
        <v>2.86</v>
      </c>
      <c r="BC56" s="45">
        <v>2.86</v>
      </c>
      <c r="BD56" s="43" t="s">
        <v>7032</v>
      </c>
      <c r="BE56" s="43" t="s">
        <v>81</v>
      </c>
      <c r="BF56" s="43" t="s">
        <v>81</v>
      </c>
      <c r="BG56" s="43" t="s">
        <v>86</v>
      </c>
      <c r="BH56" s="43" t="s">
        <v>91</v>
      </c>
      <c r="BI56" s="43" t="s">
        <v>7086</v>
      </c>
      <c r="BJ56" s="43" t="s">
        <v>7030</v>
      </c>
      <c r="BK56" s="43" t="s">
        <v>92</v>
      </c>
      <c r="BL56" s="43" t="s">
        <v>85</v>
      </c>
      <c r="BM56" s="43" t="s">
        <v>85</v>
      </c>
      <c r="BN56" s="43" t="s">
        <v>92</v>
      </c>
      <c r="BO56" s="46">
        <v>2.86</v>
      </c>
      <c r="BP56" s="43" t="s">
        <v>7032</v>
      </c>
      <c r="BQ56" s="43">
        <v>2.86</v>
      </c>
      <c r="BR56" s="43" t="s">
        <v>7032</v>
      </c>
      <c r="BS56" s="47">
        <v>2.86</v>
      </c>
      <c r="BT56" s="43" t="s">
        <v>7032</v>
      </c>
      <c r="BU56" s="43" t="s">
        <v>7032</v>
      </c>
      <c r="BV56" s="43" t="str">
        <f>CambioPlan[[#This Row],[TELEFONO]]&amp;"UPSELLSI"</f>
        <v>983995071UPSELLSI</v>
      </c>
      <c r="BW56" s="43">
        <f>DAY(CambioPlan[[#This Row],[FECHA_CAMBIO_PLAN]])</f>
        <v>1</v>
      </c>
      <c r="BX56" s="43" t="str">
        <f>VLOOKUP(CambioPlan[[#This Row],[NOM_PLAZA]],[1]!Locales[#Data],3,0)</f>
        <v>TIENDA CUENCA CENTRO</v>
      </c>
      <c r="BY56" s="43" t="str">
        <f>VLOOKUP(CambioPlan[[#This Row],[DOMAIN_LOGIN_OW]],[1]!Personal[#Data],6,0)</f>
        <v>ANDRADE CONDO CHRISTIAN EDUARDO</v>
      </c>
      <c r="BZ56" s="43"/>
      <c r="CA56" s="43" t="str">
        <f>IFERROR(IF(FIND("ADULTO",CambioPlan[[#This Row],[DESCRIPCION_PLAN_ACTUAL]],1),"NO SE PAGA",),"SI SE PAGA")</f>
        <v>SI SE PAGA</v>
      </c>
      <c r="CB56" s="45">
        <f>CambioPlan[[#This Row],[TARIFA_BASICA_ACTUAL]]-CambioPlan[[#This Row],[TARIFA_BASICA_ANTERIOR]]</f>
        <v>2.8599999999999994</v>
      </c>
      <c r="CC56" s="56">
        <f>CambioPlan[[#This Row],[DIF. TARIFAS]]*4</f>
        <v>11.439999999999998</v>
      </c>
      <c r="CD56" s="53" t="str">
        <f>IF(CambioPlan[[#This Row],[C. COMISIÓN TME]]&lt;0,"DOWNSELL",IF(CambioPlan[[#This Row],[C. COMISIÓN TME]]=0,"MISMA TARIFA",IF(CambioPlan[[#This Row],[C. COMISIÓN TME]]&gt;0,"UPSELL")))</f>
        <v>UPSELL</v>
      </c>
      <c r="CE56">
        <f>VLOOKUP(CambioPlan[[#This Row],[TARIFA_BASICA_ANTERIOR]],[3]Hoja1!$F:$G,2,0)</f>
        <v>0</v>
      </c>
      <c r="CF56">
        <f>VLOOKUP(CambioPlan[[#This Row],[TARIFA_BASICA_ACTUAL]],[3]Hoja1!$B:$C,2,0)</f>
        <v>1</v>
      </c>
      <c r="CG56">
        <f t="shared" si="0"/>
        <v>1</v>
      </c>
      <c r="CH56" t="e">
        <f>VLOOKUP(CambioPlan[[#This Row],[TELEFONO]],[1]Retenciones!$R$63:$R$287,1,0)</f>
        <v>#N/A</v>
      </c>
    </row>
    <row r="57" spans="1:86" x14ac:dyDescent="0.25">
      <c r="A57" s="43">
        <v>202212</v>
      </c>
      <c r="B57" s="44">
        <v>44914</v>
      </c>
      <c r="C57" s="43" t="s">
        <v>7255</v>
      </c>
      <c r="D57" s="43" t="s">
        <v>7256</v>
      </c>
      <c r="E57" s="43" t="s">
        <v>95</v>
      </c>
      <c r="F57" s="43" t="s">
        <v>77</v>
      </c>
      <c r="G57" s="43" t="s">
        <v>1532</v>
      </c>
      <c r="H57" s="43" t="s">
        <v>67</v>
      </c>
      <c r="I57" s="43" t="s">
        <v>7257</v>
      </c>
      <c r="J57" s="43" t="s">
        <v>7037</v>
      </c>
      <c r="K57" s="43" t="s">
        <v>84</v>
      </c>
      <c r="L57" s="43" t="s">
        <v>7069</v>
      </c>
      <c r="M57" s="43" t="s">
        <v>7070</v>
      </c>
      <c r="N57" s="43" t="s">
        <v>79</v>
      </c>
      <c r="O57" s="45">
        <v>21.42</v>
      </c>
      <c r="P57" s="43" t="s">
        <v>95</v>
      </c>
      <c r="Q57" s="43" t="s">
        <v>95</v>
      </c>
      <c r="R57" s="43" t="s">
        <v>95</v>
      </c>
      <c r="S57" s="45">
        <v>0</v>
      </c>
      <c r="T57" s="43" t="s">
        <v>95</v>
      </c>
      <c r="U57" s="44" t="s">
        <v>95</v>
      </c>
      <c r="V57" s="44" t="s">
        <v>95</v>
      </c>
      <c r="W57" s="43" t="s">
        <v>95</v>
      </c>
      <c r="X57" s="45">
        <v>21.42</v>
      </c>
      <c r="Y57" s="43" t="s">
        <v>81</v>
      </c>
      <c r="Z57" s="43" t="s">
        <v>574</v>
      </c>
      <c r="AA57" s="43" t="s">
        <v>575</v>
      </c>
      <c r="AB57" s="43" t="s">
        <v>79</v>
      </c>
      <c r="AC57" s="45">
        <v>17.850000000000001</v>
      </c>
      <c r="AD57" s="43" t="s">
        <v>95</v>
      </c>
      <c r="AE57" s="43" t="s">
        <v>95</v>
      </c>
      <c r="AF57" s="43" t="s">
        <v>95</v>
      </c>
      <c r="AG57" s="43" t="s">
        <v>95</v>
      </c>
      <c r="AH57" s="45">
        <v>0</v>
      </c>
      <c r="AI57" s="43" t="s">
        <v>95</v>
      </c>
      <c r="AJ57" s="43" t="s">
        <v>95</v>
      </c>
      <c r="AK57" s="43" t="s">
        <v>95</v>
      </c>
      <c r="AL57" s="43" t="s">
        <v>95</v>
      </c>
      <c r="AM57" s="45">
        <v>17.850000000000001</v>
      </c>
      <c r="AN57" s="43" t="s">
        <v>81</v>
      </c>
      <c r="AO57" s="44">
        <v>44904</v>
      </c>
      <c r="AP57" s="43" t="s">
        <v>1545</v>
      </c>
      <c r="AQ57" s="43" t="s">
        <v>1546</v>
      </c>
      <c r="AR57" s="43" t="s">
        <v>1545</v>
      </c>
      <c r="AS57" s="43" t="s">
        <v>1546</v>
      </c>
      <c r="AT57" s="43" t="s">
        <v>85</v>
      </c>
      <c r="AU57" s="43" t="s">
        <v>7030</v>
      </c>
      <c r="AV57" s="43" t="s">
        <v>7031</v>
      </c>
      <c r="AW57" s="43" t="s">
        <v>7031</v>
      </c>
      <c r="AX57" s="43" t="s">
        <v>90</v>
      </c>
      <c r="AY57" s="43" t="s">
        <v>132</v>
      </c>
      <c r="AZ57" s="43" t="s">
        <v>7037</v>
      </c>
      <c r="BA57" s="43" t="s">
        <v>139</v>
      </c>
      <c r="BB57" s="45">
        <v>3.57</v>
      </c>
      <c r="BC57" s="45">
        <v>3.57</v>
      </c>
      <c r="BD57" s="43" t="s">
        <v>7032</v>
      </c>
      <c r="BE57" s="43" t="s">
        <v>81</v>
      </c>
      <c r="BF57" s="43" t="s">
        <v>81</v>
      </c>
      <c r="BG57" s="43" t="s">
        <v>86</v>
      </c>
      <c r="BH57" s="43" t="s">
        <v>138</v>
      </c>
      <c r="BI57" s="43" t="s">
        <v>7076</v>
      </c>
      <c r="BJ57" s="43" t="s">
        <v>7030</v>
      </c>
      <c r="BK57" s="43" t="s">
        <v>139</v>
      </c>
      <c r="BL57" s="43" t="s">
        <v>85</v>
      </c>
      <c r="BM57" s="43" t="s">
        <v>85</v>
      </c>
      <c r="BN57" s="43" t="s">
        <v>139</v>
      </c>
      <c r="BO57" s="46">
        <v>3.57</v>
      </c>
      <c r="BP57" s="43" t="s">
        <v>7032</v>
      </c>
      <c r="BQ57" s="43">
        <v>3.57</v>
      </c>
      <c r="BR57" s="43" t="s">
        <v>7032</v>
      </c>
      <c r="BS57" s="47">
        <v>3.57</v>
      </c>
      <c r="BT57" s="43" t="s">
        <v>7032</v>
      </c>
      <c r="BU57" s="43" t="s">
        <v>7032</v>
      </c>
      <c r="BV57" s="43" t="str">
        <f>CambioPlan[[#This Row],[TELEFONO]]&amp;"UPSELLSI"</f>
        <v>984072176UPSELLSI</v>
      </c>
      <c r="BW57" s="43">
        <f>DAY(CambioPlan[[#This Row],[FECHA_CAMBIO_PLAN]])</f>
        <v>9</v>
      </c>
      <c r="BX57" s="43" t="str">
        <f>VLOOKUP(CambioPlan[[#This Row],[NOM_PLAZA]],[1]!Locales[#Data],3,0)</f>
        <v>TIENDA AMERICA</v>
      </c>
      <c r="BY57" s="43" t="str">
        <f>VLOOKUP(CambioPlan[[#This Row],[DOMAIN_LOGIN_OW]],[1]!Personal[#Data],6,0)</f>
        <v>GRANDA ESPINOZA ANDRES SEBASTIAN</v>
      </c>
      <c r="BZ57" s="43"/>
      <c r="CA57" s="43" t="str">
        <f>IFERROR(IF(FIND("ADULTO",CambioPlan[[#This Row],[DESCRIPCION_PLAN_ACTUAL]],1),"NO SE PAGA",),"SI SE PAGA")</f>
        <v>SI SE PAGA</v>
      </c>
      <c r="CB57" s="45">
        <f>CambioPlan[[#This Row],[TARIFA_BASICA_ACTUAL]]-CambioPlan[[#This Row],[TARIFA_BASICA_ANTERIOR]]</f>
        <v>3.5700000000000003</v>
      </c>
      <c r="CC57" s="56">
        <f>CambioPlan[[#This Row],[DIF. TARIFAS]]*4</f>
        <v>14.280000000000001</v>
      </c>
      <c r="CD57" s="53" t="str">
        <f>IF(CambioPlan[[#This Row],[C. COMISIÓN TME]]&lt;0,"DOWNSELL",IF(CambioPlan[[#This Row],[C. COMISIÓN TME]]=0,"MISMA TARIFA",IF(CambioPlan[[#This Row],[C. COMISIÓN TME]]&gt;0,"UPSELL")))</f>
        <v>UPSELL</v>
      </c>
      <c r="CE57">
        <f>VLOOKUP(CambioPlan[[#This Row],[TARIFA_BASICA_ANTERIOR]],[3]Hoja1!$F:$G,2,0)</f>
        <v>2</v>
      </c>
      <c r="CF57">
        <f>VLOOKUP(CambioPlan[[#This Row],[TARIFA_BASICA_ACTUAL]],[3]Hoja1!$B:$C,2,0)</f>
        <v>3</v>
      </c>
      <c r="CG57">
        <f t="shared" si="0"/>
        <v>1</v>
      </c>
      <c r="CH57" t="e">
        <f>VLOOKUP(CambioPlan[[#This Row],[TELEFONO]],[1]Retenciones!$R$63:$R$287,1,0)</f>
        <v>#N/A</v>
      </c>
    </row>
    <row r="58" spans="1:86" x14ac:dyDescent="0.25">
      <c r="A58" s="43">
        <v>202212</v>
      </c>
      <c r="B58" s="44">
        <v>44914</v>
      </c>
      <c r="C58" s="43" t="s">
        <v>7258</v>
      </c>
      <c r="D58" s="43" t="s">
        <v>7259</v>
      </c>
      <c r="E58" s="43" t="s">
        <v>95</v>
      </c>
      <c r="F58" s="43" t="s">
        <v>77</v>
      </c>
      <c r="G58" s="43" t="s">
        <v>4453</v>
      </c>
      <c r="H58" s="43" t="s">
        <v>246</v>
      </c>
      <c r="I58" s="43" t="s">
        <v>1312</v>
      </c>
      <c r="J58" s="43" t="s">
        <v>7037</v>
      </c>
      <c r="K58" s="43" t="s">
        <v>118</v>
      </c>
      <c r="L58" s="43" t="s">
        <v>359</v>
      </c>
      <c r="M58" s="43" t="s">
        <v>360</v>
      </c>
      <c r="N58" s="43" t="s">
        <v>79</v>
      </c>
      <c r="O58" s="45">
        <v>14.28</v>
      </c>
      <c r="P58" s="43" t="s">
        <v>95</v>
      </c>
      <c r="Q58" s="43" t="s">
        <v>95</v>
      </c>
      <c r="R58" s="43" t="s">
        <v>95</v>
      </c>
      <c r="S58" s="45">
        <v>0</v>
      </c>
      <c r="T58" s="43" t="s">
        <v>95</v>
      </c>
      <c r="U58" s="44" t="s">
        <v>95</v>
      </c>
      <c r="V58" s="44" t="s">
        <v>95</v>
      </c>
      <c r="W58" s="43" t="s">
        <v>95</v>
      </c>
      <c r="X58" s="45">
        <v>14.28</v>
      </c>
      <c r="Y58" s="43" t="s">
        <v>81</v>
      </c>
      <c r="Z58" s="43" t="s">
        <v>2207</v>
      </c>
      <c r="AA58" s="43" t="s">
        <v>2208</v>
      </c>
      <c r="AB58" s="43" t="s">
        <v>79</v>
      </c>
      <c r="AC58" s="45">
        <v>15</v>
      </c>
      <c r="AD58" s="43" t="s">
        <v>95</v>
      </c>
      <c r="AE58" s="43" t="s">
        <v>95</v>
      </c>
      <c r="AF58" s="43" t="s">
        <v>95</v>
      </c>
      <c r="AG58" s="43" t="s">
        <v>95</v>
      </c>
      <c r="AH58" s="45">
        <v>0</v>
      </c>
      <c r="AI58" s="43" t="s">
        <v>95</v>
      </c>
      <c r="AJ58" s="43" t="s">
        <v>95</v>
      </c>
      <c r="AK58" s="43" t="s">
        <v>95</v>
      </c>
      <c r="AL58" s="43" t="s">
        <v>95</v>
      </c>
      <c r="AM58" s="45">
        <v>15</v>
      </c>
      <c r="AN58" s="43" t="s">
        <v>81</v>
      </c>
      <c r="AO58" s="44">
        <v>44911</v>
      </c>
      <c r="AP58" s="43" t="s">
        <v>1315</v>
      </c>
      <c r="AQ58" s="43" t="s">
        <v>1316</v>
      </c>
      <c r="AR58" s="43" t="s">
        <v>1315</v>
      </c>
      <c r="AS58" s="43" t="s">
        <v>1316</v>
      </c>
      <c r="AT58" s="43" t="s">
        <v>85</v>
      </c>
      <c r="AU58" s="43" t="s">
        <v>7030</v>
      </c>
      <c r="AV58" s="43" t="s">
        <v>7031</v>
      </c>
      <c r="AW58" s="43" t="s">
        <v>7031</v>
      </c>
      <c r="AX58" s="43" t="s">
        <v>90</v>
      </c>
      <c r="AY58" s="43" t="s">
        <v>132</v>
      </c>
      <c r="AZ58" s="43" t="s">
        <v>7037</v>
      </c>
      <c r="BA58" s="43" t="s">
        <v>139</v>
      </c>
      <c r="BB58" s="45">
        <v>-0.72000000000000097</v>
      </c>
      <c r="BC58" s="45">
        <v>-0.71999999999999897</v>
      </c>
      <c r="BD58" s="43" t="s">
        <v>7106</v>
      </c>
      <c r="BE58" s="43" t="s">
        <v>81</v>
      </c>
      <c r="BF58" s="43" t="s">
        <v>81</v>
      </c>
      <c r="BG58" s="43" t="s">
        <v>86</v>
      </c>
      <c r="BH58" s="43" t="s">
        <v>177</v>
      </c>
      <c r="BI58" s="43" t="s">
        <v>7038</v>
      </c>
      <c r="BJ58" s="43" t="s">
        <v>7030</v>
      </c>
      <c r="BK58" s="43" t="s">
        <v>139</v>
      </c>
      <c r="BL58" s="43" t="s">
        <v>85</v>
      </c>
      <c r="BM58" s="43" t="s">
        <v>85</v>
      </c>
      <c r="BN58" s="43" t="s">
        <v>139</v>
      </c>
      <c r="BO58" s="46">
        <v>-0.71999999999999897</v>
      </c>
      <c r="BP58" s="43" t="s">
        <v>7106</v>
      </c>
      <c r="BQ58" s="43">
        <v>-0.71999999999999897</v>
      </c>
      <c r="BR58" s="43" t="s">
        <v>7106</v>
      </c>
      <c r="BS58" s="47">
        <v>-0.71999999999999897</v>
      </c>
      <c r="BT58" s="43" t="s">
        <v>7106</v>
      </c>
      <c r="BU58" s="43" t="s">
        <v>7106</v>
      </c>
      <c r="BV58" s="43" t="str">
        <f>CambioPlan[[#This Row],[TELEFONO]]&amp;"UPSELLSI"</f>
        <v>984087372UPSELLSI</v>
      </c>
      <c r="BW58" s="43">
        <f>DAY(CambioPlan[[#This Row],[FECHA_CAMBIO_PLAN]])</f>
        <v>16</v>
      </c>
      <c r="BX58" s="43" t="str">
        <f>VLOOKUP(CambioPlan[[#This Row],[NOM_PLAZA]],[1]!Locales[#Data],3,0)</f>
        <v>TIENDA RECREO</v>
      </c>
      <c r="BY58" s="43" t="str">
        <f>VLOOKUP(CambioPlan[[#This Row],[DOMAIN_LOGIN_OW]],[1]!Personal[#Data],6,0)</f>
        <v>ORTEGA  NATALIE MÉNDEZ</v>
      </c>
      <c r="BZ58" s="43"/>
      <c r="CA58" s="43" t="str">
        <f>IFERROR(IF(FIND("ADULTO",CambioPlan[[#This Row],[DESCRIPCION_PLAN_ACTUAL]],1),"NO SE PAGA",),"SI SE PAGA")</f>
        <v>SI SE PAGA</v>
      </c>
      <c r="CB58" s="45">
        <f>CambioPlan[[#This Row],[TARIFA_BASICA_ACTUAL]]-CambioPlan[[#This Row],[TARIFA_BASICA_ANTERIOR]]</f>
        <v>-0.72000000000000064</v>
      </c>
      <c r="CC58" s="56">
        <f>CambioPlan[[#This Row],[DIF. TARIFAS]]*4</f>
        <v>-2.8800000000000026</v>
      </c>
      <c r="CD58" s="53" t="str">
        <f>IF(CambioPlan[[#This Row],[C. COMISIÓN TME]]&lt;0,"DOWNSELL",IF(CambioPlan[[#This Row],[C. COMISIÓN TME]]=0,"MISMA TARIFA",IF(CambioPlan[[#This Row],[C. COMISIÓN TME]]&gt;0,"UPSELL")))</f>
        <v>DOWNSELL</v>
      </c>
      <c r="CE58">
        <f>VLOOKUP(CambioPlan[[#This Row],[TARIFA_BASICA_ANTERIOR]],[3]Hoja1!$F:$G,2,0)</f>
        <v>2</v>
      </c>
      <c r="CF58">
        <f>VLOOKUP(CambioPlan[[#This Row],[TARIFA_BASICA_ACTUAL]],[3]Hoja1!$B:$C,2,0)</f>
        <v>1</v>
      </c>
      <c r="CG58">
        <f t="shared" si="0"/>
        <v>-1</v>
      </c>
      <c r="CH58" t="e">
        <f>VLOOKUP(CambioPlan[[#This Row],[TELEFONO]],[1]Retenciones!$R$63:$R$287,1,0)</f>
        <v>#N/A</v>
      </c>
    </row>
    <row r="59" spans="1:86" x14ac:dyDescent="0.25">
      <c r="A59" s="43">
        <v>202212</v>
      </c>
      <c r="B59" s="44">
        <v>44914</v>
      </c>
      <c r="C59" s="43" t="s">
        <v>7260</v>
      </c>
      <c r="D59" s="43" t="s">
        <v>7261</v>
      </c>
      <c r="E59" s="43" t="s">
        <v>95</v>
      </c>
      <c r="F59" s="43" t="s">
        <v>231</v>
      </c>
      <c r="G59" s="43" t="s">
        <v>231</v>
      </c>
      <c r="H59" s="43" t="s">
        <v>67</v>
      </c>
      <c r="I59" s="43" t="s">
        <v>7262</v>
      </c>
      <c r="J59" s="43" t="s">
        <v>7029</v>
      </c>
      <c r="K59" s="43" t="s">
        <v>215</v>
      </c>
      <c r="L59" s="43" t="s">
        <v>359</v>
      </c>
      <c r="M59" s="43" t="s">
        <v>360</v>
      </c>
      <c r="N59" s="43" t="s">
        <v>79</v>
      </c>
      <c r="O59" s="45">
        <v>14.28</v>
      </c>
      <c r="P59" s="43" t="s">
        <v>95</v>
      </c>
      <c r="Q59" s="43" t="s">
        <v>95</v>
      </c>
      <c r="R59" s="43" t="s">
        <v>95</v>
      </c>
      <c r="S59" s="45">
        <v>0</v>
      </c>
      <c r="T59" s="43" t="s">
        <v>95</v>
      </c>
      <c r="U59" s="44" t="s">
        <v>95</v>
      </c>
      <c r="V59" s="44" t="s">
        <v>95</v>
      </c>
      <c r="W59" s="43" t="s">
        <v>95</v>
      </c>
      <c r="X59" s="45">
        <v>14.28</v>
      </c>
      <c r="Y59" s="43" t="s">
        <v>81</v>
      </c>
      <c r="Z59" s="43" t="s">
        <v>183</v>
      </c>
      <c r="AA59" s="43" t="s">
        <v>184</v>
      </c>
      <c r="AB59" s="43" t="s">
        <v>79</v>
      </c>
      <c r="AC59" s="45">
        <v>11.42</v>
      </c>
      <c r="AD59" s="43" t="s">
        <v>95</v>
      </c>
      <c r="AE59" s="43" t="s">
        <v>95</v>
      </c>
      <c r="AF59" s="43" t="s">
        <v>95</v>
      </c>
      <c r="AG59" s="43" t="s">
        <v>95</v>
      </c>
      <c r="AH59" s="45">
        <v>0</v>
      </c>
      <c r="AI59" s="43" t="s">
        <v>95</v>
      </c>
      <c r="AJ59" s="43" t="s">
        <v>95</v>
      </c>
      <c r="AK59" s="43" t="s">
        <v>95</v>
      </c>
      <c r="AL59" s="43" t="s">
        <v>95</v>
      </c>
      <c r="AM59" s="45">
        <v>11.42</v>
      </c>
      <c r="AN59" s="43" t="s">
        <v>81</v>
      </c>
      <c r="AO59" s="44">
        <v>44903</v>
      </c>
      <c r="AP59" s="43" t="s">
        <v>478</v>
      </c>
      <c r="AQ59" s="43" t="s">
        <v>479</v>
      </c>
      <c r="AR59" s="43" t="s">
        <v>478</v>
      </c>
      <c r="AS59" s="43" t="s">
        <v>479</v>
      </c>
      <c r="AT59" s="43" t="s">
        <v>85</v>
      </c>
      <c r="AU59" s="43" t="s">
        <v>7030</v>
      </c>
      <c r="AV59" s="43" t="s">
        <v>7031</v>
      </c>
      <c r="AW59" s="43" t="s">
        <v>7031</v>
      </c>
      <c r="AX59" s="43" t="s">
        <v>90</v>
      </c>
      <c r="AY59" s="43" t="s">
        <v>132</v>
      </c>
      <c r="AZ59" s="43" t="s">
        <v>7037</v>
      </c>
      <c r="BA59" s="43" t="s">
        <v>139</v>
      </c>
      <c r="BB59" s="45">
        <v>2.86</v>
      </c>
      <c r="BC59" s="45">
        <v>2.86</v>
      </c>
      <c r="BD59" s="43" t="s">
        <v>7032</v>
      </c>
      <c r="BE59" s="43" t="s">
        <v>81</v>
      </c>
      <c r="BF59" s="43" t="s">
        <v>81</v>
      </c>
      <c r="BG59" s="43" t="s">
        <v>86</v>
      </c>
      <c r="BH59" s="43" t="s">
        <v>138</v>
      </c>
      <c r="BI59" s="43" t="s">
        <v>7076</v>
      </c>
      <c r="BJ59" s="43" t="s">
        <v>7030</v>
      </c>
      <c r="BK59" s="43" t="s">
        <v>139</v>
      </c>
      <c r="BL59" s="43" t="s">
        <v>85</v>
      </c>
      <c r="BM59" s="43" t="s">
        <v>85</v>
      </c>
      <c r="BN59" s="43" t="s">
        <v>139</v>
      </c>
      <c r="BO59" s="46">
        <v>2.86</v>
      </c>
      <c r="BP59" s="43" t="s">
        <v>7032</v>
      </c>
      <c r="BQ59" s="43">
        <v>2.86</v>
      </c>
      <c r="BR59" s="43" t="s">
        <v>7032</v>
      </c>
      <c r="BS59" s="47">
        <v>2.86</v>
      </c>
      <c r="BT59" s="43" t="s">
        <v>7032</v>
      </c>
      <c r="BU59" s="43" t="s">
        <v>7032</v>
      </c>
      <c r="BV59" s="43" t="str">
        <f>CambioPlan[[#This Row],[TELEFONO]]&amp;"UPSELLSI"</f>
        <v>984094042UPSELLSI</v>
      </c>
      <c r="BW59" s="43">
        <f>DAY(CambioPlan[[#This Row],[FECHA_CAMBIO_PLAN]])</f>
        <v>8</v>
      </c>
      <c r="BX59" s="43" t="str">
        <f>VLOOKUP(CambioPlan[[#This Row],[NOM_PLAZA]],[1]!Locales[#Data],3,0)</f>
        <v>TIENDA AMERICA</v>
      </c>
      <c r="BY59" s="43" t="str">
        <f>VLOOKUP(CambioPlan[[#This Row],[DOMAIN_LOGIN_OW]],[1]!Personal[#Data],6,0)</f>
        <v>REINO TUFINO PAULTEH KATHERINE</v>
      </c>
      <c r="BZ59" s="43"/>
      <c r="CA59" s="43" t="str">
        <f>IFERROR(IF(FIND("ADULTO",CambioPlan[[#This Row],[DESCRIPCION_PLAN_ACTUAL]],1),"NO SE PAGA",),"SI SE PAGA")</f>
        <v>SI SE PAGA</v>
      </c>
      <c r="CB59" s="45">
        <f>CambioPlan[[#This Row],[TARIFA_BASICA_ACTUAL]]-CambioPlan[[#This Row],[TARIFA_BASICA_ANTERIOR]]</f>
        <v>2.8599999999999994</v>
      </c>
      <c r="CC59" s="56">
        <f>CambioPlan[[#This Row],[DIF. TARIFAS]]*4</f>
        <v>11.439999999999998</v>
      </c>
      <c r="CD59" s="53" t="str">
        <f>IF(CambioPlan[[#This Row],[C. COMISIÓN TME]]&lt;0,"DOWNSELL",IF(CambioPlan[[#This Row],[C. COMISIÓN TME]]=0,"MISMA TARIFA",IF(CambioPlan[[#This Row],[C. COMISIÓN TME]]&gt;0,"UPSELL")))</f>
        <v>UPSELL</v>
      </c>
      <c r="CE59">
        <f>VLOOKUP(CambioPlan[[#This Row],[TARIFA_BASICA_ANTERIOR]],[3]Hoja1!$F:$G,2,0)</f>
        <v>0</v>
      </c>
      <c r="CF59">
        <f>VLOOKUP(CambioPlan[[#This Row],[TARIFA_BASICA_ACTUAL]],[3]Hoja1!$B:$C,2,0)</f>
        <v>1</v>
      </c>
      <c r="CG59">
        <f t="shared" si="0"/>
        <v>1</v>
      </c>
      <c r="CH59" t="e">
        <f>VLOOKUP(CambioPlan[[#This Row],[TELEFONO]],[1]Retenciones!$R$63:$R$287,1,0)</f>
        <v>#N/A</v>
      </c>
    </row>
    <row r="60" spans="1:86" x14ac:dyDescent="0.25">
      <c r="A60" s="43">
        <v>202212</v>
      </c>
      <c r="B60" s="44">
        <v>44914</v>
      </c>
      <c r="C60" s="43" t="s">
        <v>7263</v>
      </c>
      <c r="D60" s="43" t="s">
        <v>7264</v>
      </c>
      <c r="E60" s="43" t="s">
        <v>95</v>
      </c>
      <c r="F60" s="43" t="s">
        <v>231</v>
      </c>
      <c r="G60" s="43" t="s">
        <v>231</v>
      </c>
      <c r="H60" s="43" t="s">
        <v>67</v>
      </c>
      <c r="I60" s="43" t="s">
        <v>7262</v>
      </c>
      <c r="J60" s="43" t="s">
        <v>7037</v>
      </c>
      <c r="K60" s="43" t="s">
        <v>215</v>
      </c>
      <c r="L60" s="43" t="s">
        <v>359</v>
      </c>
      <c r="M60" s="43" t="s">
        <v>360</v>
      </c>
      <c r="N60" s="43" t="s">
        <v>79</v>
      </c>
      <c r="O60" s="45">
        <v>14.28</v>
      </c>
      <c r="P60" s="43" t="s">
        <v>95</v>
      </c>
      <c r="Q60" s="43" t="s">
        <v>95</v>
      </c>
      <c r="R60" s="43" t="s">
        <v>95</v>
      </c>
      <c r="S60" s="45">
        <v>0</v>
      </c>
      <c r="T60" s="43" t="s">
        <v>95</v>
      </c>
      <c r="U60" s="44" t="s">
        <v>95</v>
      </c>
      <c r="V60" s="44" t="s">
        <v>95</v>
      </c>
      <c r="W60" s="43" t="s">
        <v>95</v>
      </c>
      <c r="X60" s="45">
        <v>14.28</v>
      </c>
      <c r="Y60" s="43" t="s">
        <v>81</v>
      </c>
      <c r="Z60" s="43" t="s">
        <v>183</v>
      </c>
      <c r="AA60" s="43" t="s">
        <v>184</v>
      </c>
      <c r="AB60" s="43" t="s">
        <v>79</v>
      </c>
      <c r="AC60" s="45">
        <v>11.42</v>
      </c>
      <c r="AD60" s="43" t="s">
        <v>95</v>
      </c>
      <c r="AE60" s="43" t="s">
        <v>95</v>
      </c>
      <c r="AF60" s="43" t="s">
        <v>95</v>
      </c>
      <c r="AG60" s="43" t="s">
        <v>95</v>
      </c>
      <c r="AH60" s="45">
        <v>0</v>
      </c>
      <c r="AI60" s="43" t="s">
        <v>95</v>
      </c>
      <c r="AJ60" s="43" t="s">
        <v>95</v>
      </c>
      <c r="AK60" s="43" t="s">
        <v>95</v>
      </c>
      <c r="AL60" s="43" t="s">
        <v>95</v>
      </c>
      <c r="AM60" s="45">
        <v>11.42</v>
      </c>
      <c r="AN60" s="43" t="s">
        <v>81</v>
      </c>
      <c r="AO60" s="44">
        <v>44903</v>
      </c>
      <c r="AP60" s="43" t="s">
        <v>478</v>
      </c>
      <c r="AQ60" s="43" t="s">
        <v>479</v>
      </c>
      <c r="AR60" s="43" t="s">
        <v>478</v>
      </c>
      <c r="AS60" s="43" t="s">
        <v>479</v>
      </c>
      <c r="AT60" s="43" t="s">
        <v>85</v>
      </c>
      <c r="AU60" s="43" t="s">
        <v>7030</v>
      </c>
      <c r="AV60" s="43" t="s">
        <v>7031</v>
      </c>
      <c r="AW60" s="43" t="s">
        <v>7031</v>
      </c>
      <c r="AX60" s="43" t="s">
        <v>90</v>
      </c>
      <c r="AY60" s="43" t="s">
        <v>132</v>
      </c>
      <c r="AZ60" s="43" t="s">
        <v>7037</v>
      </c>
      <c r="BA60" s="43" t="s">
        <v>139</v>
      </c>
      <c r="BB60" s="45">
        <v>2.86</v>
      </c>
      <c r="BC60" s="45">
        <v>2.86</v>
      </c>
      <c r="BD60" s="43" t="s">
        <v>7032</v>
      </c>
      <c r="BE60" s="43" t="s">
        <v>81</v>
      </c>
      <c r="BF60" s="43" t="s">
        <v>81</v>
      </c>
      <c r="BG60" s="43" t="s">
        <v>86</v>
      </c>
      <c r="BH60" s="43" t="s">
        <v>138</v>
      </c>
      <c r="BI60" s="43" t="s">
        <v>7076</v>
      </c>
      <c r="BJ60" s="43" t="s">
        <v>7030</v>
      </c>
      <c r="BK60" s="43" t="s">
        <v>139</v>
      </c>
      <c r="BL60" s="43" t="s">
        <v>85</v>
      </c>
      <c r="BM60" s="43" t="s">
        <v>85</v>
      </c>
      <c r="BN60" s="43" t="s">
        <v>139</v>
      </c>
      <c r="BO60" s="46">
        <v>2.86</v>
      </c>
      <c r="BP60" s="43" t="s">
        <v>7032</v>
      </c>
      <c r="BQ60" s="43">
        <v>2.86</v>
      </c>
      <c r="BR60" s="43" t="s">
        <v>7032</v>
      </c>
      <c r="BS60" s="47">
        <v>2.86</v>
      </c>
      <c r="BT60" s="43" t="s">
        <v>7032</v>
      </c>
      <c r="BU60" s="43" t="s">
        <v>7032</v>
      </c>
      <c r="BV60" s="43" t="str">
        <f>CambioPlan[[#This Row],[TELEFONO]]&amp;"UPSELLSI"</f>
        <v>984118358UPSELLSI</v>
      </c>
      <c r="BW60" s="43">
        <f>DAY(CambioPlan[[#This Row],[FECHA_CAMBIO_PLAN]])</f>
        <v>8</v>
      </c>
      <c r="BX60" s="43" t="str">
        <f>VLOOKUP(CambioPlan[[#This Row],[NOM_PLAZA]],[1]!Locales[#Data],3,0)</f>
        <v>TIENDA AMERICA</v>
      </c>
      <c r="BY60" s="43" t="str">
        <f>VLOOKUP(CambioPlan[[#This Row],[DOMAIN_LOGIN_OW]],[1]!Personal[#Data],6,0)</f>
        <v>REINO TUFINO PAULTEH KATHERINE</v>
      </c>
      <c r="BZ60" s="43"/>
      <c r="CA60" s="43" t="str">
        <f>IFERROR(IF(FIND("ADULTO",CambioPlan[[#This Row],[DESCRIPCION_PLAN_ACTUAL]],1),"NO SE PAGA",),"SI SE PAGA")</f>
        <v>SI SE PAGA</v>
      </c>
      <c r="CB60" s="45">
        <f>CambioPlan[[#This Row],[TARIFA_BASICA_ACTUAL]]-CambioPlan[[#This Row],[TARIFA_BASICA_ANTERIOR]]</f>
        <v>2.8599999999999994</v>
      </c>
      <c r="CC60" s="56">
        <f>CambioPlan[[#This Row],[DIF. TARIFAS]]*4</f>
        <v>11.439999999999998</v>
      </c>
      <c r="CD60" s="53" t="str">
        <f>IF(CambioPlan[[#This Row],[C. COMISIÓN TME]]&lt;0,"DOWNSELL",IF(CambioPlan[[#This Row],[C. COMISIÓN TME]]=0,"MISMA TARIFA",IF(CambioPlan[[#This Row],[C. COMISIÓN TME]]&gt;0,"UPSELL")))</f>
        <v>UPSELL</v>
      </c>
      <c r="CE60">
        <f>VLOOKUP(CambioPlan[[#This Row],[TARIFA_BASICA_ANTERIOR]],[3]Hoja1!$F:$G,2,0)</f>
        <v>0</v>
      </c>
      <c r="CF60">
        <f>VLOOKUP(CambioPlan[[#This Row],[TARIFA_BASICA_ACTUAL]],[3]Hoja1!$B:$C,2,0)</f>
        <v>1</v>
      </c>
      <c r="CG60">
        <f t="shared" si="0"/>
        <v>1</v>
      </c>
      <c r="CH60" t="e">
        <f>VLOOKUP(CambioPlan[[#This Row],[TELEFONO]],[1]Retenciones!$R$63:$R$287,1,0)</f>
        <v>#N/A</v>
      </c>
    </row>
    <row r="61" spans="1:86" x14ac:dyDescent="0.25">
      <c r="A61" s="43">
        <v>202212</v>
      </c>
      <c r="B61" s="44">
        <v>44914</v>
      </c>
      <c r="C61" s="43" t="s">
        <v>7265</v>
      </c>
      <c r="D61" s="43" t="s">
        <v>7266</v>
      </c>
      <c r="E61" s="43" t="s">
        <v>95</v>
      </c>
      <c r="F61" s="43" t="s">
        <v>77</v>
      </c>
      <c r="G61" s="43" t="s">
        <v>4453</v>
      </c>
      <c r="H61" s="43" t="s">
        <v>67</v>
      </c>
      <c r="I61" s="43" t="s">
        <v>7267</v>
      </c>
      <c r="J61" s="43" t="s">
        <v>7066</v>
      </c>
      <c r="K61" s="43" t="s">
        <v>84</v>
      </c>
      <c r="L61" s="43" t="s">
        <v>211</v>
      </c>
      <c r="M61" s="43" t="s">
        <v>212</v>
      </c>
      <c r="N61" s="43" t="s">
        <v>79</v>
      </c>
      <c r="O61" s="45">
        <v>25</v>
      </c>
      <c r="P61" s="43" t="s">
        <v>95</v>
      </c>
      <c r="Q61" s="43" t="s">
        <v>95</v>
      </c>
      <c r="R61" s="43" t="s">
        <v>95</v>
      </c>
      <c r="S61" s="45">
        <v>0</v>
      </c>
      <c r="T61" s="43" t="s">
        <v>95</v>
      </c>
      <c r="U61" s="44" t="s">
        <v>95</v>
      </c>
      <c r="V61" s="44" t="s">
        <v>95</v>
      </c>
      <c r="W61" s="43" t="s">
        <v>95</v>
      </c>
      <c r="X61" s="45">
        <v>25</v>
      </c>
      <c r="Y61" s="43" t="s">
        <v>81</v>
      </c>
      <c r="Z61" s="43" t="s">
        <v>2207</v>
      </c>
      <c r="AA61" s="43" t="s">
        <v>2208</v>
      </c>
      <c r="AB61" s="43" t="s">
        <v>79</v>
      </c>
      <c r="AC61" s="45">
        <v>15</v>
      </c>
      <c r="AD61" s="43" t="s">
        <v>95</v>
      </c>
      <c r="AE61" s="43" t="s">
        <v>95</v>
      </c>
      <c r="AF61" s="43" t="s">
        <v>95</v>
      </c>
      <c r="AG61" s="43" t="s">
        <v>95</v>
      </c>
      <c r="AH61" s="45">
        <v>0</v>
      </c>
      <c r="AI61" s="43" t="s">
        <v>95</v>
      </c>
      <c r="AJ61" s="43" t="s">
        <v>95</v>
      </c>
      <c r="AK61" s="43" t="s">
        <v>95</v>
      </c>
      <c r="AL61" s="43" t="s">
        <v>95</v>
      </c>
      <c r="AM61" s="45">
        <v>15</v>
      </c>
      <c r="AN61" s="43" t="s">
        <v>81</v>
      </c>
      <c r="AO61" s="44">
        <v>44907</v>
      </c>
      <c r="AP61" s="43" t="s">
        <v>651</v>
      </c>
      <c r="AQ61" s="43" t="s">
        <v>652</v>
      </c>
      <c r="AR61" s="43" t="s">
        <v>651</v>
      </c>
      <c r="AS61" s="43" t="s">
        <v>652</v>
      </c>
      <c r="AT61" s="43" t="s">
        <v>85</v>
      </c>
      <c r="AU61" s="43" t="s">
        <v>7030</v>
      </c>
      <c r="AV61" s="43" t="s">
        <v>7031</v>
      </c>
      <c r="AW61" s="43" t="s">
        <v>7031</v>
      </c>
      <c r="AX61" s="43" t="s">
        <v>90</v>
      </c>
      <c r="AY61" s="43" t="s">
        <v>114</v>
      </c>
      <c r="AZ61" s="43" t="s">
        <v>7047</v>
      </c>
      <c r="BA61" s="43" t="s">
        <v>92</v>
      </c>
      <c r="BB61" s="45">
        <v>10</v>
      </c>
      <c r="BC61" s="45">
        <v>10</v>
      </c>
      <c r="BD61" s="43" t="s">
        <v>7032</v>
      </c>
      <c r="BE61" s="43" t="s">
        <v>81</v>
      </c>
      <c r="BF61" s="43" t="s">
        <v>81</v>
      </c>
      <c r="BG61" s="43" t="s">
        <v>86</v>
      </c>
      <c r="BH61" s="43" t="s">
        <v>122</v>
      </c>
      <c r="BI61" s="43" t="s">
        <v>7048</v>
      </c>
      <c r="BJ61" s="43" t="s">
        <v>7030</v>
      </c>
      <c r="BK61" s="43" t="s">
        <v>92</v>
      </c>
      <c r="BL61" s="43" t="s">
        <v>85</v>
      </c>
      <c r="BM61" s="43" t="s">
        <v>85</v>
      </c>
      <c r="BN61" s="43" t="s">
        <v>92</v>
      </c>
      <c r="BO61" s="46">
        <v>10</v>
      </c>
      <c r="BP61" s="43" t="s">
        <v>7032</v>
      </c>
      <c r="BQ61" s="43">
        <v>10</v>
      </c>
      <c r="BR61" s="43" t="s">
        <v>7032</v>
      </c>
      <c r="BS61" s="47">
        <v>10</v>
      </c>
      <c r="BT61" s="43" t="s">
        <v>7032</v>
      </c>
      <c r="BU61" s="43" t="s">
        <v>7032</v>
      </c>
      <c r="BV61" s="43" t="str">
        <f>CambioPlan[[#This Row],[TELEFONO]]&amp;"UPSELLSI"</f>
        <v>984129713UPSELLSI</v>
      </c>
      <c r="BW61" s="43">
        <f>DAY(CambioPlan[[#This Row],[FECHA_CAMBIO_PLAN]])</f>
        <v>12</v>
      </c>
      <c r="BX61" s="43" t="str">
        <f>VLOOKUP(CambioPlan[[#This Row],[NOM_PLAZA]],[1]!Locales[#Data],3,0)</f>
        <v>TIENDA MACHALA</v>
      </c>
      <c r="BY61" s="43" t="str">
        <f>VLOOKUP(CambioPlan[[#This Row],[DOMAIN_LOGIN_OW]],[1]!Personal[#Data],6,0)</f>
        <v>SANCHEZ SARITAMA JOEL LUIS</v>
      </c>
      <c r="BZ61" s="43"/>
      <c r="CA61" s="43" t="str">
        <f>IFERROR(IF(FIND("ADULTO",CambioPlan[[#This Row],[DESCRIPCION_PLAN_ACTUAL]],1),"NO SE PAGA",),"SI SE PAGA")</f>
        <v>SI SE PAGA</v>
      </c>
      <c r="CB61" s="45">
        <f>CambioPlan[[#This Row],[TARIFA_BASICA_ACTUAL]]-CambioPlan[[#This Row],[TARIFA_BASICA_ANTERIOR]]</f>
        <v>10</v>
      </c>
      <c r="CC61" s="56">
        <f>CambioPlan[[#This Row],[DIF. TARIFAS]]*4</f>
        <v>40</v>
      </c>
      <c r="CD61" s="53" t="str">
        <f>IF(CambioPlan[[#This Row],[C. COMISIÓN TME]]&lt;0,"DOWNSELL",IF(CambioPlan[[#This Row],[C. COMISIÓN TME]]=0,"MISMA TARIFA",IF(CambioPlan[[#This Row],[C. COMISIÓN TME]]&gt;0,"UPSELL")))</f>
        <v>UPSELL</v>
      </c>
      <c r="CE61">
        <f>VLOOKUP(CambioPlan[[#This Row],[TARIFA_BASICA_ANTERIOR]],[3]Hoja1!$F:$G,2,0)</f>
        <v>2</v>
      </c>
      <c r="CF61">
        <f>VLOOKUP(CambioPlan[[#This Row],[TARIFA_BASICA_ACTUAL]],[3]Hoja1!$B:$C,2,0)</f>
        <v>4</v>
      </c>
      <c r="CG61">
        <f t="shared" si="0"/>
        <v>2</v>
      </c>
      <c r="CH61" t="e">
        <f>VLOOKUP(CambioPlan[[#This Row],[TELEFONO]],[1]Retenciones!$R$63:$R$287,1,0)</f>
        <v>#N/A</v>
      </c>
    </row>
    <row r="62" spans="1:86" x14ac:dyDescent="0.25">
      <c r="A62" s="43">
        <v>202212</v>
      </c>
      <c r="B62" s="44">
        <v>44914</v>
      </c>
      <c r="C62" s="43" t="s">
        <v>7268</v>
      </c>
      <c r="D62" s="43" t="s">
        <v>7269</v>
      </c>
      <c r="E62" s="43" t="s">
        <v>95</v>
      </c>
      <c r="F62" s="43" t="s">
        <v>231</v>
      </c>
      <c r="G62" s="43" t="s">
        <v>231</v>
      </c>
      <c r="H62" s="43" t="s">
        <v>67</v>
      </c>
      <c r="I62" s="43" t="s">
        <v>7262</v>
      </c>
      <c r="J62" s="43" t="s">
        <v>7037</v>
      </c>
      <c r="K62" s="43" t="s">
        <v>215</v>
      </c>
      <c r="L62" s="43" t="s">
        <v>359</v>
      </c>
      <c r="M62" s="43" t="s">
        <v>360</v>
      </c>
      <c r="N62" s="43" t="s">
        <v>79</v>
      </c>
      <c r="O62" s="45">
        <v>14.28</v>
      </c>
      <c r="P62" s="43" t="s">
        <v>95</v>
      </c>
      <c r="Q62" s="43" t="s">
        <v>95</v>
      </c>
      <c r="R62" s="43" t="s">
        <v>95</v>
      </c>
      <c r="S62" s="45">
        <v>0</v>
      </c>
      <c r="T62" s="43" t="s">
        <v>95</v>
      </c>
      <c r="U62" s="44" t="s">
        <v>95</v>
      </c>
      <c r="V62" s="44" t="s">
        <v>95</v>
      </c>
      <c r="W62" s="43" t="s">
        <v>95</v>
      </c>
      <c r="X62" s="45">
        <v>14.28</v>
      </c>
      <c r="Y62" s="43" t="s">
        <v>81</v>
      </c>
      <c r="Z62" s="43" t="s">
        <v>183</v>
      </c>
      <c r="AA62" s="43" t="s">
        <v>184</v>
      </c>
      <c r="AB62" s="43" t="s">
        <v>79</v>
      </c>
      <c r="AC62" s="45">
        <v>11.42</v>
      </c>
      <c r="AD62" s="43" t="s">
        <v>95</v>
      </c>
      <c r="AE62" s="43" t="s">
        <v>95</v>
      </c>
      <c r="AF62" s="43" t="s">
        <v>95</v>
      </c>
      <c r="AG62" s="43" t="s">
        <v>95</v>
      </c>
      <c r="AH62" s="45">
        <v>0</v>
      </c>
      <c r="AI62" s="43" t="s">
        <v>95</v>
      </c>
      <c r="AJ62" s="43" t="s">
        <v>95</v>
      </c>
      <c r="AK62" s="43" t="s">
        <v>95</v>
      </c>
      <c r="AL62" s="43" t="s">
        <v>95</v>
      </c>
      <c r="AM62" s="45">
        <v>11.42</v>
      </c>
      <c r="AN62" s="43" t="s">
        <v>81</v>
      </c>
      <c r="AO62" s="44">
        <v>44903</v>
      </c>
      <c r="AP62" s="43" t="s">
        <v>478</v>
      </c>
      <c r="AQ62" s="43" t="s">
        <v>479</v>
      </c>
      <c r="AR62" s="43" t="s">
        <v>478</v>
      </c>
      <c r="AS62" s="43" t="s">
        <v>479</v>
      </c>
      <c r="AT62" s="43" t="s">
        <v>85</v>
      </c>
      <c r="AU62" s="43" t="s">
        <v>7030</v>
      </c>
      <c r="AV62" s="43" t="s">
        <v>7031</v>
      </c>
      <c r="AW62" s="43" t="s">
        <v>7031</v>
      </c>
      <c r="AX62" s="43" t="s">
        <v>90</v>
      </c>
      <c r="AY62" s="43" t="s">
        <v>132</v>
      </c>
      <c r="AZ62" s="43" t="s">
        <v>7037</v>
      </c>
      <c r="BA62" s="43" t="s">
        <v>139</v>
      </c>
      <c r="BB62" s="45">
        <v>2.86</v>
      </c>
      <c r="BC62" s="45">
        <v>2.86</v>
      </c>
      <c r="BD62" s="43" t="s">
        <v>7032</v>
      </c>
      <c r="BE62" s="43" t="s">
        <v>81</v>
      </c>
      <c r="BF62" s="43" t="s">
        <v>81</v>
      </c>
      <c r="BG62" s="43" t="s">
        <v>86</v>
      </c>
      <c r="BH62" s="43" t="s">
        <v>138</v>
      </c>
      <c r="BI62" s="43" t="s">
        <v>7076</v>
      </c>
      <c r="BJ62" s="43" t="s">
        <v>7030</v>
      </c>
      <c r="BK62" s="43" t="s">
        <v>139</v>
      </c>
      <c r="BL62" s="43" t="s">
        <v>85</v>
      </c>
      <c r="BM62" s="43" t="s">
        <v>85</v>
      </c>
      <c r="BN62" s="43" t="s">
        <v>139</v>
      </c>
      <c r="BO62" s="46">
        <v>2.86</v>
      </c>
      <c r="BP62" s="43" t="s">
        <v>7032</v>
      </c>
      <c r="BQ62" s="43">
        <v>2.86</v>
      </c>
      <c r="BR62" s="43" t="s">
        <v>7032</v>
      </c>
      <c r="BS62" s="47">
        <v>2.86</v>
      </c>
      <c r="BT62" s="43" t="s">
        <v>7032</v>
      </c>
      <c r="BU62" s="43" t="s">
        <v>7032</v>
      </c>
      <c r="BV62" s="43" t="str">
        <f>CambioPlan[[#This Row],[TELEFONO]]&amp;"UPSELLSI"</f>
        <v>984140163UPSELLSI</v>
      </c>
      <c r="BW62" s="43">
        <f>DAY(CambioPlan[[#This Row],[FECHA_CAMBIO_PLAN]])</f>
        <v>8</v>
      </c>
      <c r="BX62" s="43" t="str">
        <f>VLOOKUP(CambioPlan[[#This Row],[NOM_PLAZA]],[1]!Locales[#Data],3,0)</f>
        <v>TIENDA AMERICA</v>
      </c>
      <c r="BY62" s="43" t="str">
        <f>VLOOKUP(CambioPlan[[#This Row],[DOMAIN_LOGIN_OW]],[1]!Personal[#Data],6,0)</f>
        <v>REINO TUFINO PAULTEH KATHERINE</v>
      </c>
      <c r="BZ62" s="43"/>
      <c r="CA62" s="43" t="str">
        <f>IFERROR(IF(FIND("ADULTO",CambioPlan[[#This Row],[DESCRIPCION_PLAN_ACTUAL]],1),"NO SE PAGA",),"SI SE PAGA")</f>
        <v>SI SE PAGA</v>
      </c>
      <c r="CB62" s="45">
        <f>CambioPlan[[#This Row],[TARIFA_BASICA_ACTUAL]]-CambioPlan[[#This Row],[TARIFA_BASICA_ANTERIOR]]</f>
        <v>2.8599999999999994</v>
      </c>
      <c r="CC62" s="56">
        <f>CambioPlan[[#This Row],[DIF. TARIFAS]]*4</f>
        <v>11.439999999999998</v>
      </c>
      <c r="CD62" s="53" t="str">
        <f>IF(CambioPlan[[#This Row],[C. COMISIÓN TME]]&lt;0,"DOWNSELL",IF(CambioPlan[[#This Row],[C. COMISIÓN TME]]=0,"MISMA TARIFA",IF(CambioPlan[[#This Row],[C. COMISIÓN TME]]&gt;0,"UPSELL")))</f>
        <v>UPSELL</v>
      </c>
      <c r="CE62">
        <f>VLOOKUP(CambioPlan[[#This Row],[TARIFA_BASICA_ANTERIOR]],[3]Hoja1!$F:$G,2,0)</f>
        <v>0</v>
      </c>
      <c r="CF62">
        <f>VLOOKUP(CambioPlan[[#This Row],[TARIFA_BASICA_ACTUAL]],[3]Hoja1!$B:$C,2,0)</f>
        <v>1</v>
      </c>
      <c r="CG62">
        <f t="shared" si="0"/>
        <v>1</v>
      </c>
      <c r="CH62" t="e">
        <f>VLOOKUP(CambioPlan[[#This Row],[TELEFONO]],[1]Retenciones!$R$63:$R$287,1,0)</f>
        <v>#N/A</v>
      </c>
    </row>
    <row r="63" spans="1:86" x14ac:dyDescent="0.25">
      <c r="A63" s="43">
        <v>202212</v>
      </c>
      <c r="B63" s="44">
        <v>44914</v>
      </c>
      <c r="C63" s="43" t="s">
        <v>7270</v>
      </c>
      <c r="D63" s="43" t="s">
        <v>7271</v>
      </c>
      <c r="E63" s="43" t="s">
        <v>95</v>
      </c>
      <c r="F63" s="43" t="s">
        <v>311</v>
      </c>
      <c r="G63" s="43" t="s">
        <v>311</v>
      </c>
      <c r="H63" s="43" t="s">
        <v>67</v>
      </c>
      <c r="I63" s="43" t="s">
        <v>7272</v>
      </c>
      <c r="J63" s="43" t="s">
        <v>7037</v>
      </c>
      <c r="K63" s="43" t="s">
        <v>84</v>
      </c>
      <c r="L63" s="43" t="s">
        <v>7069</v>
      </c>
      <c r="M63" s="43" t="s">
        <v>7070</v>
      </c>
      <c r="N63" s="43" t="s">
        <v>79</v>
      </c>
      <c r="O63" s="45">
        <v>21.42</v>
      </c>
      <c r="P63" s="43" t="s">
        <v>95</v>
      </c>
      <c r="Q63" s="43" t="s">
        <v>95</v>
      </c>
      <c r="R63" s="43" t="s">
        <v>95</v>
      </c>
      <c r="S63" s="45">
        <v>0</v>
      </c>
      <c r="T63" s="43" t="s">
        <v>95</v>
      </c>
      <c r="U63" s="44" t="s">
        <v>95</v>
      </c>
      <c r="V63" s="44" t="s">
        <v>95</v>
      </c>
      <c r="W63" s="43" t="s">
        <v>95</v>
      </c>
      <c r="X63" s="45">
        <v>21.42</v>
      </c>
      <c r="Y63" s="43" t="s">
        <v>81</v>
      </c>
      <c r="Z63" s="43" t="s">
        <v>7176</v>
      </c>
      <c r="AA63" s="43" t="s">
        <v>7177</v>
      </c>
      <c r="AB63" s="43" t="s">
        <v>79</v>
      </c>
      <c r="AC63" s="45">
        <v>16.989999999999998</v>
      </c>
      <c r="AD63" s="43" t="s">
        <v>95</v>
      </c>
      <c r="AE63" s="43" t="s">
        <v>95</v>
      </c>
      <c r="AF63" s="43" t="s">
        <v>95</v>
      </c>
      <c r="AG63" s="43" t="s">
        <v>95</v>
      </c>
      <c r="AH63" s="45">
        <v>6.7960000000000003</v>
      </c>
      <c r="AI63" s="43" t="s">
        <v>7273</v>
      </c>
      <c r="AJ63" s="43">
        <v>44813</v>
      </c>
      <c r="AK63" s="43">
        <v>44994</v>
      </c>
      <c r="AL63" s="43" t="s">
        <v>7062</v>
      </c>
      <c r="AM63" s="45">
        <v>10.194000000000001</v>
      </c>
      <c r="AN63" s="43" t="s">
        <v>81</v>
      </c>
      <c r="AO63" s="44">
        <v>44897</v>
      </c>
      <c r="AP63" s="43" t="s">
        <v>149</v>
      </c>
      <c r="AQ63" s="43" t="s">
        <v>150</v>
      </c>
      <c r="AR63" s="43" t="s">
        <v>7062</v>
      </c>
      <c r="AS63" s="43" t="s">
        <v>95</v>
      </c>
      <c r="AT63" s="43" t="s">
        <v>85</v>
      </c>
      <c r="AU63" s="43" t="s">
        <v>7030</v>
      </c>
      <c r="AV63" s="43" t="s">
        <v>7031</v>
      </c>
      <c r="AW63" s="43" t="s">
        <v>7031</v>
      </c>
      <c r="AX63" s="43" t="s">
        <v>90</v>
      </c>
      <c r="AY63" s="43" t="s">
        <v>73</v>
      </c>
      <c r="AZ63" s="43" t="s">
        <v>7029</v>
      </c>
      <c r="BA63" s="43" t="s">
        <v>92</v>
      </c>
      <c r="BB63" s="45">
        <v>4.43</v>
      </c>
      <c r="BC63" s="45">
        <v>11.226000000000001</v>
      </c>
      <c r="BD63" s="43" t="s">
        <v>7032</v>
      </c>
      <c r="BE63" s="43" t="s">
        <v>81</v>
      </c>
      <c r="BF63" s="43" t="s">
        <v>81</v>
      </c>
      <c r="BG63" s="43" t="s">
        <v>86</v>
      </c>
      <c r="BH63" s="43" t="s">
        <v>151</v>
      </c>
      <c r="BI63" s="43" t="s">
        <v>7033</v>
      </c>
      <c r="BJ63" s="43" t="s">
        <v>7030</v>
      </c>
      <c r="BK63" s="43" t="s">
        <v>92</v>
      </c>
      <c r="BL63" s="43" t="s">
        <v>85</v>
      </c>
      <c r="BM63" s="43" t="s">
        <v>85</v>
      </c>
      <c r="BN63" s="43" t="s">
        <v>92</v>
      </c>
      <c r="BO63" s="46">
        <v>4.43</v>
      </c>
      <c r="BP63" s="43" t="s">
        <v>7032</v>
      </c>
      <c r="BQ63" s="43">
        <v>4.43</v>
      </c>
      <c r="BR63" s="43" t="s">
        <v>7032</v>
      </c>
      <c r="BS63" s="47">
        <v>11.226000000000001</v>
      </c>
      <c r="BT63" s="43" t="s">
        <v>7032</v>
      </c>
      <c r="BU63" s="43" t="s">
        <v>7032</v>
      </c>
      <c r="BV63" s="43" t="str">
        <f>CambioPlan[[#This Row],[TELEFONO]]&amp;"UPSELLSI"</f>
        <v>984196927UPSELLSI</v>
      </c>
      <c r="BW63" s="43">
        <f>DAY(CambioPlan[[#This Row],[FECHA_CAMBIO_PLAN]])</f>
        <v>2</v>
      </c>
      <c r="BX63" s="43" t="str">
        <f>VLOOKUP(CambioPlan[[#This Row],[NOM_PLAZA]],[1]!Locales[#Data],3,0)</f>
        <v>TIENDA CUENCA REMIGIO</v>
      </c>
      <c r="BY63" s="43" t="str">
        <f>VLOOKUP(CambioPlan[[#This Row],[DOMAIN_LOGIN_OW]],[1]!Personal[#Data],6,0)</f>
        <v>OSORIO TEJADA ANA ESTEFANIA</v>
      </c>
      <c r="BZ63" s="43"/>
      <c r="CA63" s="43" t="str">
        <f>IFERROR(IF(FIND("ADULTO",CambioPlan[[#This Row],[DESCRIPCION_PLAN_ACTUAL]],1),"NO SE PAGA",),"SI SE PAGA")</f>
        <v>SI SE PAGA</v>
      </c>
      <c r="CB63" s="45">
        <f>CambioPlan[[#This Row],[TARIFA_BASICA_ACTUAL]]-CambioPlan[[#This Row],[TARIFA_BASICA_ANTERIOR]]</f>
        <v>4.4300000000000033</v>
      </c>
      <c r="CC63" s="56">
        <f>CambioPlan[[#This Row],[DIF. TARIFAS]]*4</f>
        <v>17.720000000000013</v>
      </c>
      <c r="CD63" s="53" t="str">
        <f>IF(CambioPlan[[#This Row],[C. COMISIÓN TME]]&lt;0,"DOWNSELL",IF(CambioPlan[[#This Row],[C. COMISIÓN TME]]=0,"MISMA TARIFA",IF(CambioPlan[[#This Row],[C. COMISIÓN TME]]&gt;0,"UPSELL")))</f>
        <v>UPSELL</v>
      </c>
      <c r="CE63">
        <f>VLOOKUP(CambioPlan[[#This Row],[TARIFA_BASICA_ANTERIOR]],[3]Hoja1!$F:$G,2,0)</f>
        <v>2</v>
      </c>
      <c r="CF63">
        <f>VLOOKUP(CambioPlan[[#This Row],[TARIFA_BASICA_ACTUAL]],[3]Hoja1!$B:$C,2,0)</f>
        <v>3</v>
      </c>
      <c r="CG63">
        <f t="shared" si="0"/>
        <v>1</v>
      </c>
      <c r="CH63" t="e">
        <f>VLOOKUP(CambioPlan[[#This Row],[TELEFONO]],[1]Retenciones!$R$63:$R$287,1,0)</f>
        <v>#N/A</v>
      </c>
    </row>
    <row r="64" spans="1:86" x14ac:dyDescent="0.25">
      <c r="A64" s="43">
        <v>202212</v>
      </c>
      <c r="B64" s="44">
        <v>44914</v>
      </c>
      <c r="C64" s="43" t="s">
        <v>7274</v>
      </c>
      <c r="D64" s="43" t="s">
        <v>7275</v>
      </c>
      <c r="E64" s="43" t="s">
        <v>95</v>
      </c>
      <c r="F64" s="43" t="s">
        <v>77</v>
      </c>
      <c r="G64" s="43" t="s">
        <v>1532</v>
      </c>
      <c r="H64" s="43" t="s">
        <v>67</v>
      </c>
      <c r="I64" s="43" t="s">
        <v>7276</v>
      </c>
      <c r="J64" s="43" t="s">
        <v>7037</v>
      </c>
      <c r="K64" s="43" t="s">
        <v>118</v>
      </c>
      <c r="L64" s="43" t="s">
        <v>183</v>
      </c>
      <c r="M64" s="43" t="s">
        <v>184</v>
      </c>
      <c r="N64" s="43" t="s">
        <v>79</v>
      </c>
      <c r="O64" s="45">
        <v>11.42</v>
      </c>
      <c r="P64" s="43" t="s">
        <v>95</v>
      </c>
      <c r="Q64" s="43" t="s">
        <v>95</v>
      </c>
      <c r="R64" s="43" t="s">
        <v>95</v>
      </c>
      <c r="S64" s="45">
        <v>0</v>
      </c>
      <c r="T64" s="43" t="s">
        <v>95</v>
      </c>
      <c r="U64" s="44" t="s">
        <v>95</v>
      </c>
      <c r="V64" s="44" t="s">
        <v>95</v>
      </c>
      <c r="W64" s="43" t="s">
        <v>95</v>
      </c>
      <c r="X64" s="45">
        <v>11.42</v>
      </c>
      <c r="Y64" s="43" t="s">
        <v>81</v>
      </c>
      <c r="Z64" s="43" t="s">
        <v>7227</v>
      </c>
      <c r="AA64" s="43" t="s">
        <v>7277</v>
      </c>
      <c r="AB64" s="43" t="s">
        <v>79</v>
      </c>
      <c r="AC64" s="45">
        <v>9.99</v>
      </c>
      <c r="AD64" s="43" t="s">
        <v>95</v>
      </c>
      <c r="AE64" s="43" t="s">
        <v>95</v>
      </c>
      <c r="AF64" s="43" t="s">
        <v>95</v>
      </c>
      <c r="AG64" s="43" t="s">
        <v>95</v>
      </c>
      <c r="AH64" s="45">
        <v>0</v>
      </c>
      <c r="AI64" s="43" t="s">
        <v>95</v>
      </c>
      <c r="AJ64" s="43" t="s">
        <v>95</v>
      </c>
      <c r="AK64" s="43" t="s">
        <v>95</v>
      </c>
      <c r="AL64" s="43" t="s">
        <v>95</v>
      </c>
      <c r="AM64" s="45">
        <v>9.99</v>
      </c>
      <c r="AN64" s="43" t="s">
        <v>81</v>
      </c>
      <c r="AO64" s="44">
        <v>44901</v>
      </c>
      <c r="AP64" s="43" t="s">
        <v>2159</v>
      </c>
      <c r="AQ64" s="43" t="s">
        <v>2160</v>
      </c>
      <c r="AR64" s="43" t="s">
        <v>2159</v>
      </c>
      <c r="AS64" s="43" t="s">
        <v>2160</v>
      </c>
      <c r="AT64" s="43" t="s">
        <v>85</v>
      </c>
      <c r="AU64" s="43" t="s">
        <v>7030</v>
      </c>
      <c r="AV64" s="43" t="s">
        <v>7031</v>
      </c>
      <c r="AW64" s="43" t="s">
        <v>7031</v>
      </c>
      <c r="AX64" s="43" t="s">
        <v>90</v>
      </c>
      <c r="AY64" s="43" t="s">
        <v>132</v>
      </c>
      <c r="AZ64" s="43" t="s">
        <v>7037</v>
      </c>
      <c r="BA64" s="43" t="s">
        <v>139</v>
      </c>
      <c r="BB64" s="45">
        <v>1.43</v>
      </c>
      <c r="BC64" s="45">
        <v>1.43</v>
      </c>
      <c r="BD64" s="43" t="s">
        <v>7032</v>
      </c>
      <c r="BE64" s="43" t="s">
        <v>81</v>
      </c>
      <c r="BF64" s="43" t="s">
        <v>81</v>
      </c>
      <c r="BG64" s="43" t="s">
        <v>86</v>
      </c>
      <c r="BH64" s="43" t="s">
        <v>177</v>
      </c>
      <c r="BI64" s="43" t="s">
        <v>7038</v>
      </c>
      <c r="BJ64" s="43" t="s">
        <v>7030</v>
      </c>
      <c r="BK64" s="43" t="s">
        <v>139</v>
      </c>
      <c r="BL64" s="43" t="s">
        <v>85</v>
      </c>
      <c r="BM64" s="43" t="s">
        <v>85</v>
      </c>
      <c r="BN64" s="43" t="s">
        <v>139</v>
      </c>
      <c r="BO64" s="46">
        <v>1.43</v>
      </c>
      <c r="BP64" s="43" t="s">
        <v>7032</v>
      </c>
      <c r="BQ64" s="43">
        <v>1.43</v>
      </c>
      <c r="BR64" s="43" t="s">
        <v>7032</v>
      </c>
      <c r="BS64" s="47">
        <v>1.43</v>
      </c>
      <c r="BT64" s="43" t="s">
        <v>7032</v>
      </c>
      <c r="BU64" s="43" t="s">
        <v>7032</v>
      </c>
      <c r="BV64" s="43" t="str">
        <f>CambioPlan[[#This Row],[TELEFONO]]&amp;"UPSELLSI"</f>
        <v>984247609UPSELLSI</v>
      </c>
      <c r="BW64" s="43">
        <f>DAY(CambioPlan[[#This Row],[FECHA_CAMBIO_PLAN]])</f>
        <v>6</v>
      </c>
      <c r="BX64" s="43" t="str">
        <f>VLOOKUP(CambioPlan[[#This Row],[NOM_PLAZA]],[1]!Locales[#Data],3,0)</f>
        <v>TIENDA RECREO</v>
      </c>
      <c r="BY64" s="43" t="str">
        <f>VLOOKUP(CambioPlan[[#This Row],[DOMAIN_LOGIN_OW]],[1]!Personal[#Data],6,0)</f>
        <v>GUEVARA MAZA CRISTIAN FABIAN</v>
      </c>
      <c r="BZ64" s="43"/>
      <c r="CA64" s="43" t="str">
        <f>IFERROR(IF(FIND("ADULTO",CambioPlan[[#This Row],[DESCRIPCION_PLAN_ACTUAL]],1),"NO SE PAGA",),"SI SE PAGA")</f>
        <v>SI SE PAGA</v>
      </c>
      <c r="CB64" s="45">
        <f>CambioPlan[[#This Row],[TARIFA_BASICA_ACTUAL]]-CambioPlan[[#This Row],[TARIFA_BASICA_ANTERIOR]]</f>
        <v>1.4299999999999997</v>
      </c>
      <c r="CC64" s="56">
        <f>CambioPlan[[#This Row],[DIF. TARIFAS]]*4</f>
        <v>5.7199999999999989</v>
      </c>
      <c r="CD64" s="53" t="str">
        <f>IF(CambioPlan[[#This Row],[C. COMISIÓN TME]]&lt;0,"DOWNSELL",IF(CambioPlan[[#This Row],[C. COMISIÓN TME]]=0,"MISMA TARIFA",IF(CambioPlan[[#This Row],[C. COMISIÓN TME]]&gt;0,"UPSELL")))</f>
        <v>UPSELL</v>
      </c>
      <c r="CE64">
        <f>VLOOKUP(CambioPlan[[#This Row],[TARIFA_BASICA_ANTERIOR]],[3]Hoja1!$F:$G,2,0)</f>
        <v>0</v>
      </c>
      <c r="CF64">
        <f>VLOOKUP(CambioPlan[[#This Row],[TARIFA_BASICA_ACTUAL]],[3]Hoja1!$B:$C,2,0)</f>
        <v>0</v>
      </c>
      <c r="CG64">
        <f t="shared" si="0"/>
        <v>0</v>
      </c>
      <c r="CH64" t="e">
        <f>VLOOKUP(CambioPlan[[#This Row],[TELEFONO]],[1]Retenciones!$R$63:$R$287,1,0)</f>
        <v>#N/A</v>
      </c>
    </row>
    <row r="65" spans="1:86" x14ac:dyDescent="0.25">
      <c r="A65" s="43">
        <v>202212</v>
      </c>
      <c r="B65" s="44">
        <v>44914</v>
      </c>
      <c r="C65" s="43" t="s">
        <v>7278</v>
      </c>
      <c r="D65" s="43" t="s">
        <v>7279</v>
      </c>
      <c r="E65" s="43" t="s">
        <v>95</v>
      </c>
      <c r="F65" s="43" t="s">
        <v>77</v>
      </c>
      <c r="G65" s="43" t="s">
        <v>1532</v>
      </c>
      <c r="H65" s="43" t="s">
        <v>67</v>
      </c>
      <c r="I65" s="43" t="s">
        <v>7280</v>
      </c>
      <c r="J65" s="43" t="s">
        <v>7037</v>
      </c>
      <c r="K65" s="43" t="s">
        <v>84</v>
      </c>
      <c r="L65" s="43" t="s">
        <v>3972</v>
      </c>
      <c r="M65" s="43" t="s">
        <v>3973</v>
      </c>
      <c r="N65" s="43" t="s">
        <v>79</v>
      </c>
      <c r="O65" s="45">
        <v>26.78</v>
      </c>
      <c r="P65" s="43" t="s">
        <v>95</v>
      </c>
      <c r="Q65" s="43" t="s">
        <v>95</v>
      </c>
      <c r="R65" s="43" t="s">
        <v>95</v>
      </c>
      <c r="S65" s="45">
        <v>0</v>
      </c>
      <c r="T65" s="43" t="s">
        <v>95</v>
      </c>
      <c r="U65" s="44" t="s">
        <v>95</v>
      </c>
      <c r="V65" s="44" t="s">
        <v>95</v>
      </c>
      <c r="W65" s="43" t="s">
        <v>95</v>
      </c>
      <c r="X65" s="45">
        <v>26.78</v>
      </c>
      <c r="Y65" s="43" t="s">
        <v>81</v>
      </c>
      <c r="Z65" s="43" t="s">
        <v>7281</v>
      </c>
      <c r="AA65" s="43" t="s">
        <v>7282</v>
      </c>
      <c r="AB65" s="43" t="s">
        <v>79</v>
      </c>
      <c r="AC65" s="45">
        <v>17.03</v>
      </c>
      <c r="AD65" s="43" t="s">
        <v>95</v>
      </c>
      <c r="AE65" s="43" t="s">
        <v>95</v>
      </c>
      <c r="AF65" s="43" t="s">
        <v>95</v>
      </c>
      <c r="AG65" s="43" t="s">
        <v>95</v>
      </c>
      <c r="AH65" s="45">
        <v>0</v>
      </c>
      <c r="AI65" s="43" t="s">
        <v>95</v>
      </c>
      <c r="AJ65" s="43" t="s">
        <v>95</v>
      </c>
      <c r="AK65" s="43" t="s">
        <v>95</v>
      </c>
      <c r="AL65" s="43" t="s">
        <v>95</v>
      </c>
      <c r="AM65" s="45">
        <v>17.03</v>
      </c>
      <c r="AN65" s="43" t="s">
        <v>81</v>
      </c>
      <c r="AO65" s="44">
        <v>44907</v>
      </c>
      <c r="AP65" s="43" t="s">
        <v>1315</v>
      </c>
      <c r="AQ65" s="43" t="s">
        <v>1316</v>
      </c>
      <c r="AR65" s="43" t="s">
        <v>1315</v>
      </c>
      <c r="AS65" s="43" t="s">
        <v>1316</v>
      </c>
      <c r="AT65" s="43" t="s">
        <v>85</v>
      </c>
      <c r="AU65" s="43" t="s">
        <v>7030</v>
      </c>
      <c r="AV65" s="43" t="s">
        <v>7031</v>
      </c>
      <c r="AW65" s="43" t="s">
        <v>7031</v>
      </c>
      <c r="AX65" s="43" t="s">
        <v>90</v>
      </c>
      <c r="AY65" s="43" t="s">
        <v>132</v>
      </c>
      <c r="AZ65" s="43" t="s">
        <v>7037</v>
      </c>
      <c r="BA65" s="43" t="s">
        <v>139</v>
      </c>
      <c r="BB65" s="45">
        <v>9.75</v>
      </c>
      <c r="BC65" s="45">
        <v>9.75</v>
      </c>
      <c r="BD65" s="43" t="s">
        <v>7032</v>
      </c>
      <c r="BE65" s="43" t="s">
        <v>81</v>
      </c>
      <c r="BF65" s="43" t="s">
        <v>81</v>
      </c>
      <c r="BG65" s="43" t="s">
        <v>86</v>
      </c>
      <c r="BH65" s="43" t="s">
        <v>177</v>
      </c>
      <c r="BI65" s="43" t="s">
        <v>7038</v>
      </c>
      <c r="BJ65" s="43" t="s">
        <v>7030</v>
      </c>
      <c r="BK65" s="43" t="s">
        <v>139</v>
      </c>
      <c r="BL65" s="43" t="s">
        <v>85</v>
      </c>
      <c r="BM65" s="43" t="s">
        <v>85</v>
      </c>
      <c r="BN65" s="43" t="s">
        <v>139</v>
      </c>
      <c r="BO65" s="46">
        <v>9.75</v>
      </c>
      <c r="BP65" s="43" t="s">
        <v>7032</v>
      </c>
      <c r="BQ65" s="43">
        <v>9.75</v>
      </c>
      <c r="BR65" s="43" t="s">
        <v>7032</v>
      </c>
      <c r="BS65" s="47">
        <v>9.75</v>
      </c>
      <c r="BT65" s="43" t="s">
        <v>7032</v>
      </c>
      <c r="BU65" s="43" t="s">
        <v>7032</v>
      </c>
      <c r="BV65" s="43" t="str">
        <f>CambioPlan[[#This Row],[TELEFONO]]&amp;"UPSELLSI"</f>
        <v>984273070UPSELLSI</v>
      </c>
      <c r="BW65" s="43">
        <f>DAY(CambioPlan[[#This Row],[FECHA_CAMBIO_PLAN]])</f>
        <v>12</v>
      </c>
      <c r="BX65" s="43" t="str">
        <f>VLOOKUP(CambioPlan[[#This Row],[NOM_PLAZA]],[1]!Locales[#Data],3,0)</f>
        <v>TIENDA RECREO</v>
      </c>
      <c r="BY65" s="43" t="str">
        <f>VLOOKUP(CambioPlan[[#This Row],[DOMAIN_LOGIN_OW]],[1]!Personal[#Data],6,0)</f>
        <v>ORTEGA  NATALIE MÉNDEZ</v>
      </c>
      <c r="BZ65" s="43"/>
      <c r="CA65" s="43" t="str">
        <f>IFERROR(IF(FIND("ADULTO",CambioPlan[[#This Row],[DESCRIPCION_PLAN_ACTUAL]],1),"NO SE PAGA",),"SI SE PAGA")</f>
        <v>SI SE PAGA</v>
      </c>
      <c r="CB65" s="45">
        <f>CambioPlan[[#This Row],[TARIFA_BASICA_ACTUAL]]-CambioPlan[[#This Row],[TARIFA_BASICA_ANTERIOR]]</f>
        <v>9.75</v>
      </c>
      <c r="CC65" s="56">
        <f>CambioPlan[[#This Row],[DIF. TARIFAS]]*4</f>
        <v>39</v>
      </c>
      <c r="CD65" s="53" t="str">
        <f>IF(CambioPlan[[#This Row],[C. COMISIÓN TME]]&lt;0,"DOWNSELL",IF(CambioPlan[[#This Row],[C. COMISIÓN TME]]=0,"MISMA TARIFA",IF(CambioPlan[[#This Row],[C. COMISIÓN TME]]&gt;0,"UPSELL")))</f>
        <v>UPSELL</v>
      </c>
      <c r="CE65">
        <f>VLOOKUP(CambioPlan[[#This Row],[TARIFA_BASICA_ANTERIOR]],[3]Hoja1!$F:$G,2,0)</f>
        <v>2</v>
      </c>
      <c r="CF65">
        <f>VLOOKUP(CambioPlan[[#This Row],[TARIFA_BASICA_ACTUAL]],[3]Hoja1!$B:$C,2,0)</f>
        <v>4</v>
      </c>
      <c r="CG65">
        <f t="shared" si="0"/>
        <v>2</v>
      </c>
      <c r="CH65" t="e">
        <f>VLOOKUP(CambioPlan[[#This Row],[TELEFONO]],[1]Retenciones!$R$63:$R$287,1,0)</f>
        <v>#N/A</v>
      </c>
    </row>
    <row r="66" spans="1:86" x14ac:dyDescent="0.25">
      <c r="A66" s="43">
        <v>202212</v>
      </c>
      <c r="B66" s="44">
        <v>44914</v>
      </c>
      <c r="C66" s="43" t="s">
        <v>7283</v>
      </c>
      <c r="D66" s="43" t="s">
        <v>7284</v>
      </c>
      <c r="E66" s="43" t="s">
        <v>95</v>
      </c>
      <c r="F66" s="43" t="s">
        <v>77</v>
      </c>
      <c r="G66" s="43" t="s">
        <v>164</v>
      </c>
      <c r="H66" s="43" t="s">
        <v>246</v>
      </c>
      <c r="I66" s="43" t="s">
        <v>7285</v>
      </c>
      <c r="J66" s="43" t="s">
        <v>7286</v>
      </c>
      <c r="K66" s="43" t="s">
        <v>118</v>
      </c>
      <c r="L66" s="43" t="s">
        <v>112</v>
      </c>
      <c r="M66" s="43" t="s">
        <v>781</v>
      </c>
      <c r="N66" s="43" t="s">
        <v>79</v>
      </c>
      <c r="O66" s="45">
        <v>17.850000000000001</v>
      </c>
      <c r="P66" s="43" t="s">
        <v>95</v>
      </c>
      <c r="Q66" s="43" t="s">
        <v>95</v>
      </c>
      <c r="R66" s="43" t="s">
        <v>95</v>
      </c>
      <c r="S66" s="45">
        <v>0</v>
      </c>
      <c r="T66" s="43" t="s">
        <v>95</v>
      </c>
      <c r="U66" s="44" t="s">
        <v>95</v>
      </c>
      <c r="V66" s="44" t="s">
        <v>95</v>
      </c>
      <c r="W66" s="43" t="s">
        <v>95</v>
      </c>
      <c r="X66" s="45">
        <v>17.850000000000001</v>
      </c>
      <c r="Y66" s="43" t="s">
        <v>81</v>
      </c>
      <c r="Z66" s="43" t="s">
        <v>71</v>
      </c>
      <c r="AA66" s="43" t="s">
        <v>258</v>
      </c>
      <c r="AB66" s="43" t="s">
        <v>79</v>
      </c>
      <c r="AC66" s="45">
        <v>11.42</v>
      </c>
      <c r="AD66" s="43" t="s">
        <v>95</v>
      </c>
      <c r="AE66" s="43" t="s">
        <v>95</v>
      </c>
      <c r="AF66" s="43" t="s">
        <v>95</v>
      </c>
      <c r="AG66" s="43" t="s">
        <v>95</v>
      </c>
      <c r="AH66" s="45">
        <v>0</v>
      </c>
      <c r="AI66" s="43" t="s">
        <v>95</v>
      </c>
      <c r="AJ66" s="43" t="s">
        <v>95</v>
      </c>
      <c r="AK66" s="43" t="s">
        <v>95</v>
      </c>
      <c r="AL66" s="43" t="s">
        <v>95</v>
      </c>
      <c r="AM66" s="45">
        <v>11.42</v>
      </c>
      <c r="AN66" s="43" t="s">
        <v>81</v>
      </c>
      <c r="AO66" s="44">
        <v>44900</v>
      </c>
      <c r="AP66" s="43" t="s">
        <v>318</v>
      </c>
      <c r="AQ66" s="43" t="s">
        <v>319</v>
      </c>
      <c r="AR66" s="43" t="s">
        <v>318</v>
      </c>
      <c r="AS66" s="43" t="s">
        <v>319</v>
      </c>
      <c r="AT66" s="43" t="s">
        <v>85</v>
      </c>
      <c r="AU66" s="43" t="s">
        <v>7030</v>
      </c>
      <c r="AV66" s="43" t="s">
        <v>7031</v>
      </c>
      <c r="AW66" s="43" t="s">
        <v>7031</v>
      </c>
      <c r="AX66" s="43" t="s">
        <v>90</v>
      </c>
      <c r="AY66" s="43" t="s">
        <v>73</v>
      </c>
      <c r="AZ66" s="43" t="s">
        <v>7029</v>
      </c>
      <c r="BA66" s="43" t="s">
        <v>92</v>
      </c>
      <c r="BB66" s="45">
        <v>6.43</v>
      </c>
      <c r="BC66" s="45">
        <v>6.43</v>
      </c>
      <c r="BD66" s="43" t="s">
        <v>7032</v>
      </c>
      <c r="BE66" s="43" t="s">
        <v>81</v>
      </c>
      <c r="BF66" s="43" t="s">
        <v>81</v>
      </c>
      <c r="BG66" s="43" t="s">
        <v>86</v>
      </c>
      <c r="BH66" s="43" t="s">
        <v>151</v>
      </c>
      <c r="BI66" s="43" t="s">
        <v>7033</v>
      </c>
      <c r="BJ66" s="43" t="s">
        <v>7030</v>
      </c>
      <c r="BK66" s="43" t="s">
        <v>92</v>
      </c>
      <c r="BL66" s="43" t="s">
        <v>85</v>
      </c>
      <c r="BM66" s="43" t="s">
        <v>85</v>
      </c>
      <c r="BN66" s="43" t="s">
        <v>92</v>
      </c>
      <c r="BO66" s="46">
        <v>6.43</v>
      </c>
      <c r="BP66" s="43" t="s">
        <v>7032</v>
      </c>
      <c r="BQ66" s="43">
        <v>6.43</v>
      </c>
      <c r="BR66" s="43" t="s">
        <v>7032</v>
      </c>
      <c r="BS66" s="47">
        <v>6.43</v>
      </c>
      <c r="BT66" s="43" t="s">
        <v>7032</v>
      </c>
      <c r="BU66" s="43" t="s">
        <v>7032</v>
      </c>
      <c r="BV66" s="43" t="str">
        <f>CambioPlan[[#This Row],[TELEFONO]]&amp;"UPSELLSI"</f>
        <v>984329515UPSELLSI</v>
      </c>
      <c r="BW66" s="43">
        <f>DAY(CambioPlan[[#This Row],[FECHA_CAMBIO_PLAN]])</f>
        <v>5</v>
      </c>
      <c r="BX66" s="43" t="str">
        <f>VLOOKUP(CambioPlan[[#This Row],[NOM_PLAZA]],[1]!Locales[#Data],3,0)</f>
        <v>TIENDA CUENCA REMIGIO</v>
      </c>
      <c r="BY66" s="43" t="str">
        <f>VLOOKUP(CambioPlan[[#This Row],[DOMAIN_LOGIN_OW]],[1]!Personal[#Data],6,0)</f>
        <v>RODRIGUEZ QUITO JESSICA GABRIELA</v>
      </c>
      <c r="BZ66" s="43"/>
      <c r="CA66" s="43" t="str">
        <f>IFERROR(IF(FIND("ADULTO",CambioPlan[[#This Row],[DESCRIPCION_PLAN_ACTUAL]],1),"NO SE PAGA",),"SI SE PAGA")</f>
        <v>SI SE PAGA</v>
      </c>
      <c r="CB66" s="45">
        <f>CambioPlan[[#This Row],[TARIFA_BASICA_ACTUAL]]-CambioPlan[[#This Row],[TARIFA_BASICA_ANTERIOR]]</f>
        <v>6.4300000000000015</v>
      </c>
      <c r="CC66" s="56">
        <f>CambioPlan[[#This Row],[DIF. TARIFAS]]*4</f>
        <v>25.720000000000006</v>
      </c>
      <c r="CD66" s="53" t="str">
        <f>IF(CambioPlan[[#This Row],[C. COMISIÓN TME]]&lt;0,"DOWNSELL",IF(CambioPlan[[#This Row],[C. COMISIÓN TME]]=0,"MISMA TARIFA",IF(CambioPlan[[#This Row],[C. COMISIÓN TME]]&gt;0,"UPSELL")))</f>
        <v>UPSELL</v>
      </c>
      <c r="CE66">
        <f>VLOOKUP(CambioPlan[[#This Row],[TARIFA_BASICA_ANTERIOR]],[3]Hoja1!$F:$G,2,0)</f>
        <v>0</v>
      </c>
      <c r="CF66">
        <f>VLOOKUP(CambioPlan[[#This Row],[TARIFA_BASICA_ACTUAL]],[3]Hoja1!$B:$C,2,0)</f>
        <v>2</v>
      </c>
      <c r="CG66">
        <f t="shared" si="0"/>
        <v>2</v>
      </c>
      <c r="CH66" t="e">
        <f>VLOOKUP(CambioPlan[[#This Row],[TELEFONO]],[1]Retenciones!$R$63:$R$287,1,0)</f>
        <v>#N/A</v>
      </c>
    </row>
    <row r="67" spans="1:86" x14ac:dyDescent="0.25">
      <c r="A67" s="43">
        <v>202212</v>
      </c>
      <c r="B67" s="44">
        <v>44914</v>
      </c>
      <c r="C67" s="43" t="s">
        <v>7287</v>
      </c>
      <c r="D67" s="43" t="s">
        <v>7288</v>
      </c>
      <c r="E67" s="43" t="s">
        <v>95</v>
      </c>
      <c r="F67" s="43" t="s">
        <v>77</v>
      </c>
      <c r="G67" s="43" t="s">
        <v>2241</v>
      </c>
      <c r="H67" s="43" t="s">
        <v>67</v>
      </c>
      <c r="I67" s="43" t="s">
        <v>7289</v>
      </c>
      <c r="J67" s="43" t="s">
        <v>7037</v>
      </c>
      <c r="K67" s="43" t="s">
        <v>84</v>
      </c>
      <c r="L67" s="43" t="s">
        <v>112</v>
      </c>
      <c r="M67" s="43" t="s">
        <v>781</v>
      </c>
      <c r="N67" s="43" t="s">
        <v>79</v>
      </c>
      <c r="O67" s="45">
        <v>17.850000000000001</v>
      </c>
      <c r="P67" s="43" t="s">
        <v>95</v>
      </c>
      <c r="Q67" s="43" t="s">
        <v>95</v>
      </c>
      <c r="R67" s="43" t="s">
        <v>95</v>
      </c>
      <c r="S67" s="45">
        <v>0</v>
      </c>
      <c r="T67" s="43" t="s">
        <v>95</v>
      </c>
      <c r="U67" s="44" t="s">
        <v>95</v>
      </c>
      <c r="V67" s="44" t="s">
        <v>95</v>
      </c>
      <c r="W67" s="43" t="s">
        <v>95</v>
      </c>
      <c r="X67" s="45">
        <v>17.850000000000001</v>
      </c>
      <c r="Y67" s="43" t="s">
        <v>81</v>
      </c>
      <c r="Z67" s="43" t="s">
        <v>7074</v>
      </c>
      <c r="AA67" s="43" t="s">
        <v>7075</v>
      </c>
      <c r="AB67" s="43" t="s">
        <v>79</v>
      </c>
      <c r="AC67" s="45">
        <v>12.99</v>
      </c>
      <c r="AD67" s="43" t="s">
        <v>95</v>
      </c>
      <c r="AE67" s="43" t="s">
        <v>95</v>
      </c>
      <c r="AF67" s="43" t="s">
        <v>95</v>
      </c>
      <c r="AG67" s="43" t="s">
        <v>95</v>
      </c>
      <c r="AH67" s="45">
        <v>0</v>
      </c>
      <c r="AI67" s="43" t="s">
        <v>95</v>
      </c>
      <c r="AJ67" s="43" t="s">
        <v>95</v>
      </c>
      <c r="AK67" s="43" t="s">
        <v>95</v>
      </c>
      <c r="AL67" s="43" t="s">
        <v>95</v>
      </c>
      <c r="AM67" s="45">
        <v>12.99</v>
      </c>
      <c r="AN67" s="43" t="s">
        <v>81</v>
      </c>
      <c r="AO67" s="44">
        <v>44896</v>
      </c>
      <c r="AP67" s="43" t="s">
        <v>926</v>
      </c>
      <c r="AQ67" s="43" t="s">
        <v>927</v>
      </c>
      <c r="AR67" s="43" t="s">
        <v>926</v>
      </c>
      <c r="AS67" s="43" t="s">
        <v>927</v>
      </c>
      <c r="AT67" s="43" t="s">
        <v>85</v>
      </c>
      <c r="AU67" s="43" t="s">
        <v>7030</v>
      </c>
      <c r="AV67" s="43" t="s">
        <v>7031</v>
      </c>
      <c r="AW67" s="43" t="s">
        <v>7031</v>
      </c>
      <c r="AX67" s="43" t="s">
        <v>90</v>
      </c>
      <c r="AY67" s="43" t="s">
        <v>132</v>
      </c>
      <c r="AZ67" s="43" t="s">
        <v>7037</v>
      </c>
      <c r="BA67" s="43" t="s">
        <v>139</v>
      </c>
      <c r="BB67" s="45">
        <v>4.8600000000000003</v>
      </c>
      <c r="BC67" s="45">
        <v>4.8600000000000003</v>
      </c>
      <c r="BD67" s="43" t="s">
        <v>7032</v>
      </c>
      <c r="BE67" s="43" t="s">
        <v>81</v>
      </c>
      <c r="BF67" s="43" t="s">
        <v>81</v>
      </c>
      <c r="BG67" s="43" t="s">
        <v>86</v>
      </c>
      <c r="BH67" s="43" t="s">
        <v>177</v>
      </c>
      <c r="BI67" s="43" t="s">
        <v>7038</v>
      </c>
      <c r="BJ67" s="43" t="s">
        <v>7030</v>
      </c>
      <c r="BK67" s="43" t="s">
        <v>139</v>
      </c>
      <c r="BL67" s="43" t="s">
        <v>85</v>
      </c>
      <c r="BM67" s="43" t="s">
        <v>85</v>
      </c>
      <c r="BN67" s="43" t="s">
        <v>139</v>
      </c>
      <c r="BO67" s="46">
        <v>4.8600000000000003</v>
      </c>
      <c r="BP67" s="43" t="s">
        <v>7032</v>
      </c>
      <c r="BQ67" s="43">
        <v>4.8600000000000003</v>
      </c>
      <c r="BR67" s="43" t="s">
        <v>7032</v>
      </c>
      <c r="BS67" s="47">
        <v>4.8600000000000003</v>
      </c>
      <c r="BT67" s="43" t="s">
        <v>7032</v>
      </c>
      <c r="BU67" s="43" t="s">
        <v>7032</v>
      </c>
      <c r="BV67" s="43" t="str">
        <f>CambioPlan[[#This Row],[TELEFONO]]&amp;"UPSELLSI"</f>
        <v>984354919UPSELLSI</v>
      </c>
      <c r="BW67" s="43">
        <f>DAY(CambioPlan[[#This Row],[FECHA_CAMBIO_PLAN]])</f>
        <v>1</v>
      </c>
      <c r="BX67" s="43" t="str">
        <f>VLOOKUP(CambioPlan[[#This Row],[NOM_PLAZA]],[1]!Locales[#Data],3,0)</f>
        <v>TIENDA RECREO</v>
      </c>
      <c r="BY67" s="43" t="str">
        <f>VLOOKUP(CambioPlan[[#This Row],[DOMAIN_LOGIN_OW]],[1]!Personal[#Data],6,0)</f>
        <v>CABEZAS LOPEZ ROBERTO ALEJANDRO</v>
      </c>
      <c r="BZ67" s="43"/>
      <c r="CA67" s="43" t="str">
        <f>IFERROR(IF(FIND("ADULTO",CambioPlan[[#This Row],[DESCRIPCION_PLAN_ACTUAL]],1),"NO SE PAGA",),"SI SE PAGA")</f>
        <v>SI SE PAGA</v>
      </c>
      <c r="CB67" s="45">
        <f>CambioPlan[[#This Row],[TARIFA_BASICA_ACTUAL]]-CambioPlan[[#This Row],[TARIFA_BASICA_ANTERIOR]]</f>
        <v>4.8600000000000012</v>
      </c>
      <c r="CC67" s="56">
        <f>CambioPlan[[#This Row],[DIF. TARIFAS]]*4</f>
        <v>19.440000000000005</v>
      </c>
      <c r="CD67" s="53" t="str">
        <f>IF(CambioPlan[[#This Row],[C. COMISIÓN TME]]&lt;0,"DOWNSELL",IF(CambioPlan[[#This Row],[C. COMISIÓN TME]]=0,"MISMA TARIFA",IF(CambioPlan[[#This Row],[C. COMISIÓN TME]]&gt;0,"UPSELL")))</f>
        <v>UPSELL</v>
      </c>
      <c r="CE67">
        <f>VLOOKUP(CambioPlan[[#This Row],[TARIFA_BASICA_ANTERIOR]],[3]Hoja1!$F:$G,2,0)</f>
        <v>1</v>
      </c>
      <c r="CF67">
        <f>VLOOKUP(CambioPlan[[#This Row],[TARIFA_BASICA_ACTUAL]],[3]Hoja1!$B:$C,2,0)</f>
        <v>2</v>
      </c>
      <c r="CG67">
        <f t="shared" si="0"/>
        <v>1</v>
      </c>
      <c r="CH67" t="e">
        <f>VLOOKUP(CambioPlan[[#This Row],[TELEFONO]],[1]Retenciones!$R$63:$R$287,1,0)</f>
        <v>#N/A</v>
      </c>
    </row>
    <row r="68" spans="1:86" x14ac:dyDescent="0.25">
      <c r="A68" s="43">
        <v>202212</v>
      </c>
      <c r="B68" s="44">
        <v>44914</v>
      </c>
      <c r="C68" s="43" t="s">
        <v>7290</v>
      </c>
      <c r="D68" s="43" t="s">
        <v>7291</v>
      </c>
      <c r="E68" s="43" t="s">
        <v>95</v>
      </c>
      <c r="F68" s="43" t="s">
        <v>77</v>
      </c>
      <c r="G68" s="43" t="s">
        <v>1532</v>
      </c>
      <c r="H68" s="43" t="s">
        <v>67</v>
      </c>
      <c r="I68" s="43" t="s">
        <v>7292</v>
      </c>
      <c r="J68" s="43" t="s">
        <v>7037</v>
      </c>
      <c r="K68" s="43" t="s">
        <v>118</v>
      </c>
      <c r="L68" s="43" t="s">
        <v>4963</v>
      </c>
      <c r="M68" s="43" t="s">
        <v>4964</v>
      </c>
      <c r="N68" s="43" t="s">
        <v>79</v>
      </c>
      <c r="O68" s="45">
        <v>32.130000000000003</v>
      </c>
      <c r="P68" s="43" t="s">
        <v>95</v>
      </c>
      <c r="Q68" s="43" t="s">
        <v>95</v>
      </c>
      <c r="R68" s="43" t="s">
        <v>95</v>
      </c>
      <c r="S68" s="45">
        <v>0</v>
      </c>
      <c r="T68" s="43" t="s">
        <v>95</v>
      </c>
      <c r="U68" s="44" t="s">
        <v>95</v>
      </c>
      <c r="V68" s="44" t="s">
        <v>95</v>
      </c>
      <c r="W68" s="43" t="s">
        <v>95</v>
      </c>
      <c r="X68" s="45">
        <v>32.130000000000003</v>
      </c>
      <c r="Y68" s="43" t="s">
        <v>81</v>
      </c>
      <c r="Z68" s="43" t="s">
        <v>574</v>
      </c>
      <c r="AA68" s="43" t="s">
        <v>575</v>
      </c>
      <c r="AB68" s="43" t="s">
        <v>79</v>
      </c>
      <c r="AC68" s="45">
        <v>17.850000000000001</v>
      </c>
      <c r="AD68" s="43" t="s">
        <v>95</v>
      </c>
      <c r="AE68" s="43" t="s">
        <v>95</v>
      </c>
      <c r="AF68" s="43" t="s">
        <v>95</v>
      </c>
      <c r="AG68" s="43" t="s">
        <v>95</v>
      </c>
      <c r="AH68" s="45">
        <v>0</v>
      </c>
      <c r="AI68" s="43" t="s">
        <v>95</v>
      </c>
      <c r="AJ68" s="43" t="s">
        <v>95</v>
      </c>
      <c r="AK68" s="43" t="s">
        <v>95</v>
      </c>
      <c r="AL68" s="43" t="s">
        <v>95</v>
      </c>
      <c r="AM68" s="45">
        <v>17.850000000000001</v>
      </c>
      <c r="AN68" s="43" t="s">
        <v>81</v>
      </c>
      <c r="AO68" s="44">
        <v>44909</v>
      </c>
      <c r="AP68" s="43" t="s">
        <v>396</v>
      </c>
      <c r="AQ68" s="43" t="s">
        <v>397</v>
      </c>
      <c r="AR68" s="43" t="s">
        <v>396</v>
      </c>
      <c r="AS68" s="43" t="s">
        <v>397</v>
      </c>
      <c r="AT68" s="43" t="s">
        <v>85</v>
      </c>
      <c r="AU68" s="43" t="s">
        <v>7030</v>
      </c>
      <c r="AV68" s="43" t="s">
        <v>7031</v>
      </c>
      <c r="AW68" s="43" t="s">
        <v>7031</v>
      </c>
      <c r="AX68" s="43" t="s">
        <v>90</v>
      </c>
      <c r="AY68" s="43" t="s">
        <v>132</v>
      </c>
      <c r="AZ68" s="43" t="s">
        <v>7037</v>
      </c>
      <c r="BA68" s="43" t="s">
        <v>139</v>
      </c>
      <c r="BB68" s="45">
        <v>14.28</v>
      </c>
      <c r="BC68" s="45">
        <v>14.28</v>
      </c>
      <c r="BD68" s="43" t="s">
        <v>7032</v>
      </c>
      <c r="BE68" s="43" t="s">
        <v>81</v>
      </c>
      <c r="BF68" s="43" t="s">
        <v>81</v>
      </c>
      <c r="BG68" s="43" t="s">
        <v>86</v>
      </c>
      <c r="BH68" s="43" t="s">
        <v>177</v>
      </c>
      <c r="BI68" s="43" t="s">
        <v>7038</v>
      </c>
      <c r="BJ68" s="43" t="s">
        <v>7030</v>
      </c>
      <c r="BK68" s="43" t="s">
        <v>139</v>
      </c>
      <c r="BL68" s="43" t="s">
        <v>85</v>
      </c>
      <c r="BM68" s="43" t="s">
        <v>85</v>
      </c>
      <c r="BN68" s="43" t="s">
        <v>139</v>
      </c>
      <c r="BO68" s="46">
        <v>14.28</v>
      </c>
      <c r="BP68" s="43" t="s">
        <v>7032</v>
      </c>
      <c r="BQ68" s="43">
        <v>14.28</v>
      </c>
      <c r="BR68" s="43" t="s">
        <v>7032</v>
      </c>
      <c r="BS68" s="47">
        <v>14.28</v>
      </c>
      <c r="BT68" s="43" t="s">
        <v>7032</v>
      </c>
      <c r="BU68" s="43" t="s">
        <v>7032</v>
      </c>
      <c r="BV68" s="43" t="str">
        <f>CambioPlan[[#This Row],[TELEFONO]]&amp;"UPSELLSI"</f>
        <v>984355688UPSELLSI</v>
      </c>
      <c r="BW68" s="43">
        <f>DAY(CambioPlan[[#This Row],[FECHA_CAMBIO_PLAN]])</f>
        <v>14</v>
      </c>
      <c r="BX68" s="43" t="str">
        <f>VLOOKUP(CambioPlan[[#This Row],[NOM_PLAZA]],[1]!Locales[#Data],3,0)</f>
        <v>TIENDA RECREO</v>
      </c>
      <c r="BY68" s="43" t="str">
        <f>VLOOKUP(CambioPlan[[#This Row],[DOMAIN_LOGIN_OW]],[1]!Personal[#Data],6,0)</f>
        <v>VINUEZA VELASCO ANGY DAYANA</v>
      </c>
      <c r="BZ68" s="43"/>
      <c r="CA68" s="43" t="str">
        <f>IFERROR(IF(FIND("ADULTO",CambioPlan[[#This Row],[DESCRIPCION_PLAN_ACTUAL]],1),"NO SE PAGA",),"SI SE PAGA")</f>
        <v>SI SE PAGA</v>
      </c>
      <c r="CB68" s="45">
        <f>CambioPlan[[#This Row],[TARIFA_BASICA_ACTUAL]]-CambioPlan[[#This Row],[TARIFA_BASICA_ANTERIOR]]</f>
        <v>14.280000000000001</v>
      </c>
      <c r="CC68" s="56">
        <f>CambioPlan[[#This Row],[DIF. TARIFAS]]*4</f>
        <v>57.120000000000005</v>
      </c>
      <c r="CD68" s="53" t="str">
        <f>IF(CambioPlan[[#This Row],[C. COMISIÓN TME]]&lt;0,"DOWNSELL",IF(CambioPlan[[#This Row],[C. COMISIÓN TME]]=0,"MISMA TARIFA",IF(CambioPlan[[#This Row],[C. COMISIÓN TME]]&gt;0,"UPSELL")))</f>
        <v>UPSELL</v>
      </c>
      <c r="CE68">
        <f>VLOOKUP(CambioPlan[[#This Row],[TARIFA_BASICA_ANTERIOR]],[3]Hoja1!$F:$G,2,0)</f>
        <v>2</v>
      </c>
      <c r="CF68">
        <f>VLOOKUP(CambioPlan[[#This Row],[TARIFA_BASICA_ACTUAL]],[3]Hoja1!$B:$C,2,0)</f>
        <v>5</v>
      </c>
      <c r="CG68">
        <f t="shared" si="0"/>
        <v>3</v>
      </c>
      <c r="CH68" t="e">
        <f>VLOOKUP(CambioPlan[[#This Row],[TELEFONO]],[1]Retenciones!$R$63:$R$287,1,0)</f>
        <v>#N/A</v>
      </c>
    </row>
    <row r="69" spans="1:86" x14ac:dyDescent="0.25">
      <c r="A69" s="43">
        <v>202212</v>
      </c>
      <c r="B69" s="44">
        <v>44914</v>
      </c>
      <c r="C69" s="43" t="s">
        <v>7293</v>
      </c>
      <c r="D69" s="43" t="s">
        <v>7294</v>
      </c>
      <c r="E69" s="43" t="s">
        <v>95</v>
      </c>
      <c r="F69" s="43" t="s">
        <v>77</v>
      </c>
      <c r="G69" s="43" t="s">
        <v>164</v>
      </c>
      <c r="H69" s="43" t="s">
        <v>67</v>
      </c>
      <c r="I69" s="43" t="s">
        <v>7295</v>
      </c>
      <c r="J69" s="43" t="s">
        <v>7037</v>
      </c>
      <c r="K69" s="43" t="s">
        <v>118</v>
      </c>
      <c r="L69" s="43" t="s">
        <v>71</v>
      </c>
      <c r="M69" s="43" t="s">
        <v>258</v>
      </c>
      <c r="N69" s="43" t="s">
        <v>79</v>
      </c>
      <c r="O69" s="45">
        <v>11.42</v>
      </c>
      <c r="P69" s="43" t="s">
        <v>95</v>
      </c>
      <c r="Q69" s="43" t="s">
        <v>95</v>
      </c>
      <c r="R69" s="43" t="s">
        <v>95</v>
      </c>
      <c r="S69" s="45">
        <v>0</v>
      </c>
      <c r="T69" s="43" t="s">
        <v>95</v>
      </c>
      <c r="U69" s="44" t="s">
        <v>95</v>
      </c>
      <c r="V69" s="44" t="s">
        <v>95</v>
      </c>
      <c r="W69" s="43" t="s">
        <v>95</v>
      </c>
      <c r="X69" s="45">
        <v>11.42</v>
      </c>
      <c r="Y69" s="43" t="s">
        <v>81</v>
      </c>
      <c r="Z69" s="43" t="s">
        <v>160</v>
      </c>
      <c r="AA69" s="43" t="s">
        <v>161</v>
      </c>
      <c r="AB69" s="43" t="s">
        <v>79</v>
      </c>
      <c r="AC69" s="45">
        <v>14.28</v>
      </c>
      <c r="AD69" s="43" t="s">
        <v>95</v>
      </c>
      <c r="AE69" s="43" t="s">
        <v>95</v>
      </c>
      <c r="AF69" s="43" t="s">
        <v>95</v>
      </c>
      <c r="AG69" s="43" t="s">
        <v>95</v>
      </c>
      <c r="AH69" s="45">
        <v>0</v>
      </c>
      <c r="AI69" s="43" t="s">
        <v>95</v>
      </c>
      <c r="AJ69" s="43" t="s">
        <v>95</v>
      </c>
      <c r="AK69" s="43" t="s">
        <v>95</v>
      </c>
      <c r="AL69" s="43" t="s">
        <v>95</v>
      </c>
      <c r="AM69" s="45">
        <v>14.28</v>
      </c>
      <c r="AN69" s="43" t="s">
        <v>81</v>
      </c>
      <c r="AO69" s="44">
        <v>44896</v>
      </c>
      <c r="AP69" s="43" t="s">
        <v>262</v>
      </c>
      <c r="AQ69" s="43" t="s">
        <v>263</v>
      </c>
      <c r="AR69" s="43" t="s">
        <v>262</v>
      </c>
      <c r="AS69" s="43" t="s">
        <v>263</v>
      </c>
      <c r="AT69" s="43" t="s">
        <v>85</v>
      </c>
      <c r="AU69" s="43" t="s">
        <v>7030</v>
      </c>
      <c r="AV69" s="43" t="s">
        <v>7031</v>
      </c>
      <c r="AW69" s="43" t="s">
        <v>7031</v>
      </c>
      <c r="AX69" s="43" t="s">
        <v>90</v>
      </c>
      <c r="AY69" s="43" t="s">
        <v>132</v>
      </c>
      <c r="AZ69" s="43" t="s">
        <v>7037</v>
      </c>
      <c r="BA69" s="43" t="s">
        <v>139</v>
      </c>
      <c r="BB69" s="45">
        <v>-2.86</v>
      </c>
      <c r="BC69" s="45">
        <v>-2.86</v>
      </c>
      <c r="BD69" s="43" t="s">
        <v>7106</v>
      </c>
      <c r="BE69" s="43" t="s">
        <v>81</v>
      </c>
      <c r="BF69" s="43" t="s">
        <v>81</v>
      </c>
      <c r="BG69" s="43" t="s">
        <v>86</v>
      </c>
      <c r="BH69" s="43" t="s">
        <v>177</v>
      </c>
      <c r="BI69" s="43" t="s">
        <v>7038</v>
      </c>
      <c r="BJ69" s="43" t="s">
        <v>7030</v>
      </c>
      <c r="BK69" s="43" t="s">
        <v>139</v>
      </c>
      <c r="BL69" s="43" t="s">
        <v>85</v>
      </c>
      <c r="BM69" s="43" t="s">
        <v>85</v>
      </c>
      <c r="BN69" s="43" t="s">
        <v>139</v>
      </c>
      <c r="BO69" s="46">
        <v>-2.86</v>
      </c>
      <c r="BP69" s="43" t="s">
        <v>7106</v>
      </c>
      <c r="BQ69" s="43">
        <v>-2.86</v>
      </c>
      <c r="BR69" s="43" t="s">
        <v>7106</v>
      </c>
      <c r="BS69" s="47">
        <v>-2.86</v>
      </c>
      <c r="BT69" s="43" t="s">
        <v>7106</v>
      </c>
      <c r="BU69" s="43" t="s">
        <v>7106</v>
      </c>
      <c r="BV69" s="43" t="str">
        <f>CambioPlan[[#This Row],[TELEFONO]]&amp;"UPSELLSI"</f>
        <v>984371912UPSELLSI</v>
      </c>
      <c r="BW69" s="43">
        <f>DAY(CambioPlan[[#This Row],[FECHA_CAMBIO_PLAN]])</f>
        <v>1</v>
      </c>
      <c r="BX69" s="43" t="str">
        <f>VLOOKUP(CambioPlan[[#This Row],[NOM_PLAZA]],[1]!Locales[#Data],3,0)</f>
        <v>TIENDA RECREO</v>
      </c>
      <c r="BY69" s="43" t="str">
        <f>VLOOKUP(CambioPlan[[#This Row],[DOMAIN_LOGIN_OW]],[1]!Personal[#Data],6,0)</f>
        <v>CHICAIZA TOAPANTA ALEX DANILO</v>
      </c>
      <c r="BZ69" s="43"/>
      <c r="CA69" s="43" t="str">
        <f>IFERROR(IF(FIND("ADULTO",CambioPlan[[#This Row],[DESCRIPCION_PLAN_ACTUAL]],1),"NO SE PAGA",),"SI SE PAGA")</f>
        <v>SI SE PAGA</v>
      </c>
      <c r="CB69" s="45">
        <f>CambioPlan[[#This Row],[TARIFA_BASICA_ACTUAL]]-CambioPlan[[#This Row],[TARIFA_BASICA_ANTERIOR]]</f>
        <v>-2.8599999999999994</v>
      </c>
      <c r="CC69" s="56">
        <f>CambioPlan[[#This Row],[DIF. TARIFAS]]*4</f>
        <v>-11.439999999999998</v>
      </c>
      <c r="CD69" s="53" t="str">
        <f>IF(CambioPlan[[#This Row],[C. COMISIÓN TME]]&lt;0,"DOWNSELL",IF(CambioPlan[[#This Row],[C. COMISIÓN TME]]=0,"MISMA TARIFA",IF(CambioPlan[[#This Row],[C. COMISIÓN TME]]&gt;0,"UPSELL")))</f>
        <v>DOWNSELL</v>
      </c>
      <c r="CE69">
        <f>VLOOKUP(CambioPlan[[#This Row],[TARIFA_BASICA_ANTERIOR]],[3]Hoja1!$F:$G,2,0)</f>
        <v>1</v>
      </c>
      <c r="CF69">
        <f>VLOOKUP(CambioPlan[[#This Row],[TARIFA_BASICA_ACTUAL]],[3]Hoja1!$B:$C,2,0)</f>
        <v>0</v>
      </c>
      <c r="CG69">
        <f t="shared" si="0"/>
        <v>-1</v>
      </c>
      <c r="CH69" t="e">
        <f>VLOOKUP(CambioPlan[[#This Row],[TELEFONO]],[1]Retenciones!$R$63:$R$287,1,0)</f>
        <v>#N/A</v>
      </c>
    </row>
    <row r="70" spans="1:86" x14ac:dyDescent="0.25">
      <c r="A70" s="43">
        <v>202212</v>
      </c>
      <c r="B70" s="44">
        <v>44914</v>
      </c>
      <c r="C70" s="43" t="s">
        <v>7296</v>
      </c>
      <c r="D70" s="43" t="s">
        <v>7297</v>
      </c>
      <c r="E70" s="43" t="s">
        <v>95</v>
      </c>
      <c r="F70" s="43" t="s">
        <v>77</v>
      </c>
      <c r="G70" s="43" t="s">
        <v>2241</v>
      </c>
      <c r="H70" s="43" t="s">
        <v>67</v>
      </c>
      <c r="I70" s="43" t="s">
        <v>7298</v>
      </c>
      <c r="J70" s="43" t="s">
        <v>7029</v>
      </c>
      <c r="K70" s="43" t="s">
        <v>84</v>
      </c>
      <c r="L70" s="43" t="s">
        <v>112</v>
      </c>
      <c r="M70" s="43" t="s">
        <v>781</v>
      </c>
      <c r="N70" s="43" t="s">
        <v>79</v>
      </c>
      <c r="O70" s="45">
        <v>17.850000000000001</v>
      </c>
      <c r="P70" s="43" t="s">
        <v>95</v>
      </c>
      <c r="Q70" s="43" t="s">
        <v>95</v>
      </c>
      <c r="R70" s="43" t="s">
        <v>95</v>
      </c>
      <c r="S70" s="45">
        <v>0</v>
      </c>
      <c r="T70" s="43" t="s">
        <v>95</v>
      </c>
      <c r="U70" s="44" t="s">
        <v>95</v>
      </c>
      <c r="V70" s="44" t="s">
        <v>95</v>
      </c>
      <c r="W70" s="43" t="s">
        <v>95</v>
      </c>
      <c r="X70" s="45">
        <v>17.850000000000001</v>
      </c>
      <c r="Y70" s="43" t="s">
        <v>81</v>
      </c>
      <c r="Z70" s="43" t="s">
        <v>7184</v>
      </c>
      <c r="AA70" s="43" t="s">
        <v>7185</v>
      </c>
      <c r="AB70" s="43" t="s">
        <v>79</v>
      </c>
      <c r="AC70" s="45">
        <v>10.54</v>
      </c>
      <c r="AD70" s="43" t="s">
        <v>95</v>
      </c>
      <c r="AE70" s="43" t="s">
        <v>95</v>
      </c>
      <c r="AF70" s="43" t="s">
        <v>95</v>
      </c>
      <c r="AG70" s="43" t="s">
        <v>95</v>
      </c>
      <c r="AH70" s="45">
        <v>0</v>
      </c>
      <c r="AI70" s="43" t="s">
        <v>95</v>
      </c>
      <c r="AJ70" s="43" t="s">
        <v>95</v>
      </c>
      <c r="AK70" s="43" t="s">
        <v>95</v>
      </c>
      <c r="AL70" s="43" t="s">
        <v>95</v>
      </c>
      <c r="AM70" s="45">
        <v>10.54</v>
      </c>
      <c r="AN70" s="43" t="s">
        <v>81</v>
      </c>
      <c r="AO70" s="44">
        <v>44902</v>
      </c>
      <c r="AP70" s="43" t="s">
        <v>88</v>
      </c>
      <c r="AQ70" s="43" t="s">
        <v>89</v>
      </c>
      <c r="AR70" s="43" t="s">
        <v>7299</v>
      </c>
      <c r="AS70" s="43" t="s">
        <v>7300</v>
      </c>
      <c r="AT70" s="43" t="s">
        <v>85</v>
      </c>
      <c r="AU70" s="43" t="s">
        <v>7030</v>
      </c>
      <c r="AV70" s="43" t="s">
        <v>7031</v>
      </c>
      <c r="AW70" s="43" t="s">
        <v>7031</v>
      </c>
      <c r="AX70" s="43" t="s">
        <v>90</v>
      </c>
      <c r="AY70" s="43" t="s">
        <v>73</v>
      </c>
      <c r="AZ70" s="43" t="s">
        <v>7029</v>
      </c>
      <c r="BA70" s="43" t="s">
        <v>92</v>
      </c>
      <c r="BB70" s="45">
        <v>7.31</v>
      </c>
      <c r="BC70" s="45">
        <v>7.31</v>
      </c>
      <c r="BD70" s="43" t="s">
        <v>7032</v>
      </c>
      <c r="BE70" s="43" t="s">
        <v>81</v>
      </c>
      <c r="BF70" s="43" t="s">
        <v>81</v>
      </c>
      <c r="BG70" s="43" t="s">
        <v>86</v>
      </c>
      <c r="BH70" s="43" t="s">
        <v>91</v>
      </c>
      <c r="BI70" s="43" t="s">
        <v>7086</v>
      </c>
      <c r="BJ70" s="43" t="s">
        <v>7030</v>
      </c>
      <c r="BK70" s="43" t="s">
        <v>92</v>
      </c>
      <c r="BL70" s="43" t="s">
        <v>85</v>
      </c>
      <c r="BM70" s="43" t="s">
        <v>85</v>
      </c>
      <c r="BN70" s="43" t="s">
        <v>92</v>
      </c>
      <c r="BO70" s="46">
        <v>7.31</v>
      </c>
      <c r="BP70" s="43" t="s">
        <v>7032</v>
      </c>
      <c r="BQ70" s="43">
        <v>7.31</v>
      </c>
      <c r="BR70" s="43" t="s">
        <v>7032</v>
      </c>
      <c r="BS70" s="47">
        <v>7.31</v>
      </c>
      <c r="BT70" s="43" t="s">
        <v>7032</v>
      </c>
      <c r="BU70" s="43" t="s">
        <v>7032</v>
      </c>
      <c r="BV70" s="43" t="str">
        <f>CambioPlan[[#This Row],[TELEFONO]]&amp;"UPSELLSI"</f>
        <v>984409116UPSELLSI</v>
      </c>
      <c r="BW70" s="43">
        <f>DAY(CambioPlan[[#This Row],[FECHA_CAMBIO_PLAN]])</f>
        <v>7</v>
      </c>
      <c r="BX70" s="43" t="str">
        <f>VLOOKUP(CambioPlan[[#This Row],[NOM_PLAZA]],[1]!Locales[#Data],3,0)</f>
        <v>TIENDA CUENCA CENTRO</v>
      </c>
      <c r="BY70" s="43" t="str">
        <f>VLOOKUP(CambioPlan[[#This Row],[DOMAIN_LOGIN_OW]],[1]!Personal[#Data],6,0)</f>
        <v>ANDRADE CONDO CHRISTIAN EDUARDO</v>
      </c>
      <c r="BZ70" s="43"/>
      <c r="CA70" s="43" t="str">
        <f>IFERROR(IF(FIND("ADULTO",CambioPlan[[#This Row],[DESCRIPCION_PLAN_ACTUAL]],1),"NO SE PAGA",),"SI SE PAGA")</f>
        <v>SI SE PAGA</v>
      </c>
      <c r="CB70" s="45">
        <f>CambioPlan[[#This Row],[TARIFA_BASICA_ACTUAL]]-CambioPlan[[#This Row],[TARIFA_BASICA_ANTERIOR]]</f>
        <v>7.3100000000000023</v>
      </c>
      <c r="CC70" s="56">
        <f>CambioPlan[[#This Row],[DIF. TARIFAS]]*4</f>
        <v>29.240000000000009</v>
      </c>
      <c r="CD70" s="53" t="str">
        <f>IF(CambioPlan[[#This Row],[C. COMISIÓN TME]]&lt;0,"DOWNSELL",IF(CambioPlan[[#This Row],[C. COMISIÓN TME]]=0,"MISMA TARIFA",IF(CambioPlan[[#This Row],[C. COMISIÓN TME]]&gt;0,"UPSELL")))</f>
        <v>UPSELL</v>
      </c>
      <c r="CE70">
        <f>VLOOKUP(CambioPlan[[#This Row],[TARIFA_BASICA_ANTERIOR]],[3]Hoja1!$F:$G,2,0)</f>
        <v>0</v>
      </c>
      <c r="CF70">
        <f>VLOOKUP(CambioPlan[[#This Row],[TARIFA_BASICA_ACTUAL]],[3]Hoja1!$B:$C,2,0)</f>
        <v>2</v>
      </c>
      <c r="CG70">
        <f t="shared" si="0"/>
        <v>2</v>
      </c>
      <c r="CH70" t="e">
        <f>VLOOKUP(CambioPlan[[#This Row],[TELEFONO]],[1]Retenciones!$R$63:$R$287,1,0)</f>
        <v>#N/A</v>
      </c>
    </row>
    <row r="71" spans="1:86" x14ac:dyDescent="0.25">
      <c r="A71" s="43">
        <v>202212</v>
      </c>
      <c r="B71" s="44">
        <v>44914</v>
      </c>
      <c r="C71" s="43" t="s">
        <v>7301</v>
      </c>
      <c r="D71" s="43" t="s">
        <v>7302</v>
      </c>
      <c r="E71" s="43" t="s">
        <v>95</v>
      </c>
      <c r="F71" s="43" t="s">
        <v>77</v>
      </c>
      <c r="G71" s="43" t="s">
        <v>2241</v>
      </c>
      <c r="H71" s="43" t="s">
        <v>67</v>
      </c>
      <c r="I71" s="43" t="s">
        <v>7303</v>
      </c>
      <c r="J71" s="43" t="s">
        <v>7047</v>
      </c>
      <c r="K71" s="43" t="s">
        <v>118</v>
      </c>
      <c r="L71" s="43" t="s">
        <v>130</v>
      </c>
      <c r="M71" s="43" t="s">
        <v>433</v>
      </c>
      <c r="N71" s="43" t="s">
        <v>79</v>
      </c>
      <c r="O71" s="45">
        <v>15</v>
      </c>
      <c r="P71" s="43" t="s">
        <v>95</v>
      </c>
      <c r="Q71" s="43" t="s">
        <v>95</v>
      </c>
      <c r="R71" s="43" t="s">
        <v>95</v>
      </c>
      <c r="S71" s="45">
        <v>7.5</v>
      </c>
      <c r="T71" s="43" t="s">
        <v>7104</v>
      </c>
      <c r="U71" s="44">
        <v>44910</v>
      </c>
      <c r="V71" s="44" t="s">
        <v>95</v>
      </c>
      <c r="W71" s="43" t="s">
        <v>7105</v>
      </c>
      <c r="X71" s="45">
        <v>7.5</v>
      </c>
      <c r="Y71" s="43" t="s">
        <v>81</v>
      </c>
      <c r="Z71" s="43" t="s">
        <v>71</v>
      </c>
      <c r="AA71" s="43" t="s">
        <v>258</v>
      </c>
      <c r="AB71" s="43" t="s">
        <v>79</v>
      </c>
      <c r="AC71" s="45">
        <v>11.42</v>
      </c>
      <c r="AD71" s="43" t="s">
        <v>95</v>
      </c>
      <c r="AE71" s="43" t="s">
        <v>95</v>
      </c>
      <c r="AF71" s="43" t="s">
        <v>95</v>
      </c>
      <c r="AG71" s="43" t="s">
        <v>95</v>
      </c>
      <c r="AH71" s="45">
        <v>0</v>
      </c>
      <c r="AI71" s="43" t="s">
        <v>95</v>
      </c>
      <c r="AJ71" s="43" t="s">
        <v>95</v>
      </c>
      <c r="AK71" s="43" t="s">
        <v>95</v>
      </c>
      <c r="AL71" s="43" t="s">
        <v>95</v>
      </c>
      <c r="AM71" s="45">
        <v>11.42</v>
      </c>
      <c r="AN71" s="43" t="s">
        <v>81</v>
      </c>
      <c r="AO71" s="44">
        <v>44909</v>
      </c>
      <c r="AP71" s="43" t="s">
        <v>651</v>
      </c>
      <c r="AQ71" s="43" t="s">
        <v>652</v>
      </c>
      <c r="AR71" s="43" t="s">
        <v>651</v>
      </c>
      <c r="AS71" s="43" t="s">
        <v>652</v>
      </c>
      <c r="AT71" s="43" t="s">
        <v>85</v>
      </c>
      <c r="AU71" s="43" t="s">
        <v>7030</v>
      </c>
      <c r="AV71" s="43" t="s">
        <v>7031</v>
      </c>
      <c r="AW71" s="43" t="s">
        <v>7031</v>
      </c>
      <c r="AX71" s="43" t="s">
        <v>90</v>
      </c>
      <c r="AY71" s="43" t="s">
        <v>114</v>
      </c>
      <c r="AZ71" s="43" t="s">
        <v>7047</v>
      </c>
      <c r="BA71" s="43" t="s">
        <v>92</v>
      </c>
      <c r="BB71" s="45">
        <v>3.58</v>
      </c>
      <c r="BC71" s="45">
        <v>-3.92</v>
      </c>
      <c r="BD71" s="43" t="s">
        <v>7106</v>
      </c>
      <c r="BE71" s="43" t="s">
        <v>81</v>
      </c>
      <c r="BF71" s="43" t="s">
        <v>81</v>
      </c>
      <c r="BG71" s="43" t="s">
        <v>86</v>
      </c>
      <c r="BH71" s="43" t="s">
        <v>122</v>
      </c>
      <c r="BI71" s="43" t="s">
        <v>7048</v>
      </c>
      <c r="BJ71" s="43" t="s">
        <v>7030</v>
      </c>
      <c r="BK71" s="43" t="s">
        <v>92</v>
      </c>
      <c r="BL71" s="43" t="s">
        <v>85</v>
      </c>
      <c r="BM71" s="43" t="s">
        <v>85</v>
      </c>
      <c r="BN71" s="43" t="s">
        <v>92</v>
      </c>
      <c r="BO71" s="46">
        <v>3.58</v>
      </c>
      <c r="BP71" s="43" t="s">
        <v>7032</v>
      </c>
      <c r="BQ71" s="43">
        <v>3.58</v>
      </c>
      <c r="BR71" s="43" t="s">
        <v>7032</v>
      </c>
      <c r="BS71" s="47">
        <v>-3.92</v>
      </c>
      <c r="BT71" s="43" t="s">
        <v>7106</v>
      </c>
      <c r="BU71" s="43" t="s">
        <v>7032</v>
      </c>
      <c r="BV71" s="43" t="str">
        <f>CambioPlan[[#This Row],[TELEFONO]]&amp;"UPSELLSI"</f>
        <v>984414627UPSELLSI</v>
      </c>
      <c r="BW71" s="43">
        <f>DAY(CambioPlan[[#This Row],[FECHA_CAMBIO_PLAN]])</f>
        <v>14</v>
      </c>
      <c r="BX71" s="43" t="str">
        <f>VLOOKUP(CambioPlan[[#This Row],[NOM_PLAZA]],[1]!Locales[#Data],3,0)</f>
        <v>TIENDA MACHALA</v>
      </c>
      <c r="BY71" s="43" t="str">
        <f>VLOOKUP(CambioPlan[[#This Row],[DOMAIN_LOGIN_OW]],[1]!Personal[#Data],6,0)</f>
        <v>SANCHEZ SARITAMA JOEL LUIS</v>
      </c>
      <c r="BZ71" s="43"/>
      <c r="CA71" s="43" t="str">
        <f>IFERROR(IF(FIND("ADULTO",CambioPlan[[#This Row],[DESCRIPCION_PLAN_ACTUAL]],1),"NO SE PAGA",),"SI SE PAGA")</f>
        <v>NO SE PAGA</v>
      </c>
      <c r="CB71" s="45">
        <f>CambioPlan[[#This Row],[TARIFA_BASICA_ACTUAL]]-CambioPlan[[#This Row],[TARIFA_BASICA_ANTERIOR]]</f>
        <v>3.58</v>
      </c>
      <c r="CC71" s="56">
        <f>CambioPlan[[#This Row],[DIF. TARIFAS]]*4</f>
        <v>14.32</v>
      </c>
      <c r="CD71" s="53" t="str">
        <f>IF(CambioPlan[[#This Row],[C. COMISIÓN TME]]&lt;0,"DOWNSELL",IF(CambioPlan[[#This Row],[C. COMISIÓN TME]]=0,"MISMA TARIFA",IF(CambioPlan[[#This Row],[C. COMISIÓN TME]]&gt;0,"UPSELL")))</f>
        <v>UPSELL</v>
      </c>
      <c r="CE71">
        <f>VLOOKUP(CambioPlan[[#This Row],[TARIFA_BASICA_ANTERIOR]],[3]Hoja1!$F:$G,2,0)</f>
        <v>0</v>
      </c>
      <c r="CF71">
        <f>VLOOKUP(CambioPlan[[#This Row],[TARIFA_BASICA_ACTUAL]],[3]Hoja1!$B:$C,2,0)</f>
        <v>2</v>
      </c>
      <c r="CG71">
        <f t="shared" si="0"/>
        <v>2</v>
      </c>
      <c r="CH71" t="e">
        <f>VLOOKUP(CambioPlan[[#This Row],[TELEFONO]],[1]Retenciones!$R$63:$R$287,1,0)</f>
        <v>#N/A</v>
      </c>
    </row>
    <row r="72" spans="1:86" x14ac:dyDescent="0.25">
      <c r="A72" s="43">
        <v>202212</v>
      </c>
      <c r="B72" s="44">
        <v>44914</v>
      </c>
      <c r="C72" s="43" t="s">
        <v>7304</v>
      </c>
      <c r="D72" s="43" t="s">
        <v>7305</v>
      </c>
      <c r="E72" s="43" t="s">
        <v>95</v>
      </c>
      <c r="F72" s="43" t="s">
        <v>311</v>
      </c>
      <c r="G72" s="43" t="s">
        <v>311</v>
      </c>
      <c r="H72" s="43" t="s">
        <v>67</v>
      </c>
      <c r="I72" s="43" t="s">
        <v>7162</v>
      </c>
      <c r="J72" s="43" t="s">
        <v>7037</v>
      </c>
      <c r="K72" s="43" t="s">
        <v>84</v>
      </c>
      <c r="L72" s="43" t="s">
        <v>1756</v>
      </c>
      <c r="M72" s="43" t="s">
        <v>1757</v>
      </c>
      <c r="N72" s="43" t="s">
        <v>79</v>
      </c>
      <c r="O72" s="45">
        <v>17.850000000000001</v>
      </c>
      <c r="P72" s="43" t="s">
        <v>95</v>
      </c>
      <c r="Q72" s="43" t="s">
        <v>95</v>
      </c>
      <c r="R72" s="43" t="s">
        <v>95</v>
      </c>
      <c r="S72" s="45">
        <v>0</v>
      </c>
      <c r="T72" s="43" t="s">
        <v>95</v>
      </c>
      <c r="U72" s="44" t="s">
        <v>95</v>
      </c>
      <c r="V72" s="44" t="s">
        <v>95</v>
      </c>
      <c r="W72" s="43" t="s">
        <v>95</v>
      </c>
      <c r="X72" s="45">
        <v>17.850000000000001</v>
      </c>
      <c r="Y72" s="43" t="s">
        <v>81</v>
      </c>
      <c r="Z72" s="43" t="s">
        <v>574</v>
      </c>
      <c r="AA72" s="43" t="s">
        <v>575</v>
      </c>
      <c r="AB72" s="43" t="s">
        <v>79</v>
      </c>
      <c r="AC72" s="45">
        <v>17.850000000000001</v>
      </c>
      <c r="AD72" s="43" t="s">
        <v>95</v>
      </c>
      <c r="AE72" s="43" t="s">
        <v>95</v>
      </c>
      <c r="AF72" s="43" t="s">
        <v>95</v>
      </c>
      <c r="AG72" s="43" t="s">
        <v>95</v>
      </c>
      <c r="AH72" s="45">
        <v>0</v>
      </c>
      <c r="AI72" s="43" t="s">
        <v>95</v>
      </c>
      <c r="AJ72" s="43" t="s">
        <v>95</v>
      </c>
      <c r="AK72" s="43" t="s">
        <v>95</v>
      </c>
      <c r="AL72" s="43" t="s">
        <v>95</v>
      </c>
      <c r="AM72" s="45">
        <v>17.850000000000001</v>
      </c>
      <c r="AN72" s="43" t="s">
        <v>81</v>
      </c>
      <c r="AO72" s="44">
        <v>44897</v>
      </c>
      <c r="AP72" s="43" t="s">
        <v>492</v>
      </c>
      <c r="AQ72" s="43" t="s">
        <v>493</v>
      </c>
      <c r="AR72" s="43" t="s">
        <v>492</v>
      </c>
      <c r="AS72" s="43" t="s">
        <v>493</v>
      </c>
      <c r="AT72" s="43" t="s">
        <v>85</v>
      </c>
      <c r="AU72" s="43" t="s">
        <v>7030</v>
      </c>
      <c r="AV72" s="43" t="s">
        <v>7031</v>
      </c>
      <c r="AW72" s="43" t="s">
        <v>7031</v>
      </c>
      <c r="AX72" s="43" t="s">
        <v>90</v>
      </c>
      <c r="AY72" s="43" t="s">
        <v>132</v>
      </c>
      <c r="AZ72" s="43" t="s">
        <v>7037</v>
      </c>
      <c r="BA72" s="43" t="s">
        <v>139</v>
      </c>
      <c r="BB72" s="45">
        <v>0</v>
      </c>
      <c r="BC72" s="45">
        <v>0</v>
      </c>
      <c r="BD72" s="43" t="s">
        <v>7042</v>
      </c>
      <c r="BE72" s="43" t="s">
        <v>81</v>
      </c>
      <c r="BF72" s="43" t="s">
        <v>81</v>
      </c>
      <c r="BG72" s="43" t="s">
        <v>86</v>
      </c>
      <c r="BH72" s="43" t="s">
        <v>177</v>
      </c>
      <c r="BI72" s="43" t="s">
        <v>7038</v>
      </c>
      <c r="BJ72" s="43" t="s">
        <v>7030</v>
      </c>
      <c r="BK72" s="43" t="s">
        <v>139</v>
      </c>
      <c r="BL72" s="43" t="s">
        <v>85</v>
      </c>
      <c r="BM72" s="43" t="s">
        <v>85</v>
      </c>
      <c r="BN72" s="43" t="s">
        <v>139</v>
      </c>
      <c r="BO72" s="46">
        <v>0</v>
      </c>
      <c r="BP72" s="43" t="s">
        <v>7042</v>
      </c>
      <c r="BQ72" s="43">
        <v>0</v>
      </c>
      <c r="BR72" s="43" t="s">
        <v>7042</v>
      </c>
      <c r="BS72" s="47">
        <v>0</v>
      </c>
      <c r="BT72" s="43" t="s">
        <v>7042</v>
      </c>
      <c r="BU72" s="43" t="s">
        <v>7042</v>
      </c>
      <c r="BV72" s="43" t="str">
        <f>CambioPlan[[#This Row],[TELEFONO]]&amp;"UPSELLSI"</f>
        <v>984455279UPSELLSI</v>
      </c>
      <c r="BW72" s="43">
        <f>DAY(CambioPlan[[#This Row],[FECHA_CAMBIO_PLAN]])</f>
        <v>2</v>
      </c>
      <c r="BX72" s="43" t="str">
        <f>VLOOKUP(CambioPlan[[#This Row],[NOM_PLAZA]],[1]!Locales[#Data],3,0)</f>
        <v>TIENDA RECREO</v>
      </c>
      <c r="BY72" s="43" t="str">
        <f>VLOOKUP(CambioPlan[[#This Row],[DOMAIN_LOGIN_OW]],[1]!Personal[#Data],6,0)</f>
        <v>CONDO GARCIA NICOLAS MATIAS</v>
      </c>
      <c r="BZ72" s="43"/>
      <c r="CA72" s="43" t="str">
        <f>IFERROR(IF(FIND("ADULTO",CambioPlan[[#This Row],[DESCRIPCION_PLAN_ACTUAL]],1),"NO SE PAGA",),"SI SE PAGA")</f>
        <v>SI SE PAGA</v>
      </c>
      <c r="CB72" s="45">
        <f>CambioPlan[[#This Row],[TARIFA_BASICA_ACTUAL]]-CambioPlan[[#This Row],[TARIFA_BASICA_ANTERIOR]]</f>
        <v>0</v>
      </c>
      <c r="CC72" s="56">
        <f>CambioPlan[[#This Row],[DIF. TARIFAS]]*4</f>
        <v>0</v>
      </c>
      <c r="CD72" s="53" t="str">
        <f>IF(CambioPlan[[#This Row],[C. COMISIÓN TME]]&lt;0,"DOWNSELL",IF(CambioPlan[[#This Row],[C. COMISIÓN TME]]=0,"MISMA TARIFA",IF(CambioPlan[[#This Row],[C. COMISIÓN TME]]&gt;0,"UPSELL")))</f>
        <v>MISMA TARIFA</v>
      </c>
      <c r="CE72">
        <f>VLOOKUP(CambioPlan[[#This Row],[TARIFA_BASICA_ANTERIOR]],[3]Hoja1!$F:$G,2,0)</f>
        <v>2</v>
      </c>
      <c r="CF72">
        <f>VLOOKUP(CambioPlan[[#This Row],[TARIFA_BASICA_ACTUAL]],[3]Hoja1!$B:$C,2,0)</f>
        <v>2</v>
      </c>
      <c r="CG72">
        <f t="shared" si="0"/>
        <v>0</v>
      </c>
      <c r="CH72" t="e">
        <f>VLOOKUP(CambioPlan[[#This Row],[TELEFONO]],[1]Retenciones!$R$63:$R$287,1,0)</f>
        <v>#N/A</v>
      </c>
    </row>
    <row r="73" spans="1:86" x14ac:dyDescent="0.25">
      <c r="A73" s="43">
        <v>202212</v>
      </c>
      <c r="B73" s="44">
        <v>44914</v>
      </c>
      <c r="C73" s="43" t="s">
        <v>7306</v>
      </c>
      <c r="D73" s="43" t="s">
        <v>7307</v>
      </c>
      <c r="E73" s="43" t="s">
        <v>95</v>
      </c>
      <c r="F73" s="43" t="s">
        <v>77</v>
      </c>
      <c r="G73" s="43" t="s">
        <v>2241</v>
      </c>
      <c r="H73" s="43" t="s">
        <v>67</v>
      </c>
      <c r="I73" s="43" t="s">
        <v>7308</v>
      </c>
      <c r="J73" s="43" t="s">
        <v>7029</v>
      </c>
      <c r="K73" s="43" t="s">
        <v>215</v>
      </c>
      <c r="L73" s="43" t="s">
        <v>112</v>
      </c>
      <c r="M73" s="43" t="s">
        <v>781</v>
      </c>
      <c r="N73" s="43" t="s">
        <v>79</v>
      </c>
      <c r="O73" s="45">
        <v>17.850000000000001</v>
      </c>
      <c r="P73" s="43" t="s">
        <v>95</v>
      </c>
      <c r="Q73" s="43" t="s">
        <v>95</v>
      </c>
      <c r="R73" s="43" t="s">
        <v>95</v>
      </c>
      <c r="S73" s="45">
        <v>0</v>
      </c>
      <c r="T73" s="43" t="s">
        <v>95</v>
      </c>
      <c r="U73" s="44" t="s">
        <v>95</v>
      </c>
      <c r="V73" s="44" t="s">
        <v>95</v>
      </c>
      <c r="W73" s="43" t="s">
        <v>95</v>
      </c>
      <c r="X73" s="45">
        <v>17.850000000000001</v>
      </c>
      <c r="Y73" s="43" t="s">
        <v>81</v>
      </c>
      <c r="Z73" s="43" t="s">
        <v>7309</v>
      </c>
      <c r="AA73" s="43" t="s">
        <v>7310</v>
      </c>
      <c r="AB73" s="43" t="s">
        <v>79</v>
      </c>
      <c r="AC73" s="45">
        <v>15</v>
      </c>
      <c r="AD73" s="43" t="s">
        <v>95</v>
      </c>
      <c r="AE73" s="43" t="s">
        <v>95</v>
      </c>
      <c r="AF73" s="43" t="s">
        <v>95</v>
      </c>
      <c r="AG73" s="43" t="s">
        <v>95</v>
      </c>
      <c r="AH73" s="45">
        <v>0</v>
      </c>
      <c r="AI73" s="43" t="s">
        <v>95</v>
      </c>
      <c r="AJ73" s="43" t="s">
        <v>95</v>
      </c>
      <c r="AK73" s="43" t="s">
        <v>95</v>
      </c>
      <c r="AL73" s="43" t="s">
        <v>95</v>
      </c>
      <c r="AM73" s="45">
        <v>15</v>
      </c>
      <c r="AN73" s="43" t="s">
        <v>81</v>
      </c>
      <c r="AO73" s="44">
        <v>44910</v>
      </c>
      <c r="AP73" s="43" t="s">
        <v>385</v>
      </c>
      <c r="AQ73" s="43" t="s">
        <v>386</v>
      </c>
      <c r="AR73" s="43" t="s">
        <v>385</v>
      </c>
      <c r="AS73" s="43" t="s">
        <v>386</v>
      </c>
      <c r="AT73" s="43" t="s">
        <v>85</v>
      </c>
      <c r="AU73" s="43" t="s">
        <v>7030</v>
      </c>
      <c r="AV73" s="43" t="s">
        <v>7031</v>
      </c>
      <c r="AW73" s="43" t="s">
        <v>7031</v>
      </c>
      <c r="AX73" s="43" t="s">
        <v>90</v>
      </c>
      <c r="AY73" s="43" t="s">
        <v>73</v>
      </c>
      <c r="AZ73" s="43" t="s">
        <v>7029</v>
      </c>
      <c r="BA73" s="43" t="s">
        <v>92</v>
      </c>
      <c r="BB73" s="45">
        <v>2.85</v>
      </c>
      <c r="BC73" s="45">
        <v>2.85</v>
      </c>
      <c r="BD73" s="43" t="s">
        <v>7032</v>
      </c>
      <c r="BE73" s="43" t="s">
        <v>81</v>
      </c>
      <c r="BF73" s="43" t="s">
        <v>81</v>
      </c>
      <c r="BG73" s="43" t="s">
        <v>86</v>
      </c>
      <c r="BH73" s="43" t="s">
        <v>151</v>
      </c>
      <c r="BI73" s="43" t="s">
        <v>7033</v>
      </c>
      <c r="BJ73" s="43" t="s">
        <v>7030</v>
      </c>
      <c r="BK73" s="43" t="s">
        <v>92</v>
      </c>
      <c r="BL73" s="43" t="s">
        <v>85</v>
      </c>
      <c r="BM73" s="43" t="s">
        <v>85</v>
      </c>
      <c r="BN73" s="43" t="s">
        <v>92</v>
      </c>
      <c r="BO73" s="46">
        <v>2.85</v>
      </c>
      <c r="BP73" s="43" t="s">
        <v>7032</v>
      </c>
      <c r="BQ73" s="43">
        <v>2.85</v>
      </c>
      <c r="BR73" s="43" t="s">
        <v>7032</v>
      </c>
      <c r="BS73" s="47">
        <v>2.85</v>
      </c>
      <c r="BT73" s="43" t="s">
        <v>7032</v>
      </c>
      <c r="BU73" s="43" t="s">
        <v>7032</v>
      </c>
      <c r="BV73" s="43" t="str">
        <f>CambioPlan[[#This Row],[TELEFONO]]&amp;"UPSELLSI"</f>
        <v>984463964UPSELLSI</v>
      </c>
      <c r="BW73" s="43">
        <f>DAY(CambioPlan[[#This Row],[FECHA_CAMBIO_PLAN]])</f>
        <v>15</v>
      </c>
      <c r="BX73" s="43" t="str">
        <f>VLOOKUP(CambioPlan[[#This Row],[NOM_PLAZA]],[1]!Locales[#Data],3,0)</f>
        <v>TIENDA CUENCA REMIGIO</v>
      </c>
      <c r="BY73" s="43" t="str">
        <f>VLOOKUP(CambioPlan[[#This Row],[DOMAIN_LOGIN_OW]],[1]!Personal[#Data],6,0)</f>
        <v>RAMIREZ RUBIO NELLY LILIANA</v>
      </c>
      <c r="BZ73" s="43"/>
      <c r="CA73" s="43" t="str">
        <f>IFERROR(IF(FIND("ADULTO",CambioPlan[[#This Row],[DESCRIPCION_PLAN_ACTUAL]],1),"NO SE PAGA",),"SI SE PAGA")</f>
        <v>SI SE PAGA</v>
      </c>
      <c r="CB73" s="45">
        <f>CambioPlan[[#This Row],[TARIFA_BASICA_ACTUAL]]-CambioPlan[[#This Row],[TARIFA_BASICA_ANTERIOR]]</f>
        <v>2.8500000000000014</v>
      </c>
      <c r="CC73" s="56">
        <f>CambioPlan[[#This Row],[DIF. TARIFAS]]*4</f>
        <v>11.400000000000006</v>
      </c>
      <c r="CD73" s="53" t="str">
        <f>IF(CambioPlan[[#This Row],[C. COMISIÓN TME]]&lt;0,"DOWNSELL",IF(CambioPlan[[#This Row],[C. COMISIÓN TME]]=0,"MISMA TARIFA",IF(CambioPlan[[#This Row],[C. COMISIÓN TME]]&gt;0,"UPSELL")))</f>
        <v>UPSELL</v>
      </c>
      <c r="CE73">
        <f>VLOOKUP(CambioPlan[[#This Row],[TARIFA_BASICA_ANTERIOR]],[3]Hoja1!$F:$G,2,0)</f>
        <v>2</v>
      </c>
      <c r="CF73">
        <f>VLOOKUP(CambioPlan[[#This Row],[TARIFA_BASICA_ACTUAL]],[3]Hoja1!$B:$C,2,0)</f>
        <v>2</v>
      </c>
      <c r="CG73">
        <f t="shared" si="0"/>
        <v>0</v>
      </c>
      <c r="CH73" t="e">
        <f>VLOOKUP(CambioPlan[[#This Row],[TELEFONO]],[1]Retenciones!$R$63:$R$287,1,0)</f>
        <v>#N/A</v>
      </c>
    </row>
    <row r="74" spans="1:86" x14ac:dyDescent="0.25">
      <c r="A74" s="43">
        <v>202212</v>
      </c>
      <c r="B74" s="44">
        <v>44914</v>
      </c>
      <c r="C74" s="43" t="s">
        <v>7311</v>
      </c>
      <c r="D74" s="43" t="s">
        <v>7312</v>
      </c>
      <c r="E74" s="43" t="s">
        <v>95</v>
      </c>
      <c r="F74" s="43" t="s">
        <v>77</v>
      </c>
      <c r="G74" s="43" t="s">
        <v>2241</v>
      </c>
      <c r="H74" s="43" t="s">
        <v>246</v>
      </c>
      <c r="I74" s="43" t="s">
        <v>7313</v>
      </c>
      <c r="J74" s="43" t="s">
        <v>7037</v>
      </c>
      <c r="K74" s="43" t="s">
        <v>84</v>
      </c>
      <c r="L74" s="43" t="s">
        <v>3232</v>
      </c>
      <c r="M74" s="43" t="s">
        <v>7237</v>
      </c>
      <c r="N74" s="43" t="s">
        <v>79</v>
      </c>
      <c r="O74" s="45">
        <v>51.78</v>
      </c>
      <c r="P74" s="43" t="s">
        <v>95</v>
      </c>
      <c r="Q74" s="43" t="s">
        <v>95</v>
      </c>
      <c r="R74" s="43" t="s">
        <v>95</v>
      </c>
      <c r="S74" s="45">
        <v>0</v>
      </c>
      <c r="T74" s="43" t="s">
        <v>95</v>
      </c>
      <c r="U74" s="44" t="s">
        <v>95</v>
      </c>
      <c r="V74" s="44" t="s">
        <v>95</v>
      </c>
      <c r="W74" s="43" t="s">
        <v>95</v>
      </c>
      <c r="X74" s="45">
        <v>51.78</v>
      </c>
      <c r="Y74" s="43" t="s">
        <v>81</v>
      </c>
      <c r="Z74" s="43" t="s">
        <v>130</v>
      </c>
      <c r="AA74" s="43" t="s">
        <v>433</v>
      </c>
      <c r="AB74" s="43" t="s">
        <v>79</v>
      </c>
      <c r="AC74" s="45">
        <v>15</v>
      </c>
      <c r="AD74" s="43" t="s">
        <v>95</v>
      </c>
      <c r="AE74" s="43" t="s">
        <v>95</v>
      </c>
      <c r="AF74" s="43" t="s">
        <v>95</v>
      </c>
      <c r="AG74" s="43" t="s">
        <v>95</v>
      </c>
      <c r="AH74" s="45">
        <v>0</v>
      </c>
      <c r="AI74" s="43" t="s">
        <v>95</v>
      </c>
      <c r="AJ74" s="43" t="s">
        <v>95</v>
      </c>
      <c r="AK74" s="43" t="s">
        <v>95</v>
      </c>
      <c r="AL74" s="43" t="s">
        <v>95</v>
      </c>
      <c r="AM74" s="45">
        <v>15</v>
      </c>
      <c r="AN74" s="43" t="s">
        <v>81</v>
      </c>
      <c r="AO74" s="44">
        <v>44906</v>
      </c>
      <c r="AP74" s="43" t="s">
        <v>369</v>
      </c>
      <c r="AQ74" s="43" t="s">
        <v>370</v>
      </c>
      <c r="AR74" s="43" t="s">
        <v>369</v>
      </c>
      <c r="AS74" s="43" t="s">
        <v>370</v>
      </c>
      <c r="AT74" s="43" t="s">
        <v>85</v>
      </c>
      <c r="AU74" s="43" t="s">
        <v>7030</v>
      </c>
      <c r="AV74" s="43" t="s">
        <v>7031</v>
      </c>
      <c r="AW74" s="43" t="s">
        <v>7031</v>
      </c>
      <c r="AX74" s="43" t="s">
        <v>90</v>
      </c>
      <c r="AY74" s="43" t="s">
        <v>132</v>
      </c>
      <c r="AZ74" s="43" t="s">
        <v>7037</v>
      </c>
      <c r="BA74" s="43" t="s">
        <v>139</v>
      </c>
      <c r="BB74" s="45">
        <v>36.78</v>
      </c>
      <c r="BC74" s="45">
        <v>36.78</v>
      </c>
      <c r="BD74" s="43" t="s">
        <v>7032</v>
      </c>
      <c r="BE74" s="43" t="s">
        <v>81</v>
      </c>
      <c r="BF74" s="43" t="s">
        <v>81</v>
      </c>
      <c r="BG74" s="43" t="s">
        <v>86</v>
      </c>
      <c r="BH74" s="43" t="s">
        <v>177</v>
      </c>
      <c r="BI74" s="43" t="s">
        <v>7038</v>
      </c>
      <c r="BJ74" s="43" t="s">
        <v>7030</v>
      </c>
      <c r="BK74" s="43" t="s">
        <v>139</v>
      </c>
      <c r="BL74" s="43" t="s">
        <v>85</v>
      </c>
      <c r="BM74" s="43" t="s">
        <v>85</v>
      </c>
      <c r="BN74" s="43" t="s">
        <v>139</v>
      </c>
      <c r="BO74" s="46">
        <v>36.78</v>
      </c>
      <c r="BP74" s="43" t="s">
        <v>7032</v>
      </c>
      <c r="BQ74" s="43">
        <v>36.78</v>
      </c>
      <c r="BR74" s="43" t="s">
        <v>7032</v>
      </c>
      <c r="BS74" s="47">
        <v>36.78</v>
      </c>
      <c r="BT74" s="43" t="s">
        <v>7032</v>
      </c>
      <c r="BU74" s="43" t="s">
        <v>7032</v>
      </c>
      <c r="BV74" s="43" t="str">
        <f>CambioPlan[[#This Row],[TELEFONO]]&amp;"UPSELLSI"</f>
        <v>984466015UPSELLSI</v>
      </c>
      <c r="BW74" s="43">
        <f>DAY(CambioPlan[[#This Row],[FECHA_CAMBIO_PLAN]])</f>
        <v>11</v>
      </c>
      <c r="BX74" s="43" t="str">
        <f>VLOOKUP(CambioPlan[[#This Row],[NOM_PLAZA]],[1]!Locales[#Data],3,0)</f>
        <v>TIENDA RECREO</v>
      </c>
      <c r="BY74" s="43" t="str">
        <f>VLOOKUP(CambioPlan[[#This Row],[DOMAIN_LOGIN_OW]],[1]!Personal[#Data],6,0)</f>
        <v>GUAIGUA REINOSO GENESIS CAROLINA</v>
      </c>
      <c r="BZ74" s="43"/>
      <c r="CA74" s="43" t="str">
        <f>IFERROR(IF(FIND("ADULTO",CambioPlan[[#This Row],[DESCRIPCION_PLAN_ACTUAL]],1),"NO SE PAGA",),"SI SE PAGA")</f>
        <v>SI SE PAGA</v>
      </c>
      <c r="CB74" s="45">
        <f>CambioPlan[[#This Row],[TARIFA_BASICA_ACTUAL]]-CambioPlan[[#This Row],[TARIFA_BASICA_ANTERIOR]]</f>
        <v>36.78</v>
      </c>
      <c r="CC74" s="56">
        <f>CambioPlan[[#This Row],[DIF. TARIFAS]]*4</f>
        <v>147.12</v>
      </c>
      <c r="CD74" s="53" t="str">
        <f>IF(CambioPlan[[#This Row],[C. COMISIÓN TME]]&lt;0,"DOWNSELL",IF(CambioPlan[[#This Row],[C. COMISIÓN TME]]=0,"MISMA TARIFA",IF(CambioPlan[[#This Row],[C. COMISIÓN TME]]&gt;0,"UPSELL")))</f>
        <v>UPSELL</v>
      </c>
      <c r="CE74">
        <f>VLOOKUP(CambioPlan[[#This Row],[TARIFA_BASICA_ANTERIOR]],[3]Hoja1!$F:$G,2,0)</f>
        <v>2</v>
      </c>
      <c r="CF74">
        <f>VLOOKUP(CambioPlan[[#This Row],[TARIFA_BASICA_ACTUAL]],[3]Hoja1!$B:$C,2,0)</f>
        <v>6</v>
      </c>
      <c r="CG74">
        <f t="shared" si="0"/>
        <v>4</v>
      </c>
      <c r="CH74" t="e">
        <f>VLOOKUP(CambioPlan[[#This Row],[TELEFONO]],[1]Retenciones!$R$63:$R$287,1,0)</f>
        <v>#N/A</v>
      </c>
    </row>
    <row r="75" spans="1:86" x14ac:dyDescent="0.25">
      <c r="A75" s="43">
        <v>202212</v>
      </c>
      <c r="B75" s="44">
        <v>44914</v>
      </c>
      <c r="C75" s="43" t="s">
        <v>7314</v>
      </c>
      <c r="D75" s="43" t="s">
        <v>7315</v>
      </c>
      <c r="E75" s="43" t="s">
        <v>95</v>
      </c>
      <c r="F75" s="43" t="s">
        <v>311</v>
      </c>
      <c r="G75" s="43" t="s">
        <v>311</v>
      </c>
      <c r="H75" s="43" t="s">
        <v>67</v>
      </c>
      <c r="I75" s="43" t="s">
        <v>7316</v>
      </c>
      <c r="J75" s="43" t="s">
        <v>7029</v>
      </c>
      <c r="K75" s="43" t="s">
        <v>215</v>
      </c>
      <c r="L75" s="43" t="s">
        <v>3972</v>
      </c>
      <c r="M75" s="43" t="s">
        <v>3973</v>
      </c>
      <c r="N75" s="43" t="s">
        <v>79</v>
      </c>
      <c r="O75" s="45">
        <v>26.78</v>
      </c>
      <c r="P75" s="43" t="s">
        <v>95</v>
      </c>
      <c r="Q75" s="43" t="s">
        <v>95</v>
      </c>
      <c r="R75" s="43" t="s">
        <v>95</v>
      </c>
      <c r="S75" s="45">
        <v>0</v>
      </c>
      <c r="T75" s="43" t="s">
        <v>95</v>
      </c>
      <c r="U75" s="44" t="s">
        <v>95</v>
      </c>
      <c r="V75" s="44" t="s">
        <v>95</v>
      </c>
      <c r="W75" s="43" t="s">
        <v>95</v>
      </c>
      <c r="X75" s="45">
        <v>26.78</v>
      </c>
      <c r="Y75" s="43" t="s">
        <v>81</v>
      </c>
      <c r="Z75" s="43" t="s">
        <v>7213</v>
      </c>
      <c r="AA75" s="43" t="s">
        <v>7214</v>
      </c>
      <c r="AB75" s="43" t="s">
        <v>79</v>
      </c>
      <c r="AC75" s="45">
        <v>24.99</v>
      </c>
      <c r="AD75" s="43" t="s">
        <v>95</v>
      </c>
      <c r="AE75" s="43" t="s">
        <v>95</v>
      </c>
      <c r="AF75" s="43" t="s">
        <v>95</v>
      </c>
      <c r="AG75" s="43" t="s">
        <v>95</v>
      </c>
      <c r="AH75" s="45">
        <v>4.9980000000000002</v>
      </c>
      <c r="AI75" s="43" t="s">
        <v>7317</v>
      </c>
      <c r="AJ75" s="43">
        <v>44879</v>
      </c>
      <c r="AK75" s="43">
        <v>44971</v>
      </c>
      <c r="AL75" s="43" t="s">
        <v>318</v>
      </c>
      <c r="AM75" s="45">
        <v>19.992000000000001</v>
      </c>
      <c r="AN75" s="43" t="s">
        <v>81</v>
      </c>
      <c r="AO75" s="44">
        <v>44901</v>
      </c>
      <c r="AP75" s="43" t="s">
        <v>318</v>
      </c>
      <c r="AQ75" s="43" t="s">
        <v>319</v>
      </c>
      <c r="AR75" s="43" t="s">
        <v>318</v>
      </c>
      <c r="AS75" s="43" t="s">
        <v>319</v>
      </c>
      <c r="AT75" s="43" t="s">
        <v>85</v>
      </c>
      <c r="AU75" s="43" t="s">
        <v>7030</v>
      </c>
      <c r="AV75" s="43" t="s">
        <v>7031</v>
      </c>
      <c r="AW75" s="43" t="s">
        <v>7031</v>
      </c>
      <c r="AX75" s="43" t="s">
        <v>90</v>
      </c>
      <c r="AY75" s="43" t="s">
        <v>73</v>
      </c>
      <c r="AZ75" s="43" t="s">
        <v>7029</v>
      </c>
      <c r="BA75" s="43" t="s">
        <v>92</v>
      </c>
      <c r="BB75" s="45">
        <v>1.79</v>
      </c>
      <c r="BC75" s="45">
        <v>6.7880000000000003</v>
      </c>
      <c r="BD75" s="43" t="s">
        <v>7032</v>
      </c>
      <c r="BE75" s="43" t="s">
        <v>81</v>
      </c>
      <c r="BF75" s="43" t="s">
        <v>81</v>
      </c>
      <c r="BG75" s="43" t="s">
        <v>86</v>
      </c>
      <c r="BH75" s="43" t="s">
        <v>151</v>
      </c>
      <c r="BI75" s="43" t="s">
        <v>7033</v>
      </c>
      <c r="BJ75" s="43" t="s">
        <v>7030</v>
      </c>
      <c r="BK75" s="43" t="s">
        <v>92</v>
      </c>
      <c r="BL75" s="43" t="s">
        <v>85</v>
      </c>
      <c r="BM75" s="43" t="s">
        <v>85</v>
      </c>
      <c r="BN75" s="43" t="s">
        <v>92</v>
      </c>
      <c r="BO75" s="46">
        <v>1.79</v>
      </c>
      <c r="BP75" s="43" t="s">
        <v>7032</v>
      </c>
      <c r="BQ75" s="43">
        <v>1.79</v>
      </c>
      <c r="BR75" s="43" t="s">
        <v>7032</v>
      </c>
      <c r="BS75" s="47">
        <v>6.7880000000000003</v>
      </c>
      <c r="BT75" s="43" t="s">
        <v>7032</v>
      </c>
      <c r="BU75" s="43" t="s">
        <v>7032</v>
      </c>
      <c r="BV75" s="43" t="str">
        <f>CambioPlan[[#This Row],[TELEFONO]]&amp;"UPSELLSI"</f>
        <v>984487821UPSELLSI</v>
      </c>
      <c r="BW75" s="43">
        <f>DAY(CambioPlan[[#This Row],[FECHA_CAMBIO_PLAN]])</f>
        <v>6</v>
      </c>
      <c r="BX75" s="43" t="str">
        <f>VLOOKUP(CambioPlan[[#This Row],[NOM_PLAZA]],[1]!Locales[#Data],3,0)</f>
        <v>TIENDA CUENCA REMIGIO</v>
      </c>
      <c r="BY75" s="43" t="str">
        <f>VLOOKUP(CambioPlan[[#This Row],[DOMAIN_LOGIN_OW]],[1]!Personal[#Data],6,0)</f>
        <v>RODRIGUEZ QUITO JESSICA GABRIELA</v>
      </c>
      <c r="BZ75" s="43"/>
      <c r="CA75" s="43" t="str">
        <f>IFERROR(IF(FIND("ADULTO",CambioPlan[[#This Row],[DESCRIPCION_PLAN_ACTUAL]],1),"NO SE PAGA",),"SI SE PAGA")</f>
        <v>SI SE PAGA</v>
      </c>
      <c r="CB75" s="45">
        <f>CambioPlan[[#This Row],[TARIFA_BASICA_ACTUAL]]-CambioPlan[[#This Row],[TARIFA_BASICA_ANTERIOR]]</f>
        <v>1.7900000000000027</v>
      </c>
      <c r="CC75" s="56">
        <f>CambioPlan[[#This Row],[DIF. TARIFAS]]*4</f>
        <v>7.1600000000000108</v>
      </c>
      <c r="CD75" s="53" t="str">
        <f>IF(CambioPlan[[#This Row],[C. COMISIÓN TME]]&lt;0,"DOWNSELL",IF(CambioPlan[[#This Row],[C. COMISIÓN TME]]=0,"MISMA TARIFA",IF(CambioPlan[[#This Row],[C. COMISIÓN TME]]&gt;0,"UPSELL")))</f>
        <v>UPSELL</v>
      </c>
      <c r="CE75">
        <f>VLOOKUP(CambioPlan[[#This Row],[TARIFA_BASICA_ANTERIOR]],[3]Hoja1!$F:$G,2,0)</f>
        <v>4</v>
      </c>
      <c r="CF75">
        <f>VLOOKUP(CambioPlan[[#This Row],[TARIFA_BASICA_ACTUAL]],[3]Hoja1!$B:$C,2,0)</f>
        <v>4</v>
      </c>
      <c r="CG75">
        <f t="shared" si="0"/>
        <v>0</v>
      </c>
      <c r="CH75" t="e">
        <f>VLOOKUP(CambioPlan[[#This Row],[TELEFONO]],[1]Retenciones!$R$63:$R$287,1,0)</f>
        <v>#N/A</v>
      </c>
    </row>
    <row r="76" spans="1:86" x14ac:dyDescent="0.25">
      <c r="A76" s="43">
        <v>202212</v>
      </c>
      <c r="B76" s="44">
        <v>44914</v>
      </c>
      <c r="C76" s="43" t="s">
        <v>7318</v>
      </c>
      <c r="D76" s="43" t="s">
        <v>7319</v>
      </c>
      <c r="E76" s="43" t="s">
        <v>95</v>
      </c>
      <c r="F76" s="43" t="s">
        <v>77</v>
      </c>
      <c r="G76" s="43" t="s">
        <v>164</v>
      </c>
      <c r="H76" s="43" t="s">
        <v>67</v>
      </c>
      <c r="I76" s="43" t="s">
        <v>7320</v>
      </c>
      <c r="J76" s="43" t="s">
        <v>7029</v>
      </c>
      <c r="K76" s="43" t="s">
        <v>84</v>
      </c>
      <c r="L76" s="43" t="s">
        <v>71</v>
      </c>
      <c r="M76" s="43" t="s">
        <v>258</v>
      </c>
      <c r="N76" s="43" t="s">
        <v>79</v>
      </c>
      <c r="O76" s="45">
        <v>11.42</v>
      </c>
      <c r="P76" s="43" t="s">
        <v>95</v>
      </c>
      <c r="Q76" s="43" t="s">
        <v>95</v>
      </c>
      <c r="R76" s="43" t="s">
        <v>95</v>
      </c>
      <c r="S76" s="45">
        <v>0</v>
      </c>
      <c r="T76" s="43" t="s">
        <v>95</v>
      </c>
      <c r="U76" s="44" t="s">
        <v>95</v>
      </c>
      <c r="V76" s="44" t="s">
        <v>95</v>
      </c>
      <c r="W76" s="43" t="s">
        <v>95</v>
      </c>
      <c r="X76" s="45">
        <v>11.42</v>
      </c>
      <c r="Y76" s="43" t="s">
        <v>81</v>
      </c>
      <c r="Z76" s="43" t="s">
        <v>160</v>
      </c>
      <c r="AA76" s="43" t="s">
        <v>161</v>
      </c>
      <c r="AB76" s="43" t="s">
        <v>79</v>
      </c>
      <c r="AC76" s="45">
        <v>14.28</v>
      </c>
      <c r="AD76" s="43" t="s">
        <v>95</v>
      </c>
      <c r="AE76" s="43" t="s">
        <v>95</v>
      </c>
      <c r="AF76" s="43" t="s">
        <v>95</v>
      </c>
      <c r="AG76" s="43" t="s">
        <v>95</v>
      </c>
      <c r="AH76" s="45">
        <v>0</v>
      </c>
      <c r="AI76" s="43" t="s">
        <v>95</v>
      </c>
      <c r="AJ76" s="43" t="s">
        <v>95</v>
      </c>
      <c r="AK76" s="43" t="s">
        <v>95</v>
      </c>
      <c r="AL76" s="43" t="s">
        <v>95</v>
      </c>
      <c r="AM76" s="45">
        <v>14.28</v>
      </c>
      <c r="AN76" s="43" t="s">
        <v>81</v>
      </c>
      <c r="AO76" s="44">
        <v>44896</v>
      </c>
      <c r="AP76" s="43" t="s">
        <v>251</v>
      </c>
      <c r="AQ76" s="43" t="s">
        <v>252</v>
      </c>
      <c r="AR76" s="43" t="s">
        <v>251</v>
      </c>
      <c r="AS76" s="43" t="s">
        <v>252</v>
      </c>
      <c r="AT76" s="43" t="s">
        <v>85</v>
      </c>
      <c r="AU76" s="43" t="s">
        <v>7030</v>
      </c>
      <c r="AV76" s="43" t="s">
        <v>7031</v>
      </c>
      <c r="AW76" s="43" t="s">
        <v>7031</v>
      </c>
      <c r="AX76" s="43" t="s">
        <v>90</v>
      </c>
      <c r="AY76" s="43" t="s">
        <v>132</v>
      </c>
      <c r="AZ76" s="43" t="s">
        <v>7037</v>
      </c>
      <c r="BA76" s="43" t="s">
        <v>139</v>
      </c>
      <c r="BB76" s="45">
        <v>-2.86</v>
      </c>
      <c r="BC76" s="45">
        <v>-2.86</v>
      </c>
      <c r="BD76" s="43" t="s">
        <v>7106</v>
      </c>
      <c r="BE76" s="43" t="s">
        <v>81</v>
      </c>
      <c r="BF76" s="43" t="s">
        <v>81</v>
      </c>
      <c r="BG76" s="43" t="s">
        <v>86</v>
      </c>
      <c r="BH76" s="43" t="s">
        <v>177</v>
      </c>
      <c r="BI76" s="43" t="s">
        <v>7038</v>
      </c>
      <c r="BJ76" s="43" t="s">
        <v>7030</v>
      </c>
      <c r="BK76" s="43" t="s">
        <v>139</v>
      </c>
      <c r="BL76" s="43" t="s">
        <v>85</v>
      </c>
      <c r="BM76" s="43" t="s">
        <v>85</v>
      </c>
      <c r="BN76" s="43" t="s">
        <v>139</v>
      </c>
      <c r="BO76" s="46">
        <v>-2.86</v>
      </c>
      <c r="BP76" s="43" t="s">
        <v>7106</v>
      </c>
      <c r="BQ76" s="43">
        <v>-2.86</v>
      </c>
      <c r="BR76" s="43" t="s">
        <v>7106</v>
      </c>
      <c r="BS76" s="47">
        <v>-2.86</v>
      </c>
      <c r="BT76" s="43" t="s">
        <v>7106</v>
      </c>
      <c r="BU76" s="43" t="s">
        <v>7106</v>
      </c>
      <c r="BV76" s="43" t="str">
        <f>CambioPlan[[#This Row],[TELEFONO]]&amp;"UPSELLSI"</f>
        <v>984498511UPSELLSI</v>
      </c>
      <c r="BW76" s="43">
        <f>DAY(CambioPlan[[#This Row],[FECHA_CAMBIO_PLAN]])</f>
        <v>1</v>
      </c>
      <c r="BX76" s="43" t="str">
        <f>VLOOKUP(CambioPlan[[#This Row],[NOM_PLAZA]],[1]!Locales[#Data],3,0)</f>
        <v>TIENDA RECREO</v>
      </c>
      <c r="BY76" s="43" t="str">
        <f>VLOOKUP(CambioPlan[[#This Row],[DOMAIN_LOGIN_OW]],[1]!Personal[#Data],6,0)</f>
        <v>CRUZ MONTUFAR KATHERINE ALEJANDRA</v>
      </c>
      <c r="BZ76" s="43"/>
      <c r="CA76" s="43" t="str">
        <f>IFERROR(IF(FIND("ADULTO",CambioPlan[[#This Row],[DESCRIPCION_PLAN_ACTUAL]],1),"NO SE PAGA",),"SI SE PAGA")</f>
        <v>SI SE PAGA</v>
      </c>
      <c r="CB76" s="45">
        <f>CambioPlan[[#This Row],[TARIFA_BASICA_ACTUAL]]-CambioPlan[[#This Row],[TARIFA_BASICA_ANTERIOR]]</f>
        <v>-2.8599999999999994</v>
      </c>
      <c r="CC76" s="56">
        <f>CambioPlan[[#This Row],[DIF. TARIFAS]]*4</f>
        <v>-11.439999999999998</v>
      </c>
      <c r="CD76" s="53" t="str">
        <f>IF(CambioPlan[[#This Row],[C. COMISIÓN TME]]&lt;0,"DOWNSELL",IF(CambioPlan[[#This Row],[C. COMISIÓN TME]]=0,"MISMA TARIFA",IF(CambioPlan[[#This Row],[C. COMISIÓN TME]]&gt;0,"UPSELL")))</f>
        <v>DOWNSELL</v>
      </c>
      <c r="CE76">
        <f>VLOOKUP(CambioPlan[[#This Row],[TARIFA_BASICA_ANTERIOR]],[3]Hoja1!$F:$G,2,0)</f>
        <v>1</v>
      </c>
      <c r="CF76">
        <f>VLOOKUP(CambioPlan[[#This Row],[TARIFA_BASICA_ACTUAL]],[3]Hoja1!$B:$C,2,0)</f>
        <v>0</v>
      </c>
      <c r="CG76">
        <f t="shared" si="0"/>
        <v>-1</v>
      </c>
      <c r="CH76" t="str">
        <f>VLOOKUP(CambioPlan[[#This Row],[TELEFONO]],[1]Retenciones!$R$63:$R$287,1,0)</f>
        <v>984498511</v>
      </c>
    </row>
    <row r="77" spans="1:86" x14ac:dyDescent="0.25">
      <c r="A77" s="43">
        <v>202212</v>
      </c>
      <c r="B77" s="44">
        <v>44914</v>
      </c>
      <c r="C77" s="43" t="s">
        <v>7321</v>
      </c>
      <c r="D77" s="43" t="s">
        <v>7322</v>
      </c>
      <c r="E77" s="43" t="s">
        <v>95</v>
      </c>
      <c r="F77" s="43" t="s">
        <v>77</v>
      </c>
      <c r="G77" s="43" t="s">
        <v>2241</v>
      </c>
      <c r="H77" s="43" t="s">
        <v>67</v>
      </c>
      <c r="I77" s="43" t="s">
        <v>7323</v>
      </c>
      <c r="J77" s="43" t="s">
        <v>7047</v>
      </c>
      <c r="K77" s="43" t="s">
        <v>118</v>
      </c>
      <c r="L77" s="43" t="s">
        <v>71</v>
      </c>
      <c r="M77" s="43" t="s">
        <v>258</v>
      </c>
      <c r="N77" s="43" t="s">
        <v>79</v>
      </c>
      <c r="O77" s="45">
        <v>11.42</v>
      </c>
      <c r="P77" s="43" t="s">
        <v>95</v>
      </c>
      <c r="Q77" s="43" t="s">
        <v>95</v>
      </c>
      <c r="R77" s="43" t="s">
        <v>95</v>
      </c>
      <c r="S77" s="45">
        <v>0</v>
      </c>
      <c r="T77" s="43" t="s">
        <v>95</v>
      </c>
      <c r="U77" s="44" t="s">
        <v>95</v>
      </c>
      <c r="V77" s="44" t="s">
        <v>95</v>
      </c>
      <c r="W77" s="43" t="s">
        <v>95</v>
      </c>
      <c r="X77" s="45">
        <v>11.42</v>
      </c>
      <c r="Y77" s="43" t="s">
        <v>81</v>
      </c>
      <c r="Z77" s="43" t="s">
        <v>7324</v>
      </c>
      <c r="AA77" s="43" t="s">
        <v>7325</v>
      </c>
      <c r="AB77" s="43" t="s">
        <v>79</v>
      </c>
      <c r="AC77" s="45">
        <v>9.99</v>
      </c>
      <c r="AD77" s="43" t="s">
        <v>95</v>
      </c>
      <c r="AE77" s="43" t="s">
        <v>95</v>
      </c>
      <c r="AF77" s="43" t="s">
        <v>95</v>
      </c>
      <c r="AG77" s="43" t="s">
        <v>95</v>
      </c>
      <c r="AH77" s="45">
        <v>0</v>
      </c>
      <c r="AI77" s="43" t="s">
        <v>95</v>
      </c>
      <c r="AJ77" s="43" t="s">
        <v>95</v>
      </c>
      <c r="AK77" s="43" t="s">
        <v>95</v>
      </c>
      <c r="AL77" s="43" t="s">
        <v>95</v>
      </c>
      <c r="AM77" s="45">
        <v>9.99</v>
      </c>
      <c r="AN77" s="43" t="s">
        <v>81</v>
      </c>
      <c r="AO77" s="44">
        <v>44909</v>
      </c>
      <c r="AP77" s="43" t="s">
        <v>352</v>
      </c>
      <c r="AQ77" s="43" t="s">
        <v>353</v>
      </c>
      <c r="AR77" s="43" t="s">
        <v>352</v>
      </c>
      <c r="AS77" s="43" t="s">
        <v>353</v>
      </c>
      <c r="AT77" s="43" t="s">
        <v>85</v>
      </c>
      <c r="AU77" s="43" t="s">
        <v>7030</v>
      </c>
      <c r="AV77" s="43" t="s">
        <v>7031</v>
      </c>
      <c r="AW77" s="43" t="s">
        <v>7031</v>
      </c>
      <c r="AX77" s="43" t="s">
        <v>90</v>
      </c>
      <c r="AY77" s="43" t="s">
        <v>114</v>
      </c>
      <c r="AZ77" s="43" t="s">
        <v>7047</v>
      </c>
      <c r="BA77" s="43" t="s">
        <v>92</v>
      </c>
      <c r="BB77" s="45">
        <v>1.43</v>
      </c>
      <c r="BC77" s="45">
        <v>1.43</v>
      </c>
      <c r="BD77" s="43" t="s">
        <v>7032</v>
      </c>
      <c r="BE77" s="43" t="s">
        <v>81</v>
      </c>
      <c r="BF77" s="43" t="s">
        <v>81</v>
      </c>
      <c r="BG77" s="43" t="s">
        <v>86</v>
      </c>
      <c r="BH77" s="43" t="s">
        <v>122</v>
      </c>
      <c r="BI77" s="43" t="s">
        <v>7048</v>
      </c>
      <c r="BJ77" s="43" t="s">
        <v>7030</v>
      </c>
      <c r="BK77" s="43" t="s">
        <v>92</v>
      </c>
      <c r="BL77" s="43" t="s">
        <v>85</v>
      </c>
      <c r="BM77" s="43" t="s">
        <v>85</v>
      </c>
      <c r="BN77" s="43" t="s">
        <v>92</v>
      </c>
      <c r="BO77" s="46">
        <v>1.43</v>
      </c>
      <c r="BP77" s="43" t="s">
        <v>7032</v>
      </c>
      <c r="BQ77" s="43">
        <v>1.43</v>
      </c>
      <c r="BR77" s="43" t="s">
        <v>7032</v>
      </c>
      <c r="BS77" s="47">
        <v>1.43</v>
      </c>
      <c r="BT77" s="43" t="s">
        <v>7032</v>
      </c>
      <c r="BU77" s="43" t="s">
        <v>7032</v>
      </c>
      <c r="BV77" s="43" t="str">
        <f>CambioPlan[[#This Row],[TELEFONO]]&amp;"UPSELLSI"</f>
        <v>984551081UPSELLSI</v>
      </c>
      <c r="BW77" s="43">
        <f>DAY(CambioPlan[[#This Row],[FECHA_CAMBIO_PLAN]])</f>
        <v>14</v>
      </c>
      <c r="BX77" s="43" t="str">
        <f>VLOOKUP(CambioPlan[[#This Row],[NOM_PLAZA]],[1]!Locales[#Data],3,0)</f>
        <v>TIENDA MACHALA</v>
      </c>
      <c r="BY77" s="43" t="str">
        <f>VLOOKUP(CambioPlan[[#This Row],[DOMAIN_LOGIN_OW]],[1]!Personal[#Data],6,0)</f>
        <v>TENORIO MARIA DEL PILAR</v>
      </c>
      <c r="BZ77" s="43"/>
      <c r="CA77" s="43" t="str">
        <f>IFERROR(IF(FIND("ADULTO",CambioPlan[[#This Row],[DESCRIPCION_PLAN_ACTUAL]],1),"NO SE PAGA",),"SI SE PAGA")</f>
        <v>SI SE PAGA</v>
      </c>
      <c r="CB77" s="45">
        <f>CambioPlan[[#This Row],[TARIFA_BASICA_ACTUAL]]-CambioPlan[[#This Row],[TARIFA_BASICA_ANTERIOR]]</f>
        <v>1.4299999999999997</v>
      </c>
      <c r="CC77" s="56">
        <f>CambioPlan[[#This Row],[DIF. TARIFAS]]*4</f>
        <v>5.7199999999999989</v>
      </c>
      <c r="CD77" s="53" t="str">
        <f>IF(CambioPlan[[#This Row],[C. COMISIÓN TME]]&lt;0,"DOWNSELL",IF(CambioPlan[[#This Row],[C. COMISIÓN TME]]=0,"MISMA TARIFA",IF(CambioPlan[[#This Row],[C. COMISIÓN TME]]&gt;0,"UPSELL")))</f>
        <v>UPSELL</v>
      </c>
      <c r="CE77">
        <f>VLOOKUP(CambioPlan[[#This Row],[TARIFA_BASICA_ANTERIOR]],[3]Hoja1!$F:$G,2,0)</f>
        <v>0</v>
      </c>
      <c r="CF77">
        <f>VLOOKUP(CambioPlan[[#This Row],[TARIFA_BASICA_ACTUAL]],[3]Hoja1!$B:$C,2,0)</f>
        <v>0</v>
      </c>
      <c r="CG77">
        <f t="shared" si="0"/>
        <v>0</v>
      </c>
      <c r="CH77" t="e">
        <f>VLOOKUP(CambioPlan[[#This Row],[TELEFONO]],[1]Retenciones!$R$63:$R$287,1,0)</f>
        <v>#N/A</v>
      </c>
    </row>
    <row r="78" spans="1:86" x14ac:dyDescent="0.25">
      <c r="A78" s="43">
        <v>202212</v>
      </c>
      <c r="B78" s="44">
        <v>44914</v>
      </c>
      <c r="C78" s="43" t="s">
        <v>7326</v>
      </c>
      <c r="D78" s="43" t="s">
        <v>7327</v>
      </c>
      <c r="E78" s="43" t="s">
        <v>95</v>
      </c>
      <c r="F78" s="43" t="s">
        <v>77</v>
      </c>
      <c r="G78" s="43" t="s">
        <v>2241</v>
      </c>
      <c r="H78" s="43" t="s">
        <v>67</v>
      </c>
      <c r="I78" s="43" t="s">
        <v>7328</v>
      </c>
      <c r="J78" s="43" t="s">
        <v>7037</v>
      </c>
      <c r="K78" s="43" t="s">
        <v>118</v>
      </c>
      <c r="L78" s="43" t="s">
        <v>712</v>
      </c>
      <c r="M78" s="43" t="s">
        <v>2836</v>
      </c>
      <c r="N78" s="43" t="s">
        <v>79</v>
      </c>
      <c r="O78" s="45">
        <v>17.850000000000001</v>
      </c>
      <c r="P78" s="43" t="s">
        <v>95</v>
      </c>
      <c r="Q78" s="43" t="s">
        <v>95</v>
      </c>
      <c r="R78" s="43" t="s">
        <v>95</v>
      </c>
      <c r="S78" s="45">
        <v>0</v>
      </c>
      <c r="T78" s="43" t="s">
        <v>95</v>
      </c>
      <c r="U78" s="44" t="s">
        <v>95</v>
      </c>
      <c r="V78" s="44" t="s">
        <v>95</v>
      </c>
      <c r="W78" s="43" t="s">
        <v>95</v>
      </c>
      <c r="X78" s="45">
        <v>17.850000000000001</v>
      </c>
      <c r="Y78" s="43" t="s">
        <v>81</v>
      </c>
      <c r="Z78" s="43" t="s">
        <v>112</v>
      </c>
      <c r="AA78" s="43" t="s">
        <v>781</v>
      </c>
      <c r="AB78" s="43" t="s">
        <v>79</v>
      </c>
      <c r="AC78" s="45">
        <v>17.850000000000001</v>
      </c>
      <c r="AD78" s="43" t="s">
        <v>95</v>
      </c>
      <c r="AE78" s="43" t="s">
        <v>95</v>
      </c>
      <c r="AF78" s="43" t="s">
        <v>95</v>
      </c>
      <c r="AG78" s="43" t="s">
        <v>95</v>
      </c>
      <c r="AH78" s="45">
        <v>0</v>
      </c>
      <c r="AI78" s="43" t="s">
        <v>95</v>
      </c>
      <c r="AJ78" s="43" t="s">
        <v>95</v>
      </c>
      <c r="AK78" s="43" t="s">
        <v>95</v>
      </c>
      <c r="AL78" s="43" t="s">
        <v>95</v>
      </c>
      <c r="AM78" s="45">
        <v>17.850000000000001</v>
      </c>
      <c r="AN78" s="43" t="s">
        <v>81</v>
      </c>
      <c r="AO78" s="44">
        <v>44906</v>
      </c>
      <c r="AP78" s="43" t="s">
        <v>822</v>
      </c>
      <c r="AQ78" s="43" t="s">
        <v>823</v>
      </c>
      <c r="AR78" s="43" t="s">
        <v>822</v>
      </c>
      <c r="AS78" s="43" t="s">
        <v>823</v>
      </c>
      <c r="AT78" s="43" t="s">
        <v>85</v>
      </c>
      <c r="AU78" s="43" t="s">
        <v>7030</v>
      </c>
      <c r="AV78" s="43" t="s">
        <v>7031</v>
      </c>
      <c r="AW78" s="43" t="s">
        <v>7031</v>
      </c>
      <c r="AX78" s="43" t="s">
        <v>90</v>
      </c>
      <c r="AY78" s="43" t="s">
        <v>132</v>
      </c>
      <c r="AZ78" s="43" t="s">
        <v>7037</v>
      </c>
      <c r="BA78" s="43" t="s">
        <v>139</v>
      </c>
      <c r="BB78" s="45">
        <v>0</v>
      </c>
      <c r="BC78" s="45">
        <v>0</v>
      </c>
      <c r="BD78" s="43" t="s">
        <v>7042</v>
      </c>
      <c r="BE78" s="43" t="s">
        <v>81</v>
      </c>
      <c r="BF78" s="43" t="s">
        <v>81</v>
      </c>
      <c r="BG78" s="43" t="s">
        <v>86</v>
      </c>
      <c r="BH78" s="43" t="s">
        <v>177</v>
      </c>
      <c r="BI78" s="43" t="s">
        <v>7038</v>
      </c>
      <c r="BJ78" s="43" t="s">
        <v>7030</v>
      </c>
      <c r="BK78" s="43" t="s">
        <v>139</v>
      </c>
      <c r="BL78" s="43" t="s">
        <v>85</v>
      </c>
      <c r="BM78" s="43" t="s">
        <v>85</v>
      </c>
      <c r="BN78" s="43" t="s">
        <v>139</v>
      </c>
      <c r="BO78" s="46">
        <v>0</v>
      </c>
      <c r="BP78" s="43" t="s">
        <v>7042</v>
      </c>
      <c r="BQ78" s="43">
        <v>0</v>
      </c>
      <c r="BR78" s="43" t="s">
        <v>7042</v>
      </c>
      <c r="BS78" s="47">
        <v>0</v>
      </c>
      <c r="BT78" s="43" t="s">
        <v>7042</v>
      </c>
      <c r="BU78" s="43" t="s">
        <v>7042</v>
      </c>
      <c r="BV78" s="43" t="str">
        <f>CambioPlan[[#This Row],[TELEFONO]]&amp;"UPSELLSI"</f>
        <v>984594760UPSELLSI</v>
      </c>
      <c r="BW78" s="43">
        <f>DAY(CambioPlan[[#This Row],[FECHA_CAMBIO_PLAN]])</f>
        <v>11</v>
      </c>
      <c r="BX78" s="43" t="str">
        <f>VLOOKUP(CambioPlan[[#This Row],[NOM_PLAZA]],[1]!Locales[#Data],3,0)</f>
        <v>TIENDA RECREO</v>
      </c>
      <c r="BY78" s="43" t="str">
        <f>VLOOKUP(CambioPlan[[#This Row],[DOMAIN_LOGIN_OW]],[1]!Personal[#Data],6,0)</f>
        <v>SALAS PARRA MARIA JOSE</v>
      </c>
      <c r="BZ78" s="43"/>
      <c r="CA78" s="43" t="str">
        <f>IFERROR(IF(FIND("ADULTO",CambioPlan[[#This Row],[DESCRIPCION_PLAN_ACTUAL]],1),"NO SE PAGA",),"SI SE PAGA")</f>
        <v>SI SE PAGA</v>
      </c>
      <c r="CB78" s="45">
        <f>CambioPlan[[#This Row],[TARIFA_BASICA_ACTUAL]]-CambioPlan[[#This Row],[TARIFA_BASICA_ANTERIOR]]</f>
        <v>0</v>
      </c>
      <c r="CC78" s="56">
        <f>CambioPlan[[#This Row],[DIF. TARIFAS]]*4</f>
        <v>0</v>
      </c>
      <c r="CD78" s="53" t="str">
        <f>IF(CambioPlan[[#This Row],[C. COMISIÓN TME]]&lt;0,"DOWNSELL",IF(CambioPlan[[#This Row],[C. COMISIÓN TME]]=0,"MISMA TARIFA",IF(CambioPlan[[#This Row],[C. COMISIÓN TME]]&gt;0,"UPSELL")))</f>
        <v>MISMA TARIFA</v>
      </c>
      <c r="CE78">
        <f>VLOOKUP(CambioPlan[[#This Row],[TARIFA_BASICA_ANTERIOR]],[3]Hoja1!$F:$G,2,0)</f>
        <v>2</v>
      </c>
      <c r="CF78">
        <f>VLOOKUP(CambioPlan[[#This Row],[TARIFA_BASICA_ACTUAL]],[3]Hoja1!$B:$C,2,0)</f>
        <v>2</v>
      </c>
      <c r="CG78">
        <f t="shared" si="0"/>
        <v>0</v>
      </c>
      <c r="CH78" t="e">
        <f>VLOOKUP(CambioPlan[[#This Row],[TELEFONO]],[1]Retenciones!$R$63:$R$287,1,0)</f>
        <v>#N/A</v>
      </c>
    </row>
    <row r="79" spans="1:86" x14ac:dyDescent="0.25">
      <c r="A79" s="43">
        <v>202212</v>
      </c>
      <c r="B79" s="44">
        <v>44914</v>
      </c>
      <c r="C79" s="43" t="s">
        <v>7329</v>
      </c>
      <c r="D79" s="43" t="s">
        <v>7330</v>
      </c>
      <c r="E79" s="43" t="s">
        <v>95</v>
      </c>
      <c r="F79" s="43" t="s">
        <v>311</v>
      </c>
      <c r="G79" s="43" t="s">
        <v>311</v>
      </c>
      <c r="H79" s="43" t="s">
        <v>67</v>
      </c>
      <c r="I79" s="43" t="s">
        <v>7331</v>
      </c>
      <c r="J79" s="43" t="s">
        <v>7037</v>
      </c>
      <c r="K79" s="43" t="s">
        <v>118</v>
      </c>
      <c r="L79" s="43" t="s">
        <v>574</v>
      </c>
      <c r="M79" s="43" t="s">
        <v>575</v>
      </c>
      <c r="N79" s="43" t="s">
        <v>79</v>
      </c>
      <c r="O79" s="45">
        <v>17.850000000000001</v>
      </c>
      <c r="P79" s="43" t="s">
        <v>95</v>
      </c>
      <c r="Q79" s="43" t="s">
        <v>95</v>
      </c>
      <c r="R79" s="43" t="s">
        <v>95</v>
      </c>
      <c r="S79" s="45">
        <v>0</v>
      </c>
      <c r="T79" s="43" t="s">
        <v>95</v>
      </c>
      <c r="U79" s="44" t="s">
        <v>95</v>
      </c>
      <c r="V79" s="44" t="s">
        <v>95</v>
      </c>
      <c r="W79" s="43" t="s">
        <v>95</v>
      </c>
      <c r="X79" s="45">
        <v>17.850000000000001</v>
      </c>
      <c r="Y79" s="43" t="s">
        <v>81</v>
      </c>
      <c r="Z79" s="43" t="s">
        <v>7176</v>
      </c>
      <c r="AA79" s="43" t="s">
        <v>7332</v>
      </c>
      <c r="AB79" s="43" t="s">
        <v>79</v>
      </c>
      <c r="AC79" s="45">
        <v>16.989999999999998</v>
      </c>
      <c r="AD79" s="43" t="s">
        <v>95</v>
      </c>
      <c r="AE79" s="43" t="s">
        <v>95</v>
      </c>
      <c r="AF79" s="43" t="s">
        <v>95</v>
      </c>
      <c r="AG79" s="43" t="s">
        <v>95</v>
      </c>
      <c r="AH79" s="45">
        <v>0</v>
      </c>
      <c r="AI79" s="43" t="s">
        <v>95</v>
      </c>
      <c r="AJ79" s="43" t="s">
        <v>95</v>
      </c>
      <c r="AK79" s="43" t="s">
        <v>95</v>
      </c>
      <c r="AL79" s="43" t="s">
        <v>95</v>
      </c>
      <c r="AM79" s="45">
        <v>16.989999999999998</v>
      </c>
      <c r="AN79" s="43" t="s">
        <v>81</v>
      </c>
      <c r="AO79" s="44">
        <v>44910</v>
      </c>
      <c r="AP79" s="43" t="s">
        <v>665</v>
      </c>
      <c r="AQ79" s="43" t="s">
        <v>666</v>
      </c>
      <c r="AR79" s="43" t="s">
        <v>665</v>
      </c>
      <c r="AS79" s="43" t="s">
        <v>666</v>
      </c>
      <c r="AT79" s="43" t="s">
        <v>85</v>
      </c>
      <c r="AU79" s="43" t="s">
        <v>7030</v>
      </c>
      <c r="AV79" s="43" t="s">
        <v>7031</v>
      </c>
      <c r="AW79" s="43" t="s">
        <v>7031</v>
      </c>
      <c r="AX79" s="43" t="s">
        <v>90</v>
      </c>
      <c r="AY79" s="43" t="s">
        <v>132</v>
      </c>
      <c r="AZ79" s="43" t="s">
        <v>7037</v>
      </c>
      <c r="BA79" s="43" t="s">
        <v>139</v>
      </c>
      <c r="BB79" s="45">
        <v>0.86000000000000298</v>
      </c>
      <c r="BC79" s="45">
        <v>0.85999999999999899</v>
      </c>
      <c r="BD79" s="43" t="s">
        <v>7032</v>
      </c>
      <c r="BE79" s="43" t="s">
        <v>81</v>
      </c>
      <c r="BF79" s="43" t="s">
        <v>81</v>
      </c>
      <c r="BG79" s="43" t="s">
        <v>86</v>
      </c>
      <c r="BH79" s="43" t="s">
        <v>138</v>
      </c>
      <c r="BI79" s="43" t="s">
        <v>7076</v>
      </c>
      <c r="BJ79" s="43" t="s">
        <v>7030</v>
      </c>
      <c r="BK79" s="43" t="s">
        <v>139</v>
      </c>
      <c r="BL79" s="43" t="s">
        <v>85</v>
      </c>
      <c r="BM79" s="43" t="s">
        <v>85</v>
      </c>
      <c r="BN79" s="43" t="s">
        <v>139</v>
      </c>
      <c r="BO79" s="46">
        <v>0.85999999999999899</v>
      </c>
      <c r="BP79" s="43" t="s">
        <v>7032</v>
      </c>
      <c r="BQ79" s="43">
        <v>0.85999999999999899</v>
      </c>
      <c r="BR79" s="43" t="s">
        <v>7032</v>
      </c>
      <c r="BS79" s="47">
        <v>0.85999999999999899</v>
      </c>
      <c r="BT79" s="43" t="s">
        <v>7032</v>
      </c>
      <c r="BU79" s="43" t="s">
        <v>7092</v>
      </c>
      <c r="BV79" s="43" t="str">
        <f>CambioPlan[[#This Row],[TELEFONO]]&amp;"UPSELLSI"</f>
        <v>984650632UPSELLSI</v>
      </c>
      <c r="BW79" s="43">
        <f>DAY(CambioPlan[[#This Row],[FECHA_CAMBIO_PLAN]])</f>
        <v>15</v>
      </c>
      <c r="BX79" s="43" t="str">
        <f>VLOOKUP(CambioPlan[[#This Row],[NOM_PLAZA]],[1]!Locales[#Data],3,0)</f>
        <v>TIENDA AMERICA</v>
      </c>
      <c r="BY79" s="43" t="str">
        <f>VLOOKUP(CambioPlan[[#This Row],[DOMAIN_LOGIN_OW]],[1]!Personal[#Data],6,0)</f>
        <v>ROSERO CAICEDO JAIRO STEFANO</v>
      </c>
      <c r="BZ79" s="43"/>
      <c r="CA79" s="43" t="str">
        <f>IFERROR(IF(FIND("ADULTO",CambioPlan[[#This Row],[DESCRIPCION_PLAN_ACTUAL]],1),"NO SE PAGA",),"SI SE PAGA")</f>
        <v>SI SE PAGA</v>
      </c>
      <c r="CB79" s="45">
        <f>CambioPlan[[#This Row],[TARIFA_BASICA_ACTUAL]]-CambioPlan[[#This Row],[TARIFA_BASICA_ANTERIOR]]</f>
        <v>0.86000000000000298</v>
      </c>
      <c r="CC79" s="56">
        <f>CambioPlan[[#This Row],[DIF. TARIFAS]]*4</f>
        <v>3.4400000000000119</v>
      </c>
      <c r="CD79" s="53" t="str">
        <f>IF(CambioPlan[[#This Row],[C. COMISIÓN TME]]&lt;0,"DOWNSELL",IF(CambioPlan[[#This Row],[C. COMISIÓN TME]]=0,"MISMA TARIFA",IF(CambioPlan[[#This Row],[C. COMISIÓN TME]]&gt;0,"UPSELL")))</f>
        <v>UPSELL</v>
      </c>
      <c r="CE79">
        <f>VLOOKUP(CambioPlan[[#This Row],[TARIFA_BASICA_ANTERIOR]],[3]Hoja1!$F:$G,2,0)</f>
        <v>2</v>
      </c>
      <c r="CF79">
        <f>VLOOKUP(CambioPlan[[#This Row],[TARIFA_BASICA_ACTUAL]],[3]Hoja1!$B:$C,2,0)</f>
        <v>2</v>
      </c>
      <c r="CG79">
        <f t="shared" si="0"/>
        <v>0</v>
      </c>
      <c r="CH79" t="e">
        <f>VLOOKUP(CambioPlan[[#This Row],[TELEFONO]],[1]Retenciones!$R$63:$R$287,1,0)</f>
        <v>#N/A</v>
      </c>
    </row>
    <row r="80" spans="1:86" x14ac:dyDescent="0.25">
      <c r="A80" s="43">
        <v>202212</v>
      </c>
      <c r="B80" s="44">
        <v>44914</v>
      </c>
      <c r="C80" s="43" t="s">
        <v>7333</v>
      </c>
      <c r="D80" s="43" t="s">
        <v>7334</v>
      </c>
      <c r="E80" s="43" t="s">
        <v>95</v>
      </c>
      <c r="F80" s="43" t="s">
        <v>768</v>
      </c>
      <c r="G80" s="43" t="s">
        <v>768</v>
      </c>
      <c r="H80" s="43" t="s">
        <v>67</v>
      </c>
      <c r="I80" s="43" t="s">
        <v>3715</v>
      </c>
      <c r="J80" s="43" t="s">
        <v>7037</v>
      </c>
      <c r="K80" s="43" t="s">
        <v>84</v>
      </c>
      <c r="L80" s="43" t="s">
        <v>3972</v>
      </c>
      <c r="M80" s="43" t="s">
        <v>3973</v>
      </c>
      <c r="N80" s="43" t="s">
        <v>79</v>
      </c>
      <c r="O80" s="45">
        <v>26.78</v>
      </c>
      <c r="P80" s="43" t="s">
        <v>95</v>
      </c>
      <c r="Q80" s="43" t="s">
        <v>95</v>
      </c>
      <c r="R80" s="43" t="s">
        <v>95</v>
      </c>
      <c r="S80" s="45">
        <v>0</v>
      </c>
      <c r="T80" s="43" t="s">
        <v>95</v>
      </c>
      <c r="U80" s="44" t="s">
        <v>95</v>
      </c>
      <c r="V80" s="44" t="s">
        <v>95</v>
      </c>
      <c r="W80" s="43" t="s">
        <v>95</v>
      </c>
      <c r="X80" s="45">
        <v>26.78</v>
      </c>
      <c r="Y80" s="43" t="s">
        <v>81</v>
      </c>
      <c r="Z80" s="43" t="s">
        <v>7213</v>
      </c>
      <c r="AA80" s="43" t="s">
        <v>7214</v>
      </c>
      <c r="AB80" s="43" t="s">
        <v>79</v>
      </c>
      <c r="AC80" s="45">
        <v>24.99</v>
      </c>
      <c r="AD80" s="43" t="s">
        <v>95</v>
      </c>
      <c r="AE80" s="43" t="s">
        <v>95</v>
      </c>
      <c r="AF80" s="43" t="s">
        <v>95</v>
      </c>
      <c r="AG80" s="43" t="s">
        <v>95</v>
      </c>
      <c r="AH80" s="45">
        <v>0</v>
      </c>
      <c r="AI80" s="43" t="s">
        <v>95</v>
      </c>
      <c r="AJ80" s="43" t="s">
        <v>95</v>
      </c>
      <c r="AK80" s="43" t="s">
        <v>95</v>
      </c>
      <c r="AL80" s="43" t="s">
        <v>95</v>
      </c>
      <c r="AM80" s="45">
        <v>24.99</v>
      </c>
      <c r="AN80" s="43" t="s">
        <v>81</v>
      </c>
      <c r="AO80" s="44">
        <v>44912</v>
      </c>
      <c r="AP80" s="43" t="s">
        <v>396</v>
      </c>
      <c r="AQ80" s="43" t="s">
        <v>397</v>
      </c>
      <c r="AR80" s="43" t="s">
        <v>396</v>
      </c>
      <c r="AS80" s="43" t="s">
        <v>397</v>
      </c>
      <c r="AT80" s="43" t="s">
        <v>85</v>
      </c>
      <c r="AU80" s="43" t="s">
        <v>7030</v>
      </c>
      <c r="AV80" s="43" t="s">
        <v>7031</v>
      </c>
      <c r="AW80" s="43" t="s">
        <v>7031</v>
      </c>
      <c r="AX80" s="43" t="s">
        <v>90</v>
      </c>
      <c r="AY80" s="43" t="s">
        <v>132</v>
      </c>
      <c r="AZ80" s="43" t="s">
        <v>7037</v>
      </c>
      <c r="BA80" s="43" t="s">
        <v>139</v>
      </c>
      <c r="BB80" s="45">
        <v>1.79</v>
      </c>
      <c r="BC80" s="45">
        <v>1.79</v>
      </c>
      <c r="BD80" s="43" t="s">
        <v>7032</v>
      </c>
      <c r="BE80" s="43" t="s">
        <v>81</v>
      </c>
      <c r="BF80" s="43" t="s">
        <v>81</v>
      </c>
      <c r="BG80" s="43" t="s">
        <v>86</v>
      </c>
      <c r="BH80" s="43" t="s">
        <v>177</v>
      </c>
      <c r="BI80" s="43" t="s">
        <v>7038</v>
      </c>
      <c r="BJ80" s="43" t="s">
        <v>7030</v>
      </c>
      <c r="BK80" s="43" t="s">
        <v>139</v>
      </c>
      <c r="BL80" s="43" t="s">
        <v>85</v>
      </c>
      <c r="BM80" s="43" t="s">
        <v>85</v>
      </c>
      <c r="BN80" s="43" t="s">
        <v>139</v>
      </c>
      <c r="BO80" s="46">
        <v>1.79</v>
      </c>
      <c r="BP80" s="43" t="s">
        <v>7032</v>
      </c>
      <c r="BQ80" s="43">
        <v>1.79</v>
      </c>
      <c r="BR80" s="43" t="s">
        <v>7032</v>
      </c>
      <c r="BS80" s="47">
        <v>1.79</v>
      </c>
      <c r="BT80" s="43" t="s">
        <v>7032</v>
      </c>
      <c r="BU80" s="43" t="s">
        <v>7032</v>
      </c>
      <c r="BV80" s="43" t="str">
        <f>CambioPlan[[#This Row],[TELEFONO]]&amp;"UPSELLSI"</f>
        <v>984655342UPSELLSI</v>
      </c>
      <c r="BW80" s="43">
        <f>DAY(CambioPlan[[#This Row],[FECHA_CAMBIO_PLAN]])</f>
        <v>17</v>
      </c>
      <c r="BX80" s="43" t="str">
        <f>VLOOKUP(CambioPlan[[#This Row],[NOM_PLAZA]],[1]!Locales[#Data],3,0)</f>
        <v>TIENDA RECREO</v>
      </c>
      <c r="BY80" s="43" t="str">
        <f>VLOOKUP(CambioPlan[[#This Row],[DOMAIN_LOGIN_OW]],[1]!Personal[#Data],6,0)</f>
        <v>VINUEZA VELASCO ANGY DAYANA</v>
      </c>
      <c r="BZ80" s="43"/>
      <c r="CA80" s="43" t="str">
        <f>IFERROR(IF(FIND("ADULTO",CambioPlan[[#This Row],[DESCRIPCION_PLAN_ACTUAL]],1),"NO SE PAGA",),"SI SE PAGA")</f>
        <v>SI SE PAGA</v>
      </c>
      <c r="CB80" s="45">
        <f>CambioPlan[[#This Row],[TARIFA_BASICA_ACTUAL]]-CambioPlan[[#This Row],[TARIFA_BASICA_ANTERIOR]]</f>
        <v>1.7900000000000027</v>
      </c>
      <c r="CC80" s="56">
        <f>CambioPlan[[#This Row],[DIF. TARIFAS]]*4</f>
        <v>7.1600000000000108</v>
      </c>
      <c r="CD80" s="53" t="str">
        <f>IF(CambioPlan[[#This Row],[C. COMISIÓN TME]]&lt;0,"DOWNSELL",IF(CambioPlan[[#This Row],[C. COMISIÓN TME]]=0,"MISMA TARIFA",IF(CambioPlan[[#This Row],[C. COMISIÓN TME]]&gt;0,"UPSELL")))</f>
        <v>UPSELL</v>
      </c>
      <c r="CE80">
        <f>VLOOKUP(CambioPlan[[#This Row],[TARIFA_BASICA_ANTERIOR]],[3]Hoja1!$F:$G,2,0)</f>
        <v>4</v>
      </c>
      <c r="CF80">
        <f>VLOOKUP(CambioPlan[[#This Row],[TARIFA_BASICA_ACTUAL]],[3]Hoja1!$B:$C,2,0)</f>
        <v>4</v>
      </c>
      <c r="CG80">
        <f t="shared" si="0"/>
        <v>0</v>
      </c>
      <c r="CH80" t="e">
        <f>VLOOKUP(CambioPlan[[#This Row],[TELEFONO]],[1]Retenciones!$R$63:$R$287,1,0)</f>
        <v>#N/A</v>
      </c>
    </row>
    <row r="81" spans="1:86" x14ac:dyDescent="0.25">
      <c r="A81" s="43">
        <v>202212</v>
      </c>
      <c r="B81" s="44">
        <v>44914</v>
      </c>
      <c r="C81" s="43" t="s">
        <v>7335</v>
      </c>
      <c r="D81" s="43" t="s">
        <v>7336</v>
      </c>
      <c r="E81" s="43" t="s">
        <v>95</v>
      </c>
      <c r="F81" s="43" t="s">
        <v>77</v>
      </c>
      <c r="G81" s="43" t="s">
        <v>1532</v>
      </c>
      <c r="H81" s="43" t="s">
        <v>67</v>
      </c>
      <c r="I81" s="43" t="s">
        <v>7337</v>
      </c>
      <c r="J81" s="43" t="s">
        <v>7037</v>
      </c>
      <c r="K81" s="43" t="s">
        <v>215</v>
      </c>
      <c r="L81" s="43" t="s">
        <v>359</v>
      </c>
      <c r="M81" s="43" t="s">
        <v>360</v>
      </c>
      <c r="N81" s="43" t="s">
        <v>79</v>
      </c>
      <c r="O81" s="45">
        <v>14.28</v>
      </c>
      <c r="P81" s="43" t="s">
        <v>95</v>
      </c>
      <c r="Q81" s="43" t="s">
        <v>95</v>
      </c>
      <c r="R81" s="43" t="s">
        <v>95</v>
      </c>
      <c r="S81" s="45">
        <v>0</v>
      </c>
      <c r="T81" s="43" t="s">
        <v>95</v>
      </c>
      <c r="U81" s="44" t="s">
        <v>95</v>
      </c>
      <c r="V81" s="44" t="s">
        <v>95</v>
      </c>
      <c r="W81" s="43" t="s">
        <v>95</v>
      </c>
      <c r="X81" s="45">
        <v>14.28</v>
      </c>
      <c r="Y81" s="43" t="s">
        <v>81</v>
      </c>
      <c r="Z81" s="43" t="s">
        <v>671</v>
      </c>
      <c r="AA81" s="43" t="s">
        <v>672</v>
      </c>
      <c r="AB81" s="43" t="s">
        <v>79</v>
      </c>
      <c r="AC81" s="45">
        <v>15</v>
      </c>
      <c r="AD81" s="43" t="s">
        <v>95</v>
      </c>
      <c r="AE81" s="43" t="s">
        <v>95</v>
      </c>
      <c r="AF81" s="43" t="s">
        <v>95</v>
      </c>
      <c r="AG81" s="43" t="s">
        <v>95</v>
      </c>
      <c r="AH81" s="45">
        <v>0</v>
      </c>
      <c r="AI81" s="43" t="s">
        <v>95</v>
      </c>
      <c r="AJ81" s="43" t="s">
        <v>95</v>
      </c>
      <c r="AK81" s="43" t="s">
        <v>95</v>
      </c>
      <c r="AL81" s="43" t="s">
        <v>95</v>
      </c>
      <c r="AM81" s="45">
        <v>15</v>
      </c>
      <c r="AN81" s="43" t="s">
        <v>81</v>
      </c>
      <c r="AO81" s="44">
        <v>44897</v>
      </c>
      <c r="AP81" s="43" t="s">
        <v>541</v>
      </c>
      <c r="AQ81" s="43" t="s">
        <v>542</v>
      </c>
      <c r="AR81" s="43" t="s">
        <v>541</v>
      </c>
      <c r="AS81" s="43" t="s">
        <v>542</v>
      </c>
      <c r="AT81" s="43" t="s">
        <v>85</v>
      </c>
      <c r="AU81" s="43" t="s">
        <v>7030</v>
      </c>
      <c r="AV81" s="43" t="s">
        <v>7031</v>
      </c>
      <c r="AW81" s="43" t="s">
        <v>7031</v>
      </c>
      <c r="AX81" s="43" t="s">
        <v>90</v>
      </c>
      <c r="AY81" s="43" t="s">
        <v>132</v>
      </c>
      <c r="AZ81" s="43" t="s">
        <v>7037</v>
      </c>
      <c r="BA81" s="43" t="s">
        <v>139</v>
      </c>
      <c r="BB81" s="45">
        <v>-0.72000000000000097</v>
      </c>
      <c r="BC81" s="45">
        <v>-0.71999999999999897</v>
      </c>
      <c r="BD81" s="43" t="s">
        <v>7106</v>
      </c>
      <c r="BE81" s="43" t="s">
        <v>81</v>
      </c>
      <c r="BF81" s="43" t="s">
        <v>81</v>
      </c>
      <c r="BG81" s="43" t="s">
        <v>86</v>
      </c>
      <c r="BH81" s="43" t="s">
        <v>138</v>
      </c>
      <c r="BI81" s="43" t="s">
        <v>7076</v>
      </c>
      <c r="BJ81" s="43" t="s">
        <v>7030</v>
      </c>
      <c r="BK81" s="43" t="s">
        <v>139</v>
      </c>
      <c r="BL81" s="43" t="s">
        <v>85</v>
      </c>
      <c r="BM81" s="43" t="s">
        <v>85</v>
      </c>
      <c r="BN81" s="43" t="s">
        <v>139</v>
      </c>
      <c r="BO81" s="46">
        <v>-0.71999999999999897</v>
      </c>
      <c r="BP81" s="43" t="s">
        <v>7106</v>
      </c>
      <c r="BQ81" s="43">
        <v>-0.71999999999999897</v>
      </c>
      <c r="BR81" s="43" t="s">
        <v>7106</v>
      </c>
      <c r="BS81" s="47">
        <v>-0.71999999999999897</v>
      </c>
      <c r="BT81" s="43" t="s">
        <v>7106</v>
      </c>
      <c r="BU81" s="43" t="s">
        <v>7106</v>
      </c>
      <c r="BV81" s="43" t="str">
        <f>CambioPlan[[#This Row],[TELEFONO]]&amp;"UPSELLSI"</f>
        <v>984679258UPSELLSI</v>
      </c>
      <c r="BW81" s="43">
        <f>DAY(CambioPlan[[#This Row],[FECHA_CAMBIO_PLAN]])</f>
        <v>2</v>
      </c>
      <c r="BX81" s="43" t="str">
        <f>VLOOKUP(CambioPlan[[#This Row],[NOM_PLAZA]],[1]!Locales[#Data],3,0)</f>
        <v>TIENDA AMERICA</v>
      </c>
      <c r="BY81" s="43" t="str">
        <f>VLOOKUP(CambioPlan[[#This Row],[DOMAIN_LOGIN_OW]],[1]!Personal[#Data],6,0)</f>
        <v>CEVALLOS PONCE DIANA CAROLINA</v>
      </c>
      <c r="BZ81" s="43"/>
      <c r="CA81" s="43" t="str">
        <f>IFERROR(IF(FIND("ADULTO",CambioPlan[[#This Row],[DESCRIPCION_PLAN_ACTUAL]],1),"NO SE PAGA",),"SI SE PAGA")</f>
        <v>SI SE PAGA</v>
      </c>
      <c r="CB81" s="45">
        <f>CambioPlan[[#This Row],[TARIFA_BASICA_ACTUAL]]-CambioPlan[[#This Row],[TARIFA_BASICA_ANTERIOR]]</f>
        <v>-0.72000000000000064</v>
      </c>
      <c r="CC81" s="56">
        <f>CambioPlan[[#This Row],[DIF. TARIFAS]]*4</f>
        <v>-2.8800000000000026</v>
      </c>
      <c r="CD81" s="53" t="str">
        <f>IF(CambioPlan[[#This Row],[C. COMISIÓN TME]]&lt;0,"DOWNSELL",IF(CambioPlan[[#This Row],[C. COMISIÓN TME]]=0,"MISMA TARIFA",IF(CambioPlan[[#This Row],[C. COMISIÓN TME]]&gt;0,"UPSELL")))</f>
        <v>DOWNSELL</v>
      </c>
      <c r="CE81">
        <f>VLOOKUP(CambioPlan[[#This Row],[TARIFA_BASICA_ANTERIOR]],[3]Hoja1!$F:$G,2,0)</f>
        <v>2</v>
      </c>
      <c r="CF81">
        <f>VLOOKUP(CambioPlan[[#This Row],[TARIFA_BASICA_ACTUAL]],[3]Hoja1!$B:$C,2,0)</f>
        <v>1</v>
      </c>
      <c r="CG81">
        <f t="shared" si="0"/>
        <v>-1</v>
      </c>
      <c r="CH81" t="e">
        <f>VLOOKUP(CambioPlan[[#This Row],[TELEFONO]],[1]Retenciones!$R$63:$R$287,1,0)</f>
        <v>#N/A</v>
      </c>
    </row>
    <row r="82" spans="1:86" x14ac:dyDescent="0.25">
      <c r="A82" s="43">
        <v>202212</v>
      </c>
      <c r="B82" s="44">
        <v>44914</v>
      </c>
      <c r="C82" s="43" t="s">
        <v>7338</v>
      </c>
      <c r="D82" s="43" t="s">
        <v>7339</v>
      </c>
      <c r="E82" s="43" t="s">
        <v>95</v>
      </c>
      <c r="F82" s="43" t="s">
        <v>77</v>
      </c>
      <c r="G82" s="43" t="s">
        <v>1532</v>
      </c>
      <c r="H82" s="43" t="s">
        <v>67</v>
      </c>
      <c r="I82" s="43" t="s">
        <v>7340</v>
      </c>
      <c r="J82" s="43" t="s">
        <v>7037</v>
      </c>
      <c r="K82" s="43" t="s">
        <v>84</v>
      </c>
      <c r="L82" s="43" t="s">
        <v>574</v>
      </c>
      <c r="M82" s="43" t="s">
        <v>575</v>
      </c>
      <c r="N82" s="43" t="s">
        <v>79</v>
      </c>
      <c r="O82" s="45">
        <v>17.850000000000001</v>
      </c>
      <c r="P82" s="43" t="s">
        <v>95</v>
      </c>
      <c r="Q82" s="43" t="s">
        <v>95</v>
      </c>
      <c r="R82" s="43" t="s">
        <v>95</v>
      </c>
      <c r="S82" s="45">
        <v>0</v>
      </c>
      <c r="T82" s="43" t="s">
        <v>95</v>
      </c>
      <c r="U82" s="44" t="s">
        <v>95</v>
      </c>
      <c r="V82" s="44" t="s">
        <v>95</v>
      </c>
      <c r="W82" s="43" t="s">
        <v>95</v>
      </c>
      <c r="X82" s="45">
        <v>17.850000000000001</v>
      </c>
      <c r="Y82" s="43" t="s">
        <v>81</v>
      </c>
      <c r="Z82" s="43" t="s">
        <v>7055</v>
      </c>
      <c r="AA82" s="43" t="s">
        <v>7341</v>
      </c>
      <c r="AB82" s="43" t="s">
        <v>79</v>
      </c>
      <c r="AC82" s="45">
        <v>15</v>
      </c>
      <c r="AD82" s="43" t="s">
        <v>95</v>
      </c>
      <c r="AE82" s="43" t="s">
        <v>95</v>
      </c>
      <c r="AF82" s="43" t="s">
        <v>95</v>
      </c>
      <c r="AG82" s="43" t="s">
        <v>95</v>
      </c>
      <c r="AH82" s="45">
        <v>0</v>
      </c>
      <c r="AI82" s="43" t="s">
        <v>95</v>
      </c>
      <c r="AJ82" s="43" t="s">
        <v>95</v>
      </c>
      <c r="AK82" s="43" t="s">
        <v>95</v>
      </c>
      <c r="AL82" s="43" t="s">
        <v>95</v>
      </c>
      <c r="AM82" s="45">
        <v>15</v>
      </c>
      <c r="AN82" s="43" t="s">
        <v>81</v>
      </c>
      <c r="AO82" s="44">
        <v>44911</v>
      </c>
      <c r="AP82" s="43" t="s">
        <v>926</v>
      </c>
      <c r="AQ82" s="43" t="s">
        <v>927</v>
      </c>
      <c r="AR82" s="43" t="s">
        <v>926</v>
      </c>
      <c r="AS82" s="43" t="s">
        <v>927</v>
      </c>
      <c r="AT82" s="43" t="s">
        <v>85</v>
      </c>
      <c r="AU82" s="43" t="s">
        <v>7030</v>
      </c>
      <c r="AV82" s="43" t="s">
        <v>7031</v>
      </c>
      <c r="AW82" s="43" t="s">
        <v>7031</v>
      </c>
      <c r="AX82" s="43" t="s">
        <v>90</v>
      </c>
      <c r="AY82" s="43" t="s">
        <v>132</v>
      </c>
      <c r="AZ82" s="43" t="s">
        <v>7037</v>
      </c>
      <c r="BA82" s="43" t="s">
        <v>139</v>
      </c>
      <c r="BB82" s="45">
        <v>2.85</v>
      </c>
      <c r="BC82" s="45">
        <v>2.85</v>
      </c>
      <c r="BD82" s="43" t="s">
        <v>7032</v>
      </c>
      <c r="BE82" s="43" t="s">
        <v>81</v>
      </c>
      <c r="BF82" s="43" t="s">
        <v>81</v>
      </c>
      <c r="BG82" s="43" t="s">
        <v>86</v>
      </c>
      <c r="BH82" s="43" t="s">
        <v>177</v>
      </c>
      <c r="BI82" s="43" t="s">
        <v>7038</v>
      </c>
      <c r="BJ82" s="43" t="s">
        <v>7030</v>
      </c>
      <c r="BK82" s="43" t="s">
        <v>139</v>
      </c>
      <c r="BL82" s="43" t="s">
        <v>85</v>
      </c>
      <c r="BM82" s="43" t="s">
        <v>85</v>
      </c>
      <c r="BN82" s="43" t="s">
        <v>139</v>
      </c>
      <c r="BO82" s="46">
        <v>2.85</v>
      </c>
      <c r="BP82" s="43" t="s">
        <v>7032</v>
      </c>
      <c r="BQ82" s="43">
        <v>2.85</v>
      </c>
      <c r="BR82" s="43" t="s">
        <v>7032</v>
      </c>
      <c r="BS82" s="47">
        <v>2.85</v>
      </c>
      <c r="BT82" s="43" t="s">
        <v>7032</v>
      </c>
      <c r="BU82" s="43" t="s">
        <v>7032</v>
      </c>
      <c r="BV82" s="43" t="str">
        <f>CambioPlan[[#This Row],[TELEFONO]]&amp;"UPSELLSI"</f>
        <v>984785948UPSELLSI</v>
      </c>
      <c r="BW82" s="43">
        <f>DAY(CambioPlan[[#This Row],[FECHA_CAMBIO_PLAN]])</f>
        <v>16</v>
      </c>
      <c r="BX82" s="43" t="str">
        <f>VLOOKUP(CambioPlan[[#This Row],[NOM_PLAZA]],[1]!Locales[#Data],3,0)</f>
        <v>TIENDA RECREO</v>
      </c>
      <c r="BY82" s="43" t="str">
        <f>VLOOKUP(CambioPlan[[#This Row],[DOMAIN_LOGIN_OW]],[1]!Personal[#Data],6,0)</f>
        <v>CABEZAS LOPEZ ROBERTO ALEJANDRO</v>
      </c>
      <c r="BZ82" s="43"/>
      <c r="CA82" s="43" t="str">
        <f>IFERROR(IF(FIND("ADULTO",CambioPlan[[#This Row],[DESCRIPCION_PLAN_ACTUAL]],1),"NO SE PAGA",),"SI SE PAGA")</f>
        <v>SI SE PAGA</v>
      </c>
      <c r="CB82" s="45">
        <f>CambioPlan[[#This Row],[TARIFA_BASICA_ACTUAL]]-CambioPlan[[#This Row],[TARIFA_BASICA_ANTERIOR]]</f>
        <v>2.8500000000000014</v>
      </c>
      <c r="CC82" s="56">
        <f>CambioPlan[[#This Row],[DIF. TARIFAS]]*4</f>
        <v>11.400000000000006</v>
      </c>
      <c r="CD82" s="53" t="str">
        <f>IF(CambioPlan[[#This Row],[C. COMISIÓN TME]]&lt;0,"DOWNSELL",IF(CambioPlan[[#This Row],[C. COMISIÓN TME]]=0,"MISMA TARIFA",IF(CambioPlan[[#This Row],[C. COMISIÓN TME]]&gt;0,"UPSELL")))</f>
        <v>UPSELL</v>
      </c>
      <c r="CE82">
        <f>VLOOKUP(CambioPlan[[#This Row],[TARIFA_BASICA_ANTERIOR]],[3]Hoja1!$F:$G,2,0)</f>
        <v>2</v>
      </c>
      <c r="CF82">
        <f>VLOOKUP(CambioPlan[[#This Row],[TARIFA_BASICA_ACTUAL]],[3]Hoja1!$B:$C,2,0)</f>
        <v>2</v>
      </c>
      <c r="CG82">
        <f t="shared" si="0"/>
        <v>0</v>
      </c>
      <c r="CH82" t="e">
        <f>VLOOKUP(CambioPlan[[#This Row],[TELEFONO]],[1]Retenciones!$R$63:$R$287,1,0)</f>
        <v>#N/A</v>
      </c>
    </row>
    <row r="83" spans="1:86" x14ac:dyDescent="0.25">
      <c r="A83" s="43">
        <v>202212</v>
      </c>
      <c r="B83" s="44">
        <v>44914</v>
      </c>
      <c r="C83" s="43" t="s">
        <v>7342</v>
      </c>
      <c r="D83" s="43" t="s">
        <v>7343</v>
      </c>
      <c r="E83" s="43" t="s">
        <v>95</v>
      </c>
      <c r="F83" s="43" t="s">
        <v>77</v>
      </c>
      <c r="G83" s="43" t="s">
        <v>164</v>
      </c>
      <c r="H83" s="43" t="s">
        <v>246</v>
      </c>
      <c r="I83" s="43" t="s">
        <v>7344</v>
      </c>
      <c r="J83" s="43" t="s">
        <v>7066</v>
      </c>
      <c r="K83" s="43" t="s">
        <v>84</v>
      </c>
      <c r="L83" s="43" t="s">
        <v>3232</v>
      </c>
      <c r="M83" s="43" t="s">
        <v>7237</v>
      </c>
      <c r="N83" s="43" t="s">
        <v>79</v>
      </c>
      <c r="O83" s="45">
        <v>51.78</v>
      </c>
      <c r="P83" s="43" t="s">
        <v>95</v>
      </c>
      <c r="Q83" s="43" t="s">
        <v>95</v>
      </c>
      <c r="R83" s="43" t="s">
        <v>95</v>
      </c>
      <c r="S83" s="45">
        <v>0</v>
      </c>
      <c r="T83" s="43" t="s">
        <v>95</v>
      </c>
      <c r="U83" s="44" t="s">
        <v>95</v>
      </c>
      <c r="V83" s="44" t="s">
        <v>95</v>
      </c>
      <c r="W83" s="43" t="s">
        <v>95</v>
      </c>
      <c r="X83" s="45">
        <v>51.78</v>
      </c>
      <c r="Y83" s="43" t="s">
        <v>81</v>
      </c>
      <c r="Z83" s="43" t="s">
        <v>130</v>
      </c>
      <c r="AA83" s="43" t="s">
        <v>433</v>
      </c>
      <c r="AB83" s="43" t="s">
        <v>79</v>
      </c>
      <c r="AC83" s="45">
        <v>15</v>
      </c>
      <c r="AD83" s="43" t="s">
        <v>95</v>
      </c>
      <c r="AE83" s="43" t="s">
        <v>95</v>
      </c>
      <c r="AF83" s="43" t="s">
        <v>95</v>
      </c>
      <c r="AG83" s="43" t="s">
        <v>95</v>
      </c>
      <c r="AH83" s="45">
        <v>0</v>
      </c>
      <c r="AI83" s="43" t="s">
        <v>95</v>
      </c>
      <c r="AJ83" s="43" t="s">
        <v>95</v>
      </c>
      <c r="AK83" s="43" t="s">
        <v>95</v>
      </c>
      <c r="AL83" s="43" t="s">
        <v>95</v>
      </c>
      <c r="AM83" s="45">
        <v>15</v>
      </c>
      <c r="AN83" s="43" t="s">
        <v>81</v>
      </c>
      <c r="AO83" s="44">
        <v>44912</v>
      </c>
      <c r="AP83" s="43" t="s">
        <v>262</v>
      </c>
      <c r="AQ83" s="43" t="s">
        <v>263</v>
      </c>
      <c r="AR83" s="43" t="s">
        <v>262</v>
      </c>
      <c r="AS83" s="43" t="s">
        <v>263</v>
      </c>
      <c r="AT83" s="43" t="s">
        <v>85</v>
      </c>
      <c r="AU83" s="43" t="s">
        <v>7030</v>
      </c>
      <c r="AV83" s="43" t="s">
        <v>7031</v>
      </c>
      <c r="AW83" s="43" t="s">
        <v>7031</v>
      </c>
      <c r="AX83" s="43" t="s">
        <v>90</v>
      </c>
      <c r="AY83" s="43" t="s">
        <v>132</v>
      </c>
      <c r="AZ83" s="43" t="s">
        <v>7037</v>
      </c>
      <c r="BA83" s="43" t="s">
        <v>139</v>
      </c>
      <c r="BB83" s="45">
        <v>36.78</v>
      </c>
      <c r="BC83" s="45">
        <v>36.78</v>
      </c>
      <c r="BD83" s="43" t="s">
        <v>7032</v>
      </c>
      <c r="BE83" s="43" t="s">
        <v>81</v>
      </c>
      <c r="BF83" s="43" t="s">
        <v>81</v>
      </c>
      <c r="BG83" s="43" t="s">
        <v>86</v>
      </c>
      <c r="BH83" s="43" t="s">
        <v>177</v>
      </c>
      <c r="BI83" s="43" t="s">
        <v>7038</v>
      </c>
      <c r="BJ83" s="43" t="s">
        <v>7030</v>
      </c>
      <c r="BK83" s="43" t="s">
        <v>139</v>
      </c>
      <c r="BL83" s="43" t="s">
        <v>85</v>
      </c>
      <c r="BM83" s="43" t="s">
        <v>85</v>
      </c>
      <c r="BN83" s="43" t="s">
        <v>139</v>
      </c>
      <c r="BO83" s="46">
        <v>36.78</v>
      </c>
      <c r="BP83" s="43" t="s">
        <v>7032</v>
      </c>
      <c r="BQ83" s="43">
        <v>36.78</v>
      </c>
      <c r="BR83" s="43" t="s">
        <v>7032</v>
      </c>
      <c r="BS83" s="47">
        <v>36.78</v>
      </c>
      <c r="BT83" s="43" t="s">
        <v>7032</v>
      </c>
      <c r="BU83" s="43" t="s">
        <v>7032</v>
      </c>
      <c r="BV83" s="43" t="str">
        <f>CambioPlan[[#This Row],[TELEFONO]]&amp;"UPSELLSI"</f>
        <v>984828495UPSELLSI</v>
      </c>
      <c r="BW83" s="43">
        <f>DAY(CambioPlan[[#This Row],[FECHA_CAMBIO_PLAN]])</f>
        <v>17</v>
      </c>
      <c r="BX83" s="43" t="str">
        <f>VLOOKUP(CambioPlan[[#This Row],[NOM_PLAZA]],[1]!Locales[#Data],3,0)</f>
        <v>TIENDA RECREO</v>
      </c>
      <c r="BY83" s="43" t="str">
        <f>VLOOKUP(CambioPlan[[#This Row],[DOMAIN_LOGIN_OW]],[1]!Personal[#Data],6,0)</f>
        <v>CHICAIZA TOAPANTA ALEX DANILO</v>
      </c>
      <c r="BZ83" s="43"/>
      <c r="CA83" s="43" t="str">
        <f>IFERROR(IF(FIND("ADULTO",CambioPlan[[#This Row],[DESCRIPCION_PLAN_ACTUAL]],1),"NO SE PAGA",),"SI SE PAGA")</f>
        <v>SI SE PAGA</v>
      </c>
      <c r="CB83" s="45">
        <f>CambioPlan[[#This Row],[TARIFA_BASICA_ACTUAL]]-CambioPlan[[#This Row],[TARIFA_BASICA_ANTERIOR]]</f>
        <v>36.78</v>
      </c>
      <c r="CC83" s="56">
        <f>CambioPlan[[#This Row],[DIF. TARIFAS]]*4</f>
        <v>147.12</v>
      </c>
      <c r="CD83" s="53" t="str">
        <f>IF(CambioPlan[[#This Row],[C. COMISIÓN TME]]&lt;0,"DOWNSELL",IF(CambioPlan[[#This Row],[C. COMISIÓN TME]]=0,"MISMA TARIFA",IF(CambioPlan[[#This Row],[C. COMISIÓN TME]]&gt;0,"UPSELL")))</f>
        <v>UPSELL</v>
      </c>
      <c r="CE83">
        <f>VLOOKUP(CambioPlan[[#This Row],[TARIFA_BASICA_ANTERIOR]],[3]Hoja1!$F:$G,2,0)</f>
        <v>2</v>
      </c>
      <c r="CF83">
        <f>VLOOKUP(CambioPlan[[#This Row],[TARIFA_BASICA_ACTUAL]],[3]Hoja1!$B:$C,2,0)</f>
        <v>6</v>
      </c>
      <c r="CG83">
        <f t="shared" si="0"/>
        <v>4</v>
      </c>
      <c r="CH83" t="e">
        <f>VLOOKUP(CambioPlan[[#This Row],[TELEFONO]],[1]Retenciones!$R$63:$R$287,1,0)</f>
        <v>#N/A</v>
      </c>
    </row>
    <row r="84" spans="1:86" x14ac:dyDescent="0.25">
      <c r="A84" s="43">
        <v>202212</v>
      </c>
      <c r="B84" s="44">
        <v>44914</v>
      </c>
      <c r="C84" s="43" t="s">
        <v>7345</v>
      </c>
      <c r="D84" s="43" t="s">
        <v>7346</v>
      </c>
      <c r="E84" s="43" t="s">
        <v>95</v>
      </c>
      <c r="F84" s="43" t="s">
        <v>231</v>
      </c>
      <c r="G84" s="43" t="s">
        <v>231</v>
      </c>
      <c r="H84" s="43" t="s">
        <v>67</v>
      </c>
      <c r="I84" s="43" t="s">
        <v>7347</v>
      </c>
      <c r="J84" s="43" t="s">
        <v>7037</v>
      </c>
      <c r="K84" s="43" t="s">
        <v>84</v>
      </c>
      <c r="L84" s="43" t="s">
        <v>4963</v>
      </c>
      <c r="M84" s="43" t="s">
        <v>4964</v>
      </c>
      <c r="N84" s="43" t="s">
        <v>79</v>
      </c>
      <c r="O84" s="45">
        <v>32.130000000000003</v>
      </c>
      <c r="P84" s="43" t="s">
        <v>95</v>
      </c>
      <c r="Q84" s="43" t="s">
        <v>95</v>
      </c>
      <c r="R84" s="43" t="s">
        <v>95</v>
      </c>
      <c r="S84" s="45">
        <v>0</v>
      </c>
      <c r="T84" s="43" t="s">
        <v>95</v>
      </c>
      <c r="U84" s="44" t="s">
        <v>95</v>
      </c>
      <c r="V84" s="44" t="s">
        <v>95</v>
      </c>
      <c r="W84" s="43" t="s">
        <v>95</v>
      </c>
      <c r="X84" s="45">
        <v>32.130000000000003</v>
      </c>
      <c r="Y84" s="43" t="s">
        <v>81</v>
      </c>
      <c r="Z84" s="43" t="s">
        <v>3972</v>
      </c>
      <c r="AA84" s="43" t="s">
        <v>3973</v>
      </c>
      <c r="AB84" s="43" t="s">
        <v>79</v>
      </c>
      <c r="AC84" s="45">
        <v>26.78</v>
      </c>
      <c r="AD84" s="43" t="s">
        <v>95</v>
      </c>
      <c r="AE84" s="43" t="s">
        <v>95</v>
      </c>
      <c r="AF84" s="43" t="s">
        <v>95</v>
      </c>
      <c r="AG84" s="43" t="s">
        <v>95</v>
      </c>
      <c r="AH84" s="45">
        <v>0</v>
      </c>
      <c r="AI84" s="43" t="s">
        <v>95</v>
      </c>
      <c r="AJ84" s="43" t="s">
        <v>95</v>
      </c>
      <c r="AK84" s="43" t="s">
        <v>95</v>
      </c>
      <c r="AL84" s="43" t="s">
        <v>95</v>
      </c>
      <c r="AM84" s="45">
        <v>26.78</v>
      </c>
      <c r="AN84" s="43" t="s">
        <v>81</v>
      </c>
      <c r="AO84" s="44">
        <v>44901</v>
      </c>
      <c r="AP84" s="43" t="s">
        <v>1545</v>
      </c>
      <c r="AQ84" s="43" t="s">
        <v>1546</v>
      </c>
      <c r="AR84" s="43" t="s">
        <v>1545</v>
      </c>
      <c r="AS84" s="43" t="s">
        <v>1546</v>
      </c>
      <c r="AT84" s="43" t="s">
        <v>85</v>
      </c>
      <c r="AU84" s="43" t="s">
        <v>7030</v>
      </c>
      <c r="AV84" s="43" t="s">
        <v>7031</v>
      </c>
      <c r="AW84" s="43" t="s">
        <v>7031</v>
      </c>
      <c r="AX84" s="43" t="s">
        <v>90</v>
      </c>
      <c r="AY84" s="43" t="s">
        <v>132</v>
      </c>
      <c r="AZ84" s="43" t="s">
        <v>7037</v>
      </c>
      <c r="BA84" s="43" t="s">
        <v>139</v>
      </c>
      <c r="BB84" s="45">
        <v>5.35</v>
      </c>
      <c r="BC84" s="45">
        <v>5.35</v>
      </c>
      <c r="BD84" s="43" t="s">
        <v>7032</v>
      </c>
      <c r="BE84" s="43" t="s">
        <v>81</v>
      </c>
      <c r="BF84" s="43" t="s">
        <v>81</v>
      </c>
      <c r="BG84" s="43" t="s">
        <v>86</v>
      </c>
      <c r="BH84" s="43" t="s">
        <v>138</v>
      </c>
      <c r="BI84" s="43" t="s">
        <v>7076</v>
      </c>
      <c r="BJ84" s="43" t="s">
        <v>7030</v>
      </c>
      <c r="BK84" s="43" t="s">
        <v>139</v>
      </c>
      <c r="BL84" s="43" t="s">
        <v>85</v>
      </c>
      <c r="BM84" s="43" t="s">
        <v>85</v>
      </c>
      <c r="BN84" s="43" t="s">
        <v>139</v>
      </c>
      <c r="BO84" s="46">
        <v>5.35</v>
      </c>
      <c r="BP84" s="43" t="s">
        <v>7032</v>
      </c>
      <c r="BQ84" s="43">
        <v>5.35</v>
      </c>
      <c r="BR84" s="43" t="s">
        <v>7032</v>
      </c>
      <c r="BS84" s="47">
        <v>5.35</v>
      </c>
      <c r="BT84" s="43" t="s">
        <v>7032</v>
      </c>
      <c r="BU84" s="43" t="s">
        <v>7032</v>
      </c>
      <c r="BV84" s="43" t="str">
        <f>CambioPlan[[#This Row],[TELEFONO]]&amp;"UPSELLSI"</f>
        <v>984837766UPSELLSI</v>
      </c>
      <c r="BW84" s="43">
        <f>DAY(CambioPlan[[#This Row],[FECHA_CAMBIO_PLAN]])</f>
        <v>6</v>
      </c>
      <c r="BX84" s="43" t="str">
        <f>VLOOKUP(CambioPlan[[#This Row],[NOM_PLAZA]],[1]!Locales[#Data],3,0)</f>
        <v>TIENDA AMERICA</v>
      </c>
      <c r="BY84" s="43" t="str">
        <f>VLOOKUP(CambioPlan[[#This Row],[DOMAIN_LOGIN_OW]],[1]!Personal[#Data],6,0)</f>
        <v>GRANDA ESPINOZA ANDRES SEBASTIAN</v>
      </c>
      <c r="BZ84" s="43"/>
      <c r="CA84" s="43" t="str">
        <f>IFERROR(IF(FIND("ADULTO",CambioPlan[[#This Row],[DESCRIPCION_PLAN_ACTUAL]],1),"NO SE PAGA",),"SI SE PAGA")</f>
        <v>SI SE PAGA</v>
      </c>
      <c r="CB84" s="45">
        <f>CambioPlan[[#This Row],[TARIFA_BASICA_ACTUAL]]-CambioPlan[[#This Row],[TARIFA_BASICA_ANTERIOR]]</f>
        <v>5.3500000000000014</v>
      </c>
      <c r="CC84" s="56">
        <f>CambioPlan[[#This Row],[DIF. TARIFAS]]*4</f>
        <v>21.400000000000006</v>
      </c>
      <c r="CD84" s="53" t="str">
        <f>IF(CambioPlan[[#This Row],[C. COMISIÓN TME]]&lt;0,"DOWNSELL",IF(CambioPlan[[#This Row],[C. COMISIÓN TME]]=0,"MISMA TARIFA",IF(CambioPlan[[#This Row],[C. COMISIÓN TME]]&gt;0,"UPSELL")))</f>
        <v>UPSELL</v>
      </c>
      <c r="CE84">
        <f>VLOOKUP(CambioPlan[[#This Row],[TARIFA_BASICA_ANTERIOR]],[3]Hoja1!$F:$G,2,0)</f>
        <v>4</v>
      </c>
      <c r="CF84">
        <f>VLOOKUP(CambioPlan[[#This Row],[TARIFA_BASICA_ACTUAL]],[3]Hoja1!$B:$C,2,0)</f>
        <v>5</v>
      </c>
      <c r="CG84">
        <f t="shared" si="0"/>
        <v>1</v>
      </c>
      <c r="CH84" t="e">
        <f>VLOOKUP(CambioPlan[[#This Row],[TELEFONO]],[1]Retenciones!$R$63:$R$287,1,0)</f>
        <v>#N/A</v>
      </c>
    </row>
    <row r="85" spans="1:86" x14ac:dyDescent="0.25">
      <c r="A85" s="43">
        <v>202212</v>
      </c>
      <c r="B85" s="44">
        <v>44914</v>
      </c>
      <c r="C85" s="43" t="s">
        <v>7348</v>
      </c>
      <c r="D85" s="43" t="s">
        <v>7349</v>
      </c>
      <c r="E85" s="43" t="s">
        <v>95</v>
      </c>
      <c r="F85" s="43" t="s">
        <v>77</v>
      </c>
      <c r="G85" s="43" t="s">
        <v>2241</v>
      </c>
      <c r="H85" s="43" t="s">
        <v>67</v>
      </c>
      <c r="I85" s="43" t="s">
        <v>7350</v>
      </c>
      <c r="J85" s="43" t="s">
        <v>7037</v>
      </c>
      <c r="K85" s="43" t="s">
        <v>84</v>
      </c>
      <c r="L85" s="43" t="s">
        <v>160</v>
      </c>
      <c r="M85" s="43" t="s">
        <v>161</v>
      </c>
      <c r="N85" s="43" t="s">
        <v>79</v>
      </c>
      <c r="O85" s="45">
        <v>14.28</v>
      </c>
      <c r="P85" s="43" t="s">
        <v>95</v>
      </c>
      <c r="Q85" s="43" t="s">
        <v>95</v>
      </c>
      <c r="R85" s="43" t="s">
        <v>95</v>
      </c>
      <c r="S85" s="45">
        <v>0</v>
      </c>
      <c r="T85" s="43" t="s">
        <v>95</v>
      </c>
      <c r="U85" s="44" t="s">
        <v>95</v>
      </c>
      <c r="V85" s="44" t="s">
        <v>95</v>
      </c>
      <c r="W85" s="43" t="s">
        <v>95</v>
      </c>
      <c r="X85" s="45">
        <v>14.28</v>
      </c>
      <c r="Y85" s="43" t="s">
        <v>81</v>
      </c>
      <c r="Z85" s="43" t="s">
        <v>71</v>
      </c>
      <c r="AA85" s="43" t="s">
        <v>258</v>
      </c>
      <c r="AB85" s="43" t="s">
        <v>79</v>
      </c>
      <c r="AC85" s="45">
        <v>11.42</v>
      </c>
      <c r="AD85" s="43" t="s">
        <v>95</v>
      </c>
      <c r="AE85" s="43" t="s">
        <v>95</v>
      </c>
      <c r="AF85" s="43" t="s">
        <v>95</v>
      </c>
      <c r="AG85" s="43" t="s">
        <v>95</v>
      </c>
      <c r="AH85" s="45">
        <v>0</v>
      </c>
      <c r="AI85" s="43" t="s">
        <v>95</v>
      </c>
      <c r="AJ85" s="43" t="s">
        <v>95</v>
      </c>
      <c r="AK85" s="43" t="s">
        <v>95</v>
      </c>
      <c r="AL85" s="43" t="s">
        <v>95</v>
      </c>
      <c r="AM85" s="45">
        <v>11.42</v>
      </c>
      <c r="AN85" s="43" t="s">
        <v>81</v>
      </c>
      <c r="AO85" s="44">
        <v>44903</v>
      </c>
      <c r="AP85" s="43" t="s">
        <v>880</v>
      </c>
      <c r="AQ85" s="43" t="s">
        <v>881</v>
      </c>
      <c r="AR85" s="43" t="s">
        <v>880</v>
      </c>
      <c r="AS85" s="43" t="s">
        <v>881</v>
      </c>
      <c r="AT85" s="43" t="s">
        <v>85</v>
      </c>
      <c r="AU85" s="43" t="s">
        <v>7030</v>
      </c>
      <c r="AV85" s="43" t="s">
        <v>7031</v>
      </c>
      <c r="AW85" s="43" t="s">
        <v>7031</v>
      </c>
      <c r="AX85" s="43" t="s">
        <v>90</v>
      </c>
      <c r="AY85" s="43" t="s">
        <v>73</v>
      </c>
      <c r="AZ85" s="43" t="s">
        <v>7029</v>
      </c>
      <c r="BA85" s="43" t="s">
        <v>92</v>
      </c>
      <c r="BB85" s="45">
        <v>2.86</v>
      </c>
      <c r="BC85" s="45">
        <v>2.86</v>
      </c>
      <c r="BD85" s="43" t="s">
        <v>7032</v>
      </c>
      <c r="BE85" s="43" t="s">
        <v>81</v>
      </c>
      <c r="BF85" s="43" t="s">
        <v>81</v>
      </c>
      <c r="BG85" s="43" t="s">
        <v>86</v>
      </c>
      <c r="BH85" s="43" t="s">
        <v>91</v>
      </c>
      <c r="BI85" s="43" t="s">
        <v>7086</v>
      </c>
      <c r="BJ85" s="43" t="s">
        <v>7030</v>
      </c>
      <c r="BK85" s="43" t="s">
        <v>92</v>
      </c>
      <c r="BL85" s="43" t="s">
        <v>85</v>
      </c>
      <c r="BM85" s="43" t="s">
        <v>85</v>
      </c>
      <c r="BN85" s="43" t="s">
        <v>92</v>
      </c>
      <c r="BO85" s="46">
        <v>2.86</v>
      </c>
      <c r="BP85" s="43" t="s">
        <v>7032</v>
      </c>
      <c r="BQ85" s="43">
        <v>2.86</v>
      </c>
      <c r="BR85" s="43" t="s">
        <v>7032</v>
      </c>
      <c r="BS85" s="47">
        <v>2.86</v>
      </c>
      <c r="BT85" s="43" t="s">
        <v>7032</v>
      </c>
      <c r="BU85" s="43" t="s">
        <v>7032</v>
      </c>
      <c r="BV85" s="43" t="str">
        <f>CambioPlan[[#This Row],[TELEFONO]]&amp;"UPSELLSI"</f>
        <v>984859318UPSELLSI</v>
      </c>
      <c r="BW85" s="43">
        <f>DAY(CambioPlan[[#This Row],[FECHA_CAMBIO_PLAN]])</f>
        <v>8</v>
      </c>
      <c r="BX85" s="43" t="str">
        <f>VLOOKUP(CambioPlan[[#This Row],[NOM_PLAZA]],[1]!Locales[#Data],3,0)</f>
        <v>TIENDA CUENCA CENTRO</v>
      </c>
      <c r="BY85" s="43" t="str">
        <f>VLOOKUP(CambioPlan[[#This Row],[DOMAIN_LOGIN_OW]],[1]!Personal[#Data],6,0)</f>
        <v>LUNA JACHO ANDREA GABRIELA</v>
      </c>
      <c r="BZ85" s="43"/>
      <c r="CA85" s="43" t="str">
        <f>IFERROR(IF(FIND("ADULTO",CambioPlan[[#This Row],[DESCRIPCION_PLAN_ACTUAL]],1),"NO SE PAGA",),"SI SE PAGA")</f>
        <v>SI SE PAGA</v>
      </c>
      <c r="CB85" s="45">
        <f>CambioPlan[[#This Row],[TARIFA_BASICA_ACTUAL]]-CambioPlan[[#This Row],[TARIFA_BASICA_ANTERIOR]]</f>
        <v>2.8599999999999994</v>
      </c>
      <c r="CC85" s="56">
        <f>CambioPlan[[#This Row],[DIF. TARIFAS]]*4</f>
        <v>11.439999999999998</v>
      </c>
      <c r="CD85" s="53" t="str">
        <f>IF(CambioPlan[[#This Row],[C. COMISIÓN TME]]&lt;0,"DOWNSELL",IF(CambioPlan[[#This Row],[C. COMISIÓN TME]]=0,"MISMA TARIFA",IF(CambioPlan[[#This Row],[C. COMISIÓN TME]]&gt;0,"UPSELL")))</f>
        <v>UPSELL</v>
      </c>
      <c r="CE85">
        <f>VLOOKUP(CambioPlan[[#This Row],[TARIFA_BASICA_ANTERIOR]],[3]Hoja1!$F:$G,2,0)</f>
        <v>0</v>
      </c>
      <c r="CF85">
        <f>VLOOKUP(CambioPlan[[#This Row],[TARIFA_BASICA_ACTUAL]],[3]Hoja1!$B:$C,2,0)</f>
        <v>1</v>
      </c>
      <c r="CG85">
        <f t="shared" si="0"/>
        <v>1</v>
      </c>
      <c r="CH85" t="e">
        <f>VLOOKUP(CambioPlan[[#This Row],[TELEFONO]],[1]Retenciones!$R$63:$R$287,1,0)</f>
        <v>#N/A</v>
      </c>
    </row>
    <row r="86" spans="1:86" x14ac:dyDescent="0.25">
      <c r="A86" s="43">
        <v>202212</v>
      </c>
      <c r="B86" s="44">
        <v>44914</v>
      </c>
      <c r="C86" s="43" t="s">
        <v>7351</v>
      </c>
      <c r="D86" s="43" t="s">
        <v>7352</v>
      </c>
      <c r="E86" s="43" t="s">
        <v>95</v>
      </c>
      <c r="F86" s="43" t="s">
        <v>77</v>
      </c>
      <c r="G86" s="43" t="s">
        <v>2241</v>
      </c>
      <c r="H86" s="43" t="s">
        <v>246</v>
      </c>
      <c r="I86" s="43" t="s">
        <v>6935</v>
      </c>
      <c r="J86" s="43" t="s">
        <v>7037</v>
      </c>
      <c r="K86" s="43" t="s">
        <v>84</v>
      </c>
      <c r="L86" s="43" t="s">
        <v>3232</v>
      </c>
      <c r="M86" s="43" t="s">
        <v>7237</v>
      </c>
      <c r="N86" s="43" t="s">
        <v>79</v>
      </c>
      <c r="O86" s="45">
        <v>51.78</v>
      </c>
      <c r="P86" s="43" t="s">
        <v>95</v>
      </c>
      <c r="Q86" s="43" t="s">
        <v>95</v>
      </c>
      <c r="R86" s="43" t="s">
        <v>95</v>
      </c>
      <c r="S86" s="45">
        <v>0</v>
      </c>
      <c r="T86" s="43" t="s">
        <v>95</v>
      </c>
      <c r="U86" s="44" t="s">
        <v>95</v>
      </c>
      <c r="V86" s="44" t="s">
        <v>95</v>
      </c>
      <c r="W86" s="43" t="s">
        <v>95</v>
      </c>
      <c r="X86" s="45">
        <v>51.78</v>
      </c>
      <c r="Y86" s="43" t="s">
        <v>81</v>
      </c>
      <c r="Z86" s="43" t="s">
        <v>7184</v>
      </c>
      <c r="AA86" s="43" t="s">
        <v>7185</v>
      </c>
      <c r="AB86" s="43" t="s">
        <v>79</v>
      </c>
      <c r="AC86" s="45">
        <v>10.54</v>
      </c>
      <c r="AD86" s="43" t="s">
        <v>95</v>
      </c>
      <c r="AE86" s="43" t="s">
        <v>95</v>
      </c>
      <c r="AF86" s="43" t="s">
        <v>95</v>
      </c>
      <c r="AG86" s="43" t="s">
        <v>95</v>
      </c>
      <c r="AH86" s="45">
        <v>0</v>
      </c>
      <c r="AI86" s="43" t="s">
        <v>95</v>
      </c>
      <c r="AJ86" s="43" t="s">
        <v>95</v>
      </c>
      <c r="AK86" s="43" t="s">
        <v>95</v>
      </c>
      <c r="AL86" s="43" t="s">
        <v>95</v>
      </c>
      <c r="AM86" s="45">
        <v>10.54</v>
      </c>
      <c r="AN86" s="43" t="s">
        <v>81</v>
      </c>
      <c r="AO86" s="44">
        <v>44911</v>
      </c>
      <c r="AP86" s="43" t="s">
        <v>303</v>
      </c>
      <c r="AQ86" s="43" t="s">
        <v>304</v>
      </c>
      <c r="AR86" s="43" t="s">
        <v>303</v>
      </c>
      <c r="AS86" s="43" t="s">
        <v>304</v>
      </c>
      <c r="AT86" s="43" t="s">
        <v>85</v>
      </c>
      <c r="AU86" s="43" t="s">
        <v>7030</v>
      </c>
      <c r="AV86" s="43" t="s">
        <v>7031</v>
      </c>
      <c r="AW86" s="43" t="s">
        <v>7031</v>
      </c>
      <c r="AX86" s="43" t="s">
        <v>90</v>
      </c>
      <c r="AY86" s="43" t="s">
        <v>132</v>
      </c>
      <c r="AZ86" s="43" t="s">
        <v>7037</v>
      </c>
      <c r="BA86" s="43" t="s">
        <v>139</v>
      </c>
      <c r="BB86" s="45">
        <v>41.24</v>
      </c>
      <c r="BC86" s="45">
        <v>41.24</v>
      </c>
      <c r="BD86" s="43" t="s">
        <v>7032</v>
      </c>
      <c r="BE86" s="43" t="s">
        <v>81</v>
      </c>
      <c r="BF86" s="43" t="s">
        <v>81</v>
      </c>
      <c r="BG86" s="43" t="s">
        <v>86</v>
      </c>
      <c r="BH86" s="43" t="s">
        <v>177</v>
      </c>
      <c r="BI86" s="43" t="s">
        <v>7038</v>
      </c>
      <c r="BJ86" s="43" t="s">
        <v>7030</v>
      </c>
      <c r="BK86" s="43" t="s">
        <v>139</v>
      </c>
      <c r="BL86" s="43" t="s">
        <v>85</v>
      </c>
      <c r="BM86" s="43" t="s">
        <v>85</v>
      </c>
      <c r="BN86" s="43" t="s">
        <v>139</v>
      </c>
      <c r="BO86" s="46">
        <v>41.24</v>
      </c>
      <c r="BP86" s="43" t="s">
        <v>7032</v>
      </c>
      <c r="BQ86" s="43">
        <v>41.24</v>
      </c>
      <c r="BR86" s="43" t="s">
        <v>7032</v>
      </c>
      <c r="BS86" s="47">
        <v>41.24</v>
      </c>
      <c r="BT86" s="43" t="s">
        <v>7032</v>
      </c>
      <c r="BU86" s="43" t="s">
        <v>7032</v>
      </c>
      <c r="BV86" s="43" t="str">
        <f>CambioPlan[[#This Row],[TELEFONO]]&amp;"UPSELLSI"</f>
        <v>984876935UPSELLSI</v>
      </c>
      <c r="BW86" s="43">
        <f>DAY(CambioPlan[[#This Row],[FECHA_CAMBIO_PLAN]])</f>
        <v>16</v>
      </c>
      <c r="BX86" s="43" t="str">
        <f>VLOOKUP(CambioPlan[[#This Row],[NOM_PLAZA]],[1]!Locales[#Data],3,0)</f>
        <v>TIENDA RECREO</v>
      </c>
      <c r="BY86" s="43" t="str">
        <f>VLOOKUP(CambioPlan[[#This Row],[DOMAIN_LOGIN_OW]],[1]!Personal[#Data],6,0)</f>
        <v>CORDOVA GAIBOR JONATHAN HERNAN</v>
      </c>
      <c r="BZ86" s="43"/>
      <c r="CA86" s="43" t="str">
        <f>IFERROR(IF(FIND("ADULTO",CambioPlan[[#This Row],[DESCRIPCION_PLAN_ACTUAL]],1),"NO SE PAGA",),"SI SE PAGA")</f>
        <v>SI SE PAGA</v>
      </c>
      <c r="CB86" s="45">
        <f>CambioPlan[[#This Row],[TARIFA_BASICA_ACTUAL]]-CambioPlan[[#This Row],[TARIFA_BASICA_ANTERIOR]]</f>
        <v>41.24</v>
      </c>
      <c r="CC86" s="56">
        <f>CambioPlan[[#This Row],[DIF. TARIFAS]]*4</f>
        <v>164.96</v>
      </c>
      <c r="CD86" s="53" t="str">
        <f>IF(CambioPlan[[#This Row],[C. COMISIÓN TME]]&lt;0,"DOWNSELL",IF(CambioPlan[[#This Row],[C. COMISIÓN TME]]=0,"MISMA TARIFA",IF(CambioPlan[[#This Row],[C. COMISIÓN TME]]&gt;0,"UPSELL")))</f>
        <v>UPSELL</v>
      </c>
      <c r="CE86">
        <f>VLOOKUP(CambioPlan[[#This Row],[TARIFA_BASICA_ANTERIOR]],[3]Hoja1!$F:$G,2,0)</f>
        <v>0</v>
      </c>
      <c r="CF86">
        <f>VLOOKUP(CambioPlan[[#This Row],[TARIFA_BASICA_ACTUAL]],[3]Hoja1!$B:$C,2,0)</f>
        <v>6</v>
      </c>
      <c r="CG86">
        <f t="shared" si="0"/>
        <v>6</v>
      </c>
      <c r="CH86" t="e">
        <f>VLOOKUP(CambioPlan[[#This Row],[TELEFONO]],[1]Retenciones!$R$63:$R$287,1,0)</f>
        <v>#N/A</v>
      </c>
    </row>
    <row r="87" spans="1:86" x14ac:dyDescent="0.25">
      <c r="A87" s="43">
        <v>202212</v>
      </c>
      <c r="B87" s="44">
        <v>44914</v>
      </c>
      <c r="C87" s="43" t="s">
        <v>7353</v>
      </c>
      <c r="D87" s="43" t="s">
        <v>7354</v>
      </c>
      <c r="E87" s="43" t="s">
        <v>95</v>
      </c>
      <c r="F87" s="43" t="s">
        <v>231</v>
      </c>
      <c r="G87" s="43" t="s">
        <v>231</v>
      </c>
      <c r="H87" s="43" t="s">
        <v>67</v>
      </c>
      <c r="I87" s="43" t="s">
        <v>7054</v>
      </c>
      <c r="J87" s="43" t="s">
        <v>7029</v>
      </c>
      <c r="K87" s="43" t="s">
        <v>84</v>
      </c>
      <c r="L87" s="43" t="s">
        <v>7069</v>
      </c>
      <c r="M87" s="43" t="s">
        <v>7070</v>
      </c>
      <c r="N87" s="43" t="s">
        <v>79</v>
      </c>
      <c r="O87" s="45">
        <v>21.42</v>
      </c>
      <c r="P87" s="43" t="s">
        <v>95</v>
      </c>
      <c r="Q87" s="43" t="s">
        <v>95</v>
      </c>
      <c r="R87" s="43" t="s">
        <v>95</v>
      </c>
      <c r="S87" s="45">
        <v>0</v>
      </c>
      <c r="T87" s="43" t="s">
        <v>95</v>
      </c>
      <c r="U87" s="44" t="s">
        <v>95</v>
      </c>
      <c r="V87" s="44" t="s">
        <v>95</v>
      </c>
      <c r="W87" s="43" t="s">
        <v>95</v>
      </c>
      <c r="X87" s="45">
        <v>21.42</v>
      </c>
      <c r="Y87" s="43" t="s">
        <v>81</v>
      </c>
      <c r="Z87" s="43" t="s">
        <v>574</v>
      </c>
      <c r="AA87" s="43" t="s">
        <v>575</v>
      </c>
      <c r="AB87" s="43" t="s">
        <v>79</v>
      </c>
      <c r="AC87" s="45">
        <v>17.850000000000001</v>
      </c>
      <c r="AD87" s="43" t="s">
        <v>95</v>
      </c>
      <c r="AE87" s="43" t="s">
        <v>95</v>
      </c>
      <c r="AF87" s="43" t="s">
        <v>95</v>
      </c>
      <c r="AG87" s="43" t="s">
        <v>95</v>
      </c>
      <c r="AH87" s="45">
        <v>0</v>
      </c>
      <c r="AI87" s="43" t="s">
        <v>95</v>
      </c>
      <c r="AJ87" s="43" t="s">
        <v>95</v>
      </c>
      <c r="AK87" s="43" t="s">
        <v>95</v>
      </c>
      <c r="AL87" s="43" t="s">
        <v>95</v>
      </c>
      <c r="AM87" s="45">
        <v>17.850000000000001</v>
      </c>
      <c r="AN87" s="43" t="s">
        <v>81</v>
      </c>
      <c r="AO87" s="44">
        <v>44898</v>
      </c>
      <c r="AP87" s="43" t="s">
        <v>120</v>
      </c>
      <c r="AQ87" s="43" t="s">
        <v>121</v>
      </c>
      <c r="AR87" s="43" t="s">
        <v>120</v>
      </c>
      <c r="AS87" s="43" t="s">
        <v>121</v>
      </c>
      <c r="AT87" s="43" t="s">
        <v>85</v>
      </c>
      <c r="AU87" s="43" t="s">
        <v>7030</v>
      </c>
      <c r="AV87" s="43" t="s">
        <v>7031</v>
      </c>
      <c r="AW87" s="43" t="s">
        <v>7031</v>
      </c>
      <c r="AX87" s="43" t="s">
        <v>90</v>
      </c>
      <c r="AY87" s="43" t="s">
        <v>114</v>
      </c>
      <c r="AZ87" s="43" t="s">
        <v>7047</v>
      </c>
      <c r="BA87" s="43" t="s">
        <v>92</v>
      </c>
      <c r="BB87" s="45">
        <v>3.57</v>
      </c>
      <c r="BC87" s="45">
        <v>3.57</v>
      </c>
      <c r="BD87" s="43" t="s">
        <v>7032</v>
      </c>
      <c r="BE87" s="43" t="s">
        <v>81</v>
      </c>
      <c r="BF87" s="43" t="s">
        <v>81</v>
      </c>
      <c r="BG87" s="43" t="s">
        <v>86</v>
      </c>
      <c r="BH87" s="43" t="s">
        <v>122</v>
      </c>
      <c r="BI87" s="43" t="s">
        <v>7048</v>
      </c>
      <c r="BJ87" s="43" t="s">
        <v>7030</v>
      </c>
      <c r="BK87" s="43" t="s">
        <v>92</v>
      </c>
      <c r="BL87" s="43" t="s">
        <v>85</v>
      </c>
      <c r="BM87" s="43" t="s">
        <v>85</v>
      </c>
      <c r="BN87" s="43" t="s">
        <v>92</v>
      </c>
      <c r="BO87" s="46">
        <v>3.57</v>
      </c>
      <c r="BP87" s="43" t="s">
        <v>7032</v>
      </c>
      <c r="BQ87" s="43">
        <v>3.57</v>
      </c>
      <c r="BR87" s="43" t="s">
        <v>7032</v>
      </c>
      <c r="BS87" s="47">
        <v>3.57</v>
      </c>
      <c r="BT87" s="43" t="s">
        <v>7032</v>
      </c>
      <c r="BU87" s="43" t="s">
        <v>7032</v>
      </c>
      <c r="BV87" s="43" t="str">
        <f>CambioPlan[[#This Row],[TELEFONO]]&amp;"UPSELLSI"</f>
        <v>984915138UPSELLSI</v>
      </c>
      <c r="BW87" s="43">
        <f>DAY(CambioPlan[[#This Row],[FECHA_CAMBIO_PLAN]])</f>
        <v>3</v>
      </c>
      <c r="BX87" s="43" t="str">
        <f>VLOOKUP(CambioPlan[[#This Row],[NOM_PLAZA]],[1]!Locales[#Data],3,0)</f>
        <v>TIENDA MACHALA</v>
      </c>
      <c r="BY87" s="43" t="str">
        <f>VLOOKUP(CambioPlan[[#This Row],[DOMAIN_LOGIN_OW]],[1]!Personal[#Data],6,0)</f>
        <v>ARROBO VICENTE YADIRA ESPERANZA</v>
      </c>
      <c r="BZ87" s="43"/>
      <c r="CA87" s="43" t="str">
        <f>IFERROR(IF(FIND("ADULTO",CambioPlan[[#This Row],[DESCRIPCION_PLAN_ACTUAL]],1),"NO SE PAGA",),"SI SE PAGA")</f>
        <v>SI SE PAGA</v>
      </c>
      <c r="CB87" s="45">
        <f>CambioPlan[[#This Row],[TARIFA_BASICA_ACTUAL]]-CambioPlan[[#This Row],[TARIFA_BASICA_ANTERIOR]]</f>
        <v>3.5700000000000003</v>
      </c>
      <c r="CC87" s="56">
        <f>CambioPlan[[#This Row],[DIF. TARIFAS]]*4</f>
        <v>14.280000000000001</v>
      </c>
      <c r="CD87" s="53" t="str">
        <f>IF(CambioPlan[[#This Row],[C. COMISIÓN TME]]&lt;0,"DOWNSELL",IF(CambioPlan[[#This Row],[C. COMISIÓN TME]]=0,"MISMA TARIFA",IF(CambioPlan[[#This Row],[C. COMISIÓN TME]]&gt;0,"UPSELL")))</f>
        <v>UPSELL</v>
      </c>
      <c r="CE87">
        <f>VLOOKUP(CambioPlan[[#This Row],[TARIFA_BASICA_ANTERIOR]],[3]Hoja1!$F:$G,2,0)</f>
        <v>2</v>
      </c>
      <c r="CF87">
        <f>VLOOKUP(CambioPlan[[#This Row],[TARIFA_BASICA_ACTUAL]],[3]Hoja1!$B:$C,2,0)</f>
        <v>3</v>
      </c>
      <c r="CG87">
        <f t="shared" si="0"/>
        <v>1</v>
      </c>
      <c r="CH87" t="e">
        <f>VLOOKUP(CambioPlan[[#This Row],[TELEFONO]],[1]Retenciones!$R$63:$R$287,1,0)</f>
        <v>#N/A</v>
      </c>
    </row>
    <row r="88" spans="1:86" x14ac:dyDescent="0.25">
      <c r="A88" s="43">
        <v>202212</v>
      </c>
      <c r="B88" s="44">
        <v>44914</v>
      </c>
      <c r="C88" s="43" t="s">
        <v>7355</v>
      </c>
      <c r="D88" s="43" t="s">
        <v>7356</v>
      </c>
      <c r="E88" s="43" t="s">
        <v>95</v>
      </c>
      <c r="F88" s="43" t="s">
        <v>311</v>
      </c>
      <c r="G88" s="43" t="s">
        <v>311</v>
      </c>
      <c r="H88" s="43" t="s">
        <v>67</v>
      </c>
      <c r="I88" s="43" t="s">
        <v>7357</v>
      </c>
      <c r="J88" s="43" t="s">
        <v>7037</v>
      </c>
      <c r="K88" s="43" t="s">
        <v>84</v>
      </c>
      <c r="L88" s="43" t="s">
        <v>359</v>
      </c>
      <c r="M88" s="43" t="s">
        <v>360</v>
      </c>
      <c r="N88" s="43" t="s">
        <v>79</v>
      </c>
      <c r="O88" s="45">
        <v>14.28</v>
      </c>
      <c r="P88" s="43" t="s">
        <v>95</v>
      </c>
      <c r="Q88" s="43" t="s">
        <v>95</v>
      </c>
      <c r="R88" s="43" t="s">
        <v>95</v>
      </c>
      <c r="S88" s="45">
        <v>0</v>
      </c>
      <c r="T88" s="43" t="s">
        <v>95</v>
      </c>
      <c r="U88" s="44" t="s">
        <v>95</v>
      </c>
      <c r="V88" s="44" t="s">
        <v>95</v>
      </c>
      <c r="W88" s="43" t="s">
        <v>95</v>
      </c>
      <c r="X88" s="45">
        <v>14.28</v>
      </c>
      <c r="Y88" s="43" t="s">
        <v>81</v>
      </c>
      <c r="Z88" s="43" t="s">
        <v>7358</v>
      </c>
      <c r="AA88" s="43" t="s">
        <v>7359</v>
      </c>
      <c r="AB88" s="43" t="s">
        <v>79</v>
      </c>
      <c r="AC88" s="45">
        <v>10.54</v>
      </c>
      <c r="AD88" s="43" t="s">
        <v>95</v>
      </c>
      <c r="AE88" s="43" t="s">
        <v>95</v>
      </c>
      <c r="AF88" s="43" t="s">
        <v>95</v>
      </c>
      <c r="AG88" s="43" t="s">
        <v>95</v>
      </c>
      <c r="AH88" s="45">
        <v>0</v>
      </c>
      <c r="AI88" s="43" t="s">
        <v>95</v>
      </c>
      <c r="AJ88" s="43" t="s">
        <v>95</v>
      </c>
      <c r="AK88" s="43" t="s">
        <v>95</v>
      </c>
      <c r="AL88" s="43" t="s">
        <v>95</v>
      </c>
      <c r="AM88" s="45">
        <v>10.54</v>
      </c>
      <c r="AN88" s="43" t="s">
        <v>81</v>
      </c>
      <c r="AO88" s="44">
        <v>44901</v>
      </c>
      <c r="AP88" s="43" t="s">
        <v>492</v>
      </c>
      <c r="AQ88" s="43" t="s">
        <v>493</v>
      </c>
      <c r="AR88" s="43" t="s">
        <v>7062</v>
      </c>
      <c r="AS88" s="43" t="s">
        <v>95</v>
      </c>
      <c r="AT88" s="43" t="s">
        <v>85</v>
      </c>
      <c r="AU88" s="43" t="s">
        <v>7030</v>
      </c>
      <c r="AV88" s="43" t="s">
        <v>7031</v>
      </c>
      <c r="AW88" s="43" t="s">
        <v>7031</v>
      </c>
      <c r="AX88" s="43" t="s">
        <v>90</v>
      </c>
      <c r="AY88" s="43" t="s">
        <v>132</v>
      </c>
      <c r="AZ88" s="43" t="s">
        <v>7037</v>
      </c>
      <c r="BA88" s="43" t="s">
        <v>139</v>
      </c>
      <c r="BB88" s="45">
        <v>3.74</v>
      </c>
      <c r="BC88" s="45">
        <v>3.74</v>
      </c>
      <c r="BD88" s="43" t="s">
        <v>7032</v>
      </c>
      <c r="BE88" s="43" t="s">
        <v>81</v>
      </c>
      <c r="BF88" s="43" t="s">
        <v>81</v>
      </c>
      <c r="BG88" s="43" t="s">
        <v>86</v>
      </c>
      <c r="BH88" s="43" t="s">
        <v>177</v>
      </c>
      <c r="BI88" s="43" t="s">
        <v>7038</v>
      </c>
      <c r="BJ88" s="43" t="s">
        <v>7030</v>
      </c>
      <c r="BK88" s="43" t="s">
        <v>139</v>
      </c>
      <c r="BL88" s="43" t="s">
        <v>85</v>
      </c>
      <c r="BM88" s="43" t="s">
        <v>85</v>
      </c>
      <c r="BN88" s="43" t="s">
        <v>139</v>
      </c>
      <c r="BO88" s="46">
        <v>3.74</v>
      </c>
      <c r="BP88" s="43" t="s">
        <v>7032</v>
      </c>
      <c r="BQ88" s="43">
        <v>3.74</v>
      </c>
      <c r="BR88" s="43" t="s">
        <v>7032</v>
      </c>
      <c r="BS88" s="47">
        <v>3.74</v>
      </c>
      <c r="BT88" s="43" t="s">
        <v>7032</v>
      </c>
      <c r="BU88" s="43" t="s">
        <v>7032</v>
      </c>
      <c r="BV88" s="43" t="str">
        <f>CambioPlan[[#This Row],[TELEFONO]]&amp;"UPSELLSI"</f>
        <v>984967912UPSELLSI</v>
      </c>
      <c r="BW88" s="43">
        <f>DAY(CambioPlan[[#This Row],[FECHA_CAMBIO_PLAN]])</f>
        <v>6</v>
      </c>
      <c r="BX88" s="43" t="str">
        <f>VLOOKUP(CambioPlan[[#This Row],[NOM_PLAZA]],[1]!Locales[#Data],3,0)</f>
        <v>TIENDA RECREO</v>
      </c>
      <c r="BY88" s="43" t="str">
        <f>VLOOKUP(CambioPlan[[#This Row],[DOMAIN_LOGIN_OW]],[1]!Personal[#Data],6,0)</f>
        <v>CONDO GARCIA NICOLAS MATIAS</v>
      </c>
      <c r="BZ88" s="43"/>
      <c r="CA88" s="43" t="str">
        <f>IFERROR(IF(FIND("ADULTO",CambioPlan[[#This Row],[DESCRIPCION_PLAN_ACTUAL]],1),"NO SE PAGA",),"SI SE PAGA")</f>
        <v>SI SE PAGA</v>
      </c>
      <c r="CB88" s="45">
        <f>CambioPlan[[#This Row],[TARIFA_BASICA_ACTUAL]]-CambioPlan[[#This Row],[TARIFA_BASICA_ANTERIOR]]</f>
        <v>3.74</v>
      </c>
      <c r="CC88" s="56">
        <f>CambioPlan[[#This Row],[DIF. TARIFAS]]*4</f>
        <v>14.96</v>
      </c>
      <c r="CD88" s="53" t="str">
        <f>IF(CambioPlan[[#This Row],[C. COMISIÓN TME]]&lt;0,"DOWNSELL",IF(CambioPlan[[#This Row],[C. COMISIÓN TME]]=0,"MISMA TARIFA",IF(CambioPlan[[#This Row],[C. COMISIÓN TME]]&gt;0,"UPSELL")))</f>
        <v>UPSELL</v>
      </c>
      <c r="CE88">
        <f>VLOOKUP(CambioPlan[[#This Row],[TARIFA_BASICA_ANTERIOR]],[3]Hoja1!$F:$G,2,0)</f>
        <v>0</v>
      </c>
      <c r="CF88">
        <f>VLOOKUP(CambioPlan[[#This Row],[TARIFA_BASICA_ACTUAL]],[3]Hoja1!$B:$C,2,0)</f>
        <v>1</v>
      </c>
      <c r="CG88">
        <f t="shared" ref="CG88:CG151" si="1">CF88-CE88</f>
        <v>1</v>
      </c>
      <c r="CH88" t="e">
        <f>VLOOKUP(CambioPlan[[#This Row],[TELEFONO]],[1]Retenciones!$R$63:$R$287,1,0)</f>
        <v>#N/A</v>
      </c>
    </row>
    <row r="89" spans="1:86" x14ac:dyDescent="0.25">
      <c r="A89" s="43">
        <v>202212</v>
      </c>
      <c r="B89" s="44">
        <v>44914</v>
      </c>
      <c r="C89" s="43" t="s">
        <v>7360</v>
      </c>
      <c r="D89" s="43" t="s">
        <v>7361</v>
      </c>
      <c r="E89" s="43" t="s">
        <v>95</v>
      </c>
      <c r="F89" s="43" t="s">
        <v>77</v>
      </c>
      <c r="G89" s="43" t="s">
        <v>164</v>
      </c>
      <c r="H89" s="43" t="s">
        <v>67</v>
      </c>
      <c r="I89" s="43" t="s">
        <v>7362</v>
      </c>
      <c r="J89" s="43" t="s">
        <v>7037</v>
      </c>
      <c r="K89" s="43" t="s">
        <v>84</v>
      </c>
      <c r="L89" s="43" t="s">
        <v>71</v>
      </c>
      <c r="M89" s="43" t="s">
        <v>258</v>
      </c>
      <c r="N89" s="43" t="s">
        <v>79</v>
      </c>
      <c r="O89" s="45">
        <v>11.42</v>
      </c>
      <c r="P89" s="43" t="s">
        <v>95</v>
      </c>
      <c r="Q89" s="43" t="s">
        <v>95</v>
      </c>
      <c r="R89" s="43" t="s">
        <v>95</v>
      </c>
      <c r="S89" s="45">
        <v>0</v>
      </c>
      <c r="T89" s="43" t="s">
        <v>95</v>
      </c>
      <c r="U89" s="44" t="s">
        <v>95</v>
      </c>
      <c r="V89" s="44" t="s">
        <v>95</v>
      </c>
      <c r="W89" s="43" t="s">
        <v>95</v>
      </c>
      <c r="X89" s="45">
        <v>11.42</v>
      </c>
      <c r="Y89" s="43" t="s">
        <v>81</v>
      </c>
      <c r="Z89" s="43" t="s">
        <v>160</v>
      </c>
      <c r="AA89" s="43" t="s">
        <v>161</v>
      </c>
      <c r="AB89" s="43" t="s">
        <v>79</v>
      </c>
      <c r="AC89" s="45">
        <v>14.28</v>
      </c>
      <c r="AD89" s="43" t="s">
        <v>95</v>
      </c>
      <c r="AE89" s="43" t="s">
        <v>95</v>
      </c>
      <c r="AF89" s="43" t="s">
        <v>95</v>
      </c>
      <c r="AG89" s="43" t="s">
        <v>95</v>
      </c>
      <c r="AH89" s="45">
        <v>0</v>
      </c>
      <c r="AI89" s="43" t="s">
        <v>95</v>
      </c>
      <c r="AJ89" s="43" t="s">
        <v>95</v>
      </c>
      <c r="AK89" s="43" t="s">
        <v>95</v>
      </c>
      <c r="AL89" s="43" t="s">
        <v>95</v>
      </c>
      <c r="AM89" s="45">
        <v>14.28</v>
      </c>
      <c r="AN89" s="43" t="s">
        <v>81</v>
      </c>
      <c r="AO89" s="44">
        <v>44897</v>
      </c>
      <c r="AP89" s="43" t="s">
        <v>630</v>
      </c>
      <c r="AQ89" s="43" t="s">
        <v>631</v>
      </c>
      <c r="AR89" s="43" t="s">
        <v>630</v>
      </c>
      <c r="AS89" s="43" t="s">
        <v>631</v>
      </c>
      <c r="AT89" s="43" t="s">
        <v>85</v>
      </c>
      <c r="AU89" s="43" t="s">
        <v>7030</v>
      </c>
      <c r="AV89" s="43" t="s">
        <v>7031</v>
      </c>
      <c r="AW89" s="43" t="s">
        <v>7031</v>
      </c>
      <c r="AX89" s="43" t="s">
        <v>90</v>
      </c>
      <c r="AY89" s="43" t="s">
        <v>132</v>
      </c>
      <c r="AZ89" s="43" t="s">
        <v>7037</v>
      </c>
      <c r="BA89" s="43" t="s">
        <v>139</v>
      </c>
      <c r="BB89" s="45">
        <v>-2.86</v>
      </c>
      <c r="BC89" s="45">
        <v>-2.86</v>
      </c>
      <c r="BD89" s="43" t="s">
        <v>7106</v>
      </c>
      <c r="BE89" s="43" t="s">
        <v>81</v>
      </c>
      <c r="BF89" s="43" t="s">
        <v>81</v>
      </c>
      <c r="BG89" s="43" t="s">
        <v>86</v>
      </c>
      <c r="BH89" s="43" t="s">
        <v>177</v>
      </c>
      <c r="BI89" s="43" t="s">
        <v>7038</v>
      </c>
      <c r="BJ89" s="43" t="s">
        <v>7030</v>
      </c>
      <c r="BK89" s="43" t="s">
        <v>139</v>
      </c>
      <c r="BL89" s="43" t="s">
        <v>85</v>
      </c>
      <c r="BM89" s="43" t="s">
        <v>85</v>
      </c>
      <c r="BN89" s="43" t="s">
        <v>139</v>
      </c>
      <c r="BO89" s="46">
        <v>-2.86</v>
      </c>
      <c r="BP89" s="43" t="s">
        <v>7106</v>
      </c>
      <c r="BQ89" s="43">
        <v>-2.86</v>
      </c>
      <c r="BR89" s="43" t="s">
        <v>7106</v>
      </c>
      <c r="BS89" s="47">
        <v>-2.86</v>
      </c>
      <c r="BT89" s="43" t="s">
        <v>7106</v>
      </c>
      <c r="BU89" s="43" t="s">
        <v>7106</v>
      </c>
      <c r="BV89" s="43" t="str">
        <f>CambioPlan[[#This Row],[TELEFONO]]&amp;"UPSELLSI"</f>
        <v>984999938UPSELLSI</v>
      </c>
      <c r="BW89" s="43">
        <f>DAY(CambioPlan[[#This Row],[FECHA_CAMBIO_PLAN]])</f>
        <v>2</v>
      </c>
      <c r="BX89" s="43" t="str">
        <f>VLOOKUP(CambioPlan[[#This Row],[NOM_PLAZA]],[1]!Locales[#Data],3,0)</f>
        <v>TIENDA RECREO</v>
      </c>
      <c r="BY89" s="43" t="str">
        <f>VLOOKUP(CambioPlan[[#This Row],[DOMAIN_LOGIN_OW]],[1]!Personal[#Data],6,0)</f>
        <v>LOAYZA AGUILAR JONATHAN FABIAN</v>
      </c>
      <c r="BZ89" s="43"/>
      <c r="CA89" s="43" t="str">
        <f>IFERROR(IF(FIND("ADULTO",CambioPlan[[#This Row],[DESCRIPCION_PLAN_ACTUAL]],1),"NO SE PAGA",),"SI SE PAGA")</f>
        <v>SI SE PAGA</v>
      </c>
      <c r="CB89" s="45">
        <f>CambioPlan[[#This Row],[TARIFA_BASICA_ACTUAL]]-CambioPlan[[#This Row],[TARIFA_BASICA_ANTERIOR]]</f>
        <v>-2.8599999999999994</v>
      </c>
      <c r="CC89" s="56">
        <f>CambioPlan[[#This Row],[DIF. TARIFAS]]*4</f>
        <v>-11.439999999999998</v>
      </c>
      <c r="CD89" s="53" t="str">
        <f>IF(CambioPlan[[#This Row],[C. COMISIÓN TME]]&lt;0,"DOWNSELL",IF(CambioPlan[[#This Row],[C. COMISIÓN TME]]=0,"MISMA TARIFA",IF(CambioPlan[[#This Row],[C. COMISIÓN TME]]&gt;0,"UPSELL")))</f>
        <v>DOWNSELL</v>
      </c>
      <c r="CE89">
        <f>VLOOKUP(CambioPlan[[#This Row],[TARIFA_BASICA_ANTERIOR]],[3]Hoja1!$F:$G,2,0)</f>
        <v>1</v>
      </c>
      <c r="CF89">
        <f>VLOOKUP(CambioPlan[[#This Row],[TARIFA_BASICA_ACTUAL]],[3]Hoja1!$B:$C,2,0)</f>
        <v>0</v>
      </c>
      <c r="CG89">
        <f t="shared" si="1"/>
        <v>-1</v>
      </c>
      <c r="CH89" t="e">
        <f>VLOOKUP(CambioPlan[[#This Row],[TELEFONO]],[1]Retenciones!$R$63:$R$287,1,0)</f>
        <v>#N/A</v>
      </c>
    </row>
    <row r="90" spans="1:86" x14ac:dyDescent="0.25">
      <c r="A90" s="43">
        <v>202212</v>
      </c>
      <c r="B90" s="44">
        <v>44914</v>
      </c>
      <c r="C90" s="43" t="s">
        <v>7363</v>
      </c>
      <c r="D90" s="43" t="s">
        <v>7364</v>
      </c>
      <c r="E90" s="43" t="s">
        <v>95</v>
      </c>
      <c r="F90" s="43" t="s">
        <v>77</v>
      </c>
      <c r="G90" s="43" t="s">
        <v>2241</v>
      </c>
      <c r="H90" s="43" t="s">
        <v>67</v>
      </c>
      <c r="I90" s="43" t="s">
        <v>7365</v>
      </c>
      <c r="J90" s="43" t="s">
        <v>7037</v>
      </c>
      <c r="K90" s="43" t="s">
        <v>84</v>
      </c>
      <c r="L90" s="43" t="s">
        <v>227</v>
      </c>
      <c r="M90" s="43" t="s">
        <v>426</v>
      </c>
      <c r="N90" s="43" t="s">
        <v>79</v>
      </c>
      <c r="O90" s="45">
        <v>21.42</v>
      </c>
      <c r="P90" s="43" t="s">
        <v>95</v>
      </c>
      <c r="Q90" s="43" t="s">
        <v>95</v>
      </c>
      <c r="R90" s="43" t="s">
        <v>95</v>
      </c>
      <c r="S90" s="45">
        <v>0</v>
      </c>
      <c r="T90" s="43" t="s">
        <v>95</v>
      </c>
      <c r="U90" s="44" t="s">
        <v>95</v>
      </c>
      <c r="V90" s="44" t="s">
        <v>95</v>
      </c>
      <c r="W90" s="43" t="s">
        <v>95</v>
      </c>
      <c r="X90" s="45">
        <v>21.42</v>
      </c>
      <c r="Y90" s="43" t="s">
        <v>81</v>
      </c>
      <c r="Z90" s="43" t="s">
        <v>7096</v>
      </c>
      <c r="AA90" s="43" t="s">
        <v>7097</v>
      </c>
      <c r="AB90" s="43" t="s">
        <v>79</v>
      </c>
      <c r="AC90" s="45">
        <v>16.989999999999998</v>
      </c>
      <c r="AD90" s="43" t="s">
        <v>95</v>
      </c>
      <c r="AE90" s="43" t="s">
        <v>95</v>
      </c>
      <c r="AF90" s="43" t="s">
        <v>95</v>
      </c>
      <c r="AG90" s="43" t="s">
        <v>95</v>
      </c>
      <c r="AH90" s="45">
        <v>0</v>
      </c>
      <c r="AI90" s="43" t="s">
        <v>95</v>
      </c>
      <c r="AJ90" s="43" t="s">
        <v>95</v>
      </c>
      <c r="AK90" s="43" t="s">
        <v>95</v>
      </c>
      <c r="AL90" s="43" t="s">
        <v>95</v>
      </c>
      <c r="AM90" s="45">
        <v>16.989999999999998</v>
      </c>
      <c r="AN90" s="43" t="s">
        <v>81</v>
      </c>
      <c r="AO90" s="44">
        <v>44897</v>
      </c>
      <c r="AP90" s="43" t="s">
        <v>665</v>
      </c>
      <c r="AQ90" s="43" t="s">
        <v>666</v>
      </c>
      <c r="AR90" s="43" t="s">
        <v>665</v>
      </c>
      <c r="AS90" s="43" t="s">
        <v>666</v>
      </c>
      <c r="AT90" s="43" t="s">
        <v>85</v>
      </c>
      <c r="AU90" s="43" t="s">
        <v>7030</v>
      </c>
      <c r="AV90" s="43" t="s">
        <v>7031</v>
      </c>
      <c r="AW90" s="43" t="s">
        <v>7031</v>
      </c>
      <c r="AX90" s="43" t="s">
        <v>90</v>
      </c>
      <c r="AY90" s="43" t="s">
        <v>132</v>
      </c>
      <c r="AZ90" s="43" t="s">
        <v>7037</v>
      </c>
      <c r="BA90" s="43" t="s">
        <v>139</v>
      </c>
      <c r="BB90" s="45">
        <v>4.43</v>
      </c>
      <c r="BC90" s="45">
        <v>4.43</v>
      </c>
      <c r="BD90" s="43" t="s">
        <v>7032</v>
      </c>
      <c r="BE90" s="43" t="s">
        <v>81</v>
      </c>
      <c r="BF90" s="43" t="s">
        <v>81</v>
      </c>
      <c r="BG90" s="43" t="s">
        <v>86</v>
      </c>
      <c r="BH90" s="43" t="s">
        <v>138</v>
      </c>
      <c r="BI90" s="43" t="s">
        <v>7076</v>
      </c>
      <c r="BJ90" s="43" t="s">
        <v>7030</v>
      </c>
      <c r="BK90" s="43" t="s">
        <v>139</v>
      </c>
      <c r="BL90" s="43" t="s">
        <v>85</v>
      </c>
      <c r="BM90" s="43" t="s">
        <v>85</v>
      </c>
      <c r="BN90" s="43" t="s">
        <v>139</v>
      </c>
      <c r="BO90" s="46">
        <v>4.43</v>
      </c>
      <c r="BP90" s="43" t="s">
        <v>7032</v>
      </c>
      <c r="BQ90" s="43">
        <v>4.43</v>
      </c>
      <c r="BR90" s="43" t="s">
        <v>7032</v>
      </c>
      <c r="BS90" s="47">
        <v>4.43</v>
      </c>
      <c r="BT90" s="43" t="s">
        <v>7032</v>
      </c>
      <c r="BU90" s="43" t="s">
        <v>7032</v>
      </c>
      <c r="BV90" s="43" t="str">
        <f>CambioPlan[[#This Row],[TELEFONO]]&amp;"UPSELLSI"</f>
        <v>985524757UPSELLSI</v>
      </c>
      <c r="BW90" s="43">
        <f>DAY(CambioPlan[[#This Row],[FECHA_CAMBIO_PLAN]])</f>
        <v>2</v>
      </c>
      <c r="BX90" s="43" t="str">
        <f>VLOOKUP(CambioPlan[[#This Row],[NOM_PLAZA]],[1]!Locales[#Data],3,0)</f>
        <v>TIENDA AMERICA</v>
      </c>
      <c r="BY90" s="43" t="str">
        <f>VLOOKUP(CambioPlan[[#This Row],[DOMAIN_LOGIN_OW]],[1]!Personal[#Data],6,0)</f>
        <v>ROSERO CAICEDO JAIRO STEFANO</v>
      </c>
      <c r="BZ90" s="43"/>
      <c r="CA90" s="43" t="str">
        <f>IFERROR(IF(FIND("ADULTO",CambioPlan[[#This Row],[DESCRIPCION_PLAN_ACTUAL]],1),"NO SE PAGA",),"SI SE PAGA")</f>
        <v>SI SE PAGA</v>
      </c>
      <c r="CB90" s="45">
        <f>CambioPlan[[#This Row],[TARIFA_BASICA_ACTUAL]]-CambioPlan[[#This Row],[TARIFA_BASICA_ANTERIOR]]</f>
        <v>4.4300000000000033</v>
      </c>
      <c r="CC90" s="56">
        <f>CambioPlan[[#This Row],[DIF. TARIFAS]]*4</f>
        <v>17.720000000000013</v>
      </c>
      <c r="CD90" s="53" t="str">
        <f>IF(CambioPlan[[#This Row],[C. COMISIÓN TME]]&lt;0,"DOWNSELL",IF(CambioPlan[[#This Row],[C. COMISIÓN TME]]=0,"MISMA TARIFA",IF(CambioPlan[[#This Row],[C. COMISIÓN TME]]&gt;0,"UPSELL")))</f>
        <v>UPSELL</v>
      </c>
      <c r="CE90">
        <f>VLOOKUP(CambioPlan[[#This Row],[TARIFA_BASICA_ANTERIOR]],[3]Hoja1!$F:$G,2,0)</f>
        <v>2</v>
      </c>
      <c r="CF90">
        <f>VLOOKUP(CambioPlan[[#This Row],[TARIFA_BASICA_ACTUAL]],[3]Hoja1!$B:$C,2,0)</f>
        <v>3</v>
      </c>
      <c r="CG90">
        <f t="shared" si="1"/>
        <v>1</v>
      </c>
      <c r="CH90" t="e">
        <f>VLOOKUP(CambioPlan[[#This Row],[TELEFONO]],[1]Retenciones!$R$63:$R$287,1,0)</f>
        <v>#N/A</v>
      </c>
    </row>
    <row r="91" spans="1:86" x14ac:dyDescent="0.25">
      <c r="A91" s="43">
        <v>202212</v>
      </c>
      <c r="B91" s="44">
        <v>44914</v>
      </c>
      <c r="C91" s="43" t="s">
        <v>7366</v>
      </c>
      <c r="D91" s="43" t="s">
        <v>7367</v>
      </c>
      <c r="E91" s="43" t="s">
        <v>95</v>
      </c>
      <c r="F91" s="43" t="s">
        <v>231</v>
      </c>
      <c r="G91" s="43" t="s">
        <v>231</v>
      </c>
      <c r="H91" s="43" t="s">
        <v>246</v>
      </c>
      <c r="I91" s="43" t="s">
        <v>7368</v>
      </c>
      <c r="J91" s="43" t="s">
        <v>7029</v>
      </c>
      <c r="K91" s="43" t="s">
        <v>84</v>
      </c>
      <c r="L91" s="43" t="s">
        <v>6724</v>
      </c>
      <c r="M91" s="43" t="s">
        <v>6725</v>
      </c>
      <c r="N91" s="43" t="s">
        <v>79</v>
      </c>
      <c r="O91" s="45">
        <v>26.78</v>
      </c>
      <c r="P91" s="43" t="s">
        <v>95</v>
      </c>
      <c r="Q91" s="43" t="s">
        <v>95</v>
      </c>
      <c r="R91" s="43" t="s">
        <v>95</v>
      </c>
      <c r="S91" s="45">
        <v>0</v>
      </c>
      <c r="T91" s="43" t="s">
        <v>95</v>
      </c>
      <c r="U91" s="44" t="s">
        <v>95</v>
      </c>
      <c r="V91" s="44" t="s">
        <v>95</v>
      </c>
      <c r="W91" s="43" t="s">
        <v>95</v>
      </c>
      <c r="X91" s="45">
        <v>26.78</v>
      </c>
      <c r="Y91" s="43" t="s">
        <v>81</v>
      </c>
      <c r="Z91" s="43" t="s">
        <v>7369</v>
      </c>
      <c r="AA91" s="43" t="s">
        <v>7370</v>
      </c>
      <c r="AB91" s="43" t="s">
        <v>79</v>
      </c>
      <c r="AC91" s="45">
        <v>20.28</v>
      </c>
      <c r="AD91" s="43" t="s">
        <v>95</v>
      </c>
      <c r="AE91" s="43" t="s">
        <v>95</v>
      </c>
      <c r="AF91" s="43" t="s">
        <v>95</v>
      </c>
      <c r="AG91" s="43" t="s">
        <v>95</v>
      </c>
      <c r="AH91" s="45">
        <v>0</v>
      </c>
      <c r="AI91" s="43" t="s">
        <v>95</v>
      </c>
      <c r="AJ91" s="43" t="s">
        <v>95</v>
      </c>
      <c r="AK91" s="43" t="s">
        <v>95</v>
      </c>
      <c r="AL91" s="43" t="s">
        <v>95</v>
      </c>
      <c r="AM91" s="45">
        <v>20.28</v>
      </c>
      <c r="AN91" s="43" t="s">
        <v>81</v>
      </c>
      <c r="AO91" s="44">
        <v>44908</v>
      </c>
      <c r="AP91" s="43" t="s">
        <v>369</v>
      </c>
      <c r="AQ91" s="43" t="s">
        <v>370</v>
      </c>
      <c r="AR91" s="43" t="s">
        <v>369</v>
      </c>
      <c r="AS91" s="43" t="s">
        <v>370</v>
      </c>
      <c r="AT91" s="43" t="s">
        <v>85</v>
      </c>
      <c r="AU91" s="43" t="s">
        <v>7030</v>
      </c>
      <c r="AV91" s="43" t="s">
        <v>7031</v>
      </c>
      <c r="AW91" s="43" t="s">
        <v>7031</v>
      </c>
      <c r="AX91" s="43" t="s">
        <v>90</v>
      </c>
      <c r="AY91" s="43" t="s">
        <v>132</v>
      </c>
      <c r="AZ91" s="43" t="s">
        <v>7037</v>
      </c>
      <c r="BA91" s="43" t="s">
        <v>139</v>
      </c>
      <c r="BB91" s="45">
        <v>6.5</v>
      </c>
      <c r="BC91" s="45">
        <v>6.5</v>
      </c>
      <c r="BD91" s="43" t="s">
        <v>7032</v>
      </c>
      <c r="BE91" s="43" t="s">
        <v>81</v>
      </c>
      <c r="BF91" s="43" t="s">
        <v>81</v>
      </c>
      <c r="BG91" s="43" t="s">
        <v>86</v>
      </c>
      <c r="BH91" s="43" t="s">
        <v>177</v>
      </c>
      <c r="BI91" s="43" t="s">
        <v>7038</v>
      </c>
      <c r="BJ91" s="43" t="s">
        <v>7030</v>
      </c>
      <c r="BK91" s="43" t="s">
        <v>139</v>
      </c>
      <c r="BL91" s="43" t="s">
        <v>85</v>
      </c>
      <c r="BM91" s="43" t="s">
        <v>85</v>
      </c>
      <c r="BN91" s="43" t="s">
        <v>139</v>
      </c>
      <c r="BO91" s="46">
        <v>6.5</v>
      </c>
      <c r="BP91" s="43" t="s">
        <v>7032</v>
      </c>
      <c r="BQ91" s="43">
        <v>6.5</v>
      </c>
      <c r="BR91" s="43" t="s">
        <v>7032</v>
      </c>
      <c r="BS91" s="47">
        <v>6.5</v>
      </c>
      <c r="BT91" s="43" t="s">
        <v>7032</v>
      </c>
      <c r="BU91" s="43" t="s">
        <v>7032</v>
      </c>
      <c r="BV91" s="43" t="str">
        <f>CambioPlan[[#This Row],[TELEFONO]]&amp;"UPSELLSI"</f>
        <v>986165557UPSELLSI</v>
      </c>
      <c r="BW91" s="43">
        <f>DAY(CambioPlan[[#This Row],[FECHA_CAMBIO_PLAN]])</f>
        <v>13</v>
      </c>
      <c r="BX91" s="43" t="str">
        <f>VLOOKUP(CambioPlan[[#This Row],[NOM_PLAZA]],[1]!Locales[#Data],3,0)</f>
        <v>TIENDA RECREO</v>
      </c>
      <c r="BY91" s="43" t="str">
        <f>VLOOKUP(CambioPlan[[#This Row],[DOMAIN_LOGIN_OW]],[1]!Personal[#Data],6,0)</f>
        <v>GUAIGUA REINOSO GENESIS CAROLINA</v>
      </c>
      <c r="BZ91" s="43"/>
      <c r="CA91" s="43" t="str">
        <f>IFERROR(IF(FIND("ADULTO",CambioPlan[[#This Row],[DESCRIPCION_PLAN_ACTUAL]],1),"NO SE PAGA",),"SI SE PAGA")</f>
        <v>SI SE PAGA</v>
      </c>
      <c r="CB91" s="45">
        <f>CambioPlan[[#This Row],[TARIFA_BASICA_ACTUAL]]-CambioPlan[[#This Row],[TARIFA_BASICA_ANTERIOR]]</f>
        <v>6.5</v>
      </c>
      <c r="CC91" s="56">
        <f>CambioPlan[[#This Row],[DIF. TARIFAS]]*4</f>
        <v>26</v>
      </c>
      <c r="CD91" s="53" t="str">
        <f>IF(CambioPlan[[#This Row],[C. COMISIÓN TME]]&lt;0,"DOWNSELL",IF(CambioPlan[[#This Row],[C. COMISIÓN TME]]=0,"MISMA TARIFA",IF(CambioPlan[[#This Row],[C. COMISIÓN TME]]&gt;0,"UPSELL")))</f>
        <v>UPSELL</v>
      </c>
      <c r="CE91">
        <f>VLOOKUP(CambioPlan[[#This Row],[TARIFA_BASICA_ANTERIOR]],[3]Hoja1!$F:$G,2,0)</f>
        <v>3</v>
      </c>
      <c r="CF91">
        <f>VLOOKUP(CambioPlan[[#This Row],[TARIFA_BASICA_ACTUAL]],[3]Hoja1!$B:$C,2,0)</f>
        <v>4</v>
      </c>
      <c r="CG91">
        <f t="shared" si="1"/>
        <v>1</v>
      </c>
      <c r="CH91" t="e">
        <f>VLOOKUP(CambioPlan[[#This Row],[TELEFONO]],[1]Retenciones!$R$63:$R$287,1,0)</f>
        <v>#N/A</v>
      </c>
    </row>
    <row r="92" spans="1:86" x14ac:dyDescent="0.25">
      <c r="A92" s="43">
        <v>202212</v>
      </c>
      <c r="B92" s="44">
        <v>44914</v>
      </c>
      <c r="C92" s="43" t="s">
        <v>7371</v>
      </c>
      <c r="D92" s="43" t="s">
        <v>7372</v>
      </c>
      <c r="E92" s="43" t="s">
        <v>95</v>
      </c>
      <c r="F92" s="43" t="s">
        <v>77</v>
      </c>
      <c r="G92" s="43" t="s">
        <v>2241</v>
      </c>
      <c r="H92" s="43" t="s">
        <v>67</v>
      </c>
      <c r="I92" s="43" t="s">
        <v>7373</v>
      </c>
      <c r="J92" s="43" t="s">
        <v>7037</v>
      </c>
      <c r="K92" s="43" t="s">
        <v>118</v>
      </c>
      <c r="L92" s="43" t="s">
        <v>160</v>
      </c>
      <c r="M92" s="43" t="s">
        <v>161</v>
      </c>
      <c r="N92" s="43" t="s">
        <v>79</v>
      </c>
      <c r="O92" s="45">
        <v>14.28</v>
      </c>
      <c r="P92" s="43" t="s">
        <v>95</v>
      </c>
      <c r="Q92" s="43" t="s">
        <v>95</v>
      </c>
      <c r="R92" s="43" t="s">
        <v>95</v>
      </c>
      <c r="S92" s="45">
        <v>0</v>
      </c>
      <c r="T92" s="43" t="s">
        <v>95</v>
      </c>
      <c r="U92" s="44" t="s">
        <v>95</v>
      </c>
      <c r="V92" s="44" t="s">
        <v>95</v>
      </c>
      <c r="W92" s="43" t="s">
        <v>95</v>
      </c>
      <c r="X92" s="45">
        <v>14.28</v>
      </c>
      <c r="Y92" s="43" t="s">
        <v>81</v>
      </c>
      <c r="Z92" s="43" t="s">
        <v>7155</v>
      </c>
      <c r="AA92" s="43" t="s">
        <v>7156</v>
      </c>
      <c r="AB92" s="43" t="s">
        <v>79</v>
      </c>
      <c r="AC92" s="45">
        <v>12.99</v>
      </c>
      <c r="AD92" s="43" t="s">
        <v>95</v>
      </c>
      <c r="AE92" s="43" t="s">
        <v>95</v>
      </c>
      <c r="AF92" s="43" t="s">
        <v>95</v>
      </c>
      <c r="AG92" s="43" t="s">
        <v>95</v>
      </c>
      <c r="AH92" s="45">
        <v>0</v>
      </c>
      <c r="AI92" s="43" t="s">
        <v>95</v>
      </c>
      <c r="AJ92" s="43" t="s">
        <v>95</v>
      </c>
      <c r="AK92" s="43" t="s">
        <v>95</v>
      </c>
      <c r="AL92" s="43" t="s">
        <v>95</v>
      </c>
      <c r="AM92" s="45">
        <v>12.99</v>
      </c>
      <c r="AN92" s="43" t="s">
        <v>81</v>
      </c>
      <c r="AO92" s="44">
        <v>44905</v>
      </c>
      <c r="AP92" s="43" t="s">
        <v>233</v>
      </c>
      <c r="AQ92" s="43" t="s">
        <v>234</v>
      </c>
      <c r="AR92" s="43" t="s">
        <v>233</v>
      </c>
      <c r="AS92" s="43" t="s">
        <v>234</v>
      </c>
      <c r="AT92" s="43" t="s">
        <v>85</v>
      </c>
      <c r="AU92" s="43" t="s">
        <v>7030</v>
      </c>
      <c r="AV92" s="43" t="s">
        <v>7031</v>
      </c>
      <c r="AW92" s="43" t="s">
        <v>7031</v>
      </c>
      <c r="AX92" s="43" t="s">
        <v>90</v>
      </c>
      <c r="AY92" s="43" t="s">
        <v>132</v>
      </c>
      <c r="AZ92" s="43" t="s">
        <v>7037</v>
      </c>
      <c r="BA92" s="43" t="s">
        <v>139</v>
      </c>
      <c r="BB92" s="45">
        <v>1.29</v>
      </c>
      <c r="BC92" s="45">
        <v>1.29</v>
      </c>
      <c r="BD92" s="43" t="s">
        <v>7032</v>
      </c>
      <c r="BE92" s="43" t="s">
        <v>81</v>
      </c>
      <c r="BF92" s="43" t="s">
        <v>81</v>
      </c>
      <c r="BG92" s="43" t="s">
        <v>86</v>
      </c>
      <c r="BH92" s="43" t="s">
        <v>235</v>
      </c>
      <c r="BI92" s="43" t="s">
        <v>7076</v>
      </c>
      <c r="BJ92" s="43" t="s">
        <v>7030</v>
      </c>
      <c r="BK92" s="43" t="s">
        <v>139</v>
      </c>
      <c r="BL92" s="43" t="s">
        <v>85</v>
      </c>
      <c r="BM92" s="43" t="s">
        <v>85</v>
      </c>
      <c r="BN92" s="43" t="s">
        <v>139</v>
      </c>
      <c r="BO92" s="46">
        <v>1.29</v>
      </c>
      <c r="BP92" s="43" t="s">
        <v>7032</v>
      </c>
      <c r="BQ92" s="43">
        <v>1.29</v>
      </c>
      <c r="BR92" s="43" t="s">
        <v>7032</v>
      </c>
      <c r="BS92" s="47">
        <v>1.29</v>
      </c>
      <c r="BT92" s="43" t="s">
        <v>7032</v>
      </c>
      <c r="BU92" s="43" t="s">
        <v>7032</v>
      </c>
      <c r="BV92" s="43" t="str">
        <f>CambioPlan[[#This Row],[TELEFONO]]&amp;"UPSELLSI"</f>
        <v>986220810UPSELLSI</v>
      </c>
      <c r="BW92" s="43">
        <f>DAY(CambioPlan[[#This Row],[FECHA_CAMBIO_PLAN]])</f>
        <v>10</v>
      </c>
      <c r="BX92" s="43" t="str">
        <f>VLOOKUP(CambioPlan[[#This Row],[NOM_PLAZA]],[1]!Locales[#Data],3,0)</f>
        <v>TIENDA CONDADO</v>
      </c>
      <c r="BY92" s="43" t="str">
        <f>VLOOKUP(CambioPlan[[#This Row],[DOMAIN_LOGIN_OW]],[1]!Personal[#Data],6,0)</f>
        <v>ROSALES MALDONADO JESSICA GABRIELA</v>
      </c>
      <c r="BZ92" s="43"/>
      <c r="CA92" s="43" t="str">
        <f>IFERROR(IF(FIND("ADULTO",CambioPlan[[#This Row],[DESCRIPCION_PLAN_ACTUAL]],1),"NO SE PAGA",),"SI SE PAGA")</f>
        <v>SI SE PAGA</v>
      </c>
      <c r="CB92" s="45">
        <f>CambioPlan[[#This Row],[TARIFA_BASICA_ACTUAL]]-CambioPlan[[#This Row],[TARIFA_BASICA_ANTERIOR]]</f>
        <v>1.2899999999999991</v>
      </c>
      <c r="CC92" s="56">
        <f>CambioPlan[[#This Row],[DIF. TARIFAS]]*4</f>
        <v>5.1599999999999966</v>
      </c>
      <c r="CD92" s="53" t="str">
        <f>IF(CambioPlan[[#This Row],[C. COMISIÓN TME]]&lt;0,"DOWNSELL",IF(CambioPlan[[#This Row],[C. COMISIÓN TME]]=0,"MISMA TARIFA",IF(CambioPlan[[#This Row],[C. COMISIÓN TME]]&gt;0,"UPSELL")))</f>
        <v>UPSELL</v>
      </c>
      <c r="CE92">
        <f>VLOOKUP(CambioPlan[[#This Row],[TARIFA_BASICA_ANTERIOR]],[3]Hoja1!$F:$G,2,0)</f>
        <v>1</v>
      </c>
      <c r="CF92">
        <f>VLOOKUP(CambioPlan[[#This Row],[TARIFA_BASICA_ACTUAL]],[3]Hoja1!$B:$C,2,0)</f>
        <v>1</v>
      </c>
      <c r="CG92">
        <f t="shared" si="1"/>
        <v>0</v>
      </c>
      <c r="CH92" t="e">
        <f>VLOOKUP(CambioPlan[[#This Row],[TELEFONO]],[1]Retenciones!$R$63:$R$287,1,0)</f>
        <v>#N/A</v>
      </c>
    </row>
    <row r="93" spans="1:86" x14ac:dyDescent="0.25">
      <c r="A93" s="43">
        <v>202212</v>
      </c>
      <c r="B93" s="44">
        <v>44914</v>
      </c>
      <c r="C93" s="43" t="s">
        <v>7374</v>
      </c>
      <c r="D93" s="43" t="s">
        <v>7375</v>
      </c>
      <c r="E93" s="43" t="s">
        <v>95</v>
      </c>
      <c r="F93" s="43" t="s">
        <v>768</v>
      </c>
      <c r="G93" s="43" t="s">
        <v>768</v>
      </c>
      <c r="H93" s="43" t="s">
        <v>67</v>
      </c>
      <c r="I93" s="43" t="s">
        <v>7376</v>
      </c>
      <c r="J93" s="43" t="s">
        <v>7037</v>
      </c>
      <c r="K93" s="43" t="s">
        <v>84</v>
      </c>
      <c r="L93" s="43" t="s">
        <v>359</v>
      </c>
      <c r="M93" s="43" t="s">
        <v>360</v>
      </c>
      <c r="N93" s="43" t="s">
        <v>79</v>
      </c>
      <c r="O93" s="45">
        <v>14.28</v>
      </c>
      <c r="P93" s="43" t="s">
        <v>95</v>
      </c>
      <c r="Q93" s="43" t="s">
        <v>95</v>
      </c>
      <c r="R93" s="43" t="s">
        <v>95</v>
      </c>
      <c r="S93" s="45">
        <v>0</v>
      </c>
      <c r="T93" s="43" t="s">
        <v>95</v>
      </c>
      <c r="U93" s="44" t="s">
        <v>95</v>
      </c>
      <c r="V93" s="44" t="s">
        <v>95</v>
      </c>
      <c r="W93" s="43" t="s">
        <v>95</v>
      </c>
      <c r="X93" s="45">
        <v>14.28</v>
      </c>
      <c r="Y93" s="43" t="s">
        <v>81</v>
      </c>
      <c r="Z93" s="43" t="s">
        <v>7281</v>
      </c>
      <c r="AA93" s="43" t="s">
        <v>7282</v>
      </c>
      <c r="AB93" s="43" t="s">
        <v>79</v>
      </c>
      <c r="AC93" s="45">
        <v>17.03</v>
      </c>
      <c r="AD93" s="43" t="s">
        <v>95</v>
      </c>
      <c r="AE93" s="43" t="s">
        <v>95</v>
      </c>
      <c r="AF93" s="43" t="s">
        <v>95</v>
      </c>
      <c r="AG93" s="43" t="s">
        <v>95</v>
      </c>
      <c r="AH93" s="45">
        <v>0</v>
      </c>
      <c r="AI93" s="43" t="s">
        <v>95</v>
      </c>
      <c r="AJ93" s="43" t="s">
        <v>95</v>
      </c>
      <c r="AK93" s="43" t="s">
        <v>95</v>
      </c>
      <c r="AL93" s="43" t="s">
        <v>95</v>
      </c>
      <c r="AM93" s="45">
        <v>17.03</v>
      </c>
      <c r="AN93" s="43" t="s">
        <v>81</v>
      </c>
      <c r="AO93" s="44">
        <v>44909</v>
      </c>
      <c r="AP93" s="43" t="s">
        <v>262</v>
      </c>
      <c r="AQ93" s="43" t="s">
        <v>263</v>
      </c>
      <c r="AR93" s="43" t="s">
        <v>262</v>
      </c>
      <c r="AS93" s="43" t="s">
        <v>263</v>
      </c>
      <c r="AT93" s="43" t="s">
        <v>85</v>
      </c>
      <c r="AU93" s="43" t="s">
        <v>7030</v>
      </c>
      <c r="AV93" s="43" t="s">
        <v>7031</v>
      </c>
      <c r="AW93" s="43" t="s">
        <v>7031</v>
      </c>
      <c r="AX93" s="43" t="s">
        <v>90</v>
      </c>
      <c r="AY93" s="43" t="s">
        <v>132</v>
      </c>
      <c r="AZ93" s="43" t="s">
        <v>7037</v>
      </c>
      <c r="BA93" s="43" t="s">
        <v>139</v>
      </c>
      <c r="BB93" s="45">
        <v>-2.75</v>
      </c>
      <c r="BC93" s="45">
        <v>-2.75</v>
      </c>
      <c r="BD93" s="43" t="s">
        <v>7106</v>
      </c>
      <c r="BE93" s="43" t="s">
        <v>81</v>
      </c>
      <c r="BF93" s="43" t="s">
        <v>81</v>
      </c>
      <c r="BG93" s="43" t="s">
        <v>86</v>
      </c>
      <c r="BH93" s="43" t="s">
        <v>177</v>
      </c>
      <c r="BI93" s="43" t="s">
        <v>7038</v>
      </c>
      <c r="BJ93" s="43" t="s">
        <v>7030</v>
      </c>
      <c r="BK93" s="43" t="s">
        <v>139</v>
      </c>
      <c r="BL93" s="43" t="s">
        <v>85</v>
      </c>
      <c r="BM93" s="43" t="s">
        <v>85</v>
      </c>
      <c r="BN93" s="43" t="s">
        <v>139</v>
      </c>
      <c r="BO93" s="46">
        <v>-2.75</v>
      </c>
      <c r="BP93" s="43" t="s">
        <v>7106</v>
      </c>
      <c r="BQ93" s="43">
        <v>-2.75</v>
      </c>
      <c r="BR93" s="43" t="s">
        <v>7106</v>
      </c>
      <c r="BS93" s="47">
        <v>-2.75</v>
      </c>
      <c r="BT93" s="43" t="s">
        <v>7106</v>
      </c>
      <c r="BU93" s="43" t="s">
        <v>7106</v>
      </c>
      <c r="BV93" s="43" t="str">
        <f>CambioPlan[[#This Row],[TELEFONO]]&amp;"UPSELLSI"</f>
        <v>986650481UPSELLSI</v>
      </c>
      <c r="BW93" s="43">
        <f>DAY(CambioPlan[[#This Row],[FECHA_CAMBIO_PLAN]])</f>
        <v>14</v>
      </c>
      <c r="BX93" s="43" t="str">
        <f>VLOOKUP(CambioPlan[[#This Row],[NOM_PLAZA]],[1]!Locales[#Data],3,0)</f>
        <v>TIENDA RECREO</v>
      </c>
      <c r="BY93" s="43" t="str">
        <f>VLOOKUP(CambioPlan[[#This Row],[DOMAIN_LOGIN_OW]],[1]!Personal[#Data],6,0)</f>
        <v>CHICAIZA TOAPANTA ALEX DANILO</v>
      </c>
      <c r="BZ93" s="43"/>
      <c r="CA93" s="43" t="str">
        <f>IFERROR(IF(FIND("ADULTO",CambioPlan[[#This Row],[DESCRIPCION_PLAN_ACTUAL]],1),"NO SE PAGA",),"SI SE PAGA")</f>
        <v>SI SE PAGA</v>
      </c>
      <c r="CB93" s="45">
        <f>CambioPlan[[#This Row],[TARIFA_BASICA_ACTUAL]]-CambioPlan[[#This Row],[TARIFA_BASICA_ANTERIOR]]</f>
        <v>-2.7500000000000018</v>
      </c>
      <c r="CC93" s="56">
        <f>CambioPlan[[#This Row],[DIF. TARIFAS]]*4</f>
        <v>-11.000000000000007</v>
      </c>
      <c r="CD93" s="53" t="str">
        <f>IF(CambioPlan[[#This Row],[C. COMISIÓN TME]]&lt;0,"DOWNSELL",IF(CambioPlan[[#This Row],[C. COMISIÓN TME]]=0,"MISMA TARIFA",IF(CambioPlan[[#This Row],[C. COMISIÓN TME]]&gt;0,"UPSELL")))</f>
        <v>DOWNSELL</v>
      </c>
      <c r="CE93">
        <f>VLOOKUP(CambioPlan[[#This Row],[TARIFA_BASICA_ANTERIOR]],[3]Hoja1!$F:$G,2,0)</f>
        <v>2</v>
      </c>
      <c r="CF93">
        <f>VLOOKUP(CambioPlan[[#This Row],[TARIFA_BASICA_ACTUAL]],[3]Hoja1!$B:$C,2,0)</f>
        <v>1</v>
      </c>
      <c r="CG93">
        <f t="shared" si="1"/>
        <v>-1</v>
      </c>
      <c r="CH93" t="e">
        <f>VLOOKUP(CambioPlan[[#This Row],[TELEFONO]],[1]Retenciones!$R$63:$R$287,1,0)</f>
        <v>#N/A</v>
      </c>
    </row>
    <row r="94" spans="1:86" x14ac:dyDescent="0.25">
      <c r="A94" s="43">
        <v>202212</v>
      </c>
      <c r="B94" s="44">
        <v>44914</v>
      </c>
      <c r="C94" s="43" t="s">
        <v>7377</v>
      </c>
      <c r="D94" s="43" t="s">
        <v>7378</v>
      </c>
      <c r="E94" s="43" t="s">
        <v>95</v>
      </c>
      <c r="F94" s="43" t="s">
        <v>231</v>
      </c>
      <c r="G94" s="43" t="s">
        <v>1378</v>
      </c>
      <c r="H94" s="43" t="s">
        <v>67</v>
      </c>
      <c r="I94" s="43" t="s">
        <v>7379</v>
      </c>
      <c r="J94" s="43" t="s">
        <v>7037</v>
      </c>
      <c r="K94" s="43" t="s">
        <v>84</v>
      </c>
      <c r="L94" s="43" t="s">
        <v>112</v>
      </c>
      <c r="M94" s="43" t="s">
        <v>781</v>
      </c>
      <c r="N94" s="43" t="s">
        <v>79</v>
      </c>
      <c r="O94" s="45">
        <v>17.850000000000001</v>
      </c>
      <c r="P94" s="43" t="s">
        <v>95</v>
      </c>
      <c r="Q94" s="43" t="s">
        <v>95</v>
      </c>
      <c r="R94" s="43" t="s">
        <v>95</v>
      </c>
      <c r="S94" s="45">
        <v>0</v>
      </c>
      <c r="T94" s="43" t="s">
        <v>95</v>
      </c>
      <c r="U94" s="44" t="s">
        <v>95</v>
      </c>
      <c r="V94" s="44" t="s">
        <v>95</v>
      </c>
      <c r="W94" s="43" t="s">
        <v>95</v>
      </c>
      <c r="X94" s="45">
        <v>17.850000000000001</v>
      </c>
      <c r="Y94" s="43" t="s">
        <v>81</v>
      </c>
      <c r="Z94" s="43" t="s">
        <v>7380</v>
      </c>
      <c r="AA94" s="43" t="s">
        <v>7381</v>
      </c>
      <c r="AB94" s="43" t="s">
        <v>79</v>
      </c>
      <c r="AC94" s="45">
        <v>17.03</v>
      </c>
      <c r="AD94" s="43" t="s">
        <v>95</v>
      </c>
      <c r="AE94" s="43" t="s">
        <v>95</v>
      </c>
      <c r="AF94" s="43" t="s">
        <v>95</v>
      </c>
      <c r="AG94" s="43" t="s">
        <v>95</v>
      </c>
      <c r="AH94" s="45">
        <v>0</v>
      </c>
      <c r="AI94" s="43" t="s">
        <v>95</v>
      </c>
      <c r="AJ94" s="43" t="s">
        <v>95</v>
      </c>
      <c r="AK94" s="43" t="s">
        <v>95</v>
      </c>
      <c r="AL94" s="43" t="s">
        <v>95</v>
      </c>
      <c r="AM94" s="45">
        <v>17.03</v>
      </c>
      <c r="AN94" s="43" t="s">
        <v>81</v>
      </c>
      <c r="AO94" s="44">
        <v>44897</v>
      </c>
      <c r="AP94" s="43" t="s">
        <v>396</v>
      </c>
      <c r="AQ94" s="43" t="s">
        <v>397</v>
      </c>
      <c r="AR94" s="43" t="s">
        <v>396</v>
      </c>
      <c r="AS94" s="43" t="s">
        <v>397</v>
      </c>
      <c r="AT94" s="43" t="s">
        <v>85</v>
      </c>
      <c r="AU94" s="43" t="s">
        <v>7030</v>
      </c>
      <c r="AV94" s="43" t="s">
        <v>7031</v>
      </c>
      <c r="AW94" s="43" t="s">
        <v>7031</v>
      </c>
      <c r="AX94" s="43" t="s">
        <v>90</v>
      </c>
      <c r="AY94" s="43" t="s">
        <v>132</v>
      </c>
      <c r="AZ94" s="43" t="s">
        <v>7037</v>
      </c>
      <c r="BA94" s="43" t="s">
        <v>139</v>
      </c>
      <c r="BB94" s="45">
        <v>0.82</v>
      </c>
      <c r="BC94" s="45">
        <v>0.82</v>
      </c>
      <c r="BD94" s="43" t="s">
        <v>7032</v>
      </c>
      <c r="BE94" s="43" t="s">
        <v>81</v>
      </c>
      <c r="BF94" s="43" t="s">
        <v>81</v>
      </c>
      <c r="BG94" s="43" t="s">
        <v>86</v>
      </c>
      <c r="BH94" s="43" t="s">
        <v>177</v>
      </c>
      <c r="BI94" s="43" t="s">
        <v>7038</v>
      </c>
      <c r="BJ94" s="43" t="s">
        <v>7030</v>
      </c>
      <c r="BK94" s="43" t="s">
        <v>139</v>
      </c>
      <c r="BL94" s="43" t="s">
        <v>85</v>
      </c>
      <c r="BM94" s="43" t="s">
        <v>85</v>
      </c>
      <c r="BN94" s="43" t="s">
        <v>139</v>
      </c>
      <c r="BO94" s="46">
        <v>0.82</v>
      </c>
      <c r="BP94" s="43" t="s">
        <v>7032</v>
      </c>
      <c r="BQ94" s="43">
        <v>0.82</v>
      </c>
      <c r="BR94" s="43" t="s">
        <v>7032</v>
      </c>
      <c r="BS94" s="47">
        <v>0.82</v>
      </c>
      <c r="BT94" s="43" t="s">
        <v>7032</v>
      </c>
      <c r="BU94" s="43" t="s">
        <v>7092</v>
      </c>
      <c r="BV94" s="43" t="str">
        <f>CambioPlan[[#This Row],[TELEFONO]]&amp;"UPSELLSI"</f>
        <v>986916550UPSELLSI</v>
      </c>
      <c r="BW94" s="43">
        <f>DAY(CambioPlan[[#This Row],[FECHA_CAMBIO_PLAN]])</f>
        <v>2</v>
      </c>
      <c r="BX94" s="43" t="str">
        <f>VLOOKUP(CambioPlan[[#This Row],[NOM_PLAZA]],[1]!Locales[#Data],3,0)</f>
        <v>TIENDA RECREO</v>
      </c>
      <c r="BY94" s="43" t="str">
        <f>VLOOKUP(CambioPlan[[#This Row],[DOMAIN_LOGIN_OW]],[1]!Personal[#Data],6,0)</f>
        <v>VINUEZA VELASCO ANGY DAYANA</v>
      </c>
      <c r="BZ94" s="43"/>
      <c r="CA94" s="43" t="str">
        <f>IFERROR(IF(FIND("ADULTO",CambioPlan[[#This Row],[DESCRIPCION_PLAN_ACTUAL]],1),"NO SE PAGA",),"SI SE PAGA")</f>
        <v>SI SE PAGA</v>
      </c>
      <c r="CB94" s="45">
        <f>CambioPlan[[#This Row],[TARIFA_BASICA_ACTUAL]]-CambioPlan[[#This Row],[TARIFA_BASICA_ANTERIOR]]</f>
        <v>0.82000000000000028</v>
      </c>
      <c r="CC94" s="56">
        <f>CambioPlan[[#This Row],[DIF. TARIFAS]]*4</f>
        <v>3.2800000000000011</v>
      </c>
      <c r="CD94" s="53" t="str">
        <f>IF(CambioPlan[[#This Row],[C. COMISIÓN TME]]&lt;0,"DOWNSELL",IF(CambioPlan[[#This Row],[C. COMISIÓN TME]]=0,"MISMA TARIFA",IF(CambioPlan[[#This Row],[C. COMISIÓN TME]]&gt;0,"UPSELL")))</f>
        <v>UPSELL</v>
      </c>
      <c r="CE94">
        <f>VLOOKUP(CambioPlan[[#This Row],[TARIFA_BASICA_ANTERIOR]],[3]Hoja1!$F:$G,2,0)</f>
        <v>2</v>
      </c>
      <c r="CF94">
        <f>VLOOKUP(CambioPlan[[#This Row],[TARIFA_BASICA_ACTUAL]],[3]Hoja1!$B:$C,2,0)</f>
        <v>2</v>
      </c>
      <c r="CG94">
        <f t="shared" si="1"/>
        <v>0</v>
      </c>
      <c r="CH94" t="str">
        <f>VLOOKUP(CambioPlan[[#This Row],[TELEFONO]],[1]Retenciones!$R$63:$R$287,1,0)</f>
        <v>986916550</v>
      </c>
    </row>
    <row r="95" spans="1:86" x14ac:dyDescent="0.25">
      <c r="A95" s="43">
        <v>202212</v>
      </c>
      <c r="B95" s="44">
        <v>44914</v>
      </c>
      <c r="C95" s="43" t="s">
        <v>7382</v>
      </c>
      <c r="D95" s="43" t="s">
        <v>7383</v>
      </c>
      <c r="E95" s="43" t="s">
        <v>95</v>
      </c>
      <c r="F95" s="43" t="s">
        <v>77</v>
      </c>
      <c r="G95" s="43" t="s">
        <v>4453</v>
      </c>
      <c r="H95" s="43" t="s">
        <v>246</v>
      </c>
      <c r="I95" s="43" t="s">
        <v>7384</v>
      </c>
      <c r="J95" s="43" t="s">
        <v>7037</v>
      </c>
      <c r="K95" s="43" t="s">
        <v>84</v>
      </c>
      <c r="L95" s="43" t="s">
        <v>7067</v>
      </c>
      <c r="M95" s="43" t="s">
        <v>7068</v>
      </c>
      <c r="N95" s="43" t="s">
        <v>79</v>
      </c>
      <c r="O95" s="45">
        <v>51.78</v>
      </c>
      <c r="P95" s="43" t="s">
        <v>95</v>
      </c>
      <c r="Q95" s="43" t="s">
        <v>95</v>
      </c>
      <c r="R95" s="43" t="s">
        <v>95</v>
      </c>
      <c r="S95" s="45">
        <v>0</v>
      </c>
      <c r="T95" s="43" t="s">
        <v>95</v>
      </c>
      <c r="U95" s="44" t="s">
        <v>95</v>
      </c>
      <c r="V95" s="44" t="s">
        <v>95</v>
      </c>
      <c r="W95" s="43" t="s">
        <v>95</v>
      </c>
      <c r="X95" s="45">
        <v>51.78</v>
      </c>
      <c r="Y95" s="43" t="s">
        <v>81</v>
      </c>
      <c r="Z95" s="43" t="s">
        <v>2207</v>
      </c>
      <c r="AA95" s="43" t="s">
        <v>2208</v>
      </c>
      <c r="AB95" s="43" t="s">
        <v>79</v>
      </c>
      <c r="AC95" s="45">
        <v>15</v>
      </c>
      <c r="AD95" s="43" t="s">
        <v>95</v>
      </c>
      <c r="AE95" s="43" t="s">
        <v>95</v>
      </c>
      <c r="AF95" s="43" t="s">
        <v>95</v>
      </c>
      <c r="AG95" s="43" t="s">
        <v>95</v>
      </c>
      <c r="AH95" s="45">
        <v>0</v>
      </c>
      <c r="AI95" s="43" t="s">
        <v>95</v>
      </c>
      <c r="AJ95" s="43" t="s">
        <v>95</v>
      </c>
      <c r="AK95" s="43" t="s">
        <v>95</v>
      </c>
      <c r="AL95" s="43" t="s">
        <v>95</v>
      </c>
      <c r="AM95" s="45">
        <v>15</v>
      </c>
      <c r="AN95" s="43" t="s">
        <v>81</v>
      </c>
      <c r="AO95" s="44">
        <v>44897</v>
      </c>
      <c r="AP95" s="43" t="s">
        <v>822</v>
      </c>
      <c r="AQ95" s="43" t="s">
        <v>823</v>
      </c>
      <c r="AR95" s="43" t="s">
        <v>822</v>
      </c>
      <c r="AS95" s="43" t="s">
        <v>823</v>
      </c>
      <c r="AT95" s="43" t="s">
        <v>85</v>
      </c>
      <c r="AU95" s="43" t="s">
        <v>7030</v>
      </c>
      <c r="AV95" s="43" t="s">
        <v>7031</v>
      </c>
      <c r="AW95" s="43" t="s">
        <v>7031</v>
      </c>
      <c r="AX95" s="43" t="s">
        <v>90</v>
      </c>
      <c r="AY95" s="43" t="s">
        <v>132</v>
      </c>
      <c r="AZ95" s="43" t="s">
        <v>7037</v>
      </c>
      <c r="BA95" s="43" t="s">
        <v>139</v>
      </c>
      <c r="BB95" s="45">
        <v>36.78</v>
      </c>
      <c r="BC95" s="45">
        <v>36.78</v>
      </c>
      <c r="BD95" s="43" t="s">
        <v>7032</v>
      </c>
      <c r="BE95" s="43" t="s">
        <v>81</v>
      </c>
      <c r="BF95" s="43" t="s">
        <v>81</v>
      </c>
      <c r="BG95" s="43" t="s">
        <v>86</v>
      </c>
      <c r="BH95" s="43" t="s">
        <v>177</v>
      </c>
      <c r="BI95" s="43" t="s">
        <v>7038</v>
      </c>
      <c r="BJ95" s="43" t="s">
        <v>7030</v>
      </c>
      <c r="BK95" s="43" t="s">
        <v>139</v>
      </c>
      <c r="BL95" s="43" t="s">
        <v>85</v>
      </c>
      <c r="BM95" s="43" t="s">
        <v>85</v>
      </c>
      <c r="BN95" s="43" t="s">
        <v>139</v>
      </c>
      <c r="BO95" s="46">
        <v>36.78</v>
      </c>
      <c r="BP95" s="43" t="s">
        <v>7032</v>
      </c>
      <c r="BQ95" s="43">
        <v>36.78</v>
      </c>
      <c r="BR95" s="43" t="s">
        <v>7032</v>
      </c>
      <c r="BS95" s="47">
        <v>36.78</v>
      </c>
      <c r="BT95" s="43" t="s">
        <v>7032</v>
      </c>
      <c r="BU95" s="43" t="s">
        <v>7032</v>
      </c>
      <c r="BV95" s="43" t="str">
        <f>CambioPlan[[#This Row],[TELEFONO]]&amp;"UPSELLSI"</f>
        <v>987020583UPSELLSI</v>
      </c>
      <c r="BW95" s="43">
        <f>DAY(CambioPlan[[#This Row],[FECHA_CAMBIO_PLAN]])</f>
        <v>2</v>
      </c>
      <c r="BX95" s="43" t="str">
        <f>VLOOKUP(CambioPlan[[#This Row],[NOM_PLAZA]],[1]!Locales[#Data],3,0)</f>
        <v>TIENDA RECREO</v>
      </c>
      <c r="BY95" s="43" t="str">
        <f>VLOOKUP(CambioPlan[[#This Row],[DOMAIN_LOGIN_OW]],[1]!Personal[#Data],6,0)</f>
        <v>SALAS PARRA MARIA JOSE</v>
      </c>
      <c r="BZ95" s="43"/>
      <c r="CA95" s="43" t="str">
        <f>IFERROR(IF(FIND("ADULTO",CambioPlan[[#This Row],[DESCRIPCION_PLAN_ACTUAL]],1),"NO SE PAGA",),"SI SE PAGA")</f>
        <v>SI SE PAGA</v>
      </c>
      <c r="CB95" s="45">
        <f>CambioPlan[[#This Row],[TARIFA_BASICA_ACTUAL]]-CambioPlan[[#This Row],[TARIFA_BASICA_ANTERIOR]]</f>
        <v>36.78</v>
      </c>
      <c r="CC95" s="56">
        <f>CambioPlan[[#This Row],[DIF. TARIFAS]]*4</f>
        <v>147.12</v>
      </c>
      <c r="CD95" s="53" t="str">
        <f>IF(CambioPlan[[#This Row],[C. COMISIÓN TME]]&lt;0,"DOWNSELL",IF(CambioPlan[[#This Row],[C. COMISIÓN TME]]=0,"MISMA TARIFA",IF(CambioPlan[[#This Row],[C. COMISIÓN TME]]&gt;0,"UPSELL")))</f>
        <v>UPSELL</v>
      </c>
      <c r="CE95">
        <f>VLOOKUP(CambioPlan[[#This Row],[TARIFA_BASICA_ANTERIOR]],[3]Hoja1!$F:$G,2,0)</f>
        <v>2</v>
      </c>
      <c r="CF95">
        <f>VLOOKUP(CambioPlan[[#This Row],[TARIFA_BASICA_ACTUAL]],[3]Hoja1!$B:$C,2,0)</f>
        <v>6</v>
      </c>
      <c r="CG95">
        <f t="shared" si="1"/>
        <v>4</v>
      </c>
      <c r="CH95" t="e">
        <f>VLOOKUP(CambioPlan[[#This Row],[TELEFONO]],[1]Retenciones!$R$63:$R$287,1,0)</f>
        <v>#N/A</v>
      </c>
    </row>
    <row r="96" spans="1:86" x14ac:dyDescent="0.25">
      <c r="A96" s="43">
        <v>202212</v>
      </c>
      <c r="B96" s="44">
        <v>44914</v>
      </c>
      <c r="C96" s="43" t="s">
        <v>7385</v>
      </c>
      <c r="D96" s="43" t="s">
        <v>7386</v>
      </c>
      <c r="E96" s="43" t="s">
        <v>95</v>
      </c>
      <c r="F96" s="43" t="s">
        <v>77</v>
      </c>
      <c r="G96" s="43" t="s">
        <v>1532</v>
      </c>
      <c r="H96" s="43" t="s">
        <v>246</v>
      </c>
      <c r="I96" s="43" t="s">
        <v>5719</v>
      </c>
      <c r="J96" s="43" t="s">
        <v>7037</v>
      </c>
      <c r="K96" s="43" t="s">
        <v>118</v>
      </c>
      <c r="L96" s="43" t="s">
        <v>7067</v>
      </c>
      <c r="M96" s="43" t="s">
        <v>7068</v>
      </c>
      <c r="N96" s="43" t="s">
        <v>79</v>
      </c>
      <c r="O96" s="45">
        <v>51.78</v>
      </c>
      <c r="P96" s="43" t="s">
        <v>95</v>
      </c>
      <c r="Q96" s="43" t="s">
        <v>95</v>
      </c>
      <c r="R96" s="43" t="s">
        <v>95</v>
      </c>
      <c r="S96" s="45">
        <v>0</v>
      </c>
      <c r="T96" s="43" t="s">
        <v>95</v>
      </c>
      <c r="U96" s="44" t="s">
        <v>95</v>
      </c>
      <c r="V96" s="44" t="s">
        <v>95</v>
      </c>
      <c r="W96" s="43" t="s">
        <v>95</v>
      </c>
      <c r="X96" s="45">
        <v>51.78</v>
      </c>
      <c r="Y96" s="43" t="s">
        <v>81</v>
      </c>
      <c r="Z96" s="43" t="s">
        <v>7055</v>
      </c>
      <c r="AA96" s="43" t="s">
        <v>7341</v>
      </c>
      <c r="AB96" s="43" t="s">
        <v>79</v>
      </c>
      <c r="AC96" s="45">
        <v>15</v>
      </c>
      <c r="AD96" s="43" t="s">
        <v>95</v>
      </c>
      <c r="AE96" s="43" t="s">
        <v>95</v>
      </c>
      <c r="AF96" s="43" t="s">
        <v>95</v>
      </c>
      <c r="AG96" s="43" t="s">
        <v>95</v>
      </c>
      <c r="AH96" s="45">
        <v>0</v>
      </c>
      <c r="AI96" s="43" t="s">
        <v>95</v>
      </c>
      <c r="AJ96" s="43" t="s">
        <v>95</v>
      </c>
      <c r="AK96" s="43" t="s">
        <v>95</v>
      </c>
      <c r="AL96" s="43" t="s">
        <v>95</v>
      </c>
      <c r="AM96" s="45">
        <v>15</v>
      </c>
      <c r="AN96" s="43" t="s">
        <v>81</v>
      </c>
      <c r="AO96" s="44">
        <v>44906</v>
      </c>
      <c r="AP96" s="43" t="s">
        <v>760</v>
      </c>
      <c r="AQ96" s="43" t="s">
        <v>761</v>
      </c>
      <c r="AR96" s="43" t="s">
        <v>760</v>
      </c>
      <c r="AS96" s="43" t="s">
        <v>761</v>
      </c>
      <c r="AT96" s="43" t="s">
        <v>85</v>
      </c>
      <c r="AU96" s="43" t="s">
        <v>7030</v>
      </c>
      <c r="AV96" s="43" t="s">
        <v>7031</v>
      </c>
      <c r="AW96" s="43" t="s">
        <v>7031</v>
      </c>
      <c r="AX96" s="43" t="s">
        <v>90</v>
      </c>
      <c r="AY96" s="43" t="s">
        <v>132</v>
      </c>
      <c r="AZ96" s="43" t="s">
        <v>7037</v>
      </c>
      <c r="BA96" s="43" t="s">
        <v>139</v>
      </c>
      <c r="BB96" s="45">
        <v>36.78</v>
      </c>
      <c r="BC96" s="45">
        <v>36.78</v>
      </c>
      <c r="BD96" s="43" t="s">
        <v>7032</v>
      </c>
      <c r="BE96" s="43" t="s">
        <v>81</v>
      </c>
      <c r="BF96" s="43" t="s">
        <v>81</v>
      </c>
      <c r="BG96" s="43" t="s">
        <v>86</v>
      </c>
      <c r="BH96" s="43" t="s">
        <v>177</v>
      </c>
      <c r="BI96" s="43" t="s">
        <v>7038</v>
      </c>
      <c r="BJ96" s="43" t="s">
        <v>7030</v>
      </c>
      <c r="BK96" s="43" t="s">
        <v>139</v>
      </c>
      <c r="BL96" s="43" t="s">
        <v>85</v>
      </c>
      <c r="BM96" s="43" t="s">
        <v>85</v>
      </c>
      <c r="BN96" s="43" t="s">
        <v>139</v>
      </c>
      <c r="BO96" s="46">
        <v>36.78</v>
      </c>
      <c r="BP96" s="43" t="s">
        <v>7032</v>
      </c>
      <c r="BQ96" s="43">
        <v>36.78</v>
      </c>
      <c r="BR96" s="43" t="s">
        <v>7032</v>
      </c>
      <c r="BS96" s="47">
        <v>36.78</v>
      </c>
      <c r="BT96" s="43" t="s">
        <v>7032</v>
      </c>
      <c r="BU96" s="43" t="s">
        <v>7032</v>
      </c>
      <c r="BV96" s="43" t="str">
        <f>CambioPlan[[#This Row],[TELEFONO]]&amp;"UPSELLSI"</f>
        <v>987027551UPSELLSI</v>
      </c>
      <c r="BW96" s="43">
        <f>DAY(CambioPlan[[#This Row],[FECHA_CAMBIO_PLAN]])</f>
        <v>11</v>
      </c>
      <c r="BX96" s="43" t="str">
        <f>VLOOKUP(CambioPlan[[#This Row],[NOM_PLAZA]],[1]!Locales[#Data],3,0)</f>
        <v>TIENDA RECREO</v>
      </c>
      <c r="BY96" s="43" t="str">
        <f>VLOOKUP(CambioPlan[[#This Row],[DOMAIN_LOGIN_OW]],[1]!Personal[#Data],6,0)</f>
        <v>VALBUENA SANCHEZ ALBERT ANTHONY</v>
      </c>
      <c r="BZ96" s="43"/>
      <c r="CA96" s="43" t="str">
        <f>IFERROR(IF(FIND("ADULTO",CambioPlan[[#This Row],[DESCRIPCION_PLAN_ACTUAL]],1),"NO SE PAGA",),"SI SE PAGA")</f>
        <v>SI SE PAGA</v>
      </c>
      <c r="CB96" s="45">
        <f>CambioPlan[[#This Row],[TARIFA_BASICA_ACTUAL]]-CambioPlan[[#This Row],[TARIFA_BASICA_ANTERIOR]]</f>
        <v>36.78</v>
      </c>
      <c r="CC96" s="56">
        <f>CambioPlan[[#This Row],[DIF. TARIFAS]]*4</f>
        <v>147.12</v>
      </c>
      <c r="CD96" s="53" t="str">
        <f>IF(CambioPlan[[#This Row],[C. COMISIÓN TME]]&lt;0,"DOWNSELL",IF(CambioPlan[[#This Row],[C. COMISIÓN TME]]=0,"MISMA TARIFA",IF(CambioPlan[[#This Row],[C. COMISIÓN TME]]&gt;0,"UPSELL")))</f>
        <v>UPSELL</v>
      </c>
      <c r="CE96">
        <f>VLOOKUP(CambioPlan[[#This Row],[TARIFA_BASICA_ANTERIOR]],[3]Hoja1!$F:$G,2,0)</f>
        <v>2</v>
      </c>
      <c r="CF96">
        <f>VLOOKUP(CambioPlan[[#This Row],[TARIFA_BASICA_ACTUAL]],[3]Hoja1!$B:$C,2,0)</f>
        <v>6</v>
      </c>
      <c r="CG96">
        <f t="shared" si="1"/>
        <v>4</v>
      </c>
      <c r="CH96" t="e">
        <f>VLOOKUP(CambioPlan[[#This Row],[TELEFONO]],[1]Retenciones!$R$63:$R$287,1,0)</f>
        <v>#N/A</v>
      </c>
    </row>
    <row r="97" spans="1:86" x14ac:dyDescent="0.25">
      <c r="A97" s="43">
        <v>202212</v>
      </c>
      <c r="B97" s="44">
        <v>44914</v>
      </c>
      <c r="C97" s="43" t="s">
        <v>7387</v>
      </c>
      <c r="D97" s="43" t="s">
        <v>7388</v>
      </c>
      <c r="E97" s="43" t="s">
        <v>95</v>
      </c>
      <c r="F97" s="43" t="s">
        <v>77</v>
      </c>
      <c r="G97" s="43" t="s">
        <v>1532</v>
      </c>
      <c r="H97" s="43" t="s">
        <v>67</v>
      </c>
      <c r="I97" s="43" t="s">
        <v>4769</v>
      </c>
      <c r="J97" s="43" t="s">
        <v>7037</v>
      </c>
      <c r="K97" s="43" t="s">
        <v>84</v>
      </c>
      <c r="L97" s="43" t="s">
        <v>359</v>
      </c>
      <c r="M97" s="43" t="s">
        <v>360</v>
      </c>
      <c r="N97" s="43" t="s">
        <v>79</v>
      </c>
      <c r="O97" s="45">
        <v>14.28</v>
      </c>
      <c r="P97" s="43" t="s">
        <v>95</v>
      </c>
      <c r="Q97" s="43" t="s">
        <v>95</v>
      </c>
      <c r="R97" s="43" t="s">
        <v>95</v>
      </c>
      <c r="S97" s="45">
        <v>0</v>
      </c>
      <c r="T97" s="43" t="s">
        <v>95</v>
      </c>
      <c r="U97" s="44" t="s">
        <v>95</v>
      </c>
      <c r="V97" s="44" t="s">
        <v>95</v>
      </c>
      <c r="W97" s="43" t="s">
        <v>95</v>
      </c>
      <c r="X97" s="45">
        <v>14.28</v>
      </c>
      <c r="Y97" s="43" t="s">
        <v>81</v>
      </c>
      <c r="Z97" s="43" t="s">
        <v>7227</v>
      </c>
      <c r="AA97" s="43" t="s">
        <v>7228</v>
      </c>
      <c r="AB97" s="43" t="s">
        <v>79</v>
      </c>
      <c r="AC97" s="45">
        <v>9.99</v>
      </c>
      <c r="AD97" s="43" t="s">
        <v>95</v>
      </c>
      <c r="AE97" s="43" t="s">
        <v>95</v>
      </c>
      <c r="AF97" s="43" t="s">
        <v>95</v>
      </c>
      <c r="AG97" s="43" t="s">
        <v>95</v>
      </c>
      <c r="AH97" s="45">
        <v>0</v>
      </c>
      <c r="AI97" s="43" t="s">
        <v>95</v>
      </c>
      <c r="AJ97" s="43" t="s">
        <v>95</v>
      </c>
      <c r="AK97" s="43" t="s">
        <v>95</v>
      </c>
      <c r="AL97" s="43" t="s">
        <v>95</v>
      </c>
      <c r="AM97" s="45">
        <v>9.99</v>
      </c>
      <c r="AN97" s="43" t="s">
        <v>81</v>
      </c>
      <c r="AO97" s="44">
        <v>44908</v>
      </c>
      <c r="AP97" s="43" t="s">
        <v>233</v>
      </c>
      <c r="AQ97" s="43" t="s">
        <v>234</v>
      </c>
      <c r="AR97" s="43" t="s">
        <v>7062</v>
      </c>
      <c r="AS97" s="43" t="s">
        <v>95</v>
      </c>
      <c r="AT97" s="43" t="s">
        <v>85</v>
      </c>
      <c r="AU97" s="43" t="s">
        <v>7030</v>
      </c>
      <c r="AV97" s="43" t="s">
        <v>7031</v>
      </c>
      <c r="AW97" s="43" t="s">
        <v>7031</v>
      </c>
      <c r="AX97" s="43" t="s">
        <v>90</v>
      </c>
      <c r="AY97" s="43" t="s">
        <v>132</v>
      </c>
      <c r="AZ97" s="43" t="s">
        <v>7037</v>
      </c>
      <c r="BA97" s="43" t="s">
        <v>139</v>
      </c>
      <c r="BB97" s="45">
        <v>4.29</v>
      </c>
      <c r="BC97" s="45">
        <v>4.29</v>
      </c>
      <c r="BD97" s="43" t="s">
        <v>7032</v>
      </c>
      <c r="BE97" s="43" t="s">
        <v>81</v>
      </c>
      <c r="BF97" s="43" t="s">
        <v>81</v>
      </c>
      <c r="BG97" s="43" t="s">
        <v>86</v>
      </c>
      <c r="BH97" s="43" t="s">
        <v>235</v>
      </c>
      <c r="BI97" s="43" t="s">
        <v>7076</v>
      </c>
      <c r="BJ97" s="43" t="s">
        <v>7030</v>
      </c>
      <c r="BK97" s="43" t="s">
        <v>139</v>
      </c>
      <c r="BL97" s="43" t="s">
        <v>85</v>
      </c>
      <c r="BM97" s="43" t="s">
        <v>85</v>
      </c>
      <c r="BN97" s="43" t="s">
        <v>139</v>
      </c>
      <c r="BO97" s="46">
        <v>4.29</v>
      </c>
      <c r="BP97" s="43" t="s">
        <v>7032</v>
      </c>
      <c r="BQ97" s="43">
        <v>4.29</v>
      </c>
      <c r="BR97" s="43" t="s">
        <v>7032</v>
      </c>
      <c r="BS97" s="47">
        <v>4.29</v>
      </c>
      <c r="BT97" s="43" t="s">
        <v>7032</v>
      </c>
      <c r="BU97" s="43" t="s">
        <v>7032</v>
      </c>
      <c r="BV97" s="43" t="str">
        <f>CambioPlan[[#This Row],[TELEFONO]]&amp;"UPSELLSI"</f>
        <v>987055083UPSELLSI</v>
      </c>
      <c r="BW97" s="43">
        <f>DAY(CambioPlan[[#This Row],[FECHA_CAMBIO_PLAN]])</f>
        <v>13</v>
      </c>
      <c r="BX97" s="43" t="str">
        <f>VLOOKUP(CambioPlan[[#This Row],[NOM_PLAZA]],[1]!Locales[#Data],3,0)</f>
        <v>TIENDA CONDADO</v>
      </c>
      <c r="BY97" s="43" t="str">
        <f>VLOOKUP(CambioPlan[[#This Row],[DOMAIN_LOGIN_OW]],[1]!Personal[#Data],6,0)</f>
        <v>ROSALES MALDONADO JESSICA GABRIELA</v>
      </c>
      <c r="BZ97" s="43"/>
      <c r="CA97" s="43" t="str">
        <f>IFERROR(IF(FIND("ADULTO",CambioPlan[[#This Row],[DESCRIPCION_PLAN_ACTUAL]],1),"NO SE PAGA",),"SI SE PAGA")</f>
        <v>SI SE PAGA</v>
      </c>
      <c r="CB97" s="45">
        <f>CambioPlan[[#This Row],[TARIFA_BASICA_ACTUAL]]-CambioPlan[[#This Row],[TARIFA_BASICA_ANTERIOR]]</f>
        <v>4.2899999999999991</v>
      </c>
      <c r="CC97" s="56">
        <f>CambioPlan[[#This Row],[DIF. TARIFAS]]*4</f>
        <v>17.159999999999997</v>
      </c>
      <c r="CD97" s="53" t="str">
        <f>IF(CambioPlan[[#This Row],[C. COMISIÓN TME]]&lt;0,"DOWNSELL",IF(CambioPlan[[#This Row],[C. COMISIÓN TME]]=0,"MISMA TARIFA",IF(CambioPlan[[#This Row],[C. COMISIÓN TME]]&gt;0,"UPSELL")))</f>
        <v>UPSELL</v>
      </c>
      <c r="CE97">
        <f>VLOOKUP(CambioPlan[[#This Row],[TARIFA_BASICA_ANTERIOR]],[3]Hoja1!$F:$G,2,0)</f>
        <v>0</v>
      </c>
      <c r="CF97">
        <f>VLOOKUP(CambioPlan[[#This Row],[TARIFA_BASICA_ACTUAL]],[3]Hoja1!$B:$C,2,0)</f>
        <v>1</v>
      </c>
      <c r="CG97">
        <f t="shared" si="1"/>
        <v>1</v>
      </c>
      <c r="CH97" t="e">
        <f>VLOOKUP(CambioPlan[[#This Row],[TELEFONO]],[1]Retenciones!$R$63:$R$287,1,0)</f>
        <v>#N/A</v>
      </c>
    </row>
    <row r="98" spans="1:86" x14ac:dyDescent="0.25">
      <c r="A98" s="43">
        <v>202212</v>
      </c>
      <c r="B98" s="44">
        <v>44914</v>
      </c>
      <c r="C98" s="43" t="s">
        <v>7389</v>
      </c>
      <c r="D98" s="43" t="s">
        <v>7390</v>
      </c>
      <c r="E98" s="43" t="s">
        <v>95</v>
      </c>
      <c r="F98" s="43" t="s">
        <v>77</v>
      </c>
      <c r="G98" s="43" t="s">
        <v>2241</v>
      </c>
      <c r="H98" s="43" t="s">
        <v>67</v>
      </c>
      <c r="I98" s="43" t="s">
        <v>7391</v>
      </c>
      <c r="J98" s="43" t="s">
        <v>7029</v>
      </c>
      <c r="K98" s="43" t="s">
        <v>118</v>
      </c>
      <c r="L98" s="43" t="s">
        <v>160</v>
      </c>
      <c r="M98" s="43" t="s">
        <v>161</v>
      </c>
      <c r="N98" s="43" t="s">
        <v>79</v>
      </c>
      <c r="O98" s="45">
        <v>14.28</v>
      </c>
      <c r="P98" s="43" t="s">
        <v>95</v>
      </c>
      <c r="Q98" s="43" t="s">
        <v>95</v>
      </c>
      <c r="R98" s="43" t="s">
        <v>95</v>
      </c>
      <c r="S98" s="45">
        <v>0</v>
      </c>
      <c r="T98" s="43" t="s">
        <v>95</v>
      </c>
      <c r="U98" s="44" t="s">
        <v>95</v>
      </c>
      <c r="V98" s="44" t="s">
        <v>95</v>
      </c>
      <c r="W98" s="43" t="s">
        <v>95</v>
      </c>
      <c r="X98" s="45">
        <v>14.28</v>
      </c>
      <c r="Y98" s="43" t="s">
        <v>81</v>
      </c>
      <c r="Z98" s="43" t="s">
        <v>130</v>
      </c>
      <c r="AA98" s="43" t="s">
        <v>433</v>
      </c>
      <c r="AB98" s="43" t="s">
        <v>79</v>
      </c>
      <c r="AC98" s="45">
        <v>15</v>
      </c>
      <c r="AD98" s="43" t="s">
        <v>95</v>
      </c>
      <c r="AE98" s="43" t="s">
        <v>95</v>
      </c>
      <c r="AF98" s="43" t="s">
        <v>95</v>
      </c>
      <c r="AG98" s="43" t="s">
        <v>95</v>
      </c>
      <c r="AH98" s="45">
        <v>0</v>
      </c>
      <c r="AI98" s="43" t="s">
        <v>95</v>
      </c>
      <c r="AJ98" s="43" t="s">
        <v>95</v>
      </c>
      <c r="AK98" s="43" t="s">
        <v>95</v>
      </c>
      <c r="AL98" s="43" t="s">
        <v>95</v>
      </c>
      <c r="AM98" s="45">
        <v>15</v>
      </c>
      <c r="AN98" s="43" t="s">
        <v>81</v>
      </c>
      <c r="AO98" s="44">
        <v>44901</v>
      </c>
      <c r="AP98" s="43" t="s">
        <v>1545</v>
      </c>
      <c r="AQ98" s="43" t="s">
        <v>1546</v>
      </c>
      <c r="AR98" s="43" t="s">
        <v>1545</v>
      </c>
      <c r="AS98" s="43" t="s">
        <v>1546</v>
      </c>
      <c r="AT98" s="43" t="s">
        <v>85</v>
      </c>
      <c r="AU98" s="43" t="s">
        <v>7030</v>
      </c>
      <c r="AV98" s="43" t="s">
        <v>7031</v>
      </c>
      <c r="AW98" s="43" t="s">
        <v>7031</v>
      </c>
      <c r="AX98" s="43" t="s">
        <v>90</v>
      </c>
      <c r="AY98" s="43" t="s">
        <v>132</v>
      </c>
      <c r="AZ98" s="43" t="s">
        <v>7037</v>
      </c>
      <c r="BA98" s="43" t="s">
        <v>139</v>
      </c>
      <c r="BB98" s="45">
        <v>-0.72000000000000097</v>
      </c>
      <c r="BC98" s="45">
        <v>-0.71999999999999897</v>
      </c>
      <c r="BD98" s="43" t="s">
        <v>7106</v>
      </c>
      <c r="BE98" s="43" t="s">
        <v>81</v>
      </c>
      <c r="BF98" s="43" t="s">
        <v>81</v>
      </c>
      <c r="BG98" s="43" t="s">
        <v>86</v>
      </c>
      <c r="BH98" s="43" t="s">
        <v>138</v>
      </c>
      <c r="BI98" s="43" t="s">
        <v>7076</v>
      </c>
      <c r="BJ98" s="43" t="s">
        <v>7030</v>
      </c>
      <c r="BK98" s="43" t="s">
        <v>139</v>
      </c>
      <c r="BL98" s="43" t="s">
        <v>85</v>
      </c>
      <c r="BM98" s="43" t="s">
        <v>85</v>
      </c>
      <c r="BN98" s="43" t="s">
        <v>139</v>
      </c>
      <c r="BO98" s="46">
        <v>-0.71999999999999897</v>
      </c>
      <c r="BP98" s="43" t="s">
        <v>7106</v>
      </c>
      <c r="BQ98" s="43">
        <v>-0.71999999999999897</v>
      </c>
      <c r="BR98" s="43" t="s">
        <v>7106</v>
      </c>
      <c r="BS98" s="47">
        <v>-0.71999999999999897</v>
      </c>
      <c r="BT98" s="43" t="s">
        <v>7106</v>
      </c>
      <c r="BU98" s="43" t="s">
        <v>7106</v>
      </c>
      <c r="BV98" s="43" t="str">
        <f>CambioPlan[[#This Row],[TELEFONO]]&amp;"UPSELLSI"</f>
        <v>987078091UPSELLSI</v>
      </c>
      <c r="BW98" s="43">
        <f>DAY(CambioPlan[[#This Row],[FECHA_CAMBIO_PLAN]])</f>
        <v>6</v>
      </c>
      <c r="BX98" s="43" t="str">
        <f>VLOOKUP(CambioPlan[[#This Row],[NOM_PLAZA]],[1]!Locales[#Data],3,0)</f>
        <v>TIENDA AMERICA</v>
      </c>
      <c r="BY98" s="43" t="str">
        <f>VLOOKUP(CambioPlan[[#This Row],[DOMAIN_LOGIN_OW]],[1]!Personal[#Data],6,0)</f>
        <v>GRANDA ESPINOZA ANDRES SEBASTIAN</v>
      </c>
      <c r="BZ98" s="43"/>
      <c r="CA98" s="43" t="str">
        <f>IFERROR(IF(FIND("ADULTO",CambioPlan[[#This Row],[DESCRIPCION_PLAN_ACTUAL]],1),"NO SE PAGA",),"SI SE PAGA")</f>
        <v>SI SE PAGA</v>
      </c>
      <c r="CB98" s="45">
        <f>CambioPlan[[#This Row],[TARIFA_BASICA_ACTUAL]]-CambioPlan[[#This Row],[TARIFA_BASICA_ANTERIOR]]</f>
        <v>-0.72000000000000064</v>
      </c>
      <c r="CC98" s="56">
        <f>CambioPlan[[#This Row],[DIF. TARIFAS]]*4</f>
        <v>-2.8800000000000026</v>
      </c>
      <c r="CD98" s="53" t="str">
        <f>IF(CambioPlan[[#This Row],[C. COMISIÓN TME]]&lt;0,"DOWNSELL",IF(CambioPlan[[#This Row],[C. COMISIÓN TME]]=0,"MISMA TARIFA",IF(CambioPlan[[#This Row],[C. COMISIÓN TME]]&gt;0,"UPSELL")))</f>
        <v>DOWNSELL</v>
      </c>
      <c r="CE98">
        <f>VLOOKUP(CambioPlan[[#This Row],[TARIFA_BASICA_ANTERIOR]],[3]Hoja1!$F:$G,2,0)</f>
        <v>2</v>
      </c>
      <c r="CF98">
        <f>VLOOKUP(CambioPlan[[#This Row],[TARIFA_BASICA_ACTUAL]],[3]Hoja1!$B:$C,2,0)</f>
        <v>1</v>
      </c>
      <c r="CG98">
        <f t="shared" si="1"/>
        <v>-1</v>
      </c>
      <c r="CH98" t="e">
        <f>VLOOKUP(CambioPlan[[#This Row],[TELEFONO]],[1]Retenciones!$R$63:$R$287,1,0)</f>
        <v>#N/A</v>
      </c>
    </row>
    <row r="99" spans="1:86" x14ac:dyDescent="0.25">
      <c r="A99" s="43">
        <v>202212</v>
      </c>
      <c r="B99" s="44">
        <v>44914</v>
      </c>
      <c r="C99" s="43" t="s">
        <v>7392</v>
      </c>
      <c r="D99" s="43" t="s">
        <v>7393</v>
      </c>
      <c r="E99" s="43" t="s">
        <v>95</v>
      </c>
      <c r="F99" s="43" t="s">
        <v>77</v>
      </c>
      <c r="G99" s="43" t="s">
        <v>1532</v>
      </c>
      <c r="H99" s="43" t="s">
        <v>246</v>
      </c>
      <c r="I99" s="43" t="s">
        <v>7394</v>
      </c>
      <c r="J99" s="43" t="s">
        <v>7037</v>
      </c>
      <c r="K99" s="43" t="s">
        <v>118</v>
      </c>
      <c r="L99" s="43" t="s">
        <v>3972</v>
      </c>
      <c r="M99" s="43" t="s">
        <v>3973</v>
      </c>
      <c r="N99" s="43" t="s">
        <v>79</v>
      </c>
      <c r="O99" s="45">
        <v>26.78</v>
      </c>
      <c r="P99" s="43" t="s">
        <v>95</v>
      </c>
      <c r="Q99" s="43" t="s">
        <v>95</v>
      </c>
      <c r="R99" s="43" t="s">
        <v>95</v>
      </c>
      <c r="S99" s="45">
        <v>0</v>
      </c>
      <c r="T99" s="43" t="s">
        <v>95</v>
      </c>
      <c r="U99" s="44" t="s">
        <v>95</v>
      </c>
      <c r="V99" s="44" t="s">
        <v>95</v>
      </c>
      <c r="W99" s="43" t="s">
        <v>95</v>
      </c>
      <c r="X99" s="45">
        <v>26.78</v>
      </c>
      <c r="Y99" s="43" t="s">
        <v>81</v>
      </c>
      <c r="Z99" s="43" t="s">
        <v>7176</v>
      </c>
      <c r="AA99" s="43" t="s">
        <v>7332</v>
      </c>
      <c r="AB99" s="43" t="s">
        <v>79</v>
      </c>
      <c r="AC99" s="45">
        <v>16.989999999999998</v>
      </c>
      <c r="AD99" s="43" t="s">
        <v>95</v>
      </c>
      <c r="AE99" s="43" t="s">
        <v>95</v>
      </c>
      <c r="AF99" s="43" t="s">
        <v>95</v>
      </c>
      <c r="AG99" s="43" t="s">
        <v>95</v>
      </c>
      <c r="AH99" s="45">
        <v>0</v>
      </c>
      <c r="AI99" s="43" t="s">
        <v>95</v>
      </c>
      <c r="AJ99" s="43" t="s">
        <v>95</v>
      </c>
      <c r="AK99" s="43" t="s">
        <v>95</v>
      </c>
      <c r="AL99" s="43" t="s">
        <v>95</v>
      </c>
      <c r="AM99" s="45">
        <v>16.989999999999998</v>
      </c>
      <c r="AN99" s="43" t="s">
        <v>81</v>
      </c>
      <c r="AO99" s="44">
        <v>44910</v>
      </c>
      <c r="AP99" s="43" t="s">
        <v>369</v>
      </c>
      <c r="AQ99" s="43" t="s">
        <v>370</v>
      </c>
      <c r="AR99" s="43" t="s">
        <v>369</v>
      </c>
      <c r="AS99" s="43" t="s">
        <v>370</v>
      </c>
      <c r="AT99" s="43" t="s">
        <v>85</v>
      </c>
      <c r="AU99" s="43" t="s">
        <v>7030</v>
      </c>
      <c r="AV99" s="43" t="s">
        <v>7031</v>
      </c>
      <c r="AW99" s="43" t="s">
        <v>7031</v>
      </c>
      <c r="AX99" s="43" t="s">
        <v>90</v>
      </c>
      <c r="AY99" s="43" t="s">
        <v>132</v>
      </c>
      <c r="AZ99" s="43" t="s">
        <v>7037</v>
      </c>
      <c r="BA99" s="43" t="s">
        <v>139</v>
      </c>
      <c r="BB99" s="45">
        <v>9.7899999999999991</v>
      </c>
      <c r="BC99" s="45">
        <v>9.7899999999999991</v>
      </c>
      <c r="BD99" s="43" t="s">
        <v>7032</v>
      </c>
      <c r="BE99" s="43" t="s">
        <v>81</v>
      </c>
      <c r="BF99" s="43" t="s">
        <v>81</v>
      </c>
      <c r="BG99" s="43" t="s">
        <v>86</v>
      </c>
      <c r="BH99" s="43" t="s">
        <v>177</v>
      </c>
      <c r="BI99" s="43" t="s">
        <v>7038</v>
      </c>
      <c r="BJ99" s="43" t="s">
        <v>7030</v>
      </c>
      <c r="BK99" s="43" t="s">
        <v>139</v>
      </c>
      <c r="BL99" s="43" t="s">
        <v>85</v>
      </c>
      <c r="BM99" s="43" t="s">
        <v>85</v>
      </c>
      <c r="BN99" s="43" t="s">
        <v>139</v>
      </c>
      <c r="BO99" s="46">
        <v>9.7899999999999991</v>
      </c>
      <c r="BP99" s="43" t="s">
        <v>7032</v>
      </c>
      <c r="BQ99" s="43">
        <v>9.7899999999999991</v>
      </c>
      <c r="BR99" s="43" t="s">
        <v>7032</v>
      </c>
      <c r="BS99" s="47">
        <v>9.7899999999999991</v>
      </c>
      <c r="BT99" s="43" t="s">
        <v>7032</v>
      </c>
      <c r="BU99" s="43" t="s">
        <v>7032</v>
      </c>
      <c r="BV99" s="43" t="str">
        <f>CambioPlan[[#This Row],[TELEFONO]]&amp;"UPSELLSI"</f>
        <v>987171924UPSELLSI</v>
      </c>
      <c r="BW99" s="43">
        <f>DAY(CambioPlan[[#This Row],[FECHA_CAMBIO_PLAN]])</f>
        <v>15</v>
      </c>
      <c r="BX99" s="43" t="str">
        <f>VLOOKUP(CambioPlan[[#This Row],[NOM_PLAZA]],[1]!Locales[#Data],3,0)</f>
        <v>TIENDA RECREO</v>
      </c>
      <c r="BY99" s="43" t="str">
        <f>VLOOKUP(CambioPlan[[#This Row],[DOMAIN_LOGIN_OW]],[1]!Personal[#Data],6,0)</f>
        <v>GUAIGUA REINOSO GENESIS CAROLINA</v>
      </c>
      <c r="BZ99" s="43"/>
      <c r="CA99" s="43" t="str">
        <f>IFERROR(IF(FIND("ADULTO",CambioPlan[[#This Row],[DESCRIPCION_PLAN_ACTUAL]],1),"NO SE PAGA",),"SI SE PAGA")</f>
        <v>SI SE PAGA</v>
      </c>
      <c r="CB99" s="45">
        <f>CambioPlan[[#This Row],[TARIFA_BASICA_ACTUAL]]-CambioPlan[[#This Row],[TARIFA_BASICA_ANTERIOR]]</f>
        <v>9.7900000000000027</v>
      </c>
      <c r="CC99" s="56">
        <f>CambioPlan[[#This Row],[DIF. TARIFAS]]*4</f>
        <v>39.160000000000011</v>
      </c>
      <c r="CD99" s="53" t="str">
        <f>IF(CambioPlan[[#This Row],[C. COMISIÓN TME]]&lt;0,"DOWNSELL",IF(CambioPlan[[#This Row],[C. COMISIÓN TME]]=0,"MISMA TARIFA",IF(CambioPlan[[#This Row],[C. COMISIÓN TME]]&gt;0,"UPSELL")))</f>
        <v>UPSELL</v>
      </c>
      <c r="CE99">
        <f>VLOOKUP(CambioPlan[[#This Row],[TARIFA_BASICA_ANTERIOR]],[3]Hoja1!$F:$G,2,0)</f>
        <v>2</v>
      </c>
      <c r="CF99">
        <f>VLOOKUP(CambioPlan[[#This Row],[TARIFA_BASICA_ACTUAL]],[3]Hoja1!$B:$C,2,0)</f>
        <v>4</v>
      </c>
      <c r="CG99">
        <f t="shared" si="1"/>
        <v>2</v>
      </c>
      <c r="CH99" t="e">
        <f>VLOOKUP(CambioPlan[[#This Row],[TELEFONO]],[1]Retenciones!$R$63:$R$287,1,0)</f>
        <v>#N/A</v>
      </c>
    </row>
    <row r="100" spans="1:86" x14ac:dyDescent="0.25">
      <c r="A100" s="43">
        <v>202212</v>
      </c>
      <c r="B100" s="44">
        <v>44914</v>
      </c>
      <c r="C100" s="43" t="s">
        <v>7395</v>
      </c>
      <c r="D100" s="43" t="s">
        <v>7396</v>
      </c>
      <c r="E100" s="43" t="s">
        <v>95</v>
      </c>
      <c r="F100" s="43" t="s">
        <v>231</v>
      </c>
      <c r="G100" s="43" t="s">
        <v>231</v>
      </c>
      <c r="H100" s="43" t="s">
        <v>67</v>
      </c>
      <c r="I100" s="43" t="s">
        <v>7397</v>
      </c>
      <c r="J100" s="43" t="s">
        <v>7037</v>
      </c>
      <c r="K100" s="43" t="s">
        <v>118</v>
      </c>
      <c r="L100" s="43" t="s">
        <v>359</v>
      </c>
      <c r="M100" s="43" t="s">
        <v>360</v>
      </c>
      <c r="N100" s="43" t="s">
        <v>79</v>
      </c>
      <c r="O100" s="45">
        <v>14.28</v>
      </c>
      <c r="P100" s="43" t="s">
        <v>95</v>
      </c>
      <c r="Q100" s="43" t="s">
        <v>95</v>
      </c>
      <c r="R100" s="43" t="s">
        <v>95</v>
      </c>
      <c r="S100" s="45">
        <v>0</v>
      </c>
      <c r="T100" s="43" t="s">
        <v>95</v>
      </c>
      <c r="U100" s="44" t="s">
        <v>95</v>
      </c>
      <c r="V100" s="44" t="s">
        <v>95</v>
      </c>
      <c r="W100" s="43" t="s">
        <v>95</v>
      </c>
      <c r="X100" s="45">
        <v>14.28</v>
      </c>
      <c r="Y100" s="43" t="s">
        <v>81</v>
      </c>
      <c r="Z100" s="43" t="s">
        <v>7176</v>
      </c>
      <c r="AA100" s="43" t="s">
        <v>7332</v>
      </c>
      <c r="AB100" s="43" t="s">
        <v>79</v>
      </c>
      <c r="AC100" s="45">
        <v>16.989999999999998</v>
      </c>
      <c r="AD100" s="43" t="s">
        <v>95</v>
      </c>
      <c r="AE100" s="43" t="s">
        <v>95</v>
      </c>
      <c r="AF100" s="43" t="s">
        <v>95</v>
      </c>
      <c r="AG100" s="43" t="s">
        <v>95</v>
      </c>
      <c r="AH100" s="45">
        <v>0</v>
      </c>
      <c r="AI100" s="43" t="s">
        <v>95</v>
      </c>
      <c r="AJ100" s="43" t="s">
        <v>95</v>
      </c>
      <c r="AK100" s="43" t="s">
        <v>95</v>
      </c>
      <c r="AL100" s="43" t="s">
        <v>95</v>
      </c>
      <c r="AM100" s="45">
        <v>16.989999999999998</v>
      </c>
      <c r="AN100" s="43" t="s">
        <v>81</v>
      </c>
      <c r="AO100" s="44">
        <v>44903</v>
      </c>
      <c r="AP100" s="43" t="s">
        <v>262</v>
      </c>
      <c r="AQ100" s="43" t="s">
        <v>263</v>
      </c>
      <c r="AR100" s="43" t="s">
        <v>262</v>
      </c>
      <c r="AS100" s="43" t="s">
        <v>263</v>
      </c>
      <c r="AT100" s="43" t="s">
        <v>85</v>
      </c>
      <c r="AU100" s="43" t="s">
        <v>7030</v>
      </c>
      <c r="AV100" s="43" t="s">
        <v>7031</v>
      </c>
      <c r="AW100" s="43" t="s">
        <v>7031</v>
      </c>
      <c r="AX100" s="43" t="s">
        <v>90</v>
      </c>
      <c r="AY100" s="43" t="s">
        <v>132</v>
      </c>
      <c r="AZ100" s="43" t="s">
        <v>7037</v>
      </c>
      <c r="BA100" s="43" t="s">
        <v>139</v>
      </c>
      <c r="BB100" s="45">
        <v>-2.71</v>
      </c>
      <c r="BC100" s="45">
        <v>-2.71</v>
      </c>
      <c r="BD100" s="43" t="s">
        <v>7106</v>
      </c>
      <c r="BE100" s="43" t="s">
        <v>81</v>
      </c>
      <c r="BF100" s="43" t="s">
        <v>81</v>
      </c>
      <c r="BG100" s="43" t="s">
        <v>86</v>
      </c>
      <c r="BH100" s="43" t="s">
        <v>177</v>
      </c>
      <c r="BI100" s="43" t="s">
        <v>7038</v>
      </c>
      <c r="BJ100" s="43" t="s">
        <v>7030</v>
      </c>
      <c r="BK100" s="43" t="s">
        <v>139</v>
      </c>
      <c r="BL100" s="43" t="s">
        <v>85</v>
      </c>
      <c r="BM100" s="43" t="s">
        <v>85</v>
      </c>
      <c r="BN100" s="43" t="s">
        <v>139</v>
      </c>
      <c r="BO100" s="46">
        <v>-2.71</v>
      </c>
      <c r="BP100" s="43" t="s">
        <v>7106</v>
      </c>
      <c r="BQ100" s="43">
        <v>-2.71</v>
      </c>
      <c r="BR100" s="43" t="s">
        <v>7106</v>
      </c>
      <c r="BS100" s="47">
        <v>-2.71</v>
      </c>
      <c r="BT100" s="43" t="s">
        <v>7106</v>
      </c>
      <c r="BU100" s="43" t="s">
        <v>7106</v>
      </c>
      <c r="BV100" s="43" t="str">
        <f>CambioPlan[[#This Row],[TELEFONO]]&amp;"UPSELLSI"</f>
        <v>987189301UPSELLSI</v>
      </c>
      <c r="BW100" s="43">
        <f>DAY(CambioPlan[[#This Row],[FECHA_CAMBIO_PLAN]])</f>
        <v>8</v>
      </c>
      <c r="BX100" s="43" t="str">
        <f>VLOOKUP(CambioPlan[[#This Row],[NOM_PLAZA]],[1]!Locales[#Data],3,0)</f>
        <v>TIENDA RECREO</v>
      </c>
      <c r="BY100" s="43" t="str">
        <f>VLOOKUP(CambioPlan[[#This Row],[DOMAIN_LOGIN_OW]],[1]!Personal[#Data],6,0)</f>
        <v>CHICAIZA TOAPANTA ALEX DANILO</v>
      </c>
      <c r="BZ100" s="43"/>
      <c r="CA100" s="43" t="str">
        <f>IFERROR(IF(FIND("ADULTO",CambioPlan[[#This Row],[DESCRIPCION_PLAN_ACTUAL]],1),"NO SE PAGA",),"SI SE PAGA")</f>
        <v>SI SE PAGA</v>
      </c>
      <c r="CB100" s="45">
        <f>CambioPlan[[#This Row],[TARIFA_BASICA_ACTUAL]]-CambioPlan[[#This Row],[TARIFA_BASICA_ANTERIOR]]</f>
        <v>-2.7099999999999991</v>
      </c>
      <c r="CC100" s="56">
        <f>CambioPlan[[#This Row],[DIF. TARIFAS]]*4</f>
        <v>-10.839999999999996</v>
      </c>
      <c r="CD100" s="53" t="str">
        <f>IF(CambioPlan[[#This Row],[C. COMISIÓN TME]]&lt;0,"DOWNSELL",IF(CambioPlan[[#This Row],[C. COMISIÓN TME]]=0,"MISMA TARIFA",IF(CambioPlan[[#This Row],[C. COMISIÓN TME]]&gt;0,"UPSELL")))</f>
        <v>DOWNSELL</v>
      </c>
      <c r="CE100">
        <f>VLOOKUP(CambioPlan[[#This Row],[TARIFA_BASICA_ANTERIOR]],[3]Hoja1!$F:$G,2,0)</f>
        <v>2</v>
      </c>
      <c r="CF100">
        <f>VLOOKUP(CambioPlan[[#This Row],[TARIFA_BASICA_ACTUAL]],[3]Hoja1!$B:$C,2,0)</f>
        <v>1</v>
      </c>
      <c r="CG100">
        <f t="shared" si="1"/>
        <v>-1</v>
      </c>
      <c r="CH100" t="str">
        <f>VLOOKUP(CambioPlan[[#This Row],[TELEFONO]],[1]Retenciones!$R$63:$R$287,1,0)</f>
        <v>987189301</v>
      </c>
    </row>
    <row r="101" spans="1:86" x14ac:dyDescent="0.25">
      <c r="A101" s="43">
        <v>202212</v>
      </c>
      <c r="B101" s="44">
        <v>44914</v>
      </c>
      <c r="C101" s="43" t="s">
        <v>7398</v>
      </c>
      <c r="D101" s="43" t="s">
        <v>7399</v>
      </c>
      <c r="E101" s="43" t="s">
        <v>95</v>
      </c>
      <c r="F101" s="43" t="s">
        <v>77</v>
      </c>
      <c r="G101" s="43" t="s">
        <v>164</v>
      </c>
      <c r="H101" s="43" t="s">
        <v>67</v>
      </c>
      <c r="I101" s="43" t="s">
        <v>5911</v>
      </c>
      <c r="J101" s="43" t="s">
        <v>7037</v>
      </c>
      <c r="K101" s="43" t="s">
        <v>84</v>
      </c>
      <c r="L101" s="43" t="s">
        <v>71</v>
      </c>
      <c r="M101" s="43" t="s">
        <v>258</v>
      </c>
      <c r="N101" s="43" t="s">
        <v>79</v>
      </c>
      <c r="O101" s="45">
        <v>11.42</v>
      </c>
      <c r="P101" s="43" t="s">
        <v>95</v>
      </c>
      <c r="Q101" s="43" t="s">
        <v>95</v>
      </c>
      <c r="R101" s="43" t="s">
        <v>95</v>
      </c>
      <c r="S101" s="45">
        <v>0</v>
      </c>
      <c r="T101" s="43" t="s">
        <v>95</v>
      </c>
      <c r="U101" s="44" t="s">
        <v>95</v>
      </c>
      <c r="V101" s="44" t="s">
        <v>95</v>
      </c>
      <c r="W101" s="43" t="s">
        <v>95</v>
      </c>
      <c r="X101" s="45">
        <v>11.42</v>
      </c>
      <c r="Y101" s="43" t="s">
        <v>81</v>
      </c>
      <c r="Z101" s="43" t="s">
        <v>130</v>
      </c>
      <c r="AA101" s="43" t="s">
        <v>433</v>
      </c>
      <c r="AB101" s="43" t="s">
        <v>79</v>
      </c>
      <c r="AC101" s="45">
        <v>15</v>
      </c>
      <c r="AD101" s="43" t="s">
        <v>95</v>
      </c>
      <c r="AE101" s="43" t="s">
        <v>95</v>
      </c>
      <c r="AF101" s="43" t="s">
        <v>95</v>
      </c>
      <c r="AG101" s="43" t="s">
        <v>95</v>
      </c>
      <c r="AH101" s="45">
        <v>0</v>
      </c>
      <c r="AI101" s="43" t="s">
        <v>95</v>
      </c>
      <c r="AJ101" s="43" t="s">
        <v>95</v>
      </c>
      <c r="AK101" s="43" t="s">
        <v>95</v>
      </c>
      <c r="AL101" s="43" t="s">
        <v>95</v>
      </c>
      <c r="AM101" s="45">
        <v>15</v>
      </c>
      <c r="AN101" s="43" t="s">
        <v>81</v>
      </c>
      <c r="AO101" s="44">
        <v>44910</v>
      </c>
      <c r="AP101" s="43" t="s">
        <v>478</v>
      </c>
      <c r="AQ101" s="43" t="s">
        <v>479</v>
      </c>
      <c r="AR101" s="43" t="s">
        <v>7400</v>
      </c>
      <c r="AS101" s="43" t="s">
        <v>7401</v>
      </c>
      <c r="AT101" s="43" t="s">
        <v>85</v>
      </c>
      <c r="AU101" s="43" t="s">
        <v>7030</v>
      </c>
      <c r="AV101" s="43" t="s">
        <v>7031</v>
      </c>
      <c r="AW101" s="43" t="s">
        <v>7031</v>
      </c>
      <c r="AX101" s="43" t="s">
        <v>90</v>
      </c>
      <c r="AY101" s="43" t="s">
        <v>132</v>
      </c>
      <c r="AZ101" s="43" t="s">
        <v>7037</v>
      </c>
      <c r="BA101" s="43" t="s">
        <v>139</v>
      </c>
      <c r="BB101" s="45">
        <v>-3.58</v>
      </c>
      <c r="BC101" s="45">
        <v>-3.58</v>
      </c>
      <c r="BD101" s="43" t="s">
        <v>7106</v>
      </c>
      <c r="BE101" s="43" t="s">
        <v>81</v>
      </c>
      <c r="BF101" s="43" t="s">
        <v>81</v>
      </c>
      <c r="BG101" s="43" t="s">
        <v>86</v>
      </c>
      <c r="BH101" s="43" t="s">
        <v>138</v>
      </c>
      <c r="BI101" s="43" t="s">
        <v>7076</v>
      </c>
      <c r="BJ101" s="43" t="s">
        <v>7030</v>
      </c>
      <c r="BK101" s="43" t="s">
        <v>139</v>
      </c>
      <c r="BL101" s="43" t="s">
        <v>85</v>
      </c>
      <c r="BM101" s="43" t="s">
        <v>85</v>
      </c>
      <c r="BN101" s="43" t="s">
        <v>139</v>
      </c>
      <c r="BO101" s="46">
        <v>-3.58</v>
      </c>
      <c r="BP101" s="43" t="s">
        <v>7106</v>
      </c>
      <c r="BQ101" s="43">
        <v>-3.58</v>
      </c>
      <c r="BR101" s="43" t="s">
        <v>7106</v>
      </c>
      <c r="BS101" s="47">
        <v>-3.58</v>
      </c>
      <c r="BT101" s="43" t="s">
        <v>7106</v>
      </c>
      <c r="BU101" s="43" t="s">
        <v>7106</v>
      </c>
      <c r="BV101" s="43" t="str">
        <f>CambioPlan[[#This Row],[TELEFONO]]&amp;"UPSELLSI"</f>
        <v>987198477UPSELLSI</v>
      </c>
      <c r="BW101" s="43">
        <f>DAY(CambioPlan[[#This Row],[FECHA_CAMBIO_PLAN]])</f>
        <v>15</v>
      </c>
      <c r="BX101" s="43" t="str">
        <f>VLOOKUP(CambioPlan[[#This Row],[NOM_PLAZA]],[1]!Locales[#Data],3,0)</f>
        <v>TIENDA AMERICA</v>
      </c>
      <c r="BY101" s="43" t="str">
        <f>VLOOKUP(CambioPlan[[#This Row],[DOMAIN_LOGIN_OW]],[1]!Personal[#Data],6,0)</f>
        <v>REINO TUFINO PAULTEH KATHERINE</v>
      </c>
      <c r="BZ101" s="43"/>
      <c r="CA101" s="43" t="str">
        <f>IFERROR(IF(FIND("ADULTO",CambioPlan[[#This Row],[DESCRIPCION_PLAN_ACTUAL]],1),"NO SE PAGA",),"SI SE PAGA")</f>
        <v>SI SE PAGA</v>
      </c>
      <c r="CB101" s="45">
        <f>CambioPlan[[#This Row],[TARIFA_BASICA_ACTUAL]]-CambioPlan[[#This Row],[TARIFA_BASICA_ANTERIOR]]</f>
        <v>-3.58</v>
      </c>
      <c r="CC101" s="56">
        <f>CambioPlan[[#This Row],[DIF. TARIFAS]]*4</f>
        <v>-14.32</v>
      </c>
      <c r="CD101" s="53" t="str">
        <f>IF(CambioPlan[[#This Row],[C. COMISIÓN TME]]&lt;0,"DOWNSELL",IF(CambioPlan[[#This Row],[C. COMISIÓN TME]]=0,"MISMA TARIFA",IF(CambioPlan[[#This Row],[C. COMISIÓN TME]]&gt;0,"UPSELL")))</f>
        <v>DOWNSELL</v>
      </c>
      <c r="CE101">
        <f>VLOOKUP(CambioPlan[[#This Row],[TARIFA_BASICA_ANTERIOR]],[3]Hoja1!$F:$G,2,0)</f>
        <v>2</v>
      </c>
      <c r="CF101">
        <f>VLOOKUP(CambioPlan[[#This Row],[TARIFA_BASICA_ACTUAL]],[3]Hoja1!$B:$C,2,0)</f>
        <v>0</v>
      </c>
      <c r="CG101">
        <f t="shared" si="1"/>
        <v>-2</v>
      </c>
      <c r="CH101" t="e">
        <f>VLOOKUP(CambioPlan[[#This Row],[TELEFONO]],[1]Retenciones!$R$63:$R$287,1,0)</f>
        <v>#N/A</v>
      </c>
    </row>
    <row r="102" spans="1:86" x14ac:dyDescent="0.25">
      <c r="A102" s="43">
        <v>202212</v>
      </c>
      <c r="B102" s="44">
        <v>44914</v>
      </c>
      <c r="C102" s="43" t="s">
        <v>7402</v>
      </c>
      <c r="D102" s="43" t="s">
        <v>7403</v>
      </c>
      <c r="E102" s="43" t="s">
        <v>95</v>
      </c>
      <c r="F102" s="43" t="s">
        <v>77</v>
      </c>
      <c r="G102" s="43" t="s">
        <v>1532</v>
      </c>
      <c r="H102" s="43" t="s">
        <v>67</v>
      </c>
      <c r="I102" s="43" t="s">
        <v>1186</v>
      </c>
      <c r="J102" s="43" t="s">
        <v>7029</v>
      </c>
      <c r="K102" s="43" t="s">
        <v>84</v>
      </c>
      <c r="L102" s="43" t="s">
        <v>671</v>
      </c>
      <c r="M102" s="43" t="s">
        <v>672</v>
      </c>
      <c r="N102" s="43" t="s">
        <v>79</v>
      </c>
      <c r="O102" s="45">
        <v>15</v>
      </c>
      <c r="P102" s="43" t="s">
        <v>95</v>
      </c>
      <c r="Q102" s="43" t="s">
        <v>95</v>
      </c>
      <c r="R102" s="43" t="s">
        <v>95</v>
      </c>
      <c r="S102" s="45">
        <v>7.5</v>
      </c>
      <c r="T102" s="43" t="s">
        <v>7104</v>
      </c>
      <c r="U102" s="44">
        <v>44910</v>
      </c>
      <c r="V102" s="44" t="s">
        <v>95</v>
      </c>
      <c r="W102" s="43" t="s">
        <v>7105</v>
      </c>
      <c r="X102" s="45">
        <v>7.5</v>
      </c>
      <c r="Y102" s="43" t="s">
        <v>81</v>
      </c>
      <c r="Z102" s="43" t="s">
        <v>7404</v>
      </c>
      <c r="AA102" s="43" t="s">
        <v>7405</v>
      </c>
      <c r="AB102" s="43" t="s">
        <v>79</v>
      </c>
      <c r="AC102" s="45">
        <v>29.99</v>
      </c>
      <c r="AD102" s="43" t="s">
        <v>95</v>
      </c>
      <c r="AE102" s="43" t="s">
        <v>95</v>
      </c>
      <c r="AF102" s="43" t="s">
        <v>95</v>
      </c>
      <c r="AG102" s="43" t="s">
        <v>95</v>
      </c>
      <c r="AH102" s="45">
        <v>0</v>
      </c>
      <c r="AI102" s="43" t="s">
        <v>95</v>
      </c>
      <c r="AJ102" s="43" t="s">
        <v>95</v>
      </c>
      <c r="AK102" s="43" t="s">
        <v>95</v>
      </c>
      <c r="AL102" s="43" t="s">
        <v>95</v>
      </c>
      <c r="AM102" s="45">
        <v>29.99</v>
      </c>
      <c r="AN102" s="43" t="s">
        <v>81</v>
      </c>
      <c r="AO102" s="44">
        <v>44909</v>
      </c>
      <c r="AP102" s="43" t="s">
        <v>242</v>
      </c>
      <c r="AQ102" s="43" t="s">
        <v>243</v>
      </c>
      <c r="AR102" s="43" t="s">
        <v>242</v>
      </c>
      <c r="AS102" s="43" t="s">
        <v>243</v>
      </c>
      <c r="AT102" s="43" t="s">
        <v>85</v>
      </c>
      <c r="AU102" s="43" t="s">
        <v>7030</v>
      </c>
      <c r="AV102" s="43" t="s">
        <v>7031</v>
      </c>
      <c r="AW102" s="43" t="s">
        <v>7031</v>
      </c>
      <c r="AX102" s="43" t="s">
        <v>90</v>
      </c>
      <c r="AY102" s="43" t="s">
        <v>73</v>
      </c>
      <c r="AZ102" s="43" t="s">
        <v>7029</v>
      </c>
      <c r="BA102" s="43" t="s">
        <v>92</v>
      </c>
      <c r="BB102" s="45">
        <v>-14.99</v>
      </c>
      <c r="BC102" s="45">
        <v>-22.49</v>
      </c>
      <c r="BD102" s="43" t="s">
        <v>7106</v>
      </c>
      <c r="BE102" s="43" t="s">
        <v>81</v>
      </c>
      <c r="BF102" s="43" t="s">
        <v>81</v>
      </c>
      <c r="BG102" s="43" t="s">
        <v>86</v>
      </c>
      <c r="BH102" s="43" t="s">
        <v>91</v>
      </c>
      <c r="BI102" s="43" t="s">
        <v>7086</v>
      </c>
      <c r="BJ102" s="43" t="s">
        <v>7030</v>
      </c>
      <c r="BK102" s="43" t="s">
        <v>92</v>
      </c>
      <c r="BL102" s="43" t="s">
        <v>85</v>
      </c>
      <c r="BM102" s="43" t="s">
        <v>85</v>
      </c>
      <c r="BN102" s="43" t="s">
        <v>92</v>
      </c>
      <c r="BO102" s="46">
        <v>-14.99</v>
      </c>
      <c r="BP102" s="43" t="s">
        <v>7106</v>
      </c>
      <c r="BQ102" s="43">
        <v>-14.99</v>
      </c>
      <c r="BR102" s="43" t="s">
        <v>7106</v>
      </c>
      <c r="BS102" s="47">
        <v>-22.49</v>
      </c>
      <c r="BT102" s="43" t="s">
        <v>7106</v>
      </c>
      <c r="BU102" s="43" t="s">
        <v>7106</v>
      </c>
      <c r="BV102" s="43" t="str">
        <f>CambioPlan[[#This Row],[TELEFONO]]&amp;"UPSELLSI"</f>
        <v>987209376UPSELLSI</v>
      </c>
      <c r="BW102" s="43">
        <f>DAY(CambioPlan[[#This Row],[FECHA_CAMBIO_PLAN]])</f>
        <v>14</v>
      </c>
      <c r="BX102" s="43" t="str">
        <f>VLOOKUP(CambioPlan[[#This Row],[NOM_PLAZA]],[1]!Locales[#Data],3,0)</f>
        <v>TIENDA CUENCA CENTRO</v>
      </c>
      <c r="BY102" s="43" t="str">
        <f>VLOOKUP(CambioPlan[[#This Row],[DOMAIN_LOGIN_OW]],[1]!Personal[#Data],6,0)</f>
        <v>VALLEJO DELEG ROMAN NICOLAS</v>
      </c>
      <c r="BZ102" s="43"/>
      <c r="CA102" s="43" t="str">
        <f>IFERROR(IF(FIND("ADULTO",CambioPlan[[#This Row],[DESCRIPCION_PLAN_ACTUAL]],1),"NO SE PAGA",),"SI SE PAGA")</f>
        <v>NO SE PAGA</v>
      </c>
      <c r="CB102" s="45">
        <f>CambioPlan[[#This Row],[TARIFA_BASICA_ACTUAL]]-CambioPlan[[#This Row],[TARIFA_BASICA_ANTERIOR]]</f>
        <v>-14.989999999999998</v>
      </c>
      <c r="CC102" s="56">
        <f>CambioPlan[[#This Row],[DIF. TARIFAS]]*4</f>
        <v>-59.959999999999994</v>
      </c>
      <c r="CD102" s="53" t="str">
        <f>IF(CambioPlan[[#This Row],[C. COMISIÓN TME]]&lt;0,"DOWNSELL",IF(CambioPlan[[#This Row],[C. COMISIÓN TME]]=0,"MISMA TARIFA",IF(CambioPlan[[#This Row],[C. COMISIÓN TME]]&gt;0,"UPSELL")))</f>
        <v>DOWNSELL</v>
      </c>
      <c r="CE102">
        <f>VLOOKUP(CambioPlan[[#This Row],[TARIFA_BASICA_ANTERIOR]],[3]Hoja1!$F:$G,2,0)</f>
        <v>5</v>
      </c>
      <c r="CF102">
        <f>VLOOKUP(CambioPlan[[#This Row],[TARIFA_BASICA_ACTUAL]],[3]Hoja1!$B:$C,2,0)</f>
        <v>2</v>
      </c>
      <c r="CG102">
        <f t="shared" si="1"/>
        <v>-3</v>
      </c>
      <c r="CH102" t="e">
        <f>VLOOKUP(CambioPlan[[#This Row],[TELEFONO]],[1]Retenciones!$R$63:$R$287,1,0)</f>
        <v>#N/A</v>
      </c>
    </row>
    <row r="103" spans="1:86" x14ac:dyDescent="0.25">
      <c r="A103" s="43">
        <v>202212</v>
      </c>
      <c r="B103" s="44">
        <v>44914</v>
      </c>
      <c r="C103" s="43" t="s">
        <v>7406</v>
      </c>
      <c r="D103" s="43" t="s">
        <v>7407</v>
      </c>
      <c r="E103" s="43" t="s">
        <v>95</v>
      </c>
      <c r="F103" s="43" t="s">
        <v>77</v>
      </c>
      <c r="G103" s="43" t="s">
        <v>1532</v>
      </c>
      <c r="H103" s="43" t="s">
        <v>67</v>
      </c>
      <c r="I103" s="43" t="s">
        <v>7408</v>
      </c>
      <c r="J103" s="43" t="s">
        <v>7029</v>
      </c>
      <c r="K103" s="43" t="s">
        <v>118</v>
      </c>
      <c r="L103" s="43" t="s">
        <v>359</v>
      </c>
      <c r="M103" s="43" t="s">
        <v>360</v>
      </c>
      <c r="N103" s="43" t="s">
        <v>79</v>
      </c>
      <c r="O103" s="45">
        <v>14.28</v>
      </c>
      <c r="P103" s="43" t="s">
        <v>95</v>
      </c>
      <c r="Q103" s="43" t="s">
        <v>95</v>
      </c>
      <c r="R103" s="43" t="s">
        <v>95</v>
      </c>
      <c r="S103" s="45">
        <v>0</v>
      </c>
      <c r="T103" s="43" t="s">
        <v>95</v>
      </c>
      <c r="U103" s="44" t="s">
        <v>95</v>
      </c>
      <c r="V103" s="44" t="s">
        <v>95</v>
      </c>
      <c r="W103" s="43" t="s">
        <v>95</v>
      </c>
      <c r="X103" s="45">
        <v>14.28</v>
      </c>
      <c r="Y103" s="43" t="s">
        <v>81</v>
      </c>
      <c r="Z103" s="43" t="s">
        <v>7409</v>
      </c>
      <c r="AA103" s="43" t="s">
        <v>7410</v>
      </c>
      <c r="AB103" s="43" t="s">
        <v>79</v>
      </c>
      <c r="AC103" s="45">
        <v>13.79</v>
      </c>
      <c r="AD103" s="43" t="s">
        <v>95</v>
      </c>
      <c r="AE103" s="43" t="s">
        <v>95</v>
      </c>
      <c r="AF103" s="43" t="s">
        <v>95</v>
      </c>
      <c r="AG103" s="43" t="s">
        <v>95</v>
      </c>
      <c r="AH103" s="45">
        <v>0</v>
      </c>
      <c r="AI103" s="43" t="s">
        <v>95</v>
      </c>
      <c r="AJ103" s="43" t="s">
        <v>95</v>
      </c>
      <c r="AK103" s="43" t="s">
        <v>95</v>
      </c>
      <c r="AL103" s="43" t="s">
        <v>95</v>
      </c>
      <c r="AM103" s="45">
        <v>13.79</v>
      </c>
      <c r="AN103" s="43" t="s">
        <v>81</v>
      </c>
      <c r="AO103" s="44">
        <v>44897</v>
      </c>
      <c r="AP103" s="43" t="s">
        <v>880</v>
      </c>
      <c r="AQ103" s="43" t="s">
        <v>881</v>
      </c>
      <c r="AR103" s="43" t="s">
        <v>880</v>
      </c>
      <c r="AS103" s="43" t="s">
        <v>881</v>
      </c>
      <c r="AT103" s="43" t="s">
        <v>85</v>
      </c>
      <c r="AU103" s="43" t="s">
        <v>7030</v>
      </c>
      <c r="AV103" s="43" t="s">
        <v>7031</v>
      </c>
      <c r="AW103" s="43" t="s">
        <v>7031</v>
      </c>
      <c r="AX103" s="43" t="s">
        <v>90</v>
      </c>
      <c r="AY103" s="43" t="s">
        <v>73</v>
      </c>
      <c r="AZ103" s="43" t="s">
        <v>7029</v>
      </c>
      <c r="BA103" s="43" t="s">
        <v>92</v>
      </c>
      <c r="BB103" s="45">
        <v>0.49</v>
      </c>
      <c r="BC103" s="45">
        <v>0.49</v>
      </c>
      <c r="BD103" s="43" t="s">
        <v>7032</v>
      </c>
      <c r="BE103" s="43" t="s">
        <v>81</v>
      </c>
      <c r="BF103" s="43" t="s">
        <v>81</v>
      </c>
      <c r="BG103" s="43" t="s">
        <v>86</v>
      </c>
      <c r="BH103" s="43" t="s">
        <v>91</v>
      </c>
      <c r="BI103" s="43" t="s">
        <v>7086</v>
      </c>
      <c r="BJ103" s="43" t="s">
        <v>7030</v>
      </c>
      <c r="BK103" s="43" t="s">
        <v>92</v>
      </c>
      <c r="BL103" s="43" t="s">
        <v>85</v>
      </c>
      <c r="BM103" s="43" t="s">
        <v>85</v>
      </c>
      <c r="BN103" s="43" t="s">
        <v>92</v>
      </c>
      <c r="BO103" s="46">
        <v>0.49</v>
      </c>
      <c r="BP103" s="43" t="s">
        <v>7032</v>
      </c>
      <c r="BQ103" s="43">
        <v>0.49</v>
      </c>
      <c r="BR103" s="43" t="s">
        <v>7032</v>
      </c>
      <c r="BS103" s="47">
        <v>0.49</v>
      </c>
      <c r="BT103" s="43" t="s">
        <v>7032</v>
      </c>
      <c r="BU103" s="43" t="s">
        <v>7092</v>
      </c>
      <c r="BV103" s="43" t="str">
        <f>CambioPlan[[#This Row],[TELEFONO]]&amp;"UPSELLSI"</f>
        <v>987302744UPSELLSI</v>
      </c>
      <c r="BW103" s="43">
        <f>DAY(CambioPlan[[#This Row],[FECHA_CAMBIO_PLAN]])</f>
        <v>2</v>
      </c>
      <c r="BX103" s="43" t="str">
        <f>VLOOKUP(CambioPlan[[#This Row],[NOM_PLAZA]],[1]!Locales[#Data],3,0)</f>
        <v>TIENDA CUENCA CENTRO</v>
      </c>
      <c r="BY103" s="43" t="str">
        <f>VLOOKUP(CambioPlan[[#This Row],[DOMAIN_LOGIN_OW]],[1]!Personal[#Data],6,0)</f>
        <v>LUNA JACHO ANDREA GABRIELA</v>
      </c>
      <c r="BZ103" s="43"/>
      <c r="CA103" s="43" t="str">
        <f>IFERROR(IF(FIND("ADULTO",CambioPlan[[#This Row],[DESCRIPCION_PLAN_ACTUAL]],1),"NO SE PAGA",),"SI SE PAGA")</f>
        <v>SI SE PAGA</v>
      </c>
      <c r="CB103" s="45">
        <f>CambioPlan[[#This Row],[TARIFA_BASICA_ACTUAL]]-CambioPlan[[#This Row],[TARIFA_BASICA_ANTERIOR]]</f>
        <v>0.49000000000000021</v>
      </c>
      <c r="CC103" s="56">
        <f>CambioPlan[[#This Row],[DIF. TARIFAS]]*4</f>
        <v>1.9600000000000009</v>
      </c>
      <c r="CD103" s="53" t="str">
        <f>IF(CambioPlan[[#This Row],[C. COMISIÓN TME]]&lt;0,"DOWNSELL",IF(CambioPlan[[#This Row],[C. COMISIÓN TME]]=0,"MISMA TARIFA",IF(CambioPlan[[#This Row],[C. COMISIÓN TME]]&gt;0,"UPSELL")))</f>
        <v>UPSELL</v>
      </c>
      <c r="CE103">
        <f>VLOOKUP(CambioPlan[[#This Row],[TARIFA_BASICA_ANTERIOR]],[3]Hoja1!$F:$G,2,0)</f>
        <v>1</v>
      </c>
      <c r="CF103">
        <f>VLOOKUP(CambioPlan[[#This Row],[TARIFA_BASICA_ACTUAL]],[3]Hoja1!$B:$C,2,0)</f>
        <v>1</v>
      </c>
      <c r="CG103">
        <f t="shared" si="1"/>
        <v>0</v>
      </c>
      <c r="CH103" t="e">
        <f>VLOOKUP(CambioPlan[[#This Row],[TELEFONO]],[1]Retenciones!$R$63:$R$287,1,0)</f>
        <v>#N/A</v>
      </c>
    </row>
    <row r="104" spans="1:86" x14ac:dyDescent="0.25">
      <c r="A104" s="43">
        <v>202212</v>
      </c>
      <c r="B104" s="44">
        <v>44914</v>
      </c>
      <c r="C104" s="43" t="s">
        <v>7411</v>
      </c>
      <c r="D104" s="43" t="s">
        <v>7412</v>
      </c>
      <c r="E104" s="43" t="s">
        <v>95</v>
      </c>
      <c r="F104" s="43" t="s">
        <v>231</v>
      </c>
      <c r="G104" s="43" t="s">
        <v>1378</v>
      </c>
      <c r="H104" s="43" t="s">
        <v>67</v>
      </c>
      <c r="I104" s="43" t="s">
        <v>7413</v>
      </c>
      <c r="J104" s="43" t="s">
        <v>7414</v>
      </c>
      <c r="K104" s="43" t="s">
        <v>84</v>
      </c>
      <c r="L104" s="43" t="s">
        <v>4157</v>
      </c>
      <c r="M104" s="43" t="s">
        <v>7138</v>
      </c>
      <c r="N104" s="43" t="s">
        <v>79</v>
      </c>
      <c r="O104" s="45">
        <v>32.130000000000003</v>
      </c>
      <c r="P104" s="43" t="s">
        <v>95</v>
      </c>
      <c r="Q104" s="43" t="s">
        <v>95</v>
      </c>
      <c r="R104" s="43" t="s">
        <v>95</v>
      </c>
      <c r="S104" s="45">
        <v>0</v>
      </c>
      <c r="T104" s="43" t="s">
        <v>95</v>
      </c>
      <c r="U104" s="44" t="s">
        <v>95</v>
      </c>
      <c r="V104" s="44" t="s">
        <v>95</v>
      </c>
      <c r="W104" s="43" t="s">
        <v>95</v>
      </c>
      <c r="X104" s="45">
        <v>32.130000000000003</v>
      </c>
      <c r="Y104" s="43" t="s">
        <v>81</v>
      </c>
      <c r="Z104" s="43" t="s">
        <v>606</v>
      </c>
      <c r="AA104" s="43" t="s">
        <v>1672</v>
      </c>
      <c r="AB104" s="43" t="s">
        <v>79</v>
      </c>
      <c r="AC104" s="45">
        <v>26.78</v>
      </c>
      <c r="AD104" s="43" t="s">
        <v>95</v>
      </c>
      <c r="AE104" s="43" t="s">
        <v>95</v>
      </c>
      <c r="AF104" s="43" t="s">
        <v>95</v>
      </c>
      <c r="AG104" s="43" t="s">
        <v>95</v>
      </c>
      <c r="AH104" s="45">
        <v>0</v>
      </c>
      <c r="AI104" s="43" t="s">
        <v>95</v>
      </c>
      <c r="AJ104" s="43" t="s">
        <v>95</v>
      </c>
      <c r="AK104" s="43" t="s">
        <v>95</v>
      </c>
      <c r="AL104" s="43" t="s">
        <v>95</v>
      </c>
      <c r="AM104" s="45">
        <v>26.78</v>
      </c>
      <c r="AN104" s="43" t="s">
        <v>81</v>
      </c>
      <c r="AO104" s="44">
        <v>44909</v>
      </c>
      <c r="AP104" s="43" t="s">
        <v>880</v>
      </c>
      <c r="AQ104" s="43" t="s">
        <v>881</v>
      </c>
      <c r="AR104" s="43" t="s">
        <v>880</v>
      </c>
      <c r="AS104" s="43" t="s">
        <v>881</v>
      </c>
      <c r="AT104" s="43" t="s">
        <v>85</v>
      </c>
      <c r="AU104" s="43" t="s">
        <v>7030</v>
      </c>
      <c r="AV104" s="43" t="s">
        <v>7031</v>
      </c>
      <c r="AW104" s="43" t="s">
        <v>7031</v>
      </c>
      <c r="AX104" s="43" t="s">
        <v>90</v>
      </c>
      <c r="AY104" s="43" t="s">
        <v>73</v>
      </c>
      <c r="AZ104" s="43" t="s">
        <v>7029</v>
      </c>
      <c r="BA104" s="43" t="s">
        <v>92</v>
      </c>
      <c r="BB104" s="45">
        <v>5.35</v>
      </c>
      <c r="BC104" s="45">
        <v>5.35</v>
      </c>
      <c r="BD104" s="43" t="s">
        <v>7032</v>
      </c>
      <c r="BE104" s="43" t="s">
        <v>81</v>
      </c>
      <c r="BF104" s="43" t="s">
        <v>81</v>
      </c>
      <c r="BG104" s="43" t="s">
        <v>86</v>
      </c>
      <c r="BH104" s="43" t="s">
        <v>91</v>
      </c>
      <c r="BI104" s="43" t="s">
        <v>7086</v>
      </c>
      <c r="BJ104" s="43" t="s">
        <v>7030</v>
      </c>
      <c r="BK104" s="43" t="s">
        <v>92</v>
      </c>
      <c r="BL104" s="43" t="s">
        <v>85</v>
      </c>
      <c r="BM104" s="43" t="s">
        <v>85</v>
      </c>
      <c r="BN104" s="43" t="s">
        <v>92</v>
      </c>
      <c r="BO104" s="46">
        <v>5.35</v>
      </c>
      <c r="BP104" s="43" t="s">
        <v>7032</v>
      </c>
      <c r="BQ104" s="43">
        <v>5.35</v>
      </c>
      <c r="BR104" s="43" t="s">
        <v>7032</v>
      </c>
      <c r="BS104" s="47">
        <v>5.35</v>
      </c>
      <c r="BT104" s="43" t="s">
        <v>7032</v>
      </c>
      <c r="BU104" s="43" t="s">
        <v>7032</v>
      </c>
      <c r="BV104" s="43" t="str">
        <f>CambioPlan[[#This Row],[TELEFONO]]&amp;"UPSELLSI"</f>
        <v>987314242UPSELLSI</v>
      </c>
      <c r="BW104" s="43">
        <f>DAY(CambioPlan[[#This Row],[FECHA_CAMBIO_PLAN]])</f>
        <v>14</v>
      </c>
      <c r="BX104" s="43" t="str">
        <f>VLOOKUP(CambioPlan[[#This Row],[NOM_PLAZA]],[1]!Locales[#Data],3,0)</f>
        <v>TIENDA CUENCA CENTRO</v>
      </c>
      <c r="BY104" s="43" t="str">
        <f>VLOOKUP(CambioPlan[[#This Row],[DOMAIN_LOGIN_OW]],[1]!Personal[#Data],6,0)</f>
        <v>LUNA JACHO ANDREA GABRIELA</v>
      </c>
      <c r="BZ104" s="43"/>
      <c r="CA104" s="43" t="str">
        <f>IFERROR(IF(FIND("ADULTO",CambioPlan[[#This Row],[DESCRIPCION_PLAN_ACTUAL]],1),"NO SE PAGA",),"SI SE PAGA")</f>
        <v>SI SE PAGA</v>
      </c>
      <c r="CB104" s="45">
        <f>CambioPlan[[#This Row],[TARIFA_BASICA_ACTUAL]]-CambioPlan[[#This Row],[TARIFA_BASICA_ANTERIOR]]</f>
        <v>5.3500000000000014</v>
      </c>
      <c r="CC104" s="56">
        <f>CambioPlan[[#This Row],[DIF. TARIFAS]]*4</f>
        <v>21.400000000000006</v>
      </c>
      <c r="CD104" s="53" t="str">
        <f>IF(CambioPlan[[#This Row],[C. COMISIÓN TME]]&lt;0,"DOWNSELL",IF(CambioPlan[[#This Row],[C. COMISIÓN TME]]=0,"MISMA TARIFA",IF(CambioPlan[[#This Row],[C. COMISIÓN TME]]&gt;0,"UPSELL")))</f>
        <v>UPSELL</v>
      </c>
      <c r="CE104">
        <f>VLOOKUP(CambioPlan[[#This Row],[TARIFA_BASICA_ANTERIOR]],[3]Hoja1!$F:$G,2,0)</f>
        <v>4</v>
      </c>
      <c r="CF104">
        <f>VLOOKUP(CambioPlan[[#This Row],[TARIFA_BASICA_ACTUAL]],[3]Hoja1!$B:$C,2,0)</f>
        <v>5</v>
      </c>
      <c r="CG104">
        <f t="shared" si="1"/>
        <v>1</v>
      </c>
      <c r="CH104" t="e">
        <f>VLOOKUP(CambioPlan[[#This Row],[TELEFONO]],[1]Retenciones!$R$63:$R$287,1,0)</f>
        <v>#N/A</v>
      </c>
    </row>
    <row r="105" spans="1:86" x14ac:dyDescent="0.25">
      <c r="A105" s="43">
        <v>202212</v>
      </c>
      <c r="B105" s="44">
        <v>44914</v>
      </c>
      <c r="C105" s="43" t="s">
        <v>7415</v>
      </c>
      <c r="D105" s="43" t="s">
        <v>7416</v>
      </c>
      <c r="E105" s="43" t="s">
        <v>95</v>
      </c>
      <c r="F105" s="43" t="s">
        <v>77</v>
      </c>
      <c r="G105" s="43" t="s">
        <v>164</v>
      </c>
      <c r="H105" s="43" t="s">
        <v>246</v>
      </c>
      <c r="I105" s="43" t="s">
        <v>7417</v>
      </c>
      <c r="J105" s="43" t="s">
        <v>7037</v>
      </c>
      <c r="K105" s="43" t="s">
        <v>118</v>
      </c>
      <c r="L105" s="43" t="s">
        <v>194</v>
      </c>
      <c r="M105" s="43" t="s">
        <v>268</v>
      </c>
      <c r="N105" s="43" t="s">
        <v>79</v>
      </c>
      <c r="O105" s="45">
        <v>14.28</v>
      </c>
      <c r="P105" s="43" t="s">
        <v>95</v>
      </c>
      <c r="Q105" s="43" t="s">
        <v>95</v>
      </c>
      <c r="R105" s="43" t="s">
        <v>95</v>
      </c>
      <c r="S105" s="45">
        <v>0</v>
      </c>
      <c r="T105" s="43" t="s">
        <v>95</v>
      </c>
      <c r="U105" s="44" t="s">
        <v>95</v>
      </c>
      <c r="V105" s="44" t="s">
        <v>95</v>
      </c>
      <c r="W105" s="43" t="s">
        <v>95</v>
      </c>
      <c r="X105" s="45">
        <v>14.28</v>
      </c>
      <c r="Y105" s="43" t="s">
        <v>81</v>
      </c>
      <c r="Z105" s="43" t="s">
        <v>160</v>
      </c>
      <c r="AA105" s="43" t="s">
        <v>161</v>
      </c>
      <c r="AB105" s="43" t="s">
        <v>79</v>
      </c>
      <c r="AC105" s="45">
        <v>14.28</v>
      </c>
      <c r="AD105" s="43" t="s">
        <v>95</v>
      </c>
      <c r="AE105" s="43" t="s">
        <v>95</v>
      </c>
      <c r="AF105" s="43" t="s">
        <v>95</v>
      </c>
      <c r="AG105" s="43" t="s">
        <v>95</v>
      </c>
      <c r="AH105" s="45">
        <v>0</v>
      </c>
      <c r="AI105" s="43" t="s">
        <v>95</v>
      </c>
      <c r="AJ105" s="43" t="s">
        <v>95</v>
      </c>
      <c r="AK105" s="43" t="s">
        <v>95</v>
      </c>
      <c r="AL105" s="43" t="s">
        <v>95</v>
      </c>
      <c r="AM105" s="45">
        <v>14.28</v>
      </c>
      <c r="AN105" s="43" t="s">
        <v>81</v>
      </c>
      <c r="AO105" s="44">
        <v>44905</v>
      </c>
      <c r="AP105" s="43" t="s">
        <v>136</v>
      </c>
      <c r="AQ105" s="43" t="s">
        <v>137</v>
      </c>
      <c r="AR105" s="43" t="s">
        <v>136</v>
      </c>
      <c r="AS105" s="43" t="s">
        <v>137</v>
      </c>
      <c r="AT105" s="43" t="s">
        <v>85</v>
      </c>
      <c r="AU105" s="43" t="s">
        <v>7030</v>
      </c>
      <c r="AV105" s="43" t="s">
        <v>7031</v>
      </c>
      <c r="AW105" s="43" t="s">
        <v>7031</v>
      </c>
      <c r="AX105" s="43" t="s">
        <v>90</v>
      </c>
      <c r="AY105" s="43" t="s">
        <v>132</v>
      </c>
      <c r="AZ105" s="43" t="s">
        <v>7037</v>
      </c>
      <c r="BA105" s="43" t="s">
        <v>139</v>
      </c>
      <c r="BB105" s="45">
        <v>0</v>
      </c>
      <c r="BC105" s="45">
        <v>0</v>
      </c>
      <c r="BD105" s="43" t="s">
        <v>7042</v>
      </c>
      <c r="BE105" s="43" t="s">
        <v>81</v>
      </c>
      <c r="BF105" s="43" t="s">
        <v>81</v>
      </c>
      <c r="BG105" s="43" t="s">
        <v>86</v>
      </c>
      <c r="BH105" s="43" t="s">
        <v>138</v>
      </c>
      <c r="BI105" s="43" t="s">
        <v>7076</v>
      </c>
      <c r="BJ105" s="43" t="s">
        <v>7030</v>
      </c>
      <c r="BK105" s="43" t="s">
        <v>139</v>
      </c>
      <c r="BL105" s="43" t="s">
        <v>85</v>
      </c>
      <c r="BM105" s="43" t="s">
        <v>85</v>
      </c>
      <c r="BN105" s="43" t="s">
        <v>139</v>
      </c>
      <c r="BO105" s="46">
        <v>0</v>
      </c>
      <c r="BP105" s="43" t="s">
        <v>7042</v>
      </c>
      <c r="BQ105" s="43">
        <v>0</v>
      </c>
      <c r="BR105" s="43" t="s">
        <v>7042</v>
      </c>
      <c r="BS105" s="47">
        <v>0</v>
      </c>
      <c r="BT105" s="43" t="s">
        <v>7042</v>
      </c>
      <c r="BU105" s="43" t="s">
        <v>7042</v>
      </c>
      <c r="BV105" s="43" t="str">
        <f>CambioPlan[[#This Row],[TELEFONO]]&amp;"UPSELLSI"</f>
        <v>987361730UPSELLSI</v>
      </c>
      <c r="BW105" s="43">
        <f>DAY(CambioPlan[[#This Row],[FECHA_CAMBIO_PLAN]])</f>
        <v>10</v>
      </c>
      <c r="BX105" s="43" t="str">
        <f>VLOOKUP(CambioPlan[[#This Row],[NOM_PLAZA]],[1]!Locales[#Data],3,0)</f>
        <v>TIENDA AMERICA</v>
      </c>
      <c r="BY105" s="43" t="str">
        <f>VLOOKUP(CambioPlan[[#This Row],[DOMAIN_LOGIN_OW]],[1]!Personal[#Data],6,0)</f>
        <v>SALVATIERRA GUERRA JULIAN ENRIQUE</v>
      </c>
      <c r="BZ105" s="43"/>
      <c r="CA105" s="43" t="str">
        <f>IFERROR(IF(FIND("ADULTO",CambioPlan[[#This Row],[DESCRIPCION_PLAN_ACTUAL]],1),"NO SE PAGA",),"SI SE PAGA")</f>
        <v>SI SE PAGA</v>
      </c>
      <c r="CB105" s="45">
        <f>CambioPlan[[#This Row],[TARIFA_BASICA_ACTUAL]]-CambioPlan[[#This Row],[TARIFA_BASICA_ANTERIOR]]</f>
        <v>0</v>
      </c>
      <c r="CC105" s="56">
        <f>CambioPlan[[#This Row],[DIF. TARIFAS]]*4</f>
        <v>0</v>
      </c>
      <c r="CD105" s="53" t="str">
        <f>IF(CambioPlan[[#This Row],[C. COMISIÓN TME]]&lt;0,"DOWNSELL",IF(CambioPlan[[#This Row],[C. COMISIÓN TME]]=0,"MISMA TARIFA",IF(CambioPlan[[#This Row],[C. COMISIÓN TME]]&gt;0,"UPSELL")))</f>
        <v>MISMA TARIFA</v>
      </c>
      <c r="CE105">
        <f>VLOOKUP(CambioPlan[[#This Row],[TARIFA_BASICA_ANTERIOR]],[3]Hoja1!$F:$G,2,0)</f>
        <v>1</v>
      </c>
      <c r="CF105">
        <f>VLOOKUP(CambioPlan[[#This Row],[TARIFA_BASICA_ACTUAL]],[3]Hoja1!$B:$C,2,0)</f>
        <v>1</v>
      </c>
      <c r="CG105">
        <f t="shared" si="1"/>
        <v>0</v>
      </c>
      <c r="CH105" t="e">
        <f>VLOOKUP(CambioPlan[[#This Row],[TELEFONO]],[1]Retenciones!$R$63:$R$287,1,0)</f>
        <v>#N/A</v>
      </c>
    </row>
    <row r="106" spans="1:86" x14ac:dyDescent="0.25">
      <c r="A106" s="43">
        <v>202212</v>
      </c>
      <c r="B106" s="44">
        <v>44914</v>
      </c>
      <c r="C106" s="43" t="s">
        <v>7418</v>
      </c>
      <c r="D106" s="43" t="s">
        <v>7419</v>
      </c>
      <c r="E106" s="43" t="s">
        <v>95</v>
      </c>
      <c r="F106" s="43" t="s">
        <v>77</v>
      </c>
      <c r="G106" s="43" t="s">
        <v>2241</v>
      </c>
      <c r="H106" s="43" t="s">
        <v>67</v>
      </c>
      <c r="I106" s="43" t="s">
        <v>7420</v>
      </c>
      <c r="J106" s="43" t="s">
        <v>7037</v>
      </c>
      <c r="K106" s="43" t="s">
        <v>84</v>
      </c>
      <c r="L106" s="43" t="s">
        <v>160</v>
      </c>
      <c r="M106" s="43" t="s">
        <v>161</v>
      </c>
      <c r="N106" s="43" t="s">
        <v>79</v>
      </c>
      <c r="O106" s="45">
        <v>14.28</v>
      </c>
      <c r="P106" s="43" t="s">
        <v>95</v>
      </c>
      <c r="Q106" s="43" t="s">
        <v>95</v>
      </c>
      <c r="R106" s="43" t="s">
        <v>95</v>
      </c>
      <c r="S106" s="45">
        <v>0</v>
      </c>
      <c r="T106" s="43" t="s">
        <v>95</v>
      </c>
      <c r="U106" s="44" t="s">
        <v>95</v>
      </c>
      <c r="V106" s="44" t="s">
        <v>95</v>
      </c>
      <c r="W106" s="43" t="s">
        <v>95</v>
      </c>
      <c r="X106" s="45">
        <v>14.28</v>
      </c>
      <c r="Y106" s="43" t="s">
        <v>81</v>
      </c>
      <c r="Z106" s="43" t="s">
        <v>7074</v>
      </c>
      <c r="AA106" s="43" t="s">
        <v>7075</v>
      </c>
      <c r="AB106" s="43" t="s">
        <v>79</v>
      </c>
      <c r="AC106" s="45">
        <v>12.99</v>
      </c>
      <c r="AD106" s="43" t="s">
        <v>95</v>
      </c>
      <c r="AE106" s="43" t="s">
        <v>95</v>
      </c>
      <c r="AF106" s="43" t="s">
        <v>95</v>
      </c>
      <c r="AG106" s="43" t="s">
        <v>95</v>
      </c>
      <c r="AH106" s="45">
        <v>0</v>
      </c>
      <c r="AI106" s="43" t="s">
        <v>95</v>
      </c>
      <c r="AJ106" s="43" t="s">
        <v>95</v>
      </c>
      <c r="AK106" s="43" t="s">
        <v>95</v>
      </c>
      <c r="AL106" s="43" t="s">
        <v>95</v>
      </c>
      <c r="AM106" s="45">
        <v>12.99</v>
      </c>
      <c r="AN106" s="43" t="s">
        <v>81</v>
      </c>
      <c r="AO106" s="44">
        <v>44913</v>
      </c>
      <c r="AP106" s="43" t="s">
        <v>199</v>
      </c>
      <c r="AQ106" s="43" t="s">
        <v>200</v>
      </c>
      <c r="AR106" s="43" t="s">
        <v>199</v>
      </c>
      <c r="AS106" s="43" t="s">
        <v>200</v>
      </c>
      <c r="AT106" s="43" t="s">
        <v>85</v>
      </c>
      <c r="AU106" s="43" t="s">
        <v>7030</v>
      </c>
      <c r="AV106" s="43" t="s">
        <v>7031</v>
      </c>
      <c r="AW106" s="43" t="s">
        <v>7031</v>
      </c>
      <c r="AX106" s="43" t="s">
        <v>90</v>
      </c>
      <c r="AY106" s="43" t="s">
        <v>132</v>
      </c>
      <c r="AZ106" s="43" t="s">
        <v>7037</v>
      </c>
      <c r="BA106" s="43" t="s">
        <v>139</v>
      </c>
      <c r="BB106" s="45">
        <v>1.29</v>
      </c>
      <c r="BC106" s="45">
        <v>1.29</v>
      </c>
      <c r="BD106" s="43" t="s">
        <v>7032</v>
      </c>
      <c r="BE106" s="43" t="s">
        <v>81</v>
      </c>
      <c r="BF106" s="43" t="s">
        <v>81</v>
      </c>
      <c r="BG106" s="43" t="s">
        <v>86</v>
      </c>
      <c r="BH106" s="43" t="s">
        <v>177</v>
      </c>
      <c r="BI106" s="43" t="s">
        <v>7038</v>
      </c>
      <c r="BJ106" s="43" t="s">
        <v>7030</v>
      </c>
      <c r="BK106" s="43" t="s">
        <v>139</v>
      </c>
      <c r="BL106" s="43" t="s">
        <v>85</v>
      </c>
      <c r="BM106" s="43" t="s">
        <v>85</v>
      </c>
      <c r="BN106" s="43" t="s">
        <v>139</v>
      </c>
      <c r="BO106" s="46">
        <v>1.29</v>
      </c>
      <c r="BP106" s="43" t="s">
        <v>7032</v>
      </c>
      <c r="BQ106" s="43">
        <v>1.29</v>
      </c>
      <c r="BR106" s="43" t="s">
        <v>7032</v>
      </c>
      <c r="BS106" s="47">
        <v>1.29</v>
      </c>
      <c r="BT106" s="43" t="s">
        <v>7032</v>
      </c>
      <c r="BU106" s="43" t="s">
        <v>7032</v>
      </c>
      <c r="BV106" s="43" t="str">
        <f>CambioPlan[[#This Row],[TELEFONO]]&amp;"UPSELLSI"</f>
        <v>987411170UPSELLSI</v>
      </c>
      <c r="BW106" s="43">
        <f>DAY(CambioPlan[[#This Row],[FECHA_CAMBIO_PLAN]])</f>
        <v>18</v>
      </c>
      <c r="BX106" s="43" t="str">
        <f>VLOOKUP(CambioPlan[[#This Row],[NOM_PLAZA]],[1]!Locales[#Data],3,0)</f>
        <v>TIENDA RECREO</v>
      </c>
      <c r="BY106" s="43" t="str">
        <f>VLOOKUP(CambioPlan[[#This Row],[DOMAIN_LOGIN_OW]],[1]!Personal[#Data],6,0)</f>
        <v>MEDINA LAPO DAYANNA CAROLINA</v>
      </c>
      <c r="BZ106" s="43"/>
      <c r="CA106" s="43" t="str">
        <f>IFERROR(IF(FIND("ADULTO",CambioPlan[[#This Row],[DESCRIPCION_PLAN_ACTUAL]],1),"NO SE PAGA",),"SI SE PAGA")</f>
        <v>SI SE PAGA</v>
      </c>
      <c r="CB106" s="45">
        <f>CambioPlan[[#This Row],[TARIFA_BASICA_ACTUAL]]-CambioPlan[[#This Row],[TARIFA_BASICA_ANTERIOR]]</f>
        <v>1.2899999999999991</v>
      </c>
      <c r="CC106" s="56">
        <f>CambioPlan[[#This Row],[DIF. TARIFAS]]*4</f>
        <v>5.1599999999999966</v>
      </c>
      <c r="CD106" s="53" t="str">
        <f>IF(CambioPlan[[#This Row],[C. COMISIÓN TME]]&lt;0,"DOWNSELL",IF(CambioPlan[[#This Row],[C. COMISIÓN TME]]=0,"MISMA TARIFA",IF(CambioPlan[[#This Row],[C. COMISIÓN TME]]&gt;0,"UPSELL")))</f>
        <v>UPSELL</v>
      </c>
      <c r="CE106">
        <f>VLOOKUP(CambioPlan[[#This Row],[TARIFA_BASICA_ANTERIOR]],[3]Hoja1!$F:$G,2,0)</f>
        <v>1</v>
      </c>
      <c r="CF106">
        <f>VLOOKUP(CambioPlan[[#This Row],[TARIFA_BASICA_ACTUAL]],[3]Hoja1!$B:$C,2,0)</f>
        <v>1</v>
      </c>
      <c r="CG106">
        <f t="shared" si="1"/>
        <v>0</v>
      </c>
      <c r="CH106" t="e">
        <f>VLOOKUP(CambioPlan[[#This Row],[TELEFONO]],[1]Retenciones!$R$63:$R$287,1,0)</f>
        <v>#N/A</v>
      </c>
    </row>
    <row r="107" spans="1:86" x14ac:dyDescent="0.25">
      <c r="A107" s="43">
        <v>202212</v>
      </c>
      <c r="B107" s="44">
        <v>44914</v>
      </c>
      <c r="C107" s="43" t="s">
        <v>7421</v>
      </c>
      <c r="D107" s="43" t="s">
        <v>7422</v>
      </c>
      <c r="E107" s="43" t="s">
        <v>95</v>
      </c>
      <c r="F107" s="43" t="s">
        <v>77</v>
      </c>
      <c r="G107" s="43" t="s">
        <v>2241</v>
      </c>
      <c r="H107" s="43" t="s">
        <v>67</v>
      </c>
      <c r="I107" s="43" t="s">
        <v>7423</v>
      </c>
      <c r="J107" s="43" t="s">
        <v>7029</v>
      </c>
      <c r="K107" s="43" t="s">
        <v>215</v>
      </c>
      <c r="L107" s="43" t="s">
        <v>112</v>
      </c>
      <c r="M107" s="43" t="s">
        <v>781</v>
      </c>
      <c r="N107" s="43" t="s">
        <v>79</v>
      </c>
      <c r="O107" s="45">
        <v>17.850000000000001</v>
      </c>
      <c r="P107" s="43" t="s">
        <v>95</v>
      </c>
      <c r="Q107" s="43" t="s">
        <v>95</v>
      </c>
      <c r="R107" s="43" t="s">
        <v>95</v>
      </c>
      <c r="S107" s="45">
        <v>0</v>
      </c>
      <c r="T107" s="43" t="s">
        <v>95</v>
      </c>
      <c r="U107" s="44" t="s">
        <v>95</v>
      </c>
      <c r="V107" s="44" t="s">
        <v>95</v>
      </c>
      <c r="W107" s="43" t="s">
        <v>95</v>
      </c>
      <c r="X107" s="45">
        <v>17.850000000000001</v>
      </c>
      <c r="Y107" s="43" t="s">
        <v>81</v>
      </c>
      <c r="Z107" s="43" t="s">
        <v>7127</v>
      </c>
      <c r="AA107" s="43" t="s">
        <v>7128</v>
      </c>
      <c r="AB107" s="43" t="s">
        <v>79</v>
      </c>
      <c r="AC107" s="45">
        <v>13.79</v>
      </c>
      <c r="AD107" s="43" t="s">
        <v>95</v>
      </c>
      <c r="AE107" s="43" t="s">
        <v>95</v>
      </c>
      <c r="AF107" s="43" t="s">
        <v>95</v>
      </c>
      <c r="AG107" s="43" t="s">
        <v>95</v>
      </c>
      <c r="AH107" s="45">
        <v>0</v>
      </c>
      <c r="AI107" s="43" t="s">
        <v>95</v>
      </c>
      <c r="AJ107" s="43" t="s">
        <v>95</v>
      </c>
      <c r="AK107" s="43" t="s">
        <v>95</v>
      </c>
      <c r="AL107" s="43" t="s">
        <v>95</v>
      </c>
      <c r="AM107" s="45">
        <v>13.79</v>
      </c>
      <c r="AN107" s="43" t="s">
        <v>81</v>
      </c>
      <c r="AO107" s="44">
        <v>44896</v>
      </c>
      <c r="AP107" s="43" t="s">
        <v>610</v>
      </c>
      <c r="AQ107" s="43" t="s">
        <v>611</v>
      </c>
      <c r="AR107" s="43" t="s">
        <v>610</v>
      </c>
      <c r="AS107" s="43" t="s">
        <v>611</v>
      </c>
      <c r="AT107" s="43" t="s">
        <v>85</v>
      </c>
      <c r="AU107" s="43" t="s">
        <v>7030</v>
      </c>
      <c r="AV107" s="43" t="s">
        <v>7031</v>
      </c>
      <c r="AW107" s="43" t="s">
        <v>7031</v>
      </c>
      <c r="AX107" s="43" t="s">
        <v>90</v>
      </c>
      <c r="AY107" s="43" t="s">
        <v>73</v>
      </c>
      <c r="AZ107" s="43" t="s">
        <v>7029</v>
      </c>
      <c r="BA107" s="43" t="s">
        <v>92</v>
      </c>
      <c r="BB107" s="45">
        <v>4.0599999999999996</v>
      </c>
      <c r="BC107" s="45">
        <v>4.0599999999999996</v>
      </c>
      <c r="BD107" s="43" t="s">
        <v>7032</v>
      </c>
      <c r="BE107" s="43" t="s">
        <v>81</v>
      </c>
      <c r="BF107" s="43" t="s">
        <v>81</v>
      </c>
      <c r="BG107" s="43" t="s">
        <v>86</v>
      </c>
      <c r="BH107" s="43" t="s">
        <v>151</v>
      </c>
      <c r="BI107" s="43" t="s">
        <v>7033</v>
      </c>
      <c r="BJ107" s="43" t="s">
        <v>7030</v>
      </c>
      <c r="BK107" s="43" t="s">
        <v>92</v>
      </c>
      <c r="BL107" s="43" t="s">
        <v>85</v>
      </c>
      <c r="BM107" s="43" t="s">
        <v>85</v>
      </c>
      <c r="BN107" s="43" t="s">
        <v>92</v>
      </c>
      <c r="BO107" s="46">
        <v>4.0599999999999996</v>
      </c>
      <c r="BP107" s="43" t="s">
        <v>7032</v>
      </c>
      <c r="BQ107" s="43">
        <v>4.0599999999999996</v>
      </c>
      <c r="BR107" s="43" t="s">
        <v>7032</v>
      </c>
      <c r="BS107" s="47">
        <v>4.0599999999999996</v>
      </c>
      <c r="BT107" s="43" t="s">
        <v>7032</v>
      </c>
      <c r="BU107" s="43" t="s">
        <v>7032</v>
      </c>
      <c r="BV107" s="43" t="str">
        <f>CambioPlan[[#This Row],[TELEFONO]]&amp;"UPSELLSI"</f>
        <v>987413732UPSELLSI</v>
      </c>
      <c r="BW107" s="43">
        <f>DAY(CambioPlan[[#This Row],[FECHA_CAMBIO_PLAN]])</f>
        <v>1</v>
      </c>
      <c r="BX107" s="43" t="str">
        <f>VLOOKUP(CambioPlan[[#This Row],[NOM_PLAZA]],[1]!Locales[#Data],3,0)</f>
        <v>TIENDA CUENCA REMIGIO</v>
      </c>
      <c r="BY107" s="43" t="str">
        <f>VLOOKUP(CambioPlan[[#This Row],[DOMAIN_LOGIN_OW]],[1]!Personal[#Data],6,0)</f>
        <v>PATIÑO TAPIA ANDRES SANTIAGO</v>
      </c>
      <c r="BZ107" s="43"/>
      <c r="CA107" s="43" t="str">
        <f>IFERROR(IF(FIND("ADULTO",CambioPlan[[#This Row],[DESCRIPCION_PLAN_ACTUAL]],1),"NO SE PAGA",),"SI SE PAGA")</f>
        <v>SI SE PAGA</v>
      </c>
      <c r="CB107" s="45">
        <f>CambioPlan[[#This Row],[TARIFA_BASICA_ACTUAL]]-CambioPlan[[#This Row],[TARIFA_BASICA_ANTERIOR]]</f>
        <v>4.0600000000000023</v>
      </c>
      <c r="CC107" s="56">
        <f>CambioPlan[[#This Row],[DIF. TARIFAS]]*4</f>
        <v>16.240000000000009</v>
      </c>
      <c r="CD107" s="53" t="str">
        <f>IF(CambioPlan[[#This Row],[C. COMISIÓN TME]]&lt;0,"DOWNSELL",IF(CambioPlan[[#This Row],[C. COMISIÓN TME]]=0,"MISMA TARIFA",IF(CambioPlan[[#This Row],[C. COMISIÓN TME]]&gt;0,"UPSELL")))</f>
        <v>UPSELL</v>
      </c>
      <c r="CE107">
        <f>VLOOKUP(CambioPlan[[#This Row],[TARIFA_BASICA_ANTERIOR]],[3]Hoja1!$F:$G,2,0)</f>
        <v>1</v>
      </c>
      <c r="CF107">
        <f>VLOOKUP(CambioPlan[[#This Row],[TARIFA_BASICA_ACTUAL]],[3]Hoja1!$B:$C,2,0)</f>
        <v>2</v>
      </c>
      <c r="CG107">
        <f t="shared" si="1"/>
        <v>1</v>
      </c>
      <c r="CH107" t="e">
        <f>VLOOKUP(CambioPlan[[#This Row],[TELEFONO]],[1]Retenciones!$R$63:$R$287,1,0)</f>
        <v>#N/A</v>
      </c>
    </row>
    <row r="108" spans="1:86" x14ac:dyDescent="0.25">
      <c r="A108" s="43">
        <v>202212</v>
      </c>
      <c r="B108" s="44">
        <v>44914</v>
      </c>
      <c r="C108" s="43" t="s">
        <v>7424</v>
      </c>
      <c r="D108" s="43" t="s">
        <v>7425</v>
      </c>
      <c r="E108" s="43" t="s">
        <v>95</v>
      </c>
      <c r="F108" s="43" t="s">
        <v>77</v>
      </c>
      <c r="G108" s="43" t="s">
        <v>2241</v>
      </c>
      <c r="H108" s="43" t="s">
        <v>67</v>
      </c>
      <c r="I108" s="43" t="s">
        <v>7426</v>
      </c>
      <c r="J108" s="43" t="s">
        <v>7037</v>
      </c>
      <c r="K108" s="43" t="s">
        <v>118</v>
      </c>
      <c r="L108" s="43" t="s">
        <v>160</v>
      </c>
      <c r="M108" s="43" t="s">
        <v>161</v>
      </c>
      <c r="N108" s="43" t="s">
        <v>79</v>
      </c>
      <c r="O108" s="45">
        <v>14.28</v>
      </c>
      <c r="P108" s="43" t="s">
        <v>95</v>
      </c>
      <c r="Q108" s="43" t="s">
        <v>95</v>
      </c>
      <c r="R108" s="43" t="s">
        <v>95</v>
      </c>
      <c r="S108" s="45">
        <v>0</v>
      </c>
      <c r="T108" s="43" t="s">
        <v>95</v>
      </c>
      <c r="U108" s="44" t="s">
        <v>95</v>
      </c>
      <c r="V108" s="44" t="s">
        <v>95</v>
      </c>
      <c r="W108" s="43" t="s">
        <v>95</v>
      </c>
      <c r="X108" s="45">
        <v>14.28</v>
      </c>
      <c r="Y108" s="43" t="s">
        <v>81</v>
      </c>
      <c r="Z108" s="43" t="s">
        <v>7427</v>
      </c>
      <c r="AA108" s="43" t="s">
        <v>72</v>
      </c>
      <c r="AB108" s="43" t="s">
        <v>79</v>
      </c>
      <c r="AC108" s="45">
        <v>9.99</v>
      </c>
      <c r="AD108" s="43" t="s">
        <v>95</v>
      </c>
      <c r="AE108" s="43" t="s">
        <v>95</v>
      </c>
      <c r="AF108" s="43" t="s">
        <v>95</v>
      </c>
      <c r="AG108" s="43" t="s">
        <v>95</v>
      </c>
      <c r="AH108" s="45">
        <v>0</v>
      </c>
      <c r="AI108" s="43" t="s">
        <v>95</v>
      </c>
      <c r="AJ108" s="43" t="s">
        <v>95</v>
      </c>
      <c r="AK108" s="43" t="s">
        <v>95</v>
      </c>
      <c r="AL108" s="43" t="s">
        <v>95</v>
      </c>
      <c r="AM108" s="45">
        <v>9.99</v>
      </c>
      <c r="AN108" s="43" t="s">
        <v>81</v>
      </c>
      <c r="AO108" s="44">
        <v>44908</v>
      </c>
      <c r="AP108" s="43" t="s">
        <v>369</v>
      </c>
      <c r="AQ108" s="43" t="s">
        <v>370</v>
      </c>
      <c r="AR108" s="43" t="s">
        <v>369</v>
      </c>
      <c r="AS108" s="43" t="s">
        <v>370</v>
      </c>
      <c r="AT108" s="43" t="s">
        <v>85</v>
      </c>
      <c r="AU108" s="43" t="s">
        <v>7030</v>
      </c>
      <c r="AV108" s="43" t="s">
        <v>7031</v>
      </c>
      <c r="AW108" s="43" t="s">
        <v>7031</v>
      </c>
      <c r="AX108" s="43" t="s">
        <v>90</v>
      </c>
      <c r="AY108" s="43" t="s">
        <v>132</v>
      </c>
      <c r="AZ108" s="43" t="s">
        <v>7037</v>
      </c>
      <c r="BA108" s="43" t="s">
        <v>139</v>
      </c>
      <c r="BB108" s="45">
        <v>4.29</v>
      </c>
      <c r="BC108" s="45">
        <v>4.29</v>
      </c>
      <c r="BD108" s="43" t="s">
        <v>7032</v>
      </c>
      <c r="BE108" s="43" t="s">
        <v>81</v>
      </c>
      <c r="BF108" s="43" t="s">
        <v>81</v>
      </c>
      <c r="BG108" s="43" t="s">
        <v>86</v>
      </c>
      <c r="BH108" s="43" t="s">
        <v>177</v>
      </c>
      <c r="BI108" s="43" t="s">
        <v>7038</v>
      </c>
      <c r="BJ108" s="43" t="s">
        <v>7030</v>
      </c>
      <c r="BK108" s="43" t="s">
        <v>139</v>
      </c>
      <c r="BL108" s="43" t="s">
        <v>85</v>
      </c>
      <c r="BM108" s="43" t="s">
        <v>85</v>
      </c>
      <c r="BN108" s="43" t="s">
        <v>139</v>
      </c>
      <c r="BO108" s="46">
        <v>4.29</v>
      </c>
      <c r="BP108" s="43" t="s">
        <v>7032</v>
      </c>
      <c r="BQ108" s="43">
        <v>4.29</v>
      </c>
      <c r="BR108" s="43" t="s">
        <v>7032</v>
      </c>
      <c r="BS108" s="47">
        <v>4.29</v>
      </c>
      <c r="BT108" s="43" t="s">
        <v>7032</v>
      </c>
      <c r="BU108" s="43" t="s">
        <v>7032</v>
      </c>
      <c r="BV108" s="43" t="str">
        <f>CambioPlan[[#This Row],[TELEFONO]]&amp;"UPSELLSI"</f>
        <v>987440528UPSELLSI</v>
      </c>
      <c r="BW108" s="43">
        <f>DAY(CambioPlan[[#This Row],[FECHA_CAMBIO_PLAN]])</f>
        <v>13</v>
      </c>
      <c r="BX108" s="43" t="str">
        <f>VLOOKUP(CambioPlan[[#This Row],[NOM_PLAZA]],[1]!Locales[#Data],3,0)</f>
        <v>TIENDA RECREO</v>
      </c>
      <c r="BY108" s="43" t="str">
        <f>VLOOKUP(CambioPlan[[#This Row],[DOMAIN_LOGIN_OW]],[1]!Personal[#Data],6,0)</f>
        <v>GUAIGUA REINOSO GENESIS CAROLINA</v>
      </c>
      <c r="BZ108" s="43"/>
      <c r="CA108" s="43" t="str">
        <f>IFERROR(IF(FIND("ADULTO",CambioPlan[[#This Row],[DESCRIPCION_PLAN_ACTUAL]],1),"NO SE PAGA",),"SI SE PAGA")</f>
        <v>SI SE PAGA</v>
      </c>
      <c r="CB108" s="45">
        <f>CambioPlan[[#This Row],[TARIFA_BASICA_ACTUAL]]-CambioPlan[[#This Row],[TARIFA_BASICA_ANTERIOR]]</f>
        <v>4.2899999999999991</v>
      </c>
      <c r="CC108" s="56">
        <f>CambioPlan[[#This Row],[DIF. TARIFAS]]*4</f>
        <v>17.159999999999997</v>
      </c>
      <c r="CD108" s="53" t="str">
        <f>IF(CambioPlan[[#This Row],[C. COMISIÓN TME]]&lt;0,"DOWNSELL",IF(CambioPlan[[#This Row],[C. COMISIÓN TME]]=0,"MISMA TARIFA",IF(CambioPlan[[#This Row],[C. COMISIÓN TME]]&gt;0,"UPSELL")))</f>
        <v>UPSELL</v>
      </c>
      <c r="CE108">
        <f>VLOOKUP(CambioPlan[[#This Row],[TARIFA_BASICA_ANTERIOR]],[3]Hoja1!$F:$G,2,0)</f>
        <v>0</v>
      </c>
      <c r="CF108">
        <f>VLOOKUP(CambioPlan[[#This Row],[TARIFA_BASICA_ACTUAL]],[3]Hoja1!$B:$C,2,0)</f>
        <v>1</v>
      </c>
      <c r="CG108">
        <f t="shared" si="1"/>
        <v>1</v>
      </c>
      <c r="CH108" t="e">
        <f>VLOOKUP(CambioPlan[[#This Row],[TELEFONO]],[1]Retenciones!$R$63:$R$287,1,0)</f>
        <v>#N/A</v>
      </c>
    </row>
    <row r="109" spans="1:86" x14ac:dyDescent="0.25">
      <c r="A109" s="43">
        <v>202212</v>
      </c>
      <c r="B109" s="44">
        <v>44914</v>
      </c>
      <c r="C109" s="43" t="s">
        <v>7428</v>
      </c>
      <c r="D109" s="43" t="s">
        <v>7429</v>
      </c>
      <c r="E109" s="43" t="s">
        <v>95</v>
      </c>
      <c r="F109" s="43" t="s">
        <v>77</v>
      </c>
      <c r="G109" s="43" t="s">
        <v>2241</v>
      </c>
      <c r="H109" s="43" t="s">
        <v>67</v>
      </c>
      <c r="I109" s="43" t="s">
        <v>7430</v>
      </c>
      <c r="J109" s="43" t="s">
        <v>7037</v>
      </c>
      <c r="K109" s="43" t="s">
        <v>118</v>
      </c>
      <c r="L109" s="43" t="s">
        <v>160</v>
      </c>
      <c r="M109" s="43" t="s">
        <v>161</v>
      </c>
      <c r="N109" s="43" t="s">
        <v>79</v>
      </c>
      <c r="O109" s="45">
        <v>14.28</v>
      </c>
      <c r="P109" s="43" t="s">
        <v>95</v>
      </c>
      <c r="Q109" s="43" t="s">
        <v>95</v>
      </c>
      <c r="R109" s="43" t="s">
        <v>95</v>
      </c>
      <c r="S109" s="45">
        <v>0</v>
      </c>
      <c r="T109" s="43" t="s">
        <v>95</v>
      </c>
      <c r="U109" s="44" t="s">
        <v>95</v>
      </c>
      <c r="V109" s="44" t="s">
        <v>95</v>
      </c>
      <c r="W109" s="43" t="s">
        <v>95</v>
      </c>
      <c r="X109" s="45">
        <v>14.28</v>
      </c>
      <c r="Y109" s="43" t="s">
        <v>81</v>
      </c>
      <c r="Z109" s="43" t="s">
        <v>71</v>
      </c>
      <c r="AA109" s="43" t="s">
        <v>258</v>
      </c>
      <c r="AB109" s="43" t="s">
        <v>79</v>
      </c>
      <c r="AC109" s="45">
        <v>11.42</v>
      </c>
      <c r="AD109" s="43" t="s">
        <v>95</v>
      </c>
      <c r="AE109" s="43" t="s">
        <v>95</v>
      </c>
      <c r="AF109" s="43" t="s">
        <v>95</v>
      </c>
      <c r="AG109" s="43" t="s">
        <v>95</v>
      </c>
      <c r="AH109" s="45">
        <v>0</v>
      </c>
      <c r="AI109" s="43" t="s">
        <v>95</v>
      </c>
      <c r="AJ109" s="43" t="s">
        <v>95</v>
      </c>
      <c r="AK109" s="43" t="s">
        <v>95</v>
      </c>
      <c r="AL109" s="43" t="s">
        <v>95</v>
      </c>
      <c r="AM109" s="45">
        <v>11.42</v>
      </c>
      <c r="AN109" s="43" t="s">
        <v>81</v>
      </c>
      <c r="AO109" s="44">
        <v>44907</v>
      </c>
      <c r="AP109" s="43" t="s">
        <v>369</v>
      </c>
      <c r="AQ109" s="43" t="s">
        <v>370</v>
      </c>
      <c r="AR109" s="43" t="s">
        <v>369</v>
      </c>
      <c r="AS109" s="43" t="s">
        <v>370</v>
      </c>
      <c r="AT109" s="43" t="s">
        <v>85</v>
      </c>
      <c r="AU109" s="43" t="s">
        <v>7030</v>
      </c>
      <c r="AV109" s="43" t="s">
        <v>7031</v>
      </c>
      <c r="AW109" s="43" t="s">
        <v>7031</v>
      </c>
      <c r="AX109" s="43" t="s">
        <v>90</v>
      </c>
      <c r="AY109" s="43" t="s">
        <v>132</v>
      </c>
      <c r="AZ109" s="43" t="s">
        <v>7037</v>
      </c>
      <c r="BA109" s="43" t="s">
        <v>139</v>
      </c>
      <c r="BB109" s="45">
        <v>2.86</v>
      </c>
      <c r="BC109" s="45">
        <v>2.86</v>
      </c>
      <c r="BD109" s="43" t="s">
        <v>7032</v>
      </c>
      <c r="BE109" s="43" t="s">
        <v>81</v>
      </c>
      <c r="BF109" s="43" t="s">
        <v>81</v>
      </c>
      <c r="BG109" s="43" t="s">
        <v>86</v>
      </c>
      <c r="BH109" s="43" t="s">
        <v>177</v>
      </c>
      <c r="BI109" s="43" t="s">
        <v>7038</v>
      </c>
      <c r="BJ109" s="43" t="s">
        <v>7030</v>
      </c>
      <c r="BK109" s="43" t="s">
        <v>139</v>
      </c>
      <c r="BL109" s="43" t="s">
        <v>85</v>
      </c>
      <c r="BM109" s="43" t="s">
        <v>85</v>
      </c>
      <c r="BN109" s="43" t="s">
        <v>139</v>
      </c>
      <c r="BO109" s="46">
        <v>2.86</v>
      </c>
      <c r="BP109" s="43" t="s">
        <v>7032</v>
      </c>
      <c r="BQ109" s="43">
        <v>2.86</v>
      </c>
      <c r="BR109" s="43" t="s">
        <v>7032</v>
      </c>
      <c r="BS109" s="47">
        <v>2.86</v>
      </c>
      <c r="BT109" s="43" t="s">
        <v>7032</v>
      </c>
      <c r="BU109" s="43" t="s">
        <v>7032</v>
      </c>
      <c r="BV109" s="43" t="str">
        <f>CambioPlan[[#This Row],[TELEFONO]]&amp;"UPSELLSI"</f>
        <v>987466046UPSELLSI</v>
      </c>
      <c r="BW109" s="43">
        <f>DAY(CambioPlan[[#This Row],[FECHA_CAMBIO_PLAN]])</f>
        <v>12</v>
      </c>
      <c r="BX109" s="43" t="str">
        <f>VLOOKUP(CambioPlan[[#This Row],[NOM_PLAZA]],[1]!Locales[#Data],3,0)</f>
        <v>TIENDA RECREO</v>
      </c>
      <c r="BY109" s="43" t="str">
        <f>VLOOKUP(CambioPlan[[#This Row],[DOMAIN_LOGIN_OW]],[1]!Personal[#Data],6,0)</f>
        <v>GUAIGUA REINOSO GENESIS CAROLINA</v>
      </c>
      <c r="BZ109" s="43"/>
      <c r="CA109" s="43" t="str">
        <f>IFERROR(IF(FIND("ADULTO",CambioPlan[[#This Row],[DESCRIPCION_PLAN_ACTUAL]],1),"NO SE PAGA",),"SI SE PAGA")</f>
        <v>SI SE PAGA</v>
      </c>
      <c r="CB109" s="45">
        <f>CambioPlan[[#This Row],[TARIFA_BASICA_ACTUAL]]-CambioPlan[[#This Row],[TARIFA_BASICA_ANTERIOR]]</f>
        <v>2.8599999999999994</v>
      </c>
      <c r="CC109" s="56">
        <f>CambioPlan[[#This Row],[DIF. TARIFAS]]*4</f>
        <v>11.439999999999998</v>
      </c>
      <c r="CD109" s="53" t="str">
        <f>IF(CambioPlan[[#This Row],[C. COMISIÓN TME]]&lt;0,"DOWNSELL",IF(CambioPlan[[#This Row],[C. COMISIÓN TME]]=0,"MISMA TARIFA",IF(CambioPlan[[#This Row],[C. COMISIÓN TME]]&gt;0,"UPSELL")))</f>
        <v>UPSELL</v>
      </c>
      <c r="CE109">
        <f>VLOOKUP(CambioPlan[[#This Row],[TARIFA_BASICA_ANTERIOR]],[3]Hoja1!$F:$G,2,0)</f>
        <v>0</v>
      </c>
      <c r="CF109">
        <f>VLOOKUP(CambioPlan[[#This Row],[TARIFA_BASICA_ACTUAL]],[3]Hoja1!$B:$C,2,0)</f>
        <v>1</v>
      </c>
      <c r="CG109">
        <f t="shared" si="1"/>
        <v>1</v>
      </c>
      <c r="CH109" t="e">
        <f>VLOOKUP(CambioPlan[[#This Row],[TELEFONO]],[1]Retenciones!$R$63:$R$287,1,0)</f>
        <v>#N/A</v>
      </c>
    </row>
    <row r="110" spans="1:86" x14ac:dyDescent="0.25">
      <c r="A110" s="43">
        <v>202212</v>
      </c>
      <c r="B110" s="44">
        <v>44914</v>
      </c>
      <c r="C110" s="43" t="s">
        <v>7431</v>
      </c>
      <c r="D110" s="43" t="s">
        <v>7432</v>
      </c>
      <c r="E110" s="43" t="s">
        <v>95</v>
      </c>
      <c r="F110" s="43" t="s">
        <v>77</v>
      </c>
      <c r="G110" s="43" t="s">
        <v>1532</v>
      </c>
      <c r="H110" s="43" t="s">
        <v>67</v>
      </c>
      <c r="I110" s="43" t="s">
        <v>7433</v>
      </c>
      <c r="J110" s="43" t="s">
        <v>7037</v>
      </c>
      <c r="K110" s="43" t="s">
        <v>118</v>
      </c>
      <c r="L110" s="43" t="s">
        <v>3972</v>
      </c>
      <c r="M110" s="43" t="s">
        <v>3973</v>
      </c>
      <c r="N110" s="43" t="s">
        <v>79</v>
      </c>
      <c r="O110" s="45">
        <v>26.78</v>
      </c>
      <c r="P110" s="43" t="s">
        <v>95</v>
      </c>
      <c r="Q110" s="43" t="s">
        <v>95</v>
      </c>
      <c r="R110" s="43" t="s">
        <v>95</v>
      </c>
      <c r="S110" s="45">
        <v>0</v>
      </c>
      <c r="T110" s="43" t="s">
        <v>95</v>
      </c>
      <c r="U110" s="44" t="s">
        <v>95</v>
      </c>
      <c r="V110" s="44" t="s">
        <v>95</v>
      </c>
      <c r="W110" s="43" t="s">
        <v>95</v>
      </c>
      <c r="X110" s="45">
        <v>26.78</v>
      </c>
      <c r="Y110" s="43" t="s">
        <v>81</v>
      </c>
      <c r="Z110" s="43" t="s">
        <v>7069</v>
      </c>
      <c r="AA110" s="43" t="s">
        <v>7070</v>
      </c>
      <c r="AB110" s="43" t="s">
        <v>79</v>
      </c>
      <c r="AC110" s="45">
        <v>21.42</v>
      </c>
      <c r="AD110" s="43" t="s">
        <v>95</v>
      </c>
      <c r="AE110" s="43" t="s">
        <v>95</v>
      </c>
      <c r="AF110" s="43" t="s">
        <v>95</v>
      </c>
      <c r="AG110" s="43" t="s">
        <v>95</v>
      </c>
      <c r="AH110" s="45">
        <v>0</v>
      </c>
      <c r="AI110" s="43" t="s">
        <v>95</v>
      </c>
      <c r="AJ110" s="43" t="s">
        <v>95</v>
      </c>
      <c r="AK110" s="43" t="s">
        <v>95</v>
      </c>
      <c r="AL110" s="43" t="s">
        <v>95</v>
      </c>
      <c r="AM110" s="45">
        <v>21.42</v>
      </c>
      <c r="AN110" s="43" t="s">
        <v>81</v>
      </c>
      <c r="AO110" s="44">
        <v>44902</v>
      </c>
      <c r="AP110" s="43" t="s">
        <v>1315</v>
      </c>
      <c r="AQ110" s="43" t="s">
        <v>1316</v>
      </c>
      <c r="AR110" s="43" t="s">
        <v>1315</v>
      </c>
      <c r="AS110" s="43" t="s">
        <v>1316</v>
      </c>
      <c r="AT110" s="43" t="s">
        <v>85</v>
      </c>
      <c r="AU110" s="43" t="s">
        <v>7030</v>
      </c>
      <c r="AV110" s="43" t="s">
        <v>7031</v>
      </c>
      <c r="AW110" s="43" t="s">
        <v>7031</v>
      </c>
      <c r="AX110" s="43" t="s">
        <v>90</v>
      </c>
      <c r="AY110" s="43" t="s">
        <v>132</v>
      </c>
      <c r="AZ110" s="43" t="s">
        <v>7037</v>
      </c>
      <c r="BA110" s="43" t="s">
        <v>139</v>
      </c>
      <c r="BB110" s="45">
        <v>5.36</v>
      </c>
      <c r="BC110" s="45">
        <v>5.36</v>
      </c>
      <c r="BD110" s="43" t="s">
        <v>7032</v>
      </c>
      <c r="BE110" s="43" t="s">
        <v>81</v>
      </c>
      <c r="BF110" s="43" t="s">
        <v>81</v>
      </c>
      <c r="BG110" s="43" t="s">
        <v>86</v>
      </c>
      <c r="BH110" s="43" t="s">
        <v>177</v>
      </c>
      <c r="BI110" s="43" t="s">
        <v>7038</v>
      </c>
      <c r="BJ110" s="43" t="s">
        <v>7030</v>
      </c>
      <c r="BK110" s="43" t="s">
        <v>139</v>
      </c>
      <c r="BL110" s="43" t="s">
        <v>85</v>
      </c>
      <c r="BM110" s="43" t="s">
        <v>85</v>
      </c>
      <c r="BN110" s="43" t="s">
        <v>139</v>
      </c>
      <c r="BO110" s="46">
        <v>5.36</v>
      </c>
      <c r="BP110" s="43" t="s">
        <v>7032</v>
      </c>
      <c r="BQ110" s="43">
        <v>5.36</v>
      </c>
      <c r="BR110" s="43" t="s">
        <v>7032</v>
      </c>
      <c r="BS110" s="47">
        <v>5.36</v>
      </c>
      <c r="BT110" s="43" t="s">
        <v>7032</v>
      </c>
      <c r="BU110" s="43" t="s">
        <v>7032</v>
      </c>
      <c r="BV110" s="43" t="str">
        <f>CambioPlan[[#This Row],[TELEFONO]]&amp;"UPSELLSI"</f>
        <v>987540811UPSELLSI</v>
      </c>
      <c r="BW110" s="43">
        <f>DAY(CambioPlan[[#This Row],[FECHA_CAMBIO_PLAN]])</f>
        <v>7</v>
      </c>
      <c r="BX110" s="43" t="str">
        <f>VLOOKUP(CambioPlan[[#This Row],[NOM_PLAZA]],[1]!Locales[#Data],3,0)</f>
        <v>TIENDA RECREO</v>
      </c>
      <c r="BY110" s="43" t="str">
        <f>VLOOKUP(CambioPlan[[#This Row],[DOMAIN_LOGIN_OW]],[1]!Personal[#Data],6,0)</f>
        <v>ORTEGA  NATALIE MÉNDEZ</v>
      </c>
      <c r="BZ110" s="43"/>
      <c r="CA110" s="43" t="str">
        <f>IFERROR(IF(FIND("ADULTO",CambioPlan[[#This Row],[DESCRIPCION_PLAN_ACTUAL]],1),"NO SE PAGA",),"SI SE PAGA")</f>
        <v>SI SE PAGA</v>
      </c>
      <c r="CB110" s="45">
        <f>CambioPlan[[#This Row],[TARIFA_BASICA_ACTUAL]]-CambioPlan[[#This Row],[TARIFA_BASICA_ANTERIOR]]</f>
        <v>5.3599999999999994</v>
      </c>
      <c r="CC110" s="56">
        <f>CambioPlan[[#This Row],[DIF. TARIFAS]]*4</f>
        <v>21.439999999999998</v>
      </c>
      <c r="CD110" s="53" t="str">
        <f>IF(CambioPlan[[#This Row],[C. COMISIÓN TME]]&lt;0,"DOWNSELL",IF(CambioPlan[[#This Row],[C. COMISIÓN TME]]=0,"MISMA TARIFA",IF(CambioPlan[[#This Row],[C. COMISIÓN TME]]&gt;0,"UPSELL")))</f>
        <v>UPSELL</v>
      </c>
      <c r="CE110">
        <f>VLOOKUP(CambioPlan[[#This Row],[TARIFA_BASICA_ANTERIOR]],[3]Hoja1!$F:$G,2,0)</f>
        <v>3</v>
      </c>
      <c r="CF110">
        <f>VLOOKUP(CambioPlan[[#This Row],[TARIFA_BASICA_ACTUAL]],[3]Hoja1!$B:$C,2,0)</f>
        <v>4</v>
      </c>
      <c r="CG110">
        <f t="shared" si="1"/>
        <v>1</v>
      </c>
      <c r="CH110" t="e">
        <f>VLOOKUP(CambioPlan[[#This Row],[TELEFONO]],[1]Retenciones!$R$63:$R$287,1,0)</f>
        <v>#N/A</v>
      </c>
    </row>
    <row r="111" spans="1:86" x14ac:dyDescent="0.25">
      <c r="A111" s="43">
        <v>202212</v>
      </c>
      <c r="B111" s="44">
        <v>44914</v>
      </c>
      <c r="C111" s="43" t="s">
        <v>7434</v>
      </c>
      <c r="D111" s="43" t="s">
        <v>7435</v>
      </c>
      <c r="E111" s="43" t="s">
        <v>95</v>
      </c>
      <c r="F111" s="43" t="s">
        <v>77</v>
      </c>
      <c r="G111" s="43" t="s">
        <v>164</v>
      </c>
      <c r="H111" s="43" t="s">
        <v>67</v>
      </c>
      <c r="I111" s="43" t="s">
        <v>7436</v>
      </c>
      <c r="J111" s="43" t="s">
        <v>7029</v>
      </c>
      <c r="K111" s="43" t="s">
        <v>84</v>
      </c>
      <c r="L111" s="43" t="s">
        <v>227</v>
      </c>
      <c r="M111" s="43" t="s">
        <v>426</v>
      </c>
      <c r="N111" s="43" t="s">
        <v>79</v>
      </c>
      <c r="O111" s="45">
        <v>21.42</v>
      </c>
      <c r="P111" s="43" t="s">
        <v>95</v>
      </c>
      <c r="Q111" s="43" t="s">
        <v>95</v>
      </c>
      <c r="R111" s="43" t="s">
        <v>95</v>
      </c>
      <c r="S111" s="45">
        <v>0</v>
      </c>
      <c r="T111" s="43" t="s">
        <v>95</v>
      </c>
      <c r="U111" s="44" t="s">
        <v>95</v>
      </c>
      <c r="V111" s="44" t="s">
        <v>95</v>
      </c>
      <c r="W111" s="43" t="s">
        <v>95</v>
      </c>
      <c r="X111" s="45">
        <v>21.42</v>
      </c>
      <c r="Y111" s="43" t="s">
        <v>81</v>
      </c>
      <c r="Z111" s="43" t="s">
        <v>160</v>
      </c>
      <c r="AA111" s="43" t="s">
        <v>161</v>
      </c>
      <c r="AB111" s="43" t="s">
        <v>79</v>
      </c>
      <c r="AC111" s="45">
        <v>14.28</v>
      </c>
      <c r="AD111" s="43" t="s">
        <v>95</v>
      </c>
      <c r="AE111" s="43" t="s">
        <v>95</v>
      </c>
      <c r="AF111" s="43" t="s">
        <v>95</v>
      </c>
      <c r="AG111" s="43" t="s">
        <v>95</v>
      </c>
      <c r="AH111" s="45">
        <v>0</v>
      </c>
      <c r="AI111" s="43" t="s">
        <v>95</v>
      </c>
      <c r="AJ111" s="43" t="s">
        <v>95</v>
      </c>
      <c r="AK111" s="43" t="s">
        <v>95</v>
      </c>
      <c r="AL111" s="43" t="s">
        <v>95</v>
      </c>
      <c r="AM111" s="45">
        <v>14.28</v>
      </c>
      <c r="AN111" s="43" t="s">
        <v>81</v>
      </c>
      <c r="AO111" s="44">
        <v>44900</v>
      </c>
      <c r="AP111" s="43" t="s">
        <v>318</v>
      </c>
      <c r="AQ111" s="43" t="s">
        <v>319</v>
      </c>
      <c r="AR111" s="43" t="s">
        <v>318</v>
      </c>
      <c r="AS111" s="43" t="s">
        <v>319</v>
      </c>
      <c r="AT111" s="43" t="s">
        <v>85</v>
      </c>
      <c r="AU111" s="43" t="s">
        <v>7030</v>
      </c>
      <c r="AV111" s="43" t="s">
        <v>7031</v>
      </c>
      <c r="AW111" s="43" t="s">
        <v>7031</v>
      </c>
      <c r="AX111" s="43" t="s">
        <v>90</v>
      </c>
      <c r="AY111" s="43" t="s">
        <v>73</v>
      </c>
      <c r="AZ111" s="43" t="s">
        <v>7029</v>
      </c>
      <c r="BA111" s="43" t="s">
        <v>92</v>
      </c>
      <c r="BB111" s="45">
        <v>7.14</v>
      </c>
      <c r="BC111" s="45">
        <v>7.14</v>
      </c>
      <c r="BD111" s="43" t="s">
        <v>7032</v>
      </c>
      <c r="BE111" s="43" t="s">
        <v>81</v>
      </c>
      <c r="BF111" s="43" t="s">
        <v>81</v>
      </c>
      <c r="BG111" s="43" t="s">
        <v>86</v>
      </c>
      <c r="BH111" s="43" t="s">
        <v>151</v>
      </c>
      <c r="BI111" s="43" t="s">
        <v>7033</v>
      </c>
      <c r="BJ111" s="43" t="s">
        <v>7030</v>
      </c>
      <c r="BK111" s="43" t="s">
        <v>92</v>
      </c>
      <c r="BL111" s="43" t="s">
        <v>85</v>
      </c>
      <c r="BM111" s="43" t="s">
        <v>85</v>
      </c>
      <c r="BN111" s="43" t="s">
        <v>92</v>
      </c>
      <c r="BO111" s="46">
        <v>7.14</v>
      </c>
      <c r="BP111" s="43" t="s">
        <v>7032</v>
      </c>
      <c r="BQ111" s="43">
        <v>7.14</v>
      </c>
      <c r="BR111" s="43" t="s">
        <v>7032</v>
      </c>
      <c r="BS111" s="47">
        <v>7.14</v>
      </c>
      <c r="BT111" s="43" t="s">
        <v>7032</v>
      </c>
      <c r="BU111" s="43" t="s">
        <v>7032</v>
      </c>
      <c r="BV111" s="43" t="str">
        <f>CambioPlan[[#This Row],[TELEFONO]]&amp;"UPSELLSI"</f>
        <v>987572376UPSELLSI</v>
      </c>
      <c r="BW111" s="43">
        <f>DAY(CambioPlan[[#This Row],[FECHA_CAMBIO_PLAN]])</f>
        <v>5</v>
      </c>
      <c r="BX111" s="43" t="str">
        <f>VLOOKUP(CambioPlan[[#This Row],[NOM_PLAZA]],[1]!Locales[#Data],3,0)</f>
        <v>TIENDA CUENCA REMIGIO</v>
      </c>
      <c r="BY111" s="43" t="str">
        <f>VLOOKUP(CambioPlan[[#This Row],[DOMAIN_LOGIN_OW]],[1]!Personal[#Data],6,0)</f>
        <v>RODRIGUEZ QUITO JESSICA GABRIELA</v>
      </c>
      <c r="BZ111" s="43"/>
      <c r="CA111" s="43" t="str">
        <f>IFERROR(IF(FIND("ADULTO",CambioPlan[[#This Row],[DESCRIPCION_PLAN_ACTUAL]],1),"NO SE PAGA",),"SI SE PAGA")</f>
        <v>SI SE PAGA</v>
      </c>
      <c r="CB111" s="45">
        <f>CambioPlan[[#This Row],[TARIFA_BASICA_ACTUAL]]-CambioPlan[[#This Row],[TARIFA_BASICA_ANTERIOR]]</f>
        <v>7.1400000000000023</v>
      </c>
      <c r="CC111" s="56">
        <f>CambioPlan[[#This Row],[DIF. TARIFAS]]*4</f>
        <v>28.560000000000009</v>
      </c>
      <c r="CD111" s="53" t="str">
        <f>IF(CambioPlan[[#This Row],[C. COMISIÓN TME]]&lt;0,"DOWNSELL",IF(CambioPlan[[#This Row],[C. COMISIÓN TME]]=0,"MISMA TARIFA",IF(CambioPlan[[#This Row],[C. COMISIÓN TME]]&gt;0,"UPSELL")))</f>
        <v>UPSELL</v>
      </c>
      <c r="CE111">
        <f>VLOOKUP(CambioPlan[[#This Row],[TARIFA_BASICA_ANTERIOR]],[3]Hoja1!$F:$G,2,0)</f>
        <v>1</v>
      </c>
      <c r="CF111">
        <f>VLOOKUP(CambioPlan[[#This Row],[TARIFA_BASICA_ACTUAL]],[3]Hoja1!$B:$C,2,0)</f>
        <v>3</v>
      </c>
      <c r="CG111">
        <f t="shared" si="1"/>
        <v>2</v>
      </c>
      <c r="CH111" t="e">
        <f>VLOOKUP(CambioPlan[[#This Row],[TELEFONO]],[1]Retenciones!$R$63:$R$287,1,0)</f>
        <v>#N/A</v>
      </c>
    </row>
    <row r="112" spans="1:86" x14ac:dyDescent="0.25">
      <c r="A112" s="43">
        <v>202212</v>
      </c>
      <c r="B112" s="44">
        <v>44914</v>
      </c>
      <c r="C112" s="43" t="s">
        <v>7437</v>
      </c>
      <c r="D112" s="43" t="s">
        <v>7438</v>
      </c>
      <c r="E112" s="43" t="s">
        <v>95</v>
      </c>
      <c r="F112" s="43" t="s">
        <v>77</v>
      </c>
      <c r="G112" s="43" t="s">
        <v>1532</v>
      </c>
      <c r="H112" s="43" t="s">
        <v>67</v>
      </c>
      <c r="I112" s="43" t="s">
        <v>7439</v>
      </c>
      <c r="J112" s="43" t="s">
        <v>7029</v>
      </c>
      <c r="K112" s="43" t="s">
        <v>215</v>
      </c>
      <c r="L112" s="43" t="s">
        <v>574</v>
      </c>
      <c r="M112" s="43" t="s">
        <v>575</v>
      </c>
      <c r="N112" s="43" t="s">
        <v>79</v>
      </c>
      <c r="O112" s="45">
        <v>17.850000000000001</v>
      </c>
      <c r="P112" s="43" t="s">
        <v>95</v>
      </c>
      <c r="Q112" s="43" t="s">
        <v>95</v>
      </c>
      <c r="R112" s="43" t="s">
        <v>95</v>
      </c>
      <c r="S112" s="45">
        <v>0</v>
      </c>
      <c r="T112" s="43" t="s">
        <v>95</v>
      </c>
      <c r="U112" s="44" t="s">
        <v>95</v>
      </c>
      <c r="V112" s="44" t="s">
        <v>95</v>
      </c>
      <c r="W112" s="43" t="s">
        <v>95</v>
      </c>
      <c r="X112" s="45">
        <v>17.850000000000001</v>
      </c>
      <c r="Y112" s="43" t="s">
        <v>81</v>
      </c>
      <c r="Z112" s="43" t="s">
        <v>7440</v>
      </c>
      <c r="AA112" s="43" t="s">
        <v>7441</v>
      </c>
      <c r="AB112" s="43" t="s">
        <v>79</v>
      </c>
      <c r="AC112" s="45">
        <v>10.54</v>
      </c>
      <c r="AD112" s="43" t="s">
        <v>95</v>
      </c>
      <c r="AE112" s="43" t="s">
        <v>95</v>
      </c>
      <c r="AF112" s="43" t="s">
        <v>95</v>
      </c>
      <c r="AG112" s="43" t="s">
        <v>95</v>
      </c>
      <c r="AH112" s="45">
        <v>0</v>
      </c>
      <c r="AI112" s="43" t="s">
        <v>95</v>
      </c>
      <c r="AJ112" s="43" t="s">
        <v>95</v>
      </c>
      <c r="AK112" s="43" t="s">
        <v>95</v>
      </c>
      <c r="AL112" s="43" t="s">
        <v>95</v>
      </c>
      <c r="AM112" s="45">
        <v>10.54</v>
      </c>
      <c r="AN112" s="43" t="s">
        <v>81</v>
      </c>
      <c r="AO112" s="44">
        <v>44900</v>
      </c>
      <c r="AP112" s="43" t="s">
        <v>420</v>
      </c>
      <c r="AQ112" s="43" t="s">
        <v>421</v>
      </c>
      <c r="AR112" s="43" t="s">
        <v>420</v>
      </c>
      <c r="AS112" s="43" t="s">
        <v>421</v>
      </c>
      <c r="AT112" s="43" t="s">
        <v>85</v>
      </c>
      <c r="AU112" s="43" t="s">
        <v>7030</v>
      </c>
      <c r="AV112" s="43" t="s">
        <v>7031</v>
      </c>
      <c r="AW112" s="43" t="s">
        <v>7031</v>
      </c>
      <c r="AX112" s="43" t="s">
        <v>90</v>
      </c>
      <c r="AY112" s="43" t="s">
        <v>73</v>
      </c>
      <c r="AZ112" s="43" t="s">
        <v>7029</v>
      </c>
      <c r="BA112" s="43" t="s">
        <v>92</v>
      </c>
      <c r="BB112" s="45">
        <v>7.31</v>
      </c>
      <c r="BC112" s="45">
        <v>7.31</v>
      </c>
      <c r="BD112" s="43" t="s">
        <v>7032</v>
      </c>
      <c r="BE112" s="43" t="s">
        <v>81</v>
      </c>
      <c r="BF112" s="43" t="s">
        <v>81</v>
      </c>
      <c r="BG112" s="43" t="s">
        <v>86</v>
      </c>
      <c r="BH112" s="43" t="s">
        <v>151</v>
      </c>
      <c r="BI112" s="43" t="s">
        <v>7033</v>
      </c>
      <c r="BJ112" s="43" t="s">
        <v>7030</v>
      </c>
      <c r="BK112" s="43" t="s">
        <v>92</v>
      </c>
      <c r="BL112" s="43" t="s">
        <v>85</v>
      </c>
      <c r="BM112" s="43" t="s">
        <v>85</v>
      </c>
      <c r="BN112" s="43" t="s">
        <v>92</v>
      </c>
      <c r="BO112" s="46">
        <v>7.31</v>
      </c>
      <c r="BP112" s="43" t="s">
        <v>7032</v>
      </c>
      <c r="BQ112" s="43">
        <v>7.31</v>
      </c>
      <c r="BR112" s="43" t="s">
        <v>7032</v>
      </c>
      <c r="BS112" s="47">
        <v>7.31</v>
      </c>
      <c r="BT112" s="43" t="s">
        <v>7032</v>
      </c>
      <c r="BU112" s="43" t="s">
        <v>7032</v>
      </c>
      <c r="BV112" s="43" t="str">
        <f>CambioPlan[[#This Row],[TELEFONO]]&amp;"UPSELLSI"</f>
        <v>987572870UPSELLSI</v>
      </c>
      <c r="BW112" s="43">
        <f>DAY(CambioPlan[[#This Row],[FECHA_CAMBIO_PLAN]])</f>
        <v>5</v>
      </c>
      <c r="BX112" s="43" t="str">
        <f>VLOOKUP(CambioPlan[[#This Row],[NOM_PLAZA]],[1]!Locales[#Data],3,0)</f>
        <v>TIENDA CUENCA REMIGIO</v>
      </c>
      <c r="BY112" s="43" t="str">
        <f>VLOOKUP(CambioPlan[[#This Row],[DOMAIN_LOGIN_OW]],[1]!Personal[#Data],6,0)</f>
        <v>YEPEZ PALOMEQUE DIANA PATRICIA</v>
      </c>
      <c r="BZ112" s="43"/>
      <c r="CA112" s="43" t="str">
        <f>IFERROR(IF(FIND("ADULTO",CambioPlan[[#This Row],[DESCRIPCION_PLAN_ACTUAL]],1),"NO SE PAGA",),"SI SE PAGA")</f>
        <v>SI SE PAGA</v>
      </c>
      <c r="CB112" s="45">
        <f>CambioPlan[[#This Row],[TARIFA_BASICA_ACTUAL]]-CambioPlan[[#This Row],[TARIFA_BASICA_ANTERIOR]]</f>
        <v>7.3100000000000023</v>
      </c>
      <c r="CC112" s="56">
        <f>CambioPlan[[#This Row],[DIF. TARIFAS]]*4</f>
        <v>29.240000000000009</v>
      </c>
      <c r="CD112" s="53" t="str">
        <f>IF(CambioPlan[[#This Row],[C. COMISIÓN TME]]&lt;0,"DOWNSELL",IF(CambioPlan[[#This Row],[C. COMISIÓN TME]]=0,"MISMA TARIFA",IF(CambioPlan[[#This Row],[C. COMISIÓN TME]]&gt;0,"UPSELL")))</f>
        <v>UPSELL</v>
      </c>
      <c r="CE112">
        <f>VLOOKUP(CambioPlan[[#This Row],[TARIFA_BASICA_ANTERIOR]],[3]Hoja1!$F:$G,2,0)</f>
        <v>0</v>
      </c>
      <c r="CF112">
        <f>VLOOKUP(CambioPlan[[#This Row],[TARIFA_BASICA_ACTUAL]],[3]Hoja1!$B:$C,2,0)</f>
        <v>2</v>
      </c>
      <c r="CG112">
        <f t="shared" si="1"/>
        <v>2</v>
      </c>
      <c r="CH112" t="e">
        <f>VLOOKUP(CambioPlan[[#This Row],[TELEFONO]],[1]Retenciones!$R$63:$R$287,1,0)</f>
        <v>#N/A</v>
      </c>
    </row>
    <row r="113" spans="1:86" x14ac:dyDescent="0.25">
      <c r="A113" s="43">
        <v>202212</v>
      </c>
      <c r="B113" s="44">
        <v>44914</v>
      </c>
      <c r="C113" s="43" t="s">
        <v>7442</v>
      </c>
      <c r="D113" s="43" t="s">
        <v>7443</v>
      </c>
      <c r="E113" s="43" t="s">
        <v>95</v>
      </c>
      <c r="F113" s="43" t="s">
        <v>77</v>
      </c>
      <c r="G113" s="43" t="s">
        <v>164</v>
      </c>
      <c r="H113" s="43" t="s">
        <v>246</v>
      </c>
      <c r="I113" s="43" t="s">
        <v>7444</v>
      </c>
      <c r="J113" s="43" t="s">
        <v>7029</v>
      </c>
      <c r="K113" s="43" t="s">
        <v>84</v>
      </c>
      <c r="L113" s="43" t="s">
        <v>3232</v>
      </c>
      <c r="M113" s="43" t="s">
        <v>7237</v>
      </c>
      <c r="N113" s="43" t="s">
        <v>79</v>
      </c>
      <c r="O113" s="45">
        <v>51.78</v>
      </c>
      <c r="P113" s="43" t="s">
        <v>95</v>
      </c>
      <c r="Q113" s="43" t="s">
        <v>95</v>
      </c>
      <c r="R113" s="43" t="s">
        <v>95</v>
      </c>
      <c r="S113" s="45">
        <v>0</v>
      </c>
      <c r="T113" s="43" t="s">
        <v>95</v>
      </c>
      <c r="U113" s="44" t="s">
        <v>95</v>
      </c>
      <c r="V113" s="44" t="s">
        <v>95</v>
      </c>
      <c r="W113" s="43" t="s">
        <v>95</v>
      </c>
      <c r="X113" s="45">
        <v>51.78</v>
      </c>
      <c r="Y113" s="43" t="s">
        <v>81</v>
      </c>
      <c r="Z113" s="43" t="s">
        <v>112</v>
      </c>
      <c r="AA113" s="43" t="s">
        <v>781</v>
      </c>
      <c r="AB113" s="43" t="s">
        <v>79</v>
      </c>
      <c r="AC113" s="45">
        <v>17.850000000000001</v>
      </c>
      <c r="AD113" s="43" t="s">
        <v>95</v>
      </c>
      <c r="AE113" s="43" t="s">
        <v>95</v>
      </c>
      <c r="AF113" s="43" t="s">
        <v>95</v>
      </c>
      <c r="AG113" s="43" t="s">
        <v>95</v>
      </c>
      <c r="AH113" s="45">
        <v>0</v>
      </c>
      <c r="AI113" s="43" t="s">
        <v>95</v>
      </c>
      <c r="AJ113" s="43" t="s">
        <v>95</v>
      </c>
      <c r="AK113" s="43" t="s">
        <v>95</v>
      </c>
      <c r="AL113" s="43" t="s">
        <v>95</v>
      </c>
      <c r="AM113" s="45">
        <v>17.850000000000001</v>
      </c>
      <c r="AN113" s="43" t="s">
        <v>81</v>
      </c>
      <c r="AO113" s="44">
        <v>44912</v>
      </c>
      <c r="AP113" s="43" t="s">
        <v>187</v>
      </c>
      <c r="AQ113" s="43" t="s">
        <v>188</v>
      </c>
      <c r="AR113" s="43" t="s">
        <v>187</v>
      </c>
      <c r="AS113" s="43" t="s">
        <v>188</v>
      </c>
      <c r="AT113" s="43" t="s">
        <v>85</v>
      </c>
      <c r="AU113" s="43" t="s">
        <v>7030</v>
      </c>
      <c r="AV113" s="43" t="s">
        <v>7031</v>
      </c>
      <c r="AW113" s="43" t="s">
        <v>7031</v>
      </c>
      <c r="AX113" s="43" t="s">
        <v>90</v>
      </c>
      <c r="AY113" s="43" t="s">
        <v>132</v>
      </c>
      <c r="AZ113" s="43" t="s">
        <v>7037</v>
      </c>
      <c r="BA113" s="43" t="s">
        <v>139</v>
      </c>
      <c r="BB113" s="45">
        <v>33.93</v>
      </c>
      <c r="BC113" s="45">
        <v>33.93</v>
      </c>
      <c r="BD113" s="43" t="s">
        <v>7032</v>
      </c>
      <c r="BE113" s="43" t="s">
        <v>81</v>
      </c>
      <c r="BF113" s="43" t="s">
        <v>81</v>
      </c>
      <c r="BG113" s="43" t="s">
        <v>86</v>
      </c>
      <c r="BH113" s="43" t="s">
        <v>177</v>
      </c>
      <c r="BI113" s="43" t="s">
        <v>7038</v>
      </c>
      <c r="BJ113" s="43" t="s">
        <v>7030</v>
      </c>
      <c r="BK113" s="43" t="s">
        <v>139</v>
      </c>
      <c r="BL113" s="43" t="s">
        <v>85</v>
      </c>
      <c r="BM113" s="43" t="s">
        <v>85</v>
      </c>
      <c r="BN113" s="43" t="s">
        <v>139</v>
      </c>
      <c r="BO113" s="46">
        <v>33.93</v>
      </c>
      <c r="BP113" s="43" t="s">
        <v>7032</v>
      </c>
      <c r="BQ113" s="43">
        <v>33.93</v>
      </c>
      <c r="BR113" s="43" t="s">
        <v>7032</v>
      </c>
      <c r="BS113" s="47">
        <v>33.93</v>
      </c>
      <c r="BT113" s="43" t="s">
        <v>7032</v>
      </c>
      <c r="BU113" s="43" t="s">
        <v>7032</v>
      </c>
      <c r="BV113" s="43" t="str">
        <f>CambioPlan[[#This Row],[TELEFONO]]&amp;"UPSELLSI"</f>
        <v>987603411UPSELLSI</v>
      </c>
      <c r="BW113" s="43">
        <f>DAY(CambioPlan[[#This Row],[FECHA_CAMBIO_PLAN]])</f>
        <v>17</v>
      </c>
      <c r="BX113" s="43" t="str">
        <f>VLOOKUP(CambioPlan[[#This Row],[NOM_PLAZA]],[1]!Locales[#Data],3,0)</f>
        <v>TIENDA RECREO</v>
      </c>
      <c r="BY113" s="43" t="str">
        <f>VLOOKUP(CambioPlan[[#This Row],[DOMAIN_LOGIN_OW]],[1]!Personal[#Data],6,0)</f>
        <v>ESPINOZA MARTINES LAURA XIOMARA</v>
      </c>
      <c r="BZ113" s="43"/>
      <c r="CA113" s="43" t="str">
        <f>IFERROR(IF(FIND("ADULTO",CambioPlan[[#This Row],[DESCRIPCION_PLAN_ACTUAL]],1),"NO SE PAGA",),"SI SE PAGA")</f>
        <v>SI SE PAGA</v>
      </c>
      <c r="CB113" s="45">
        <f>CambioPlan[[#This Row],[TARIFA_BASICA_ACTUAL]]-CambioPlan[[#This Row],[TARIFA_BASICA_ANTERIOR]]</f>
        <v>33.93</v>
      </c>
      <c r="CC113" s="56">
        <f>CambioPlan[[#This Row],[DIF. TARIFAS]]*4</f>
        <v>135.72</v>
      </c>
      <c r="CD113" s="53" t="str">
        <f>IF(CambioPlan[[#This Row],[C. COMISIÓN TME]]&lt;0,"DOWNSELL",IF(CambioPlan[[#This Row],[C. COMISIÓN TME]]=0,"MISMA TARIFA",IF(CambioPlan[[#This Row],[C. COMISIÓN TME]]&gt;0,"UPSELL")))</f>
        <v>UPSELL</v>
      </c>
      <c r="CE113">
        <f>VLOOKUP(CambioPlan[[#This Row],[TARIFA_BASICA_ANTERIOR]],[3]Hoja1!$F:$G,2,0)</f>
        <v>2</v>
      </c>
      <c r="CF113">
        <f>VLOOKUP(CambioPlan[[#This Row],[TARIFA_BASICA_ACTUAL]],[3]Hoja1!$B:$C,2,0)</f>
        <v>6</v>
      </c>
      <c r="CG113">
        <f t="shared" si="1"/>
        <v>4</v>
      </c>
      <c r="CH113" t="e">
        <f>VLOOKUP(CambioPlan[[#This Row],[TELEFONO]],[1]Retenciones!$R$63:$R$287,1,0)</f>
        <v>#N/A</v>
      </c>
    </row>
    <row r="114" spans="1:86" x14ac:dyDescent="0.25">
      <c r="A114" s="43">
        <v>202212</v>
      </c>
      <c r="B114" s="44">
        <v>44914</v>
      </c>
      <c r="C114" s="43" t="s">
        <v>7445</v>
      </c>
      <c r="D114" s="43" t="s">
        <v>7446</v>
      </c>
      <c r="E114" s="43" t="s">
        <v>95</v>
      </c>
      <c r="F114" s="43" t="s">
        <v>77</v>
      </c>
      <c r="G114" s="43" t="s">
        <v>2241</v>
      </c>
      <c r="H114" s="43" t="s">
        <v>67</v>
      </c>
      <c r="I114" s="43" t="s">
        <v>7447</v>
      </c>
      <c r="J114" s="43" t="s">
        <v>7037</v>
      </c>
      <c r="K114" s="43" t="s">
        <v>84</v>
      </c>
      <c r="L114" s="43" t="s">
        <v>227</v>
      </c>
      <c r="M114" s="43" t="s">
        <v>426</v>
      </c>
      <c r="N114" s="43" t="s">
        <v>79</v>
      </c>
      <c r="O114" s="45">
        <v>21.42</v>
      </c>
      <c r="P114" s="43" t="s">
        <v>95</v>
      </c>
      <c r="Q114" s="43" t="s">
        <v>95</v>
      </c>
      <c r="R114" s="43" t="s">
        <v>95</v>
      </c>
      <c r="S114" s="45">
        <v>0</v>
      </c>
      <c r="T114" s="43" t="s">
        <v>95</v>
      </c>
      <c r="U114" s="44" t="s">
        <v>95</v>
      </c>
      <c r="V114" s="44" t="s">
        <v>95</v>
      </c>
      <c r="W114" s="43" t="s">
        <v>95</v>
      </c>
      <c r="X114" s="45">
        <v>21.42</v>
      </c>
      <c r="Y114" s="43" t="s">
        <v>81</v>
      </c>
      <c r="Z114" s="43" t="s">
        <v>130</v>
      </c>
      <c r="AA114" s="43" t="s">
        <v>433</v>
      </c>
      <c r="AB114" s="43" t="s">
        <v>79</v>
      </c>
      <c r="AC114" s="45">
        <v>15</v>
      </c>
      <c r="AD114" s="43" t="s">
        <v>95</v>
      </c>
      <c r="AE114" s="43" t="s">
        <v>95</v>
      </c>
      <c r="AF114" s="43" t="s">
        <v>95</v>
      </c>
      <c r="AG114" s="43" t="s">
        <v>95</v>
      </c>
      <c r="AH114" s="45">
        <v>0</v>
      </c>
      <c r="AI114" s="43" t="s">
        <v>95</v>
      </c>
      <c r="AJ114" s="43" t="s">
        <v>95</v>
      </c>
      <c r="AK114" s="43" t="s">
        <v>95</v>
      </c>
      <c r="AL114" s="43" t="s">
        <v>95</v>
      </c>
      <c r="AM114" s="45">
        <v>15</v>
      </c>
      <c r="AN114" s="43" t="s">
        <v>81</v>
      </c>
      <c r="AO114" s="44">
        <v>44911</v>
      </c>
      <c r="AP114" s="43" t="s">
        <v>492</v>
      </c>
      <c r="AQ114" s="43" t="s">
        <v>493</v>
      </c>
      <c r="AR114" s="43" t="s">
        <v>492</v>
      </c>
      <c r="AS114" s="43" t="s">
        <v>493</v>
      </c>
      <c r="AT114" s="43" t="s">
        <v>85</v>
      </c>
      <c r="AU114" s="43" t="s">
        <v>7030</v>
      </c>
      <c r="AV114" s="43" t="s">
        <v>7031</v>
      </c>
      <c r="AW114" s="43" t="s">
        <v>7031</v>
      </c>
      <c r="AX114" s="43" t="s">
        <v>90</v>
      </c>
      <c r="AY114" s="43" t="s">
        <v>132</v>
      </c>
      <c r="AZ114" s="43" t="s">
        <v>7037</v>
      </c>
      <c r="BA114" s="43" t="s">
        <v>139</v>
      </c>
      <c r="BB114" s="45">
        <v>6.42</v>
      </c>
      <c r="BC114" s="45">
        <v>6.42</v>
      </c>
      <c r="BD114" s="43" t="s">
        <v>7032</v>
      </c>
      <c r="BE114" s="43" t="s">
        <v>81</v>
      </c>
      <c r="BF114" s="43" t="s">
        <v>81</v>
      </c>
      <c r="BG114" s="43" t="s">
        <v>86</v>
      </c>
      <c r="BH114" s="43" t="s">
        <v>177</v>
      </c>
      <c r="BI114" s="43" t="s">
        <v>7038</v>
      </c>
      <c r="BJ114" s="43" t="s">
        <v>7030</v>
      </c>
      <c r="BK114" s="43" t="s">
        <v>139</v>
      </c>
      <c r="BL114" s="43" t="s">
        <v>85</v>
      </c>
      <c r="BM114" s="43" t="s">
        <v>85</v>
      </c>
      <c r="BN114" s="43" t="s">
        <v>139</v>
      </c>
      <c r="BO114" s="46">
        <v>6.42</v>
      </c>
      <c r="BP114" s="43" t="s">
        <v>7032</v>
      </c>
      <c r="BQ114" s="43">
        <v>6.42</v>
      </c>
      <c r="BR114" s="43" t="s">
        <v>7032</v>
      </c>
      <c r="BS114" s="47">
        <v>6.42</v>
      </c>
      <c r="BT114" s="43" t="s">
        <v>7032</v>
      </c>
      <c r="BU114" s="43" t="s">
        <v>7032</v>
      </c>
      <c r="BV114" s="43" t="str">
        <f>CambioPlan[[#This Row],[TELEFONO]]&amp;"UPSELLSI"</f>
        <v>987668513UPSELLSI</v>
      </c>
      <c r="BW114" s="43">
        <f>DAY(CambioPlan[[#This Row],[FECHA_CAMBIO_PLAN]])</f>
        <v>16</v>
      </c>
      <c r="BX114" s="43" t="str">
        <f>VLOOKUP(CambioPlan[[#This Row],[NOM_PLAZA]],[1]!Locales[#Data],3,0)</f>
        <v>TIENDA RECREO</v>
      </c>
      <c r="BY114" s="43" t="str">
        <f>VLOOKUP(CambioPlan[[#This Row],[DOMAIN_LOGIN_OW]],[1]!Personal[#Data],6,0)</f>
        <v>CONDO GARCIA NICOLAS MATIAS</v>
      </c>
      <c r="BZ114" s="43"/>
      <c r="CA114" s="43" t="str">
        <f>IFERROR(IF(FIND("ADULTO",CambioPlan[[#This Row],[DESCRIPCION_PLAN_ACTUAL]],1),"NO SE PAGA",),"SI SE PAGA")</f>
        <v>SI SE PAGA</v>
      </c>
      <c r="CB114" s="45">
        <f>CambioPlan[[#This Row],[TARIFA_BASICA_ACTUAL]]-CambioPlan[[#This Row],[TARIFA_BASICA_ANTERIOR]]</f>
        <v>6.4200000000000017</v>
      </c>
      <c r="CC114" s="56">
        <f>CambioPlan[[#This Row],[DIF. TARIFAS]]*4</f>
        <v>25.680000000000007</v>
      </c>
      <c r="CD114" s="53" t="str">
        <f>IF(CambioPlan[[#This Row],[C. COMISIÓN TME]]&lt;0,"DOWNSELL",IF(CambioPlan[[#This Row],[C. COMISIÓN TME]]=0,"MISMA TARIFA",IF(CambioPlan[[#This Row],[C. COMISIÓN TME]]&gt;0,"UPSELL")))</f>
        <v>UPSELL</v>
      </c>
      <c r="CE114">
        <f>VLOOKUP(CambioPlan[[#This Row],[TARIFA_BASICA_ANTERIOR]],[3]Hoja1!$F:$G,2,0)</f>
        <v>2</v>
      </c>
      <c r="CF114">
        <f>VLOOKUP(CambioPlan[[#This Row],[TARIFA_BASICA_ACTUAL]],[3]Hoja1!$B:$C,2,0)</f>
        <v>3</v>
      </c>
      <c r="CG114">
        <f t="shared" si="1"/>
        <v>1</v>
      </c>
      <c r="CH114" t="e">
        <f>VLOOKUP(CambioPlan[[#This Row],[TELEFONO]],[1]Retenciones!$R$63:$R$287,1,0)</f>
        <v>#N/A</v>
      </c>
    </row>
    <row r="115" spans="1:86" x14ac:dyDescent="0.25">
      <c r="A115" s="43">
        <v>202212</v>
      </c>
      <c r="B115" s="44">
        <v>44914</v>
      </c>
      <c r="C115" s="43" t="s">
        <v>7448</v>
      </c>
      <c r="D115" s="43" t="s">
        <v>7449</v>
      </c>
      <c r="E115" s="43" t="s">
        <v>95</v>
      </c>
      <c r="F115" s="43" t="s">
        <v>77</v>
      </c>
      <c r="G115" s="43" t="s">
        <v>2241</v>
      </c>
      <c r="H115" s="43" t="s">
        <v>246</v>
      </c>
      <c r="I115" s="43" t="s">
        <v>7450</v>
      </c>
      <c r="J115" s="43" t="s">
        <v>7037</v>
      </c>
      <c r="K115" s="43" t="s">
        <v>84</v>
      </c>
      <c r="L115" s="43" t="s">
        <v>6724</v>
      </c>
      <c r="M115" s="43" t="s">
        <v>6725</v>
      </c>
      <c r="N115" s="43" t="s">
        <v>79</v>
      </c>
      <c r="O115" s="45">
        <v>26.78</v>
      </c>
      <c r="P115" s="43" t="s">
        <v>95</v>
      </c>
      <c r="Q115" s="43" t="s">
        <v>95</v>
      </c>
      <c r="R115" s="43" t="s">
        <v>95</v>
      </c>
      <c r="S115" s="45">
        <v>0</v>
      </c>
      <c r="T115" s="43" t="s">
        <v>95</v>
      </c>
      <c r="U115" s="44" t="s">
        <v>95</v>
      </c>
      <c r="V115" s="44" t="s">
        <v>95</v>
      </c>
      <c r="W115" s="43" t="s">
        <v>95</v>
      </c>
      <c r="X115" s="45">
        <v>26.78</v>
      </c>
      <c r="Y115" s="43" t="s">
        <v>81</v>
      </c>
      <c r="Z115" s="43" t="s">
        <v>2207</v>
      </c>
      <c r="AA115" s="43" t="s">
        <v>2208</v>
      </c>
      <c r="AB115" s="43" t="s">
        <v>79</v>
      </c>
      <c r="AC115" s="45">
        <v>15</v>
      </c>
      <c r="AD115" s="43" t="s">
        <v>95</v>
      </c>
      <c r="AE115" s="43" t="s">
        <v>95</v>
      </c>
      <c r="AF115" s="43" t="s">
        <v>95</v>
      </c>
      <c r="AG115" s="43" t="s">
        <v>95</v>
      </c>
      <c r="AH115" s="45">
        <v>0</v>
      </c>
      <c r="AI115" s="43" t="s">
        <v>95</v>
      </c>
      <c r="AJ115" s="43" t="s">
        <v>95</v>
      </c>
      <c r="AK115" s="43" t="s">
        <v>95</v>
      </c>
      <c r="AL115" s="43" t="s">
        <v>95</v>
      </c>
      <c r="AM115" s="45">
        <v>15</v>
      </c>
      <c r="AN115" s="43" t="s">
        <v>81</v>
      </c>
      <c r="AO115" s="44">
        <v>44901</v>
      </c>
      <c r="AP115" s="43" t="s">
        <v>822</v>
      </c>
      <c r="AQ115" s="43" t="s">
        <v>823</v>
      </c>
      <c r="AR115" s="43" t="s">
        <v>822</v>
      </c>
      <c r="AS115" s="43" t="s">
        <v>823</v>
      </c>
      <c r="AT115" s="43" t="s">
        <v>85</v>
      </c>
      <c r="AU115" s="43" t="s">
        <v>7030</v>
      </c>
      <c r="AV115" s="43" t="s">
        <v>7031</v>
      </c>
      <c r="AW115" s="43" t="s">
        <v>7031</v>
      </c>
      <c r="AX115" s="43" t="s">
        <v>90</v>
      </c>
      <c r="AY115" s="43" t="s">
        <v>132</v>
      </c>
      <c r="AZ115" s="43" t="s">
        <v>7037</v>
      </c>
      <c r="BA115" s="43" t="s">
        <v>139</v>
      </c>
      <c r="BB115" s="45">
        <v>11.78</v>
      </c>
      <c r="BC115" s="45">
        <v>11.78</v>
      </c>
      <c r="BD115" s="43" t="s">
        <v>7032</v>
      </c>
      <c r="BE115" s="43" t="s">
        <v>81</v>
      </c>
      <c r="BF115" s="43" t="s">
        <v>81</v>
      </c>
      <c r="BG115" s="43" t="s">
        <v>86</v>
      </c>
      <c r="BH115" s="43" t="s">
        <v>177</v>
      </c>
      <c r="BI115" s="43" t="s">
        <v>7038</v>
      </c>
      <c r="BJ115" s="43" t="s">
        <v>7030</v>
      </c>
      <c r="BK115" s="43" t="s">
        <v>139</v>
      </c>
      <c r="BL115" s="43" t="s">
        <v>85</v>
      </c>
      <c r="BM115" s="43" t="s">
        <v>85</v>
      </c>
      <c r="BN115" s="43" t="s">
        <v>139</v>
      </c>
      <c r="BO115" s="46">
        <v>11.78</v>
      </c>
      <c r="BP115" s="43" t="s">
        <v>7032</v>
      </c>
      <c r="BQ115" s="43">
        <v>11.78</v>
      </c>
      <c r="BR115" s="43" t="s">
        <v>7032</v>
      </c>
      <c r="BS115" s="47">
        <v>11.78</v>
      </c>
      <c r="BT115" s="43" t="s">
        <v>7032</v>
      </c>
      <c r="BU115" s="43" t="s">
        <v>7032</v>
      </c>
      <c r="BV115" s="43" t="str">
        <f>CambioPlan[[#This Row],[TELEFONO]]&amp;"UPSELLSI"</f>
        <v>987692863UPSELLSI</v>
      </c>
      <c r="BW115" s="43">
        <f>DAY(CambioPlan[[#This Row],[FECHA_CAMBIO_PLAN]])</f>
        <v>6</v>
      </c>
      <c r="BX115" s="43" t="str">
        <f>VLOOKUP(CambioPlan[[#This Row],[NOM_PLAZA]],[1]!Locales[#Data],3,0)</f>
        <v>TIENDA RECREO</v>
      </c>
      <c r="BY115" s="43" t="str">
        <f>VLOOKUP(CambioPlan[[#This Row],[DOMAIN_LOGIN_OW]],[1]!Personal[#Data],6,0)</f>
        <v>SALAS PARRA MARIA JOSE</v>
      </c>
      <c r="BZ115" s="43"/>
      <c r="CA115" s="43" t="str">
        <f>IFERROR(IF(FIND("ADULTO",CambioPlan[[#This Row],[DESCRIPCION_PLAN_ACTUAL]],1),"NO SE PAGA",),"SI SE PAGA")</f>
        <v>SI SE PAGA</v>
      </c>
      <c r="CB115" s="45">
        <f>CambioPlan[[#This Row],[TARIFA_BASICA_ACTUAL]]-CambioPlan[[#This Row],[TARIFA_BASICA_ANTERIOR]]</f>
        <v>11.780000000000001</v>
      </c>
      <c r="CC115" s="56">
        <f>CambioPlan[[#This Row],[DIF. TARIFAS]]*4</f>
        <v>47.120000000000005</v>
      </c>
      <c r="CD115" s="53" t="str">
        <f>IF(CambioPlan[[#This Row],[C. COMISIÓN TME]]&lt;0,"DOWNSELL",IF(CambioPlan[[#This Row],[C. COMISIÓN TME]]=0,"MISMA TARIFA",IF(CambioPlan[[#This Row],[C. COMISIÓN TME]]&gt;0,"UPSELL")))</f>
        <v>UPSELL</v>
      </c>
      <c r="CE115">
        <f>VLOOKUP(CambioPlan[[#This Row],[TARIFA_BASICA_ANTERIOR]],[3]Hoja1!$F:$G,2,0)</f>
        <v>2</v>
      </c>
      <c r="CF115">
        <f>VLOOKUP(CambioPlan[[#This Row],[TARIFA_BASICA_ACTUAL]],[3]Hoja1!$B:$C,2,0)</f>
        <v>4</v>
      </c>
      <c r="CG115">
        <f t="shared" si="1"/>
        <v>2</v>
      </c>
      <c r="CH115" t="e">
        <f>VLOOKUP(CambioPlan[[#This Row],[TELEFONO]],[1]Retenciones!$R$63:$R$287,1,0)</f>
        <v>#N/A</v>
      </c>
    </row>
    <row r="116" spans="1:86" x14ac:dyDescent="0.25">
      <c r="A116" s="43">
        <v>202212</v>
      </c>
      <c r="B116" s="44">
        <v>44914</v>
      </c>
      <c r="C116" s="43" t="s">
        <v>7451</v>
      </c>
      <c r="D116" s="43" t="s">
        <v>7452</v>
      </c>
      <c r="E116" s="43" t="s">
        <v>95</v>
      </c>
      <c r="F116" s="43" t="s">
        <v>231</v>
      </c>
      <c r="G116" s="43" t="s">
        <v>231</v>
      </c>
      <c r="H116" s="43" t="s">
        <v>67</v>
      </c>
      <c r="I116" s="43" t="s">
        <v>7453</v>
      </c>
      <c r="J116" s="43" t="s">
        <v>7037</v>
      </c>
      <c r="K116" s="43" t="s">
        <v>215</v>
      </c>
      <c r="L116" s="43" t="s">
        <v>7069</v>
      </c>
      <c r="M116" s="43" t="s">
        <v>7070</v>
      </c>
      <c r="N116" s="43" t="s">
        <v>79</v>
      </c>
      <c r="O116" s="45">
        <v>21.42</v>
      </c>
      <c r="P116" s="43" t="s">
        <v>95</v>
      </c>
      <c r="Q116" s="43" t="s">
        <v>95</v>
      </c>
      <c r="R116" s="43" t="s">
        <v>95</v>
      </c>
      <c r="S116" s="45">
        <v>0</v>
      </c>
      <c r="T116" s="43" t="s">
        <v>95</v>
      </c>
      <c r="U116" s="44" t="s">
        <v>95</v>
      </c>
      <c r="V116" s="44" t="s">
        <v>95</v>
      </c>
      <c r="W116" s="43" t="s">
        <v>95</v>
      </c>
      <c r="X116" s="45">
        <v>21.42</v>
      </c>
      <c r="Y116" s="43" t="s">
        <v>81</v>
      </c>
      <c r="Z116" s="43" t="s">
        <v>7454</v>
      </c>
      <c r="AA116" s="43" t="s">
        <v>7455</v>
      </c>
      <c r="AB116" s="43" t="s">
        <v>79</v>
      </c>
      <c r="AC116" s="45">
        <v>20</v>
      </c>
      <c r="AD116" s="43" t="s">
        <v>95</v>
      </c>
      <c r="AE116" s="43" t="s">
        <v>95</v>
      </c>
      <c r="AF116" s="43" t="s">
        <v>95</v>
      </c>
      <c r="AG116" s="43" t="s">
        <v>95</v>
      </c>
      <c r="AH116" s="45">
        <v>0</v>
      </c>
      <c r="AI116" s="43" t="s">
        <v>95</v>
      </c>
      <c r="AJ116" s="43" t="s">
        <v>95</v>
      </c>
      <c r="AK116" s="43" t="s">
        <v>95</v>
      </c>
      <c r="AL116" s="43" t="s">
        <v>95</v>
      </c>
      <c r="AM116" s="45">
        <v>20</v>
      </c>
      <c r="AN116" s="43" t="s">
        <v>81</v>
      </c>
      <c r="AO116" s="44">
        <v>44909</v>
      </c>
      <c r="AP116" s="43" t="s">
        <v>541</v>
      </c>
      <c r="AQ116" s="43" t="s">
        <v>542</v>
      </c>
      <c r="AR116" s="43" t="s">
        <v>541</v>
      </c>
      <c r="AS116" s="43" t="s">
        <v>542</v>
      </c>
      <c r="AT116" s="43" t="s">
        <v>85</v>
      </c>
      <c r="AU116" s="43" t="s">
        <v>7030</v>
      </c>
      <c r="AV116" s="43" t="s">
        <v>7031</v>
      </c>
      <c r="AW116" s="43" t="s">
        <v>7031</v>
      </c>
      <c r="AX116" s="43" t="s">
        <v>90</v>
      </c>
      <c r="AY116" s="43" t="s">
        <v>132</v>
      </c>
      <c r="AZ116" s="43" t="s">
        <v>7037</v>
      </c>
      <c r="BA116" s="43" t="s">
        <v>139</v>
      </c>
      <c r="BB116" s="45">
        <v>1.42</v>
      </c>
      <c r="BC116" s="45">
        <v>1.42</v>
      </c>
      <c r="BD116" s="43" t="s">
        <v>7032</v>
      </c>
      <c r="BE116" s="43" t="s">
        <v>81</v>
      </c>
      <c r="BF116" s="43" t="s">
        <v>81</v>
      </c>
      <c r="BG116" s="43" t="s">
        <v>86</v>
      </c>
      <c r="BH116" s="43" t="s">
        <v>138</v>
      </c>
      <c r="BI116" s="43" t="s">
        <v>7076</v>
      </c>
      <c r="BJ116" s="43" t="s">
        <v>7030</v>
      </c>
      <c r="BK116" s="43" t="s">
        <v>139</v>
      </c>
      <c r="BL116" s="43" t="s">
        <v>85</v>
      </c>
      <c r="BM116" s="43" t="s">
        <v>85</v>
      </c>
      <c r="BN116" s="43" t="s">
        <v>139</v>
      </c>
      <c r="BO116" s="46">
        <v>1.42</v>
      </c>
      <c r="BP116" s="43" t="s">
        <v>7032</v>
      </c>
      <c r="BQ116" s="43">
        <v>1.42</v>
      </c>
      <c r="BR116" s="43" t="s">
        <v>7032</v>
      </c>
      <c r="BS116" s="47">
        <v>1.42</v>
      </c>
      <c r="BT116" s="43" t="s">
        <v>7032</v>
      </c>
      <c r="BU116" s="43" t="s">
        <v>7032</v>
      </c>
      <c r="BV116" s="43" t="str">
        <f>CambioPlan[[#This Row],[TELEFONO]]&amp;"UPSELLSI"</f>
        <v>987733561UPSELLSI</v>
      </c>
      <c r="BW116" s="43">
        <f>DAY(CambioPlan[[#This Row],[FECHA_CAMBIO_PLAN]])</f>
        <v>14</v>
      </c>
      <c r="BX116" s="43" t="str">
        <f>VLOOKUP(CambioPlan[[#This Row],[NOM_PLAZA]],[1]!Locales[#Data],3,0)</f>
        <v>TIENDA AMERICA</v>
      </c>
      <c r="BY116" s="43" t="str">
        <f>VLOOKUP(CambioPlan[[#This Row],[DOMAIN_LOGIN_OW]],[1]!Personal[#Data],6,0)</f>
        <v>CEVALLOS PONCE DIANA CAROLINA</v>
      </c>
      <c r="BZ116" s="43"/>
      <c r="CA116" s="43" t="str">
        <f>IFERROR(IF(FIND("ADULTO",CambioPlan[[#This Row],[DESCRIPCION_PLAN_ACTUAL]],1),"NO SE PAGA",),"SI SE PAGA")</f>
        <v>SI SE PAGA</v>
      </c>
      <c r="CB116" s="45">
        <f>CambioPlan[[#This Row],[TARIFA_BASICA_ACTUAL]]-CambioPlan[[#This Row],[TARIFA_BASICA_ANTERIOR]]</f>
        <v>1.4200000000000017</v>
      </c>
      <c r="CC116" s="56">
        <f>CambioPlan[[#This Row],[DIF. TARIFAS]]*4</f>
        <v>5.6800000000000068</v>
      </c>
      <c r="CD116" s="53" t="str">
        <f>IF(CambioPlan[[#This Row],[C. COMISIÓN TME]]&lt;0,"DOWNSELL",IF(CambioPlan[[#This Row],[C. COMISIÓN TME]]=0,"MISMA TARIFA",IF(CambioPlan[[#This Row],[C. COMISIÓN TME]]&gt;0,"UPSELL")))</f>
        <v>UPSELL</v>
      </c>
      <c r="CE116">
        <f>VLOOKUP(CambioPlan[[#This Row],[TARIFA_BASICA_ANTERIOR]],[3]Hoja1!$F:$G,2,0)</f>
        <v>3</v>
      </c>
      <c r="CF116">
        <f>VLOOKUP(CambioPlan[[#This Row],[TARIFA_BASICA_ACTUAL]],[3]Hoja1!$B:$C,2,0)</f>
        <v>3</v>
      </c>
      <c r="CG116">
        <f t="shared" si="1"/>
        <v>0</v>
      </c>
      <c r="CH116" t="e">
        <f>VLOOKUP(CambioPlan[[#This Row],[TELEFONO]],[1]Retenciones!$R$63:$R$287,1,0)</f>
        <v>#N/A</v>
      </c>
    </row>
    <row r="117" spans="1:86" x14ac:dyDescent="0.25">
      <c r="A117" s="43">
        <v>202212</v>
      </c>
      <c r="B117" s="44">
        <v>44914</v>
      </c>
      <c r="C117" s="43" t="s">
        <v>7456</v>
      </c>
      <c r="D117" s="43" t="s">
        <v>7457</v>
      </c>
      <c r="E117" s="43" t="s">
        <v>95</v>
      </c>
      <c r="F117" s="43" t="s">
        <v>77</v>
      </c>
      <c r="G117" s="43" t="s">
        <v>1532</v>
      </c>
      <c r="H117" s="43" t="s">
        <v>246</v>
      </c>
      <c r="I117" s="43" t="s">
        <v>7458</v>
      </c>
      <c r="J117" s="43" t="s">
        <v>7037</v>
      </c>
      <c r="K117" s="43" t="s">
        <v>215</v>
      </c>
      <c r="L117" s="43" t="s">
        <v>4963</v>
      </c>
      <c r="M117" s="43" t="s">
        <v>4964</v>
      </c>
      <c r="N117" s="43" t="s">
        <v>79</v>
      </c>
      <c r="O117" s="45">
        <v>32.130000000000003</v>
      </c>
      <c r="P117" s="43" t="s">
        <v>95</v>
      </c>
      <c r="Q117" s="43" t="s">
        <v>95</v>
      </c>
      <c r="R117" s="43" t="s">
        <v>95</v>
      </c>
      <c r="S117" s="45">
        <v>0</v>
      </c>
      <c r="T117" s="43" t="s">
        <v>95</v>
      </c>
      <c r="U117" s="44" t="s">
        <v>95</v>
      </c>
      <c r="V117" s="44" t="s">
        <v>95</v>
      </c>
      <c r="W117" s="43" t="s">
        <v>95</v>
      </c>
      <c r="X117" s="45">
        <v>32.130000000000003</v>
      </c>
      <c r="Y117" s="43" t="s">
        <v>81</v>
      </c>
      <c r="Z117" s="43" t="s">
        <v>2207</v>
      </c>
      <c r="AA117" s="43" t="s">
        <v>2208</v>
      </c>
      <c r="AB117" s="43" t="s">
        <v>79</v>
      </c>
      <c r="AC117" s="45">
        <v>15</v>
      </c>
      <c r="AD117" s="43" t="s">
        <v>95</v>
      </c>
      <c r="AE117" s="43" t="s">
        <v>95</v>
      </c>
      <c r="AF117" s="43" t="s">
        <v>95</v>
      </c>
      <c r="AG117" s="43" t="s">
        <v>95</v>
      </c>
      <c r="AH117" s="45">
        <v>0</v>
      </c>
      <c r="AI117" s="43" t="s">
        <v>95</v>
      </c>
      <c r="AJ117" s="43" t="s">
        <v>95</v>
      </c>
      <c r="AK117" s="43" t="s">
        <v>95</v>
      </c>
      <c r="AL117" s="43" t="s">
        <v>95</v>
      </c>
      <c r="AM117" s="45">
        <v>15</v>
      </c>
      <c r="AN117" s="43" t="s">
        <v>81</v>
      </c>
      <c r="AO117" s="44">
        <v>44897</v>
      </c>
      <c r="AP117" s="43" t="s">
        <v>262</v>
      </c>
      <c r="AQ117" s="43" t="s">
        <v>263</v>
      </c>
      <c r="AR117" s="43" t="s">
        <v>262</v>
      </c>
      <c r="AS117" s="43" t="s">
        <v>263</v>
      </c>
      <c r="AT117" s="43" t="s">
        <v>85</v>
      </c>
      <c r="AU117" s="43" t="s">
        <v>7030</v>
      </c>
      <c r="AV117" s="43" t="s">
        <v>7031</v>
      </c>
      <c r="AW117" s="43" t="s">
        <v>7031</v>
      </c>
      <c r="AX117" s="43" t="s">
        <v>90</v>
      </c>
      <c r="AY117" s="43" t="s">
        <v>132</v>
      </c>
      <c r="AZ117" s="43" t="s">
        <v>7037</v>
      </c>
      <c r="BA117" s="43" t="s">
        <v>139</v>
      </c>
      <c r="BB117" s="45">
        <v>17.13</v>
      </c>
      <c r="BC117" s="45">
        <v>17.13</v>
      </c>
      <c r="BD117" s="43" t="s">
        <v>7032</v>
      </c>
      <c r="BE117" s="43" t="s">
        <v>81</v>
      </c>
      <c r="BF117" s="43" t="s">
        <v>81</v>
      </c>
      <c r="BG117" s="43" t="s">
        <v>86</v>
      </c>
      <c r="BH117" s="43" t="s">
        <v>177</v>
      </c>
      <c r="BI117" s="43" t="s">
        <v>7038</v>
      </c>
      <c r="BJ117" s="43" t="s">
        <v>7030</v>
      </c>
      <c r="BK117" s="43" t="s">
        <v>139</v>
      </c>
      <c r="BL117" s="43" t="s">
        <v>85</v>
      </c>
      <c r="BM117" s="43" t="s">
        <v>85</v>
      </c>
      <c r="BN117" s="43" t="s">
        <v>139</v>
      </c>
      <c r="BO117" s="46">
        <v>17.13</v>
      </c>
      <c r="BP117" s="43" t="s">
        <v>7032</v>
      </c>
      <c r="BQ117" s="43">
        <v>17.13</v>
      </c>
      <c r="BR117" s="43" t="s">
        <v>7032</v>
      </c>
      <c r="BS117" s="47">
        <v>17.13</v>
      </c>
      <c r="BT117" s="43" t="s">
        <v>7032</v>
      </c>
      <c r="BU117" s="43" t="s">
        <v>7032</v>
      </c>
      <c r="BV117" s="43" t="str">
        <f>CambioPlan[[#This Row],[TELEFONO]]&amp;"UPSELLSI"</f>
        <v>987736142UPSELLSI</v>
      </c>
      <c r="BW117" s="43">
        <f>DAY(CambioPlan[[#This Row],[FECHA_CAMBIO_PLAN]])</f>
        <v>2</v>
      </c>
      <c r="BX117" s="43" t="str">
        <f>VLOOKUP(CambioPlan[[#This Row],[NOM_PLAZA]],[1]!Locales[#Data],3,0)</f>
        <v>TIENDA RECREO</v>
      </c>
      <c r="BY117" s="43" t="str">
        <f>VLOOKUP(CambioPlan[[#This Row],[DOMAIN_LOGIN_OW]],[1]!Personal[#Data],6,0)</f>
        <v>CHICAIZA TOAPANTA ALEX DANILO</v>
      </c>
      <c r="BZ117" s="43"/>
      <c r="CA117" s="43" t="str">
        <f>IFERROR(IF(FIND("ADULTO",CambioPlan[[#This Row],[DESCRIPCION_PLAN_ACTUAL]],1),"NO SE PAGA",),"SI SE PAGA")</f>
        <v>SI SE PAGA</v>
      </c>
      <c r="CB117" s="45">
        <f>CambioPlan[[#This Row],[TARIFA_BASICA_ACTUAL]]-CambioPlan[[#This Row],[TARIFA_BASICA_ANTERIOR]]</f>
        <v>17.130000000000003</v>
      </c>
      <c r="CC117" s="56">
        <f>CambioPlan[[#This Row],[DIF. TARIFAS]]*4</f>
        <v>68.52000000000001</v>
      </c>
      <c r="CD117" s="53" t="str">
        <f>IF(CambioPlan[[#This Row],[C. COMISIÓN TME]]&lt;0,"DOWNSELL",IF(CambioPlan[[#This Row],[C. COMISIÓN TME]]=0,"MISMA TARIFA",IF(CambioPlan[[#This Row],[C. COMISIÓN TME]]&gt;0,"UPSELL")))</f>
        <v>UPSELL</v>
      </c>
      <c r="CE117">
        <f>VLOOKUP(CambioPlan[[#This Row],[TARIFA_BASICA_ANTERIOR]],[3]Hoja1!$F:$G,2,0)</f>
        <v>2</v>
      </c>
      <c r="CF117">
        <f>VLOOKUP(CambioPlan[[#This Row],[TARIFA_BASICA_ACTUAL]],[3]Hoja1!$B:$C,2,0)</f>
        <v>5</v>
      </c>
      <c r="CG117">
        <f t="shared" si="1"/>
        <v>3</v>
      </c>
      <c r="CH117" t="e">
        <f>VLOOKUP(CambioPlan[[#This Row],[TELEFONO]],[1]Retenciones!$R$63:$R$287,1,0)</f>
        <v>#N/A</v>
      </c>
    </row>
    <row r="118" spans="1:86" x14ac:dyDescent="0.25">
      <c r="A118" s="43">
        <v>202212</v>
      </c>
      <c r="B118" s="44">
        <v>44914</v>
      </c>
      <c r="C118" s="43" t="s">
        <v>7459</v>
      </c>
      <c r="D118" s="43" t="s">
        <v>7460</v>
      </c>
      <c r="E118" s="43" t="s">
        <v>95</v>
      </c>
      <c r="F118" s="43" t="s">
        <v>77</v>
      </c>
      <c r="G118" s="43" t="s">
        <v>2241</v>
      </c>
      <c r="H118" s="43" t="s">
        <v>67</v>
      </c>
      <c r="I118" s="43" t="s">
        <v>2619</v>
      </c>
      <c r="J118" s="43" t="s">
        <v>7037</v>
      </c>
      <c r="K118" s="43" t="s">
        <v>118</v>
      </c>
      <c r="L118" s="43" t="s">
        <v>1357</v>
      </c>
      <c r="M118" s="43" t="s">
        <v>2022</v>
      </c>
      <c r="N118" s="43" t="s">
        <v>79</v>
      </c>
      <c r="O118" s="45">
        <v>11.42</v>
      </c>
      <c r="P118" s="43" t="s">
        <v>95</v>
      </c>
      <c r="Q118" s="43" t="s">
        <v>95</v>
      </c>
      <c r="R118" s="43" t="s">
        <v>95</v>
      </c>
      <c r="S118" s="45">
        <v>0</v>
      </c>
      <c r="T118" s="43" t="s">
        <v>95</v>
      </c>
      <c r="U118" s="44" t="s">
        <v>95</v>
      </c>
      <c r="V118" s="44" t="s">
        <v>95</v>
      </c>
      <c r="W118" s="43" t="s">
        <v>95</v>
      </c>
      <c r="X118" s="45">
        <v>11.42</v>
      </c>
      <c r="Y118" s="43" t="s">
        <v>81</v>
      </c>
      <c r="Z118" s="43" t="s">
        <v>7184</v>
      </c>
      <c r="AA118" s="43" t="s">
        <v>7185</v>
      </c>
      <c r="AB118" s="43" t="s">
        <v>79</v>
      </c>
      <c r="AC118" s="45">
        <v>10.54</v>
      </c>
      <c r="AD118" s="43" t="s">
        <v>95</v>
      </c>
      <c r="AE118" s="43" t="s">
        <v>95</v>
      </c>
      <c r="AF118" s="43" t="s">
        <v>95</v>
      </c>
      <c r="AG118" s="43" t="s">
        <v>95</v>
      </c>
      <c r="AH118" s="45">
        <v>0</v>
      </c>
      <c r="AI118" s="43" t="s">
        <v>95</v>
      </c>
      <c r="AJ118" s="43" t="s">
        <v>95</v>
      </c>
      <c r="AK118" s="43" t="s">
        <v>95</v>
      </c>
      <c r="AL118" s="43" t="s">
        <v>95</v>
      </c>
      <c r="AM118" s="45">
        <v>10.54</v>
      </c>
      <c r="AN118" s="43" t="s">
        <v>81</v>
      </c>
      <c r="AO118" s="44">
        <v>44905</v>
      </c>
      <c r="AP118" s="43" t="s">
        <v>492</v>
      </c>
      <c r="AQ118" s="43" t="s">
        <v>493</v>
      </c>
      <c r="AR118" s="43" t="s">
        <v>492</v>
      </c>
      <c r="AS118" s="43" t="s">
        <v>493</v>
      </c>
      <c r="AT118" s="43" t="s">
        <v>85</v>
      </c>
      <c r="AU118" s="43" t="s">
        <v>7030</v>
      </c>
      <c r="AV118" s="43" t="s">
        <v>7031</v>
      </c>
      <c r="AW118" s="43" t="s">
        <v>7031</v>
      </c>
      <c r="AX118" s="43" t="s">
        <v>90</v>
      </c>
      <c r="AY118" s="43" t="s">
        <v>132</v>
      </c>
      <c r="AZ118" s="43" t="s">
        <v>7037</v>
      </c>
      <c r="BA118" s="43" t="s">
        <v>139</v>
      </c>
      <c r="BB118" s="45">
        <v>0.880000000000001</v>
      </c>
      <c r="BC118" s="45">
        <v>0.87999999999999901</v>
      </c>
      <c r="BD118" s="43" t="s">
        <v>7032</v>
      </c>
      <c r="BE118" s="43" t="s">
        <v>81</v>
      </c>
      <c r="BF118" s="43" t="s">
        <v>81</v>
      </c>
      <c r="BG118" s="43" t="s">
        <v>86</v>
      </c>
      <c r="BH118" s="43" t="s">
        <v>177</v>
      </c>
      <c r="BI118" s="43" t="s">
        <v>7038</v>
      </c>
      <c r="BJ118" s="43" t="s">
        <v>7030</v>
      </c>
      <c r="BK118" s="43" t="s">
        <v>139</v>
      </c>
      <c r="BL118" s="43" t="s">
        <v>85</v>
      </c>
      <c r="BM118" s="43" t="s">
        <v>85</v>
      </c>
      <c r="BN118" s="43" t="s">
        <v>139</v>
      </c>
      <c r="BO118" s="46">
        <v>0.87999999999999901</v>
      </c>
      <c r="BP118" s="43" t="s">
        <v>7032</v>
      </c>
      <c r="BQ118" s="43">
        <v>0.87999999999999901</v>
      </c>
      <c r="BR118" s="43" t="s">
        <v>7032</v>
      </c>
      <c r="BS118" s="47">
        <v>0.87999999999999901</v>
      </c>
      <c r="BT118" s="43" t="s">
        <v>7032</v>
      </c>
      <c r="BU118" s="43" t="s">
        <v>7092</v>
      </c>
      <c r="BV118" s="43" t="str">
        <f>CambioPlan[[#This Row],[TELEFONO]]&amp;"UPSELLSI"</f>
        <v>987740883UPSELLSI</v>
      </c>
      <c r="BW118" s="43">
        <f>DAY(CambioPlan[[#This Row],[FECHA_CAMBIO_PLAN]])</f>
        <v>10</v>
      </c>
      <c r="BX118" s="43" t="str">
        <f>VLOOKUP(CambioPlan[[#This Row],[NOM_PLAZA]],[1]!Locales[#Data],3,0)</f>
        <v>TIENDA RECREO</v>
      </c>
      <c r="BY118" s="43" t="str">
        <f>VLOOKUP(CambioPlan[[#This Row],[DOMAIN_LOGIN_OW]],[1]!Personal[#Data],6,0)</f>
        <v>CONDO GARCIA NICOLAS MATIAS</v>
      </c>
      <c r="BZ118" s="43"/>
      <c r="CA118" s="43" t="str">
        <f>IFERROR(IF(FIND("ADULTO",CambioPlan[[#This Row],[DESCRIPCION_PLAN_ACTUAL]],1),"NO SE PAGA",),"SI SE PAGA")</f>
        <v>SI SE PAGA</v>
      </c>
      <c r="CB118" s="45">
        <f>CambioPlan[[#This Row],[TARIFA_BASICA_ACTUAL]]-CambioPlan[[#This Row],[TARIFA_BASICA_ANTERIOR]]</f>
        <v>0.88000000000000078</v>
      </c>
      <c r="CC118" s="56">
        <f>CambioPlan[[#This Row],[DIF. TARIFAS]]*4</f>
        <v>3.5200000000000031</v>
      </c>
      <c r="CD118" s="53" t="str">
        <f>IF(CambioPlan[[#This Row],[C. COMISIÓN TME]]&lt;0,"DOWNSELL",IF(CambioPlan[[#This Row],[C. COMISIÓN TME]]=0,"MISMA TARIFA",IF(CambioPlan[[#This Row],[C. COMISIÓN TME]]&gt;0,"UPSELL")))</f>
        <v>UPSELL</v>
      </c>
      <c r="CE118">
        <f>VLOOKUP(CambioPlan[[#This Row],[TARIFA_BASICA_ANTERIOR]],[3]Hoja1!$F:$G,2,0)</f>
        <v>0</v>
      </c>
      <c r="CF118">
        <f>VLOOKUP(CambioPlan[[#This Row],[TARIFA_BASICA_ACTUAL]],[3]Hoja1!$B:$C,2,0)</f>
        <v>0</v>
      </c>
      <c r="CG118">
        <f t="shared" si="1"/>
        <v>0</v>
      </c>
      <c r="CH118" t="e">
        <f>VLOOKUP(CambioPlan[[#This Row],[TELEFONO]],[1]Retenciones!$R$63:$R$287,1,0)</f>
        <v>#N/A</v>
      </c>
    </row>
    <row r="119" spans="1:86" x14ac:dyDescent="0.25">
      <c r="A119" s="43">
        <v>202212</v>
      </c>
      <c r="B119" s="44">
        <v>44914</v>
      </c>
      <c r="C119" s="43" t="s">
        <v>7461</v>
      </c>
      <c r="D119" s="43" t="s">
        <v>7462</v>
      </c>
      <c r="E119" s="43" t="s">
        <v>95</v>
      </c>
      <c r="F119" s="43" t="s">
        <v>77</v>
      </c>
      <c r="G119" s="43" t="s">
        <v>164</v>
      </c>
      <c r="H119" s="43" t="s">
        <v>67</v>
      </c>
      <c r="I119" s="43" t="s">
        <v>7463</v>
      </c>
      <c r="J119" s="43" t="s">
        <v>7029</v>
      </c>
      <c r="K119" s="43" t="s">
        <v>84</v>
      </c>
      <c r="L119" s="43" t="s">
        <v>71</v>
      </c>
      <c r="M119" s="43" t="s">
        <v>258</v>
      </c>
      <c r="N119" s="43" t="s">
        <v>79</v>
      </c>
      <c r="O119" s="45">
        <v>11.42</v>
      </c>
      <c r="P119" s="43" t="s">
        <v>95</v>
      </c>
      <c r="Q119" s="43" t="s">
        <v>95</v>
      </c>
      <c r="R119" s="43" t="s">
        <v>95</v>
      </c>
      <c r="S119" s="45">
        <v>0</v>
      </c>
      <c r="T119" s="43" t="s">
        <v>95</v>
      </c>
      <c r="U119" s="44" t="s">
        <v>95</v>
      </c>
      <c r="V119" s="44" t="s">
        <v>95</v>
      </c>
      <c r="W119" s="43" t="s">
        <v>95</v>
      </c>
      <c r="X119" s="45">
        <v>11.42</v>
      </c>
      <c r="Y119" s="43" t="s">
        <v>81</v>
      </c>
      <c r="Z119" s="43" t="s">
        <v>160</v>
      </c>
      <c r="AA119" s="43" t="s">
        <v>161</v>
      </c>
      <c r="AB119" s="43" t="s">
        <v>79</v>
      </c>
      <c r="AC119" s="45">
        <v>14.28</v>
      </c>
      <c r="AD119" s="43" t="s">
        <v>95</v>
      </c>
      <c r="AE119" s="43" t="s">
        <v>95</v>
      </c>
      <c r="AF119" s="43" t="s">
        <v>95</v>
      </c>
      <c r="AG119" s="43" t="s">
        <v>95</v>
      </c>
      <c r="AH119" s="45">
        <v>0</v>
      </c>
      <c r="AI119" s="43" t="s">
        <v>95</v>
      </c>
      <c r="AJ119" s="43" t="s">
        <v>95</v>
      </c>
      <c r="AK119" s="43" t="s">
        <v>95</v>
      </c>
      <c r="AL119" s="43" t="s">
        <v>95</v>
      </c>
      <c r="AM119" s="45">
        <v>14.28</v>
      </c>
      <c r="AN119" s="43" t="s">
        <v>81</v>
      </c>
      <c r="AO119" s="44">
        <v>44896</v>
      </c>
      <c r="AP119" s="43" t="s">
        <v>187</v>
      </c>
      <c r="AQ119" s="43" t="s">
        <v>188</v>
      </c>
      <c r="AR119" s="43" t="s">
        <v>187</v>
      </c>
      <c r="AS119" s="43" t="s">
        <v>188</v>
      </c>
      <c r="AT119" s="43" t="s">
        <v>85</v>
      </c>
      <c r="AU119" s="43" t="s">
        <v>7030</v>
      </c>
      <c r="AV119" s="43" t="s">
        <v>7031</v>
      </c>
      <c r="AW119" s="43" t="s">
        <v>7031</v>
      </c>
      <c r="AX119" s="43" t="s">
        <v>90</v>
      </c>
      <c r="AY119" s="43" t="s">
        <v>132</v>
      </c>
      <c r="AZ119" s="43" t="s">
        <v>7037</v>
      </c>
      <c r="BA119" s="43" t="s">
        <v>139</v>
      </c>
      <c r="BB119" s="45">
        <v>-2.86</v>
      </c>
      <c r="BC119" s="45">
        <v>-2.86</v>
      </c>
      <c r="BD119" s="43" t="s">
        <v>7106</v>
      </c>
      <c r="BE119" s="43" t="s">
        <v>81</v>
      </c>
      <c r="BF119" s="43" t="s">
        <v>81</v>
      </c>
      <c r="BG119" s="43" t="s">
        <v>86</v>
      </c>
      <c r="BH119" s="43" t="s">
        <v>177</v>
      </c>
      <c r="BI119" s="43" t="s">
        <v>7038</v>
      </c>
      <c r="BJ119" s="43" t="s">
        <v>7030</v>
      </c>
      <c r="BK119" s="43" t="s">
        <v>139</v>
      </c>
      <c r="BL119" s="43" t="s">
        <v>85</v>
      </c>
      <c r="BM119" s="43" t="s">
        <v>85</v>
      </c>
      <c r="BN119" s="43" t="s">
        <v>139</v>
      </c>
      <c r="BO119" s="46">
        <v>-2.86</v>
      </c>
      <c r="BP119" s="43" t="s">
        <v>7106</v>
      </c>
      <c r="BQ119" s="43">
        <v>-2.86</v>
      </c>
      <c r="BR119" s="43" t="s">
        <v>7106</v>
      </c>
      <c r="BS119" s="47">
        <v>-2.86</v>
      </c>
      <c r="BT119" s="43" t="s">
        <v>7106</v>
      </c>
      <c r="BU119" s="43" t="s">
        <v>7106</v>
      </c>
      <c r="BV119" s="43" t="str">
        <f>CambioPlan[[#This Row],[TELEFONO]]&amp;"UPSELLSI"</f>
        <v>987831146UPSELLSI</v>
      </c>
      <c r="BW119" s="43">
        <f>DAY(CambioPlan[[#This Row],[FECHA_CAMBIO_PLAN]])</f>
        <v>1</v>
      </c>
      <c r="BX119" s="43" t="str">
        <f>VLOOKUP(CambioPlan[[#This Row],[NOM_PLAZA]],[1]!Locales[#Data],3,0)</f>
        <v>TIENDA RECREO</v>
      </c>
      <c r="BY119" s="43" t="str">
        <f>VLOOKUP(CambioPlan[[#This Row],[DOMAIN_LOGIN_OW]],[1]!Personal[#Data],6,0)</f>
        <v>ESPINOZA MARTINES LAURA XIOMARA</v>
      </c>
      <c r="BZ119" s="43"/>
      <c r="CA119" s="43" t="str">
        <f>IFERROR(IF(FIND("ADULTO",CambioPlan[[#This Row],[DESCRIPCION_PLAN_ACTUAL]],1),"NO SE PAGA",),"SI SE PAGA")</f>
        <v>SI SE PAGA</v>
      </c>
      <c r="CB119" s="45">
        <f>CambioPlan[[#This Row],[TARIFA_BASICA_ACTUAL]]-CambioPlan[[#This Row],[TARIFA_BASICA_ANTERIOR]]</f>
        <v>-2.8599999999999994</v>
      </c>
      <c r="CC119" s="56">
        <f>CambioPlan[[#This Row],[DIF. TARIFAS]]*4</f>
        <v>-11.439999999999998</v>
      </c>
      <c r="CD119" s="53" t="str">
        <f>IF(CambioPlan[[#This Row],[C. COMISIÓN TME]]&lt;0,"DOWNSELL",IF(CambioPlan[[#This Row],[C. COMISIÓN TME]]=0,"MISMA TARIFA",IF(CambioPlan[[#This Row],[C. COMISIÓN TME]]&gt;0,"UPSELL")))</f>
        <v>DOWNSELL</v>
      </c>
      <c r="CE119">
        <f>VLOOKUP(CambioPlan[[#This Row],[TARIFA_BASICA_ANTERIOR]],[3]Hoja1!$F:$G,2,0)</f>
        <v>1</v>
      </c>
      <c r="CF119">
        <f>VLOOKUP(CambioPlan[[#This Row],[TARIFA_BASICA_ACTUAL]],[3]Hoja1!$B:$C,2,0)</f>
        <v>0</v>
      </c>
      <c r="CG119">
        <f t="shared" si="1"/>
        <v>-1</v>
      </c>
      <c r="CH119" t="e">
        <f>VLOOKUP(CambioPlan[[#This Row],[TELEFONO]],[1]Retenciones!$R$63:$R$287,1,0)</f>
        <v>#N/A</v>
      </c>
    </row>
    <row r="120" spans="1:86" x14ac:dyDescent="0.25">
      <c r="A120" s="43">
        <v>202212</v>
      </c>
      <c r="B120" s="44">
        <v>44914</v>
      </c>
      <c r="C120" s="43" t="s">
        <v>7464</v>
      </c>
      <c r="D120" s="43" t="s">
        <v>7465</v>
      </c>
      <c r="E120" s="43" t="s">
        <v>95</v>
      </c>
      <c r="F120" s="43" t="s">
        <v>311</v>
      </c>
      <c r="G120" s="43" t="s">
        <v>7125</v>
      </c>
      <c r="H120" s="43" t="s">
        <v>67</v>
      </c>
      <c r="I120" s="43" t="s">
        <v>7466</v>
      </c>
      <c r="J120" s="43" t="s">
        <v>7029</v>
      </c>
      <c r="K120" s="43" t="s">
        <v>84</v>
      </c>
      <c r="L120" s="43" t="s">
        <v>3232</v>
      </c>
      <c r="M120" s="43" t="s">
        <v>7237</v>
      </c>
      <c r="N120" s="43" t="s">
        <v>79</v>
      </c>
      <c r="O120" s="45">
        <v>51.78</v>
      </c>
      <c r="P120" s="43" t="s">
        <v>95</v>
      </c>
      <c r="Q120" s="43" t="s">
        <v>95</v>
      </c>
      <c r="R120" s="43" t="s">
        <v>95</v>
      </c>
      <c r="S120" s="45">
        <v>0</v>
      </c>
      <c r="T120" s="43" t="s">
        <v>95</v>
      </c>
      <c r="U120" s="44" t="s">
        <v>95</v>
      </c>
      <c r="V120" s="44" t="s">
        <v>95</v>
      </c>
      <c r="W120" s="43" t="s">
        <v>95</v>
      </c>
      <c r="X120" s="45">
        <v>51.78</v>
      </c>
      <c r="Y120" s="43" t="s">
        <v>81</v>
      </c>
      <c r="Z120" s="43" t="s">
        <v>7467</v>
      </c>
      <c r="AA120" s="43" t="s">
        <v>7468</v>
      </c>
      <c r="AB120" s="43" t="s">
        <v>79</v>
      </c>
      <c r="AC120" s="45">
        <v>49.99</v>
      </c>
      <c r="AD120" s="43" t="s">
        <v>95</v>
      </c>
      <c r="AE120" s="43" t="s">
        <v>95</v>
      </c>
      <c r="AF120" s="43" t="s">
        <v>95</v>
      </c>
      <c r="AG120" s="43" t="s">
        <v>95</v>
      </c>
      <c r="AH120" s="45">
        <v>0</v>
      </c>
      <c r="AI120" s="43" t="s">
        <v>95</v>
      </c>
      <c r="AJ120" s="43" t="s">
        <v>95</v>
      </c>
      <c r="AK120" s="43" t="s">
        <v>95</v>
      </c>
      <c r="AL120" s="43" t="s">
        <v>95</v>
      </c>
      <c r="AM120" s="45">
        <v>49.99</v>
      </c>
      <c r="AN120" s="43" t="s">
        <v>81</v>
      </c>
      <c r="AO120" s="44">
        <v>44905</v>
      </c>
      <c r="AP120" s="43" t="s">
        <v>610</v>
      </c>
      <c r="AQ120" s="43" t="s">
        <v>611</v>
      </c>
      <c r="AR120" s="43" t="s">
        <v>610</v>
      </c>
      <c r="AS120" s="43" t="s">
        <v>611</v>
      </c>
      <c r="AT120" s="43" t="s">
        <v>85</v>
      </c>
      <c r="AU120" s="43" t="s">
        <v>7030</v>
      </c>
      <c r="AV120" s="43" t="s">
        <v>7031</v>
      </c>
      <c r="AW120" s="43" t="s">
        <v>7031</v>
      </c>
      <c r="AX120" s="43" t="s">
        <v>90</v>
      </c>
      <c r="AY120" s="43" t="s">
        <v>73</v>
      </c>
      <c r="AZ120" s="43" t="s">
        <v>7029</v>
      </c>
      <c r="BA120" s="43" t="s">
        <v>92</v>
      </c>
      <c r="BB120" s="45">
        <v>1.79</v>
      </c>
      <c r="BC120" s="45">
        <v>1.79</v>
      </c>
      <c r="BD120" s="43" t="s">
        <v>7032</v>
      </c>
      <c r="BE120" s="43" t="s">
        <v>81</v>
      </c>
      <c r="BF120" s="43" t="s">
        <v>81</v>
      </c>
      <c r="BG120" s="43" t="s">
        <v>86</v>
      </c>
      <c r="BH120" s="43" t="s">
        <v>151</v>
      </c>
      <c r="BI120" s="43" t="s">
        <v>7033</v>
      </c>
      <c r="BJ120" s="43" t="s">
        <v>7030</v>
      </c>
      <c r="BK120" s="43" t="s">
        <v>92</v>
      </c>
      <c r="BL120" s="43" t="s">
        <v>85</v>
      </c>
      <c r="BM120" s="43" t="s">
        <v>85</v>
      </c>
      <c r="BN120" s="43" t="s">
        <v>92</v>
      </c>
      <c r="BO120" s="46">
        <v>1.79</v>
      </c>
      <c r="BP120" s="43" t="s">
        <v>7032</v>
      </c>
      <c r="BQ120" s="43">
        <v>1.79</v>
      </c>
      <c r="BR120" s="43" t="s">
        <v>7032</v>
      </c>
      <c r="BS120" s="47">
        <v>1.79</v>
      </c>
      <c r="BT120" s="43" t="s">
        <v>7032</v>
      </c>
      <c r="BU120" s="43" t="s">
        <v>7032</v>
      </c>
      <c r="BV120" s="43" t="str">
        <f>CambioPlan[[#This Row],[TELEFONO]]&amp;"UPSELLSI"</f>
        <v>987849382UPSELLSI</v>
      </c>
      <c r="BW120" s="43">
        <f>DAY(CambioPlan[[#This Row],[FECHA_CAMBIO_PLAN]])</f>
        <v>10</v>
      </c>
      <c r="BX120" s="43" t="str">
        <f>VLOOKUP(CambioPlan[[#This Row],[NOM_PLAZA]],[1]!Locales[#Data],3,0)</f>
        <v>TIENDA CUENCA REMIGIO</v>
      </c>
      <c r="BY120" s="43" t="str">
        <f>VLOOKUP(CambioPlan[[#This Row],[DOMAIN_LOGIN_OW]],[1]!Personal[#Data],6,0)</f>
        <v>PATIÑO TAPIA ANDRES SANTIAGO</v>
      </c>
      <c r="BZ120" s="43"/>
      <c r="CA120" s="43" t="str">
        <f>IFERROR(IF(FIND("ADULTO",CambioPlan[[#This Row],[DESCRIPCION_PLAN_ACTUAL]],1),"NO SE PAGA",),"SI SE PAGA")</f>
        <v>SI SE PAGA</v>
      </c>
      <c r="CB120" s="45">
        <f>CambioPlan[[#This Row],[TARIFA_BASICA_ACTUAL]]-CambioPlan[[#This Row],[TARIFA_BASICA_ANTERIOR]]</f>
        <v>1.7899999999999991</v>
      </c>
      <c r="CC120" s="56">
        <f>CambioPlan[[#This Row],[DIF. TARIFAS]]*4</f>
        <v>7.1599999999999966</v>
      </c>
      <c r="CD120" s="53" t="str">
        <f>IF(CambioPlan[[#This Row],[C. COMISIÓN TME]]&lt;0,"DOWNSELL",IF(CambioPlan[[#This Row],[C. COMISIÓN TME]]=0,"MISMA TARIFA",IF(CambioPlan[[#This Row],[C. COMISIÓN TME]]&gt;0,"UPSELL")))</f>
        <v>UPSELL</v>
      </c>
      <c r="CE120">
        <f>VLOOKUP(CambioPlan[[#This Row],[TARIFA_BASICA_ANTERIOR]],[3]Hoja1!$F:$G,2,0)</f>
        <v>6</v>
      </c>
      <c r="CF120">
        <f>VLOOKUP(CambioPlan[[#This Row],[TARIFA_BASICA_ACTUAL]],[3]Hoja1!$B:$C,2,0)</f>
        <v>6</v>
      </c>
      <c r="CG120">
        <f t="shared" si="1"/>
        <v>0</v>
      </c>
      <c r="CH120" t="e">
        <f>VLOOKUP(CambioPlan[[#This Row],[TELEFONO]],[1]Retenciones!$R$63:$R$287,1,0)</f>
        <v>#N/A</v>
      </c>
    </row>
    <row r="121" spans="1:86" x14ac:dyDescent="0.25">
      <c r="A121" s="43">
        <v>202212</v>
      </c>
      <c r="B121" s="44">
        <v>44914</v>
      </c>
      <c r="C121" s="43" t="s">
        <v>7469</v>
      </c>
      <c r="D121" s="43" t="s">
        <v>7470</v>
      </c>
      <c r="E121" s="43" t="s">
        <v>95</v>
      </c>
      <c r="F121" s="43" t="s">
        <v>77</v>
      </c>
      <c r="G121" s="43" t="s">
        <v>1532</v>
      </c>
      <c r="H121" s="43" t="s">
        <v>67</v>
      </c>
      <c r="I121" s="43" t="s">
        <v>7471</v>
      </c>
      <c r="J121" s="43" t="s">
        <v>7037</v>
      </c>
      <c r="K121" s="43" t="s">
        <v>118</v>
      </c>
      <c r="L121" s="43" t="s">
        <v>183</v>
      </c>
      <c r="M121" s="43" t="s">
        <v>184</v>
      </c>
      <c r="N121" s="43" t="s">
        <v>79</v>
      </c>
      <c r="O121" s="45">
        <v>11.42</v>
      </c>
      <c r="P121" s="43" t="s">
        <v>95</v>
      </c>
      <c r="Q121" s="43" t="s">
        <v>95</v>
      </c>
      <c r="R121" s="43" t="s">
        <v>95</v>
      </c>
      <c r="S121" s="45">
        <v>0</v>
      </c>
      <c r="T121" s="43" t="s">
        <v>95</v>
      </c>
      <c r="U121" s="44" t="s">
        <v>95</v>
      </c>
      <c r="V121" s="44" t="s">
        <v>95</v>
      </c>
      <c r="W121" s="43" t="s">
        <v>95</v>
      </c>
      <c r="X121" s="45">
        <v>11.42</v>
      </c>
      <c r="Y121" s="43" t="s">
        <v>81</v>
      </c>
      <c r="Z121" s="43" t="s">
        <v>7472</v>
      </c>
      <c r="AA121" s="43" t="s">
        <v>7473</v>
      </c>
      <c r="AB121" s="43" t="s">
        <v>79</v>
      </c>
      <c r="AC121" s="45">
        <v>0</v>
      </c>
      <c r="AD121" s="43" t="s">
        <v>95</v>
      </c>
      <c r="AE121" s="43" t="s">
        <v>95</v>
      </c>
      <c r="AF121" s="43" t="s">
        <v>95</v>
      </c>
      <c r="AG121" s="43" t="s">
        <v>95</v>
      </c>
      <c r="AH121" s="45">
        <v>0</v>
      </c>
      <c r="AI121" s="43" t="s">
        <v>95</v>
      </c>
      <c r="AJ121" s="43" t="s">
        <v>95</v>
      </c>
      <c r="AK121" s="43" t="s">
        <v>95</v>
      </c>
      <c r="AL121" s="43" t="s">
        <v>95</v>
      </c>
      <c r="AM121" s="45">
        <v>0</v>
      </c>
      <c r="AN121" s="43" t="s">
        <v>81</v>
      </c>
      <c r="AO121" s="44">
        <v>44907</v>
      </c>
      <c r="AP121" s="43" t="s">
        <v>1415</v>
      </c>
      <c r="AQ121" s="43" t="s">
        <v>1416</v>
      </c>
      <c r="AR121" s="43" t="s">
        <v>1415</v>
      </c>
      <c r="AS121" s="43" t="s">
        <v>1416</v>
      </c>
      <c r="AT121" s="43" t="s">
        <v>85</v>
      </c>
      <c r="AU121" s="43" t="s">
        <v>7030</v>
      </c>
      <c r="AV121" s="43" t="s">
        <v>7031</v>
      </c>
      <c r="AW121" s="43" t="s">
        <v>7031</v>
      </c>
      <c r="AX121" s="43" t="s">
        <v>90</v>
      </c>
      <c r="AY121" s="43" t="s">
        <v>73</v>
      </c>
      <c r="AZ121" s="43" t="s">
        <v>7029</v>
      </c>
      <c r="BA121" s="43" t="s">
        <v>92</v>
      </c>
      <c r="BB121" s="45">
        <v>11.42</v>
      </c>
      <c r="BC121" s="45">
        <v>11.42</v>
      </c>
      <c r="BD121" s="43" t="s">
        <v>7032</v>
      </c>
      <c r="BE121" s="43" t="s">
        <v>81</v>
      </c>
      <c r="BF121" s="43" t="s">
        <v>81</v>
      </c>
      <c r="BG121" s="43" t="s">
        <v>86</v>
      </c>
      <c r="BH121" s="43" t="s">
        <v>91</v>
      </c>
      <c r="BI121" s="43" t="s">
        <v>7086</v>
      </c>
      <c r="BJ121" s="43" t="s">
        <v>7030</v>
      </c>
      <c r="BK121" s="43" t="s">
        <v>92</v>
      </c>
      <c r="BL121" s="43" t="s">
        <v>85</v>
      </c>
      <c r="BM121" s="43" t="s">
        <v>85</v>
      </c>
      <c r="BN121" s="43" t="s">
        <v>92</v>
      </c>
      <c r="BO121" s="46">
        <v>11.42</v>
      </c>
      <c r="BP121" s="43" t="s">
        <v>7032</v>
      </c>
      <c r="BQ121" s="43">
        <v>11.42</v>
      </c>
      <c r="BR121" s="43" t="s">
        <v>7032</v>
      </c>
      <c r="BS121" s="47">
        <v>11.42</v>
      </c>
      <c r="BT121" s="43" t="s">
        <v>7032</v>
      </c>
      <c r="BU121" s="43" t="s">
        <v>7032</v>
      </c>
      <c r="BV121" s="43" t="str">
        <f>CambioPlan[[#This Row],[TELEFONO]]&amp;"UPSELLSI"</f>
        <v>987863440UPSELLSI</v>
      </c>
      <c r="BW121" s="43">
        <f>DAY(CambioPlan[[#This Row],[FECHA_CAMBIO_PLAN]])</f>
        <v>12</v>
      </c>
      <c r="BX121" s="43" t="str">
        <f>VLOOKUP(CambioPlan[[#This Row],[NOM_PLAZA]],[1]!Locales[#Data],3,0)</f>
        <v>TIENDA CUENCA CENTRO</v>
      </c>
      <c r="BY121" s="43" t="str">
        <f>VLOOKUP(CambioPlan[[#This Row],[DOMAIN_LOGIN_OW]],[1]!Personal[#Data],6,0)</f>
        <v>PATIÑO URGILES DIANA CATALINA</v>
      </c>
      <c r="BZ121" s="43"/>
      <c r="CA121" s="43" t="str">
        <f>IFERROR(IF(FIND("ADULTO",CambioPlan[[#This Row],[DESCRIPCION_PLAN_ACTUAL]],1),"NO SE PAGA",),"SI SE PAGA")</f>
        <v>SI SE PAGA</v>
      </c>
      <c r="CB121" s="45">
        <f>CambioPlan[[#This Row],[TARIFA_BASICA_ACTUAL]]-CambioPlan[[#This Row],[TARIFA_BASICA_ANTERIOR]]</f>
        <v>11.42</v>
      </c>
      <c r="CC121" s="56">
        <f>CambioPlan[[#This Row],[DIF. TARIFAS]]*4</f>
        <v>45.68</v>
      </c>
      <c r="CD121" s="53" t="str">
        <f>IF(CambioPlan[[#This Row],[C. COMISIÓN TME]]&lt;0,"DOWNSELL",IF(CambioPlan[[#This Row],[C. COMISIÓN TME]]=0,"MISMA TARIFA",IF(CambioPlan[[#This Row],[C. COMISIÓN TME]]&gt;0,"UPSELL")))</f>
        <v>UPSELL</v>
      </c>
      <c r="CE121">
        <f>VLOOKUP(CambioPlan[[#This Row],[TARIFA_BASICA_ANTERIOR]],[3]Hoja1!$F:$G,2,0)</f>
        <v>-1</v>
      </c>
      <c r="CF121">
        <f>VLOOKUP(CambioPlan[[#This Row],[TARIFA_BASICA_ACTUAL]],[3]Hoja1!$B:$C,2,0)</f>
        <v>0</v>
      </c>
      <c r="CG121">
        <f t="shared" si="1"/>
        <v>1</v>
      </c>
      <c r="CH121" t="e">
        <f>VLOOKUP(CambioPlan[[#This Row],[TELEFONO]],[1]Retenciones!$R$63:$R$287,1,0)</f>
        <v>#N/A</v>
      </c>
    </row>
    <row r="122" spans="1:86" x14ac:dyDescent="0.25">
      <c r="A122" s="43">
        <v>202212</v>
      </c>
      <c r="B122" s="44">
        <v>44914</v>
      </c>
      <c r="C122" s="43" t="s">
        <v>7474</v>
      </c>
      <c r="D122" s="43" t="s">
        <v>7475</v>
      </c>
      <c r="E122" s="43" t="s">
        <v>95</v>
      </c>
      <c r="F122" s="43" t="s">
        <v>311</v>
      </c>
      <c r="G122" s="43" t="s">
        <v>311</v>
      </c>
      <c r="H122" s="43" t="s">
        <v>67</v>
      </c>
      <c r="I122" s="43" t="s">
        <v>7476</v>
      </c>
      <c r="J122" s="43" t="s">
        <v>7029</v>
      </c>
      <c r="K122" s="43" t="s">
        <v>84</v>
      </c>
      <c r="L122" s="43" t="s">
        <v>4963</v>
      </c>
      <c r="M122" s="43" t="s">
        <v>4964</v>
      </c>
      <c r="N122" s="43" t="s">
        <v>79</v>
      </c>
      <c r="O122" s="45">
        <v>32.130000000000003</v>
      </c>
      <c r="P122" s="43" t="s">
        <v>95</v>
      </c>
      <c r="Q122" s="43" t="s">
        <v>95</v>
      </c>
      <c r="R122" s="43" t="s">
        <v>95</v>
      </c>
      <c r="S122" s="45">
        <v>0</v>
      </c>
      <c r="T122" s="43" t="s">
        <v>95</v>
      </c>
      <c r="U122" s="44" t="s">
        <v>95</v>
      </c>
      <c r="V122" s="44" t="s">
        <v>95</v>
      </c>
      <c r="W122" s="43" t="s">
        <v>95</v>
      </c>
      <c r="X122" s="45">
        <v>32.130000000000003</v>
      </c>
      <c r="Y122" s="43" t="s">
        <v>81</v>
      </c>
      <c r="Z122" s="43" t="s">
        <v>7213</v>
      </c>
      <c r="AA122" s="43" t="s">
        <v>7477</v>
      </c>
      <c r="AB122" s="43" t="s">
        <v>79</v>
      </c>
      <c r="AC122" s="45">
        <v>24.99</v>
      </c>
      <c r="AD122" s="43" t="s">
        <v>95</v>
      </c>
      <c r="AE122" s="43" t="s">
        <v>95</v>
      </c>
      <c r="AF122" s="43" t="s">
        <v>95</v>
      </c>
      <c r="AG122" s="43" t="s">
        <v>95</v>
      </c>
      <c r="AH122" s="45">
        <v>0</v>
      </c>
      <c r="AI122" s="43" t="s">
        <v>95</v>
      </c>
      <c r="AJ122" s="43" t="s">
        <v>95</v>
      </c>
      <c r="AK122" s="43" t="s">
        <v>95</v>
      </c>
      <c r="AL122" s="43" t="s">
        <v>95</v>
      </c>
      <c r="AM122" s="45">
        <v>24.99</v>
      </c>
      <c r="AN122" s="43" t="s">
        <v>81</v>
      </c>
      <c r="AO122" s="44">
        <v>44902</v>
      </c>
      <c r="AP122" s="43" t="s">
        <v>88</v>
      </c>
      <c r="AQ122" s="43" t="s">
        <v>89</v>
      </c>
      <c r="AR122" s="43" t="s">
        <v>7299</v>
      </c>
      <c r="AS122" s="43" t="s">
        <v>7300</v>
      </c>
      <c r="AT122" s="43" t="s">
        <v>85</v>
      </c>
      <c r="AU122" s="43" t="s">
        <v>7030</v>
      </c>
      <c r="AV122" s="43" t="s">
        <v>7031</v>
      </c>
      <c r="AW122" s="43" t="s">
        <v>7031</v>
      </c>
      <c r="AX122" s="43" t="s">
        <v>90</v>
      </c>
      <c r="AY122" s="43" t="s">
        <v>73</v>
      </c>
      <c r="AZ122" s="43" t="s">
        <v>7029</v>
      </c>
      <c r="BA122" s="43" t="s">
        <v>92</v>
      </c>
      <c r="BB122" s="45">
        <v>7.14</v>
      </c>
      <c r="BC122" s="45">
        <v>7.14</v>
      </c>
      <c r="BD122" s="43" t="s">
        <v>7032</v>
      </c>
      <c r="BE122" s="43" t="s">
        <v>81</v>
      </c>
      <c r="BF122" s="43" t="s">
        <v>81</v>
      </c>
      <c r="BG122" s="43" t="s">
        <v>86</v>
      </c>
      <c r="BH122" s="43" t="s">
        <v>91</v>
      </c>
      <c r="BI122" s="43" t="s">
        <v>7086</v>
      </c>
      <c r="BJ122" s="43" t="s">
        <v>7030</v>
      </c>
      <c r="BK122" s="43" t="s">
        <v>92</v>
      </c>
      <c r="BL122" s="43" t="s">
        <v>85</v>
      </c>
      <c r="BM122" s="43" t="s">
        <v>85</v>
      </c>
      <c r="BN122" s="43" t="s">
        <v>92</v>
      </c>
      <c r="BO122" s="46">
        <v>7.14</v>
      </c>
      <c r="BP122" s="43" t="s">
        <v>7032</v>
      </c>
      <c r="BQ122" s="43">
        <v>7.14</v>
      </c>
      <c r="BR122" s="43" t="s">
        <v>7032</v>
      </c>
      <c r="BS122" s="47">
        <v>7.14</v>
      </c>
      <c r="BT122" s="43" t="s">
        <v>7032</v>
      </c>
      <c r="BU122" s="43" t="s">
        <v>7032</v>
      </c>
      <c r="BV122" s="43" t="str">
        <f>CambioPlan[[#This Row],[TELEFONO]]&amp;"UPSELLSI"</f>
        <v>987919176UPSELLSI</v>
      </c>
      <c r="BW122" s="43">
        <f>DAY(CambioPlan[[#This Row],[FECHA_CAMBIO_PLAN]])</f>
        <v>7</v>
      </c>
      <c r="BX122" s="43" t="str">
        <f>VLOOKUP(CambioPlan[[#This Row],[NOM_PLAZA]],[1]!Locales[#Data],3,0)</f>
        <v>TIENDA CUENCA CENTRO</v>
      </c>
      <c r="BY122" s="43" t="str">
        <f>VLOOKUP(CambioPlan[[#This Row],[DOMAIN_LOGIN_OW]],[1]!Personal[#Data],6,0)</f>
        <v>ANDRADE CONDO CHRISTIAN EDUARDO</v>
      </c>
      <c r="BZ122" s="43"/>
      <c r="CA122" s="43" t="str">
        <f>IFERROR(IF(FIND("ADULTO",CambioPlan[[#This Row],[DESCRIPCION_PLAN_ACTUAL]],1),"NO SE PAGA",),"SI SE PAGA")</f>
        <v>SI SE PAGA</v>
      </c>
      <c r="CB122" s="45">
        <f>CambioPlan[[#This Row],[TARIFA_BASICA_ACTUAL]]-CambioPlan[[#This Row],[TARIFA_BASICA_ANTERIOR]]</f>
        <v>7.1400000000000041</v>
      </c>
      <c r="CC122" s="56">
        <f>CambioPlan[[#This Row],[DIF. TARIFAS]]*4</f>
        <v>28.560000000000016</v>
      </c>
      <c r="CD122" s="53" t="str">
        <f>IF(CambioPlan[[#This Row],[C. COMISIÓN TME]]&lt;0,"DOWNSELL",IF(CambioPlan[[#This Row],[C. COMISIÓN TME]]=0,"MISMA TARIFA",IF(CambioPlan[[#This Row],[C. COMISIÓN TME]]&gt;0,"UPSELL")))</f>
        <v>UPSELL</v>
      </c>
      <c r="CE122">
        <f>VLOOKUP(CambioPlan[[#This Row],[TARIFA_BASICA_ANTERIOR]],[3]Hoja1!$F:$G,2,0)</f>
        <v>4</v>
      </c>
      <c r="CF122">
        <f>VLOOKUP(CambioPlan[[#This Row],[TARIFA_BASICA_ACTUAL]],[3]Hoja1!$B:$C,2,0)</f>
        <v>5</v>
      </c>
      <c r="CG122">
        <f t="shared" si="1"/>
        <v>1</v>
      </c>
      <c r="CH122" t="e">
        <f>VLOOKUP(CambioPlan[[#This Row],[TELEFONO]],[1]Retenciones!$R$63:$R$287,1,0)</f>
        <v>#N/A</v>
      </c>
    </row>
    <row r="123" spans="1:86" x14ac:dyDescent="0.25">
      <c r="A123" s="43">
        <v>202212</v>
      </c>
      <c r="B123" s="44">
        <v>44914</v>
      </c>
      <c r="C123" s="43" t="s">
        <v>7478</v>
      </c>
      <c r="D123" s="43" t="s">
        <v>7479</v>
      </c>
      <c r="E123" s="43" t="s">
        <v>95</v>
      </c>
      <c r="F123" s="43" t="s">
        <v>77</v>
      </c>
      <c r="G123" s="43" t="s">
        <v>4453</v>
      </c>
      <c r="H123" s="43" t="s">
        <v>67</v>
      </c>
      <c r="I123" s="43" t="s">
        <v>7480</v>
      </c>
      <c r="J123" s="43" t="s">
        <v>7037</v>
      </c>
      <c r="K123" s="43" t="s">
        <v>215</v>
      </c>
      <c r="L123" s="43" t="s">
        <v>574</v>
      </c>
      <c r="M123" s="43" t="s">
        <v>575</v>
      </c>
      <c r="N123" s="43" t="s">
        <v>79</v>
      </c>
      <c r="O123" s="45">
        <v>17.850000000000001</v>
      </c>
      <c r="P123" s="43" t="s">
        <v>95</v>
      </c>
      <c r="Q123" s="43" t="s">
        <v>95</v>
      </c>
      <c r="R123" s="43" t="s">
        <v>95</v>
      </c>
      <c r="S123" s="45">
        <v>0</v>
      </c>
      <c r="T123" s="43" t="s">
        <v>95</v>
      </c>
      <c r="U123" s="44" t="s">
        <v>95</v>
      </c>
      <c r="V123" s="44" t="s">
        <v>95</v>
      </c>
      <c r="W123" s="43" t="s">
        <v>95</v>
      </c>
      <c r="X123" s="45">
        <v>17.850000000000001</v>
      </c>
      <c r="Y123" s="43" t="s">
        <v>81</v>
      </c>
      <c r="Z123" s="43" t="s">
        <v>7481</v>
      </c>
      <c r="AA123" s="43" t="s">
        <v>7482</v>
      </c>
      <c r="AB123" s="43" t="s">
        <v>79</v>
      </c>
      <c r="AC123" s="45">
        <v>15</v>
      </c>
      <c r="AD123" s="43" t="s">
        <v>95</v>
      </c>
      <c r="AE123" s="43" t="s">
        <v>95</v>
      </c>
      <c r="AF123" s="43" t="s">
        <v>95</v>
      </c>
      <c r="AG123" s="43" t="s">
        <v>95</v>
      </c>
      <c r="AH123" s="45">
        <v>0</v>
      </c>
      <c r="AI123" s="43" t="s">
        <v>95</v>
      </c>
      <c r="AJ123" s="43" t="s">
        <v>95</v>
      </c>
      <c r="AK123" s="43" t="s">
        <v>95</v>
      </c>
      <c r="AL123" s="43" t="s">
        <v>95</v>
      </c>
      <c r="AM123" s="45">
        <v>15</v>
      </c>
      <c r="AN123" s="43" t="s">
        <v>81</v>
      </c>
      <c r="AO123" s="44">
        <v>44912</v>
      </c>
      <c r="AP123" s="43" t="s">
        <v>233</v>
      </c>
      <c r="AQ123" s="43" t="s">
        <v>234</v>
      </c>
      <c r="AR123" s="43" t="s">
        <v>7062</v>
      </c>
      <c r="AS123" s="43" t="s">
        <v>95</v>
      </c>
      <c r="AT123" s="43" t="s">
        <v>85</v>
      </c>
      <c r="AU123" s="43" t="s">
        <v>7030</v>
      </c>
      <c r="AV123" s="43" t="s">
        <v>7031</v>
      </c>
      <c r="AW123" s="43" t="s">
        <v>7031</v>
      </c>
      <c r="AX123" s="43" t="s">
        <v>90</v>
      </c>
      <c r="AY123" s="43" t="s">
        <v>132</v>
      </c>
      <c r="AZ123" s="43" t="s">
        <v>7037</v>
      </c>
      <c r="BA123" s="43" t="s">
        <v>139</v>
      </c>
      <c r="BB123" s="45">
        <v>2.85</v>
      </c>
      <c r="BC123" s="45">
        <v>2.85</v>
      </c>
      <c r="BD123" s="43" t="s">
        <v>7032</v>
      </c>
      <c r="BE123" s="43" t="s">
        <v>81</v>
      </c>
      <c r="BF123" s="43" t="s">
        <v>81</v>
      </c>
      <c r="BG123" s="43" t="s">
        <v>86</v>
      </c>
      <c r="BH123" s="43" t="s">
        <v>235</v>
      </c>
      <c r="BI123" s="43" t="s">
        <v>7076</v>
      </c>
      <c r="BJ123" s="43" t="s">
        <v>7030</v>
      </c>
      <c r="BK123" s="43" t="s">
        <v>139</v>
      </c>
      <c r="BL123" s="43" t="s">
        <v>85</v>
      </c>
      <c r="BM123" s="43" t="s">
        <v>85</v>
      </c>
      <c r="BN123" s="43" t="s">
        <v>139</v>
      </c>
      <c r="BO123" s="46">
        <v>2.85</v>
      </c>
      <c r="BP123" s="43" t="s">
        <v>7032</v>
      </c>
      <c r="BQ123" s="43">
        <v>2.85</v>
      </c>
      <c r="BR123" s="43" t="s">
        <v>7032</v>
      </c>
      <c r="BS123" s="47">
        <v>2.85</v>
      </c>
      <c r="BT123" s="43" t="s">
        <v>7032</v>
      </c>
      <c r="BU123" s="43" t="s">
        <v>7032</v>
      </c>
      <c r="BV123" s="43" t="str">
        <f>CambioPlan[[#This Row],[TELEFONO]]&amp;"UPSELLSI"</f>
        <v>987923908UPSELLSI</v>
      </c>
      <c r="BW123" s="43">
        <f>DAY(CambioPlan[[#This Row],[FECHA_CAMBIO_PLAN]])</f>
        <v>17</v>
      </c>
      <c r="BX123" s="43" t="str">
        <f>VLOOKUP(CambioPlan[[#This Row],[NOM_PLAZA]],[1]!Locales[#Data],3,0)</f>
        <v>TIENDA CONDADO</v>
      </c>
      <c r="BY123" s="43" t="str">
        <f>VLOOKUP(CambioPlan[[#This Row],[DOMAIN_LOGIN_OW]],[1]!Personal[#Data],6,0)</f>
        <v>ROSALES MALDONADO JESSICA GABRIELA</v>
      </c>
      <c r="BZ123" s="43"/>
      <c r="CA123" s="43" t="str">
        <f>IFERROR(IF(FIND("ADULTO",CambioPlan[[#This Row],[DESCRIPCION_PLAN_ACTUAL]],1),"NO SE PAGA",),"SI SE PAGA")</f>
        <v>SI SE PAGA</v>
      </c>
      <c r="CB123" s="45">
        <f>CambioPlan[[#This Row],[TARIFA_BASICA_ACTUAL]]-CambioPlan[[#This Row],[TARIFA_BASICA_ANTERIOR]]</f>
        <v>2.8500000000000014</v>
      </c>
      <c r="CC123" s="56">
        <f>CambioPlan[[#This Row],[DIF. TARIFAS]]*4</f>
        <v>11.400000000000006</v>
      </c>
      <c r="CD123" s="53" t="str">
        <f>IF(CambioPlan[[#This Row],[C. COMISIÓN TME]]&lt;0,"DOWNSELL",IF(CambioPlan[[#This Row],[C. COMISIÓN TME]]=0,"MISMA TARIFA",IF(CambioPlan[[#This Row],[C. COMISIÓN TME]]&gt;0,"UPSELL")))</f>
        <v>UPSELL</v>
      </c>
      <c r="CE123">
        <f>VLOOKUP(CambioPlan[[#This Row],[TARIFA_BASICA_ANTERIOR]],[3]Hoja1!$F:$G,2,0)</f>
        <v>2</v>
      </c>
      <c r="CF123">
        <f>VLOOKUP(CambioPlan[[#This Row],[TARIFA_BASICA_ACTUAL]],[3]Hoja1!$B:$C,2,0)</f>
        <v>2</v>
      </c>
      <c r="CG123">
        <f t="shared" si="1"/>
        <v>0</v>
      </c>
      <c r="CH123" t="e">
        <f>VLOOKUP(CambioPlan[[#This Row],[TELEFONO]],[1]Retenciones!$R$63:$R$287,1,0)</f>
        <v>#N/A</v>
      </c>
    </row>
    <row r="124" spans="1:86" x14ac:dyDescent="0.25">
      <c r="A124" s="43">
        <v>202212</v>
      </c>
      <c r="B124" s="44">
        <v>44914</v>
      </c>
      <c r="C124" s="43" t="s">
        <v>7483</v>
      </c>
      <c r="D124" s="43" t="s">
        <v>7484</v>
      </c>
      <c r="E124" s="43" t="s">
        <v>95</v>
      </c>
      <c r="F124" s="43" t="s">
        <v>77</v>
      </c>
      <c r="G124" s="43" t="s">
        <v>2241</v>
      </c>
      <c r="H124" s="43" t="s">
        <v>67</v>
      </c>
      <c r="I124" s="43" t="s">
        <v>7485</v>
      </c>
      <c r="J124" s="43" t="s">
        <v>7486</v>
      </c>
      <c r="K124" s="43" t="s">
        <v>118</v>
      </c>
      <c r="L124" s="43" t="s">
        <v>227</v>
      </c>
      <c r="M124" s="43" t="s">
        <v>426</v>
      </c>
      <c r="N124" s="43" t="s">
        <v>79</v>
      </c>
      <c r="O124" s="45">
        <v>21.42</v>
      </c>
      <c r="P124" s="43" t="s">
        <v>95</v>
      </c>
      <c r="Q124" s="43" t="s">
        <v>95</v>
      </c>
      <c r="R124" s="43" t="s">
        <v>95</v>
      </c>
      <c r="S124" s="45">
        <v>0</v>
      </c>
      <c r="T124" s="43" t="s">
        <v>95</v>
      </c>
      <c r="U124" s="44" t="s">
        <v>95</v>
      </c>
      <c r="V124" s="44" t="s">
        <v>95</v>
      </c>
      <c r="W124" s="43" t="s">
        <v>95</v>
      </c>
      <c r="X124" s="45">
        <v>21.42</v>
      </c>
      <c r="Y124" s="43" t="s">
        <v>81</v>
      </c>
      <c r="Z124" s="43" t="s">
        <v>7487</v>
      </c>
      <c r="AA124" s="43" t="s">
        <v>113</v>
      </c>
      <c r="AB124" s="43" t="s">
        <v>79</v>
      </c>
      <c r="AC124" s="45">
        <v>16.989999999999998</v>
      </c>
      <c r="AD124" s="43" t="s">
        <v>95</v>
      </c>
      <c r="AE124" s="43" t="s">
        <v>95</v>
      </c>
      <c r="AF124" s="43" t="s">
        <v>95</v>
      </c>
      <c r="AG124" s="43" t="s">
        <v>95</v>
      </c>
      <c r="AH124" s="45">
        <v>0</v>
      </c>
      <c r="AI124" s="43" t="s">
        <v>95</v>
      </c>
      <c r="AJ124" s="43" t="s">
        <v>95</v>
      </c>
      <c r="AK124" s="43" t="s">
        <v>95</v>
      </c>
      <c r="AL124" s="43" t="s">
        <v>95</v>
      </c>
      <c r="AM124" s="45">
        <v>16.989999999999998</v>
      </c>
      <c r="AN124" s="43" t="s">
        <v>81</v>
      </c>
      <c r="AO124" s="44">
        <v>44904</v>
      </c>
      <c r="AP124" s="43" t="s">
        <v>242</v>
      </c>
      <c r="AQ124" s="43" t="s">
        <v>243</v>
      </c>
      <c r="AR124" s="43" t="s">
        <v>242</v>
      </c>
      <c r="AS124" s="43" t="s">
        <v>243</v>
      </c>
      <c r="AT124" s="43" t="s">
        <v>85</v>
      </c>
      <c r="AU124" s="43" t="s">
        <v>7030</v>
      </c>
      <c r="AV124" s="43" t="s">
        <v>7031</v>
      </c>
      <c r="AW124" s="43" t="s">
        <v>7031</v>
      </c>
      <c r="AX124" s="43" t="s">
        <v>90</v>
      </c>
      <c r="AY124" s="43" t="s">
        <v>73</v>
      </c>
      <c r="AZ124" s="43" t="s">
        <v>7029</v>
      </c>
      <c r="BA124" s="43" t="s">
        <v>92</v>
      </c>
      <c r="BB124" s="45">
        <v>4.43</v>
      </c>
      <c r="BC124" s="45">
        <v>4.43</v>
      </c>
      <c r="BD124" s="43" t="s">
        <v>7032</v>
      </c>
      <c r="BE124" s="43" t="s">
        <v>81</v>
      </c>
      <c r="BF124" s="43" t="s">
        <v>81</v>
      </c>
      <c r="BG124" s="43" t="s">
        <v>86</v>
      </c>
      <c r="BH124" s="43" t="s">
        <v>91</v>
      </c>
      <c r="BI124" s="43" t="s">
        <v>7086</v>
      </c>
      <c r="BJ124" s="43" t="s">
        <v>7030</v>
      </c>
      <c r="BK124" s="43" t="s">
        <v>92</v>
      </c>
      <c r="BL124" s="43" t="s">
        <v>85</v>
      </c>
      <c r="BM124" s="43" t="s">
        <v>85</v>
      </c>
      <c r="BN124" s="43" t="s">
        <v>92</v>
      </c>
      <c r="BO124" s="46">
        <v>4.43</v>
      </c>
      <c r="BP124" s="43" t="s">
        <v>7032</v>
      </c>
      <c r="BQ124" s="43">
        <v>4.43</v>
      </c>
      <c r="BR124" s="43" t="s">
        <v>7032</v>
      </c>
      <c r="BS124" s="47">
        <v>4.43</v>
      </c>
      <c r="BT124" s="43" t="s">
        <v>7032</v>
      </c>
      <c r="BU124" s="43" t="s">
        <v>7032</v>
      </c>
      <c r="BV124" s="43" t="str">
        <f>CambioPlan[[#This Row],[TELEFONO]]&amp;"UPSELLSI"</f>
        <v>987944237UPSELLSI</v>
      </c>
      <c r="BW124" s="43">
        <f>DAY(CambioPlan[[#This Row],[FECHA_CAMBIO_PLAN]])</f>
        <v>9</v>
      </c>
      <c r="BX124" s="43" t="str">
        <f>VLOOKUP(CambioPlan[[#This Row],[NOM_PLAZA]],[1]!Locales[#Data],3,0)</f>
        <v>TIENDA CUENCA CENTRO</v>
      </c>
      <c r="BY124" s="43" t="str">
        <f>VLOOKUP(CambioPlan[[#This Row],[DOMAIN_LOGIN_OW]],[1]!Personal[#Data],6,0)</f>
        <v>VALLEJO DELEG ROMAN NICOLAS</v>
      </c>
      <c r="BZ124" s="43"/>
      <c r="CA124" s="43" t="str">
        <f>IFERROR(IF(FIND("ADULTO",CambioPlan[[#This Row],[DESCRIPCION_PLAN_ACTUAL]],1),"NO SE PAGA",),"SI SE PAGA")</f>
        <v>SI SE PAGA</v>
      </c>
      <c r="CB124" s="45">
        <f>CambioPlan[[#This Row],[TARIFA_BASICA_ACTUAL]]-CambioPlan[[#This Row],[TARIFA_BASICA_ANTERIOR]]</f>
        <v>4.4300000000000033</v>
      </c>
      <c r="CC124" s="56">
        <f>CambioPlan[[#This Row],[DIF. TARIFAS]]*4</f>
        <v>17.720000000000013</v>
      </c>
      <c r="CD124" s="53" t="str">
        <f>IF(CambioPlan[[#This Row],[C. COMISIÓN TME]]&lt;0,"DOWNSELL",IF(CambioPlan[[#This Row],[C. COMISIÓN TME]]=0,"MISMA TARIFA",IF(CambioPlan[[#This Row],[C. COMISIÓN TME]]&gt;0,"UPSELL")))</f>
        <v>UPSELL</v>
      </c>
      <c r="CE124">
        <f>VLOOKUP(CambioPlan[[#This Row],[TARIFA_BASICA_ANTERIOR]],[3]Hoja1!$F:$G,2,0)</f>
        <v>2</v>
      </c>
      <c r="CF124">
        <f>VLOOKUP(CambioPlan[[#This Row],[TARIFA_BASICA_ACTUAL]],[3]Hoja1!$B:$C,2,0)</f>
        <v>3</v>
      </c>
      <c r="CG124">
        <f t="shared" si="1"/>
        <v>1</v>
      </c>
      <c r="CH124" t="e">
        <f>VLOOKUP(CambioPlan[[#This Row],[TELEFONO]],[1]Retenciones!$R$63:$R$287,1,0)</f>
        <v>#N/A</v>
      </c>
    </row>
    <row r="125" spans="1:86" x14ac:dyDescent="0.25">
      <c r="A125" s="43">
        <v>202212</v>
      </c>
      <c r="B125" s="44">
        <v>44914</v>
      </c>
      <c r="C125" s="43" t="s">
        <v>7488</v>
      </c>
      <c r="D125" s="43" t="s">
        <v>7489</v>
      </c>
      <c r="E125" s="43" t="s">
        <v>95</v>
      </c>
      <c r="F125" s="43" t="s">
        <v>311</v>
      </c>
      <c r="G125" s="43" t="s">
        <v>311</v>
      </c>
      <c r="H125" s="43" t="s">
        <v>67</v>
      </c>
      <c r="I125" s="43" t="s">
        <v>7490</v>
      </c>
      <c r="J125" s="43" t="s">
        <v>7037</v>
      </c>
      <c r="K125" s="43" t="s">
        <v>118</v>
      </c>
      <c r="L125" s="43" t="s">
        <v>4963</v>
      </c>
      <c r="M125" s="43" t="s">
        <v>4964</v>
      </c>
      <c r="N125" s="43" t="s">
        <v>79</v>
      </c>
      <c r="O125" s="45">
        <v>32.130000000000003</v>
      </c>
      <c r="P125" s="43" t="s">
        <v>95</v>
      </c>
      <c r="Q125" s="43" t="s">
        <v>95</v>
      </c>
      <c r="R125" s="43" t="s">
        <v>95</v>
      </c>
      <c r="S125" s="45">
        <v>0</v>
      </c>
      <c r="T125" s="43" t="s">
        <v>95</v>
      </c>
      <c r="U125" s="44" t="s">
        <v>95</v>
      </c>
      <c r="V125" s="44" t="s">
        <v>95</v>
      </c>
      <c r="W125" s="43" t="s">
        <v>95</v>
      </c>
      <c r="X125" s="45">
        <v>32.130000000000003</v>
      </c>
      <c r="Y125" s="43" t="s">
        <v>81</v>
      </c>
      <c r="Z125" s="43" t="s">
        <v>7404</v>
      </c>
      <c r="AA125" s="43" t="s">
        <v>7405</v>
      </c>
      <c r="AB125" s="43" t="s">
        <v>79</v>
      </c>
      <c r="AC125" s="45">
        <v>29.99</v>
      </c>
      <c r="AD125" s="43" t="s">
        <v>95</v>
      </c>
      <c r="AE125" s="43" t="s">
        <v>95</v>
      </c>
      <c r="AF125" s="43" t="s">
        <v>95</v>
      </c>
      <c r="AG125" s="43" t="s">
        <v>95</v>
      </c>
      <c r="AH125" s="45">
        <v>0</v>
      </c>
      <c r="AI125" s="43" t="s">
        <v>95</v>
      </c>
      <c r="AJ125" s="43" t="s">
        <v>95</v>
      </c>
      <c r="AK125" s="43" t="s">
        <v>95</v>
      </c>
      <c r="AL125" s="43" t="s">
        <v>95</v>
      </c>
      <c r="AM125" s="45">
        <v>29.99</v>
      </c>
      <c r="AN125" s="43" t="s">
        <v>81</v>
      </c>
      <c r="AO125" s="44">
        <v>44909</v>
      </c>
      <c r="AP125" s="43" t="s">
        <v>2159</v>
      </c>
      <c r="AQ125" s="43" t="s">
        <v>2160</v>
      </c>
      <c r="AR125" s="43" t="s">
        <v>2159</v>
      </c>
      <c r="AS125" s="43" t="s">
        <v>2160</v>
      </c>
      <c r="AT125" s="43" t="s">
        <v>85</v>
      </c>
      <c r="AU125" s="43" t="s">
        <v>7030</v>
      </c>
      <c r="AV125" s="43" t="s">
        <v>7031</v>
      </c>
      <c r="AW125" s="43" t="s">
        <v>7031</v>
      </c>
      <c r="AX125" s="43" t="s">
        <v>90</v>
      </c>
      <c r="AY125" s="43" t="s">
        <v>132</v>
      </c>
      <c r="AZ125" s="43" t="s">
        <v>7037</v>
      </c>
      <c r="BA125" s="43" t="s">
        <v>139</v>
      </c>
      <c r="BB125" s="45">
        <v>2.14</v>
      </c>
      <c r="BC125" s="45">
        <v>2.14</v>
      </c>
      <c r="BD125" s="43" t="s">
        <v>7032</v>
      </c>
      <c r="BE125" s="43" t="s">
        <v>81</v>
      </c>
      <c r="BF125" s="43" t="s">
        <v>81</v>
      </c>
      <c r="BG125" s="43" t="s">
        <v>86</v>
      </c>
      <c r="BH125" s="43" t="s">
        <v>177</v>
      </c>
      <c r="BI125" s="43" t="s">
        <v>7038</v>
      </c>
      <c r="BJ125" s="43" t="s">
        <v>7030</v>
      </c>
      <c r="BK125" s="43" t="s">
        <v>139</v>
      </c>
      <c r="BL125" s="43" t="s">
        <v>85</v>
      </c>
      <c r="BM125" s="43" t="s">
        <v>85</v>
      </c>
      <c r="BN125" s="43" t="s">
        <v>139</v>
      </c>
      <c r="BO125" s="46">
        <v>2.14</v>
      </c>
      <c r="BP125" s="43" t="s">
        <v>7032</v>
      </c>
      <c r="BQ125" s="43">
        <v>2.14</v>
      </c>
      <c r="BR125" s="43" t="s">
        <v>7032</v>
      </c>
      <c r="BS125" s="47">
        <v>2.14</v>
      </c>
      <c r="BT125" s="43" t="s">
        <v>7032</v>
      </c>
      <c r="BU125" s="43" t="s">
        <v>7032</v>
      </c>
      <c r="BV125" s="43" t="str">
        <f>CambioPlan[[#This Row],[TELEFONO]]&amp;"UPSELLSI"</f>
        <v>987953116UPSELLSI</v>
      </c>
      <c r="BW125" s="43">
        <f>DAY(CambioPlan[[#This Row],[FECHA_CAMBIO_PLAN]])</f>
        <v>14</v>
      </c>
      <c r="BX125" s="43" t="str">
        <f>VLOOKUP(CambioPlan[[#This Row],[NOM_PLAZA]],[1]!Locales[#Data],3,0)</f>
        <v>TIENDA RECREO</v>
      </c>
      <c r="BY125" s="43" t="str">
        <f>VLOOKUP(CambioPlan[[#This Row],[DOMAIN_LOGIN_OW]],[1]!Personal[#Data],6,0)</f>
        <v>GUEVARA MAZA CRISTIAN FABIAN</v>
      </c>
      <c r="BZ125" s="43"/>
      <c r="CA125" s="43" t="str">
        <f>IFERROR(IF(FIND("ADULTO",CambioPlan[[#This Row],[DESCRIPCION_PLAN_ACTUAL]],1),"NO SE PAGA",),"SI SE PAGA")</f>
        <v>SI SE PAGA</v>
      </c>
      <c r="CB125" s="45">
        <f>CambioPlan[[#This Row],[TARIFA_BASICA_ACTUAL]]-CambioPlan[[#This Row],[TARIFA_BASICA_ANTERIOR]]</f>
        <v>2.1400000000000041</v>
      </c>
      <c r="CC125" s="56">
        <f>CambioPlan[[#This Row],[DIF. TARIFAS]]*4</f>
        <v>8.5600000000000165</v>
      </c>
      <c r="CD125" s="53" t="str">
        <f>IF(CambioPlan[[#This Row],[C. COMISIÓN TME]]&lt;0,"DOWNSELL",IF(CambioPlan[[#This Row],[C. COMISIÓN TME]]=0,"MISMA TARIFA",IF(CambioPlan[[#This Row],[C. COMISIÓN TME]]&gt;0,"UPSELL")))</f>
        <v>UPSELL</v>
      </c>
      <c r="CE125">
        <f>VLOOKUP(CambioPlan[[#This Row],[TARIFA_BASICA_ANTERIOR]],[3]Hoja1!$F:$G,2,0)</f>
        <v>5</v>
      </c>
      <c r="CF125">
        <f>VLOOKUP(CambioPlan[[#This Row],[TARIFA_BASICA_ACTUAL]],[3]Hoja1!$B:$C,2,0)</f>
        <v>5</v>
      </c>
      <c r="CG125">
        <f t="shared" si="1"/>
        <v>0</v>
      </c>
      <c r="CH125" t="e">
        <f>VLOOKUP(CambioPlan[[#This Row],[TELEFONO]],[1]Retenciones!$R$63:$R$287,1,0)</f>
        <v>#N/A</v>
      </c>
    </row>
    <row r="126" spans="1:86" x14ac:dyDescent="0.25">
      <c r="A126" s="43">
        <v>202212</v>
      </c>
      <c r="B126" s="44">
        <v>44914</v>
      </c>
      <c r="C126" s="43" t="s">
        <v>7491</v>
      </c>
      <c r="D126" s="43" t="s">
        <v>7492</v>
      </c>
      <c r="E126" s="43" t="s">
        <v>95</v>
      </c>
      <c r="F126" s="43" t="s">
        <v>77</v>
      </c>
      <c r="G126" s="43" t="s">
        <v>7493</v>
      </c>
      <c r="H126" s="43" t="s">
        <v>67</v>
      </c>
      <c r="I126" s="43" t="s">
        <v>7494</v>
      </c>
      <c r="J126" s="43" t="s">
        <v>7037</v>
      </c>
      <c r="K126" s="43" t="s">
        <v>118</v>
      </c>
      <c r="L126" s="43" t="s">
        <v>1756</v>
      </c>
      <c r="M126" s="43" t="s">
        <v>1757</v>
      </c>
      <c r="N126" s="43" t="s">
        <v>79</v>
      </c>
      <c r="O126" s="45">
        <v>17.850000000000001</v>
      </c>
      <c r="P126" s="43" t="s">
        <v>95</v>
      </c>
      <c r="Q126" s="43" t="s">
        <v>95</v>
      </c>
      <c r="R126" s="43" t="s">
        <v>95</v>
      </c>
      <c r="S126" s="45">
        <v>0</v>
      </c>
      <c r="T126" s="43" t="s">
        <v>95</v>
      </c>
      <c r="U126" s="44" t="s">
        <v>95</v>
      </c>
      <c r="V126" s="44" t="s">
        <v>95</v>
      </c>
      <c r="W126" s="43" t="s">
        <v>95</v>
      </c>
      <c r="X126" s="45">
        <v>17.850000000000001</v>
      </c>
      <c r="Y126" s="43" t="s">
        <v>81</v>
      </c>
      <c r="Z126" s="43" t="s">
        <v>183</v>
      </c>
      <c r="AA126" s="43" t="s">
        <v>184</v>
      </c>
      <c r="AB126" s="43" t="s">
        <v>79</v>
      </c>
      <c r="AC126" s="45">
        <v>11.42</v>
      </c>
      <c r="AD126" s="43" t="s">
        <v>95</v>
      </c>
      <c r="AE126" s="43" t="s">
        <v>95</v>
      </c>
      <c r="AF126" s="43" t="s">
        <v>95</v>
      </c>
      <c r="AG126" s="43" t="s">
        <v>95</v>
      </c>
      <c r="AH126" s="45">
        <v>0</v>
      </c>
      <c r="AI126" s="43" t="s">
        <v>95</v>
      </c>
      <c r="AJ126" s="43" t="s">
        <v>95</v>
      </c>
      <c r="AK126" s="43" t="s">
        <v>95</v>
      </c>
      <c r="AL126" s="43" t="s">
        <v>95</v>
      </c>
      <c r="AM126" s="45">
        <v>11.42</v>
      </c>
      <c r="AN126" s="43" t="s">
        <v>81</v>
      </c>
      <c r="AO126" s="44">
        <v>44909</v>
      </c>
      <c r="AP126" s="43" t="s">
        <v>136</v>
      </c>
      <c r="AQ126" s="43" t="s">
        <v>137</v>
      </c>
      <c r="AR126" s="43" t="s">
        <v>7062</v>
      </c>
      <c r="AS126" s="43" t="s">
        <v>95</v>
      </c>
      <c r="AT126" s="43" t="s">
        <v>85</v>
      </c>
      <c r="AU126" s="43" t="s">
        <v>7030</v>
      </c>
      <c r="AV126" s="43" t="s">
        <v>7031</v>
      </c>
      <c r="AW126" s="43" t="s">
        <v>7031</v>
      </c>
      <c r="AX126" s="43" t="s">
        <v>90</v>
      </c>
      <c r="AY126" s="43" t="s">
        <v>132</v>
      </c>
      <c r="AZ126" s="43" t="s">
        <v>7037</v>
      </c>
      <c r="BA126" s="43" t="s">
        <v>139</v>
      </c>
      <c r="BB126" s="45">
        <v>6.43</v>
      </c>
      <c r="BC126" s="45">
        <v>6.43</v>
      </c>
      <c r="BD126" s="43" t="s">
        <v>7032</v>
      </c>
      <c r="BE126" s="43" t="s">
        <v>81</v>
      </c>
      <c r="BF126" s="43" t="s">
        <v>81</v>
      </c>
      <c r="BG126" s="43" t="s">
        <v>86</v>
      </c>
      <c r="BH126" s="43" t="s">
        <v>138</v>
      </c>
      <c r="BI126" s="43" t="s">
        <v>7076</v>
      </c>
      <c r="BJ126" s="43" t="s">
        <v>7030</v>
      </c>
      <c r="BK126" s="43" t="s">
        <v>139</v>
      </c>
      <c r="BL126" s="43" t="s">
        <v>85</v>
      </c>
      <c r="BM126" s="43" t="s">
        <v>85</v>
      </c>
      <c r="BN126" s="43" t="s">
        <v>139</v>
      </c>
      <c r="BO126" s="46">
        <v>6.43</v>
      </c>
      <c r="BP126" s="43" t="s">
        <v>7032</v>
      </c>
      <c r="BQ126" s="43">
        <v>6.43</v>
      </c>
      <c r="BR126" s="43" t="s">
        <v>7032</v>
      </c>
      <c r="BS126" s="47">
        <v>6.43</v>
      </c>
      <c r="BT126" s="43" t="s">
        <v>7032</v>
      </c>
      <c r="BU126" s="43" t="s">
        <v>7032</v>
      </c>
      <c r="BV126" s="43" t="str">
        <f>CambioPlan[[#This Row],[TELEFONO]]&amp;"UPSELLSI"</f>
        <v>987954934UPSELLSI</v>
      </c>
      <c r="BW126" s="43">
        <f>DAY(CambioPlan[[#This Row],[FECHA_CAMBIO_PLAN]])</f>
        <v>14</v>
      </c>
      <c r="BX126" s="43" t="str">
        <f>VLOOKUP(CambioPlan[[#This Row],[NOM_PLAZA]],[1]!Locales[#Data],3,0)</f>
        <v>TIENDA AMERICA</v>
      </c>
      <c r="BY126" s="43" t="str">
        <f>VLOOKUP(CambioPlan[[#This Row],[DOMAIN_LOGIN_OW]],[1]!Personal[#Data],6,0)</f>
        <v>SALVATIERRA GUERRA JULIAN ENRIQUE</v>
      </c>
      <c r="BZ126" s="43"/>
      <c r="CA126" s="43" t="str">
        <f>IFERROR(IF(FIND("ADULTO",CambioPlan[[#This Row],[DESCRIPCION_PLAN_ACTUAL]],1),"NO SE PAGA",),"SI SE PAGA")</f>
        <v>SI SE PAGA</v>
      </c>
      <c r="CB126" s="45">
        <f>CambioPlan[[#This Row],[TARIFA_BASICA_ACTUAL]]-CambioPlan[[#This Row],[TARIFA_BASICA_ANTERIOR]]</f>
        <v>6.4300000000000015</v>
      </c>
      <c r="CC126" s="56">
        <f>CambioPlan[[#This Row],[DIF. TARIFAS]]*4</f>
        <v>25.720000000000006</v>
      </c>
      <c r="CD126" s="53" t="str">
        <f>IF(CambioPlan[[#This Row],[C. COMISIÓN TME]]&lt;0,"DOWNSELL",IF(CambioPlan[[#This Row],[C. COMISIÓN TME]]=0,"MISMA TARIFA",IF(CambioPlan[[#This Row],[C. COMISIÓN TME]]&gt;0,"UPSELL")))</f>
        <v>UPSELL</v>
      </c>
      <c r="CE126">
        <f>VLOOKUP(CambioPlan[[#This Row],[TARIFA_BASICA_ANTERIOR]],[3]Hoja1!$F:$G,2,0)</f>
        <v>0</v>
      </c>
      <c r="CF126">
        <f>VLOOKUP(CambioPlan[[#This Row],[TARIFA_BASICA_ACTUAL]],[3]Hoja1!$B:$C,2,0)</f>
        <v>2</v>
      </c>
      <c r="CG126">
        <f t="shared" si="1"/>
        <v>2</v>
      </c>
      <c r="CH126" t="e">
        <f>VLOOKUP(CambioPlan[[#This Row],[TELEFONO]],[1]Retenciones!$R$63:$R$287,1,0)</f>
        <v>#N/A</v>
      </c>
    </row>
    <row r="127" spans="1:86" x14ac:dyDescent="0.25">
      <c r="A127" s="43">
        <v>202212</v>
      </c>
      <c r="B127" s="44">
        <v>44914</v>
      </c>
      <c r="C127" s="43" t="s">
        <v>7495</v>
      </c>
      <c r="D127" s="43" t="s">
        <v>7496</v>
      </c>
      <c r="E127" s="43" t="s">
        <v>95</v>
      </c>
      <c r="F127" s="43" t="s">
        <v>77</v>
      </c>
      <c r="G127" s="43" t="s">
        <v>2241</v>
      </c>
      <c r="H127" s="43" t="s">
        <v>67</v>
      </c>
      <c r="I127" s="43" t="s">
        <v>7497</v>
      </c>
      <c r="J127" s="43" t="s">
        <v>7037</v>
      </c>
      <c r="K127" s="43" t="s">
        <v>84</v>
      </c>
      <c r="L127" s="43" t="s">
        <v>160</v>
      </c>
      <c r="M127" s="43" t="s">
        <v>161</v>
      </c>
      <c r="N127" s="43" t="s">
        <v>79</v>
      </c>
      <c r="O127" s="45">
        <v>14.28</v>
      </c>
      <c r="P127" s="43" t="s">
        <v>95</v>
      </c>
      <c r="Q127" s="43" t="s">
        <v>95</v>
      </c>
      <c r="R127" s="43" t="s">
        <v>95</v>
      </c>
      <c r="S127" s="45">
        <v>0</v>
      </c>
      <c r="T127" s="43" t="s">
        <v>95</v>
      </c>
      <c r="U127" s="44" t="s">
        <v>95</v>
      </c>
      <c r="V127" s="44" t="s">
        <v>95</v>
      </c>
      <c r="W127" s="43" t="s">
        <v>95</v>
      </c>
      <c r="X127" s="45">
        <v>14.28</v>
      </c>
      <c r="Y127" s="43" t="s">
        <v>81</v>
      </c>
      <c r="Z127" s="43" t="s">
        <v>7127</v>
      </c>
      <c r="AA127" s="43" t="s">
        <v>7128</v>
      </c>
      <c r="AB127" s="43" t="s">
        <v>79</v>
      </c>
      <c r="AC127" s="45">
        <v>13.79</v>
      </c>
      <c r="AD127" s="43" t="s">
        <v>95</v>
      </c>
      <c r="AE127" s="43" t="s">
        <v>95</v>
      </c>
      <c r="AF127" s="43" t="s">
        <v>95</v>
      </c>
      <c r="AG127" s="43" t="s">
        <v>95</v>
      </c>
      <c r="AH127" s="45">
        <v>0</v>
      </c>
      <c r="AI127" s="43" t="s">
        <v>95</v>
      </c>
      <c r="AJ127" s="43" t="s">
        <v>95</v>
      </c>
      <c r="AK127" s="43" t="s">
        <v>95</v>
      </c>
      <c r="AL127" s="43" t="s">
        <v>95</v>
      </c>
      <c r="AM127" s="45">
        <v>13.79</v>
      </c>
      <c r="AN127" s="43" t="s">
        <v>81</v>
      </c>
      <c r="AO127" s="44">
        <v>44907</v>
      </c>
      <c r="AP127" s="43" t="s">
        <v>369</v>
      </c>
      <c r="AQ127" s="43" t="s">
        <v>370</v>
      </c>
      <c r="AR127" s="43" t="s">
        <v>369</v>
      </c>
      <c r="AS127" s="43" t="s">
        <v>370</v>
      </c>
      <c r="AT127" s="43" t="s">
        <v>85</v>
      </c>
      <c r="AU127" s="43" t="s">
        <v>7030</v>
      </c>
      <c r="AV127" s="43" t="s">
        <v>7031</v>
      </c>
      <c r="AW127" s="43" t="s">
        <v>7031</v>
      </c>
      <c r="AX127" s="43" t="s">
        <v>90</v>
      </c>
      <c r="AY127" s="43" t="s">
        <v>132</v>
      </c>
      <c r="AZ127" s="43" t="s">
        <v>7037</v>
      </c>
      <c r="BA127" s="43" t="s">
        <v>139</v>
      </c>
      <c r="BB127" s="45">
        <v>0.49</v>
      </c>
      <c r="BC127" s="45">
        <v>0.49</v>
      </c>
      <c r="BD127" s="43" t="s">
        <v>7032</v>
      </c>
      <c r="BE127" s="43" t="s">
        <v>81</v>
      </c>
      <c r="BF127" s="43" t="s">
        <v>81</v>
      </c>
      <c r="BG127" s="43" t="s">
        <v>86</v>
      </c>
      <c r="BH127" s="43" t="s">
        <v>177</v>
      </c>
      <c r="BI127" s="43" t="s">
        <v>7038</v>
      </c>
      <c r="BJ127" s="43" t="s">
        <v>7030</v>
      </c>
      <c r="BK127" s="43" t="s">
        <v>139</v>
      </c>
      <c r="BL127" s="43" t="s">
        <v>85</v>
      </c>
      <c r="BM127" s="43" t="s">
        <v>85</v>
      </c>
      <c r="BN127" s="43" t="s">
        <v>139</v>
      </c>
      <c r="BO127" s="46">
        <v>0.49</v>
      </c>
      <c r="BP127" s="43" t="s">
        <v>7032</v>
      </c>
      <c r="BQ127" s="43">
        <v>0.49</v>
      </c>
      <c r="BR127" s="43" t="s">
        <v>7032</v>
      </c>
      <c r="BS127" s="47">
        <v>0.49</v>
      </c>
      <c r="BT127" s="43" t="s">
        <v>7032</v>
      </c>
      <c r="BU127" s="43" t="s">
        <v>7092</v>
      </c>
      <c r="BV127" s="43" t="str">
        <f>CambioPlan[[#This Row],[TELEFONO]]&amp;"UPSELLSI"</f>
        <v>987980346UPSELLSI</v>
      </c>
      <c r="BW127" s="43">
        <f>DAY(CambioPlan[[#This Row],[FECHA_CAMBIO_PLAN]])</f>
        <v>12</v>
      </c>
      <c r="BX127" s="43" t="str">
        <f>VLOOKUP(CambioPlan[[#This Row],[NOM_PLAZA]],[1]!Locales[#Data],3,0)</f>
        <v>TIENDA RECREO</v>
      </c>
      <c r="BY127" s="43" t="str">
        <f>VLOOKUP(CambioPlan[[#This Row],[DOMAIN_LOGIN_OW]],[1]!Personal[#Data],6,0)</f>
        <v>GUAIGUA REINOSO GENESIS CAROLINA</v>
      </c>
      <c r="BZ127" s="43"/>
      <c r="CA127" s="43" t="str">
        <f>IFERROR(IF(FIND("ADULTO",CambioPlan[[#This Row],[DESCRIPCION_PLAN_ACTUAL]],1),"NO SE PAGA",),"SI SE PAGA")</f>
        <v>SI SE PAGA</v>
      </c>
      <c r="CB127" s="45">
        <f>CambioPlan[[#This Row],[TARIFA_BASICA_ACTUAL]]-CambioPlan[[#This Row],[TARIFA_BASICA_ANTERIOR]]</f>
        <v>0.49000000000000021</v>
      </c>
      <c r="CC127" s="56">
        <f>CambioPlan[[#This Row],[DIF. TARIFAS]]*4</f>
        <v>1.9600000000000009</v>
      </c>
      <c r="CD127" s="53" t="str">
        <f>IF(CambioPlan[[#This Row],[C. COMISIÓN TME]]&lt;0,"DOWNSELL",IF(CambioPlan[[#This Row],[C. COMISIÓN TME]]=0,"MISMA TARIFA",IF(CambioPlan[[#This Row],[C. COMISIÓN TME]]&gt;0,"UPSELL")))</f>
        <v>UPSELL</v>
      </c>
      <c r="CE127">
        <f>VLOOKUP(CambioPlan[[#This Row],[TARIFA_BASICA_ANTERIOR]],[3]Hoja1!$F:$G,2,0)</f>
        <v>1</v>
      </c>
      <c r="CF127">
        <f>VLOOKUP(CambioPlan[[#This Row],[TARIFA_BASICA_ACTUAL]],[3]Hoja1!$B:$C,2,0)</f>
        <v>1</v>
      </c>
      <c r="CG127">
        <f t="shared" si="1"/>
        <v>0</v>
      </c>
      <c r="CH127" t="e">
        <f>VLOOKUP(CambioPlan[[#This Row],[TELEFONO]],[1]Retenciones!$R$63:$R$287,1,0)</f>
        <v>#N/A</v>
      </c>
    </row>
    <row r="128" spans="1:86" x14ac:dyDescent="0.25">
      <c r="A128" s="43">
        <v>202212</v>
      </c>
      <c r="B128" s="44">
        <v>44914</v>
      </c>
      <c r="C128" s="43" t="s">
        <v>7498</v>
      </c>
      <c r="D128" s="43" t="s">
        <v>7499</v>
      </c>
      <c r="E128" s="43" t="s">
        <v>95</v>
      </c>
      <c r="F128" s="43" t="s">
        <v>77</v>
      </c>
      <c r="G128" s="43" t="s">
        <v>164</v>
      </c>
      <c r="H128" s="43" t="s">
        <v>67</v>
      </c>
      <c r="I128" s="43" t="s">
        <v>7500</v>
      </c>
      <c r="J128" s="43" t="s">
        <v>7037</v>
      </c>
      <c r="K128" s="43" t="s">
        <v>118</v>
      </c>
      <c r="L128" s="43" t="s">
        <v>112</v>
      </c>
      <c r="M128" s="43" t="s">
        <v>781</v>
      </c>
      <c r="N128" s="43" t="s">
        <v>79</v>
      </c>
      <c r="O128" s="45">
        <v>17.850000000000001</v>
      </c>
      <c r="P128" s="43" t="s">
        <v>95</v>
      </c>
      <c r="Q128" s="43" t="s">
        <v>95</v>
      </c>
      <c r="R128" s="43" t="s">
        <v>95</v>
      </c>
      <c r="S128" s="45">
        <v>0</v>
      </c>
      <c r="T128" s="43" t="s">
        <v>95</v>
      </c>
      <c r="U128" s="44" t="s">
        <v>95</v>
      </c>
      <c r="V128" s="44" t="s">
        <v>95</v>
      </c>
      <c r="W128" s="43" t="s">
        <v>95</v>
      </c>
      <c r="X128" s="45">
        <v>17.850000000000001</v>
      </c>
      <c r="Y128" s="43" t="s">
        <v>81</v>
      </c>
      <c r="Z128" s="43" t="s">
        <v>71</v>
      </c>
      <c r="AA128" s="43" t="s">
        <v>258</v>
      </c>
      <c r="AB128" s="43" t="s">
        <v>79</v>
      </c>
      <c r="AC128" s="45">
        <v>11.42</v>
      </c>
      <c r="AD128" s="43" t="s">
        <v>95</v>
      </c>
      <c r="AE128" s="43" t="s">
        <v>95</v>
      </c>
      <c r="AF128" s="43" t="s">
        <v>95</v>
      </c>
      <c r="AG128" s="43" t="s">
        <v>95</v>
      </c>
      <c r="AH128" s="45">
        <v>0</v>
      </c>
      <c r="AI128" s="43" t="s">
        <v>95</v>
      </c>
      <c r="AJ128" s="43" t="s">
        <v>95</v>
      </c>
      <c r="AK128" s="43" t="s">
        <v>95</v>
      </c>
      <c r="AL128" s="43" t="s">
        <v>95</v>
      </c>
      <c r="AM128" s="45">
        <v>11.42</v>
      </c>
      <c r="AN128" s="43" t="s">
        <v>81</v>
      </c>
      <c r="AO128" s="44">
        <v>44901</v>
      </c>
      <c r="AP128" s="43" t="s">
        <v>242</v>
      </c>
      <c r="AQ128" s="43" t="s">
        <v>243</v>
      </c>
      <c r="AR128" s="43" t="s">
        <v>242</v>
      </c>
      <c r="AS128" s="43" t="s">
        <v>243</v>
      </c>
      <c r="AT128" s="43" t="s">
        <v>85</v>
      </c>
      <c r="AU128" s="43" t="s">
        <v>7030</v>
      </c>
      <c r="AV128" s="43" t="s">
        <v>7031</v>
      </c>
      <c r="AW128" s="43" t="s">
        <v>7031</v>
      </c>
      <c r="AX128" s="43" t="s">
        <v>90</v>
      </c>
      <c r="AY128" s="43" t="s">
        <v>73</v>
      </c>
      <c r="AZ128" s="43" t="s">
        <v>7029</v>
      </c>
      <c r="BA128" s="43" t="s">
        <v>92</v>
      </c>
      <c r="BB128" s="45">
        <v>6.43</v>
      </c>
      <c r="BC128" s="45">
        <v>6.43</v>
      </c>
      <c r="BD128" s="43" t="s">
        <v>7032</v>
      </c>
      <c r="BE128" s="43" t="s">
        <v>81</v>
      </c>
      <c r="BF128" s="43" t="s">
        <v>81</v>
      </c>
      <c r="BG128" s="43" t="s">
        <v>86</v>
      </c>
      <c r="BH128" s="43" t="s">
        <v>91</v>
      </c>
      <c r="BI128" s="43" t="s">
        <v>7086</v>
      </c>
      <c r="BJ128" s="43" t="s">
        <v>7030</v>
      </c>
      <c r="BK128" s="43" t="s">
        <v>92</v>
      </c>
      <c r="BL128" s="43" t="s">
        <v>85</v>
      </c>
      <c r="BM128" s="43" t="s">
        <v>85</v>
      </c>
      <c r="BN128" s="43" t="s">
        <v>92</v>
      </c>
      <c r="BO128" s="46">
        <v>6.43</v>
      </c>
      <c r="BP128" s="43" t="s">
        <v>7032</v>
      </c>
      <c r="BQ128" s="43">
        <v>6.43</v>
      </c>
      <c r="BR128" s="43" t="s">
        <v>7032</v>
      </c>
      <c r="BS128" s="47">
        <v>6.43</v>
      </c>
      <c r="BT128" s="43" t="s">
        <v>7032</v>
      </c>
      <c r="BU128" s="43" t="s">
        <v>7032</v>
      </c>
      <c r="BV128" s="43" t="str">
        <f>CambioPlan[[#This Row],[TELEFONO]]&amp;"UPSELLSI"</f>
        <v>988049165UPSELLSI</v>
      </c>
      <c r="BW128" s="43">
        <f>DAY(CambioPlan[[#This Row],[FECHA_CAMBIO_PLAN]])</f>
        <v>6</v>
      </c>
      <c r="BX128" s="43" t="str">
        <f>VLOOKUP(CambioPlan[[#This Row],[NOM_PLAZA]],[1]!Locales[#Data],3,0)</f>
        <v>TIENDA CUENCA CENTRO</v>
      </c>
      <c r="BY128" s="43" t="str">
        <f>VLOOKUP(CambioPlan[[#This Row],[DOMAIN_LOGIN_OW]],[1]!Personal[#Data],6,0)</f>
        <v>VALLEJO DELEG ROMAN NICOLAS</v>
      </c>
      <c r="BZ128" s="43"/>
      <c r="CA128" s="43" t="str">
        <f>IFERROR(IF(FIND("ADULTO",CambioPlan[[#This Row],[DESCRIPCION_PLAN_ACTUAL]],1),"NO SE PAGA",),"SI SE PAGA")</f>
        <v>SI SE PAGA</v>
      </c>
      <c r="CB128" s="45">
        <f>CambioPlan[[#This Row],[TARIFA_BASICA_ACTUAL]]-CambioPlan[[#This Row],[TARIFA_BASICA_ANTERIOR]]</f>
        <v>6.4300000000000015</v>
      </c>
      <c r="CC128" s="56">
        <f>CambioPlan[[#This Row],[DIF. TARIFAS]]*4</f>
        <v>25.720000000000006</v>
      </c>
      <c r="CD128" s="53" t="str">
        <f>IF(CambioPlan[[#This Row],[C. COMISIÓN TME]]&lt;0,"DOWNSELL",IF(CambioPlan[[#This Row],[C. COMISIÓN TME]]=0,"MISMA TARIFA",IF(CambioPlan[[#This Row],[C. COMISIÓN TME]]&gt;0,"UPSELL")))</f>
        <v>UPSELL</v>
      </c>
      <c r="CE128">
        <f>VLOOKUP(CambioPlan[[#This Row],[TARIFA_BASICA_ANTERIOR]],[3]Hoja1!$F:$G,2,0)</f>
        <v>0</v>
      </c>
      <c r="CF128">
        <f>VLOOKUP(CambioPlan[[#This Row],[TARIFA_BASICA_ACTUAL]],[3]Hoja1!$B:$C,2,0)</f>
        <v>2</v>
      </c>
      <c r="CG128">
        <f t="shared" si="1"/>
        <v>2</v>
      </c>
      <c r="CH128" t="e">
        <f>VLOOKUP(CambioPlan[[#This Row],[TELEFONO]],[1]Retenciones!$R$63:$R$287,1,0)</f>
        <v>#N/A</v>
      </c>
    </row>
    <row r="129" spans="1:86" x14ac:dyDescent="0.25">
      <c r="A129" s="43">
        <v>202212</v>
      </c>
      <c r="B129" s="44">
        <v>44914</v>
      </c>
      <c r="C129" s="43" t="s">
        <v>7501</v>
      </c>
      <c r="D129" s="43" t="s">
        <v>7502</v>
      </c>
      <c r="E129" s="43" t="s">
        <v>95</v>
      </c>
      <c r="F129" s="43" t="s">
        <v>768</v>
      </c>
      <c r="G129" s="43" t="s">
        <v>1036</v>
      </c>
      <c r="H129" s="43" t="s">
        <v>67</v>
      </c>
      <c r="I129" s="43" t="s">
        <v>7503</v>
      </c>
      <c r="J129" s="43" t="s">
        <v>7029</v>
      </c>
      <c r="K129" s="43" t="s">
        <v>84</v>
      </c>
      <c r="L129" s="43" t="s">
        <v>227</v>
      </c>
      <c r="M129" s="43" t="s">
        <v>426</v>
      </c>
      <c r="N129" s="43" t="s">
        <v>79</v>
      </c>
      <c r="O129" s="45">
        <v>21.42</v>
      </c>
      <c r="P129" s="43" t="s">
        <v>95</v>
      </c>
      <c r="Q129" s="43" t="s">
        <v>95</v>
      </c>
      <c r="R129" s="43" t="s">
        <v>95</v>
      </c>
      <c r="S129" s="45">
        <v>0</v>
      </c>
      <c r="T129" s="43" t="s">
        <v>95</v>
      </c>
      <c r="U129" s="44" t="s">
        <v>95</v>
      </c>
      <c r="V129" s="44" t="s">
        <v>95</v>
      </c>
      <c r="W129" s="43" t="s">
        <v>95</v>
      </c>
      <c r="X129" s="45">
        <v>21.42</v>
      </c>
      <c r="Y129" s="43" t="s">
        <v>81</v>
      </c>
      <c r="Z129" s="43" t="s">
        <v>7487</v>
      </c>
      <c r="AA129" s="43" t="s">
        <v>7504</v>
      </c>
      <c r="AB129" s="43" t="s">
        <v>79</v>
      </c>
      <c r="AC129" s="45">
        <v>16.989999999999998</v>
      </c>
      <c r="AD129" s="43" t="s">
        <v>95</v>
      </c>
      <c r="AE129" s="43" t="s">
        <v>95</v>
      </c>
      <c r="AF129" s="43" t="s">
        <v>95</v>
      </c>
      <c r="AG129" s="43" t="s">
        <v>95</v>
      </c>
      <c r="AH129" s="45">
        <v>0</v>
      </c>
      <c r="AI129" s="43" t="s">
        <v>95</v>
      </c>
      <c r="AJ129" s="43" t="s">
        <v>95</v>
      </c>
      <c r="AK129" s="43" t="s">
        <v>95</v>
      </c>
      <c r="AL129" s="43" t="s">
        <v>95</v>
      </c>
      <c r="AM129" s="45">
        <v>16.989999999999998</v>
      </c>
      <c r="AN129" s="43" t="s">
        <v>81</v>
      </c>
      <c r="AO129" s="44">
        <v>44912</v>
      </c>
      <c r="AP129" s="43" t="s">
        <v>385</v>
      </c>
      <c r="AQ129" s="43" t="s">
        <v>386</v>
      </c>
      <c r="AR129" s="43" t="s">
        <v>385</v>
      </c>
      <c r="AS129" s="43" t="s">
        <v>386</v>
      </c>
      <c r="AT129" s="43" t="s">
        <v>85</v>
      </c>
      <c r="AU129" s="43" t="s">
        <v>7030</v>
      </c>
      <c r="AV129" s="43" t="s">
        <v>7031</v>
      </c>
      <c r="AW129" s="43" t="s">
        <v>7031</v>
      </c>
      <c r="AX129" s="43" t="s">
        <v>90</v>
      </c>
      <c r="AY129" s="43" t="s">
        <v>73</v>
      </c>
      <c r="AZ129" s="43" t="s">
        <v>7029</v>
      </c>
      <c r="BA129" s="43" t="s">
        <v>92</v>
      </c>
      <c r="BB129" s="45">
        <v>4.43</v>
      </c>
      <c r="BC129" s="45">
        <v>4.43</v>
      </c>
      <c r="BD129" s="43" t="s">
        <v>7032</v>
      </c>
      <c r="BE129" s="43" t="s">
        <v>81</v>
      </c>
      <c r="BF129" s="43" t="s">
        <v>81</v>
      </c>
      <c r="BG129" s="43" t="s">
        <v>86</v>
      </c>
      <c r="BH129" s="43" t="s">
        <v>151</v>
      </c>
      <c r="BI129" s="43" t="s">
        <v>7033</v>
      </c>
      <c r="BJ129" s="43" t="s">
        <v>7030</v>
      </c>
      <c r="BK129" s="43" t="s">
        <v>92</v>
      </c>
      <c r="BL129" s="43" t="s">
        <v>85</v>
      </c>
      <c r="BM129" s="43" t="s">
        <v>85</v>
      </c>
      <c r="BN129" s="43" t="s">
        <v>92</v>
      </c>
      <c r="BO129" s="46">
        <v>4.43</v>
      </c>
      <c r="BP129" s="43" t="s">
        <v>7032</v>
      </c>
      <c r="BQ129" s="43">
        <v>4.43</v>
      </c>
      <c r="BR129" s="43" t="s">
        <v>7032</v>
      </c>
      <c r="BS129" s="47">
        <v>4.43</v>
      </c>
      <c r="BT129" s="43" t="s">
        <v>7032</v>
      </c>
      <c r="BU129" s="43" t="s">
        <v>7032</v>
      </c>
      <c r="BV129" s="43" t="str">
        <f>CambioPlan[[#This Row],[TELEFONO]]&amp;"UPSELLSI"</f>
        <v>988991446UPSELLSI</v>
      </c>
      <c r="BW129" s="43">
        <f>DAY(CambioPlan[[#This Row],[FECHA_CAMBIO_PLAN]])</f>
        <v>17</v>
      </c>
      <c r="BX129" s="43" t="str">
        <f>VLOOKUP(CambioPlan[[#This Row],[NOM_PLAZA]],[1]!Locales[#Data],3,0)</f>
        <v>TIENDA CUENCA REMIGIO</v>
      </c>
      <c r="BY129" s="43" t="str">
        <f>VLOOKUP(CambioPlan[[#This Row],[DOMAIN_LOGIN_OW]],[1]!Personal[#Data],6,0)</f>
        <v>RAMIREZ RUBIO NELLY LILIANA</v>
      </c>
      <c r="BZ129" s="43"/>
      <c r="CA129" s="43" t="str">
        <f>IFERROR(IF(FIND("ADULTO",CambioPlan[[#This Row],[DESCRIPCION_PLAN_ACTUAL]],1),"NO SE PAGA",),"SI SE PAGA")</f>
        <v>SI SE PAGA</v>
      </c>
      <c r="CB129" s="45">
        <f>CambioPlan[[#This Row],[TARIFA_BASICA_ACTUAL]]-CambioPlan[[#This Row],[TARIFA_BASICA_ANTERIOR]]</f>
        <v>4.4300000000000033</v>
      </c>
      <c r="CC129" s="56">
        <f>CambioPlan[[#This Row],[DIF. TARIFAS]]*4</f>
        <v>17.720000000000013</v>
      </c>
      <c r="CD129" s="53" t="str">
        <f>IF(CambioPlan[[#This Row],[C. COMISIÓN TME]]&lt;0,"DOWNSELL",IF(CambioPlan[[#This Row],[C. COMISIÓN TME]]=0,"MISMA TARIFA",IF(CambioPlan[[#This Row],[C. COMISIÓN TME]]&gt;0,"UPSELL")))</f>
        <v>UPSELL</v>
      </c>
      <c r="CE129">
        <f>VLOOKUP(CambioPlan[[#This Row],[TARIFA_BASICA_ANTERIOR]],[3]Hoja1!$F:$G,2,0)</f>
        <v>2</v>
      </c>
      <c r="CF129">
        <f>VLOOKUP(CambioPlan[[#This Row],[TARIFA_BASICA_ACTUAL]],[3]Hoja1!$B:$C,2,0)</f>
        <v>3</v>
      </c>
      <c r="CG129">
        <f t="shared" si="1"/>
        <v>1</v>
      </c>
      <c r="CH129" t="e">
        <f>VLOOKUP(CambioPlan[[#This Row],[TELEFONO]],[1]Retenciones!$R$63:$R$287,1,0)</f>
        <v>#N/A</v>
      </c>
    </row>
    <row r="130" spans="1:86" x14ac:dyDescent="0.25">
      <c r="A130" s="43">
        <v>202212</v>
      </c>
      <c r="B130" s="44">
        <v>44914</v>
      </c>
      <c r="C130" s="43" t="s">
        <v>7505</v>
      </c>
      <c r="D130" s="43" t="s">
        <v>7506</v>
      </c>
      <c r="E130" s="43" t="s">
        <v>95</v>
      </c>
      <c r="F130" s="43" t="s">
        <v>311</v>
      </c>
      <c r="G130" s="43" t="s">
        <v>311</v>
      </c>
      <c r="H130" s="43" t="s">
        <v>67</v>
      </c>
      <c r="I130" s="43" t="s">
        <v>7507</v>
      </c>
      <c r="J130" s="43" t="s">
        <v>7037</v>
      </c>
      <c r="K130" s="43" t="s">
        <v>84</v>
      </c>
      <c r="L130" s="43" t="s">
        <v>3972</v>
      </c>
      <c r="M130" s="43" t="s">
        <v>3973</v>
      </c>
      <c r="N130" s="43" t="s">
        <v>79</v>
      </c>
      <c r="O130" s="45">
        <v>26.78</v>
      </c>
      <c r="P130" s="43" t="s">
        <v>95</v>
      </c>
      <c r="Q130" s="43" t="s">
        <v>95</v>
      </c>
      <c r="R130" s="43" t="s">
        <v>95</v>
      </c>
      <c r="S130" s="45">
        <v>0</v>
      </c>
      <c r="T130" s="43" t="s">
        <v>95</v>
      </c>
      <c r="U130" s="44" t="s">
        <v>95</v>
      </c>
      <c r="V130" s="44" t="s">
        <v>95</v>
      </c>
      <c r="W130" s="43" t="s">
        <v>95</v>
      </c>
      <c r="X130" s="45">
        <v>26.78</v>
      </c>
      <c r="Y130" s="43" t="s">
        <v>81</v>
      </c>
      <c r="Z130" s="43" t="s">
        <v>7213</v>
      </c>
      <c r="AA130" s="43" t="s">
        <v>7214</v>
      </c>
      <c r="AB130" s="43" t="s">
        <v>79</v>
      </c>
      <c r="AC130" s="45">
        <v>24.99</v>
      </c>
      <c r="AD130" s="43" t="s">
        <v>95</v>
      </c>
      <c r="AE130" s="43" t="s">
        <v>95</v>
      </c>
      <c r="AF130" s="43" t="s">
        <v>95</v>
      </c>
      <c r="AG130" s="43" t="s">
        <v>95</v>
      </c>
      <c r="AH130" s="45">
        <v>0</v>
      </c>
      <c r="AI130" s="43" t="s">
        <v>95</v>
      </c>
      <c r="AJ130" s="43" t="s">
        <v>95</v>
      </c>
      <c r="AK130" s="43" t="s">
        <v>95</v>
      </c>
      <c r="AL130" s="43" t="s">
        <v>95</v>
      </c>
      <c r="AM130" s="45">
        <v>24.99</v>
      </c>
      <c r="AN130" s="43" t="s">
        <v>81</v>
      </c>
      <c r="AO130" s="44">
        <v>44898</v>
      </c>
      <c r="AP130" s="43" t="s">
        <v>396</v>
      </c>
      <c r="AQ130" s="43" t="s">
        <v>397</v>
      </c>
      <c r="AR130" s="43" t="s">
        <v>7062</v>
      </c>
      <c r="AS130" s="43" t="s">
        <v>95</v>
      </c>
      <c r="AT130" s="43" t="s">
        <v>85</v>
      </c>
      <c r="AU130" s="43" t="s">
        <v>7030</v>
      </c>
      <c r="AV130" s="43" t="s">
        <v>7031</v>
      </c>
      <c r="AW130" s="43" t="s">
        <v>7031</v>
      </c>
      <c r="AX130" s="43" t="s">
        <v>90</v>
      </c>
      <c r="AY130" s="43" t="s">
        <v>132</v>
      </c>
      <c r="AZ130" s="43" t="s">
        <v>7037</v>
      </c>
      <c r="BA130" s="43" t="s">
        <v>139</v>
      </c>
      <c r="BB130" s="45">
        <v>1.79</v>
      </c>
      <c r="BC130" s="45">
        <v>1.79</v>
      </c>
      <c r="BD130" s="43" t="s">
        <v>7032</v>
      </c>
      <c r="BE130" s="43" t="s">
        <v>81</v>
      </c>
      <c r="BF130" s="43" t="s">
        <v>81</v>
      </c>
      <c r="BG130" s="43" t="s">
        <v>86</v>
      </c>
      <c r="BH130" s="43" t="s">
        <v>177</v>
      </c>
      <c r="BI130" s="43" t="s">
        <v>7038</v>
      </c>
      <c r="BJ130" s="43" t="s">
        <v>7030</v>
      </c>
      <c r="BK130" s="43" t="s">
        <v>139</v>
      </c>
      <c r="BL130" s="43" t="s">
        <v>85</v>
      </c>
      <c r="BM130" s="43" t="s">
        <v>85</v>
      </c>
      <c r="BN130" s="43" t="s">
        <v>139</v>
      </c>
      <c r="BO130" s="46">
        <v>1.79</v>
      </c>
      <c r="BP130" s="43" t="s">
        <v>7032</v>
      </c>
      <c r="BQ130" s="43">
        <v>1.79</v>
      </c>
      <c r="BR130" s="43" t="s">
        <v>7032</v>
      </c>
      <c r="BS130" s="47">
        <v>1.79</v>
      </c>
      <c r="BT130" s="43" t="s">
        <v>7032</v>
      </c>
      <c r="BU130" s="43" t="s">
        <v>7032</v>
      </c>
      <c r="BV130" s="43" t="str">
        <f>CambioPlan[[#This Row],[TELEFONO]]&amp;"UPSELLSI"</f>
        <v>991209319UPSELLSI</v>
      </c>
      <c r="BW130" s="43">
        <f>DAY(CambioPlan[[#This Row],[FECHA_CAMBIO_PLAN]])</f>
        <v>3</v>
      </c>
      <c r="BX130" s="43" t="str">
        <f>VLOOKUP(CambioPlan[[#This Row],[NOM_PLAZA]],[1]!Locales[#Data],3,0)</f>
        <v>TIENDA RECREO</v>
      </c>
      <c r="BY130" s="43" t="str">
        <f>VLOOKUP(CambioPlan[[#This Row],[DOMAIN_LOGIN_OW]],[1]!Personal[#Data],6,0)</f>
        <v>VINUEZA VELASCO ANGY DAYANA</v>
      </c>
      <c r="BZ130" s="43"/>
      <c r="CA130" s="43" t="str">
        <f>IFERROR(IF(FIND("ADULTO",CambioPlan[[#This Row],[DESCRIPCION_PLAN_ACTUAL]],1),"NO SE PAGA",),"SI SE PAGA")</f>
        <v>SI SE PAGA</v>
      </c>
      <c r="CB130" s="45">
        <f>CambioPlan[[#This Row],[TARIFA_BASICA_ACTUAL]]-CambioPlan[[#This Row],[TARIFA_BASICA_ANTERIOR]]</f>
        <v>1.7900000000000027</v>
      </c>
      <c r="CC130" s="56">
        <f>CambioPlan[[#This Row],[DIF. TARIFAS]]*4</f>
        <v>7.1600000000000108</v>
      </c>
      <c r="CD130" s="53" t="str">
        <f>IF(CambioPlan[[#This Row],[C. COMISIÓN TME]]&lt;0,"DOWNSELL",IF(CambioPlan[[#This Row],[C. COMISIÓN TME]]=0,"MISMA TARIFA",IF(CambioPlan[[#This Row],[C. COMISIÓN TME]]&gt;0,"UPSELL")))</f>
        <v>UPSELL</v>
      </c>
      <c r="CE130">
        <f>VLOOKUP(CambioPlan[[#This Row],[TARIFA_BASICA_ANTERIOR]],[3]Hoja1!$F:$G,2,0)</f>
        <v>4</v>
      </c>
      <c r="CF130">
        <f>VLOOKUP(CambioPlan[[#This Row],[TARIFA_BASICA_ACTUAL]],[3]Hoja1!$B:$C,2,0)</f>
        <v>4</v>
      </c>
      <c r="CG130">
        <f t="shared" si="1"/>
        <v>0</v>
      </c>
      <c r="CH130" t="str">
        <f>VLOOKUP(CambioPlan[[#This Row],[TELEFONO]],[1]Retenciones!$R$63:$R$287,1,0)</f>
        <v>991209319</v>
      </c>
    </row>
    <row r="131" spans="1:86" x14ac:dyDescent="0.25">
      <c r="A131" s="43">
        <v>202212</v>
      </c>
      <c r="B131" s="44">
        <v>44914</v>
      </c>
      <c r="C131" s="43" t="s">
        <v>7508</v>
      </c>
      <c r="D131" s="43" t="s">
        <v>7509</v>
      </c>
      <c r="E131" s="43" t="s">
        <v>95</v>
      </c>
      <c r="F131" s="43" t="s">
        <v>231</v>
      </c>
      <c r="G131" s="43" t="s">
        <v>231</v>
      </c>
      <c r="H131" s="43" t="s">
        <v>67</v>
      </c>
      <c r="I131" s="43" t="s">
        <v>7510</v>
      </c>
      <c r="J131" s="43" t="s">
        <v>7037</v>
      </c>
      <c r="K131" s="43" t="s">
        <v>84</v>
      </c>
      <c r="L131" s="43" t="s">
        <v>7069</v>
      </c>
      <c r="M131" s="43" t="s">
        <v>7070</v>
      </c>
      <c r="N131" s="43" t="s">
        <v>79</v>
      </c>
      <c r="O131" s="45">
        <v>21.42</v>
      </c>
      <c r="P131" s="43" t="s">
        <v>95</v>
      </c>
      <c r="Q131" s="43" t="s">
        <v>95</v>
      </c>
      <c r="R131" s="43" t="s">
        <v>95</v>
      </c>
      <c r="S131" s="45">
        <v>0</v>
      </c>
      <c r="T131" s="43" t="s">
        <v>95</v>
      </c>
      <c r="U131" s="44" t="s">
        <v>95</v>
      </c>
      <c r="V131" s="44" t="s">
        <v>95</v>
      </c>
      <c r="W131" s="43" t="s">
        <v>95</v>
      </c>
      <c r="X131" s="45">
        <v>21.42</v>
      </c>
      <c r="Y131" s="43" t="s">
        <v>81</v>
      </c>
      <c r="Z131" s="43" t="s">
        <v>7454</v>
      </c>
      <c r="AA131" s="43" t="s">
        <v>7511</v>
      </c>
      <c r="AB131" s="43" t="s">
        <v>79</v>
      </c>
      <c r="AC131" s="45">
        <v>20</v>
      </c>
      <c r="AD131" s="43" t="s">
        <v>95</v>
      </c>
      <c r="AE131" s="43" t="s">
        <v>95</v>
      </c>
      <c r="AF131" s="43" t="s">
        <v>95</v>
      </c>
      <c r="AG131" s="43" t="s">
        <v>95</v>
      </c>
      <c r="AH131" s="45">
        <v>0</v>
      </c>
      <c r="AI131" s="43" t="s">
        <v>95</v>
      </c>
      <c r="AJ131" s="43" t="s">
        <v>95</v>
      </c>
      <c r="AK131" s="43" t="s">
        <v>95</v>
      </c>
      <c r="AL131" s="43" t="s">
        <v>95</v>
      </c>
      <c r="AM131" s="45">
        <v>20</v>
      </c>
      <c r="AN131" s="43" t="s">
        <v>81</v>
      </c>
      <c r="AO131" s="44">
        <v>44910</v>
      </c>
      <c r="AP131" s="43" t="s">
        <v>1415</v>
      </c>
      <c r="AQ131" s="43" t="s">
        <v>1416</v>
      </c>
      <c r="AR131" s="43" t="s">
        <v>7512</v>
      </c>
      <c r="AS131" s="43" t="s">
        <v>7513</v>
      </c>
      <c r="AT131" s="43" t="s">
        <v>85</v>
      </c>
      <c r="AU131" s="43" t="s">
        <v>7030</v>
      </c>
      <c r="AV131" s="43" t="s">
        <v>7031</v>
      </c>
      <c r="AW131" s="43" t="s">
        <v>7031</v>
      </c>
      <c r="AX131" s="43" t="s">
        <v>90</v>
      </c>
      <c r="AY131" s="43" t="s">
        <v>73</v>
      </c>
      <c r="AZ131" s="43" t="s">
        <v>7029</v>
      </c>
      <c r="BA131" s="43" t="s">
        <v>92</v>
      </c>
      <c r="BB131" s="45">
        <v>1.42</v>
      </c>
      <c r="BC131" s="45">
        <v>1.42</v>
      </c>
      <c r="BD131" s="43" t="s">
        <v>7032</v>
      </c>
      <c r="BE131" s="43" t="s">
        <v>81</v>
      </c>
      <c r="BF131" s="43" t="s">
        <v>81</v>
      </c>
      <c r="BG131" s="43" t="s">
        <v>86</v>
      </c>
      <c r="BH131" s="43" t="s">
        <v>91</v>
      </c>
      <c r="BI131" s="43" t="s">
        <v>7086</v>
      </c>
      <c r="BJ131" s="43" t="s">
        <v>7030</v>
      </c>
      <c r="BK131" s="43" t="s">
        <v>92</v>
      </c>
      <c r="BL131" s="43" t="s">
        <v>85</v>
      </c>
      <c r="BM131" s="43" t="s">
        <v>85</v>
      </c>
      <c r="BN131" s="43" t="s">
        <v>92</v>
      </c>
      <c r="BO131" s="46">
        <v>1.42</v>
      </c>
      <c r="BP131" s="43" t="s">
        <v>7032</v>
      </c>
      <c r="BQ131" s="43">
        <v>1.42</v>
      </c>
      <c r="BR131" s="43" t="s">
        <v>7032</v>
      </c>
      <c r="BS131" s="47">
        <v>1.42</v>
      </c>
      <c r="BT131" s="43" t="s">
        <v>7032</v>
      </c>
      <c r="BU131" s="43" t="s">
        <v>7032</v>
      </c>
      <c r="BV131" s="43" t="str">
        <f>CambioPlan[[#This Row],[TELEFONO]]&amp;"UPSELLSI"</f>
        <v>991616240UPSELLSI</v>
      </c>
      <c r="BW131" s="43">
        <f>DAY(CambioPlan[[#This Row],[FECHA_CAMBIO_PLAN]])</f>
        <v>15</v>
      </c>
      <c r="BX131" s="43" t="str">
        <f>VLOOKUP(CambioPlan[[#This Row],[NOM_PLAZA]],[1]!Locales[#Data],3,0)</f>
        <v>TIENDA CUENCA CENTRO</v>
      </c>
      <c r="BY131" s="43" t="str">
        <f>VLOOKUP(CambioPlan[[#This Row],[DOMAIN_LOGIN_OW]],[1]!Personal[#Data],6,0)</f>
        <v>PATIÑO URGILES DIANA CATALINA</v>
      </c>
      <c r="BZ131" s="43"/>
      <c r="CA131" s="43" t="str">
        <f>IFERROR(IF(FIND("ADULTO",CambioPlan[[#This Row],[DESCRIPCION_PLAN_ACTUAL]],1),"NO SE PAGA",),"SI SE PAGA")</f>
        <v>SI SE PAGA</v>
      </c>
      <c r="CB131" s="45">
        <f>CambioPlan[[#This Row],[TARIFA_BASICA_ACTUAL]]-CambioPlan[[#This Row],[TARIFA_BASICA_ANTERIOR]]</f>
        <v>1.4200000000000017</v>
      </c>
      <c r="CC131" s="56">
        <f>CambioPlan[[#This Row],[DIF. TARIFAS]]*4</f>
        <v>5.6800000000000068</v>
      </c>
      <c r="CD131" s="53" t="str">
        <f>IF(CambioPlan[[#This Row],[C. COMISIÓN TME]]&lt;0,"DOWNSELL",IF(CambioPlan[[#This Row],[C. COMISIÓN TME]]=0,"MISMA TARIFA",IF(CambioPlan[[#This Row],[C. COMISIÓN TME]]&gt;0,"UPSELL")))</f>
        <v>UPSELL</v>
      </c>
      <c r="CE131">
        <f>VLOOKUP(CambioPlan[[#This Row],[TARIFA_BASICA_ANTERIOR]],[3]Hoja1!$F:$G,2,0)</f>
        <v>3</v>
      </c>
      <c r="CF131">
        <f>VLOOKUP(CambioPlan[[#This Row],[TARIFA_BASICA_ACTUAL]],[3]Hoja1!$B:$C,2,0)</f>
        <v>3</v>
      </c>
      <c r="CG131">
        <f t="shared" si="1"/>
        <v>0</v>
      </c>
      <c r="CH131" t="e">
        <f>VLOOKUP(CambioPlan[[#This Row],[TELEFONO]],[1]Retenciones!$R$63:$R$287,1,0)</f>
        <v>#N/A</v>
      </c>
    </row>
    <row r="132" spans="1:86" x14ac:dyDescent="0.25">
      <c r="A132" s="43">
        <v>202212</v>
      </c>
      <c r="B132" s="44">
        <v>44914</v>
      </c>
      <c r="C132" s="43" t="s">
        <v>7514</v>
      </c>
      <c r="D132" s="43" t="s">
        <v>7515</v>
      </c>
      <c r="E132" s="43" t="s">
        <v>95</v>
      </c>
      <c r="F132" s="43" t="s">
        <v>77</v>
      </c>
      <c r="G132" s="43" t="s">
        <v>2241</v>
      </c>
      <c r="H132" s="43" t="s">
        <v>67</v>
      </c>
      <c r="I132" s="43" t="s">
        <v>7516</v>
      </c>
      <c r="J132" s="43" t="s">
        <v>7037</v>
      </c>
      <c r="K132" s="43" t="s">
        <v>84</v>
      </c>
      <c r="L132" s="43" t="s">
        <v>112</v>
      </c>
      <c r="M132" s="43" t="s">
        <v>781</v>
      </c>
      <c r="N132" s="43" t="s">
        <v>79</v>
      </c>
      <c r="O132" s="45">
        <v>17.850000000000001</v>
      </c>
      <c r="P132" s="43" t="s">
        <v>95</v>
      </c>
      <c r="Q132" s="43" t="s">
        <v>95</v>
      </c>
      <c r="R132" s="43" t="s">
        <v>95</v>
      </c>
      <c r="S132" s="45">
        <v>0</v>
      </c>
      <c r="T132" s="43" t="s">
        <v>95</v>
      </c>
      <c r="U132" s="44" t="s">
        <v>95</v>
      </c>
      <c r="V132" s="44" t="s">
        <v>95</v>
      </c>
      <c r="W132" s="43" t="s">
        <v>95</v>
      </c>
      <c r="X132" s="45">
        <v>17.850000000000001</v>
      </c>
      <c r="Y132" s="43" t="s">
        <v>81</v>
      </c>
      <c r="Z132" s="43" t="s">
        <v>160</v>
      </c>
      <c r="AA132" s="43" t="s">
        <v>161</v>
      </c>
      <c r="AB132" s="43" t="s">
        <v>79</v>
      </c>
      <c r="AC132" s="45">
        <v>14.28</v>
      </c>
      <c r="AD132" s="43" t="s">
        <v>95</v>
      </c>
      <c r="AE132" s="43" t="s">
        <v>95</v>
      </c>
      <c r="AF132" s="43" t="s">
        <v>95</v>
      </c>
      <c r="AG132" s="43" t="s">
        <v>95</v>
      </c>
      <c r="AH132" s="45">
        <v>0</v>
      </c>
      <c r="AI132" s="43" t="s">
        <v>95</v>
      </c>
      <c r="AJ132" s="43" t="s">
        <v>95</v>
      </c>
      <c r="AK132" s="43" t="s">
        <v>95</v>
      </c>
      <c r="AL132" s="43" t="s">
        <v>95</v>
      </c>
      <c r="AM132" s="45">
        <v>14.28</v>
      </c>
      <c r="AN132" s="43" t="s">
        <v>81</v>
      </c>
      <c r="AO132" s="44">
        <v>44910</v>
      </c>
      <c r="AP132" s="43" t="s">
        <v>326</v>
      </c>
      <c r="AQ132" s="43" t="s">
        <v>327</v>
      </c>
      <c r="AR132" s="43" t="s">
        <v>326</v>
      </c>
      <c r="AS132" s="43" t="s">
        <v>327</v>
      </c>
      <c r="AT132" s="43" t="s">
        <v>85</v>
      </c>
      <c r="AU132" s="43" t="s">
        <v>7030</v>
      </c>
      <c r="AV132" s="43" t="s">
        <v>7031</v>
      </c>
      <c r="AW132" s="43" t="s">
        <v>7031</v>
      </c>
      <c r="AX132" s="43" t="s">
        <v>90</v>
      </c>
      <c r="AY132" s="43" t="s">
        <v>132</v>
      </c>
      <c r="AZ132" s="43" t="s">
        <v>7037</v>
      </c>
      <c r="BA132" s="43" t="s">
        <v>139</v>
      </c>
      <c r="BB132" s="45">
        <v>3.57</v>
      </c>
      <c r="BC132" s="45">
        <v>3.57</v>
      </c>
      <c r="BD132" s="43" t="s">
        <v>7032</v>
      </c>
      <c r="BE132" s="43" t="s">
        <v>81</v>
      </c>
      <c r="BF132" s="43" t="s">
        <v>81</v>
      </c>
      <c r="BG132" s="43" t="s">
        <v>86</v>
      </c>
      <c r="BH132" s="43" t="s">
        <v>138</v>
      </c>
      <c r="BI132" s="43" t="s">
        <v>7076</v>
      </c>
      <c r="BJ132" s="43" t="s">
        <v>7030</v>
      </c>
      <c r="BK132" s="43" t="s">
        <v>139</v>
      </c>
      <c r="BL132" s="43" t="s">
        <v>85</v>
      </c>
      <c r="BM132" s="43" t="s">
        <v>85</v>
      </c>
      <c r="BN132" s="43" t="s">
        <v>139</v>
      </c>
      <c r="BO132" s="46">
        <v>3.57</v>
      </c>
      <c r="BP132" s="43" t="s">
        <v>7032</v>
      </c>
      <c r="BQ132" s="43">
        <v>3.57</v>
      </c>
      <c r="BR132" s="43" t="s">
        <v>7032</v>
      </c>
      <c r="BS132" s="47">
        <v>3.57</v>
      </c>
      <c r="BT132" s="43" t="s">
        <v>7032</v>
      </c>
      <c r="BU132" s="43" t="s">
        <v>7032</v>
      </c>
      <c r="BV132" s="43" t="str">
        <f>CambioPlan[[#This Row],[TELEFONO]]&amp;"UPSELLSI"</f>
        <v>992519300UPSELLSI</v>
      </c>
      <c r="BW132" s="43">
        <f>DAY(CambioPlan[[#This Row],[FECHA_CAMBIO_PLAN]])</f>
        <v>15</v>
      </c>
      <c r="BX132" s="43" t="str">
        <f>VLOOKUP(CambioPlan[[#This Row],[NOM_PLAZA]],[1]!Locales[#Data],3,0)</f>
        <v>TIENDA AMERICA</v>
      </c>
      <c r="BY132" s="43" t="str">
        <f>VLOOKUP(CambioPlan[[#This Row],[DOMAIN_LOGIN_OW]],[1]!Personal[#Data],6,0)</f>
        <v>AMBULUDI ROLDAN GIANELLA GRIMANEZA</v>
      </c>
      <c r="BZ132" s="43"/>
      <c r="CA132" s="43" t="str">
        <f>IFERROR(IF(FIND("ADULTO",CambioPlan[[#This Row],[DESCRIPCION_PLAN_ACTUAL]],1),"NO SE PAGA",),"SI SE PAGA")</f>
        <v>SI SE PAGA</v>
      </c>
      <c r="CB132" s="45">
        <f>CambioPlan[[#This Row],[TARIFA_BASICA_ACTUAL]]-CambioPlan[[#This Row],[TARIFA_BASICA_ANTERIOR]]</f>
        <v>3.5700000000000021</v>
      </c>
      <c r="CC132" s="56">
        <f>CambioPlan[[#This Row],[DIF. TARIFAS]]*4</f>
        <v>14.280000000000008</v>
      </c>
      <c r="CD132" s="53" t="str">
        <f>IF(CambioPlan[[#This Row],[C. COMISIÓN TME]]&lt;0,"DOWNSELL",IF(CambioPlan[[#This Row],[C. COMISIÓN TME]]=0,"MISMA TARIFA",IF(CambioPlan[[#This Row],[C. COMISIÓN TME]]&gt;0,"UPSELL")))</f>
        <v>UPSELL</v>
      </c>
      <c r="CE132">
        <f>VLOOKUP(CambioPlan[[#This Row],[TARIFA_BASICA_ANTERIOR]],[3]Hoja1!$F:$G,2,0)</f>
        <v>1</v>
      </c>
      <c r="CF132">
        <f>VLOOKUP(CambioPlan[[#This Row],[TARIFA_BASICA_ACTUAL]],[3]Hoja1!$B:$C,2,0)</f>
        <v>2</v>
      </c>
      <c r="CG132">
        <f t="shared" si="1"/>
        <v>1</v>
      </c>
      <c r="CH132" t="e">
        <f>VLOOKUP(CambioPlan[[#This Row],[TELEFONO]],[1]Retenciones!$R$63:$R$287,1,0)</f>
        <v>#N/A</v>
      </c>
    </row>
    <row r="133" spans="1:86" x14ac:dyDescent="0.25">
      <c r="A133" s="43">
        <v>202212</v>
      </c>
      <c r="B133" s="44">
        <v>44914</v>
      </c>
      <c r="C133" s="43" t="s">
        <v>7517</v>
      </c>
      <c r="D133" s="43" t="s">
        <v>7518</v>
      </c>
      <c r="E133" s="43" t="s">
        <v>95</v>
      </c>
      <c r="F133" s="43" t="s">
        <v>77</v>
      </c>
      <c r="G133" s="43" t="s">
        <v>2241</v>
      </c>
      <c r="H133" s="43" t="s">
        <v>67</v>
      </c>
      <c r="I133" s="43" t="s">
        <v>7519</v>
      </c>
      <c r="J133" s="43" t="s">
        <v>7037</v>
      </c>
      <c r="K133" s="43" t="s">
        <v>118</v>
      </c>
      <c r="L133" s="43" t="s">
        <v>1487</v>
      </c>
      <c r="M133" s="43" t="s">
        <v>6805</v>
      </c>
      <c r="N133" s="43" t="s">
        <v>79</v>
      </c>
      <c r="O133" s="45">
        <v>21.42</v>
      </c>
      <c r="P133" s="43" t="s">
        <v>95</v>
      </c>
      <c r="Q133" s="43" t="s">
        <v>95</v>
      </c>
      <c r="R133" s="43" t="s">
        <v>95</v>
      </c>
      <c r="S133" s="45">
        <v>0</v>
      </c>
      <c r="T133" s="43" t="s">
        <v>95</v>
      </c>
      <c r="U133" s="44" t="s">
        <v>95</v>
      </c>
      <c r="V133" s="44" t="s">
        <v>95</v>
      </c>
      <c r="W133" s="43" t="s">
        <v>95</v>
      </c>
      <c r="X133" s="45">
        <v>21.42</v>
      </c>
      <c r="Y133" s="43" t="s">
        <v>81</v>
      </c>
      <c r="Z133" s="43" t="s">
        <v>7324</v>
      </c>
      <c r="AA133" s="43" t="s">
        <v>7325</v>
      </c>
      <c r="AB133" s="43" t="s">
        <v>79</v>
      </c>
      <c r="AC133" s="45">
        <v>9.99</v>
      </c>
      <c r="AD133" s="43" t="s">
        <v>95</v>
      </c>
      <c r="AE133" s="43" t="s">
        <v>95</v>
      </c>
      <c r="AF133" s="43" t="s">
        <v>95</v>
      </c>
      <c r="AG133" s="43" t="s">
        <v>95</v>
      </c>
      <c r="AH133" s="45">
        <v>0</v>
      </c>
      <c r="AI133" s="43" t="s">
        <v>95</v>
      </c>
      <c r="AJ133" s="43" t="s">
        <v>95</v>
      </c>
      <c r="AK133" s="43" t="s">
        <v>95</v>
      </c>
      <c r="AL133" s="43" t="s">
        <v>95</v>
      </c>
      <c r="AM133" s="45">
        <v>9.99</v>
      </c>
      <c r="AN133" s="43" t="s">
        <v>81</v>
      </c>
      <c r="AO133" s="44">
        <v>44898</v>
      </c>
      <c r="AP133" s="43" t="s">
        <v>822</v>
      </c>
      <c r="AQ133" s="43" t="s">
        <v>823</v>
      </c>
      <c r="AR133" s="43" t="s">
        <v>822</v>
      </c>
      <c r="AS133" s="43" t="s">
        <v>823</v>
      </c>
      <c r="AT133" s="43" t="s">
        <v>85</v>
      </c>
      <c r="AU133" s="43" t="s">
        <v>7030</v>
      </c>
      <c r="AV133" s="43" t="s">
        <v>7031</v>
      </c>
      <c r="AW133" s="43" t="s">
        <v>7031</v>
      </c>
      <c r="AX133" s="43" t="s">
        <v>90</v>
      </c>
      <c r="AY133" s="43" t="s">
        <v>132</v>
      </c>
      <c r="AZ133" s="43" t="s">
        <v>7037</v>
      </c>
      <c r="BA133" s="43" t="s">
        <v>139</v>
      </c>
      <c r="BB133" s="45">
        <v>11.43</v>
      </c>
      <c r="BC133" s="45">
        <v>11.43</v>
      </c>
      <c r="BD133" s="43" t="s">
        <v>7032</v>
      </c>
      <c r="BE133" s="43" t="s">
        <v>81</v>
      </c>
      <c r="BF133" s="43" t="s">
        <v>81</v>
      </c>
      <c r="BG133" s="43" t="s">
        <v>86</v>
      </c>
      <c r="BH133" s="43" t="s">
        <v>177</v>
      </c>
      <c r="BI133" s="43" t="s">
        <v>7038</v>
      </c>
      <c r="BJ133" s="43" t="s">
        <v>7030</v>
      </c>
      <c r="BK133" s="43" t="s">
        <v>139</v>
      </c>
      <c r="BL133" s="43" t="s">
        <v>85</v>
      </c>
      <c r="BM133" s="43" t="s">
        <v>85</v>
      </c>
      <c r="BN133" s="43" t="s">
        <v>139</v>
      </c>
      <c r="BO133" s="46">
        <v>11.43</v>
      </c>
      <c r="BP133" s="43" t="s">
        <v>7032</v>
      </c>
      <c r="BQ133" s="43">
        <v>11.43</v>
      </c>
      <c r="BR133" s="43" t="s">
        <v>7032</v>
      </c>
      <c r="BS133" s="47">
        <v>11.43</v>
      </c>
      <c r="BT133" s="43" t="s">
        <v>7032</v>
      </c>
      <c r="BU133" s="43" t="s">
        <v>7032</v>
      </c>
      <c r="BV133" s="43" t="str">
        <f>CambioPlan[[#This Row],[TELEFONO]]&amp;"UPSELLSI"</f>
        <v>992541198UPSELLSI</v>
      </c>
      <c r="BW133" s="43">
        <f>DAY(CambioPlan[[#This Row],[FECHA_CAMBIO_PLAN]])</f>
        <v>3</v>
      </c>
      <c r="BX133" s="43" t="str">
        <f>VLOOKUP(CambioPlan[[#This Row],[NOM_PLAZA]],[1]!Locales[#Data],3,0)</f>
        <v>TIENDA RECREO</v>
      </c>
      <c r="BY133" s="43" t="str">
        <f>VLOOKUP(CambioPlan[[#This Row],[DOMAIN_LOGIN_OW]],[1]!Personal[#Data],6,0)</f>
        <v>SALAS PARRA MARIA JOSE</v>
      </c>
      <c r="BZ133" s="43"/>
      <c r="CA133" s="43" t="str">
        <f>IFERROR(IF(FIND("ADULTO",CambioPlan[[#This Row],[DESCRIPCION_PLAN_ACTUAL]],1),"NO SE PAGA",),"SI SE PAGA")</f>
        <v>SI SE PAGA</v>
      </c>
      <c r="CB133" s="45">
        <f>CambioPlan[[#This Row],[TARIFA_BASICA_ACTUAL]]-CambioPlan[[#This Row],[TARIFA_BASICA_ANTERIOR]]</f>
        <v>11.430000000000001</v>
      </c>
      <c r="CC133" s="56">
        <f>CambioPlan[[#This Row],[DIF. TARIFAS]]*4</f>
        <v>45.720000000000006</v>
      </c>
      <c r="CD133" s="53" t="str">
        <f>IF(CambioPlan[[#This Row],[C. COMISIÓN TME]]&lt;0,"DOWNSELL",IF(CambioPlan[[#This Row],[C. COMISIÓN TME]]=0,"MISMA TARIFA",IF(CambioPlan[[#This Row],[C. COMISIÓN TME]]&gt;0,"UPSELL")))</f>
        <v>UPSELL</v>
      </c>
      <c r="CE133">
        <f>VLOOKUP(CambioPlan[[#This Row],[TARIFA_BASICA_ANTERIOR]],[3]Hoja1!$F:$G,2,0)</f>
        <v>0</v>
      </c>
      <c r="CF133">
        <f>VLOOKUP(CambioPlan[[#This Row],[TARIFA_BASICA_ACTUAL]],[3]Hoja1!$B:$C,2,0)</f>
        <v>3</v>
      </c>
      <c r="CG133">
        <f t="shared" si="1"/>
        <v>3</v>
      </c>
      <c r="CH133" t="e">
        <f>VLOOKUP(CambioPlan[[#This Row],[TELEFONO]],[1]Retenciones!$R$63:$R$287,1,0)</f>
        <v>#N/A</v>
      </c>
    </row>
    <row r="134" spans="1:86" x14ac:dyDescent="0.25">
      <c r="A134" s="43">
        <v>202212</v>
      </c>
      <c r="B134" s="44">
        <v>44914</v>
      </c>
      <c r="C134" s="43" t="s">
        <v>7520</v>
      </c>
      <c r="D134" s="43" t="s">
        <v>7521</v>
      </c>
      <c r="E134" s="43" t="s">
        <v>95</v>
      </c>
      <c r="F134" s="43" t="s">
        <v>77</v>
      </c>
      <c r="G134" s="43" t="s">
        <v>2241</v>
      </c>
      <c r="H134" s="43" t="s">
        <v>67</v>
      </c>
      <c r="I134" s="43" t="s">
        <v>7522</v>
      </c>
      <c r="J134" s="43" t="s">
        <v>7047</v>
      </c>
      <c r="K134" s="43" t="s">
        <v>84</v>
      </c>
      <c r="L134" s="43" t="s">
        <v>227</v>
      </c>
      <c r="M134" s="43" t="s">
        <v>426</v>
      </c>
      <c r="N134" s="43" t="s">
        <v>79</v>
      </c>
      <c r="O134" s="45">
        <v>21.42</v>
      </c>
      <c r="P134" s="43" t="s">
        <v>95</v>
      </c>
      <c r="Q134" s="43" t="s">
        <v>95</v>
      </c>
      <c r="R134" s="43" t="s">
        <v>95</v>
      </c>
      <c r="S134" s="45">
        <v>0</v>
      </c>
      <c r="T134" s="43" t="s">
        <v>95</v>
      </c>
      <c r="U134" s="44" t="s">
        <v>95</v>
      </c>
      <c r="V134" s="44" t="s">
        <v>95</v>
      </c>
      <c r="W134" s="43" t="s">
        <v>95</v>
      </c>
      <c r="X134" s="45">
        <v>21.42</v>
      </c>
      <c r="Y134" s="43" t="s">
        <v>81</v>
      </c>
      <c r="Z134" s="43" t="s">
        <v>160</v>
      </c>
      <c r="AA134" s="43" t="s">
        <v>161</v>
      </c>
      <c r="AB134" s="43" t="s">
        <v>79</v>
      </c>
      <c r="AC134" s="45">
        <v>14.28</v>
      </c>
      <c r="AD134" s="43" t="s">
        <v>95</v>
      </c>
      <c r="AE134" s="43" t="s">
        <v>95</v>
      </c>
      <c r="AF134" s="43" t="s">
        <v>95</v>
      </c>
      <c r="AG134" s="43" t="s">
        <v>95</v>
      </c>
      <c r="AH134" s="45">
        <v>0</v>
      </c>
      <c r="AI134" s="43" t="s">
        <v>95</v>
      </c>
      <c r="AJ134" s="43" t="s">
        <v>95</v>
      </c>
      <c r="AK134" s="43" t="s">
        <v>95</v>
      </c>
      <c r="AL134" s="43" t="s">
        <v>95</v>
      </c>
      <c r="AM134" s="45">
        <v>14.28</v>
      </c>
      <c r="AN134" s="43" t="s">
        <v>81</v>
      </c>
      <c r="AO134" s="44">
        <v>44909</v>
      </c>
      <c r="AP134" s="43" t="s">
        <v>352</v>
      </c>
      <c r="AQ134" s="43" t="s">
        <v>353</v>
      </c>
      <c r="AR134" s="43" t="s">
        <v>352</v>
      </c>
      <c r="AS134" s="43" t="s">
        <v>353</v>
      </c>
      <c r="AT134" s="43" t="s">
        <v>85</v>
      </c>
      <c r="AU134" s="43" t="s">
        <v>7030</v>
      </c>
      <c r="AV134" s="43" t="s">
        <v>7031</v>
      </c>
      <c r="AW134" s="43" t="s">
        <v>7031</v>
      </c>
      <c r="AX134" s="43" t="s">
        <v>90</v>
      </c>
      <c r="AY134" s="43" t="s">
        <v>114</v>
      </c>
      <c r="AZ134" s="43" t="s">
        <v>7047</v>
      </c>
      <c r="BA134" s="43" t="s">
        <v>92</v>
      </c>
      <c r="BB134" s="45">
        <v>7.14</v>
      </c>
      <c r="BC134" s="45">
        <v>7.14</v>
      </c>
      <c r="BD134" s="43" t="s">
        <v>7032</v>
      </c>
      <c r="BE134" s="43" t="s">
        <v>81</v>
      </c>
      <c r="BF134" s="43" t="s">
        <v>81</v>
      </c>
      <c r="BG134" s="43" t="s">
        <v>86</v>
      </c>
      <c r="BH134" s="43" t="s">
        <v>122</v>
      </c>
      <c r="BI134" s="43" t="s">
        <v>7048</v>
      </c>
      <c r="BJ134" s="43" t="s">
        <v>7030</v>
      </c>
      <c r="BK134" s="43" t="s">
        <v>92</v>
      </c>
      <c r="BL134" s="43" t="s">
        <v>85</v>
      </c>
      <c r="BM134" s="43" t="s">
        <v>85</v>
      </c>
      <c r="BN134" s="43" t="s">
        <v>92</v>
      </c>
      <c r="BO134" s="46">
        <v>7.14</v>
      </c>
      <c r="BP134" s="43" t="s">
        <v>7032</v>
      </c>
      <c r="BQ134" s="43">
        <v>7.14</v>
      </c>
      <c r="BR134" s="43" t="s">
        <v>7032</v>
      </c>
      <c r="BS134" s="47">
        <v>7.14</v>
      </c>
      <c r="BT134" s="43" t="s">
        <v>7032</v>
      </c>
      <c r="BU134" s="43" t="s">
        <v>7032</v>
      </c>
      <c r="BV134" s="43" t="str">
        <f>CambioPlan[[#This Row],[TELEFONO]]&amp;"UPSELLSI"</f>
        <v>992556908UPSELLSI</v>
      </c>
      <c r="BW134" s="43">
        <f>DAY(CambioPlan[[#This Row],[FECHA_CAMBIO_PLAN]])</f>
        <v>14</v>
      </c>
      <c r="BX134" s="43" t="str">
        <f>VLOOKUP(CambioPlan[[#This Row],[NOM_PLAZA]],[1]!Locales[#Data],3,0)</f>
        <v>TIENDA MACHALA</v>
      </c>
      <c r="BY134" s="43" t="str">
        <f>VLOOKUP(CambioPlan[[#This Row],[DOMAIN_LOGIN_OW]],[1]!Personal[#Data],6,0)</f>
        <v>TENORIO MARIA DEL PILAR</v>
      </c>
      <c r="BZ134" s="43"/>
      <c r="CA134" s="43" t="str">
        <f>IFERROR(IF(FIND("ADULTO",CambioPlan[[#This Row],[DESCRIPCION_PLAN_ACTUAL]],1),"NO SE PAGA",),"SI SE PAGA")</f>
        <v>SI SE PAGA</v>
      </c>
      <c r="CB134" s="45">
        <f>CambioPlan[[#This Row],[TARIFA_BASICA_ACTUAL]]-CambioPlan[[#This Row],[TARIFA_BASICA_ANTERIOR]]</f>
        <v>7.1400000000000023</v>
      </c>
      <c r="CC134" s="56">
        <f>CambioPlan[[#This Row],[DIF. TARIFAS]]*4</f>
        <v>28.560000000000009</v>
      </c>
      <c r="CD134" s="53" t="str">
        <f>IF(CambioPlan[[#This Row],[C. COMISIÓN TME]]&lt;0,"DOWNSELL",IF(CambioPlan[[#This Row],[C. COMISIÓN TME]]=0,"MISMA TARIFA",IF(CambioPlan[[#This Row],[C. COMISIÓN TME]]&gt;0,"UPSELL")))</f>
        <v>UPSELL</v>
      </c>
      <c r="CE134">
        <f>VLOOKUP(CambioPlan[[#This Row],[TARIFA_BASICA_ANTERIOR]],[3]Hoja1!$F:$G,2,0)</f>
        <v>1</v>
      </c>
      <c r="CF134">
        <f>VLOOKUP(CambioPlan[[#This Row],[TARIFA_BASICA_ACTUAL]],[3]Hoja1!$B:$C,2,0)</f>
        <v>3</v>
      </c>
      <c r="CG134">
        <f t="shared" si="1"/>
        <v>2</v>
      </c>
      <c r="CH134" t="e">
        <f>VLOOKUP(CambioPlan[[#This Row],[TELEFONO]],[1]Retenciones!$R$63:$R$287,1,0)</f>
        <v>#N/A</v>
      </c>
    </row>
    <row r="135" spans="1:86" x14ac:dyDescent="0.25">
      <c r="A135" s="43">
        <v>202212</v>
      </c>
      <c r="B135" s="44">
        <v>44914</v>
      </c>
      <c r="C135" s="43" t="s">
        <v>7523</v>
      </c>
      <c r="D135" s="43" t="s">
        <v>7524</v>
      </c>
      <c r="E135" s="43" t="s">
        <v>95</v>
      </c>
      <c r="F135" s="43" t="s">
        <v>77</v>
      </c>
      <c r="G135" s="43" t="s">
        <v>164</v>
      </c>
      <c r="H135" s="43" t="s">
        <v>67</v>
      </c>
      <c r="I135" s="43" t="s">
        <v>7525</v>
      </c>
      <c r="J135" s="43" t="s">
        <v>7037</v>
      </c>
      <c r="K135" s="43" t="s">
        <v>118</v>
      </c>
      <c r="L135" s="43" t="s">
        <v>71</v>
      </c>
      <c r="M135" s="43" t="s">
        <v>258</v>
      </c>
      <c r="N135" s="43" t="s">
        <v>79</v>
      </c>
      <c r="O135" s="45">
        <v>11.42</v>
      </c>
      <c r="P135" s="43" t="s">
        <v>95</v>
      </c>
      <c r="Q135" s="43" t="s">
        <v>95</v>
      </c>
      <c r="R135" s="43" t="s">
        <v>95</v>
      </c>
      <c r="S135" s="45">
        <v>0</v>
      </c>
      <c r="T135" s="43" t="s">
        <v>95</v>
      </c>
      <c r="U135" s="44" t="s">
        <v>95</v>
      </c>
      <c r="V135" s="44" t="s">
        <v>95</v>
      </c>
      <c r="W135" s="43" t="s">
        <v>95</v>
      </c>
      <c r="X135" s="45">
        <v>11.42</v>
      </c>
      <c r="Y135" s="43" t="s">
        <v>81</v>
      </c>
      <c r="Z135" s="43" t="s">
        <v>160</v>
      </c>
      <c r="AA135" s="43" t="s">
        <v>161</v>
      </c>
      <c r="AB135" s="43" t="s">
        <v>79</v>
      </c>
      <c r="AC135" s="45">
        <v>14.28</v>
      </c>
      <c r="AD135" s="43" t="s">
        <v>95</v>
      </c>
      <c r="AE135" s="43" t="s">
        <v>95</v>
      </c>
      <c r="AF135" s="43" t="s">
        <v>95</v>
      </c>
      <c r="AG135" s="43" t="s">
        <v>95</v>
      </c>
      <c r="AH135" s="45">
        <v>0</v>
      </c>
      <c r="AI135" s="43" t="s">
        <v>95</v>
      </c>
      <c r="AJ135" s="43" t="s">
        <v>95</v>
      </c>
      <c r="AK135" s="43" t="s">
        <v>95</v>
      </c>
      <c r="AL135" s="43" t="s">
        <v>95</v>
      </c>
      <c r="AM135" s="45">
        <v>14.28</v>
      </c>
      <c r="AN135" s="43" t="s">
        <v>81</v>
      </c>
      <c r="AO135" s="44">
        <v>44910</v>
      </c>
      <c r="AP135" s="43" t="s">
        <v>369</v>
      </c>
      <c r="AQ135" s="43" t="s">
        <v>370</v>
      </c>
      <c r="AR135" s="43" t="s">
        <v>369</v>
      </c>
      <c r="AS135" s="43" t="s">
        <v>370</v>
      </c>
      <c r="AT135" s="43" t="s">
        <v>85</v>
      </c>
      <c r="AU135" s="43" t="s">
        <v>7030</v>
      </c>
      <c r="AV135" s="43" t="s">
        <v>7031</v>
      </c>
      <c r="AW135" s="43" t="s">
        <v>7031</v>
      </c>
      <c r="AX135" s="43" t="s">
        <v>90</v>
      </c>
      <c r="AY135" s="43" t="s">
        <v>132</v>
      </c>
      <c r="AZ135" s="43" t="s">
        <v>7037</v>
      </c>
      <c r="BA135" s="43" t="s">
        <v>139</v>
      </c>
      <c r="BB135" s="45">
        <v>-2.86</v>
      </c>
      <c r="BC135" s="45">
        <v>-2.86</v>
      </c>
      <c r="BD135" s="43" t="s">
        <v>7106</v>
      </c>
      <c r="BE135" s="43" t="s">
        <v>81</v>
      </c>
      <c r="BF135" s="43" t="s">
        <v>81</v>
      </c>
      <c r="BG135" s="43" t="s">
        <v>86</v>
      </c>
      <c r="BH135" s="43" t="s">
        <v>177</v>
      </c>
      <c r="BI135" s="43" t="s">
        <v>7038</v>
      </c>
      <c r="BJ135" s="43" t="s">
        <v>7030</v>
      </c>
      <c r="BK135" s="43" t="s">
        <v>139</v>
      </c>
      <c r="BL135" s="43" t="s">
        <v>85</v>
      </c>
      <c r="BM135" s="43" t="s">
        <v>85</v>
      </c>
      <c r="BN135" s="43" t="s">
        <v>139</v>
      </c>
      <c r="BO135" s="46">
        <v>-2.86</v>
      </c>
      <c r="BP135" s="43" t="s">
        <v>7106</v>
      </c>
      <c r="BQ135" s="43">
        <v>-2.86</v>
      </c>
      <c r="BR135" s="43" t="s">
        <v>7106</v>
      </c>
      <c r="BS135" s="47">
        <v>-2.86</v>
      </c>
      <c r="BT135" s="43" t="s">
        <v>7106</v>
      </c>
      <c r="BU135" s="43" t="s">
        <v>7106</v>
      </c>
      <c r="BV135" s="43" t="str">
        <f>CambioPlan[[#This Row],[TELEFONO]]&amp;"UPSELLSI"</f>
        <v>992746990UPSELLSI</v>
      </c>
      <c r="BW135" s="43">
        <f>DAY(CambioPlan[[#This Row],[FECHA_CAMBIO_PLAN]])</f>
        <v>15</v>
      </c>
      <c r="BX135" s="43" t="str">
        <f>VLOOKUP(CambioPlan[[#This Row],[NOM_PLAZA]],[1]!Locales[#Data],3,0)</f>
        <v>TIENDA RECREO</v>
      </c>
      <c r="BY135" s="43" t="str">
        <f>VLOOKUP(CambioPlan[[#This Row],[DOMAIN_LOGIN_OW]],[1]!Personal[#Data],6,0)</f>
        <v>GUAIGUA REINOSO GENESIS CAROLINA</v>
      </c>
      <c r="BZ135" s="43"/>
      <c r="CA135" s="43" t="str">
        <f>IFERROR(IF(FIND("ADULTO",CambioPlan[[#This Row],[DESCRIPCION_PLAN_ACTUAL]],1),"NO SE PAGA",),"SI SE PAGA")</f>
        <v>SI SE PAGA</v>
      </c>
      <c r="CB135" s="45">
        <f>CambioPlan[[#This Row],[TARIFA_BASICA_ACTUAL]]-CambioPlan[[#This Row],[TARIFA_BASICA_ANTERIOR]]</f>
        <v>-2.8599999999999994</v>
      </c>
      <c r="CC135" s="56">
        <f>CambioPlan[[#This Row],[DIF. TARIFAS]]*4</f>
        <v>-11.439999999999998</v>
      </c>
      <c r="CD135" s="53" t="str">
        <f>IF(CambioPlan[[#This Row],[C. COMISIÓN TME]]&lt;0,"DOWNSELL",IF(CambioPlan[[#This Row],[C. COMISIÓN TME]]=0,"MISMA TARIFA",IF(CambioPlan[[#This Row],[C. COMISIÓN TME]]&gt;0,"UPSELL")))</f>
        <v>DOWNSELL</v>
      </c>
      <c r="CE135">
        <f>VLOOKUP(CambioPlan[[#This Row],[TARIFA_BASICA_ANTERIOR]],[3]Hoja1!$F:$G,2,0)</f>
        <v>1</v>
      </c>
      <c r="CF135">
        <f>VLOOKUP(CambioPlan[[#This Row],[TARIFA_BASICA_ACTUAL]],[3]Hoja1!$B:$C,2,0)</f>
        <v>0</v>
      </c>
      <c r="CG135">
        <f t="shared" si="1"/>
        <v>-1</v>
      </c>
      <c r="CH135" t="e">
        <f>VLOOKUP(CambioPlan[[#This Row],[TELEFONO]],[1]Retenciones!$R$63:$R$287,1,0)</f>
        <v>#N/A</v>
      </c>
    </row>
    <row r="136" spans="1:86" x14ac:dyDescent="0.25">
      <c r="A136" s="43">
        <v>202212</v>
      </c>
      <c r="B136" s="44">
        <v>44914</v>
      </c>
      <c r="C136" s="43" t="s">
        <v>7526</v>
      </c>
      <c r="D136" s="43" t="s">
        <v>7527</v>
      </c>
      <c r="E136" s="43" t="s">
        <v>95</v>
      </c>
      <c r="F136" s="43" t="s">
        <v>231</v>
      </c>
      <c r="G136" s="43" t="s">
        <v>231</v>
      </c>
      <c r="H136" s="43" t="s">
        <v>67</v>
      </c>
      <c r="I136" s="43" t="s">
        <v>7528</v>
      </c>
      <c r="J136" s="43" t="s">
        <v>7037</v>
      </c>
      <c r="K136" s="43" t="s">
        <v>215</v>
      </c>
      <c r="L136" s="43" t="s">
        <v>4963</v>
      </c>
      <c r="M136" s="43" t="s">
        <v>4964</v>
      </c>
      <c r="N136" s="43" t="s">
        <v>79</v>
      </c>
      <c r="O136" s="45">
        <v>32.130000000000003</v>
      </c>
      <c r="P136" s="43" t="s">
        <v>95</v>
      </c>
      <c r="Q136" s="43" t="s">
        <v>95</v>
      </c>
      <c r="R136" s="43" t="s">
        <v>95</v>
      </c>
      <c r="S136" s="45">
        <v>0</v>
      </c>
      <c r="T136" s="43" t="s">
        <v>95</v>
      </c>
      <c r="U136" s="44" t="s">
        <v>95</v>
      </c>
      <c r="V136" s="44" t="s">
        <v>95</v>
      </c>
      <c r="W136" s="43" t="s">
        <v>95</v>
      </c>
      <c r="X136" s="45">
        <v>32.130000000000003</v>
      </c>
      <c r="Y136" s="43" t="s">
        <v>81</v>
      </c>
      <c r="Z136" s="43" t="s">
        <v>3972</v>
      </c>
      <c r="AA136" s="43" t="s">
        <v>3973</v>
      </c>
      <c r="AB136" s="43" t="s">
        <v>79</v>
      </c>
      <c r="AC136" s="45">
        <v>26.78</v>
      </c>
      <c r="AD136" s="43" t="s">
        <v>95</v>
      </c>
      <c r="AE136" s="43" t="s">
        <v>95</v>
      </c>
      <c r="AF136" s="43" t="s">
        <v>95</v>
      </c>
      <c r="AG136" s="43" t="s">
        <v>95</v>
      </c>
      <c r="AH136" s="45">
        <v>0</v>
      </c>
      <c r="AI136" s="43" t="s">
        <v>95</v>
      </c>
      <c r="AJ136" s="43" t="s">
        <v>95</v>
      </c>
      <c r="AK136" s="43" t="s">
        <v>95</v>
      </c>
      <c r="AL136" s="43" t="s">
        <v>95</v>
      </c>
      <c r="AM136" s="45">
        <v>26.78</v>
      </c>
      <c r="AN136" s="43" t="s">
        <v>81</v>
      </c>
      <c r="AO136" s="44">
        <v>44901</v>
      </c>
      <c r="AP136" s="43" t="s">
        <v>2103</v>
      </c>
      <c r="AQ136" s="43" t="s">
        <v>2104</v>
      </c>
      <c r="AR136" s="43" t="s">
        <v>2103</v>
      </c>
      <c r="AS136" s="43" t="s">
        <v>2104</v>
      </c>
      <c r="AT136" s="43" t="s">
        <v>85</v>
      </c>
      <c r="AU136" s="43" t="s">
        <v>7030</v>
      </c>
      <c r="AV136" s="43" t="s">
        <v>7031</v>
      </c>
      <c r="AW136" s="43" t="s">
        <v>7031</v>
      </c>
      <c r="AX136" s="43" t="s">
        <v>90</v>
      </c>
      <c r="AY136" s="43" t="s">
        <v>132</v>
      </c>
      <c r="AZ136" s="43" t="s">
        <v>7037</v>
      </c>
      <c r="BA136" s="43" t="s">
        <v>139</v>
      </c>
      <c r="BB136" s="45">
        <v>5.35</v>
      </c>
      <c r="BC136" s="45">
        <v>5.35</v>
      </c>
      <c r="BD136" s="43" t="s">
        <v>7032</v>
      </c>
      <c r="BE136" s="43" t="s">
        <v>81</v>
      </c>
      <c r="BF136" s="43" t="s">
        <v>81</v>
      </c>
      <c r="BG136" s="43" t="s">
        <v>86</v>
      </c>
      <c r="BH136" s="43" t="s">
        <v>177</v>
      </c>
      <c r="BI136" s="43" t="s">
        <v>7038</v>
      </c>
      <c r="BJ136" s="43" t="s">
        <v>7030</v>
      </c>
      <c r="BK136" s="43" t="s">
        <v>139</v>
      </c>
      <c r="BL136" s="43" t="s">
        <v>85</v>
      </c>
      <c r="BM136" s="43" t="s">
        <v>85</v>
      </c>
      <c r="BN136" s="43" t="s">
        <v>139</v>
      </c>
      <c r="BO136" s="46">
        <v>5.35</v>
      </c>
      <c r="BP136" s="43" t="s">
        <v>7032</v>
      </c>
      <c r="BQ136" s="43">
        <v>5.35</v>
      </c>
      <c r="BR136" s="43" t="s">
        <v>7032</v>
      </c>
      <c r="BS136" s="47">
        <v>5.35</v>
      </c>
      <c r="BT136" s="43" t="s">
        <v>7032</v>
      </c>
      <c r="BU136" s="43" t="s">
        <v>7032</v>
      </c>
      <c r="BV136" s="43" t="str">
        <f>CambioPlan[[#This Row],[TELEFONO]]&amp;"UPSELLSI"</f>
        <v>992850099UPSELLSI</v>
      </c>
      <c r="BW136" s="43">
        <f>DAY(CambioPlan[[#This Row],[FECHA_CAMBIO_PLAN]])</f>
        <v>6</v>
      </c>
      <c r="BX136" s="43" t="str">
        <f>VLOOKUP(CambioPlan[[#This Row],[NOM_PLAZA]],[1]!Locales[#Data],3,0)</f>
        <v>TIENDA RECREO</v>
      </c>
      <c r="BY136" s="43" t="str">
        <f>VLOOKUP(CambioPlan[[#This Row],[DOMAIN_LOGIN_OW]],[1]!Personal[#Data],6,0)</f>
        <v>CORDOVA BRUCIL LUIS EDUARDO</v>
      </c>
      <c r="BZ136" s="43"/>
      <c r="CA136" s="43" t="str">
        <f>IFERROR(IF(FIND("ADULTO",CambioPlan[[#This Row],[DESCRIPCION_PLAN_ACTUAL]],1),"NO SE PAGA",),"SI SE PAGA")</f>
        <v>SI SE PAGA</v>
      </c>
      <c r="CB136" s="45">
        <f>CambioPlan[[#This Row],[TARIFA_BASICA_ACTUAL]]-CambioPlan[[#This Row],[TARIFA_BASICA_ANTERIOR]]</f>
        <v>5.3500000000000014</v>
      </c>
      <c r="CC136" s="56">
        <f>CambioPlan[[#This Row],[DIF. TARIFAS]]*4</f>
        <v>21.400000000000006</v>
      </c>
      <c r="CD136" s="53" t="str">
        <f>IF(CambioPlan[[#This Row],[C. COMISIÓN TME]]&lt;0,"DOWNSELL",IF(CambioPlan[[#This Row],[C. COMISIÓN TME]]=0,"MISMA TARIFA",IF(CambioPlan[[#This Row],[C. COMISIÓN TME]]&gt;0,"UPSELL")))</f>
        <v>UPSELL</v>
      </c>
      <c r="CE136">
        <f>VLOOKUP(CambioPlan[[#This Row],[TARIFA_BASICA_ANTERIOR]],[3]Hoja1!$F:$G,2,0)</f>
        <v>4</v>
      </c>
      <c r="CF136">
        <f>VLOOKUP(CambioPlan[[#This Row],[TARIFA_BASICA_ACTUAL]],[3]Hoja1!$B:$C,2,0)</f>
        <v>5</v>
      </c>
      <c r="CG136">
        <f t="shared" si="1"/>
        <v>1</v>
      </c>
      <c r="CH136" t="e">
        <f>VLOOKUP(CambioPlan[[#This Row],[TELEFONO]],[1]Retenciones!$R$63:$R$287,1,0)</f>
        <v>#N/A</v>
      </c>
    </row>
    <row r="137" spans="1:86" x14ac:dyDescent="0.25">
      <c r="A137" s="43">
        <v>202212</v>
      </c>
      <c r="B137" s="44">
        <v>44914</v>
      </c>
      <c r="C137" s="43" t="s">
        <v>7529</v>
      </c>
      <c r="D137" s="43" t="s">
        <v>7530</v>
      </c>
      <c r="E137" s="43" t="s">
        <v>95</v>
      </c>
      <c r="F137" s="43" t="s">
        <v>77</v>
      </c>
      <c r="G137" s="43" t="s">
        <v>2241</v>
      </c>
      <c r="H137" s="43" t="s">
        <v>246</v>
      </c>
      <c r="I137" s="43" t="s">
        <v>7531</v>
      </c>
      <c r="J137" s="43" t="s">
        <v>7037</v>
      </c>
      <c r="K137" s="43" t="s">
        <v>118</v>
      </c>
      <c r="L137" s="43" t="s">
        <v>3232</v>
      </c>
      <c r="M137" s="43" t="s">
        <v>7237</v>
      </c>
      <c r="N137" s="43" t="s">
        <v>79</v>
      </c>
      <c r="O137" s="45">
        <v>51.78</v>
      </c>
      <c r="P137" s="43" t="s">
        <v>95</v>
      </c>
      <c r="Q137" s="43" t="s">
        <v>95</v>
      </c>
      <c r="R137" s="43" t="s">
        <v>95</v>
      </c>
      <c r="S137" s="45">
        <v>0</v>
      </c>
      <c r="T137" s="43" t="s">
        <v>95</v>
      </c>
      <c r="U137" s="44" t="s">
        <v>95</v>
      </c>
      <c r="V137" s="44" t="s">
        <v>95</v>
      </c>
      <c r="W137" s="43" t="s">
        <v>95</v>
      </c>
      <c r="X137" s="45">
        <v>51.78</v>
      </c>
      <c r="Y137" s="43" t="s">
        <v>81</v>
      </c>
      <c r="Z137" s="43" t="s">
        <v>112</v>
      </c>
      <c r="AA137" s="43" t="s">
        <v>781</v>
      </c>
      <c r="AB137" s="43" t="s">
        <v>79</v>
      </c>
      <c r="AC137" s="45">
        <v>17.850000000000001</v>
      </c>
      <c r="AD137" s="43" t="s">
        <v>95</v>
      </c>
      <c r="AE137" s="43" t="s">
        <v>95</v>
      </c>
      <c r="AF137" s="43" t="s">
        <v>95</v>
      </c>
      <c r="AG137" s="43" t="s">
        <v>95</v>
      </c>
      <c r="AH137" s="45">
        <v>0</v>
      </c>
      <c r="AI137" s="43" t="s">
        <v>95</v>
      </c>
      <c r="AJ137" s="43" t="s">
        <v>95</v>
      </c>
      <c r="AK137" s="43" t="s">
        <v>95</v>
      </c>
      <c r="AL137" s="43" t="s">
        <v>95</v>
      </c>
      <c r="AM137" s="45">
        <v>17.850000000000001</v>
      </c>
      <c r="AN137" s="43" t="s">
        <v>81</v>
      </c>
      <c r="AO137" s="44">
        <v>44910</v>
      </c>
      <c r="AP137" s="43" t="s">
        <v>404</v>
      </c>
      <c r="AQ137" s="43" t="s">
        <v>405</v>
      </c>
      <c r="AR137" s="43" t="s">
        <v>404</v>
      </c>
      <c r="AS137" s="43" t="s">
        <v>405</v>
      </c>
      <c r="AT137" s="43" t="s">
        <v>85</v>
      </c>
      <c r="AU137" s="43" t="s">
        <v>7030</v>
      </c>
      <c r="AV137" s="43" t="s">
        <v>7031</v>
      </c>
      <c r="AW137" s="43" t="s">
        <v>7031</v>
      </c>
      <c r="AX137" s="43" t="s">
        <v>90</v>
      </c>
      <c r="AY137" s="43" t="s">
        <v>132</v>
      </c>
      <c r="AZ137" s="43" t="s">
        <v>7037</v>
      </c>
      <c r="BA137" s="43" t="s">
        <v>139</v>
      </c>
      <c r="BB137" s="45">
        <v>33.93</v>
      </c>
      <c r="BC137" s="45">
        <v>33.93</v>
      </c>
      <c r="BD137" s="43" t="s">
        <v>7032</v>
      </c>
      <c r="BE137" s="43" t="s">
        <v>81</v>
      </c>
      <c r="BF137" s="43" t="s">
        <v>81</v>
      </c>
      <c r="BG137" s="43" t="s">
        <v>86</v>
      </c>
      <c r="BH137" s="43" t="s">
        <v>177</v>
      </c>
      <c r="BI137" s="43" t="s">
        <v>7038</v>
      </c>
      <c r="BJ137" s="43" t="s">
        <v>7030</v>
      </c>
      <c r="BK137" s="43" t="s">
        <v>139</v>
      </c>
      <c r="BL137" s="43" t="s">
        <v>85</v>
      </c>
      <c r="BM137" s="43" t="s">
        <v>85</v>
      </c>
      <c r="BN137" s="43" t="s">
        <v>139</v>
      </c>
      <c r="BO137" s="46">
        <v>33.93</v>
      </c>
      <c r="BP137" s="43" t="s">
        <v>7032</v>
      </c>
      <c r="BQ137" s="43">
        <v>33.93</v>
      </c>
      <c r="BR137" s="43" t="s">
        <v>7032</v>
      </c>
      <c r="BS137" s="47">
        <v>33.93</v>
      </c>
      <c r="BT137" s="43" t="s">
        <v>7032</v>
      </c>
      <c r="BU137" s="43" t="s">
        <v>7032</v>
      </c>
      <c r="BV137" s="43" t="str">
        <f>CambioPlan[[#This Row],[TELEFONO]]&amp;"UPSELLSI"</f>
        <v>992863026UPSELLSI</v>
      </c>
      <c r="BW137" s="43">
        <f>DAY(CambioPlan[[#This Row],[FECHA_CAMBIO_PLAN]])</f>
        <v>15</v>
      </c>
      <c r="BX137" s="43" t="str">
        <f>VLOOKUP(CambioPlan[[#This Row],[NOM_PLAZA]],[1]!Locales[#Data],3,0)</f>
        <v>TIENDA RECREO</v>
      </c>
      <c r="BY137" s="43" t="str">
        <f>VLOOKUP(CambioPlan[[#This Row],[DOMAIN_LOGIN_OW]],[1]!Personal[#Data],6,0)</f>
        <v>OTERO YEPEZ ANDREA SOLEDAD</v>
      </c>
      <c r="BZ137" s="43"/>
      <c r="CA137" s="43" t="str">
        <f>IFERROR(IF(FIND("ADULTO",CambioPlan[[#This Row],[DESCRIPCION_PLAN_ACTUAL]],1),"NO SE PAGA",),"SI SE PAGA")</f>
        <v>SI SE PAGA</v>
      </c>
      <c r="CB137" s="45">
        <f>CambioPlan[[#This Row],[TARIFA_BASICA_ACTUAL]]-CambioPlan[[#This Row],[TARIFA_BASICA_ANTERIOR]]</f>
        <v>33.93</v>
      </c>
      <c r="CC137" s="56">
        <f>CambioPlan[[#This Row],[DIF. TARIFAS]]*4</f>
        <v>135.72</v>
      </c>
      <c r="CD137" s="53" t="str">
        <f>IF(CambioPlan[[#This Row],[C. COMISIÓN TME]]&lt;0,"DOWNSELL",IF(CambioPlan[[#This Row],[C. COMISIÓN TME]]=0,"MISMA TARIFA",IF(CambioPlan[[#This Row],[C. COMISIÓN TME]]&gt;0,"UPSELL")))</f>
        <v>UPSELL</v>
      </c>
      <c r="CE137">
        <f>VLOOKUP(CambioPlan[[#This Row],[TARIFA_BASICA_ANTERIOR]],[3]Hoja1!$F:$G,2,0)</f>
        <v>2</v>
      </c>
      <c r="CF137">
        <f>VLOOKUP(CambioPlan[[#This Row],[TARIFA_BASICA_ACTUAL]],[3]Hoja1!$B:$C,2,0)</f>
        <v>6</v>
      </c>
      <c r="CG137">
        <f t="shared" si="1"/>
        <v>4</v>
      </c>
      <c r="CH137" t="e">
        <f>VLOOKUP(CambioPlan[[#This Row],[TELEFONO]],[1]Retenciones!$R$63:$R$287,1,0)</f>
        <v>#N/A</v>
      </c>
    </row>
    <row r="138" spans="1:86" x14ac:dyDescent="0.25">
      <c r="A138" s="43">
        <v>202212</v>
      </c>
      <c r="B138" s="44">
        <v>44914</v>
      </c>
      <c r="C138" s="43" t="s">
        <v>7532</v>
      </c>
      <c r="D138" s="43" t="s">
        <v>7533</v>
      </c>
      <c r="E138" s="43" t="s">
        <v>95</v>
      </c>
      <c r="F138" s="43" t="s">
        <v>231</v>
      </c>
      <c r="G138" s="43" t="s">
        <v>231</v>
      </c>
      <c r="H138" s="43" t="s">
        <v>67</v>
      </c>
      <c r="I138" s="43" t="s">
        <v>7534</v>
      </c>
      <c r="J138" s="43" t="s">
        <v>7037</v>
      </c>
      <c r="K138" s="43" t="s">
        <v>215</v>
      </c>
      <c r="L138" s="43" t="s">
        <v>3972</v>
      </c>
      <c r="M138" s="43" t="s">
        <v>3973</v>
      </c>
      <c r="N138" s="43" t="s">
        <v>79</v>
      </c>
      <c r="O138" s="45">
        <v>26.78</v>
      </c>
      <c r="P138" s="43" t="s">
        <v>95</v>
      </c>
      <c r="Q138" s="43" t="s">
        <v>95</v>
      </c>
      <c r="R138" s="43" t="s">
        <v>95</v>
      </c>
      <c r="S138" s="45">
        <v>0</v>
      </c>
      <c r="T138" s="43" t="s">
        <v>95</v>
      </c>
      <c r="U138" s="44" t="s">
        <v>95</v>
      </c>
      <c r="V138" s="44" t="s">
        <v>95</v>
      </c>
      <c r="W138" s="43" t="s">
        <v>95</v>
      </c>
      <c r="X138" s="45">
        <v>26.78</v>
      </c>
      <c r="Y138" s="43" t="s">
        <v>81</v>
      </c>
      <c r="Z138" s="43" t="s">
        <v>7213</v>
      </c>
      <c r="AA138" s="43" t="s">
        <v>7214</v>
      </c>
      <c r="AB138" s="43" t="s">
        <v>79</v>
      </c>
      <c r="AC138" s="45">
        <v>24.99</v>
      </c>
      <c r="AD138" s="43" t="s">
        <v>95</v>
      </c>
      <c r="AE138" s="43" t="s">
        <v>95</v>
      </c>
      <c r="AF138" s="43" t="s">
        <v>95</v>
      </c>
      <c r="AG138" s="43" t="s">
        <v>95</v>
      </c>
      <c r="AH138" s="45">
        <v>0</v>
      </c>
      <c r="AI138" s="43" t="s">
        <v>95</v>
      </c>
      <c r="AJ138" s="43" t="s">
        <v>95</v>
      </c>
      <c r="AK138" s="43" t="s">
        <v>95</v>
      </c>
      <c r="AL138" s="43" t="s">
        <v>95</v>
      </c>
      <c r="AM138" s="45">
        <v>24.99</v>
      </c>
      <c r="AN138" s="43" t="s">
        <v>81</v>
      </c>
      <c r="AO138" s="44">
        <v>44896</v>
      </c>
      <c r="AP138" s="43" t="s">
        <v>492</v>
      </c>
      <c r="AQ138" s="43" t="s">
        <v>493</v>
      </c>
      <c r="AR138" s="43" t="s">
        <v>492</v>
      </c>
      <c r="AS138" s="43" t="s">
        <v>493</v>
      </c>
      <c r="AT138" s="43" t="s">
        <v>85</v>
      </c>
      <c r="AU138" s="43" t="s">
        <v>7030</v>
      </c>
      <c r="AV138" s="43" t="s">
        <v>7031</v>
      </c>
      <c r="AW138" s="43" t="s">
        <v>7031</v>
      </c>
      <c r="AX138" s="43" t="s">
        <v>90</v>
      </c>
      <c r="AY138" s="43" t="s">
        <v>132</v>
      </c>
      <c r="AZ138" s="43" t="s">
        <v>7037</v>
      </c>
      <c r="BA138" s="43" t="s">
        <v>139</v>
      </c>
      <c r="BB138" s="45">
        <v>1.79</v>
      </c>
      <c r="BC138" s="45">
        <v>1.79</v>
      </c>
      <c r="BD138" s="43" t="s">
        <v>7032</v>
      </c>
      <c r="BE138" s="43" t="s">
        <v>81</v>
      </c>
      <c r="BF138" s="43" t="s">
        <v>81</v>
      </c>
      <c r="BG138" s="43" t="s">
        <v>86</v>
      </c>
      <c r="BH138" s="43" t="s">
        <v>177</v>
      </c>
      <c r="BI138" s="43" t="s">
        <v>7038</v>
      </c>
      <c r="BJ138" s="43" t="s">
        <v>7030</v>
      </c>
      <c r="BK138" s="43" t="s">
        <v>139</v>
      </c>
      <c r="BL138" s="43" t="s">
        <v>85</v>
      </c>
      <c r="BM138" s="43" t="s">
        <v>85</v>
      </c>
      <c r="BN138" s="43" t="s">
        <v>139</v>
      </c>
      <c r="BO138" s="46">
        <v>1.79</v>
      </c>
      <c r="BP138" s="43" t="s">
        <v>7032</v>
      </c>
      <c r="BQ138" s="43">
        <v>1.79</v>
      </c>
      <c r="BR138" s="43" t="s">
        <v>7032</v>
      </c>
      <c r="BS138" s="47">
        <v>1.79</v>
      </c>
      <c r="BT138" s="43" t="s">
        <v>7032</v>
      </c>
      <c r="BU138" s="43" t="s">
        <v>7032</v>
      </c>
      <c r="BV138" s="43" t="str">
        <f>CambioPlan[[#This Row],[TELEFONO]]&amp;"UPSELLSI"</f>
        <v>992925255UPSELLSI</v>
      </c>
      <c r="BW138" s="43">
        <f>DAY(CambioPlan[[#This Row],[FECHA_CAMBIO_PLAN]])</f>
        <v>1</v>
      </c>
      <c r="BX138" s="43" t="str">
        <f>VLOOKUP(CambioPlan[[#This Row],[NOM_PLAZA]],[1]!Locales[#Data],3,0)</f>
        <v>TIENDA RECREO</v>
      </c>
      <c r="BY138" s="43" t="str">
        <f>VLOOKUP(CambioPlan[[#This Row],[DOMAIN_LOGIN_OW]],[1]!Personal[#Data],6,0)</f>
        <v>CONDO GARCIA NICOLAS MATIAS</v>
      </c>
      <c r="BZ138" s="43"/>
      <c r="CA138" s="43" t="str">
        <f>IFERROR(IF(FIND("ADULTO",CambioPlan[[#This Row],[DESCRIPCION_PLAN_ACTUAL]],1),"NO SE PAGA",),"SI SE PAGA")</f>
        <v>SI SE PAGA</v>
      </c>
      <c r="CB138" s="45">
        <f>CambioPlan[[#This Row],[TARIFA_BASICA_ACTUAL]]-CambioPlan[[#This Row],[TARIFA_BASICA_ANTERIOR]]</f>
        <v>1.7900000000000027</v>
      </c>
      <c r="CC138" s="56">
        <f>CambioPlan[[#This Row],[DIF. TARIFAS]]*4</f>
        <v>7.1600000000000108</v>
      </c>
      <c r="CD138" s="53" t="str">
        <f>IF(CambioPlan[[#This Row],[C. COMISIÓN TME]]&lt;0,"DOWNSELL",IF(CambioPlan[[#This Row],[C. COMISIÓN TME]]=0,"MISMA TARIFA",IF(CambioPlan[[#This Row],[C. COMISIÓN TME]]&gt;0,"UPSELL")))</f>
        <v>UPSELL</v>
      </c>
      <c r="CE138">
        <f>VLOOKUP(CambioPlan[[#This Row],[TARIFA_BASICA_ANTERIOR]],[3]Hoja1!$F:$G,2,0)</f>
        <v>4</v>
      </c>
      <c r="CF138">
        <f>VLOOKUP(CambioPlan[[#This Row],[TARIFA_BASICA_ACTUAL]],[3]Hoja1!$B:$C,2,0)</f>
        <v>4</v>
      </c>
      <c r="CG138">
        <f t="shared" si="1"/>
        <v>0</v>
      </c>
      <c r="CH138" t="str">
        <f>VLOOKUP(CambioPlan[[#This Row],[TELEFONO]],[1]Retenciones!$R$63:$R$287,1,0)</f>
        <v>992925255</v>
      </c>
    </row>
    <row r="139" spans="1:86" x14ac:dyDescent="0.25">
      <c r="A139" s="43">
        <v>202212</v>
      </c>
      <c r="B139" s="44">
        <v>44914</v>
      </c>
      <c r="C139" s="43" t="s">
        <v>7535</v>
      </c>
      <c r="D139" s="43" t="s">
        <v>7536</v>
      </c>
      <c r="E139" s="43" t="s">
        <v>95</v>
      </c>
      <c r="F139" s="43" t="s">
        <v>311</v>
      </c>
      <c r="G139" s="43" t="s">
        <v>311</v>
      </c>
      <c r="H139" s="43" t="s">
        <v>67</v>
      </c>
      <c r="I139" s="43" t="s">
        <v>7537</v>
      </c>
      <c r="J139" s="43" t="s">
        <v>7037</v>
      </c>
      <c r="K139" s="43" t="s">
        <v>118</v>
      </c>
      <c r="L139" s="43" t="s">
        <v>359</v>
      </c>
      <c r="M139" s="43" t="s">
        <v>360</v>
      </c>
      <c r="N139" s="43" t="s">
        <v>79</v>
      </c>
      <c r="O139" s="45">
        <v>14.28</v>
      </c>
      <c r="P139" s="43" t="s">
        <v>95</v>
      </c>
      <c r="Q139" s="43" t="s">
        <v>95</v>
      </c>
      <c r="R139" s="43" t="s">
        <v>95</v>
      </c>
      <c r="S139" s="45">
        <v>0</v>
      </c>
      <c r="T139" s="43" t="s">
        <v>95</v>
      </c>
      <c r="U139" s="44" t="s">
        <v>95</v>
      </c>
      <c r="V139" s="44" t="s">
        <v>95</v>
      </c>
      <c r="W139" s="43" t="s">
        <v>95</v>
      </c>
      <c r="X139" s="45">
        <v>14.28</v>
      </c>
      <c r="Y139" s="43" t="s">
        <v>81</v>
      </c>
      <c r="Z139" s="43" t="s">
        <v>7147</v>
      </c>
      <c r="AA139" s="43" t="s">
        <v>7148</v>
      </c>
      <c r="AB139" s="43" t="s">
        <v>79</v>
      </c>
      <c r="AC139" s="45">
        <v>13.79</v>
      </c>
      <c r="AD139" s="43" t="s">
        <v>95</v>
      </c>
      <c r="AE139" s="43" t="s">
        <v>95</v>
      </c>
      <c r="AF139" s="43" t="s">
        <v>95</v>
      </c>
      <c r="AG139" s="43" t="s">
        <v>95</v>
      </c>
      <c r="AH139" s="45">
        <v>0</v>
      </c>
      <c r="AI139" s="43" t="s">
        <v>95</v>
      </c>
      <c r="AJ139" s="43" t="s">
        <v>95</v>
      </c>
      <c r="AK139" s="43" t="s">
        <v>95</v>
      </c>
      <c r="AL139" s="43" t="s">
        <v>95</v>
      </c>
      <c r="AM139" s="45">
        <v>13.79</v>
      </c>
      <c r="AN139" s="43" t="s">
        <v>81</v>
      </c>
      <c r="AO139" s="44">
        <v>44907</v>
      </c>
      <c r="AP139" s="43" t="s">
        <v>262</v>
      </c>
      <c r="AQ139" s="43" t="s">
        <v>263</v>
      </c>
      <c r="AR139" s="43" t="s">
        <v>262</v>
      </c>
      <c r="AS139" s="43" t="s">
        <v>263</v>
      </c>
      <c r="AT139" s="43" t="s">
        <v>85</v>
      </c>
      <c r="AU139" s="43" t="s">
        <v>7030</v>
      </c>
      <c r="AV139" s="43" t="s">
        <v>7031</v>
      </c>
      <c r="AW139" s="43" t="s">
        <v>7031</v>
      </c>
      <c r="AX139" s="43" t="s">
        <v>90</v>
      </c>
      <c r="AY139" s="43" t="s">
        <v>132</v>
      </c>
      <c r="AZ139" s="43" t="s">
        <v>7037</v>
      </c>
      <c r="BA139" s="43" t="s">
        <v>139</v>
      </c>
      <c r="BB139" s="45">
        <v>0.49</v>
      </c>
      <c r="BC139" s="45">
        <v>0.49</v>
      </c>
      <c r="BD139" s="43" t="s">
        <v>7032</v>
      </c>
      <c r="BE139" s="43" t="s">
        <v>81</v>
      </c>
      <c r="BF139" s="43" t="s">
        <v>81</v>
      </c>
      <c r="BG139" s="43" t="s">
        <v>86</v>
      </c>
      <c r="BH139" s="43" t="s">
        <v>177</v>
      </c>
      <c r="BI139" s="43" t="s">
        <v>7038</v>
      </c>
      <c r="BJ139" s="43" t="s">
        <v>7030</v>
      </c>
      <c r="BK139" s="43" t="s">
        <v>139</v>
      </c>
      <c r="BL139" s="43" t="s">
        <v>85</v>
      </c>
      <c r="BM139" s="43" t="s">
        <v>85</v>
      </c>
      <c r="BN139" s="43" t="s">
        <v>139</v>
      </c>
      <c r="BO139" s="46">
        <v>0.49</v>
      </c>
      <c r="BP139" s="43" t="s">
        <v>7032</v>
      </c>
      <c r="BQ139" s="43">
        <v>0.49</v>
      </c>
      <c r="BR139" s="43" t="s">
        <v>7032</v>
      </c>
      <c r="BS139" s="47">
        <v>0.49</v>
      </c>
      <c r="BT139" s="43" t="s">
        <v>7032</v>
      </c>
      <c r="BU139" s="43" t="s">
        <v>7092</v>
      </c>
      <c r="BV139" s="43" t="str">
        <f>CambioPlan[[#This Row],[TELEFONO]]&amp;"UPSELLSI"</f>
        <v>992944084UPSELLSI</v>
      </c>
      <c r="BW139" s="43">
        <f>DAY(CambioPlan[[#This Row],[FECHA_CAMBIO_PLAN]])</f>
        <v>12</v>
      </c>
      <c r="BX139" s="43" t="str">
        <f>VLOOKUP(CambioPlan[[#This Row],[NOM_PLAZA]],[1]!Locales[#Data],3,0)</f>
        <v>TIENDA RECREO</v>
      </c>
      <c r="BY139" s="43" t="str">
        <f>VLOOKUP(CambioPlan[[#This Row],[DOMAIN_LOGIN_OW]],[1]!Personal[#Data],6,0)</f>
        <v>CHICAIZA TOAPANTA ALEX DANILO</v>
      </c>
      <c r="BZ139" s="43"/>
      <c r="CA139" s="43" t="str">
        <f>IFERROR(IF(FIND("ADULTO",CambioPlan[[#This Row],[DESCRIPCION_PLAN_ACTUAL]],1),"NO SE PAGA",),"SI SE PAGA")</f>
        <v>SI SE PAGA</v>
      </c>
      <c r="CB139" s="45">
        <f>CambioPlan[[#This Row],[TARIFA_BASICA_ACTUAL]]-CambioPlan[[#This Row],[TARIFA_BASICA_ANTERIOR]]</f>
        <v>0.49000000000000021</v>
      </c>
      <c r="CC139" s="56">
        <f>CambioPlan[[#This Row],[DIF. TARIFAS]]*4</f>
        <v>1.9600000000000009</v>
      </c>
      <c r="CD139" s="53" t="str">
        <f>IF(CambioPlan[[#This Row],[C. COMISIÓN TME]]&lt;0,"DOWNSELL",IF(CambioPlan[[#This Row],[C. COMISIÓN TME]]=0,"MISMA TARIFA",IF(CambioPlan[[#This Row],[C. COMISIÓN TME]]&gt;0,"UPSELL")))</f>
        <v>UPSELL</v>
      </c>
      <c r="CE139">
        <f>VLOOKUP(CambioPlan[[#This Row],[TARIFA_BASICA_ANTERIOR]],[3]Hoja1!$F:$G,2,0)</f>
        <v>1</v>
      </c>
      <c r="CF139">
        <f>VLOOKUP(CambioPlan[[#This Row],[TARIFA_BASICA_ACTUAL]],[3]Hoja1!$B:$C,2,0)</f>
        <v>1</v>
      </c>
      <c r="CG139">
        <f t="shared" si="1"/>
        <v>0</v>
      </c>
      <c r="CH139" t="e">
        <f>VLOOKUP(CambioPlan[[#This Row],[TELEFONO]],[1]Retenciones!$R$63:$R$287,1,0)</f>
        <v>#N/A</v>
      </c>
    </row>
    <row r="140" spans="1:86" x14ac:dyDescent="0.25">
      <c r="A140" s="43">
        <v>202212</v>
      </c>
      <c r="B140" s="44">
        <v>44914</v>
      </c>
      <c r="C140" s="43" t="s">
        <v>7538</v>
      </c>
      <c r="D140" s="43" t="s">
        <v>7539</v>
      </c>
      <c r="E140" s="43" t="s">
        <v>95</v>
      </c>
      <c r="F140" s="43" t="s">
        <v>768</v>
      </c>
      <c r="G140" s="43" t="s">
        <v>768</v>
      </c>
      <c r="H140" s="43" t="s">
        <v>67</v>
      </c>
      <c r="I140" s="43" t="s">
        <v>7540</v>
      </c>
      <c r="J140" s="43" t="s">
        <v>7029</v>
      </c>
      <c r="K140" s="43" t="s">
        <v>118</v>
      </c>
      <c r="L140" s="43" t="s">
        <v>671</v>
      </c>
      <c r="M140" s="43" t="s">
        <v>672</v>
      </c>
      <c r="N140" s="43" t="s">
        <v>79</v>
      </c>
      <c r="O140" s="45">
        <v>15</v>
      </c>
      <c r="P140" s="43" t="s">
        <v>95</v>
      </c>
      <c r="Q140" s="43" t="s">
        <v>95</v>
      </c>
      <c r="R140" s="43" t="s">
        <v>95</v>
      </c>
      <c r="S140" s="45">
        <v>7.5</v>
      </c>
      <c r="T140" s="43" t="s">
        <v>7104</v>
      </c>
      <c r="U140" s="44">
        <v>44911</v>
      </c>
      <c r="V140" s="44" t="s">
        <v>95</v>
      </c>
      <c r="W140" s="43" t="s">
        <v>7105</v>
      </c>
      <c r="X140" s="45">
        <v>7.5</v>
      </c>
      <c r="Y140" s="43" t="s">
        <v>81</v>
      </c>
      <c r="Z140" s="43" t="s">
        <v>359</v>
      </c>
      <c r="AA140" s="43" t="s">
        <v>360</v>
      </c>
      <c r="AB140" s="43" t="s">
        <v>79</v>
      </c>
      <c r="AC140" s="45">
        <v>14.28</v>
      </c>
      <c r="AD140" s="43" t="s">
        <v>95</v>
      </c>
      <c r="AE140" s="43" t="s">
        <v>95</v>
      </c>
      <c r="AF140" s="43" t="s">
        <v>95</v>
      </c>
      <c r="AG140" s="43" t="s">
        <v>95</v>
      </c>
      <c r="AH140" s="45">
        <v>0</v>
      </c>
      <c r="AI140" s="43" t="s">
        <v>95</v>
      </c>
      <c r="AJ140" s="43" t="s">
        <v>95</v>
      </c>
      <c r="AK140" s="43" t="s">
        <v>95</v>
      </c>
      <c r="AL140" s="43" t="s">
        <v>95</v>
      </c>
      <c r="AM140" s="45">
        <v>14.28</v>
      </c>
      <c r="AN140" s="43" t="s">
        <v>81</v>
      </c>
      <c r="AO140" s="44">
        <v>44910</v>
      </c>
      <c r="AP140" s="43" t="s">
        <v>318</v>
      </c>
      <c r="AQ140" s="43" t="s">
        <v>319</v>
      </c>
      <c r="AR140" s="43" t="s">
        <v>318</v>
      </c>
      <c r="AS140" s="43" t="s">
        <v>319</v>
      </c>
      <c r="AT140" s="43" t="s">
        <v>85</v>
      </c>
      <c r="AU140" s="43" t="s">
        <v>7030</v>
      </c>
      <c r="AV140" s="43" t="s">
        <v>7031</v>
      </c>
      <c r="AW140" s="43" t="s">
        <v>7031</v>
      </c>
      <c r="AX140" s="43" t="s">
        <v>90</v>
      </c>
      <c r="AY140" s="43" t="s">
        <v>73</v>
      </c>
      <c r="AZ140" s="43" t="s">
        <v>7029</v>
      </c>
      <c r="BA140" s="43" t="s">
        <v>92</v>
      </c>
      <c r="BB140" s="45">
        <v>0.72000000000000097</v>
      </c>
      <c r="BC140" s="45">
        <v>-6.78</v>
      </c>
      <c r="BD140" s="43" t="s">
        <v>7106</v>
      </c>
      <c r="BE140" s="43" t="s">
        <v>81</v>
      </c>
      <c r="BF140" s="43" t="s">
        <v>81</v>
      </c>
      <c r="BG140" s="43" t="s">
        <v>86</v>
      </c>
      <c r="BH140" s="43" t="s">
        <v>151</v>
      </c>
      <c r="BI140" s="43" t="s">
        <v>7033</v>
      </c>
      <c r="BJ140" s="43" t="s">
        <v>7030</v>
      </c>
      <c r="BK140" s="43" t="s">
        <v>92</v>
      </c>
      <c r="BL140" s="43" t="s">
        <v>85</v>
      </c>
      <c r="BM140" s="43" t="s">
        <v>85</v>
      </c>
      <c r="BN140" s="43" t="s">
        <v>92</v>
      </c>
      <c r="BO140" s="46">
        <v>0.71999999999999897</v>
      </c>
      <c r="BP140" s="43" t="s">
        <v>7032</v>
      </c>
      <c r="BQ140" s="43">
        <v>0.71999999999999897</v>
      </c>
      <c r="BR140" s="43" t="s">
        <v>7032</v>
      </c>
      <c r="BS140" s="47">
        <v>-6.78</v>
      </c>
      <c r="BT140" s="43" t="s">
        <v>7106</v>
      </c>
      <c r="BU140" s="43" t="s">
        <v>7092</v>
      </c>
      <c r="BV140" s="43" t="str">
        <f>CambioPlan[[#This Row],[TELEFONO]]&amp;"UPSELLSI"</f>
        <v>992950432UPSELLSI</v>
      </c>
      <c r="BW140" s="43">
        <f>DAY(CambioPlan[[#This Row],[FECHA_CAMBIO_PLAN]])</f>
        <v>15</v>
      </c>
      <c r="BX140" s="43" t="str">
        <f>VLOOKUP(CambioPlan[[#This Row],[NOM_PLAZA]],[1]!Locales[#Data],3,0)</f>
        <v>TIENDA CUENCA REMIGIO</v>
      </c>
      <c r="BY140" s="43" t="str">
        <f>VLOOKUP(CambioPlan[[#This Row],[DOMAIN_LOGIN_OW]],[1]!Personal[#Data],6,0)</f>
        <v>RODRIGUEZ QUITO JESSICA GABRIELA</v>
      </c>
      <c r="BZ140" s="43"/>
      <c r="CA140" s="43" t="str">
        <f>IFERROR(IF(FIND("ADULTO",CambioPlan[[#This Row],[DESCRIPCION_PLAN_ACTUAL]],1),"NO SE PAGA",),"SI SE PAGA")</f>
        <v>NO SE PAGA</v>
      </c>
      <c r="CB140" s="45">
        <f>CambioPlan[[#This Row],[TARIFA_BASICA_ACTUAL]]-CambioPlan[[#This Row],[TARIFA_BASICA_ANTERIOR]]</f>
        <v>0.72000000000000064</v>
      </c>
      <c r="CC140" s="56">
        <f>CambioPlan[[#This Row],[DIF. TARIFAS]]*4</f>
        <v>2.8800000000000026</v>
      </c>
      <c r="CD140" s="53" t="str">
        <f>IF(CambioPlan[[#This Row],[C. COMISIÓN TME]]&lt;0,"DOWNSELL",IF(CambioPlan[[#This Row],[C. COMISIÓN TME]]=0,"MISMA TARIFA",IF(CambioPlan[[#This Row],[C. COMISIÓN TME]]&gt;0,"UPSELL")))</f>
        <v>UPSELL</v>
      </c>
      <c r="CE140">
        <f>VLOOKUP(CambioPlan[[#This Row],[TARIFA_BASICA_ANTERIOR]],[3]Hoja1!$F:$G,2,0)</f>
        <v>1</v>
      </c>
      <c r="CF140">
        <f>VLOOKUP(CambioPlan[[#This Row],[TARIFA_BASICA_ACTUAL]],[3]Hoja1!$B:$C,2,0)</f>
        <v>2</v>
      </c>
      <c r="CG140">
        <f t="shared" si="1"/>
        <v>1</v>
      </c>
      <c r="CH140" t="e">
        <f>VLOOKUP(CambioPlan[[#This Row],[TELEFONO]],[1]Retenciones!$R$63:$R$287,1,0)</f>
        <v>#N/A</v>
      </c>
    </row>
    <row r="141" spans="1:86" x14ac:dyDescent="0.25">
      <c r="A141" s="43">
        <v>202212</v>
      </c>
      <c r="B141" s="44">
        <v>44914</v>
      </c>
      <c r="C141" s="43" t="s">
        <v>7541</v>
      </c>
      <c r="D141" s="43" t="s">
        <v>7542</v>
      </c>
      <c r="E141" s="43" t="s">
        <v>95</v>
      </c>
      <c r="F141" s="43" t="s">
        <v>231</v>
      </c>
      <c r="G141" s="43" t="s">
        <v>1378</v>
      </c>
      <c r="H141" s="43" t="s">
        <v>67</v>
      </c>
      <c r="I141" s="43" t="s">
        <v>7543</v>
      </c>
      <c r="J141" s="43" t="s">
        <v>7029</v>
      </c>
      <c r="K141" s="43" t="s">
        <v>118</v>
      </c>
      <c r="L141" s="43" t="s">
        <v>227</v>
      </c>
      <c r="M141" s="43" t="s">
        <v>426</v>
      </c>
      <c r="N141" s="43" t="s">
        <v>79</v>
      </c>
      <c r="O141" s="45">
        <v>21.42</v>
      </c>
      <c r="P141" s="43" t="s">
        <v>95</v>
      </c>
      <c r="Q141" s="43" t="s">
        <v>95</v>
      </c>
      <c r="R141" s="43" t="s">
        <v>95</v>
      </c>
      <c r="S141" s="45">
        <v>0</v>
      </c>
      <c r="T141" s="43" t="s">
        <v>95</v>
      </c>
      <c r="U141" s="44" t="s">
        <v>95</v>
      </c>
      <c r="V141" s="44" t="s">
        <v>95</v>
      </c>
      <c r="W141" s="43" t="s">
        <v>95</v>
      </c>
      <c r="X141" s="45">
        <v>21.42</v>
      </c>
      <c r="Y141" s="43" t="s">
        <v>81</v>
      </c>
      <c r="Z141" s="43" t="s">
        <v>112</v>
      </c>
      <c r="AA141" s="43" t="s">
        <v>781</v>
      </c>
      <c r="AB141" s="43" t="s">
        <v>79</v>
      </c>
      <c r="AC141" s="45">
        <v>17.850000000000001</v>
      </c>
      <c r="AD141" s="43" t="s">
        <v>95</v>
      </c>
      <c r="AE141" s="43" t="s">
        <v>95</v>
      </c>
      <c r="AF141" s="43" t="s">
        <v>95</v>
      </c>
      <c r="AG141" s="43" t="s">
        <v>95</v>
      </c>
      <c r="AH141" s="45">
        <v>0</v>
      </c>
      <c r="AI141" s="43" t="s">
        <v>95</v>
      </c>
      <c r="AJ141" s="43" t="s">
        <v>95</v>
      </c>
      <c r="AK141" s="43" t="s">
        <v>95</v>
      </c>
      <c r="AL141" s="43" t="s">
        <v>95</v>
      </c>
      <c r="AM141" s="45">
        <v>17.850000000000001</v>
      </c>
      <c r="AN141" s="43" t="s">
        <v>81</v>
      </c>
      <c r="AO141" s="44">
        <v>44910</v>
      </c>
      <c r="AP141" s="43" t="s">
        <v>651</v>
      </c>
      <c r="AQ141" s="43" t="s">
        <v>652</v>
      </c>
      <c r="AR141" s="43" t="s">
        <v>651</v>
      </c>
      <c r="AS141" s="43" t="s">
        <v>652</v>
      </c>
      <c r="AT141" s="43" t="s">
        <v>85</v>
      </c>
      <c r="AU141" s="43" t="s">
        <v>7030</v>
      </c>
      <c r="AV141" s="43" t="s">
        <v>7031</v>
      </c>
      <c r="AW141" s="43" t="s">
        <v>7031</v>
      </c>
      <c r="AX141" s="43" t="s">
        <v>90</v>
      </c>
      <c r="AY141" s="43" t="s">
        <v>114</v>
      </c>
      <c r="AZ141" s="43" t="s">
        <v>7047</v>
      </c>
      <c r="BA141" s="43" t="s">
        <v>92</v>
      </c>
      <c r="BB141" s="45">
        <v>3.57</v>
      </c>
      <c r="BC141" s="45">
        <v>3.57</v>
      </c>
      <c r="BD141" s="43" t="s">
        <v>7032</v>
      </c>
      <c r="BE141" s="43" t="s">
        <v>81</v>
      </c>
      <c r="BF141" s="43" t="s">
        <v>81</v>
      </c>
      <c r="BG141" s="43" t="s">
        <v>86</v>
      </c>
      <c r="BH141" s="43" t="s">
        <v>122</v>
      </c>
      <c r="BI141" s="43" t="s">
        <v>7048</v>
      </c>
      <c r="BJ141" s="43" t="s">
        <v>7030</v>
      </c>
      <c r="BK141" s="43" t="s">
        <v>92</v>
      </c>
      <c r="BL141" s="43" t="s">
        <v>85</v>
      </c>
      <c r="BM141" s="43" t="s">
        <v>85</v>
      </c>
      <c r="BN141" s="43" t="s">
        <v>92</v>
      </c>
      <c r="BO141" s="46">
        <v>3.57</v>
      </c>
      <c r="BP141" s="43" t="s">
        <v>7032</v>
      </c>
      <c r="BQ141" s="43">
        <v>3.57</v>
      </c>
      <c r="BR141" s="43" t="s">
        <v>7032</v>
      </c>
      <c r="BS141" s="47">
        <v>3.57</v>
      </c>
      <c r="BT141" s="43" t="s">
        <v>7032</v>
      </c>
      <c r="BU141" s="43" t="s">
        <v>7032</v>
      </c>
      <c r="BV141" s="43" t="str">
        <f>CambioPlan[[#This Row],[TELEFONO]]&amp;"UPSELLSI"</f>
        <v>993191311UPSELLSI</v>
      </c>
      <c r="BW141" s="43">
        <f>DAY(CambioPlan[[#This Row],[FECHA_CAMBIO_PLAN]])</f>
        <v>15</v>
      </c>
      <c r="BX141" s="43" t="str">
        <f>VLOOKUP(CambioPlan[[#This Row],[NOM_PLAZA]],[1]!Locales[#Data],3,0)</f>
        <v>TIENDA MACHALA</v>
      </c>
      <c r="BY141" s="43" t="str">
        <f>VLOOKUP(CambioPlan[[#This Row],[DOMAIN_LOGIN_OW]],[1]!Personal[#Data],6,0)</f>
        <v>SANCHEZ SARITAMA JOEL LUIS</v>
      </c>
      <c r="BZ141" s="43"/>
      <c r="CA141" s="43" t="str">
        <f>IFERROR(IF(FIND("ADULTO",CambioPlan[[#This Row],[DESCRIPCION_PLAN_ACTUAL]],1),"NO SE PAGA",),"SI SE PAGA")</f>
        <v>SI SE PAGA</v>
      </c>
      <c r="CB141" s="45">
        <f>CambioPlan[[#This Row],[TARIFA_BASICA_ACTUAL]]-CambioPlan[[#This Row],[TARIFA_BASICA_ANTERIOR]]</f>
        <v>3.5700000000000003</v>
      </c>
      <c r="CC141" s="56">
        <f>CambioPlan[[#This Row],[DIF. TARIFAS]]*4</f>
        <v>14.280000000000001</v>
      </c>
      <c r="CD141" s="53" t="str">
        <f>IF(CambioPlan[[#This Row],[C. COMISIÓN TME]]&lt;0,"DOWNSELL",IF(CambioPlan[[#This Row],[C. COMISIÓN TME]]=0,"MISMA TARIFA",IF(CambioPlan[[#This Row],[C. COMISIÓN TME]]&gt;0,"UPSELL")))</f>
        <v>UPSELL</v>
      </c>
      <c r="CE141">
        <f>VLOOKUP(CambioPlan[[#This Row],[TARIFA_BASICA_ANTERIOR]],[3]Hoja1!$F:$G,2,0)</f>
        <v>2</v>
      </c>
      <c r="CF141">
        <f>VLOOKUP(CambioPlan[[#This Row],[TARIFA_BASICA_ACTUAL]],[3]Hoja1!$B:$C,2,0)</f>
        <v>3</v>
      </c>
      <c r="CG141">
        <f t="shared" si="1"/>
        <v>1</v>
      </c>
      <c r="CH141" t="e">
        <f>VLOOKUP(CambioPlan[[#This Row],[TELEFONO]],[1]Retenciones!$R$63:$R$287,1,0)</f>
        <v>#N/A</v>
      </c>
    </row>
    <row r="142" spans="1:86" x14ac:dyDescent="0.25">
      <c r="A142" s="43">
        <v>202212</v>
      </c>
      <c r="B142" s="44">
        <v>44914</v>
      </c>
      <c r="C142" s="43" t="s">
        <v>7544</v>
      </c>
      <c r="D142" s="43" t="s">
        <v>7545</v>
      </c>
      <c r="E142" s="43" t="s">
        <v>95</v>
      </c>
      <c r="F142" s="43" t="s">
        <v>77</v>
      </c>
      <c r="G142" s="43" t="s">
        <v>2241</v>
      </c>
      <c r="H142" s="43" t="s">
        <v>67</v>
      </c>
      <c r="I142" s="43" t="s">
        <v>7546</v>
      </c>
      <c r="J142" s="43" t="s">
        <v>7047</v>
      </c>
      <c r="K142" s="43" t="s">
        <v>84</v>
      </c>
      <c r="L142" s="43" t="s">
        <v>112</v>
      </c>
      <c r="M142" s="43" t="s">
        <v>781</v>
      </c>
      <c r="N142" s="43" t="s">
        <v>79</v>
      </c>
      <c r="O142" s="45">
        <v>17.850000000000001</v>
      </c>
      <c r="P142" s="43" t="s">
        <v>95</v>
      </c>
      <c r="Q142" s="43" t="s">
        <v>95</v>
      </c>
      <c r="R142" s="43" t="s">
        <v>95</v>
      </c>
      <c r="S142" s="45">
        <v>0</v>
      </c>
      <c r="T142" s="43" t="s">
        <v>95</v>
      </c>
      <c r="U142" s="44" t="s">
        <v>95</v>
      </c>
      <c r="V142" s="44" t="s">
        <v>95</v>
      </c>
      <c r="W142" s="43" t="s">
        <v>95</v>
      </c>
      <c r="X142" s="45">
        <v>17.850000000000001</v>
      </c>
      <c r="Y142" s="43" t="s">
        <v>81</v>
      </c>
      <c r="Z142" s="43" t="s">
        <v>7189</v>
      </c>
      <c r="AA142" s="43" t="s">
        <v>7190</v>
      </c>
      <c r="AB142" s="43" t="s">
        <v>79</v>
      </c>
      <c r="AC142" s="45">
        <v>10.54</v>
      </c>
      <c r="AD142" s="43" t="s">
        <v>95</v>
      </c>
      <c r="AE142" s="43" t="s">
        <v>95</v>
      </c>
      <c r="AF142" s="43" t="s">
        <v>95</v>
      </c>
      <c r="AG142" s="43" t="s">
        <v>95</v>
      </c>
      <c r="AH142" s="45">
        <v>0</v>
      </c>
      <c r="AI142" s="43" t="s">
        <v>95</v>
      </c>
      <c r="AJ142" s="43" t="s">
        <v>95</v>
      </c>
      <c r="AK142" s="43" t="s">
        <v>95</v>
      </c>
      <c r="AL142" s="43" t="s">
        <v>95</v>
      </c>
      <c r="AM142" s="45">
        <v>10.54</v>
      </c>
      <c r="AN142" s="43" t="s">
        <v>81</v>
      </c>
      <c r="AO142" s="44">
        <v>44909</v>
      </c>
      <c r="AP142" s="43" t="s">
        <v>352</v>
      </c>
      <c r="AQ142" s="43" t="s">
        <v>353</v>
      </c>
      <c r="AR142" s="43" t="s">
        <v>352</v>
      </c>
      <c r="AS142" s="43" t="s">
        <v>353</v>
      </c>
      <c r="AT142" s="43" t="s">
        <v>85</v>
      </c>
      <c r="AU142" s="43" t="s">
        <v>7030</v>
      </c>
      <c r="AV142" s="43" t="s">
        <v>7031</v>
      </c>
      <c r="AW142" s="43" t="s">
        <v>7031</v>
      </c>
      <c r="AX142" s="43" t="s">
        <v>90</v>
      </c>
      <c r="AY142" s="43" t="s">
        <v>114</v>
      </c>
      <c r="AZ142" s="43" t="s">
        <v>7047</v>
      </c>
      <c r="BA142" s="43" t="s">
        <v>92</v>
      </c>
      <c r="BB142" s="45">
        <v>7.31</v>
      </c>
      <c r="BC142" s="45">
        <v>7.31</v>
      </c>
      <c r="BD142" s="43" t="s">
        <v>7032</v>
      </c>
      <c r="BE142" s="43" t="s">
        <v>81</v>
      </c>
      <c r="BF142" s="43" t="s">
        <v>81</v>
      </c>
      <c r="BG142" s="43" t="s">
        <v>86</v>
      </c>
      <c r="BH142" s="43" t="s">
        <v>122</v>
      </c>
      <c r="BI142" s="43" t="s">
        <v>7048</v>
      </c>
      <c r="BJ142" s="43" t="s">
        <v>7030</v>
      </c>
      <c r="BK142" s="43" t="s">
        <v>92</v>
      </c>
      <c r="BL142" s="43" t="s">
        <v>85</v>
      </c>
      <c r="BM142" s="43" t="s">
        <v>85</v>
      </c>
      <c r="BN142" s="43" t="s">
        <v>92</v>
      </c>
      <c r="BO142" s="46">
        <v>7.31</v>
      </c>
      <c r="BP142" s="43" t="s">
        <v>7032</v>
      </c>
      <c r="BQ142" s="43">
        <v>7.31</v>
      </c>
      <c r="BR142" s="43" t="s">
        <v>7032</v>
      </c>
      <c r="BS142" s="47">
        <v>7.31</v>
      </c>
      <c r="BT142" s="43" t="s">
        <v>7032</v>
      </c>
      <c r="BU142" s="43" t="s">
        <v>7032</v>
      </c>
      <c r="BV142" s="43" t="str">
        <f>CambioPlan[[#This Row],[TELEFONO]]&amp;"UPSELLSI"</f>
        <v>993584516UPSELLSI</v>
      </c>
      <c r="BW142" s="43">
        <f>DAY(CambioPlan[[#This Row],[FECHA_CAMBIO_PLAN]])</f>
        <v>14</v>
      </c>
      <c r="BX142" s="43" t="str">
        <f>VLOOKUP(CambioPlan[[#This Row],[NOM_PLAZA]],[1]!Locales[#Data],3,0)</f>
        <v>TIENDA MACHALA</v>
      </c>
      <c r="BY142" s="43" t="str">
        <f>VLOOKUP(CambioPlan[[#This Row],[DOMAIN_LOGIN_OW]],[1]!Personal[#Data],6,0)</f>
        <v>TENORIO MARIA DEL PILAR</v>
      </c>
      <c r="BZ142" s="43"/>
      <c r="CA142" s="43" t="str">
        <f>IFERROR(IF(FIND("ADULTO",CambioPlan[[#This Row],[DESCRIPCION_PLAN_ACTUAL]],1),"NO SE PAGA",),"SI SE PAGA")</f>
        <v>SI SE PAGA</v>
      </c>
      <c r="CB142" s="45">
        <f>CambioPlan[[#This Row],[TARIFA_BASICA_ACTUAL]]-CambioPlan[[#This Row],[TARIFA_BASICA_ANTERIOR]]</f>
        <v>7.3100000000000023</v>
      </c>
      <c r="CC142" s="56">
        <f>CambioPlan[[#This Row],[DIF. TARIFAS]]*4</f>
        <v>29.240000000000009</v>
      </c>
      <c r="CD142" s="53" t="str">
        <f>IF(CambioPlan[[#This Row],[C. COMISIÓN TME]]&lt;0,"DOWNSELL",IF(CambioPlan[[#This Row],[C. COMISIÓN TME]]=0,"MISMA TARIFA",IF(CambioPlan[[#This Row],[C. COMISIÓN TME]]&gt;0,"UPSELL")))</f>
        <v>UPSELL</v>
      </c>
      <c r="CE142">
        <f>VLOOKUP(CambioPlan[[#This Row],[TARIFA_BASICA_ANTERIOR]],[3]Hoja1!$F:$G,2,0)</f>
        <v>0</v>
      </c>
      <c r="CF142">
        <f>VLOOKUP(CambioPlan[[#This Row],[TARIFA_BASICA_ACTUAL]],[3]Hoja1!$B:$C,2,0)</f>
        <v>2</v>
      </c>
      <c r="CG142">
        <f t="shared" si="1"/>
        <v>2</v>
      </c>
      <c r="CH142" t="e">
        <f>VLOOKUP(CambioPlan[[#This Row],[TELEFONO]],[1]Retenciones!$R$63:$R$287,1,0)</f>
        <v>#N/A</v>
      </c>
    </row>
    <row r="143" spans="1:86" x14ac:dyDescent="0.25">
      <c r="A143" s="43">
        <v>202212</v>
      </c>
      <c r="B143" s="44">
        <v>44914</v>
      </c>
      <c r="C143" s="43" t="s">
        <v>7547</v>
      </c>
      <c r="D143" s="43" t="s">
        <v>7548</v>
      </c>
      <c r="E143" s="43" t="s">
        <v>95</v>
      </c>
      <c r="F143" s="43" t="s">
        <v>77</v>
      </c>
      <c r="G143" s="43" t="s">
        <v>1532</v>
      </c>
      <c r="H143" s="43" t="s">
        <v>67</v>
      </c>
      <c r="I143" s="43" t="s">
        <v>7549</v>
      </c>
      <c r="J143" s="43" t="s">
        <v>7037</v>
      </c>
      <c r="K143" s="43" t="s">
        <v>215</v>
      </c>
      <c r="L143" s="43" t="s">
        <v>359</v>
      </c>
      <c r="M143" s="43" t="s">
        <v>360</v>
      </c>
      <c r="N143" s="43" t="s">
        <v>79</v>
      </c>
      <c r="O143" s="45">
        <v>14.28</v>
      </c>
      <c r="P143" s="43" t="s">
        <v>95</v>
      </c>
      <c r="Q143" s="43" t="s">
        <v>95</v>
      </c>
      <c r="R143" s="43" t="s">
        <v>95</v>
      </c>
      <c r="S143" s="45">
        <v>0</v>
      </c>
      <c r="T143" s="43" t="s">
        <v>95</v>
      </c>
      <c r="U143" s="44" t="s">
        <v>95</v>
      </c>
      <c r="V143" s="44" t="s">
        <v>95</v>
      </c>
      <c r="W143" s="43" t="s">
        <v>95</v>
      </c>
      <c r="X143" s="45">
        <v>14.28</v>
      </c>
      <c r="Y143" s="43" t="s">
        <v>81</v>
      </c>
      <c r="Z143" s="43" t="s">
        <v>7147</v>
      </c>
      <c r="AA143" s="43" t="s">
        <v>7148</v>
      </c>
      <c r="AB143" s="43" t="s">
        <v>79</v>
      </c>
      <c r="AC143" s="45">
        <v>13.79</v>
      </c>
      <c r="AD143" s="43" t="s">
        <v>95</v>
      </c>
      <c r="AE143" s="43" t="s">
        <v>95</v>
      </c>
      <c r="AF143" s="43" t="s">
        <v>95</v>
      </c>
      <c r="AG143" s="43" t="s">
        <v>95</v>
      </c>
      <c r="AH143" s="45">
        <v>0</v>
      </c>
      <c r="AI143" s="43" t="s">
        <v>95</v>
      </c>
      <c r="AJ143" s="43" t="s">
        <v>95</v>
      </c>
      <c r="AK143" s="43" t="s">
        <v>95</v>
      </c>
      <c r="AL143" s="43" t="s">
        <v>95</v>
      </c>
      <c r="AM143" s="45">
        <v>13.79</v>
      </c>
      <c r="AN143" s="43" t="s">
        <v>81</v>
      </c>
      <c r="AO143" s="44">
        <v>44901</v>
      </c>
      <c r="AP143" s="43" t="s">
        <v>2159</v>
      </c>
      <c r="AQ143" s="43" t="s">
        <v>2160</v>
      </c>
      <c r="AR143" s="43" t="s">
        <v>2159</v>
      </c>
      <c r="AS143" s="43" t="s">
        <v>2160</v>
      </c>
      <c r="AT143" s="43" t="s">
        <v>85</v>
      </c>
      <c r="AU143" s="43" t="s">
        <v>7030</v>
      </c>
      <c r="AV143" s="43" t="s">
        <v>7031</v>
      </c>
      <c r="AW143" s="43" t="s">
        <v>7031</v>
      </c>
      <c r="AX143" s="43" t="s">
        <v>90</v>
      </c>
      <c r="AY143" s="43" t="s">
        <v>132</v>
      </c>
      <c r="AZ143" s="43" t="s">
        <v>7037</v>
      </c>
      <c r="BA143" s="43" t="s">
        <v>139</v>
      </c>
      <c r="BB143" s="45">
        <v>0.49</v>
      </c>
      <c r="BC143" s="45">
        <v>0.49</v>
      </c>
      <c r="BD143" s="43" t="s">
        <v>7032</v>
      </c>
      <c r="BE143" s="43" t="s">
        <v>81</v>
      </c>
      <c r="BF143" s="43" t="s">
        <v>81</v>
      </c>
      <c r="BG143" s="43" t="s">
        <v>86</v>
      </c>
      <c r="BH143" s="43" t="s">
        <v>177</v>
      </c>
      <c r="BI143" s="43" t="s">
        <v>7038</v>
      </c>
      <c r="BJ143" s="43" t="s">
        <v>7030</v>
      </c>
      <c r="BK143" s="43" t="s">
        <v>139</v>
      </c>
      <c r="BL143" s="43" t="s">
        <v>85</v>
      </c>
      <c r="BM143" s="43" t="s">
        <v>85</v>
      </c>
      <c r="BN143" s="43" t="s">
        <v>139</v>
      </c>
      <c r="BO143" s="46">
        <v>0.49</v>
      </c>
      <c r="BP143" s="43" t="s">
        <v>7032</v>
      </c>
      <c r="BQ143" s="43">
        <v>0.49</v>
      </c>
      <c r="BR143" s="43" t="s">
        <v>7032</v>
      </c>
      <c r="BS143" s="47">
        <v>0.49</v>
      </c>
      <c r="BT143" s="43" t="s">
        <v>7032</v>
      </c>
      <c r="BU143" s="43" t="s">
        <v>7092</v>
      </c>
      <c r="BV143" s="43" t="str">
        <f>CambioPlan[[#This Row],[TELEFONO]]&amp;"UPSELLSI"</f>
        <v>995001731UPSELLSI</v>
      </c>
      <c r="BW143" s="43">
        <f>DAY(CambioPlan[[#This Row],[FECHA_CAMBIO_PLAN]])</f>
        <v>6</v>
      </c>
      <c r="BX143" s="43" t="str">
        <f>VLOOKUP(CambioPlan[[#This Row],[NOM_PLAZA]],[1]!Locales[#Data],3,0)</f>
        <v>TIENDA RECREO</v>
      </c>
      <c r="BY143" s="43" t="str">
        <f>VLOOKUP(CambioPlan[[#This Row],[DOMAIN_LOGIN_OW]],[1]!Personal[#Data],6,0)</f>
        <v>GUEVARA MAZA CRISTIAN FABIAN</v>
      </c>
      <c r="BZ143" s="43"/>
      <c r="CA143" s="43" t="str">
        <f>IFERROR(IF(FIND("ADULTO",CambioPlan[[#This Row],[DESCRIPCION_PLAN_ACTUAL]],1),"NO SE PAGA",),"SI SE PAGA")</f>
        <v>SI SE PAGA</v>
      </c>
      <c r="CB143" s="45">
        <f>CambioPlan[[#This Row],[TARIFA_BASICA_ACTUAL]]-CambioPlan[[#This Row],[TARIFA_BASICA_ANTERIOR]]</f>
        <v>0.49000000000000021</v>
      </c>
      <c r="CC143" s="56">
        <f>CambioPlan[[#This Row],[DIF. TARIFAS]]*4</f>
        <v>1.9600000000000009</v>
      </c>
      <c r="CD143" s="53" t="str">
        <f>IF(CambioPlan[[#This Row],[C. COMISIÓN TME]]&lt;0,"DOWNSELL",IF(CambioPlan[[#This Row],[C. COMISIÓN TME]]=0,"MISMA TARIFA",IF(CambioPlan[[#This Row],[C. COMISIÓN TME]]&gt;0,"UPSELL")))</f>
        <v>UPSELL</v>
      </c>
      <c r="CE143">
        <f>VLOOKUP(CambioPlan[[#This Row],[TARIFA_BASICA_ANTERIOR]],[3]Hoja1!$F:$G,2,0)</f>
        <v>1</v>
      </c>
      <c r="CF143">
        <f>VLOOKUP(CambioPlan[[#This Row],[TARIFA_BASICA_ACTUAL]],[3]Hoja1!$B:$C,2,0)</f>
        <v>1</v>
      </c>
      <c r="CG143">
        <f t="shared" si="1"/>
        <v>0</v>
      </c>
      <c r="CH143" t="e">
        <f>VLOOKUP(CambioPlan[[#This Row],[TELEFONO]],[1]Retenciones!$R$63:$R$287,1,0)</f>
        <v>#N/A</v>
      </c>
    </row>
    <row r="144" spans="1:86" x14ac:dyDescent="0.25">
      <c r="A144" s="43">
        <v>202212</v>
      </c>
      <c r="B144" s="44">
        <v>44914</v>
      </c>
      <c r="C144" s="43" t="s">
        <v>7550</v>
      </c>
      <c r="D144" s="43" t="s">
        <v>7551</v>
      </c>
      <c r="E144" s="43" t="s">
        <v>95</v>
      </c>
      <c r="F144" s="43" t="s">
        <v>311</v>
      </c>
      <c r="G144" s="43" t="s">
        <v>311</v>
      </c>
      <c r="H144" s="43" t="s">
        <v>67</v>
      </c>
      <c r="I144" s="43" t="s">
        <v>7552</v>
      </c>
      <c r="J144" s="43" t="s">
        <v>7037</v>
      </c>
      <c r="K144" s="43" t="s">
        <v>215</v>
      </c>
      <c r="L144" s="43" t="s">
        <v>4963</v>
      </c>
      <c r="M144" s="43" t="s">
        <v>4964</v>
      </c>
      <c r="N144" s="43" t="s">
        <v>79</v>
      </c>
      <c r="O144" s="45">
        <v>32.130000000000003</v>
      </c>
      <c r="P144" s="43" t="s">
        <v>95</v>
      </c>
      <c r="Q144" s="43" t="s">
        <v>95</v>
      </c>
      <c r="R144" s="43" t="s">
        <v>95</v>
      </c>
      <c r="S144" s="45">
        <v>0</v>
      </c>
      <c r="T144" s="43" t="s">
        <v>95</v>
      </c>
      <c r="U144" s="44" t="s">
        <v>95</v>
      </c>
      <c r="V144" s="44" t="s">
        <v>95</v>
      </c>
      <c r="W144" s="43" t="s">
        <v>95</v>
      </c>
      <c r="X144" s="45">
        <v>32.130000000000003</v>
      </c>
      <c r="Y144" s="43" t="s">
        <v>81</v>
      </c>
      <c r="Z144" s="43" t="s">
        <v>7404</v>
      </c>
      <c r="AA144" s="43" t="s">
        <v>7553</v>
      </c>
      <c r="AB144" s="43" t="s">
        <v>79</v>
      </c>
      <c r="AC144" s="45">
        <v>29.99</v>
      </c>
      <c r="AD144" s="43" t="s">
        <v>95</v>
      </c>
      <c r="AE144" s="43" t="s">
        <v>95</v>
      </c>
      <c r="AF144" s="43" t="s">
        <v>95</v>
      </c>
      <c r="AG144" s="43" t="s">
        <v>95</v>
      </c>
      <c r="AH144" s="45">
        <v>0</v>
      </c>
      <c r="AI144" s="43" t="s">
        <v>95</v>
      </c>
      <c r="AJ144" s="43" t="s">
        <v>95</v>
      </c>
      <c r="AK144" s="43" t="s">
        <v>95</v>
      </c>
      <c r="AL144" s="43" t="s">
        <v>95</v>
      </c>
      <c r="AM144" s="45">
        <v>29.99</v>
      </c>
      <c r="AN144" s="43" t="s">
        <v>81</v>
      </c>
      <c r="AO144" s="44">
        <v>44898</v>
      </c>
      <c r="AP144" s="43" t="s">
        <v>136</v>
      </c>
      <c r="AQ144" s="43" t="s">
        <v>137</v>
      </c>
      <c r="AR144" s="43" t="s">
        <v>7062</v>
      </c>
      <c r="AS144" s="43" t="s">
        <v>95</v>
      </c>
      <c r="AT144" s="43" t="s">
        <v>85</v>
      </c>
      <c r="AU144" s="43" t="s">
        <v>7030</v>
      </c>
      <c r="AV144" s="43" t="s">
        <v>7031</v>
      </c>
      <c r="AW144" s="43" t="s">
        <v>7031</v>
      </c>
      <c r="AX144" s="43" t="s">
        <v>90</v>
      </c>
      <c r="AY144" s="43" t="s">
        <v>132</v>
      </c>
      <c r="AZ144" s="43" t="s">
        <v>7037</v>
      </c>
      <c r="BA144" s="43" t="s">
        <v>139</v>
      </c>
      <c r="BB144" s="45">
        <v>2.14</v>
      </c>
      <c r="BC144" s="45">
        <v>2.14</v>
      </c>
      <c r="BD144" s="43" t="s">
        <v>7032</v>
      </c>
      <c r="BE144" s="43" t="s">
        <v>81</v>
      </c>
      <c r="BF144" s="43" t="s">
        <v>81</v>
      </c>
      <c r="BG144" s="43" t="s">
        <v>86</v>
      </c>
      <c r="BH144" s="43" t="s">
        <v>138</v>
      </c>
      <c r="BI144" s="43" t="s">
        <v>7076</v>
      </c>
      <c r="BJ144" s="43" t="s">
        <v>7030</v>
      </c>
      <c r="BK144" s="43" t="s">
        <v>139</v>
      </c>
      <c r="BL144" s="43" t="s">
        <v>85</v>
      </c>
      <c r="BM144" s="43" t="s">
        <v>85</v>
      </c>
      <c r="BN144" s="43" t="s">
        <v>139</v>
      </c>
      <c r="BO144" s="46">
        <v>2.14</v>
      </c>
      <c r="BP144" s="43" t="s">
        <v>7032</v>
      </c>
      <c r="BQ144" s="43">
        <v>2.14</v>
      </c>
      <c r="BR144" s="43" t="s">
        <v>7032</v>
      </c>
      <c r="BS144" s="47">
        <v>2.14</v>
      </c>
      <c r="BT144" s="43" t="s">
        <v>7032</v>
      </c>
      <c r="BU144" s="43" t="s">
        <v>7032</v>
      </c>
      <c r="BV144" s="43" t="str">
        <f>CambioPlan[[#This Row],[TELEFONO]]&amp;"UPSELLSI"</f>
        <v>995005894UPSELLSI</v>
      </c>
      <c r="BW144" s="43">
        <f>DAY(CambioPlan[[#This Row],[FECHA_CAMBIO_PLAN]])</f>
        <v>3</v>
      </c>
      <c r="BX144" s="43" t="str">
        <f>VLOOKUP(CambioPlan[[#This Row],[NOM_PLAZA]],[1]!Locales[#Data],3,0)</f>
        <v>TIENDA AMERICA</v>
      </c>
      <c r="BY144" s="43" t="str">
        <f>VLOOKUP(CambioPlan[[#This Row],[DOMAIN_LOGIN_OW]],[1]!Personal[#Data],6,0)</f>
        <v>SALVATIERRA GUERRA JULIAN ENRIQUE</v>
      </c>
      <c r="BZ144" s="43"/>
      <c r="CA144" s="43" t="str">
        <f>IFERROR(IF(FIND("ADULTO",CambioPlan[[#This Row],[DESCRIPCION_PLAN_ACTUAL]],1),"NO SE PAGA",),"SI SE PAGA")</f>
        <v>SI SE PAGA</v>
      </c>
      <c r="CB144" s="45">
        <f>CambioPlan[[#This Row],[TARIFA_BASICA_ACTUAL]]-CambioPlan[[#This Row],[TARIFA_BASICA_ANTERIOR]]</f>
        <v>2.1400000000000041</v>
      </c>
      <c r="CC144" s="56">
        <f>CambioPlan[[#This Row],[DIF. TARIFAS]]*4</f>
        <v>8.5600000000000165</v>
      </c>
      <c r="CD144" s="53" t="str">
        <f>IF(CambioPlan[[#This Row],[C. COMISIÓN TME]]&lt;0,"DOWNSELL",IF(CambioPlan[[#This Row],[C. COMISIÓN TME]]=0,"MISMA TARIFA",IF(CambioPlan[[#This Row],[C. COMISIÓN TME]]&gt;0,"UPSELL")))</f>
        <v>UPSELL</v>
      </c>
      <c r="CE144">
        <f>VLOOKUP(CambioPlan[[#This Row],[TARIFA_BASICA_ANTERIOR]],[3]Hoja1!$F:$G,2,0)</f>
        <v>5</v>
      </c>
      <c r="CF144">
        <f>VLOOKUP(CambioPlan[[#This Row],[TARIFA_BASICA_ACTUAL]],[3]Hoja1!$B:$C,2,0)</f>
        <v>5</v>
      </c>
      <c r="CG144">
        <f t="shared" si="1"/>
        <v>0</v>
      </c>
      <c r="CH144" t="e">
        <f>VLOOKUP(CambioPlan[[#This Row],[TELEFONO]],[1]Retenciones!$R$63:$R$287,1,0)</f>
        <v>#N/A</v>
      </c>
    </row>
    <row r="145" spans="1:86" x14ac:dyDescent="0.25">
      <c r="A145" s="43">
        <v>202212</v>
      </c>
      <c r="B145" s="44">
        <v>44914</v>
      </c>
      <c r="C145" s="43" t="s">
        <v>7554</v>
      </c>
      <c r="D145" s="43" t="s">
        <v>7555</v>
      </c>
      <c r="E145" s="43" t="s">
        <v>95</v>
      </c>
      <c r="F145" s="43" t="s">
        <v>77</v>
      </c>
      <c r="G145" s="43" t="s">
        <v>2241</v>
      </c>
      <c r="H145" s="43" t="s">
        <v>67</v>
      </c>
      <c r="I145" s="43" t="s">
        <v>7556</v>
      </c>
      <c r="J145" s="43" t="s">
        <v>7029</v>
      </c>
      <c r="K145" s="43" t="s">
        <v>118</v>
      </c>
      <c r="L145" s="43" t="s">
        <v>112</v>
      </c>
      <c r="M145" s="43" t="s">
        <v>781</v>
      </c>
      <c r="N145" s="43" t="s">
        <v>79</v>
      </c>
      <c r="O145" s="45">
        <v>17.850000000000001</v>
      </c>
      <c r="P145" s="43" t="s">
        <v>95</v>
      </c>
      <c r="Q145" s="43" t="s">
        <v>95</v>
      </c>
      <c r="R145" s="43" t="s">
        <v>95</v>
      </c>
      <c r="S145" s="45">
        <v>0</v>
      </c>
      <c r="T145" s="43" t="s">
        <v>95</v>
      </c>
      <c r="U145" s="44" t="s">
        <v>95</v>
      </c>
      <c r="V145" s="44" t="s">
        <v>95</v>
      </c>
      <c r="W145" s="43" t="s">
        <v>95</v>
      </c>
      <c r="X145" s="45">
        <v>17.850000000000001</v>
      </c>
      <c r="Y145" s="43" t="s">
        <v>81</v>
      </c>
      <c r="Z145" s="43" t="s">
        <v>7074</v>
      </c>
      <c r="AA145" s="43" t="s">
        <v>7557</v>
      </c>
      <c r="AB145" s="43" t="s">
        <v>79</v>
      </c>
      <c r="AC145" s="45">
        <v>12.99</v>
      </c>
      <c r="AD145" s="43" t="s">
        <v>95</v>
      </c>
      <c r="AE145" s="43" t="s">
        <v>95</v>
      </c>
      <c r="AF145" s="43" t="s">
        <v>95</v>
      </c>
      <c r="AG145" s="43" t="s">
        <v>95</v>
      </c>
      <c r="AH145" s="45">
        <v>0</v>
      </c>
      <c r="AI145" s="43" t="s">
        <v>95</v>
      </c>
      <c r="AJ145" s="43" t="s">
        <v>95</v>
      </c>
      <c r="AK145" s="43" t="s">
        <v>95</v>
      </c>
      <c r="AL145" s="43" t="s">
        <v>95</v>
      </c>
      <c r="AM145" s="45">
        <v>12.99</v>
      </c>
      <c r="AN145" s="43" t="s">
        <v>81</v>
      </c>
      <c r="AO145" s="44">
        <v>44902</v>
      </c>
      <c r="AP145" s="43" t="s">
        <v>88</v>
      </c>
      <c r="AQ145" s="43" t="s">
        <v>89</v>
      </c>
      <c r="AR145" s="43" t="s">
        <v>7299</v>
      </c>
      <c r="AS145" s="43" t="s">
        <v>7300</v>
      </c>
      <c r="AT145" s="43" t="s">
        <v>85</v>
      </c>
      <c r="AU145" s="43" t="s">
        <v>7030</v>
      </c>
      <c r="AV145" s="43" t="s">
        <v>7031</v>
      </c>
      <c r="AW145" s="43" t="s">
        <v>7031</v>
      </c>
      <c r="AX145" s="43" t="s">
        <v>90</v>
      </c>
      <c r="AY145" s="43" t="s">
        <v>73</v>
      </c>
      <c r="AZ145" s="43" t="s">
        <v>7029</v>
      </c>
      <c r="BA145" s="43" t="s">
        <v>92</v>
      </c>
      <c r="BB145" s="45">
        <v>4.8600000000000003</v>
      </c>
      <c r="BC145" s="45">
        <v>4.8600000000000003</v>
      </c>
      <c r="BD145" s="43" t="s">
        <v>7032</v>
      </c>
      <c r="BE145" s="43" t="s">
        <v>81</v>
      </c>
      <c r="BF145" s="43" t="s">
        <v>81</v>
      </c>
      <c r="BG145" s="43" t="s">
        <v>86</v>
      </c>
      <c r="BH145" s="43" t="s">
        <v>91</v>
      </c>
      <c r="BI145" s="43" t="s">
        <v>7086</v>
      </c>
      <c r="BJ145" s="43" t="s">
        <v>7030</v>
      </c>
      <c r="BK145" s="43" t="s">
        <v>92</v>
      </c>
      <c r="BL145" s="43" t="s">
        <v>85</v>
      </c>
      <c r="BM145" s="43" t="s">
        <v>85</v>
      </c>
      <c r="BN145" s="43" t="s">
        <v>92</v>
      </c>
      <c r="BO145" s="46">
        <v>4.8600000000000003</v>
      </c>
      <c r="BP145" s="43" t="s">
        <v>7032</v>
      </c>
      <c r="BQ145" s="43">
        <v>4.8600000000000003</v>
      </c>
      <c r="BR145" s="43" t="s">
        <v>7032</v>
      </c>
      <c r="BS145" s="47">
        <v>4.8600000000000003</v>
      </c>
      <c r="BT145" s="43" t="s">
        <v>7032</v>
      </c>
      <c r="BU145" s="43" t="s">
        <v>7032</v>
      </c>
      <c r="BV145" s="43" t="str">
        <f>CambioPlan[[#This Row],[TELEFONO]]&amp;"UPSELLSI"</f>
        <v>995011438UPSELLSI</v>
      </c>
      <c r="BW145" s="43">
        <f>DAY(CambioPlan[[#This Row],[FECHA_CAMBIO_PLAN]])</f>
        <v>7</v>
      </c>
      <c r="BX145" s="43" t="str">
        <f>VLOOKUP(CambioPlan[[#This Row],[NOM_PLAZA]],[1]!Locales[#Data],3,0)</f>
        <v>TIENDA CUENCA CENTRO</v>
      </c>
      <c r="BY145" s="43" t="str">
        <f>VLOOKUP(CambioPlan[[#This Row],[DOMAIN_LOGIN_OW]],[1]!Personal[#Data],6,0)</f>
        <v>ANDRADE CONDO CHRISTIAN EDUARDO</v>
      </c>
      <c r="BZ145" s="43"/>
      <c r="CA145" s="43" t="str">
        <f>IFERROR(IF(FIND("ADULTO",CambioPlan[[#This Row],[DESCRIPCION_PLAN_ACTUAL]],1),"NO SE PAGA",),"SI SE PAGA")</f>
        <v>SI SE PAGA</v>
      </c>
      <c r="CB145" s="45">
        <f>CambioPlan[[#This Row],[TARIFA_BASICA_ACTUAL]]-CambioPlan[[#This Row],[TARIFA_BASICA_ANTERIOR]]</f>
        <v>4.8600000000000012</v>
      </c>
      <c r="CC145" s="56">
        <f>CambioPlan[[#This Row],[DIF. TARIFAS]]*4</f>
        <v>19.440000000000005</v>
      </c>
      <c r="CD145" s="53" t="str">
        <f>IF(CambioPlan[[#This Row],[C. COMISIÓN TME]]&lt;0,"DOWNSELL",IF(CambioPlan[[#This Row],[C. COMISIÓN TME]]=0,"MISMA TARIFA",IF(CambioPlan[[#This Row],[C. COMISIÓN TME]]&gt;0,"UPSELL")))</f>
        <v>UPSELL</v>
      </c>
      <c r="CE145">
        <f>VLOOKUP(CambioPlan[[#This Row],[TARIFA_BASICA_ANTERIOR]],[3]Hoja1!$F:$G,2,0)</f>
        <v>1</v>
      </c>
      <c r="CF145">
        <f>VLOOKUP(CambioPlan[[#This Row],[TARIFA_BASICA_ACTUAL]],[3]Hoja1!$B:$C,2,0)</f>
        <v>2</v>
      </c>
      <c r="CG145">
        <f t="shared" si="1"/>
        <v>1</v>
      </c>
      <c r="CH145" t="e">
        <f>VLOOKUP(CambioPlan[[#This Row],[TELEFONO]],[1]Retenciones!$R$63:$R$287,1,0)</f>
        <v>#N/A</v>
      </c>
    </row>
    <row r="146" spans="1:86" x14ac:dyDescent="0.25">
      <c r="A146" s="43">
        <v>202212</v>
      </c>
      <c r="B146" s="44">
        <v>44914</v>
      </c>
      <c r="C146" s="43" t="s">
        <v>7558</v>
      </c>
      <c r="D146" s="43" t="s">
        <v>7559</v>
      </c>
      <c r="E146" s="43" t="s">
        <v>95</v>
      </c>
      <c r="F146" s="43" t="s">
        <v>77</v>
      </c>
      <c r="G146" s="43" t="s">
        <v>2241</v>
      </c>
      <c r="H146" s="43" t="s">
        <v>246</v>
      </c>
      <c r="I146" s="43" t="s">
        <v>7560</v>
      </c>
      <c r="J146" s="43" t="s">
        <v>7037</v>
      </c>
      <c r="K146" s="43" t="s">
        <v>84</v>
      </c>
      <c r="L146" s="43" t="s">
        <v>698</v>
      </c>
      <c r="M146" s="43" t="s">
        <v>699</v>
      </c>
      <c r="N146" s="43" t="s">
        <v>79</v>
      </c>
      <c r="O146" s="45">
        <v>26.78</v>
      </c>
      <c r="P146" s="43" t="s">
        <v>95</v>
      </c>
      <c r="Q146" s="43" t="s">
        <v>95</v>
      </c>
      <c r="R146" s="43" t="s">
        <v>95</v>
      </c>
      <c r="S146" s="45">
        <v>0</v>
      </c>
      <c r="T146" s="43" t="s">
        <v>95</v>
      </c>
      <c r="U146" s="44" t="s">
        <v>95</v>
      </c>
      <c r="V146" s="44" t="s">
        <v>95</v>
      </c>
      <c r="W146" s="43" t="s">
        <v>95</v>
      </c>
      <c r="X146" s="45">
        <v>26.78</v>
      </c>
      <c r="Y146" s="43" t="s">
        <v>81</v>
      </c>
      <c r="Z146" s="43" t="s">
        <v>7127</v>
      </c>
      <c r="AA146" s="43" t="s">
        <v>7128</v>
      </c>
      <c r="AB146" s="43" t="s">
        <v>79</v>
      </c>
      <c r="AC146" s="45">
        <v>13.79</v>
      </c>
      <c r="AD146" s="43" t="s">
        <v>95</v>
      </c>
      <c r="AE146" s="43" t="s">
        <v>95</v>
      </c>
      <c r="AF146" s="43" t="s">
        <v>95</v>
      </c>
      <c r="AG146" s="43" t="s">
        <v>95</v>
      </c>
      <c r="AH146" s="45">
        <v>0</v>
      </c>
      <c r="AI146" s="43" t="s">
        <v>95</v>
      </c>
      <c r="AJ146" s="43" t="s">
        <v>95</v>
      </c>
      <c r="AK146" s="43" t="s">
        <v>95</v>
      </c>
      <c r="AL146" s="43" t="s">
        <v>95</v>
      </c>
      <c r="AM146" s="45">
        <v>13.79</v>
      </c>
      <c r="AN146" s="43" t="s">
        <v>81</v>
      </c>
      <c r="AO146" s="44">
        <v>44910</v>
      </c>
      <c r="AP146" s="43" t="s">
        <v>369</v>
      </c>
      <c r="AQ146" s="43" t="s">
        <v>370</v>
      </c>
      <c r="AR146" s="43" t="s">
        <v>369</v>
      </c>
      <c r="AS146" s="43" t="s">
        <v>370</v>
      </c>
      <c r="AT146" s="43" t="s">
        <v>85</v>
      </c>
      <c r="AU146" s="43" t="s">
        <v>7030</v>
      </c>
      <c r="AV146" s="43" t="s">
        <v>7031</v>
      </c>
      <c r="AW146" s="43" t="s">
        <v>7031</v>
      </c>
      <c r="AX146" s="43" t="s">
        <v>90</v>
      </c>
      <c r="AY146" s="43" t="s">
        <v>132</v>
      </c>
      <c r="AZ146" s="43" t="s">
        <v>7037</v>
      </c>
      <c r="BA146" s="43" t="s">
        <v>139</v>
      </c>
      <c r="BB146" s="45">
        <v>12.99</v>
      </c>
      <c r="BC146" s="45">
        <v>12.99</v>
      </c>
      <c r="BD146" s="43" t="s">
        <v>7032</v>
      </c>
      <c r="BE146" s="43" t="s">
        <v>81</v>
      </c>
      <c r="BF146" s="43" t="s">
        <v>81</v>
      </c>
      <c r="BG146" s="43" t="s">
        <v>86</v>
      </c>
      <c r="BH146" s="43" t="s">
        <v>177</v>
      </c>
      <c r="BI146" s="43" t="s">
        <v>7038</v>
      </c>
      <c r="BJ146" s="43" t="s">
        <v>7030</v>
      </c>
      <c r="BK146" s="43" t="s">
        <v>139</v>
      </c>
      <c r="BL146" s="43" t="s">
        <v>85</v>
      </c>
      <c r="BM146" s="43" t="s">
        <v>85</v>
      </c>
      <c r="BN146" s="43" t="s">
        <v>139</v>
      </c>
      <c r="BO146" s="46">
        <v>12.99</v>
      </c>
      <c r="BP146" s="43" t="s">
        <v>7032</v>
      </c>
      <c r="BQ146" s="43">
        <v>12.99</v>
      </c>
      <c r="BR146" s="43" t="s">
        <v>7032</v>
      </c>
      <c r="BS146" s="47">
        <v>12.99</v>
      </c>
      <c r="BT146" s="43" t="s">
        <v>7032</v>
      </c>
      <c r="BU146" s="43" t="s">
        <v>7032</v>
      </c>
      <c r="BV146" s="43" t="str">
        <f>CambioPlan[[#This Row],[TELEFONO]]&amp;"UPSELLSI"</f>
        <v>995018616UPSELLSI</v>
      </c>
      <c r="BW146" s="43">
        <f>DAY(CambioPlan[[#This Row],[FECHA_CAMBIO_PLAN]])</f>
        <v>15</v>
      </c>
      <c r="BX146" s="43" t="str">
        <f>VLOOKUP(CambioPlan[[#This Row],[NOM_PLAZA]],[1]!Locales[#Data],3,0)</f>
        <v>TIENDA RECREO</v>
      </c>
      <c r="BY146" s="43" t="str">
        <f>VLOOKUP(CambioPlan[[#This Row],[DOMAIN_LOGIN_OW]],[1]!Personal[#Data],6,0)</f>
        <v>GUAIGUA REINOSO GENESIS CAROLINA</v>
      </c>
      <c r="BZ146" s="43"/>
      <c r="CA146" s="43" t="str">
        <f>IFERROR(IF(FIND("ADULTO",CambioPlan[[#This Row],[DESCRIPCION_PLAN_ACTUAL]],1),"NO SE PAGA",),"SI SE PAGA")</f>
        <v>SI SE PAGA</v>
      </c>
      <c r="CB146" s="45">
        <f>CambioPlan[[#This Row],[TARIFA_BASICA_ACTUAL]]-CambioPlan[[#This Row],[TARIFA_BASICA_ANTERIOR]]</f>
        <v>12.990000000000002</v>
      </c>
      <c r="CC146" s="56">
        <f>CambioPlan[[#This Row],[DIF. TARIFAS]]*4</f>
        <v>51.960000000000008</v>
      </c>
      <c r="CD146" s="53" t="str">
        <f>IF(CambioPlan[[#This Row],[C. COMISIÓN TME]]&lt;0,"DOWNSELL",IF(CambioPlan[[#This Row],[C. COMISIÓN TME]]=0,"MISMA TARIFA",IF(CambioPlan[[#This Row],[C. COMISIÓN TME]]&gt;0,"UPSELL")))</f>
        <v>UPSELL</v>
      </c>
      <c r="CE146">
        <f>VLOOKUP(CambioPlan[[#This Row],[TARIFA_BASICA_ANTERIOR]],[3]Hoja1!$F:$G,2,0)</f>
        <v>1</v>
      </c>
      <c r="CF146">
        <f>VLOOKUP(CambioPlan[[#This Row],[TARIFA_BASICA_ACTUAL]],[3]Hoja1!$B:$C,2,0)</f>
        <v>4</v>
      </c>
      <c r="CG146">
        <f t="shared" si="1"/>
        <v>3</v>
      </c>
      <c r="CH146" t="e">
        <f>VLOOKUP(CambioPlan[[#This Row],[TELEFONO]],[1]Retenciones!$R$63:$R$287,1,0)</f>
        <v>#N/A</v>
      </c>
    </row>
    <row r="147" spans="1:86" x14ac:dyDescent="0.25">
      <c r="A147" s="43">
        <v>202212</v>
      </c>
      <c r="B147" s="44">
        <v>44914</v>
      </c>
      <c r="C147" s="43" t="s">
        <v>7561</v>
      </c>
      <c r="D147" s="43" t="s">
        <v>7562</v>
      </c>
      <c r="E147" s="43" t="s">
        <v>95</v>
      </c>
      <c r="F147" s="43" t="s">
        <v>77</v>
      </c>
      <c r="G147" s="43" t="s">
        <v>2241</v>
      </c>
      <c r="H147" s="43" t="s">
        <v>67</v>
      </c>
      <c r="I147" s="43" t="s">
        <v>7563</v>
      </c>
      <c r="J147" s="43" t="s">
        <v>7029</v>
      </c>
      <c r="K147" s="43" t="s">
        <v>84</v>
      </c>
      <c r="L147" s="43" t="s">
        <v>160</v>
      </c>
      <c r="M147" s="43" t="s">
        <v>161</v>
      </c>
      <c r="N147" s="43" t="s">
        <v>79</v>
      </c>
      <c r="O147" s="45">
        <v>14.28</v>
      </c>
      <c r="P147" s="43" t="s">
        <v>95</v>
      </c>
      <c r="Q147" s="43" t="s">
        <v>95</v>
      </c>
      <c r="R147" s="43" t="s">
        <v>95</v>
      </c>
      <c r="S147" s="45">
        <v>0</v>
      </c>
      <c r="T147" s="43" t="s">
        <v>95</v>
      </c>
      <c r="U147" s="44" t="s">
        <v>95</v>
      </c>
      <c r="V147" s="44" t="s">
        <v>95</v>
      </c>
      <c r="W147" s="43" t="s">
        <v>95</v>
      </c>
      <c r="X147" s="45">
        <v>14.28</v>
      </c>
      <c r="Y147" s="43" t="s">
        <v>81</v>
      </c>
      <c r="Z147" s="43" t="s">
        <v>7074</v>
      </c>
      <c r="AA147" s="43" t="s">
        <v>7075</v>
      </c>
      <c r="AB147" s="43" t="s">
        <v>79</v>
      </c>
      <c r="AC147" s="45">
        <v>12.99</v>
      </c>
      <c r="AD147" s="43" t="s">
        <v>95</v>
      </c>
      <c r="AE147" s="43" t="s">
        <v>95</v>
      </c>
      <c r="AF147" s="43" t="s">
        <v>95</v>
      </c>
      <c r="AG147" s="43" t="s">
        <v>95</v>
      </c>
      <c r="AH147" s="45">
        <v>0</v>
      </c>
      <c r="AI147" s="43" t="s">
        <v>95</v>
      </c>
      <c r="AJ147" s="43" t="s">
        <v>95</v>
      </c>
      <c r="AK147" s="43" t="s">
        <v>95</v>
      </c>
      <c r="AL147" s="43" t="s">
        <v>95</v>
      </c>
      <c r="AM147" s="45">
        <v>12.99</v>
      </c>
      <c r="AN147" s="43" t="s">
        <v>81</v>
      </c>
      <c r="AO147" s="44">
        <v>44896</v>
      </c>
      <c r="AP147" s="43" t="s">
        <v>396</v>
      </c>
      <c r="AQ147" s="43" t="s">
        <v>397</v>
      </c>
      <c r="AR147" s="43" t="s">
        <v>396</v>
      </c>
      <c r="AS147" s="43" t="s">
        <v>397</v>
      </c>
      <c r="AT147" s="43" t="s">
        <v>85</v>
      </c>
      <c r="AU147" s="43" t="s">
        <v>7030</v>
      </c>
      <c r="AV147" s="43" t="s">
        <v>7031</v>
      </c>
      <c r="AW147" s="43" t="s">
        <v>7031</v>
      </c>
      <c r="AX147" s="43" t="s">
        <v>90</v>
      </c>
      <c r="AY147" s="43" t="s">
        <v>132</v>
      </c>
      <c r="AZ147" s="43" t="s">
        <v>7037</v>
      </c>
      <c r="BA147" s="43" t="s">
        <v>139</v>
      </c>
      <c r="BB147" s="45">
        <v>1.29</v>
      </c>
      <c r="BC147" s="45">
        <v>1.29</v>
      </c>
      <c r="BD147" s="43" t="s">
        <v>7032</v>
      </c>
      <c r="BE147" s="43" t="s">
        <v>81</v>
      </c>
      <c r="BF147" s="43" t="s">
        <v>81</v>
      </c>
      <c r="BG147" s="43" t="s">
        <v>86</v>
      </c>
      <c r="BH147" s="43" t="s">
        <v>177</v>
      </c>
      <c r="BI147" s="43" t="s">
        <v>7038</v>
      </c>
      <c r="BJ147" s="43" t="s">
        <v>7030</v>
      </c>
      <c r="BK147" s="43" t="s">
        <v>139</v>
      </c>
      <c r="BL147" s="43" t="s">
        <v>85</v>
      </c>
      <c r="BM147" s="43" t="s">
        <v>85</v>
      </c>
      <c r="BN147" s="43" t="s">
        <v>139</v>
      </c>
      <c r="BO147" s="46">
        <v>1.29</v>
      </c>
      <c r="BP147" s="43" t="s">
        <v>7032</v>
      </c>
      <c r="BQ147" s="43">
        <v>1.29</v>
      </c>
      <c r="BR147" s="43" t="s">
        <v>7032</v>
      </c>
      <c r="BS147" s="47">
        <v>1.29</v>
      </c>
      <c r="BT147" s="43" t="s">
        <v>7032</v>
      </c>
      <c r="BU147" s="43" t="s">
        <v>7032</v>
      </c>
      <c r="BV147" s="43" t="str">
        <f>CambioPlan[[#This Row],[TELEFONO]]&amp;"UPSELLSI"</f>
        <v>995032726UPSELLSI</v>
      </c>
      <c r="BW147" s="43">
        <f>DAY(CambioPlan[[#This Row],[FECHA_CAMBIO_PLAN]])</f>
        <v>1</v>
      </c>
      <c r="BX147" s="43" t="str">
        <f>VLOOKUP(CambioPlan[[#This Row],[NOM_PLAZA]],[1]!Locales[#Data],3,0)</f>
        <v>TIENDA RECREO</v>
      </c>
      <c r="BY147" s="43" t="str">
        <f>VLOOKUP(CambioPlan[[#This Row],[DOMAIN_LOGIN_OW]],[1]!Personal[#Data],6,0)</f>
        <v>VINUEZA VELASCO ANGY DAYANA</v>
      </c>
      <c r="BZ147" s="43"/>
      <c r="CA147" s="43" t="str">
        <f>IFERROR(IF(FIND("ADULTO",CambioPlan[[#This Row],[DESCRIPCION_PLAN_ACTUAL]],1),"NO SE PAGA",),"SI SE PAGA")</f>
        <v>SI SE PAGA</v>
      </c>
      <c r="CB147" s="45">
        <f>CambioPlan[[#This Row],[TARIFA_BASICA_ACTUAL]]-CambioPlan[[#This Row],[TARIFA_BASICA_ANTERIOR]]</f>
        <v>1.2899999999999991</v>
      </c>
      <c r="CC147" s="56">
        <f>CambioPlan[[#This Row],[DIF. TARIFAS]]*4</f>
        <v>5.1599999999999966</v>
      </c>
      <c r="CD147" s="53" t="str">
        <f>IF(CambioPlan[[#This Row],[C. COMISIÓN TME]]&lt;0,"DOWNSELL",IF(CambioPlan[[#This Row],[C. COMISIÓN TME]]=0,"MISMA TARIFA",IF(CambioPlan[[#This Row],[C. COMISIÓN TME]]&gt;0,"UPSELL")))</f>
        <v>UPSELL</v>
      </c>
      <c r="CE147">
        <f>VLOOKUP(CambioPlan[[#This Row],[TARIFA_BASICA_ANTERIOR]],[3]Hoja1!$F:$G,2,0)</f>
        <v>1</v>
      </c>
      <c r="CF147">
        <f>VLOOKUP(CambioPlan[[#This Row],[TARIFA_BASICA_ACTUAL]],[3]Hoja1!$B:$C,2,0)</f>
        <v>1</v>
      </c>
      <c r="CG147">
        <f t="shared" si="1"/>
        <v>0</v>
      </c>
      <c r="CH147" t="str">
        <f>VLOOKUP(CambioPlan[[#This Row],[TELEFONO]],[1]Retenciones!$R$63:$R$287,1,0)</f>
        <v>995032726</v>
      </c>
    </row>
    <row r="148" spans="1:86" x14ac:dyDescent="0.25">
      <c r="A148" s="43">
        <v>202212</v>
      </c>
      <c r="B148" s="44">
        <v>44914</v>
      </c>
      <c r="C148" s="43" t="s">
        <v>7564</v>
      </c>
      <c r="D148" s="43" t="s">
        <v>7565</v>
      </c>
      <c r="E148" s="43" t="s">
        <v>95</v>
      </c>
      <c r="F148" s="43" t="s">
        <v>77</v>
      </c>
      <c r="G148" s="43" t="s">
        <v>7168</v>
      </c>
      <c r="H148" s="43" t="s">
        <v>67</v>
      </c>
      <c r="I148" s="43" t="s">
        <v>7566</v>
      </c>
      <c r="J148" s="43" t="s">
        <v>7037</v>
      </c>
      <c r="K148" s="43" t="s">
        <v>118</v>
      </c>
      <c r="L148" s="43" t="s">
        <v>712</v>
      </c>
      <c r="M148" s="43" t="s">
        <v>2836</v>
      </c>
      <c r="N148" s="43" t="s">
        <v>79</v>
      </c>
      <c r="O148" s="45">
        <v>17.850000000000001</v>
      </c>
      <c r="P148" s="43" t="s">
        <v>95</v>
      </c>
      <c r="Q148" s="43" t="s">
        <v>95</v>
      </c>
      <c r="R148" s="43" t="s">
        <v>95</v>
      </c>
      <c r="S148" s="45">
        <v>0</v>
      </c>
      <c r="T148" s="43" t="s">
        <v>95</v>
      </c>
      <c r="U148" s="44" t="s">
        <v>95</v>
      </c>
      <c r="V148" s="44" t="s">
        <v>95</v>
      </c>
      <c r="W148" s="43" t="s">
        <v>95</v>
      </c>
      <c r="X148" s="45">
        <v>17.850000000000001</v>
      </c>
      <c r="Y148" s="43" t="s">
        <v>81</v>
      </c>
      <c r="Z148" s="43" t="s">
        <v>160</v>
      </c>
      <c r="AA148" s="43" t="s">
        <v>161</v>
      </c>
      <c r="AB148" s="43" t="s">
        <v>79</v>
      </c>
      <c r="AC148" s="45">
        <v>14.28</v>
      </c>
      <c r="AD148" s="43" t="s">
        <v>95</v>
      </c>
      <c r="AE148" s="43" t="s">
        <v>95</v>
      </c>
      <c r="AF148" s="43" t="s">
        <v>95</v>
      </c>
      <c r="AG148" s="43" t="s">
        <v>95</v>
      </c>
      <c r="AH148" s="45">
        <v>0</v>
      </c>
      <c r="AI148" s="43" t="s">
        <v>95</v>
      </c>
      <c r="AJ148" s="43" t="s">
        <v>95</v>
      </c>
      <c r="AK148" s="43" t="s">
        <v>95</v>
      </c>
      <c r="AL148" s="43" t="s">
        <v>95</v>
      </c>
      <c r="AM148" s="45">
        <v>14.28</v>
      </c>
      <c r="AN148" s="43" t="s">
        <v>81</v>
      </c>
      <c r="AO148" s="44">
        <v>44909</v>
      </c>
      <c r="AP148" s="43" t="s">
        <v>926</v>
      </c>
      <c r="AQ148" s="43" t="s">
        <v>927</v>
      </c>
      <c r="AR148" s="43" t="s">
        <v>926</v>
      </c>
      <c r="AS148" s="43" t="s">
        <v>927</v>
      </c>
      <c r="AT148" s="43" t="s">
        <v>85</v>
      </c>
      <c r="AU148" s="43" t="s">
        <v>7030</v>
      </c>
      <c r="AV148" s="43" t="s">
        <v>7031</v>
      </c>
      <c r="AW148" s="43" t="s">
        <v>7031</v>
      </c>
      <c r="AX148" s="43" t="s">
        <v>90</v>
      </c>
      <c r="AY148" s="43" t="s">
        <v>132</v>
      </c>
      <c r="AZ148" s="43" t="s">
        <v>7037</v>
      </c>
      <c r="BA148" s="43" t="s">
        <v>139</v>
      </c>
      <c r="BB148" s="45">
        <v>3.57</v>
      </c>
      <c r="BC148" s="45">
        <v>3.57</v>
      </c>
      <c r="BD148" s="43" t="s">
        <v>7032</v>
      </c>
      <c r="BE148" s="43" t="s">
        <v>81</v>
      </c>
      <c r="BF148" s="43" t="s">
        <v>81</v>
      </c>
      <c r="BG148" s="43" t="s">
        <v>86</v>
      </c>
      <c r="BH148" s="43" t="s">
        <v>177</v>
      </c>
      <c r="BI148" s="43" t="s">
        <v>7038</v>
      </c>
      <c r="BJ148" s="43" t="s">
        <v>7030</v>
      </c>
      <c r="BK148" s="43" t="s">
        <v>139</v>
      </c>
      <c r="BL148" s="43" t="s">
        <v>85</v>
      </c>
      <c r="BM148" s="43" t="s">
        <v>85</v>
      </c>
      <c r="BN148" s="43" t="s">
        <v>139</v>
      </c>
      <c r="BO148" s="46">
        <v>3.57</v>
      </c>
      <c r="BP148" s="43" t="s">
        <v>7032</v>
      </c>
      <c r="BQ148" s="43">
        <v>3.57</v>
      </c>
      <c r="BR148" s="43" t="s">
        <v>7032</v>
      </c>
      <c r="BS148" s="47">
        <v>3.57</v>
      </c>
      <c r="BT148" s="43" t="s">
        <v>7032</v>
      </c>
      <c r="BU148" s="43" t="s">
        <v>7032</v>
      </c>
      <c r="BV148" s="43" t="str">
        <f>CambioPlan[[#This Row],[TELEFONO]]&amp;"UPSELLSI"</f>
        <v>995036564UPSELLSI</v>
      </c>
      <c r="BW148" s="43">
        <f>DAY(CambioPlan[[#This Row],[FECHA_CAMBIO_PLAN]])</f>
        <v>14</v>
      </c>
      <c r="BX148" s="43" t="str">
        <f>VLOOKUP(CambioPlan[[#This Row],[NOM_PLAZA]],[1]!Locales[#Data],3,0)</f>
        <v>TIENDA RECREO</v>
      </c>
      <c r="BY148" s="43" t="str">
        <f>VLOOKUP(CambioPlan[[#This Row],[DOMAIN_LOGIN_OW]],[1]!Personal[#Data],6,0)</f>
        <v>CABEZAS LOPEZ ROBERTO ALEJANDRO</v>
      </c>
      <c r="BZ148" s="43"/>
      <c r="CA148" s="43" t="str">
        <f>IFERROR(IF(FIND("ADULTO",CambioPlan[[#This Row],[DESCRIPCION_PLAN_ACTUAL]],1),"NO SE PAGA",),"SI SE PAGA")</f>
        <v>SI SE PAGA</v>
      </c>
      <c r="CB148" s="45">
        <f>CambioPlan[[#This Row],[TARIFA_BASICA_ACTUAL]]-CambioPlan[[#This Row],[TARIFA_BASICA_ANTERIOR]]</f>
        <v>3.5700000000000021</v>
      </c>
      <c r="CC148" s="56">
        <f>CambioPlan[[#This Row],[DIF. TARIFAS]]*4</f>
        <v>14.280000000000008</v>
      </c>
      <c r="CD148" s="53" t="str">
        <f>IF(CambioPlan[[#This Row],[C. COMISIÓN TME]]&lt;0,"DOWNSELL",IF(CambioPlan[[#This Row],[C. COMISIÓN TME]]=0,"MISMA TARIFA",IF(CambioPlan[[#This Row],[C. COMISIÓN TME]]&gt;0,"UPSELL")))</f>
        <v>UPSELL</v>
      </c>
      <c r="CE148">
        <f>VLOOKUP(CambioPlan[[#This Row],[TARIFA_BASICA_ANTERIOR]],[3]Hoja1!$F:$G,2,0)</f>
        <v>1</v>
      </c>
      <c r="CF148">
        <f>VLOOKUP(CambioPlan[[#This Row],[TARIFA_BASICA_ACTUAL]],[3]Hoja1!$B:$C,2,0)</f>
        <v>2</v>
      </c>
      <c r="CG148">
        <f t="shared" si="1"/>
        <v>1</v>
      </c>
      <c r="CH148" t="e">
        <f>VLOOKUP(CambioPlan[[#This Row],[TELEFONO]],[1]Retenciones!$R$63:$R$287,1,0)</f>
        <v>#N/A</v>
      </c>
    </row>
    <row r="149" spans="1:86" x14ac:dyDescent="0.25">
      <c r="A149" s="43">
        <v>202212</v>
      </c>
      <c r="B149" s="44">
        <v>44914</v>
      </c>
      <c r="C149" s="43" t="s">
        <v>7567</v>
      </c>
      <c r="D149" s="43" t="s">
        <v>7568</v>
      </c>
      <c r="E149" s="43" t="s">
        <v>95</v>
      </c>
      <c r="F149" s="43" t="s">
        <v>77</v>
      </c>
      <c r="G149" s="43" t="s">
        <v>1532</v>
      </c>
      <c r="H149" s="43" t="s">
        <v>67</v>
      </c>
      <c r="I149" s="43" t="s">
        <v>7569</v>
      </c>
      <c r="J149" s="43" t="s">
        <v>7029</v>
      </c>
      <c r="K149" s="43" t="s">
        <v>215</v>
      </c>
      <c r="L149" s="43" t="s">
        <v>183</v>
      </c>
      <c r="M149" s="43" t="s">
        <v>184</v>
      </c>
      <c r="N149" s="43" t="s">
        <v>79</v>
      </c>
      <c r="O149" s="45">
        <v>11.42</v>
      </c>
      <c r="P149" s="43" t="s">
        <v>95</v>
      </c>
      <c r="Q149" s="43" t="s">
        <v>95</v>
      </c>
      <c r="R149" s="43" t="s">
        <v>95</v>
      </c>
      <c r="S149" s="45">
        <v>0</v>
      </c>
      <c r="T149" s="43" t="s">
        <v>95</v>
      </c>
      <c r="U149" s="44" t="s">
        <v>95</v>
      </c>
      <c r="V149" s="44" t="s">
        <v>95</v>
      </c>
      <c r="W149" s="43" t="s">
        <v>95</v>
      </c>
      <c r="X149" s="45">
        <v>11.42</v>
      </c>
      <c r="Y149" s="43" t="s">
        <v>81</v>
      </c>
      <c r="Z149" s="43" t="s">
        <v>7570</v>
      </c>
      <c r="AA149" s="43" t="s">
        <v>7571</v>
      </c>
      <c r="AB149" s="43" t="s">
        <v>79</v>
      </c>
      <c r="AC149" s="45">
        <v>8</v>
      </c>
      <c r="AD149" s="43" t="s">
        <v>95</v>
      </c>
      <c r="AE149" s="43" t="s">
        <v>95</v>
      </c>
      <c r="AF149" s="43" t="s">
        <v>95</v>
      </c>
      <c r="AG149" s="43" t="s">
        <v>95</v>
      </c>
      <c r="AH149" s="45">
        <v>0</v>
      </c>
      <c r="AI149" s="43" t="s">
        <v>95</v>
      </c>
      <c r="AJ149" s="43" t="s">
        <v>95</v>
      </c>
      <c r="AK149" s="43" t="s">
        <v>95</v>
      </c>
      <c r="AL149" s="43" t="s">
        <v>95</v>
      </c>
      <c r="AM149" s="45">
        <v>8</v>
      </c>
      <c r="AN149" s="43" t="s">
        <v>81</v>
      </c>
      <c r="AO149" s="44">
        <v>44901</v>
      </c>
      <c r="AP149" s="43" t="s">
        <v>420</v>
      </c>
      <c r="AQ149" s="43" t="s">
        <v>421</v>
      </c>
      <c r="AR149" s="43" t="s">
        <v>420</v>
      </c>
      <c r="AS149" s="43" t="s">
        <v>421</v>
      </c>
      <c r="AT149" s="43" t="s">
        <v>85</v>
      </c>
      <c r="AU149" s="43" t="s">
        <v>7030</v>
      </c>
      <c r="AV149" s="43" t="s">
        <v>7031</v>
      </c>
      <c r="AW149" s="43" t="s">
        <v>7031</v>
      </c>
      <c r="AX149" s="43" t="s">
        <v>90</v>
      </c>
      <c r="AY149" s="43" t="s">
        <v>73</v>
      </c>
      <c r="AZ149" s="43" t="s">
        <v>7029</v>
      </c>
      <c r="BA149" s="43" t="s">
        <v>92</v>
      </c>
      <c r="BB149" s="45">
        <v>3.42</v>
      </c>
      <c r="BC149" s="45">
        <v>3.42</v>
      </c>
      <c r="BD149" s="43" t="s">
        <v>7032</v>
      </c>
      <c r="BE149" s="43" t="s">
        <v>81</v>
      </c>
      <c r="BF149" s="43" t="s">
        <v>81</v>
      </c>
      <c r="BG149" s="43" t="s">
        <v>86</v>
      </c>
      <c r="BH149" s="43" t="s">
        <v>151</v>
      </c>
      <c r="BI149" s="43" t="s">
        <v>7033</v>
      </c>
      <c r="BJ149" s="43" t="s">
        <v>7030</v>
      </c>
      <c r="BK149" s="43" t="s">
        <v>92</v>
      </c>
      <c r="BL149" s="43" t="s">
        <v>85</v>
      </c>
      <c r="BM149" s="43" t="s">
        <v>85</v>
      </c>
      <c r="BN149" s="43" t="s">
        <v>92</v>
      </c>
      <c r="BO149" s="46">
        <v>3.42</v>
      </c>
      <c r="BP149" s="43" t="s">
        <v>7032</v>
      </c>
      <c r="BQ149" s="43">
        <v>3.42</v>
      </c>
      <c r="BR149" s="43" t="s">
        <v>7032</v>
      </c>
      <c r="BS149" s="47">
        <v>3.42</v>
      </c>
      <c r="BT149" s="43" t="s">
        <v>7032</v>
      </c>
      <c r="BU149" s="43" t="s">
        <v>7032</v>
      </c>
      <c r="BV149" s="43" t="str">
        <f>CambioPlan[[#This Row],[TELEFONO]]&amp;"UPSELLSI"</f>
        <v>995047610UPSELLSI</v>
      </c>
      <c r="BW149" s="43">
        <f>DAY(CambioPlan[[#This Row],[FECHA_CAMBIO_PLAN]])</f>
        <v>6</v>
      </c>
      <c r="BX149" s="43" t="str">
        <f>VLOOKUP(CambioPlan[[#This Row],[NOM_PLAZA]],[1]!Locales[#Data],3,0)</f>
        <v>TIENDA CUENCA REMIGIO</v>
      </c>
      <c r="BY149" s="43" t="str">
        <f>VLOOKUP(CambioPlan[[#This Row],[DOMAIN_LOGIN_OW]],[1]!Personal[#Data],6,0)</f>
        <v>YEPEZ PALOMEQUE DIANA PATRICIA</v>
      </c>
      <c r="BZ149" s="43"/>
      <c r="CA149" s="43" t="str">
        <f>IFERROR(IF(FIND("ADULTO",CambioPlan[[#This Row],[DESCRIPCION_PLAN_ACTUAL]],1),"NO SE PAGA",),"SI SE PAGA")</f>
        <v>SI SE PAGA</v>
      </c>
      <c r="CB149" s="45">
        <f>CambioPlan[[#This Row],[TARIFA_BASICA_ACTUAL]]-CambioPlan[[#This Row],[TARIFA_BASICA_ANTERIOR]]</f>
        <v>3.42</v>
      </c>
      <c r="CC149" s="56">
        <f>CambioPlan[[#This Row],[DIF. TARIFAS]]*4</f>
        <v>13.68</v>
      </c>
      <c r="CD149" s="53" t="str">
        <f>IF(CambioPlan[[#This Row],[C. COMISIÓN TME]]&lt;0,"DOWNSELL",IF(CambioPlan[[#This Row],[C. COMISIÓN TME]]=0,"MISMA TARIFA",IF(CambioPlan[[#This Row],[C. COMISIÓN TME]]&gt;0,"UPSELL")))</f>
        <v>UPSELL</v>
      </c>
      <c r="CE149">
        <f>VLOOKUP(CambioPlan[[#This Row],[TARIFA_BASICA_ANTERIOR]],[3]Hoja1!$F:$G,2,0)</f>
        <v>-1</v>
      </c>
      <c r="CF149">
        <f>VLOOKUP(CambioPlan[[#This Row],[TARIFA_BASICA_ACTUAL]],[3]Hoja1!$B:$C,2,0)</f>
        <v>0</v>
      </c>
      <c r="CG149">
        <f t="shared" si="1"/>
        <v>1</v>
      </c>
      <c r="CH149" t="e">
        <f>VLOOKUP(CambioPlan[[#This Row],[TELEFONO]],[1]Retenciones!$R$63:$R$287,1,0)</f>
        <v>#N/A</v>
      </c>
    </row>
    <row r="150" spans="1:86" x14ac:dyDescent="0.25">
      <c r="A150" s="43">
        <v>202212</v>
      </c>
      <c r="B150" s="44">
        <v>44914</v>
      </c>
      <c r="C150" s="43" t="s">
        <v>7572</v>
      </c>
      <c r="D150" s="43" t="s">
        <v>7573</v>
      </c>
      <c r="E150" s="43" t="s">
        <v>95</v>
      </c>
      <c r="F150" s="43" t="s">
        <v>768</v>
      </c>
      <c r="G150" s="43" t="s">
        <v>768</v>
      </c>
      <c r="H150" s="43" t="s">
        <v>67</v>
      </c>
      <c r="I150" s="43" t="s">
        <v>7574</v>
      </c>
      <c r="J150" s="43" t="s">
        <v>7037</v>
      </c>
      <c r="K150" s="43" t="s">
        <v>215</v>
      </c>
      <c r="L150" s="43" t="s">
        <v>4963</v>
      </c>
      <c r="M150" s="43" t="s">
        <v>4964</v>
      </c>
      <c r="N150" s="43" t="s">
        <v>79</v>
      </c>
      <c r="O150" s="45">
        <v>32.130000000000003</v>
      </c>
      <c r="P150" s="43" t="s">
        <v>95</v>
      </c>
      <c r="Q150" s="43" t="s">
        <v>95</v>
      </c>
      <c r="R150" s="43" t="s">
        <v>95</v>
      </c>
      <c r="S150" s="45">
        <v>0</v>
      </c>
      <c r="T150" s="43" t="s">
        <v>95</v>
      </c>
      <c r="U150" s="44" t="s">
        <v>95</v>
      </c>
      <c r="V150" s="44" t="s">
        <v>95</v>
      </c>
      <c r="W150" s="43" t="s">
        <v>95</v>
      </c>
      <c r="X150" s="45">
        <v>32.130000000000003</v>
      </c>
      <c r="Y150" s="43" t="s">
        <v>81</v>
      </c>
      <c r="Z150" s="43" t="s">
        <v>7575</v>
      </c>
      <c r="AA150" s="43" t="s">
        <v>7576</v>
      </c>
      <c r="AB150" s="43" t="s">
        <v>79</v>
      </c>
      <c r="AC150" s="45">
        <v>30.02</v>
      </c>
      <c r="AD150" s="43" t="s">
        <v>95</v>
      </c>
      <c r="AE150" s="43" t="s">
        <v>95</v>
      </c>
      <c r="AF150" s="43" t="s">
        <v>95</v>
      </c>
      <c r="AG150" s="43" t="s">
        <v>95</v>
      </c>
      <c r="AH150" s="45">
        <v>0</v>
      </c>
      <c r="AI150" s="43" t="s">
        <v>95</v>
      </c>
      <c r="AJ150" s="43" t="s">
        <v>95</v>
      </c>
      <c r="AK150" s="43" t="s">
        <v>95</v>
      </c>
      <c r="AL150" s="43" t="s">
        <v>95</v>
      </c>
      <c r="AM150" s="45">
        <v>30.02</v>
      </c>
      <c r="AN150" s="43" t="s">
        <v>81</v>
      </c>
      <c r="AO150" s="44">
        <v>44905</v>
      </c>
      <c r="AP150" s="43" t="s">
        <v>251</v>
      </c>
      <c r="AQ150" s="43" t="s">
        <v>252</v>
      </c>
      <c r="AR150" s="43" t="s">
        <v>251</v>
      </c>
      <c r="AS150" s="43" t="s">
        <v>252</v>
      </c>
      <c r="AT150" s="43" t="s">
        <v>85</v>
      </c>
      <c r="AU150" s="43" t="s">
        <v>7030</v>
      </c>
      <c r="AV150" s="43" t="s">
        <v>7031</v>
      </c>
      <c r="AW150" s="43" t="s">
        <v>7031</v>
      </c>
      <c r="AX150" s="43" t="s">
        <v>90</v>
      </c>
      <c r="AY150" s="43" t="s">
        <v>132</v>
      </c>
      <c r="AZ150" s="43" t="s">
        <v>7037</v>
      </c>
      <c r="BA150" s="43" t="s">
        <v>139</v>
      </c>
      <c r="BB150" s="45">
        <v>2.11</v>
      </c>
      <c r="BC150" s="45">
        <v>2.11</v>
      </c>
      <c r="BD150" s="43" t="s">
        <v>7032</v>
      </c>
      <c r="BE150" s="43" t="s">
        <v>81</v>
      </c>
      <c r="BF150" s="43" t="s">
        <v>81</v>
      </c>
      <c r="BG150" s="43" t="s">
        <v>86</v>
      </c>
      <c r="BH150" s="43" t="s">
        <v>177</v>
      </c>
      <c r="BI150" s="43" t="s">
        <v>7038</v>
      </c>
      <c r="BJ150" s="43" t="s">
        <v>7030</v>
      </c>
      <c r="BK150" s="43" t="s">
        <v>139</v>
      </c>
      <c r="BL150" s="43" t="s">
        <v>85</v>
      </c>
      <c r="BM150" s="43" t="s">
        <v>85</v>
      </c>
      <c r="BN150" s="43" t="s">
        <v>139</v>
      </c>
      <c r="BO150" s="46">
        <v>2.11</v>
      </c>
      <c r="BP150" s="43" t="s">
        <v>7032</v>
      </c>
      <c r="BQ150" s="43">
        <v>2.11</v>
      </c>
      <c r="BR150" s="43" t="s">
        <v>7032</v>
      </c>
      <c r="BS150" s="47">
        <v>2.11</v>
      </c>
      <c r="BT150" s="43" t="s">
        <v>7032</v>
      </c>
      <c r="BU150" s="43" t="s">
        <v>7032</v>
      </c>
      <c r="BV150" s="43" t="str">
        <f>CambioPlan[[#This Row],[TELEFONO]]&amp;"UPSELLSI"</f>
        <v>995048537UPSELLSI</v>
      </c>
      <c r="BW150" s="43">
        <f>DAY(CambioPlan[[#This Row],[FECHA_CAMBIO_PLAN]])</f>
        <v>10</v>
      </c>
      <c r="BX150" s="43" t="str">
        <f>VLOOKUP(CambioPlan[[#This Row],[NOM_PLAZA]],[1]!Locales[#Data],3,0)</f>
        <v>TIENDA RECREO</v>
      </c>
      <c r="BY150" s="43" t="str">
        <f>VLOOKUP(CambioPlan[[#This Row],[DOMAIN_LOGIN_OW]],[1]!Personal[#Data],6,0)</f>
        <v>CRUZ MONTUFAR KATHERINE ALEJANDRA</v>
      </c>
      <c r="BZ150" s="43"/>
      <c r="CA150" s="43" t="str">
        <f>IFERROR(IF(FIND("ADULTO",CambioPlan[[#This Row],[DESCRIPCION_PLAN_ACTUAL]],1),"NO SE PAGA",),"SI SE PAGA")</f>
        <v>SI SE PAGA</v>
      </c>
      <c r="CB150" s="45">
        <f>CambioPlan[[#This Row],[TARIFA_BASICA_ACTUAL]]-CambioPlan[[#This Row],[TARIFA_BASICA_ANTERIOR]]</f>
        <v>2.110000000000003</v>
      </c>
      <c r="CC150" s="56">
        <f>CambioPlan[[#This Row],[DIF. TARIFAS]]*4</f>
        <v>8.4400000000000119</v>
      </c>
      <c r="CD150" s="53" t="str">
        <f>IF(CambioPlan[[#This Row],[C. COMISIÓN TME]]&lt;0,"DOWNSELL",IF(CambioPlan[[#This Row],[C. COMISIÓN TME]]=0,"MISMA TARIFA",IF(CambioPlan[[#This Row],[C. COMISIÓN TME]]&gt;0,"UPSELL")))</f>
        <v>UPSELL</v>
      </c>
      <c r="CE150">
        <f>VLOOKUP(CambioPlan[[#This Row],[TARIFA_BASICA_ANTERIOR]],[3]Hoja1!$F:$G,2,0)</f>
        <v>5</v>
      </c>
      <c r="CF150">
        <f>VLOOKUP(CambioPlan[[#This Row],[TARIFA_BASICA_ACTUAL]],[3]Hoja1!$B:$C,2,0)</f>
        <v>5</v>
      </c>
      <c r="CG150">
        <f t="shared" si="1"/>
        <v>0</v>
      </c>
      <c r="CH150" t="e">
        <f>VLOOKUP(CambioPlan[[#This Row],[TELEFONO]],[1]Retenciones!$R$63:$R$287,1,0)</f>
        <v>#N/A</v>
      </c>
    </row>
    <row r="151" spans="1:86" x14ac:dyDescent="0.25">
      <c r="A151" s="43">
        <v>202212</v>
      </c>
      <c r="B151" s="44">
        <v>44914</v>
      </c>
      <c r="C151" s="43" t="s">
        <v>7577</v>
      </c>
      <c r="D151" s="43" t="s">
        <v>7578</v>
      </c>
      <c r="E151" s="43" t="s">
        <v>95</v>
      </c>
      <c r="F151" s="43" t="s">
        <v>77</v>
      </c>
      <c r="G151" s="43" t="s">
        <v>1532</v>
      </c>
      <c r="H151" s="43" t="s">
        <v>67</v>
      </c>
      <c r="I151" s="43" t="s">
        <v>7579</v>
      </c>
      <c r="J151" s="43" t="s">
        <v>7037</v>
      </c>
      <c r="K151" s="43" t="s">
        <v>84</v>
      </c>
      <c r="L151" s="43" t="s">
        <v>359</v>
      </c>
      <c r="M151" s="43" t="s">
        <v>360</v>
      </c>
      <c r="N151" s="43" t="s">
        <v>79</v>
      </c>
      <c r="O151" s="45">
        <v>14.28</v>
      </c>
      <c r="P151" s="43" t="s">
        <v>95</v>
      </c>
      <c r="Q151" s="43" t="s">
        <v>95</v>
      </c>
      <c r="R151" s="43" t="s">
        <v>95</v>
      </c>
      <c r="S151" s="45">
        <v>0</v>
      </c>
      <c r="T151" s="43" t="s">
        <v>95</v>
      </c>
      <c r="U151" s="44" t="s">
        <v>95</v>
      </c>
      <c r="V151" s="44" t="s">
        <v>95</v>
      </c>
      <c r="W151" s="43" t="s">
        <v>95</v>
      </c>
      <c r="X151" s="45">
        <v>14.28</v>
      </c>
      <c r="Y151" s="43" t="s">
        <v>81</v>
      </c>
      <c r="Z151" s="43" t="s">
        <v>183</v>
      </c>
      <c r="AA151" s="43" t="s">
        <v>184</v>
      </c>
      <c r="AB151" s="43" t="s">
        <v>79</v>
      </c>
      <c r="AC151" s="45">
        <v>11.42</v>
      </c>
      <c r="AD151" s="43" t="s">
        <v>95</v>
      </c>
      <c r="AE151" s="43" t="s">
        <v>95</v>
      </c>
      <c r="AF151" s="43" t="s">
        <v>95</v>
      </c>
      <c r="AG151" s="43" t="s">
        <v>95</v>
      </c>
      <c r="AH151" s="45">
        <v>0</v>
      </c>
      <c r="AI151" s="43" t="s">
        <v>95</v>
      </c>
      <c r="AJ151" s="43" t="s">
        <v>95</v>
      </c>
      <c r="AK151" s="43" t="s">
        <v>95</v>
      </c>
      <c r="AL151" s="43" t="s">
        <v>95</v>
      </c>
      <c r="AM151" s="45">
        <v>11.42</v>
      </c>
      <c r="AN151" s="43" t="s">
        <v>81</v>
      </c>
      <c r="AO151" s="44">
        <v>44904</v>
      </c>
      <c r="AP151" s="43" t="s">
        <v>665</v>
      </c>
      <c r="AQ151" s="43" t="s">
        <v>666</v>
      </c>
      <c r="AR151" s="43" t="s">
        <v>665</v>
      </c>
      <c r="AS151" s="43" t="s">
        <v>666</v>
      </c>
      <c r="AT151" s="43" t="s">
        <v>85</v>
      </c>
      <c r="AU151" s="43" t="s">
        <v>7030</v>
      </c>
      <c r="AV151" s="43" t="s">
        <v>7031</v>
      </c>
      <c r="AW151" s="43" t="s">
        <v>7031</v>
      </c>
      <c r="AX151" s="43" t="s">
        <v>90</v>
      </c>
      <c r="AY151" s="43" t="s">
        <v>132</v>
      </c>
      <c r="AZ151" s="43" t="s">
        <v>7037</v>
      </c>
      <c r="BA151" s="43" t="s">
        <v>139</v>
      </c>
      <c r="BB151" s="45">
        <v>2.86</v>
      </c>
      <c r="BC151" s="45">
        <v>2.86</v>
      </c>
      <c r="BD151" s="43" t="s">
        <v>7032</v>
      </c>
      <c r="BE151" s="43" t="s">
        <v>81</v>
      </c>
      <c r="BF151" s="43" t="s">
        <v>81</v>
      </c>
      <c r="BG151" s="43" t="s">
        <v>86</v>
      </c>
      <c r="BH151" s="43" t="s">
        <v>138</v>
      </c>
      <c r="BI151" s="43" t="s">
        <v>7076</v>
      </c>
      <c r="BJ151" s="43" t="s">
        <v>7030</v>
      </c>
      <c r="BK151" s="43" t="s">
        <v>139</v>
      </c>
      <c r="BL151" s="43" t="s">
        <v>85</v>
      </c>
      <c r="BM151" s="43" t="s">
        <v>85</v>
      </c>
      <c r="BN151" s="43" t="s">
        <v>139</v>
      </c>
      <c r="BO151" s="46">
        <v>2.86</v>
      </c>
      <c r="BP151" s="43" t="s">
        <v>7032</v>
      </c>
      <c r="BQ151" s="43">
        <v>2.86</v>
      </c>
      <c r="BR151" s="43" t="s">
        <v>7032</v>
      </c>
      <c r="BS151" s="47">
        <v>2.86</v>
      </c>
      <c r="BT151" s="43" t="s">
        <v>7032</v>
      </c>
      <c r="BU151" s="43" t="s">
        <v>7032</v>
      </c>
      <c r="BV151" s="43" t="str">
        <f>CambioPlan[[#This Row],[TELEFONO]]&amp;"UPSELLSI"</f>
        <v>995079178UPSELLSI</v>
      </c>
      <c r="BW151" s="43">
        <f>DAY(CambioPlan[[#This Row],[FECHA_CAMBIO_PLAN]])</f>
        <v>9</v>
      </c>
      <c r="BX151" s="43" t="str">
        <f>VLOOKUP(CambioPlan[[#This Row],[NOM_PLAZA]],[1]!Locales[#Data],3,0)</f>
        <v>TIENDA AMERICA</v>
      </c>
      <c r="BY151" s="43" t="str">
        <f>VLOOKUP(CambioPlan[[#This Row],[DOMAIN_LOGIN_OW]],[1]!Personal[#Data],6,0)</f>
        <v>ROSERO CAICEDO JAIRO STEFANO</v>
      </c>
      <c r="BZ151" s="43"/>
      <c r="CA151" s="43" t="str">
        <f>IFERROR(IF(FIND("ADULTO",CambioPlan[[#This Row],[DESCRIPCION_PLAN_ACTUAL]],1),"NO SE PAGA",),"SI SE PAGA")</f>
        <v>SI SE PAGA</v>
      </c>
      <c r="CB151" s="45">
        <f>CambioPlan[[#This Row],[TARIFA_BASICA_ACTUAL]]-CambioPlan[[#This Row],[TARIFA_BASICA_ANTERIOR]]</f>
        <v>2.8599999999999994</v>
      </c>
      <c r="CC151" s="56">
        <f>CambioPlan[[#This Row],[DIF. TARIFAS]]*4</f>
        <v>11.439999999999998</v>
      </c>
      <c r="CD151" s="53" t="str">
        <f>IF(CambioPlan[[#This Row],[C. COMISIÓN TME]]&lt;0,"DOWNSELL",IF(CambioPlan[[#This Row],[C. COMISIÓN TME]]=0,"MISMA TARIFA",IF(CambioPlan[[#This Row],[C. COMISIÓN TME]]&gt;0,"UPSELL")))</f>
        <v>UPSELL</v>
      </c>
      <c r="CE151">
        <f>VLOOKUP(CambioPlan[[#This Row],[TARIFA_BASICA_ANTERIOR]],[3]Hoja1!$F:$G,2,0)</f>
        <v>0</v>
      </c>
      <c r="CF151">
        <f>VLOOKUP(CambioPlan[[#This Row],[TARIFA_BASICA_ACTUAL]],[3]Hoja1!$B:$C,2,0)</f>
        <v>1</v>
      </c>
      <c r="CG151">
        <f t="shared" si="1"/>
        <v>1</v>
      </c>
      <c r="CH151" t="e">
        <f>VLOOKUP(CambioPlan[[#This Row],[TELEFONO]],[1]Retenciones!$R$63:$R$287,1,0)</f>
        <v>#N/A</v>
      </c>
    </row>
    <row r="152" spans="1:86" x14ac:dyDescent="0.25">
      <c r="A152" s="43">
        <v>202212</v>
      </c>
      <c r="B152" s="44">
        <v>44914</v>
      </c>
      <c r="C152" s="43" t="s">
        <v>7580</v>
      </c>
      <c r="D152" s="43" t="s">
        <v>7581</v>
      </c>
      <c r="E152" s="43" t="s">
        <v>95</v>
      </c>
      <c r="F152" s="43" t="s">
        <v>77</v>
      </c>
      <c r="G152" s="43" t="s">
        <v>2241</v>
      </c>
      <c r="H152" s="43" t="s">
        <v>67</v>
      </c>
      <c r="I152" s="43" t="s">
        <v>7582</v>
      </c>
      <c r="J152" s="43" t="s">
        <v>7029</v>
      </c>
      <c r="K152" s="43" t="s">
        <v>118</v>
      </c>
      <c r="L152" s="43" t="s">
        <v>227</v>
      </c>
      <c r="M152" s="43" t="s">
        <v>426</v>
      </c>
      <c r="N152" s="43" t="s">
        <v>79</v>
      </c>
      <c r="O152" s="45">
        <v>21.42</v>
      </c>
      <c r="P152" s="43" t="s">
        <v>95</v>
      </c>
      <c r="Q152" s="43" t="s">
        <v>95</v>
      </c>
      <c r="R152" s="43" t="s">
        <v>95</v>
      </c>
      <c r="S152" s="45">
        <v>0</v>
      </c>
      <c r="T152" s="43" t="s">
        <v>95</v>
      </c>
      <c r="U152" s="44" t="s">
        <v>95</v>
      </c>
      <c r="V152" s="44" t="s">
        <v>95</v>
      </c>
      <c r="W152" s="43" t="s">
        <v>95</v>
      </c>
      <c r="X152" s="45">
        <v>21.42</v>
      </c>
      <c r="Y152" s="43" t="s">
        <v>81</v>
      </c>
      <c r="Z152" s="43" t="s">
        <v>71</v>
      </c>
      <c r="AA152" s="43" t="s">
        <v>258</v>
      </c>
      <c r="AB152" s="43" t="s">
        <v>79</v>
      </c>
      <c r="AC152" s="45">
        <v>11.42</v>
      </c>
      <c r="AD152" s="43" t="s">
        <v>95</v>
      </c>
      <c r="AE152" s="43" t="s">
        <v>95</v>
      </c>
      <c r="AF152" s="43" t="s">
        <v>95</v>
      </c>
      <c r="AG152" s="43" t="s">
        <v>95</v>
      </c>
      <c r="AH152" s="45">
        <v>0</v>
      </c>
      <c r="AI152" s="43" t="s">
        <v>95</v>
      </c>
      <c r="AJ152" s="43" t="s">
        <v>95</v>
      </c>
      <c r="AK152" s="43" t="s">
        <v>95</v>
      </c>
      <c r="AL152" s="43" t="s">
        <v>95</v>
      </c>
      <c r="AM152" s="45">
        <v>11.42</v>
      </c>
      <c r="AN152" s="43" t="s">
        <v>81</v>
      </c>
      <c r="AO152" s="44">
        <v>44902</v>
      </c>
      <c r="AP152" s="43" t="s">
        <v>242</v>
      </c>
      <c r="AQ152" s="43" t="s">
        <v>243</v>
      </c>
      <c r="AR152" s="43" t="s">
        <v>242</v>
      </c>
      <c r="AS152" s="43" t="s">
        <v>243</v>
      </c>
      <c r="AT152" s="43" t="s">
        <v>85</v>
      </c>
      <c r="AU152" s="43" t="s">
        <v>7030</v>
      </c>
      <c r="AV152" s="43" t="s">
        <v>7031</v>
      </c>
      <c r="AW152" s="43" t="s">
        <v>7031</v>
      </c>
      <c r="AX152" s="43" t="s">
        <v>90</v>
      </c>
      <c r="AY152" s="43" t="s">
        <v>73</v>
      </c>
      <c r="AZ152" s="43" t="s">
        <v>7029</v>
      </c>
      <c r="BA152" s="43" t="s">
        <v>92</v>
      </c>
      <c r="BB152" s="45">
        <v>10</v>
      </c>
      <c r="BC152" s="45">
        <v>10</v>
      </c>
      <c r="BD152" s="43" t="s">
        <v>7032</v>
      </c>
      <c r="BE152" s="43" t="s">
        <v>81</v>
      </c>
      <c r="BF152" s="43" t="s">
        <v>81</v>
      </c>
      <c r="BG152" s="43" t="s">
        <v>86</v>
      </c>
      <c r="BH152" s="43" t="s">
        <v>91</v>
      </c>
      <c r="BI152" s="43" t="s">
        <v>7086</v>
      </c>
      <c r="BJ152" s="43" t="s">
        <v>7030</v>
      </c>
      <c r="BK152" s="43" t="s">
        <v>92</v>
      </c>
      <c r="BL152" s="43" t="s">
        <v>85</v>
      </c>
      <c r="BM152" s="43" t="s">
        <v>85</v>
      </c>
      <c r="BN152" s="43" t="s">
        <v>92</v>
      </c>
      <c r="BO152" s="46">
        <v>10</v>
      </c>
      <c r="BP152" s="43" t="s">
        <v>7032</v>
      </c>
      <c r="BQ152" s="43">
        <v>10</v>
      </c>
      <c r="BR152" s="43" t="s">
        <v>7032</v>
      </c>
      <c r="BS152" s="47">
        <v>10</v>
      </c>
      <c r="BT152" s="43" t="s">
        <v>7032</v>
      </c>
      <c r="BU152" s="43" t="s">
        <v>7032</v>
      </c>
      <c r="BV152" s="43" t="str">
        <f>CambioPlan[[#This Row],[TELEFONO]]&amp;"UPSELLSI"</f>
        <v>995083537UPSELLSI</v>
      </c>
      <c r="BW152" s="43">
        <f>DAY(CambioPlan[[#This Row],[FECHA_CAMBIO_PLAN]])</f>
        <v>7</v>
      </c>
      <c r="BX152" s="43" t="str">
        <f>VLOOKUP(CambioPlan[[#This Row],[NOM_PLAZA]],[1]!Locales[#Data],3,0)</f>
        <v>TIENDA CUENCA CENTRO</v>
      </c>
      <c r="BY152" s="43" t="str">
        <f>VLOOKUP(CambioPlan[[#This Row],[DOMAIN_LOGIN_OW]],[1]!Personal[#Data],6,0)</f>
        <v>VALLEJO DELEG ROMAN NICOLAS</v>
      </c>
      <c r="BZ152" s="43"/>
      <c r="CA152" s="43" t="str">
        <f>IFERROR(IF(FIND("ADULTO",CambioPlan[[#This Row],[DESCRIPCION_PLAN_ACTUAL]],1),"NO SE PAGA",),"SI SE PAGA")</f>
        <v>SI SE PAGA</v>
      </c>
      <c r="CB152" s="45">
        <f>CambioPlan[[#This Row],[TARIFA_BASICA_ACTUAL]]-CambioPlan[[#This Row],[TARIFA_BASICA_ANTERIOR]]</f>
        <v>10.000000000000002</v>
      </c>
      <c r="CC152" s="56">
        <f>CambioPlan[[#This Row],[DIF. TARIFAS]]*4</f>
        <v>40.000000000000007</v>
      </c>
      <c r="CD152" s="53" t="str">
        <f>IF(CambioPlan[[#This Row],[C. COMISIÓN TME]]&lt;0,"DOWNSELL",IF(CambioPlan[[#This Row],[C. COMISIÓN TME]]=0,"MISMA TARIFA",IF(CambioPlan[[#This Row],[C. COMISIÓN TME]]&gt;0,"UPSELL")))</f>
        <v>UPSELL</v>
      </c>
      <c r="CE152">
        <f>VLOOKUP(CambioPlan[[#This Row],[TARIFA_BASICA_ANTERIOR]],[3]Hoja1!$F:$G,2,0)</f>
        <v>0</v>
      </c>
      <c r="CF152">
        <f>VLOOKUP(CambioPlan[[#This Row],[TARIFA_BASICA_ACTUAL]],[3]Hoja1!$B:$C,2,0)</f>
        <v>3</v>
      </c>
      <c r="CG152">
        <f t="shared" ref="CG152:CG215" si="2">CF152-CE152</f>
        <v>3</v>
      </c>
      <c r="CH152" t="e">
        <f>VLOOKUP(CambioPlan[[#This Row],[TELEFONO]],[1]Retenciones!$R$63:$R$287,1,0)</f>
        <v>#N/A</v>
      </c>
    </row>
    <row r="153" spans="1:86" x14ac:dyDescent="0.25">
      <c r="A153" s="43">
        <v>202212</v>
      </c>
      <c r="B153" s="44">
        <v>44914</v>
      </c>
      <c r="C153" s="43" t="s">
        <v>7583</v>
      </c>
      <c r="D153" s="43" t="s">
        <v>7584</v>
      </c>
      <c r="E153" s="43" t="s">
        <v>95</v>
      </c>
      <c r="F153" s="43" t="s">
        <v>77</v>
      </c>
      <c r="G153" s="43" t="s">
        <v>1532</v>
      </c>
      <c r="H153" s="43" t="s">
        <v>246</v>
      </c>
      <c r="I153" s="43" t="s">
        <v>7585</v>
      </c>
      <c r="J153" s="43" t="s">
        <v>7037</v>
      </c>
      <c r="K153" s="43" t="s">
        <v>84</v>
      </c>
      <c r="L153" s="43" t="s">
        <v>7067</v>
      </c>
      <c r="M153" s="43" t="s">
        <v>7068</v>
      </c>
      <c r="N153" s="43" t="s">
        <v>79</v>
      </c>
      <c r="O153" s="45">
        <v>51.78</v>
      </c>
      <c r="P153" s="43" t="s">
        <v>95</v>
      </c>
      <c r="Q153" s="43" t="s">
        <v>95</v>
      </c>
      <c r="R153" s="43" t="s">
        <v>95</v>
      </c>
      <c r="S153" s="45">
        <v>0</v>
      </c>
      <c r="T153" s="43" t="s">
        <v>95</v>
      </c>
      <c r="U153" s="44" t="s">
        <v>95</v>
      </c>
      <c r="V153" s="44" t="s">
        <v>95</v>
      </c>
      <c r="W153" s="43" t="s">
        <v>95</v>
      </c>
      <c r="X153" s="45">
        <v>51.78</v>
      </c>
      <c r="Y153" s="43" t="s">
        <v>81</v>
      </c>
      <c r="Z153" s="43" t="s">
        <v>7203</v>
      </c>
      <c r="AA153" s="43" t="s">
        <v>7204</v>
      </c>
      <c r="AB153" s="43" t="s">
        <v>79</v>
      </c>
      <c r="AC153" s="45">
        <v>15</v>
      </c>
      <c r="AD153" s="43" t="s">
        <v>95</v>
      </c>
      <c r="AE153" s="43" t="s">
        <v>95</v>
      </c>
      <c r="AF153" s="43" t="s">
        <v>95</v>
      </c>
      <c r="AG153" s="43" t="s">
        <v>95</v>
      </c>
      <c r="AH153" s="45">
        <v>0</v>
      </c>
      <c r="AI153" s="43" t="s">
        <v>95</v>
      </c>
      <c r="AJ153" s="43" t="s">
        <v>95</v>
      </c>
      <c r="AK153" s="43" t="s">
        <v>95</v>
      </c>
      <c r="AL153" s="43" t="s">
        <v>95</v>
      </c>
      <c r="AM153" s="45">
        <v>15</v>
      </c>
      <c r="AN153" s="43" t="s">
        <v>81</v>
      </c>
      <c r="AO153" s="44">
        <v>44907</v>
      </c>
      <c r="AP153" s="43" t="s">
        <v>377</v>
      </c>
      <c r="AQ153" s="43" t="s">
        <v>378</v>
      </c>
      <c r="AR153" s="43" t="s">
        <v>377</v>
      </c>
      <c r="AS153" s="43" t="s">
        <v>378</v>
      </c>
      <c r="AT153" s="43" t="s">
        <v>85</v>
      </c>
      <c r="AU153" s="43" t="s">
        <v>7030</v>
      </c>
      <c r="AV153" s="43" t="s">
        <v>7031</v>
      </c>
      <c r="AW153" s="43" t="s">
        <v>7031</v>
      </c>
      <c r="AX153" s="43" t="s">
        <v>90</v>
      </c>
      <c r="AY153" s="43" t="s">
        <v>132</v>
      </c>
      <c r="AZ153" s="43" t="s">
        <v>7037</v>
      </c>
      <c r="BA153" s="43" t="s">
        <v>139</v>
      </c>
      <c r="BB153" s="45">
        <v>36.78</v>
      </c>
      <c r="BC153" s="45">
        <v>36.78</v>
      </c>
      <c r="BD153" s="43" t="s">
        <v>7032</v>
      </c>
      <c r="BE153" s="43" t="s">
        <v>81</v>
      </c>
      <c r="BF153" s="43" t="s">
        <v>81</v>
      </c>
      <c r="BG153" s="43" t="s">
        <v>86</v>
      </c>
      <c r="BH153" s="43" t="s">
        <v>235</v>
      </c>
      <c r="BI153" s="43" t="s">
        <v>7076</v>
      </c>
      <c r="BJ153" s="43" t="s">
        <v>7030</v>
      </c>
      <c r="BK153" s="43" t="s">
        <v>139</v>
      </c>
      <c r="BL153" s="43" t="s">
        <v>85</v>
      </c>
      <c r="BM153" s="43" t="s">
        <v>85</v>
      </c>
      <c r="BN153" s="43" t="s">
        <v>139</v>
      </c>
      <c r="BO153" s="46">
        <v>36.78</v>
      </c>
      <c r="BP153" s="43" t="s">
        <v>7032</v>
      </c>
      <c r="BQ153" s="43">
        <v>36.78</v>
      </c>
      <c r="BR153" s="43" t="s">
        <v>7032</v>
      </c>
      <c r="BS153" s="47">
        <v>36.78</v>
      </c>
      <c r="BT153" s="43" t="s">
        <v>7032</v>
      </c>
      <c r="BU153" s="43" t="s">
        <v>7032</v>
      </c>
      <c r="BV153" s="43" t="str">
        <f>CambioPlan[[#This Row],[TELEFONO]]&amp;"UPSELLSI"</f>
        <v>995091377UPSELLSI</v>
      </c>
      <c r="BW153" s="43">
        <f>DAY(CambioPlan[[#This Row],[FECHA_CAMBIO_PLAN]])</f>
        <v>12</v>
      </c>
      <c r="BX153" s="43" t="str">
        <f>VLOOKUP(CambioPlan[[#This Row],[NOM_PLAZA]],[1]!Locales[#Data],3,0)</f>
        <v>TIENDA CONDADO</v>
      </c>
      <c r="BY153" s="43" t="str">
        <f>VLOOKUP(CambioPlan[[#This Row],[DOMAIN_LOGIN_OW]],[1]!Personal[#Data],6,0)</f>
        <v>MELCHIADE ISAAC VALMORE</v>
      </c>
      <c r="BZ153" s="43"/>
      <c r="CA153" s="43" t="str">
        <f>IFERROR(IF(FIND("ADULTO",CambioPlan[[#This Row],[DESCRIPCION_PLAN_ACTUAL]],1),"NO SE PAGA",),"SI SE PAGA")</f>
        <v>SI SE PAGA</v>
      </c>
      <c r="CB153" s="45">
        <f>CambioPlan[[#This Row],[TARIFA_BASICA_ACTUAL]]-CambioPlan[[#This Row],[TARIFA_BASICA_ANTERIOR]]</f>
        <v>36.78</v>
      </c>
      <c r="CC153" s="56">
        <f>CambioPlan[[#This Row],[DIF. TARIFAS]]*4</f>
        <v>147.12</v>
      </c>
      <c r="CD153" s="53" t="str">
        <f>IF(CambioPlan[[#This Row],[C. COMISIÓN TME]]&lt;0,"DOWNSELL",IF(CambioPlan[[#This Row],[C. COMISIÓN TME]]=0,"MISMA TARIFA",IF(CambioPlan[[#This Row],[C. COMISIÓN TME]]&gt;0,"UPSELL")))</f>
        <v>UPSELL</v>
      </c>
      <c r="CE153">
        <f>VLOOKUP(CambioPlan[[#This Row],[TARIFA_BASICA_ANTERIOR]],[3]Hoja1!$F:$G,2,0)</f>
        <v>2</v>
      </c>
      <c r="CF153">
        <f>VLOOKUP(CambioPlan[[#This Row],[TARIFA_BASICA_ACTUAL]],[3]Hoja1!$B:$C,2,0)</f>
        <v>6</v>
      </c>
      <c r="CG153">
        <f t="shared" si="2"/>
        <v>4</v>
      </c>
      <c r="CH153" t="e">
        <f>VLOOKUP(CambioPlan[[#This Row],[TELEFONO]],[1]Retenciones!$R$63:$R$287,1,0)</f>
        <v>#N/A</v>
      </c>
    </row>
    <row r="154" spans="1:86" x14ac:dyDescent="0.25">
      <c r="A154" s="43">
        <v>202212</v>
      </c>
      <c r="B154" s="44">
        <v>44914</v>
      </c>
      <c r="C154" s="43" t="s">
        <v>7586</v>
      </c>
      <c r="D154" s="43" t="s">
        <v>7587</v>
      </c>
      <c r="E154" s="43" t="s">
        <v>95</v>
      </c>
      <c r="F154" s="43" t="s">
        <v>77</v>
      </c>
      <c r="G154" s="43" t="s">
        <v>2241</v>
      </c>
      <c r="H154" s="43" t="s">
        <v>67</v>
      </c>
      <c r="I154" s="43" t="s">
        <v>7588</v>
      </c>
      <c r="J154" s="43" t="s">
        <v>7029</v>
      </c>
      <c r="K154" s="43" t="s">
        <v>118</v>
      </c>
      <c r="L154" s="43" t="s">
        <v>130</v>
      </c>
      <c r="M154" s="43" t="s">
        <v>433</v>
      </c>
      <c r="N154" s="43" t="s">
        <v>79</v>
      </c>
      <c r="O154" s="45">
        <v>15</v>
      </c>
      <c r="P154" s="43" t="s">
        <v>95</v>
      </c>
      <c r="Q154" s="43" t="s">
        <v>95</v>
      </c>
      <c r="R154" s="43" t="s">
        <v>95</v>
      </c>
      <c r="S154" s="45">
        <v>7.5</v>
      </c>
      <c r="T154" s="43" t="s">
        <v>7104</v>
      </c>
      <c r="U154" s="44">
        <v>44909</v>
      </c>
      <c r="V154" s="44" t="s">
        <v>95</v>
      </c>
      <c r="W154" s="43" t="s">
        <v>7105</v>
      </c>
      <c r="X154" s="45">
        <v>7.5</v>
      </c>
      <c r="Y154" s="43" t="s">
        <v>81</v>
      </c>
      <c r="Z154" s="43" t="s">
        <v>7487</v>
      </c>
      <c r="AA154" s="43" t="s">
        <v>7504</v>
      </c>
      <c r="AB154" s="43" t="s">
        <v>79</v>
      </c>
      <c r="AC154" s="45">
        <v>16.989999999999998</v>
      </c>
      <c r="AD154" s="43" t="s">
        <v>95</v>
      </c>
      <c r="AE154" s="43" t="s">
        <v>95</v>
      </c>
      <c r="AF154" s="43" t="s">
        <v>95</v>
      </c>
      <c r="AG154" s="43" t="s">
        <v>95</v>
      </c>
      <c r="AH154" s="45">
        <v>0</v>
      </c>
      <c r="AI154" s="43" t="s">
        <v>95</v>
      </c>
      <c r="AJ154" s="43" t="s">
        <v>95</v>
      </c>
      <c r="AK154" s="43" t="s">
        <v>95</v>
      </c>
      <c r="AL154" s="43" t="s">
        <v>95</v>
      </c>
      <c r="AM154" s="45">
        <v>16.989999999999998</v>
      </c>
      <c r="AN154" s="43" t="s">
        <v>81</v>
      </c>
      <c r="AO154" s="44">
        <v>44908</v>
      </c>
      <c r="AP154" s="43" t="s">
        <v>1020</v>
      </c>
      <c r="AQ154" s="43" t="s">
        <v>1021</v>
      </c>
      <c r="AR154" s="43" t="s">
        <v>1020</v>
      </c>
      <c r="AS154" s="43" t="s">
        <v>1021</v>
      </c>
      <c r="AT154" s="43" t="s">
        <v>85</v>
      </c>
      <c r="AU154" s="43" t="s">
        <v>7030</v>
      </c>
      <c r="AV154" s="43" t="s">
        <v>7031</v>
      </c>
      <c r="AW154" s="43" t="s">
        <v>7031</v>
      </c>
      <c r="AX154" s="43" t="s">
        <v>90</v>
      </c>
      <c r="AY154" s="43" t="s">
        <v>73</v>
      </c>
      <c r="AZ154" s="43" t="s">
        <v>7029</v>
      </c>
      <c r="BA154" s="43" t="s">
        <v>92</v>
      </c>
      <c r="BB154" s="45">
        <v>-1.99</v>
      </c>
      <c r="BC154" s="45">
        <v>-9.49</v>
      </c>
      <c r="BD154" s="43" t="s">
        <v>7106</v>
      </c>
      <c r="BE154" s="43" t="s">
        <v>81</v>
      </c>
      <c r="BF154" s="43" t="s">
        <v>81</v>
      </c>
      <c r="BG154" s="43" t="s">
        <v>86</v>
      </c>
      <c r="BH154" s="43" t="s">
        <v>91</v>
      </c>
      <c r="BI154" s="43" t="s">
        <v>7086</v>
      </c>
      <c r="BJ154" s="43" t="s">
        <v>7030</v>
      </c>
      <c r="BK154" s="43" t="s">
        <v>92</v>
      </c>
      <c r="BL154" s="43" t="s">
        <v>85</v>
      </c>
      <c r="BM154" s="43" t="s">
        <v>85</v>
      </c>
      <c r="BN154" s="43" t="s">
        <v>92</v>
      </c>
      <c r="BO154" s="46">
        <v>-1.99</v>
      </c>
      <c r="BP154" s="43" t="s">
        <v>7106</v>
      </c>
      <c r="BQ154" s="43">
        <v>-1.99</v>
      </c>
      <c r="BR154" s="43" t="s">
        <v>7106</v>
      </c>
      <c r="BS154" s="47">
        <v>-9.49</v>
      </c>
      <c r="BT154" s="43" t="s">
        <v>7106</v>
      </c>
      <c r="BU154" s="43" t="s">
        <v>7106</v>
      </c>
      <c r="BV154" s="43" t="str">
        <f>CambioPlan[[#This Row],[TELEFONO]]&amp;"UPSELLSI"</f>
        <v>995100197UPSELLSI</v>
      </c>
      <c r="BW154" s="43">
        <f>DAY(CambioPlan[[#This Row],[FECHA_CAMBIO_PLAN]])</f>
        <v>13</v>
      </c>
      <c r="BX154" s="43" t="str">
        <f>VLOOKUP(CambioPlan[[#This Row],[NOM_PLAZA]],[1]!Locales[#Data],3,0)</f>
        <v>TIENDA CUENCA CENTRO</v>
      </c>
      <c r="BY154" s="43" t="str">
        <f>VLOOKUP(CambioPlan[[#This Row],[DOMAIN_LOGIN_OW]],[1]!Personal[#Data],6,0)</f>
        <v>GONZALES ALVARRACIN PAOLA YESSENIA</v>
      </c>
      <c r="BZ154" s="43"/>
      <c r="CA154" s="43" t="str">
        <f>IFERROR(IF(FIND("ADULTO",CambioPlan[[#This Row],[DESCRIPCION_PLAN_ACTUAL]],1),"NO SE PAGA",),"SI SE PAGA")</f>
        <v>NO SE PAGA</v>
      </c>
      <c r="CB154" s="45">
        <f>CambioPlan[[#This Row],[TARIFA_BASICA_ACTUAL]]-CambioPlan[[#This Row],[TARIFA_BASICA_ANTERIOR]]</f>
        <v>-1.9899999999999984</v>
      </c>
      <c r="CC154" s="56">
        <f>CambioPlan[[#This Row],[DIF. TARIFAS]]*4</f>
        <v>-7.9599999999999937</v>
      </c>
      <c r="CD154" s="53" t="str">
        <f>IF(CambioPlan[[#This Row],[C. COMISIÓN TME]]&lt;0,"DOWNSELL",IF(CambioPlan[[#This Row],[C. COMISIÓN TME]]=0,"MISMA TARIFA",IF(CambioPlan[[#This Row],[C. COMISIÓN TME]]&gt;0,"UPSELL")))</f>
        <v>DOWNSELL</v>
      </c>
      <c r="CE154">
        <f>VLOOKUP(CambioPlan[[#This Row],[TARIFA_BASICA_ANTERIOR]],[3]Hoja1!$F:$G,2,0)</f>
        <v>2</v>
      </c>
      <c r="CF154">
        <f>VLOOKUP(CambioPlan[[#This Row],[TARIFA_BASICA_ACTUAL]],[3]Hoja1!$B:$C,2,0)</f>
        <v>2</v>
      </c>
      <c r="CG154">
        <f t="shared" si="2"/>
        <v>0</v>
      </c>
      <c r="CH154" t="e">
        <f>VLOOKUP(CambioPlan[[#This Row],[TELEFONO]],[1]Retenciones!$R$63:$R$287,1,0)</f>
        <v>#N/A</v>
      </c>
    </row>
    <row r="155" spans="1:86" x14ac:dyDescent="0.25">
      <c r="A155" s="43">
        <v>202212</v>
      </c>
      <c r="B155" s="44">
        <v>44914</v>
      </c>
      <c r="C155" s="43" t="s">
        <v>7589</v>
      </c>
      <c r="D155" s="43" t="s">
        <v>7590</v>
      </c>
      <c r="E155" s="43" t="s">
        <v>95</v>
      </c>
      <c r="F155" s="43" t="s">
        <v>768</v>
      </c>
      <c r="G155" s="43" t="s">
        <v>768</v>
      </c>
      <c r="H155" s="43" t="s">
        <v>67</v>
      </c>
      <c r="I155" s="43" t="s">
        <v>7591</v>
      </c>
      <c r="J155" s="43" t="s">
        <v>7029</v>
      </c>
      <c r="K155" s="43" t="s">
        <v>84</v>
      </c>
      <c r="L155" s="43" t="s">
        <v>3972</v>
      </c>
      <c r="M155" s="43" t="s">
        <v>3973</v>
      </c>
      <c r="N155" s="43" t="s">
        <v>79</v>
      </c>
      <c r="O155" s="45">
        <v>26.78</v>
      </c>
      <c r="P155" s="43" t="s">
        <v>95</v>
      </c>
      <c r="Q155" s="43" t="s">
        <v>95</v>
      </c>
      <c r="R155" s="43" t="s">
        <v>95</v>
      </c>
      <c r="S155" s="45">
        <v>0</v>
      </c>
      <c r="T155" s="43" t="s">
        <v>95</v>
      </c>
      <c r="U155" s="44" t="s">
        <v>95</v>
      </c>
      <c r="V155" s="44" t="s">
        <v>95</v>
      </c>
      <c r="W155" s="43" t="s">
        <v>95</v>
      </c>
      <c r="X155" s="45">
        <v>26.78</v>
      </c>
      <c r="Y155" s="43" t="s">
        <v>81</v>
      </c>
      <c r="Z155" s="43" t="s">
        <v>7069</v>
      </c>
      <c r="AA155" s="43" t="s">
        <v>7070</v>
      </c>
      <c r="AB155" s="43" t="s">
        <v>79</v>
      </c>
      <c r="AC155" s="45">
        <v>21.42</v>
      </c>
      <c r="AD155" s="43" t="s">
        <v>95</v>
      </c>
      <c r="AE155" s="43" t="s">
        <v>95</v>
      </c>
      <c r="AF155" s="43" t="s">
        <v>95</v>
      </c>
      <c r="AG155" s="43" t="s">
        <v>95</v>
      </c>
      <c r="AH155" s="45">
        <v>0</v>
      </c>
      <c r="AI155" s="43" t="s">
        <v>95</v>
      </c>
      <c r="AJ155" s="43" t="s">
        <v>95</v>
      </c>
      <c r="AK155" s="43" t="s">
        <v>95</v>
      </c>
      <c r="AL155" s="43" t="s">
        <v>95</v>
      </c>
      <c r="AM155" s="45">
        <v>21.42</v>
      </c>
      <c r="AN155" s="43" t="s">
        <v>81</v>
      </c>
      <c r="AO155" s="44">
        <v>44900</v>
      </c>
      <c r="AP155" s="43" t="s">
        <v>149</v>
      </c>
      <c r="AQ155" s="43" t="s">
        <v>150</v>
      </c>
      <c r="AR155" s="43" t="s">
        <v>149</v>
      </c>
      <c r="AS155" s="43" t="s">
        <v>150</v>
      </c>
      <c r="AT155" s="43" t="s">
        <v>85</v>
      </c>
      <c r="AU155" s="43" t="s">
        <v>7030</v>
      </c>
      <c r="AV155" s="43" t="s">
        <v>7031</v>
      </c>
      <c r="AW155" s="43" t="s">
        <v>7031</v>
      </c>
      <c r="AX155" s="43" t="s">
        <v>90</v>
      </c>
      <c r="AY155" s="43" t="s">
        <v>73</v>
      </c>
      <c r="AZ155" s="43" t="s">
        <v>7029</v>
      </c>
      <c r="BA155" s="43" t="s">
        <v>92</v>
      </c>
      <c r="BB155" s="45">
        <v>5.36</v>
      </c>
      <c r="BC155" s="45">
        <v>5.36</v>
      </c>
      <c r="BD155" s="43" t="s">
        <v>7032</v>
      </c>
      <c r="BE155" s="43" t="s">
        <v>81</v>
      </c>
      <c r="BF155" s="43" t="s">
        <v>81</v>
      </c>
      <c r="BG155" s="43" t="s">
        <v>86</v>
      </c>
      <c r="BH155" s="43" t="s">
        <v>151</v>
      </c>
      <c r="BI155" s="43" t="s">
        <v>7033</v>
      </c>
      <c r="BJ155" s="43" t="s">
        <v>7030</v>
      </c>
      <c r="BK155" s="43" t="s">
        <v>92</v>
      </c>
      <c r="BL155" s="43" t="s">
        <v>85</v>
      </c>
      <c r="BM155" s="43" t="s">
        <v>85</v>
      </c>
      <c r="BN155" s="43" t="s">
        <v>92</v>
      </c>
      <c r="BO155" s="46">
        <v>5.36</v>
      </c>
      <c r="BP155" s="43" t="s">
        <v>7032</v>
      </c>
      <c r="BQ155" s="43">
        <v>5.36</v>
      </c>
      <c r="BR155" s="43" t="s">
        <v>7032</v>
      </c>
      <c r="BS155" s="47">
        <v>5.36</v>
      </c>
      <c r="BT155" s="43" t="s">
        <v>7032</v>
      </c>
      <c r="BU155" s="43" t="s">
        <v>7032</v>
      </c>
      <c r="BV155" s="43" t="str">
        <f>CambioPlan[[#This Row],[TELEFONO]]&amp;"UPSELLSI"</f>
        <v>995138965UPSELLSI</v>
      </c>
      <c r="BW155" s="43">
        <f>DAY(CambioPlan[[#This Row],[FECHA_CAMBIO_PLAN]])</f>
        <v>5</v>
      </c>
      <c r="BX155" s="43" t="str">
        <f>VLOOKUP(CambioPlan[[#This Row],[NOM_PLAZA]],[1]!Locales[#Data],3,0)</f>
        <v>TIENDA CUENCA REMIGIO</v>
      </c>
      <c r="BY155" s="43" t="str">
        <f>VLOOKUP(CambioPlan[[#This Row],[DOMAIN_LOGIN_OW]],[1]!Personal[#Data],6,0)</f>
        <v>OSORIO TEJADA ANA ESTEFANIA</v>
      </c>
      <c r="BZ155" s="43"/>
      <c r="CA155" s="43" t="str">
        <f>IFERROR(IF(FIND("ADULTO",CambioPlan[[#This Row],[DESCRIPCION_PLAN_ACTUAL]],1),"NO SE PAGA",),"SI SE PAGA")</f>
        <v>SI SE PAGA</v>
      </c>
      <c r="CB155" s="45">
        <f>CambioPlan[[#This Row],[TARIFA_BASICA_ACTUAL]]-CambioPlan[[#This Row],[TARIFA_BASICA_ANTERIOR]]</f>
        <v>5.3599999999999994</v>
      </c>
      <c r="CC155" s="56">
        <f>CambioPlan[[#This Row],[DIF. TARIFAS]]*4</f>
        <v>21.439999999999998</v>
      </c>
      <c r="CD155" s="53" t="str">
        <f>IF(CambioPlan[[#This Row],[C. COMISIÓN TME]]&lt;0,"DOWNSELL",IF(CambioPlan[[#This Row],[C. COMISIÓN TME]]=0,"MISMA TARIFA",IF(CambioPlan[[#This Row],[C. COMISIÓN TME]]&gt;0,"UPSELL")))</f>
        <v>UPSELL</v>
      </c>
      <c r="CE155">
        <f>VLOOKUP(CambioPlan[[#This Row],[TARIFA_BASICA_ANTERIOR]],[3]Hoja1!$F:$G,2,0)</f>
        <v>3</v>
      </c>
      <c r="CF155">
        <f>VLOOKUP(CambioPlan[[#This Row],[TARIFA_BASICA_ACTUAL]],[3]Hoja1!$B:$C,2,0)</f>
        <v>4</v>
      </c>
      <c r="CG155">
        <f t="shared" si="2"/>
        <v>1</v>
      </c>
      <c r="CH155" t="e">
        <f>VLOOKUP(CambioPlan[[#This Row],[TELEFONO]],[1]Retenciones!$R$63:$R$287,1,0)</f>
        <v>#N/A</v>
      </c>
    </row>
    <row r="156" spans="1:86" x14ac:dyDescent="0.25">
      <c r="A156" s="43">
        <v>202212</v>
      </c>
      <c r="B156" s="44">
        <v>44914</v>
      </c>
      <c r="C156" s="43" t="s">
        <v>7592</v>
      </c>
      <c r="D156" s="43" t="s">
        <v>7593</v>
      </c>
      <c r="E156" s="43" t="s">
        <v>95</v>
      </c>
      <c r="F156" s="43" t="s">
        <v>77</v>
      </c>
      <c r="G156" s="43" t="s">
        <v>2241</v>
      </c>
      <c r="H156" s="43" t="s">
        <v>67</v>
      </c>
      <c r="I156" s="43" t="s">
        <v>7594</v>
      </c>
      <c r="J156" s="43" t="s">
        <v>7029</v>
      </c>
      <c r="K156" s="43" t="s">
        <v>118</v>
      </c>
      <c r="L156" s="43" t="s">
        <v>4157</v>
      </c>
      <c r="M156" s="43" t="s">
        <v>7138</v>
      </c>
      <c r="N156" s="43" t="s">
        <v>79</v>
      </c>
      <c r="O156" s="45">
        <v>32.130000000000003</v>
      </c>
      <c r="P156" s="43" t="s">
        <v>95</v>
      </c>
      <c r="Q156" s="43" t="s">
        <v>95</v>
      </c>
      <c r="R156" s="43" t="s">
        <v>95</v>
      </c>
      <c r="S156" s="45">
        <v>0</v>
      </c>
      <c r="T156" s="43" t="s">
        <v>95</v>
      </c>
      <c r="U156" s="44" t="s">
        <v>95</v>
      </c>
      <c r="V156" s="44" t="s">
        <v>95</v>
      </c>
      <c r="W156" s="43" t="s">
        <v>95</v>
      </c>
      <c r="X156" s="45">
        <v>32.130000000000003</v>
      </c>
      <c r="Y156" s="43" t="s">
        <v>81</v>
      </c>
      <c r="Z156" s="43" t="s">
        <v>7595</v>
      </c>
      <c r="AA156" s="43" t="s">
        <v>7596</v>
      </c>
      <c r="AB156" s="43" t="s">
        <v>79</v>
      </c>
      <c r="AC156" s="45">
        <v>24.99</v>
      </c>
      <c r="AD156" s="43" t="s">
        <v>95</v>
      </c>
      <c r="AE156" s="43" t="s">
        <v>95</v>
      </c>
      <c r="AF156" s="43" t="s">
        <v>95</v>
      </c>
      <c r="AG156" s="43" t="s">
        <v>95</v>
      </c>
      <c r="AH156" s="45">
        <v>0</v>
      </c>
      <c r="AI156" s="43" t="s">
        <v>95</v>
      </c>
      <c r="AJ156" s="43" t="s">
        <v>95</v>
      </c>
      <c r="AK156" s="43" t="s">
        <v>95</v>
      </c>
      <c r="AL156" s="43" t="s">
        <v>95</v>
      </c>
      <c r="AM156" s="45">
        <v>24.99</v>
      </c>
      <c r="AN156" s="43" t="s">
        <v>81</v>
      </c>
      <c r="AO156" s="44">
        <v>44910</v>
      </c>
      <c r="AP156" s="43" t="s">
        <v>541</v>
      </c>
      <c r="AQ156" s="43" t="s">
        <v>542</v>
      </c>
      <c r="AR156" s="43" t="s">
        <v>541</v>
      </c>
      <c r="AS156" s="43" t="s">
        <v>542</v>
      </c>
      <c r="AT156" s="43" t="s">
        <v>85</v>
      </c>
      <c r="AU156" s="43" t="s">
        <v>7030</v>
      </c>
      <c r="AV156" s="43" t="s">
        <v>7031</v>
      </c>
      <c r="AW156" s="43" t="s">
        <v>7031</v>
      </c>
      <c r="AX156" s="43" t="s">
        <v>90</v>
      </c>
      <c r="AY156" s="43" t="s">
        <v>132</v>
      </c>
      <c r="AZ156" s="43" t="s">
        <v>7037</v>
      </c>
      <c r="BA156" s="43" t="s">
        <v>139</v>
      </c>
      <c r="BB156" s="45">
        <v>7.14</v>
      </c>
      <c r="BC156" s="45">
        <v>7.14</v>
      </c>
      <c r="BD156" s="43" t="s">
        <v>7032</v>
      </c>
      <c r="BE156" s="43" t="s">
        <v>81</v>
      </c>
      <c r="BF156" s="43" t="s">
        <v>81</v>
      </c>
      <c r="BG156" s="43" t="s">
        <v>86</v>
      </c>
      <c r="BH156" s="43" t="s">
        <v>138</v>
      </c>
      <c r="BI156" s="43" t="s">
        <v>7076</v>
      </c>
      <c r="BJ156" s="43" t="s">
        <v>7030</v>
      </c>
      <c r="BK156" s="43" t="s">
        <v>139</v>
      </c>
      <c r="BL156" s="43" t="s">
        <v>85</v>
      </c>
      <c r="BM156" s="43" t="s">
        <v>85</v>
      </c>
      <c r="BN156" s="43" t="s">
        <v>139</v>
      </c>
      <c r="BO156" s="46">
        <v>7.14</v>
      </c>
      <c r="BP156" s="43" t="s">
        <v>7032</v>
      </c>
      <c r="BQ156" s="43">
        <v>7.14</v>
      </c>
      <c r="BR156" s="43" t="s">
        <v>7032</v>
      </c>
      <c r="BS156" s="47">
        <v>7.14</v>
      </c>
      <c r="BT156" s="43" t="s">
        <v>7032</v>
      </c>
      <c r="BU156" s="43" t="s">
        <v>7032</v>
      </c>
      <c r="BV156" s="43" t="str">
        <f>CambioPlan[[#This Row],[TELEFONO]]&amp;"UPSELLSI"</f>
        <v>995146993UPSELLSI</v>
      </c>
      <c r="BW156" s="43">
        <f>DAY(CambioPlan[[#This Row],[FECHA_CAMBIO_PLAN]])</f>
        <v>15</v>
      </c>
      <c r="BX156" s="43" t="str">
        <f>VLOOKUP(CambioPlan[[#This Row],[NOM_PLAZA]],[1]!Locales[#Data],3,0)</f>
        <v>TIENDA AMERICA</v>
      </c>
      <c r="BY156" s="43" t="str">
        <f>VLOOKUP(CambioPlan[[#This Row],[DOMAIN_LOGIN_OW]],[1]!Personal[#Data],6,0)</f>
        <v>CEVALLOS PONCE DIANA CAROLINA</v>
      </c>
      <c r="BZ156" s="43"/>
      <c r="CA156" s="43" t="str">
        <f>IFERROR(IF(FIND("ADULTO",CambioPlan[[#This Row],[DESCRIPCION_PLAN_ACTUAL]],1),"NO SE PAGA",),"SI SE PAGA")</f>
        <v>SI SE PAGA</v>
      </c>
      <c r="CB156" s="45">
        <f>CambioPlan[[#This Row],[TARIFA_BASICA_ACTUAL]]-CambioPlan[[#This Row],[TARIFA_BASICA_ANTERIOR]]</f>
        <v>7.1400000000000041</v>
      </c>
      <c r="CC156" s="56">
        <f>CambioPlan[[#This Row],[DIF. TARIFAS]]*4</f>
        <v>28.560000000000016</v>
      </c>
      <c r="CD156" s="53" t="str">
        <f>IF(CambioPlan[[#This Row],[C. COMISIÓN TME]]&lt;0,"DOWNSELL",IF(CambioPlan[[#This Row],[C. COMISIÓN TME]]=0,"MISMA TARIFA",IF(CambioPlan[[#This Row],[C. COMISIÓN TME]]&gt;0,"UPSELL")))</f>
        <v>UPSELL</v>
      </c>
      <c r="CE156">
        <f>VLOOKUP(CambioPlan[[#This Row],[TARIFA_BASICA_ANTERIOR]],[3]Hoja1!$F:$G,2,0)</f>
        <v>4</v>
      </c>
      <c r="CF156">
        <f>VLOOKUP(CambioPlan[[#This Row],[TARIFA_BASICA_ACTUAL]],[3]Hoja1!$B:$C,2,0)</f>
        <v>5</v>
      </c>
      <c r="CG156">
        <f t="shared" si="2"/>
        <v>1</v>
      </c>
      <c r="CH156" t="e">
        <f>VLOOKUP(CambioPlan[[#This Row],[TELEFONO]],[1]Retenciones!$R$63:$R$287,1,0)</f>
        <v>#N/A</v>
      </c>
    </row>
    <row r="157" spans="1:86" x14ac:dyDescent="0.25">
      <c r="A157" s="43">
        <v>202212</v>
      </c>
      <c r="B157" s="44">
        <v>44914</v>
      </c>
      <c r="C157" s="43" t="s">
        <v>7597</v>
      </c>
      <c r="D157" s="43" t="s">
        <v>7598</v>
      </c>
      <c r="E157" s="43" t="s">
        <v>95</v>
      </c>
      <c r="F157" s="43" t="s">
        <v>77</v>
      </c>
      <c r="G157" s="43" t="s">
        <v>2241</v>
      </c>
      <c r="H157" s="43" t="s">
        <v>67</v>
      </c>
      <c r="I157" s="43" t="s">
        <v>7599</v>
      </c>
      <c r="J157" s="43" t="s">
        <v>7037</v>
      </c>
      <c r="K157" s="43" t="s">
        <v>118</v>
      </c>
      <c r="L157" s="43" t="s">
        <v>160</v>
      </c>
      <c r="M157" s="43" t="s">
        <v>161</v>
      </c>
      <c r="N157" s="43" t="s">
        <v>79</v>
      </c>
      <c r="O157" s="45">
        <v>14.28</v>
      </c>
      <c r="P157" s="43" t="s">
        <v>95</v>
      </c>
      <c r="Q157" s="43" t="s">
        <v>95</v>
      </c>
      <c r="R157" s="43" t="s">
        <v>95</v>
      </c>
      <c r="S157" s="45">
        <v>0</v>
      </c>
      <c r="T157" s="43" t="s">
        <v>95</v>
      </c>
      <c r="U157" s="44" t="s">
        <v>95</v>
      </c>
      <c r="V157" s="44" t="s">
        <v>95</v>
      </c>
      <c r="W157" s="43" t="s">
        <v>95</v>
      </c>
      <c r="X157" s="45">
        <v>14.28</v>
      </c>
      <c r="Y157" s="43" t="s">
        <v>81</v>
      </c>
      <c r="Z157" s="43" t="s">
        <v>7127</v>
      </c>
      <c r="AA157" s="43" t="s">
        <v>7128</v>
      </c>
      <c r="AB157" s="43" t="s">
        <v>79</v>
      </c>
      <c r="AC157" s="45">
        <v>13.79</v>
      </c>
      <c r="AD157" s="43" t="s">
        <v>95</v>
      </c>
      <c r="AE157" s="43" t="s">
        <v>95</v>
      </c>
      <c r="AF157" s="43" t="s">
        <v>95</v>
      </c>
      <c r="AG157" s="43" t="s">
        <v>95</v>
      </c>
      <c r="AH157" s="45">
        <v>0</v>
      </c>
      <c r="AI157" s="43" t="s">
        <v>95</v>
      </c>
      <c r="AJ157" s="43" t="s">
        <v>95</v>
      </c>
      <c r="AK157" s="43" t="s">
        <v>95</v>
      </c>
      <c r="AL157" s="43" t="s">
        <v>95</v>
      </c>
      <c r="AM157" s="45">
        <v>13.79</v>
      </c>
      <c r="AN157" s="43" t="s">
        <v>81</v>
      </c>
      <c r="AO157" s="44">
        <v>44908</v>
      </c>
      <c r="AP157" s="43" t="s">
        <v>303</v>
      </c>
      <c r="AQ157" s="43" t="s">
        <v>304</v>
      </c>
      <c r="AR157" s="43" t="s">
        <v>303</v>
      </c>
      <c r="AS157" s="43" t="s">
        <v>304</v>
      </c>
      <c r="AT157" s="43" t="s">
        <v>85</v>
      </c>
      <c r="AU157" s="43" t="s">
        <v>7030</v>
      </c>
      <c r="AV157" s="43" t="s">
        <v>7031</v>
      </c>
      <c r="AW157" s="43" t="s">
        <v>7031</v>
      </c>
      <c r="AX157" s="43" t="s">
        <v>90</v>
      </c>
      <c r="AY157" s="43" t="s">
        <v>132</v>
      </c>
      <c r="AZ157" s="43" t="s">
        <v>7037</v>
      </c>
      <c r="BA157" s="43" t="s">
        <v>139</v>
      </c>
      <c r="BB157" s="45">
        <v>0.49</v>
      </c>
      <c r="BC157" s="45">
        <v>0.49</v>
      </c>
      <c r="BD157" s="43" t="s">
        <v>7032</v>
      </c>
      <c r="BE157" s="43" t="s">
        <v>81</v>
      </c>
      <c r="BF157" s="43" t="s">
        <v>81</v>
      </c>
      <c r="BG157" s="43" t="s">
        <v>86</v>
      </c>
      <c r="BH157" s="43" t="s">
        <v>177</v>
      </c>
      <c r="BI157" s="43" t="s">
        <v>7038</v>
      </c>
      <c r="BJ157" s="43" t="s">
        <v>7030</v>
      </c>
      <c r="BK157" s="43" t="s">
        <v>139</v>
      </c>
      <c r="BL157" s="43" t="s">
        <v>85</v>
      </c>
      <c r="BM157" s="43" t="s">
        <v>85</v>
      </c>
      <c r="BN157" s="43" t="s">
        <v>139</v>
      </c>
      <c r="BO157" s="46">
        <v>0.49</v>
      </c>
      <c r="BP157" s="43" t="s">
        <v>7032</v>
      </c>
      <c r="BQ157" s="43">
        <v>0.49</v>
      </c>
      <c r="BR157" s="43" t="s">
        <v>7032</v>
      </c>
      <c r="BS157" s="47">
        <v>0.49</v>
      </c>
      <c r="BT157" s="43" t="s">
        <v>7032</v>
      </c>
      <c r="BU157" s="43" t="s">
        <v>7092</v>
      </c>
      <c r="BV157" s="43" t="str">
        <f>CambioPlan[[#This Row],[TELEFONO]]&amp;"UPSELLSI"</f>
        <v>995158746UPSELLSI</v>
      </c>
      <c r="BW157" s="43">
        <f>DAY(CambioPlan[[#This Row],[FECHA_CAMBIO_PLAN]])</f>
        <v>13</v>
      </c>
      <c r="BX157" s="43" t="str">
        <f>VLOOKUP(CambioPlan[[#This Row],[NOM_PLAZA]],[1]!Locales[#Data],3,0)</f>
        <v>TIENDA RECREO</v>
      </c>
      <c r="BY157" s="43" t="str">
        <f>VLOOKUP(CambioPlan[[#This Row],[DOMAIN_LOGIN_OW]],[1]!Personal[#Data],6,0)</f>
        <v>CORDOVA GAIBOR JONATHAN HERNAN</v>
      </c>
      <c r="BZ157" s="43"/>
      <c r="CA157" s="43" t="str">
        <f>IFERROR(IF(FIND("ADULTO",CambioPlan[[#This Row],[DESCRIPCION_PLAN_ACTUAL]],1),"NO SE PAGA",),"SI SE PAGA")</f>
        <v>SI SE PAGA</v>
      </c>
      <c r="CB157" s="45">
        <f>CambioPlan[[#This Row],[TARIFA_BASICA_ACTUAL]]-CambioPlan[[#This Row],[TARIFA_BASICA_ANTERIOR]]</f>
        <v>0.49000000000000021</v>
      </c>
      <c r="CC157" s="56">
        <f>CambioPlan[[#This Row],[DIF. TARIFAS]]*4</f>
        <v>1.9600000000000009</v>
      </c>
      <c r="CD157" s="53" t="str">
        <f>IF(CambioPlan[[#This Row],[C. COMISIÓN TME]]&lt;0,"DOWNSELL",IF(CambioPlan[[#This Row],[C. COMISIÓN TME]]=0,"MISMA TARIFA",IF(CambioPlan[[#This Row],[C. COMISIÓN TME]]&gt;0,"UPSELL")))</f>
        <v>UPSELL</v>
      </c>
      <c r="CE157">
        <f>VLOOKUP(CambioPlan[[#This Row],[TARIFA_BASICA_ANTERIOR]],[3]Hoja1!$F:$G,2,0)</f>
        <v>1</v>
      </c>
      <c r="CF157">
        <f>VLOOKUP(CambioPlan[[#This Row],[TARIFA_BASICA_ACTUAL]],[3]Hoja1!$B:$C,2,0)</f>
        <v>1</v>
      </c>
      <c r="CG157">
        <f t="shared" si="2"/>
        <v>0</v>
      </c>
      <c r="CH157" t="e">
        <f>VLOOKUP(CambioPlan[[#This Row],[TELEFONO]],[1]Retenciones!$R$63:$R$287,1,0)</f>
        <v>#N/A</v>
      </c>
    </row>
    <row r="158" spans="1:86" x14ac:dyDescent="0.25">
      <c r="A158" s="43">
        <v>202212</v>
      </c>
      <c r="B158" s="44">
        <v>44914</v>
      </c>
      <c r="C158" s="43" t="s">
        <v>7600</v>
      </c>
      <c r="D158" s="43" t="s">
        <v>7601</v>
      </c>
      <c r="E158" s="43" t="s">
        <v>95</v>
      </c>
      <c r="F158" s="43" t="s">
        <v>231</v>
      </c>
      <c r="G158" s="43" t="s">
        <v>1378</v>
      </c>
      <c r="H158" s="43" t="s">
        <v>67</v>
      </c>
      <c r="I158" s="43" t="s">
        <v>7602</v>
      </c>
      <c r="J158" s="43" t="s">
        <v>7037</v>
      </c>
      <c r="K158" s="43" t="s">
        <v>84</v>
      </c>
      <c r="L158" s="43" t="s">
        <v>4157</v>
      </c>
      <c r="M158" s="43" t="s">
        <v>7138</v>
      </c>
      <c r="N158" s="43" t="s">
        <v>79</v>
      </c>
      <c r="O158" s="45">
        <v>32.130000000000003</v>
      </c>
      <c r="P158" s="43" t="s">
        <v>95</v>
      </c>
      <c r="Q158" s="43" t="s">
        <v>95</v>
      </c>
      <c r="R158" s="43" t="s">
        <v>95</v>
      </c>
      <c r="S158" s="45">
        <v>0</v>
      </c>
      <c r="T158" s="43" t="s">
        <v>95</v>
      </c>
      <c r="U158" s="44" t="s">
        <v>95</v>
      </c>
      <c r="V158" s="44" t="s">
        <v>95</v>
      </c>
      <c r="W158" s="43" t="s">
        <v>95</v>
      </c>
      <c r="X158" s="45">
        <v>32.130000000000003</v>
      </c>
      <c r="Y158" s="43" t="s">
        <v>81</v>
      </c>
      <c r="Z158" s="43" t="s">
        <v>227</v>
      </c>
      <c r="AA158" s="43" t="s">
        <v>426</v>
      </c>
      <c r="AB158" s="43" t="s">
        <v>79</v>
      </c>
      <c r="AC158" s="45">
        <v>21.42</v>
      </c>
      <c r="AD158" s="43" t="s">
        <v>95</v>
      </c>
      <c r="AE158" s="43" t="s">
        <v>95</v>
      </c>
      <c r="AF158" s="43" t="s">
        <v>95</v>
      </c>
      <c r="AG158" s="43" t="s">
        <v>95</v>
      </c>
      <c r="AH158" s="45">
        <v>0</v>
      </c>
      <c r="AI158" s="43" t="s">
        <v>95</v>
      </c>
      <c r="AJ158" s="43" t="s">
        <v>95</v>
      </c>
      <c r="AK158" s="43" t="s">
        <v>95</v>
      </c>
      <c r="AL158" s="43" t="s">
        <v>95</v>
      </c>
      <c r="AM158" s="45">
        <v>21.42</v>
      </c>
      <c r="AN158" s="43" t="s">
        <v>81</v>
      </c>
      <c r="AO158" s="44">
        <v>44909</v>
      </c>
      <c r="AP158" s="43" t="s">
        <v>880</v>
      </c>
      <c r="AQ158" s="43" t="s">
        <v>881</v>
      </c>
      <c r="AR158" s="43" t="s">
        <v>880</v>
      </c>
      <c r="AS158" s="43" t="s">
        <v>881</v>
      </c>
      <c r="AT158" s="43" t="s">
        <v>85</v>
      </c>
      <c r="AU158" s="43" t="s">
        <v>7030</v>
      </c>
      <c r="AV158" s="43" t="s">
        <v>7031</v>
      </c>
      <c r="AW158" s="43" t="s">
        <v>7031</v>
      </c>
      <c r="AX158" s="43" t="s">
        <v>90</v>
      </c>
      <c r="AY158" s="43" t="s">
        <v>73</v>
      </c>
      <c r="AZ158" s="43" t="s">
        <v>7029</v>
      </c>
      <c r="BA158" s="43" t="s">
        <v>92</v>
      </c>
      <c r="BB158" s="45">
        <v>10.71</v>
      </c>
      <c r="BC158" s="45">
        <v>10.71</v>
      </c>
      <c r="BD158" s="43" t="s">
        <v>7032</v>
      </c>
      <c r="BE158" s="43" t="s">
        <v>81</v>
      </c>
      <c r="BF158" s="43" t="s">
        <v>81</v>
      </c>
      <c r="BG158" s="43" t="s">
        <v>86</v>
      </c>
      <c r="BH158" s="43" t="s">
        <v>91</v>
      </c>
      <c r="BI158" s="43" t="s">
        <v>7086</v>
      </c>
      <c r="BJ158" s="43" t="s">
        <v>7030</v>
      </c>
      <c r="BK158" s="43" t="s">
        <v>92</v>
      </c>
      <c r="BL158" s="43" t="s">
        <v>85</v>
      </c>
      <c r="BM158" s="43" t="s">
        <v>85</v>
      </c>
      <c r="BN158" s="43" t="s">
        <v>92</v>
      </c>
      <c r="BO158" s="46">
        <v>10.71</v>
      </c>
      <c r="BP158" s="43" t="s">
        <v>7032</v>
      </c>
      <c r="BQ158" s="43">
        <v>10.71</v>
      </c>
      <c r="BR158" s="43" t="s">
        <v>7032</v>
      </c>
      <c r="BS158" s="47">
        <v>10.71</v>
      </c>
      <c r="BT158" s="43" t="s">
        <v>7032</v>
      </c>
      <c r="BU158" s="43" t="s">
        <v>7032</v>
      </c>
      <c r="BV158" s="43" t="str">
        <f>CambioPlan[[#This Row],[TELEFONO]]&amp;"UPSELLSI"</f>
        <v>995207162UPSELLSI</v>
      </c>
      <c r="BW158" s="43">
        <f>DAY(CambioPlan[[#This Row],[FECHA_CAMBIO_PLAN]])</f>
        <v>14</v>
      </c>
      <c r="BX158" s="43" t="str">
        <f>VLOOKUP(CambioPlan[[#This Row],[NOM_PLAZA]],[1]!Locales[#Data],3,0)</f>
        <v>TIENDA CUENCA CENTRO</v>
      </c>
      <c r="BY158" s="43" t="str">
        <f>VLOOKUP(CambioPlan[[#This Row],[DOMAIN_LOGIN_OW]],[1]!Personal[#Data],6,0)</f>
        <v>LUNA JACHO ANDREA GABRIELA</v>
      </c>
      <c r="BZ158" s="43"/>
      <c r="CA158" s="43" t="str">
        <f>IFERROR(IF(FIND("ADULTO",CambioPlan[[#This Row],[DESCRIPCION_PLAN_ACTUAL]],1),"NO SE PAGA",),"SI SE PAGA")</f>
        <v>SI SE PAGA</v>
      </c>
      <c r="CB158" s="45">
        <f>CambioPlan[[#This Row],[TARIFA_BASICA_ACTUAL]]-CambioPlan[[#This Row],[TARIFA_BASICA_ANTERIOR]]</f>
        <v>10.71</v>
      </c>
      <c r="CC158" s="56">
        <f>CambioPlan[[#This Row],[DIF. TARIFAS]]*4</f>
        <v>42.84</v>
      </c>
      <c r="CD158" s="53" t="str">
        <f>IF(CambioPlan[[#This Row],[C. COMISIÓN TME]]&lt;0,"DOWNSELL",IF(CambioPlan[[#This Row],[C. COMISIÓN TME]]=0,"MISMA TARIFA",IF(CambioPlan[[#This Row],[C. COMISIÓN TME]]&gt;0,"UPSELL")))</f>
        <v>UPSELL</v>
      </c>
      <c r="CE158">
        <f>VLOOKUP(CambioPlan[[#This Row],[TARIFA_BASICA_ANTERIOR]],[3]Hoja1!$F:$G,2,0)</f>
        <v>3</v>
      </c>
      <c r="CF158">
        <f>VLOOKUP(CambioPlan[[#This Row],[TARIFA_BASICA_ACTUAL]],[3]Hoja1!$B:$C,2,0)</f>
        <v>5</v>
      </c>
      <c r="CG158">
        <f t="shared" si="2"/>
        <v>2</v>
      </c>
      <c r="CH158" t="e">
        <f>VLOOKUP(CambioPlan[[#This Row],[TELEFONO]],[1]Retenciones!$R$63:$R$287,1,0)</f>
        <v>#N/A</v>
      </c>
    </row>
    <row r="159" spans="1:86" x14ac:dyDescent="0.25">
      <c r="A159" s="43">
        <v>202212</v>
      </c>
      <c r="B159" s="44">
        <v>44914</v>
      </c>
      <c r="C159" s="43" t="s">
        <v>7603</v>
      </c>
      <c r="D159" s="43" t="s">
        <v>7604</v>
      </c>
      <c r="E159" s="43" t="s">
        <v>95</v>
      </c>
      <c r="F159" s="43" t="s">
        <v>231</v>
      </c>
      <c r="G159" s="43" t="s">
        <v>1378</v>
      </c>
      <c r="H159" s="43" t="s">
        <v>67</v>
      </c>
      <c r="I159" s="43" t="s">
        <v>7605</v>
      </c>
      <c r="J159" s="43" t="s">
        <v>7029</v>
      </c>
      <c r="K159" s="43" t="s">
        <v>215</v>
      </c>
      <c r="L159" s="43" t="s">
        <v>112</v>
      </c>
      <c r="M159" s="43" t="s">
        <v>781</v>
      </c>
      <c r="N159" s="43" t="s">
        <v>79</v>
      </c>
      <c r="O159" s="45">
        <v>17.850000000000001</v>
      </c>
      <c r="P159" s="43" t="s">
        <v>95</v>
      </c>
      <c r="Q159" s="43" t="s">
        <v>95</v>
      </c>
      <c r="R159" s="43" t="s">
        <v>95</v>
      </c>
      <c r="S159" s="45">
        <v>0</v>
      </c>
      <c r="T159" s="43" t="s">
        <v>95</v>
      </c>
      <c r="U159" s="44" t="s">
        <v>95</v>
      </c>
      <c r="V159" s="44" t="s">
        <v>95</v>
      </c>
      <c r="W159" s="43" t="s">
        <v>95</v>
      </c>
      <c r="X159" s="45">
        <v>17.850000000000001</v>
      </c>
      <c r="Y159" s="43" t="s">
        <v>81</v>
      </c>
      <c r="Z159" s="43" t="s">
        <v>71</v>
      </c>
      <c r="AA159" s="43" t="s">
        <v>258</v>
      </c>
      <c r="AB159" s="43" t="s">
        <v>79</v>
      </c>
      <c r="AC159" s="45">
        <v>11.42</v>
      </c>
      <c r="AD159" s="43" t="s">
        <v>95</v>
      </c>
      <c r="AE159" s="43" t="s">
        <v>95</v>
      </c>
      <c r="AF159" s="43" t="s">
        <v>95</v>
      </c>
      <c r="AG159" s="43" t="s">
        <v>95</v>
      </c>
      <c r="AH159" s="45">
        <v>0</v>
      </c>
      <c r="AI159" s="43" t="s">
        <v>95</v>
      </c>
      <c r="AJ159" s="43" t="s">
        <v>95</v>
      </c>
      <c r="AK159" s="43" t="s">
        <v>95</v>
      </c>
      <c r="AL159" s="43" t="s">
        <v>95</v>
      </c>
      <c r="AM159" s="45">
        <v>11.42</v>
      </c>
      <c r="AN159" s="43" t="s">
        <v>81</v>
      </c>
      <c r="AO159" s="44">
        <v>44900</v>
      </c>
      <c r="AP159" s="43" t="s">
        <v>149</v>
      </c>
      <c r="AQ159" s="43" t="s">
        <v>150</v>
      </c>
      <c r="AR159" s="43" t="s">
        <v>149</v>
      </c>
      <c r="AS159" s="43" t="s">
        <v>150</v>
      </c>
      <c r="AT159" s="43" t="s">
        <v>85</v>
      </c>
      <c r="AU159" s="43" t="s">
        <v>7030</v>
      </c>
      <c r="AV159" s="43" t="s">
        <v>7031</v>
      </c>
      <c r="AW159" s="43" t="s">
        <v>7031</v>
      </c>
      <c r="AX159" s="43" t="s">
        <v>90</v>
      </c>
      <c r="AY159" s="43" t="s">
        <v>73</v>
      </c>
      <c r="AZ159" s="43" t="s">
        <v>7029</v>
      </c>
      <c r="BA159" s="43" t="s">
        <v>92</v>
      </c>
      <c r="BB159" s="45">
        <v>6.43</v>
      </c>
      <c r="BC159" s="45">
        <v>6.43</v>
      </c>
      <c r="BD159" s="43" t="s">
        <v>7032</v>
      </c>
      <c r="BE159" s="43" t="s">
        <v>81</v>
      </c>
      <c r="BF159" s="43" t="s">
        <v>81</v>
      </c>
      <c r="BG159" s="43" t="s">
        <v>86</v>
      </c>
      <c r="BH159" s="43" t="s">
        <v>151</v>
      </c>
      <c r="BI159" s="43" t="s">
        <v>7033</v>
      </c>
      <c r="BJ159" s="43" t="s">
        <v>7030</v>
      </c>
      <c r="BK159" s="43" t="s">
        <v>92</v>
      </c>
      <c r="BL159" s="43" t="s">
        <v>85</v>
      </c>
      <c r="BM159" s="43" t="s">
        <v>85</v>
      </c>
      <c r="BN159" s="43" t="s">
        <v>92</v>
      </c>
      <c r="BO159" s="46">
        <v>6.43</v>
      </c>
      <c r="BP159" s="43" t="s">
        <v>7032</v>
      </c>
      <c r="BQ159" s="43">
        <v>6.43</v>
      </c>
      <c r="BR159" s="43" t="s">
        <v>7032</v>
      </c>
      <c r="BS159" s="47">
        <v>6.43</v>
      </c>
      <c r="BT159" s="43" t="s">
        <v>7032</v>
      </c>
      <c r="BU159" s="43" t="s">
        <v>7032</v>
      </c>
      <c r="BV159" s="43" t="str">
        <f>CambioPlan[[#This Row],[TELEFONO]]&amp;"UPSELLSI"</f>
        <v>995210799UPSELLSI</v>
      </c>
      <c r="BW159" s="43">
        <f>DAY(CambioPlan[[#This Row],[FECHA_CAMBIO_PLAN]])</f>
        <v>5</v>
      </c>
      <c r="BX159" s="43" t="str">
        <f>VLOOKUP(CambioPlan[[#This Row],[NOM_PLAZA]],[1]!Locales[#Data],3,0)</f>
        <v>TIENDA CUENCA REMIGIO</v>
      </c>
      <c r="BY159" s="43" t="str">
        <f>VLOOKUP(CambioPlan[[#This Row],[DOMAIN_LOGIN_OW]],[1]!Personal[#Data],6,0)</f>
        <v>OSORIO TEJADA ANA ESTEFANIA</v>
      </c>
      <c r="BZ159" s="43"/>
      <c r="CA159" s="43" t="str">
        <f>IFERROR(IF(FIND("ADULTO",CambioPlan[[#This Row],[DESCRIPCION_PLAN_ACTUAL]],1),"NO SE PAGA",),"SI SE PAGA")</f>
        <v>SI SE PAGA</v>
      </c>
      <c r="CB159" s="45">
        <f>CambioPlan[[#This Row],[TARIFA_BASICA_ACTUAL]]-CambioPlan[[#This Row],[TARIFA_BASICA_ANTERIOR]]</f>
        <v>6.4300000000000015</v>
      </c>
      <c r="CC159" s="56">
        <f>CambioPlan[[#This Row],[DIF. TARIFAS]]*4</f>
        <v>25.720000000000006</v>
      </c>
      <c r="CD159" s="53" t="str">
        <f>IF(CambioPlan[[#This Row],[C. COMISIÓN TME]]&lt;0,"DOWNSELL",IF(CambioPlan[[#This Row],[C. COMISIÓN TME]]=0,"MISMA TARIFA",IF(CambioPlan[[#This Row],[C. COMISIÓN TME]]&gt;0,"UPSELL")))</f>
        <v>UPSELL</v>
      </c>
      <c r="CE159">
        <f>VLOOKUP(CambioPlan[[#This Row],[TARIFA_BASICA_ANTERIOR]],[3]Hoja1!$F:$G,2,0)</f>
        <v>0</v>
      </c>
      <c r="CF159">
        <f>VLOOKUP(CambioPlan[[#This Row],[TARIFA_BASICA_ACTUAL]],[3]Hoja1!$B:$C,2,0)</f>
        <v>2</v>
      </c>
      <c r="CG159">
        <f t="shared" si="2"/>
        <v>2</v>
      </c>
      <c r="CH159" t="e">
        <f>VLOOKUP(CambioPlan[[#This Row],[TELEFONO]],[1]Retenciones!$R$63:$R$287,1,0)</f>
        <v>#N/A</v>
      </c>
    </row>
    <row r="160" spans="1:86" x14ac:dyDescent="0.25">
      <c r="A160" s="43">
        <v>202212</v>
      </c>
      <c r="B160" s="44">
        <v>44914</v>
      </c>
      <c r="C160" s="43" t="s">
        <v>7606</v>
      </c>
      <c r="D160" s="43" t="s">
        <v>7607</v>
      </c>
      <c r="E160" s="43" t="s">
        <v>95</v>
      </c>
      <c r="F160" s="43" t="s">
        <v>311</v>
      </c>
      <c r="G160" s="43" t="s">
        <v>7125</v>
      </c>
      <c r="H160" s="43" t="s">
        <v>67</v>
      </c>
      <c r="I160" s="43" t="s">
        <v>7608</v>
      </c>
      <c r="J160" s="43" t="s">
        <v>7037</v>
      </c>
      <c r="K160" s="43" t="s">
        <v>84</v>
      </c>
      <c r="L160" s="43" t="s">
        <v>160</v>
      </c>
      <c r="M160" s="43" t="s">
        <v>161</v>
      </c>
      <c r="N160" s="43" t="s">
        <v>79</v>
      </c>
      <c r="O160" s="45">
        <v>14.28</v>
      </c>
      <c r="P160" s="43" t="s">
        <v>95</v>
      </c>
      <c r="Q160" s="43" t="s">
        <v>95</v>
      </c>
      <c r="R160" s="43" t="s">
        <v>95</v>
      </c>
      <c r="S160" s="45">
        <v>0</v>
      </c>
      <c r="T160" s="43" t="s">
        <v>95</v>
      </c>
      <c r="U160" s="44" t="s">
        <v>95</v>
      </c>
      <c r="V160" s="44" t="s">
        <v>95</v>
      </c>
      <c r="W160" s="43" t="s">
        <v>95</v>
      </c>
      <c r="X160" s="45">
        <v>14.28</v>
      </c>
      <c r="Y160" s="43" t="s">
        <v>81</v>
      </c>
      <c r="Z160" s="43" t="s">
        <v>7487</v>
      </c>
      <c r="AA160" s="43" t="s">
        <v>7504</v>
      </c>
      <c r="AB160" s="43" t="s">
        <v>79</v>
      </c>
      <c r="AC160" s="45">
        <v>16.989999999999998</v>
      </c>
      <c r="AD160" s="43" t="s">
        <v>95</v>
      </c>
      <c r="AE160" s="43" t="s">
        <v>95</v>
      </c>
      <c r="AF160" s="43" t="s">
        <v>95</v>
      </c>
      <c r="AG160" s="43" t="s">
        <v>95</v>
      </c>
      <c r="AH160" s="45">
        <v>0</v>
      </c>
      <c r="AI160" s="43" t="s">
        <v>95</v>
      </c>
      <c r="AJ160" s="43" t="s">
        <v>95</v>
      </c>
      <c r="AK160" s="43" t="s">
        <v>95</v>
      </c>
      <c r="AL160" s="43" t="s">
        <v>95</v>
      </c>
      <c r="AM160" s="45">
        <v>16.989999999999998</v>
      </c>
      <c r="AN160" s="43" t="s">
        <v>81</v>
      </c>
      <c r="AO160" s="44">
        <v>44897</v>
      </c>
      <c r="AP160" s="43" t="s">
        <v>492</v>
      </c>
      <c r="AQ160" s="43" t="s">
        <v>493</v>
      </c>
      <c r="AR160" s="43" t="s">
        <v>492</v>
      </c>
      <c r="AS160" s="43" t="s">
        <v>493</v>
      </c>
      <c r="AT160" s="43" t="s">
        <v>85</v>
      </c>
      <c r="AU160" s="43" t="s">
        <v>7030</v>
      </c>
      <c r="AV160" s="43" t="s">
        <v>7031</v>
      </c>
      <c r="AW160" s="43" t="s">
        <v>7031</v>
      </c>
      <c r="AX160" s="43" t="s">
        <v>90</v>
      </c>
      <c r="AY160" s="43" t="s">
        <v>132</v>
      </c>
      <c r="AZ160" s="43" t="s">
        <v>7037</v>
      </c>
      <c r="BA160" s="43" t="s">
        <v>139</v>
      </c>
      <c r="BB160" s="45">
        <v>-2.71</v>
      </c>
      <c r="BC160" s="45">
        <v>-2.71</v>
      </c>
      <c r="BD160" s="43" t="s">
        <v>7106</v>
      </c>
      <c r="BE160" s="43" t="s">
        <v>81</v>
      </c>
      <c r="BF160" s="43" t="s">
        <v>81</v>
      </c>
      <c r="BG160" s="43" t="s">
        <v>86</v>
      </c>
      <c r="BH160" s="43" t="s">
        <v>177</v>
      </c>
      <c r="BI160" s="43" t="s">
        <v>7038</v>
      </c>
      <c r="BJ160" s="43" t="s">
        <v>7030</v>
      </c>
      <c r="BK160" s="43" t="s">
        <v>139</v>
      </c>
      <c r="BL160" s="43" t="s">
        <v>85</v>
      </c>
      <c r="BM160" s="43" t="s">
        <v>85</v>
      </c>
      <c r="BN160" s="43" t="s">
        <v>139</v>
      </c>
      <c r="BO160" s="46">
        <v>-2.71</v>
      </c>
      <c r="BP160" s="43" t="s">
        <v>7106</v>
      </c>
      <c r="BQ160" s="43">
        <v>-2.71</v>
      </c>
      <c r="BR160" s="43" t="s">
        <v>7106</v>
      </c>
      <c r="BS160" s="47">
        <v>-2.71</v>
      </c>
      <c r="BT160" s="43" t="s">
        <v>7106</v>
      </c>
      <c r="BU160" s="43" t="s">
        <v>7106</v>
      </c>
      <c r="BV160" s="43" t="str">
        <f>CambioPlan[[#This Row],[TELEFONO]]&amp;"UPSELLSI"</f>
        <v>995231185UPSELLSI</v>
      </c>
      <c r="BW160" s="43">
        <f>DAY(CambioPlan[[#This Row],[FECHA_CAMBIO_PLAN]])</f>
        <v>2</v>
      </c>
      <c r="BX160" s="43" t="str">
        <f>VLOOKUP(CambioPlan[[#This Row],[NOM_PLAZA]],[1]!Locales[#Data],3,0)</f>
        <v>TIENDA RECREO</v>
      </c>
      <c r="BY160" s="43" t="str">
        <f>VLOOKUP(CambioPlan[[#This Row],[DOMAIN_LOGIN_OW]],[1]!Personal[#Data],6,0)</f>
        <v>CONDO GARCIA NICOLAS MATIAS</v>
      </c>
      <c r="BZ160" s="43"/>
      <c r="CA160" s="43" t="str">
        <f>IFERROR(IF(FIND("ADULTO",CambioPlan[[#This Row],[DESCRIPCION_PLAN_ACTUAL]],1),"NO SE PAGA",),"SI SE PAGA")</f>
        <v>SI SE PAGA</v>
      </c>
      <c r="CB160" s="45">
        <f>CambioPlan[[#This Row],[TARIFA_BASICA_ACTUAL]]-CambioPlan[[#This Row],[TARIFA_BASICA_ANTERIOR]]</f>
        <v>-2.7099999999999991</v>
      </c>
      <c r="CC160" s="56">
        <f>CambioPlan[[#This Row],[DIF. TARIFAS]]*4</f>
        <v>-10.839999999999996</v>
      </c>
      <c r="CD160" s="53" t="str">
        <f>IF(CambioPlan[[#This Row],[C. COMISIÓN TME]]&lt;0,"DOWNSELL",IF(CambioPlan[[#This Row],[C. COMISIÓN TME]]=0,"MISMA TARIFA",IF(CambioPlan[[#This Row],[C. COMISIÓN TME]]&gt;0,"UPSELL")))</f>
        <v>DOWNSELL</v>
      </c>
      <c r="CE160">
        <f>VLOOKUP(CambioPlan[[#This Row],[TARIFA_BASICA_ANTERIOR]],[3]Hoja1!$F:$G,2,0)</f>
        <v>2</v>
      </c>
      <c r="CF160">
        <f>VLOOKUP(CambioPlan[[#This Row],[TARIFA_BASICA_ACTUAL]],[3]Hoja1!$B:$C,2,0)</f>
        <v>1</v>
      </c>
      <c r="CG160">
        <f t="shared" si="2"/>
        <v>-1</v>
      </c>
      <c r="CH160" t="str">
        <f>VLOOKUP(CambioPlan[[#This Row],[TELEFONO]],[1]Retenciones!$R$63:$R$287,1,0)</f>
        <v>995231185</v>
      </c>
    </row>
    <row r="161" spans="1:86" x14ac:dyDescent="0.25">
      <c r="A161" s="43">
        <v>202212</v>
      </c>
      <c r="B161" s="44">
        <v>44914</v>
      </c>
      <c r="C161" s="43" t="s">
        <v>7609</v>
      </c>
      <c r="D161" s="43" t="s">
        <v>7610</v>
      </c>
      <c r="E161" s="43" t="s">
        <v>95</v>
      </c>
      <c r="F161" s="43" t="s">
        <v>77</v>
      </c>
      <c r="G161" s="43" t="s">
        <v>7493</v>
      </c>
      <c r="H161" s="43" t="s">
        <v>67</v>
      </c>
      <c r="I161" s="43" t="s">
        <v>7611</v>
      </c>
      <c r="J161" s="43" t="s">
        <v>7037</v>
      </c>
      <c r="K161" s="43" t="s">
        <v>215</v>
      </c>
      <c r="L161" s="43" t="s">
        <v>7069</v>
      </c>
      <c r="M161" s="43" t="s">
        <v>7070</v>
      </c>
      <c r="N161" s="43" t="s">
        <v>79</v>
      </c>
      <c r="O161" s="45">
        <v>21.42</v>
      </c>
      <c r="P161" s="43" t="s">
        <v>95</v>
      </c>
      <c r="Q161" s="43" t="s">
        <v>95</v>
      </c>
      <c r="R161" s="43" t="s">
        <v>95</v>
      </c>
      <c r="S161" s="45">
        <v>0</v>
      </c>
      <c r="T161" s="43" t="s">
        <v>95</v>
      </c>
      <c r="U161" s="44" t="s">
        <v>95</v>
      </c>
      <c r="V161" s="44" t="s">
        <v>95</v>
      </c>
      <c r="W161" s="43" t="s">
        <v>95</v>
      </c>
      <c r="X161" s="45">
        <v>21.42</v>
      </c>
      <c r="Y161" s="43" t="s">
        <v>81</v>
      </c>
      <c r="Z161" s="43" t="s">
        <v>515</v>
      </c>
      <c r="AA161" s="43" t="s">
        <v>516</v>
      </c>
      <c r="AB161" s="43" t="s">
        <v>79</v>
      </c>
      <c r="AC161" s="45">
        <v>14.28</v>
      </c>
      <c r="AD161" s="43" t="s">
        <v>95</v>
      </c>
      <c r="AE161" s="43" t="s">
        <v>95</v>
      </c>
      <c r="AF161" s="43" t="s">
        <v>95</v>
      </c>
      <c r="AG161" s="43" t="s">
        <v>95</v>
      </c>
      <c r="AH161" s="45">
        <v>0</v>
      </c>
      <c r="AI161" s="43" t="s">
        <v>95</v>
      </c>
      <c r="AJ161" s="43" t="s">
        <v>95</v>
      </c>
      <c r="AK161" s="43" t="s">
        <v>95</v>
      </c>
      <c r="AL161" s="43" t="s">
        <v>95</v>
      </c>
      <c r="AM161" s="45">
        <v>14.28</v>
      </c>
      <c r="AN161" s="43" t="s">
        <v>81</v>
      </c>
      <c r="AO161" s="44">
        <v>44910</v>
      </c>
      <c r="AP161" s="43" t="s">
        <v>866</v>
      </c>
      <c r="AQ161" s="43" t="s">
        <v>867</v>
      </c>
      <c r="AR161" s="43" t="s">
        <v>866</v>
      </c>
      <c r="AS161" s="43" t="s">
        <v>867</v>
      </c>
      <c r="AT161" s="43" t="s">
        <v>85</v>
      </c>
      <c r="AU161" s="43" t="s">
        <v>7030</v>
      </c>
      <c r="AV161" s="43" t="s">
        <v>7031</v>
      </c>
      <c r="AW161" s="43" t="s">
        <v>7031</v>
      </c>
      <c r="AX161" s="43" t="s">
        <v>90</v>
      </c>
      <c r="AY161" s="43" t="s">
        <v>132</v>
      </c>
      <c r="AZ161" s="43" t="s">
        <v>7037</v>
      </c>
      <c r="BA161" s="43" t="s">
        <v>139</v>
      </c>
      <c r="BB161" s="45">
        <v>7.14</v>
      </c>
      <c r="BC161" s="45">
        <v>7.14</v>
      </c>
      <c r="BD161" s="43" t="s">
        <v>7032</v>
      </c>
      <c r="BE161" s="43" t="s">
        <v>81</v>
      </c>
      <c r="BF161" s="43" t="s">
        <v>81</v>
      </c>
      <c r="BG161" s="43" t="s">
        <v>86</v>
      </c>
      <c r="BH161" s="43" t="s">
        <v>138</v>
      </c>
      <c r="BI161" s="43" t="s">
        <v>7076</v>
      </c>
      <c r="BJ161" s="43" t="s">
        <v>7030</v>
      </c>
      <c r="BK161" s="43" t="s">
        <v>139</v>
      </c>
      <c r="BL161" s="43" t="s">
        <v>85</v>
      </c>
      <c r="BM161" s="43" t="s">
        <v>85</v>
      </c>
      <c r="BN161" s="43" t="s">
        <v>139</v>
      </c>
      <c r="BO161" s="46">
        <v>7.14</v>
      </c>
      <c r="BP161" s="43" t="s">
        <v>7032</v>
      </c>
      <c r="BQ161" s="43">
        <v>7.14</v>
      </c>
      <c r="BR161" s="43" t="s">
        <v>7032</v>
      </c>
      <c r="BS161" s="47">
        <v>7.14</v>
      </c>
      <c r="BT161" s="43" t="s">
        <v>7032</v>
      </c>
      <c r="BU161" s="43" t="s">
        <v>7032</v>
      </c>
      <c r="BV161" s="43" t="str">
        <f>CambioPlan[[#This Row],[TELEFONO]]&amp;"UPSELLSI"</f>
        <v>995291321UPSELLSI</v>
      </c>
      <c r="BW161" s="43">
        <f>DAY(CambioPlan[[#This Row],[FECHA_CAMBIO_PLAN]])</f>
        <v>15</v>
      </c>
      <c r="BX161" s="43" t="str">
        <f>VLOOKUP(CambioPlan[[#This Row],[NOM_PLAZA]],[1]!Locales[#Data],3,0)</f>
        <v>TIENDA AMERICA</v>
      </c>
      <c r="BY161" s="43" t="str">
        <f>VLOOKUP(CambioPlan[[#This Row],[DOMAIN_LOGIN_OW]],[1]!Personal[#Data],6,0)</f>
        <v>ORTEGA RUIZ GABRIEL ANTONIO</v>
      </c>
      <c r="BZ161" s="43"/>
      <c r="CA161" s="43" t="str">
        <f>IFERROR(IF(FIND("ADULTO",CambioPlan[[#This Row],[DESCRIPCION_PLAN_ACTUAL]],1),"NO SE PAGA",),"SI SE PAGA")</f>
        <v>SI SE PAGA</v>
      </c>
      <c r="CB161" s="45">
        <f>CambioPlan[[#This Row],[TARIFA_BASICA_ACTUAL]]-CambioPlan[[#This Row],[TARIFA_BASICA_ANTERIOR]]</f>
        <v>7.1400000000000023</v>
      </c>
      <c r="CC161" s="56">
        <f>CambioPlan[[#This Row],[DIF. TARIFAS]]*4</f>
        <v>28.560000000000009</v>
      </c>
      <c r="CD161" s="53" t="str">
        <f>IF(CambioPlan[[#This Row],[C. COMISIÓN TME]]&lt;0,"DOWNSELL",IF(CambioPlan[[#This Row],[C. COMISIÓN TME]]=0,"MISMA TARIFA",IF(CambioPlan[[#This Row],[C. COMISIÓN TME]]&gt;0,"UPSELL")))</f>
        <v>UPSELL</v>
      </c>
      <c r="CE161">
        <f>VLOOKUP(CambioPlan[[#This Row],[TARIFA_BASICA_ANTERIOR]],[3]Hoja1!$F:$G,2,0)</f>
        <v>1</v>
      </c>
      <c r="CF161">
        <f>VLOOKUP(CambioPlan[[#This Row],[TARIFA_BASICA_ACTUAL]],[3]Hoja1!$B:$C,2,0)</f>
        <v>3</v>
      </c>
      <c r="CG161">
        <f t="shared" si="2"/>
        <v>2</v>
      </c>
      <c r="CH161" t="e">
        <f>VLOOKUP(CambioPlan[[#This Row],[TELEFONO]],[1]Retenciones!$R$63:$R$287,1,0)</f>
        <v>#N/A</v>
      </c>
    </row>
    <row r="162" spans="1:86" x14ac:dyDescent="0.25">
      <c r="A162" s="43">
        <v>202212</v>
      </c>
      <c r="B162" s="44">
        <v>44914</v>
      </c>
      <c r="C162" s="43" t="s">
        <v>7612</v>
      </c>
      <c r="D162" s="43" t="s">
        <v>7613</v>
      </c>
      <c r="E162" s="43" t="s">
        <v>95</v>
      </c>
      <c r="F162" s="43" t="s">
        <v>77</v>
      </c>
      <c r="G162" s="43" t="s">
        <v>1532</v>
      </c>
      <c r="H162" s="43" t="s">
        <v>67</v>
      </c>
      <c r="I162" s="43" t="s">
        <v>7614</v>
      </c>
      <c r="J162" s="43" t="s">
        <v>7037</v>
      </c>
      <c r="K162" s="43" t="s">
        <v>118</v>
      </c>
      <c r="L162" s="43" t="s">
        <v>359</v>
      </c>
      <c r="M162" s="43" t="s">
        <v>360</v>
      </c>
      <c r="N162" s="43" t="s">
        <v>79</v>
      </c>
      <c r="O162" s="45">
        <v>14.28</v>
      </c>
      <c r="P162" s="43" t="s">
        <v>95</v>
      </c>
      <c r="Q162" s="43" t="s">
        <v>95</v>
      </c>
      <c r="R162" s="43" t="s">
        <v>95</v>
      </c>
      <c r="S162" s="45">
        <v>0</v>
      </c>
      <c r="T162" s="43" t="s">
        <v>95</v>
      </c>
      <c r="U162" s="44" t="s">
        <v>95</v>
      </c>
      <c r="V162" s="44" t="s">
        <v>95</v>
      </c>
      <c r="W162" s="43" t="s">
        <v>95</v>
      </c>
      <c r="X162" s="45">
        <v>14.28</v>
      </c>
      <c r="Y162" s="43" t="s">
        <v>81</v>
      </c>
      <c r="Z162" s="43" t="s">
        <v>7615</v>
      </c>
      <c r="AA162" s="43" t="s">
        <v>7616</v>
      </c>
      <c r="AB162" s="43" t="s">
        <v>79</v>
      </c>
      <c r="AC162" s="45">
        <v>10.54</v>
      </c>
      <c r="AD162" s="43" t="s">
        <v>95</v>
      </c>
      <c r="AE162" s="43" t="s">
        <v>95</v>
      </c>
      <c r="AF162" s="43" t="s">
        <v>95</v>
      </c>
      <c r="AG162" s="43" t="s">
        <v>95</v>
      </c>
      <c r="AH162" s="45">
        <v>0</v>
      </c>
      <c r="AI162" s="43" t="s">
        <v>95</v>
      </c>
      <c r="AJ162" s="43" t="s">
        <v>95</v>
      </c>
      <c r="AK162" s="43" t="s">
        <v>95</v>
      </c>
      <c r="AL162" s="43" t="s">
        <v>95</v>
      </c>
      <c r="AM162" s="45">
        <v>10.54</v>
      </c>
      <c r="AN162" s="43" t="s">
        <v>81</v>
      </c>
      <c r="AO162" s="44">
        <v>44911</v>
      </c>
      <c r="AP162" s="43" t="s">
        <v>665</v>
      </c>
      <c r="AQ162" s="43" t="s">
        <v>666</v>
      </c>
      <c r="AR162" s="43" t="s">
        <v>665</v>
      </c>
      <c r="AS162" s="43" t="s">
        <v>666</v>
      </c>
      <c r="AT162" s="43" t="s">
        <v>85</v>
      </c>
      <c r="AU162" s="43" t="s">
        <v>7030</v>
      </c>
      <c r="AV162" s="43" t="s">
        <v>7031</v>
      </c>
      <c r="AW162" s="43" t="s">
        <v>7031</v>
      </c>
      <c r="AX162" s="43" t="s">
        <v>90</v>
      </c>
      <c r="AY162" s="43" t="s">
        <v>132</v>
      </c>
      <c r="AZ162" s="43" t="s">
        <v>7037</v>
      </c>
      <c r="BA162" s="43" t="s">
        <v>139</v>
      </c>
      <c r="BB162" s="45">
        <v>3.74</v>
      </c>
      <c r="BC162" s="45">
        <v>3.74</v>
      </c>
      <c r="BD162" s="43" t="s">
        <v>7032</v>
      </c>
      <c r="BE162" s="43" t="s">
        <v>81</v>
      </c>
      <c r="BF162" s="43" t="s">
        <v>81</v>
      </c>
      <c r="BG162" s="43" t="s">
        <v>86</v>
      </c>
      <c r="BH162" s="43" t="s">
        <v>138</v>
      </c>
      <c r="BI162" s="43" t="s">
        <v>7076</v>
      </c>
      <c r="BJ162" s="43" t="s">
        <v>7030</v>
      </c>
      <c r="BK162" s="43" t="s">
        <v>139</v>
      </c>
      <c r="BL162" s="43" t="s">
        <v>85</v>
      </c>
      <c r="BM162" s="43" t="s">
        <v>85</v>
      </c>
      <c r="BN162" s="43" t="s">
        <v>139</v>
      </c>
      <c r="BO162" s="46">
        <v>3.74</v>
      </c>
      <c r="BP162" s="43" t="s">
        <v>7032</v>
      </c>
      <c r="BQ162" s="43">
        <v>3.74</v>
      </c>
      <c r="BR162" s="43" t="s">
        <v>7032</v>
      </c>
      <c r="BS162" s="47">
        <v>3.74</v>
      </c>
      <c r="BT162" s="43" t="s">
        <v>7032</v>
      </c>
      <c r="BU162" s="43" t="s">
        <v>7032</v>
      </c>
      <c r="BV162" s="43" t="str">
        <f>CambioPlan[[#This Row],[TELEFONO]]&amp;"UPSELLSI"</f>
        <v>995320527UPSELLSI</v>
      </c>
      <c r="BW162" s="43">
        <f>DAY(CambioPlan[[#This Row],[FECHA_CAMBIO_PLAN]])</f>
        <v>16</v>
      </c>
      <c r="BX162" s="43" t="str">
        <f>VLOOKUP(CambioPlan[[#This Row],[NOM_PLAZA]],[1]!Locales[#Data],3,0)</f>
        <v>TIENDA AMERICA</v>
      </c>
      <c r="BY162" s="43" t="str">
        <f>VLOOKUP(CambioPlan[[#This Row],[DOMAIN_LOGIN_OW]],[1]!Personal[#Data],6,0)</f>
        <v>ROSERO CAICEDO JAIRO STEFANO</v>
      </c>
      <c r="BZ162" s="43"/>
      <c r="CA162" s="43" t="str">
        <f>IFERROR(IF(FIND("ADULTO",CambioPlan[[#This Row],[DESCRIPCION_PLAN_ACTUAL]],1),"NO SE PAGA",),"SI SE PAGA")</f>
        <v>SI SE PAGA</v>
      </c>
      <c r="CB162" s="45">
        <f>CambioPlan[[#This Row],[TARIFA_BASICA_ACTUAL]]-CambioPlan[[#This Row],[TARIFA_BASICA_ANTERIOR]]</f>
        <v>3.74</v>
      </c>
      <c r="CC162" s="56">
        <f>CambioPlan[[#This Row],[DIF. TARIFAS]]*4</f>
        <v>14.96</v>
      </c>
      <c r="CD162" s="53" t="str">
        <f>IF(CambioPlan[[#This Row],[C. COMISIÓN TME]]&lt;0,"DOWNSELL",IF(CambioPlan[[#This Row],[C. COMISIÓN TME]]=0,"MISMA TARIFA",IF(CambioPlan[[#This Row],[C. COMISIÓN TME]]&gt;0,"UPSELL")))</f>
        <v>UPSELL</v>
      </c>
      <c r="CE162">
        <f>VLOOKUP(CambioPlan[[#This Row],[TARIFA_BASICA_ANTERIOR]],[3]Hoja1!$F:$G,2,0)</f>
        <v>0</v>
      </c>
      <c r="CF162">
        <f>VLOOKUP(CambioPlan[[#This Row],[TARIFA_BASICA_ACTUAL]],[3]Hoja1!$B:$C,2,0)</f>
        <v>1</v>
      </c>
      <c r="CG162">
        <f t="shared" si="2"/>
        <v>1</v>
      </c>
      <c r="CH162" t="e">
        <f>VLOOKUP(CambioPlan[[#This Row],[TELEFONO]],[1]Retenciones!$R$63:$R$287,1,0)</f>
        <v>#N/A</v>
      </c>
    </row>
    <row r="163" spans="1:86" x14ac:dyDescent="0.25">
      <c r="A163" s="43">
        <v>202212</v>
      </c>
      <c r="B163" s="44">
        <v>44914</v>
      </c>
      <c r="C163" s="43" t="s">
        <v>7617</v>
      </c>
      <c r="D163" s="43" t="s">
        <v>7618</v>
      </c>
      <c r="E163" s="43" t="s">
        <v>95</v>
      </c>
      <c r="F163" s="43" t="s">
        <v>311</v>
      </c>
      <c r="G163" s="43" t="s">
        <v>311</v>
      </c>
      <c r="H163" s="43" t="s">
        <v>67</v>
      </c>
      <c r="I163" s="43" t="s">
        <v>7619</v>
      </c>
      <c r="J163" s="43" t="s">
        <v>7037</v>
      </c>
      <c r="K163" s="43" t="s">
        <v>84</v>
      </c>
      <c r="L163" s="43" t="s">
        <v>7069</v>
      </c>
      <c r="M163" s="43" t="s">
        <v>7070</v>
      </c>
      <c r="N163" s="43" t="s">
        <v>79</v>
      </c>
      <c r="O163" s="45">
        <v>21.42</v>
      </c>
      <c r="P163" s="43" t="s">
        <v>95</v>
      </c>
      <c r="Q163" s="43" t="s">
        <v>95</v>
      </c>
      <c r="R163" s="43" t="s">
        <v>95</v>
      </c>
      <c r="S163" s="45">
        <v>0</v>
      </c>
      <c r="T163" s="43" t="s">
        <v>95</v>
      </c>
      <c r="U163" s="44" t="s">
        <v>95</v>
      </c>
      <c r="V163" s="44" t="s">
        <v>95</v>
      </c>
      <c r="W163" s="43" t="s">
        <v>95</v>
      </c>
      <c r="X163" s="45">
        <v>21.42</v>
      </c>
      <c r="Y163" s="43" t="s">
        <v>81</v>
      </c>
      <c r="Z163" s="43" t="s">
        <v>7176</v>
      </c>
      <c r="AA163" s="43" t="s">
        <v>7177</v>
      </c>
      <c r="AB163" s="43" t="s">
        <v>79</v>
      </c>
      <c r="AC163" s="45">
        <v>16.989999999999998</v>
      </c>
      <c r="AD163" s="43" t="s">
        <v>95</v>
      </c>
      <c r="AE163" s="43" t="s">
        <v>95</v>
      </c>
      <c r="AF163" s="43" t="s">
        <v>95</v>
      </c>
      <c r="AG163" s="43" t="s">
        <v>95</v>
      </c>
      <c r="AH163" s="45">
        <v>0</v>
      </c>
      <c r="AI163" s="43" t="s">
        <v>95</v>
      </c>
      <c r="AJ163" s="43" t="s">
        <v>95</v>
      </c>
      <c r="AK163" s="43" t="s">
        <v>95</v>
      </c>
      <c r="AL163" s="43" t="s">
        <v>95</v>
      </c>
      <c r="AM163" s="45">
        <v>16.989999999999998</v>
      </c>
      <c r="AN163" s="43" t="s">
        <v>81</v>
      </c>
      <c r="AO163" s="44">
        <v>44913</v>
      </c>
      <c r="AP163" s="43" t="s">
        <v>369</v>
      </c>
      <c r="AQ163" s="43" t="s">
        <v>370</v>
      </c>
      <c r="AR163" s="43" t="s">
        <v>369</v>
      </c>
      <c r="AS163" s="43" t="s">
        <v>370</v>
      </c>
      <c r="AT163" s="43" t="s">
        <v>85</v>
      </c>
      <c r="AU163" s="43" t="s">
        <v>7030</v>
      </c>
      <c r="AV163" s="43" t="s">
        <v>7031</v>
      </c>
      <c r="AW163" s="43" t="s">
        <v>7031</v>
      </c>
      <c r="AX163" s="43" t="s">
        <v>90</v>
      </c>
      <c r="AY163" s="43" t="s">
        <v>132</v>
      </c>
      <c r="AZ163" s="43" t="s">
        <v>7037</v>
      </c>
      <c r="BA163" s="43" t="s">
        <v>139</v>
      </c>
      <c r="BB163" s="45">
        <v>4.43</v>
      </c>
      <c r="BC163" s="45">
        <v>4.43</v>
      </c>
      <c r="BD163" s="43" t="s">
        <v>7032</v>
      </c>
      <c r="BE163" s="43" t="s">
        <v>81</v>
      </c>
      <c r="BF163" s="43" t="s">
        <v>81</v>
      </c>
      <c r="BG163" s="43" t="s">
        <v>86</v>
      </c>
      <c r="BH163" s="43" t="s">
        <v>177</v>
      </c>
      <c r="BI163" s="43" t="s">
        <v>7038</v>
      </c>
      <c r="BJ163" s="43" t="s">
        <v>7030</v>
      </c>
      <c r="BK163" s="43" t="s">
        <v>139</v>
      </c>
      <c r="BL163" s="43" t="s">
        <v>85</v>
      </c>
      <c r="BM163" s="43" t="s">
        <v>85</v>
      </c>
      <c r="BN163" s="43" t="s">
        <v>139</v>
      </c>
      <c r="BO163" s="46">
        <v>4.43</v>
      </c>
      <c r="BP163" s="43" t="s">
        <v>7032</v>
      </c>
      <c r="BQ163" s="43">
        <v>4.43</v>
      </c>
      <c r="BR163" s="43" t="s">
        <v>7032</v>
      </c>
      <c r="BS163" s="47">
        <v>4.43</v>
      </c>
      <c r="BT163" s="43" t="s">
        <v>7032</v>
      </c>
      <c r="BU163" s="43" t="s">
        <v>7032</v>
      </c>
      <c r="BV163" s="43" t="str">
        <f>CambioPlan[[#This Row],[TELEFONO]]&amp;"UPSELLSI"</f>
        <v>995345672UPSELLSI</v>
      </c>
      <c r="BW163" s="43">
        <f>DAY(CambioPlan[[#This Row],[FECHA_CAMBIO_PLAN]])</f>
        <v>18</v>
      </c>
      <c r="BX163" s="43" t="str">
        <f>VLOOKUP(CambioPlan[[#This Row],[NOM_PLAZA]],[1]!Locales[#Data],3,0)</f>
        <v>TIENDA RECREO</v>
      </c>
      <c r="BY163" s="43" t="str">
        <f>VLOOKUP(CambioPlan[[#This Row],[DOMAIN_LOGIN_OW]],[1]!Personal[#Data],6,0)</f>
        <v>GUAIGUA REINOSO GENESIS CAROLINA</v>
      </c>
      <c r="BZ163" s="43"/>
      <c r="CA163" s="43" t="str">
        <f>IFERROR(IF(FIND("ADULTO",CambioPlan[[#This Row],[DESCRIPCION_PLAN_ACTUAL]],1),"NO SE PAGA",),"SI SE PAGA")</f>
        <v>SI SE PAGA</v>
      </c>
      <c r="CB163" s="45">
        <f>CambioPlan[[#This Row],[TARIFA_BASICA_ACTUAL]]-CambioPlan[[#This Row],[TARIFA_BASICA_ANTERIOR]]</f>
        <v>4.4300000000000033</v>
      </c>
      <c r="CC163" s="56">
        <f>CambioPlan[[#This Row],[DIF. TARIFAS]]*4</f>
        <v>17.720000000000013</v>
      </c>
      <c r="CD163" s="53" t="str">
        <f>IF(CambioPlan[[#This Row],[C. COMISIÓN TME]]&lt;0,"DOWNSELL",IF(CambioPlan[[#This Row],[C. COMISIÓN TME]]=0,"MISMA TARIFA",IF(CambioPlan[[#This Row],[C. COMISIÓN TME]]&gt;0,"UPSELL")))</f>
        <v>UPSELL</v>
      </c>
      <c r="CE163">
        <f>VLOOKUP(CambioPlan[[#This Row],[TARIFA_BASICA_ANTERIOR]],[3]Hoja1!$F:$G,2,0)</f>
        <v>2</v>
      </c>
      <c r="CF163">
        <f>VLOOKUP(CambioPlan[[#This Row],[TARIFA_BASICA_ACTUAL]],[3]Hoja1!$B:$C,2,0)</f>
        <v>3</v>
      </c>
      <c r="CG163">
        <f t="shared" si="2"/>
        <v>1</v>
      </c>
      <c r="CH163" t="e">
        <f>VLOOKUP(CambioPlan[[#This Row],[TELEFONO]],[1]Retenciones!$R$63:$R$287,1,0)</f>
        <v>#N/A</v>
      </c>
    </row>
    <row r="164" spans="1:86" x14ac:dyDescent="0.25">
      <c r="A164" s="43">
        <v>202212</v>
      </c>
      <c r="B164" s="44">
        <v>44914</v>
      </c>
      <c r="C164" s="43" t="s">
        <v>7620</v>
      </c>
      <c r="D164" s="43" t="s">
        <v>7621</v>
      </c>
      <c r="E164" s="43" t="s">
        <v>95</v>
      </c>
      <c r="F164" s="43" t="s">
        <v>77</v>
      </c>
      <c r="G164" s="43" t="s">
        <v>164</v>
      </c>
      <c r="H164" s="43" t="s">
        <v>67</v>
      </c>
      <c r="I164" s="43" t="s">
        <v>7622</v>
      </c>
      <c r="J164" s="43" t="s">
        <v>7623</v>
      </c>
      <c r="K164" s="43" t="s">
        <v>118</v>
      </c>
      <c r="L164" s="43" t="s">
        <v>71</v>
      </c>
      <c r="M164" s="43" t="s">
        <v>258</v>
      </c>
      <c r="N164" s="43" t="s">
        <v>79</v>
      </c>
      <c r="O164" s="45">
        <v>11.42</v>
      </c>
      <c r="P164" s="43" t="s">
        <v>95</v>
      </c>
      <c r="Q164" s="43" t="s">
        <v>95</v>
      </c>
      <c r="R164" s="43" t="s">
        <v>95</v>
      </c>
      <c r="S164" s="45">
        <v>0</v>
      </c>
      <c r="T164" s="43" t="s">
        <v>95</v>
      </c>
      <c r="U164" s="44" t="s">
        <v>95</v>
      </c>
      <c r="V164" s="44" t="s">
        <v>95</v>
      </c>
      <c r="W164" s="43" t="s">
        <v>95</v>
      </c>
      <c r="X164" s="45">
        <v>11.42</v>
      </c>
      <c r="Y164" s="43" t="s">
        <v>81</v>
      </c>
      <c r="Z164" s="43" t="s">
        <v>160</v>
      </c>
      <c r="AA164" s="43" t="s">
        <v>161</v>
      </c>
      <c r="AB164" s="43" t="s">
        <v>79</v>
      </c>
      <c r="AC164" s="45">
        <v>14.28</v>
      </c>
      <c r="AD164" s="43" t="s">
        <v>95</v>
      </c>
      <c r="AE164" s="43" t="s">
        <v>95</v>
      </c>
      <c r="AF164" s="43" t="s">
        <v>95</v>
      </c>
      <c r="AG164" s="43" t="s">
        <v>95</v>
      </c>
      <c r="AH164" s="45">
        <v>0</v>
      </c>
      <c r="AI164" s="43" t="s">
        <v>95</v>
      </c>
      <c r="AJ164" s="43" t="s">
        <v>95</v>
      </c>
      <c r="AK164" s="43" t="s">
        <v>95</v>
      </c>
      <c r="AL164" s="43" t="s">
        <v>95</v>
      </c>
      <c r="AM164" s="45">
        <v>14.28</v>
      </c>
      <c r="AN164" s="43" t="s">
        <v>81</v>
      </c>
      <c r="AO164" s="44">
        <v>44911</v>
      </c>
      <c r="AP164" s="43" t="s">
        <v>822</v>
      </c>
      <c r="AQ164" s="43" t="s">
        <v>823</v>
      </c>
      <c r="AR164" s="43" t="s">
        <v>822</v>
      </c>
      <c r="AS164" s="43" t="s">
        <v>823</v>
      </c>
      <c r="AT164" s="43" t="s">
        <v>85</v>
      </c>
      <c r="AU164" s="43" t="s">
        <v>7030</v>
      </c>
      <c r="AV164" s="43" t="s">
        <v>7031</v>
      </c>
      <c r="AW164" s="43" t="s">
        <v>7031</v>
      </c>
      <c r="AX164" s="43" t="s">
        <v>90</v>
      </c>
      <c r="AY164" s="43" t="s">
        <v>132</v>
      </c>
      <c r="AZ164" s="43" t="s">
        <v>7037</v>
      </c>
      <c r="BA164" s="43" t="s">
        <v>139</v>
      </c>
      <c r="BB164" s="45">
        <v>-2.86</v>
      </c>
      <c r="BC164" s="45">
        <v>-2.86</v>
      </c>
      <c r="BD164" s="43" t="s">
        <v>7106</v>
      </c>
      <c r="BE164" s="43" t="s">
        <v>81</v>
      </c>
      <c r="BF164" s="43" t="s">
        <v>81</v>
      </c>
      <c r="BG164" s="43" t="s">
        <v>86</v>
      </c>
      <c r="BH164" s="43" t="s">
        <v>177</v>
      </c>
      <c r="BI164" s="43" t="s">
        <v>7038</v>
      </c>
      <c r="BJ164" s="43" t="s">
        <v>7030</v>
      </c>
      <c r="BK164" s="43" t="s">
        <v>139</v>
      </c>
      <c r="BL164" s="43" t="s">
        <v>85</v>
      </c>
      <c r="BM164" s="43" t="s">
        <v>85</v>
      </c>
      <c r="BN164" s="43" t="s">
        <v>139</v>
      </c>
      <c r="BO164" s="46">
        <v>-2.86</v>
      </c>
      <c r="BP164" s="43" t="s">
        <v>7106</v>
      </c>
      <c r="BQ164" s="43">
        <v>-2.86</v>
      </c>
      <c r="BR164" s="43" t="s">
        <v>7106</v>
      </c>
      <c r="BS164" s="47">
        <v>-2.86</v>
      </c>
      <c r="BT164" s="43" t="s">
        <v>7106</v>
      </c>
      <c r="BU164" s="43" t="s">
        <v>7106</v>
      </c>
      <c r="BV164" s="43" t="str">
        <f>CambioPlan[[#This Row],[TELEFONO]]&amp;"UPSELLSI"</f>
        <v>995366648UPSELLSI</v>
      </c>
      <c r="BW164" s="43">
        <f>DAY(CambioPlan[[#This Row],[FECHA_CAMBIO_PLAN]])</f>
        <v>16</v>
      </c>
      <c r="BX164" s="43" t="str">
        <f>VLOOKUP(CambioPlan[[#This Row],[NOM_PLAZA]],[1]!Locales[#Data],3,0)</f>
        <v>TIENDA RECREO</v>
      </c>
      <c r="BY164" s="43" t="str">
        <f>VLOOKUP(CambioPlan[[#This Row],[DOMAIN_LOGIN_OW]],[1]!Personal[#Data],6,0)</f>
        <v>SALAS PARRA MARIA JOSE</v>
      </c>
      <c r="BZ164" s="43"/>
      <c r="CA164" s="43" t="str">
        <f>IFERROR(IF(FIND("ADULTO",CambioPlan[[#This Row],[DESCRIPCION_PLAN_ACTUAL]],1),"NO SE PAGA",),"SI SE PAGA")</f>
        <v>SI SE PAGA</v>
      </c>
      <c r="CB164" s="45">
        <f>CambioPlan[[#This Row],[TARIFA_BASICA_ACTUAL]]-CambioPlan[[#This Row],[TARIFA_BASICA_ANTERIOR]]</f>
        <v>-2.8599999999999994</v>
      </c>
      <c r="CC164" s="56">
        <f>CambioPlan[[#This Row],[DIF. TARIFAS]]*4</f>
        <v>-11.439999999999998</v>
      </c>
      <c r="CD164" s="53" t="str">
        <f>IF(CambioPlan[[#This Row],[C. COMISIÓN TME]]&lt;0,"DOWNSELL",IF(CambioPlan[[#This Row],[C. COMISIÓN TME]]=0,"MISMA TARIFA",IF(CambioPlan[[#This Row],[C. COMISIÓN TME]]&gt;0,"UPSELL")))</f>
        <v>DOWNSELL</v>
      </c>
      <c r="CE164">
        <f>VLOOKUP(CambioPlan[[#This Row],[TARIFA_BASICA_ANTERIOR]],[3]Hoja1!$F:$G,2,0)</f>
        <v>1</v>
      </c>
      <c r="CF164">
        <f>VLOOKUP(CambioPlan[[#This Row],[TARIFA_BASICA_ACTUAL]],[3]Hoja1!$B:$C,2,0)</f>
        <v>0</v>
      </c>
      <c r="CG164">
        <f t="shared" si="2"/>
        <v>-1</v>
      </c>
      <c r="CH164" t="e">
        <f>VLOOKUP(CambioPlan[[#This Row],[TELEFONO]],[1]Retenciones!$R$63:$R$287,1,0)</f>
        <v>#N/A</v>
      </c>
    </row>
    <row r="165" spans="1:86" x14ac:dyDescent="0.25">
      <c r="A165" s="43">
        <v>202212</v>
      </c>
      <c r="B165" s="44">
        <v>44914</v>
      </c>
      <c r="C165" s="43" t="s">
        <v>7624</v>
      </c>
      <c r="D165" s="43" t="s">
        <v>7625</v>
      </c>
      <c r="E165" s="43" t="s">
        <v>95</v>
      </c>
      <c r="F165" s="43" t="s">
        <v>77</v>
      </c>
      <c r="G165" s="43" t="s">
        <v>164</v>
      </c>
      <c r="H165" s="43" t="s">
        <v>67</v>
      </c>
      <c r="I165" s="43" t="s">
        <v>7626</v>
      </c>
      <c r="J165" s="43" t="s">
        <v>7037</v>
      </c>
      <c r="K165" s="43" t="s">
        <v>118</v>
      </c>
      <c r="L165" s="43" t="s">
        <v>712</v>
      </c>
      <c r="M165" s="43" t="s">
        <v>2836</v>
      </c>
      <c r="N165" s="43" t="s">
        <v>79</v>
      </c>
      <c r="O165" s="45">
        <v>17.850000000000001</v>
      </c>
      <c r="P165" s="43" t="s">
        <v>95</v>
      </c>
      <c r="Q165" s="43" t="s">
        <v>95</v>
      </c>
      <c r="R165" s="43" t="s">
        <v>95</v>
      </c>
      <c r="S165" s="45">
        <v>0</v>
      </c>
      <c r="T165" s="43" t="s">
        <v>95</v>
      </c>
      <c r="U165" s="44" t="s">
        <v>95</v>
      </c>
      <c r="V165" s="44" t="s">
        <v>95</v>
      </c>
      <c r="W165" s="43" t="s">
        <v>95</v>
      </c>
      <c r="X165" s="45">
        <v>17.850000000000001</v>
      </c>
      <c r="Y165" s="43" t="s">
        <v>81</v>
      </c>
      <c r="Z165" s="43" t="s">
        <v>160</v>
      </c>
      <c r="AA165" s="43" t="s">
        <v>161</v>
      </c>
      <c r="AB165" s="43" t="s">
        <v>79</v>
      </c>
      <c r="AC165" s="45">
        <v>14.28</v>
      </c>
      <c r="AD165" s="43" t="s">
        <v>95</v>
      </c>
      <c r="AE165" s="43" t="s">
        <v>95</v>
      </c>
      <c r="AF165" s="43" t="s">
        <v>95</v>
      </c>
      <c r="AG165" s="43" t="s">
        <v>95</v>
      </c>
      <c r="AH165" s="45">
        <v>0</v>
      </c>
      <c r="AI165" s="43" t="s">
        <v>95</v>
      </c>
      <c r="AJ165" s="43" t="s">
        <v>95</v>
      </c>
      <c r="AK165" s="43" t="s">
        <v>95</v>
      </c>
      <c r="AL165" s="43" t="s">
        <v>95</v>
      </c>
      <c r="AM165" s="45">
        <v>14.28</v>
      </c>
      <c r="AN165" s="43" t="s">
        <v>81</v>
      </c>
      <c r="AO165" s="44">
        <v>44905</v>
      </c>
      <c r="AP165" s="43" t="s">
        <v>492</v>
      </c>
      <c r="AQ165" s="43" t="s">
        <v>493</v>
      </c>
      <c r="AR165" s="43" t="s">
        <v>492</v>
      </c>
      <c r="AS165" s="43" t="s">
        <v>493</v>
      </c>
      <c r="AT165" s="43" t="s">
        <v>85</v>
      </c>
      <c r="AU165" s="43" t="s">
        <v>7030</v>
      </c>
      <c r="AV165" s="43" t="s">
        <v>7031</v>
      </c>
      <c r="AW165" s="43" t="s">
        <v>7031</v>
      </c>
      <c r="AX165" s="43" t="s">
        <v>90</v>
      </c>
      <c r="AY165" s="43" t="s">
        <v>132</v>
      </c>
      <c r="AZ165" s="43" t="s">
        <v>7037</v>
      </c>
      <c r="BA165" s="43" t="s">
        <v>139</v>
      </c>
      <c r="BB165" s="45">
        <v>3.57</v>
      </c>
      <c r="BC165" s="45">
        <v>3.57</v>
      </c>
      <c r="BD165" s="43" t="s">
        <v>7032</v>
      </c>
      <c r="BE165" s="43" t="s">
        <v>81</v>
      </c>
      <c r="BF165" s="43" t="s">
        <v>81</v>
      </c>
      <c r="BG165" s="43" t="s">
        <v>86</v>
      </c>
      <c r="BH165" s="43" t="s">
        <v>177</v>
      </c>
      <c r="BI165" s="43" t="s">
        <v>7038</v>
      </c>
      <c r="BJ165" s="43" t="s">
        <v>7030</v>
      </c>
      <c r="BK165" s="43" t="s">
        <v>139</v>
      </c>
      <c r="BL165" s="43" t="s">
        <v>85</v>
      </c>
      <c r="BM165" s="43" t="s">
        <v>85</v>
      </c>
      <c r="BN165" s="43" t="s">
        <v>139</v>
      </c>
      <c r="BO165" s="46">
        <v>3.57</v>
      </c>
      <c r="BP165" s="43" t="s">
        <v>7032</v>
      </c>
      <c r="BQ165" s="43">
        <v>3.57</v>
      </c>
      <c r="BR165" s="43" t="s">
        <v>7032</v>
      </c>
      <c r="BS165" s="47">
        <v>3.57</v>
      </c>
      <c r="BT165" s="43" t="s">
        <v>7032</v>
      </c>
      <c r="BU165" s="43" t="s">
        <v>7032</v>
      </c>
      <c r="BV165" s="43" t="str">
        <f>CambioPlan[[#This Row],[TELEFONO]]&amp;"UPSELLSI"</f>
        <v>995390223UPSELLSI</v>
      </c>
      <c r="BW165" s="43">
        <f>DAY(CambioPlan[[#This Row],[FECHA_CAMBIO_PLAN]])</f>
        <v>10</v>
      </c>
      <c r="BX165" s="43" t="str">
        <f>VLOOKUP(CambioPlan[[#This Row],[NOM_PLAZA]],[1]!Locales[#Data],3,0)</f>
        <v>TIENDA RECREO</v>
      </c>
      <c r="BY165" s="43" t="str">
        <f>VLOOKUP(CambioPlan[[#This Row],[DOMAIN_LOGIN_OW]],[1]!Personal[#Data],6,0)</f>
        <v>CONDO GARCIA NICOLAS MATIAS</v>
      </c>
      <c r="BZ165" s="43"/>
      <c r="CA165" s="43" t="str">
        <f>IFERROR(IF(FIND("ADULTO",CambioPlan[[#This Row],[DESCRIPCION_PLAN_ACTUAL]],1),"NO SE PAGA",),"SI SE PAGA")</f>
        <v>SI SE PAGA</v>
      </c>
      <c r="CB165" s="45">
        <f>CambioPlan[[#This Row],[TARIFA_BASICA_ACTUAL]]-CambioPlan[[#This Row],[TARIFA_BASICA_ANTERIOR]]</f>
        <v>3.5700000000000021</v>
      </c>
      <c r="CC165" s="56">
        <f>CambioPlan[[#This Row],[DIF. TARIFAS]]*4</f>
        <v>14.280000000000008</v>
      </c>
      <c r="CD165" s="53" t="str">
        <f>IF(CambioPlan[[#This Row],[C. COMISIÓN TME]]&lt;0,"DOWNSELL",IF(CambioPlan[[#This Row],[C. COMISIÓN TME]]=0,"MISMA TARIFA",IF(CambioPlan[[#This Row],[C. COMISIÓN TME]]&gt;0,"UPSELL")))</f>
        <v>UPSELL</v>
      </c>
      <c r="CE165">
        <f>VLOOKUP(CambioPlan[[#This Row],[TARIFA_BASICA_ANTERIOR]],[3]Hoja1!$F:$G,2,0)</f>
        <v>1</v>
      </c>
      <c r="CF165">
        <f>VLOOKUP(CambioPlan[[#This Row],[TARIFA_BASICA_ACTUAL]],[3]Hoja1!$B:$C,2,0)</f>
        <v>2</v>
      </c>
      <c r="CG165">
        <f t="shared" si="2"/>
        <v>1</v>
      </c>
      <c r="CH165" t="e">
        <f>VLOOKUP(CambioPlan[[#This Row],[TELEFONO]],[1]Retenciones!$R$63:$R$287,1,0)</f>
        <v>#N/A</v>
      </c>
    </row>
    <row r="166" spans="1:86" x14ac:dyDescent="0.25">
      <c r="A166" s="43">
        <v>202212</v>
      </c>
      <c r="B166" s="44">
        <v>44914</v>
      </c>
      <c r="C166" s="43" t="s">
        <v>7627</v>
      </c>
      <c r="D166" s="43" t="s">
        <v>7628</v>
      </c>
      <c r="E166" s="43" t="s">
        <v>95</v>
      </c>
      <c r="F166" s="43" t="s">
        <v>231</v>
      </c>
      <c r="G166" s="43" t="s">
        <v>1378</v>
      </c>
      <c r="H166" s="43" t="s">
        <v>67</v>
      </c>
      <c r="I166" s="43" t="s">
        <v>7629</v>
      </c>
      <c r="J166" s="43" t="s">
        <v>7029</v>
      </c>
      <c r="K166" s="43" t="s">
        <v>118</v>
      </c>
      <c r="L166" s="43" t="s">
        <v>606</v>
      </c>
      <c r="M166" s="43" t="s">
        <v>1672</v>
      </c>
      <c r="N166" s="43" t="s">
        <v>79</v>
      </c>
      <c r="O166" s="45">
        <v>26.78</v>
      </c>
      <c r="P166" s="43" t="s">
        <v>95</v>
      </c>
      <c r="Q166" s="43" t="s">
        <v>95</v>
      </c>
      <c r="R166" s="43" t="s">
        <v>95</v>
      </c>
      <c r="S166" s="45">
        <v>0</v>
      </c>
      <c r="T166" s="43" t="s">
        <v>95</v>
      </c>
      <c r="U166" s="44" t="s">
        <v>95</v>
      </c>
      <c r="V166" s="44" t="s">
        <v>95</v>
      </c>
      <c r="W166" s="43" t="s">
        <v>95</v>
      </c>
      <c r="X166" s="45">
        <v>26.78</v>
      </c>
      <c r="Y166" s="43" t="s">
        <v>81</v>
      </c>
      <c r="Z166" s="43" t="s">
        <v>7595</v>
      </c>
      <c r="AA166" s="43" t="s">
        <v>7630</v>
      </c>
      <c r="AB166" s="43" t="s">
        <v>79</v>
      </c>
      <c r="AC166" s="45">
        <v>24.99</v>
      </c>
      <c r="AD166" s="43" t="s">
        <v>95</v>
      </c>
      <c r="AE166" s="43" t="s">
        <v>95</v>
      </c>
      <c r="AF166" s="43" t="s">
        <v>95</v>
      </c>
      <c r="AG166" s="43" t="s">
        <v>95</v>
      </c>
      <c r="AH166" s="45">
        <v>0</v>
      </c>
      <c r="AI166" s="43" t="s">
        <v>95</v>
      </c>
      <c r="AJ166" s="43" t="s">
        <v>95</v>
      </c>
      <c r="AK166" s="43" t="s">
        <v>95</v>
      </c>
      <c r="AL166" s="43" t="s">
        <v>95</v>
      </c>
      <c r="AM166" s="45">
        <v>24.99</v>
      </c>
      <c r="AN166" s="43" t="s">
        <v>81</v>
      </c>
      <c r="AO166" s="44">
        <v>44912</v>
      </c>
      <c r="AP166" s="43" t="s">
        <v>318</v>
      </c>
      <c r="AQ166" s="43" t="s">
        <v>319</v>
      </c>
      <c r="AR166" s="43" t="s">
        <v>318</v>
      </c>
      <c r="AS166" s="43" t="s">
        <v>319</v>
      </c>
      <c r="AT166" s="43" t="s">
        <v>85</v>
      </c>
      <c r="AU166" s="43" t="s">
        <v>7030</v>
      </c>
      <c r="AV166" s="43" t="s">
        <v>7031</v>
      </c>
      <c r="AW166" s="43" t="s">
        <v>7031</v>
      </c>
      <c r="AX166" s="43" t="s">
        <v>90</v>
      </c>
      <c r="AY166" s="43" t="s">
        <v>73</v>
      </c>
      <c r="AZ166" s="43" t="s">
        <v>7029</v>
      </c>
      <c r="BA166" s="43" t="s">
        <v>92</v>
      </c>
      <c r="BB166" s="45">
        <v>1.79</v>
      </c>
      <c r="BC166" s="45">
        <v>1.79</v>
      </c>
      <c r="BD166" s="43" t="s">
        <v>7032</v>
      </c>
      <c r="BE166" s="43" t="s">
        <v>81</v>
      </c>
      <c r="BF166" s="43" t="s">
        <v>81</v>
      </c>
      <c r="BG166" s="43" t="s">
        <v>86</v>
      </c>
      <c r="BH166" s="43" t="s">
        <v>151</v>
      </c>
      <c r="BI166" s="43" t="s">
        <v>7033</v>
      </c>
      <c r="BJ166" s="43" t="s">
        <v>7030</v>
      </c>
      <c r="BK166" s="43" t="s">
        <v>92</v>
      </c>
      <c r="BL166" s="43" t="s">
        <v>85</v>
      </c>
      <c r="BM166" s="43" t="s">
        <v>85</v>
      </c>
      <c r="BN166" s="43" t="s">
        <v>92</v>
      </c>
      <c r="BO166" s="46">
        <v>1.79</v>
      </c>
      <c r="BP166" s="43" t="s">
        <v>7032</v>
      </c>
      <c r="BQ166" s="43">
        <v>1.79</v>
      </c>
      <c r="BR166" s="43" t="s">
        <v>7032</v>
      </c>
      <c r="BS166" s="47">
        <v>1.79</v>
      </c>
      <c r="BT166" s="43" t="s">
        <v>7032</v>
      </c>
      <c r="BU166" s="43" t="s">
        <v>7032</v>
      </c>
      <c r="BV166" s="43" t="str">
        <f>CambioPlan[[#This Row],[TELEFONO]]&amp;"UPSELLSI"</f>
        <v>995401243UPSELLSI</v>
      </c>
      <c r="BW166" s="43">
        <f>DAY(CambioPlan[[#This Row],[FECHA_CAMBIO_PLAN]])</f>
        <v>17</v>
      </c>
      <c r="BX166" s="43" t="str">
        <f>VLOOKUP(CambioPlan[[#This Row],[NOM_PLAZA]],[1]!Locales[#Data],3,0)</f>
        <v>TIENDA CUENCA REMIGIO</v>
      </c>
      <c r="BY166" s="43" t="str">
        <f>VLOOKUP(CambioPlan[[#This Row],[DOMAIN_LOGIN_OW]],[1]!Personal[#Data],6,0)</f>
        <v>RODRIGUEZ QUITO JESSICA GABRIELA</v>
      </c>
      <c r="BZ166" s="43"/>
      <c r="CA166" s="43" t="str">
        <f>IFERROR(IF(FIND("ADULTO",CambioPlan[[#This Row],[DESCRIPCION_PLAN_ACTUAL]],1),"NO SE PAGA",),"SI SE PAGA")</f>
        <v>SI SE PAGA</v>
      </c>
      <c r="CB166" s="45">
        <f>CambioPlan[[#This Row],[TARIFA_BASICA_ACTUAL]]-CambioPlan[[#This Row],[TARIFA_BASICA_ANTERIOR]]</f>
        <v>1.7900000000000027</v>
      </c>
      <c r="CC166" s="56">
        <f>CambioPlan[[#This Row],[DIF. TARIFAS]]*4</f>
        <v>7.1600000000000108</v>
      </c>
      <c r="CD166" s="53" t="str">
        <f>IF(CambioPlan[[#This Row],[C. COMISIÓN TME]]&lt;0,"DOWNSELL",IF(CambioPlan[[#This Row],[C. COMISIÓN TME]]=0,"MISMA TARIFA",IF(CambioPlan[[#This Row],[C. COMISIÓN TME]]&gt;0,"UPSELL")))</f>
        <v>UPSELL</v>
      </c>
      <c r="CE166">
        <f>VLOOKUP(CambioPlan[[#This Row],[TARIFA_BASICA_ANTERIOR]],[3]Hoja1!$F:$G,2,0)</f>
        <v>4</v>
      </c>
      <c r="CF166">
        <f>VLOOKUP(CambioPlan[[#This Row],[TARIFA_BASICA_ACTUAL]],[3]Hoja1!$B:$C,2,0)</f>
        <v>4</v>
      </c>
      <c r="CG166">
        <f t="shared" si="2"/>
        <v>0</v>
      </c>
      <c r="CH166" t="e">
        <f>VLOOKUP(CambioPlan[[#This Row],[TELEFONO]],[1]Retenciones!$R$63:$R$287,1,0)</f>
        <v>#N/A</v>
      </c>
    </row>
    <row r="167" spans="1:86" x14ac:dyDescent="0.25">
      <c r="A167" s="43">
        <v>202212</v>
      </c>
      <c r="B167" s="44">
        <v>44914</v>
      </c>
      <c r="C167" s="43" t="s">
        <v>7631</v>
      </c>
      <c r="D167" s="43" t="s">
        <v>7632</v>
      </c>
      <c r="E167" s="43" t="s">
        <v>95</v>
      </c>
      <c r="F167" s="43" t="s">
        <v>77</v>
      </c>
      <c r="G167" s="43" t="s">
        <v>2241</v>
      </c>
      <c r="H167" s="43" t="s">
        <v>67</v>
      </c>
      <c r="I167" s="43" t="s">
        <v>7633</v>
      </c>
      <c r="J167" s="43" t="s">
        <v>7029</v>
      </c>
      <c r="K167" s="43" t="s">
        <v>84</v>
      </c>
      <c r="L167" s="43" t="s">
        <v>606</v>
      </c>
      <c r="M167" s="43" t="s">
        <v>1672</v>
      </c>
      <c r="N167" s="43" t="s">
        <v>79</v>
      </c>
      <c r="O167" s="45">
        <v>26.78</v>
      </c>
      <c r="P167" s="43" t="s">
        <v>95</v>
      </c>
      <c r="Q167" s="43" t="s">
        <v>95</v>
      </c>
      <c r="R167" s="43" t="s">
        <v>95</v>
      </c>
      <c r="S167" s="45">
        <v>0</v>
      </c>
      <c r="T167" s="43" t="s">
        <v>95</v>
      </c>
      <c r="U167" s="44" t="s">
        <v>95</v>
      </c>
      <c r="V167" s="44" t="s">
        <v>95</v>
      </c>
      <c r="W167" s="43" t="s">
        <v>95</v>
      </c>
      <c r="X167" s="45">
        <v>26.78</v>
      </c>
      <c r="Y167" s="43" t="s">
        <v>81</v>
      </c>
      <c r="Z167" s="43" t="s">
        <v>7487</v>
      </c>
      <c r="AA167" s="43" t="s">
        <v>113</v>
      </c>
      <c r="AB167" s="43" t="s">
        <v>79</v>
      </c>
      <c r="AC167" s="45">
        <v>16.989999999999998</v>
      </c>
      <c r="AD167" s="43" t="s">
        <v>95</v>
      </c>
      <c r="AE167" s="43" t="s">
        <v>95</v>
      </c>
      <c r="AF167" s="43" t="s">
        <v>95</v>
      </c>
      <c r="AG167" s="43" t="s">
        <v>95</v>
      </c>
      <c r="AH167" s="45">
        <v>0</v>
      </c>
      <c r="AI167" s="43" t="s">
        <v>95</v>
      </c>
      <c r="AJ167" s="43" t="s">
        <v>95</v>
      </c>
      <c r="AK167" s="43" t="s">
        <v>95</v>
      </c>
      <c r="AL167" s="43" t="s">
        <v>95</v>
      </c>
      <c r="AM167" s="45">
        <v>16.989999999999998</v>
      </c>
      <c r="AN167" s="43" t="s">
        <v>81</v>
      </c>
      <c r="AO167" s="44">
        <v>44902</v>
      </c>
      <c r="AP167" s="43" t="s">
        <v>492</v>
      </c>
      <c r="AQ167" s="43" t="s">
        <v>493</v>
      </c>
      <c r="AR167" s="43" t="s">
        <v>492</v>
      </c>
      <c r="AS167" s="43" t="s">
        <v>493</v>
      </c>
      <c r="AT167" s="43" t="s">
        <v>85</v>
      </c>
      <c r="AU167" s="43" t="s">
        <v>7030</v>
      </c>
      <c r="AV167" s="43" t="s">
        <v>7031</v>
      </c>
      <c r="AW167" s="43" t="s">
        <v>7031</v>
      </c>
      <c r="AX167" s="43" t="s">
        <v>90</v>
      </c>
      <c r="AY167" s="43" t="s">
        <v>132</v>
      </c>
      <c r="AZ167" s="43" t="s">
        <v>7037</v>
      </c>
      <c r="BA167" s="43" t="s">
        <v>139</v>
      </c>
      <c r="BB167" s="45">
        <v>9.7899999999999991</v>
      </c>
      <c r="BC167" s="45">
        <v>9.7899999999999991</v>
      </c>
      <c r="BD167" s="43" t="s">
        <v>7032</v>
      </c>
      <c r="BE167" s="43" t="s">
        <v>81</v>
      </c>
      <c r="BF167" s="43" t="s">
        <v>81</v>
      </c>
      <c r="BG167" s="43" t="s">
        <v>86</v>
      </c>
      <c r="BH167" s="43" t="s">
        <v>177</v>
      </c>
      <c r="BI167" s="43" t="s">
        <v>7038</v>
      </c>
      <c r="BJ167" s="43" t="s">
        <v>7030</v>
      </c>
      <c r="BK167" s="43" t="s">
        <v>139</v>
      </c>
      <c r="BL167" s="43" t="s">
        <v>85</v>
      </c>
      <c r="BM167" s="43" t="s">
        <v>85</v>
      </c>
      <c r="BN167" s="43" t="s">
        <v>139</v>
      </c>
      <c r="BO167" s="46">
        <v>9.7899999999999991</v>
      </c>
      <c r="BP167" s="43" t="s">
        <v>7032</v>
      </c>
      <c r="BQ167" s="43">
        <v>9.7899999999999991</v>
      </c>
      <c r="BR167" s="43" t="s">
        <v>7032</v>
      </c>
      <c r="BS167" s="47">
        <v>9.7899999999999991</v>
      </c>
      <c r="BT167" s="43" t="s">
        <v>7032</v>
      </c>
      <c r="BU167" s="43" t="s">
        <v>7032</v>
      </c>
      <c r="BV167" s="43" t="str">
        <f>CambioPlan[[#This Row],[TELEFONO]]&amp;"UPSELLSI"</f>
        <v>995447670UPSELLSI</v>
      </c>
      <c r="BW167" s="43">
        <f>DAY(CambioPlan[[#This Row],[FECHA_CAMBIO_PLAN]])</f>
        <v>7</v>
      </c>
      <c r="BX167" s="43" t="str">
        <f>VLOOKUP(CambioPlan[[#This Row],[NOM_PLAZA]],[1]!Locales[#Data],3,0)</f>
        <v>TIENDA RECREO</v>
      </c>
      <c r="BY167" s="43" t="str">
        <f>VLOOKUP(CambioPlan[[#This Row],[DOMAIN_LOGIN_OW]],[1]!Personal[#Data],6,0)</f>
        <v>CONDO GARCIA NICOLAS MATIAS</v>
      </c>
      <c r="BZ167" s="43"/>
      <c r="CA167" s="43" t="str">
        <f>IFERROR(IF(FIND("ADULTO",CambioPlan[[#This Row],[DESCRIPCION_PLAN_ACTUAL]],1),"NO SE PAGA",),"SI SE PAGA")</f>
        <v>SI SE PAGA</v>
      </c>
      <c r="CB167" s="45">
        <f>CambioPlan[[#This Row],[TARIFA_BASICA_ACTUAL]]-CambioPlan[[#This Row],[TARIFA_BASICA_ANTERIOR]]</f>
        <v>9.7900000000000027</v>
      </c>
      <c r="CC167" s="56">
        <f>CambioPlan[[#This Row],[DIF. TARIFAS]]*4</f>
        <v>39.160000000000011</v>
      </c>
      <c r="CD167" s="53" t="str">
        <f>IF(CambioPlan[[#This Row],[C. COMISIÓN TME]]&lt;0,"DOWNSELL",IF(CambioPlan[[#This Row],[C. COMISIÓN TME]]=0,"MISMA TARIFA",IF(CambioPlan[[#This Row],[C. COMISIÓN TME]]&gt;0,"UPSELL")))</f>
        <v>UPSELL</v>
      </c>
      <c r="CE167">
        <f>VLOOKUP(CambioPlan[[#This Row],[TARIFA_BASICA_ANTERIOR]],[3]Hoja1!$F:$G,2,0)</f>
        <v>2</v>
      </c>
      <c r="CF167">
        <f>VLOOKUP(CambioPlan[[#This Row],[TARIFA_BASICA_ACTUAL]],[3]Hoja1!$B:$C,2,0)</f>
        <v>4</v>
      </c>
      <c r="CG167">
        <f t="shared" si="2"/>
        <v>2</v>
      </c>
      <c r="CH167" t="str">
        <f>VLOOKUP(CambioPlan[[#This Row],[TELEFONO]],[1]Retenciones!$R$63:$R$287,1,0)</f>
        <v>995447670</v>
      </c>
    </row>
    <row r="168" spans="1:86" x14ac:dyDescent="0.25">
      <c r="A168" s="43">
        <v>202212</v>
      </c>
      <c r="B168" s="44">
        <v>44914</v>
      </c>
      <c r="C168" s="43" t="s">
        <v>7634</v>
      </c>
      <c r="D168" s="43" t="s">
        <v>7635</v>
      </c>
      <c r="E168" s="43" t="s">
        <v>95</v>
      </c>
      <c r="F168" s="43" t="s">
        <v>77</v>
      </c>
      <c r="G168" s="43" t="s">
        <v>164</v>
      </c>
      <c r="H168" s="43" t="s">
        <v>67</v>
      </c>
      <c r="I168" s="43" t="s">
        <v>7636</v>
      </c>
      <c r="J168" s="43" t="s">
        <v>7029</v>
      </c>
      <c r="K168" s="43" t="s">
        <v>118</v>
      </c>
      <c r="L168" s="43" t="s">
        <v>71</v>
      </c>
      <c r="M168" s="43" t="s">
        <v>258</v>
      </c>
      <c r="N168" s="43" t="s">
        <v>79</v>
      </c>
      <c r="O168" s="45">
        <v>11.42</v>
      </c>
      <c r="P168" s="43" t="s">
        <v>95</v>
      </c>
      <c r="Q168" s="43" t="s">
        <v>95</v>
      </c>
      <c r="R168" s="43" t="s">
        <v>95</v>
      </c>
      <c r="S168" s="45">
        <v>0</v>
      </c>
      <c r="T168" s="43" t="s">
        <v>95</v>
      </c>
      <c r="U168" s="44" t="s">
        <v>95</v>
      </c>
      <c r="V168" s="44" t="s">
        <v>95</v>
      </c>
      <c r="W168" s="43" t="s">
        <v>95</v>
      </c>
      <c r="X168" s="45">
        <v>11.42</v>
      </c>
      <c r="Y168" s="43" t="s">
        <v>81</v>
      </c>
      <c r="Z168" s="43" t="s">
        <v>160</v>
      </c>
      <c r="AA168" s="43" t="s">
        <v>161</v>
      </c>
      <c r="AB168" s="43" t="s">
        <v>79</v>
      </c>
      <c r="AC168" s="45">
        <v>14.28</v>
      </c>
      <c r="AD168" s="43" t="s">
        <v>95</v>
      </c>
      <c r="AE168" s="43" t="s">
        <v>95</v>
      </c>
      <c r="AF168" s="43" t="s">
        <v>95</v>
      </c>
      <c r="AG168" s="43" t="s">
        <v>95</v>
      </c>
      <c r="AH168" s="45">
        <v>0</v>
      </c>
      <c r="AI168" s="43" t="s">
        <v>95</v>
      </c>
      <c r="AJ168" s="43" t="s">
        <v>95</v>
      </c>
      <c r="AK168" s="43" t="s">
        <v>95</v>
      </c>
      <c r="AL168" s="43" t="s">
        <v>95</v>
      </c>
      <c r="AM168" s="45">
        <v>14.28</v>
      </c>
      <c r="AN168" s="43" t="s">
        <v>81</v>
      </c>
      <c r="AO168" s="44">
        <v>44909</v>
      </c>
      <c r="AP168" s="43" t="s">
        <v>262</v>
      </c>
      <c r="AQ168" s="43" t="s">
        <v>263</v>
      </c>
      <c r="AR168" s="43" t="s">
        <v>262</v>
      </c>
      <c r="AS168" s="43" t="s">
        <v>263</v>
      </c>
      <c r="AT168" s="43" t="s">
        <v>85</v>
      </c>
      <c r="AU168" s="43" t="s">
        <v>7030</v>
      </c>
      <c r="AV168" s="43" t="s">
        <v>7031</v>
      </c>
      <c r="AW168" s="43" t="s">
        <v>7031</v>
      </c>
      <c r="AX168" s="43" t="s">
        <v>90</v>
      </c>
      <c r="AY168" s="43" t="s">
        <v>132</v>
      </c>
      <c r="AZ168" s="43" t="s">
        <v>7037</v>
      </c>
      <c r="BA168" s="43" t="s">
        <v>139</v>
      </c>
      <c r="BB168" s="45">
        <v>-2.86</v>
      </c>
      <c r="BC168" s="45">
        <v>-2.86</v>
      </c>
      <c r="BD168" s="43" t="s">
        <v>7106</v>
      </c>
      <c r="BE168" s="43" t="s">
        <v>81</v>
      </c>
      <c r="BF168" s="43" t="s">
        <v>81</v>
      </c>
      <c r="BG168" s="43" t="s">
        <v>86</v>
      </c>
      <c r="BH168" s="43" t="s">
        <v>177</v>
      </c>
      <c r="BI168" s="43" t="s">
        <v>7038</v>
      </c>
      <c r="BJ168" s="43" t="s">
        <v>7030</v>
      </c>
      <c r="BK168" s="43" t="s">
        <v>139</v>
      </c>
      <c r="BL168" s="43" t="s">
        <v>85</v>
      </c>
      <c r="BM168" s="43" t="s">
        <v>85</v>
      </c>
      <c r="BN168" s="43" t="s">
        <v>139</v>
      </c>
      <c r="BO168" s="46">
        <v>-2.86</v>
      </c>
      <c r="BP168" s="43" t="s">
        <v>7106</v>
      </c>
      <c r="BQ168" s="43">
        <v>-2.86</v>
      </c>
      <c r="BR168" s="43" t="s">
        <v>7106</v>
      </c>
      <c r="BS168" s="47">
        <v>-2.86</v>
      </c>
      <c r="BT168" s="43" t="s">
        <v>7106</v>
      </c>
      <c r="BU168" s="43" t="s">
        <v>7106</v>
      </c>
      <c r="BV168" s="43" t="str">
        <f>CambioPlan[[#This Row],[TELEFONO]]&amp;"UPSELLSI"</f>
        <v>995474578UPSELLSI</v>
      </c>
      <c r="BW168" s="43">
        <f>DAY(CambioPlan[[#This Row],[FECHA_CAMBIO_PLAN]])</f>
        <v>14</v>
      </c>
      <c r="BX168" s="43" t="str">
        <f>VLOOKUP(CambioPlan[[#This Row],[NOM_PLAZA]],[1]!Locales[#Data],3,0)</f>
        <v>TIENDA RECREO</v>
      </c>
      <c r="BY168" s="43" t="str">
        <f>VLOOKUP(CambioPlan[[#This Row],[DOMAIN_LOGIN_OW]],[1]!Personal[#Data],6,0)</f>
        <v>CHICAIZA TOAPANTA ALEX DANILO</v>
      </c>
      <c r="BZ168" s="43"/>
      <c r="CA168" s="43" t="str">
        <f>IFERROR(IF(FIND("ADULTO",CambioPlan[[#This Row],[DESCRIPCION_PLAN_ACTUAL]],1),"NO SE PAGA",),"SI SE PAGA")</f>
        <v>SI SE PAGA</v>
      </c>
      <c r="CB168" s="45">
        <f>CambioPlan[[#This Row],[TARIFA_BASICA_ACTUAL]]-CambioPlan[[#This Row],[TARIFA_BASICA_ANTERIOR]]</f>
        <v>-2.8599999999999994</v>
      </c>
      <c r="CC168" s="56">
        <f>CambioPlan[[#This Row],[DIF. TARIFAS]]*4</f>
        <v>-11.439999999999998</v>
      </c>
      <c r="CD168" s="53" t="str">
        <f>IF(CambioPlan[[#This Row],[C. COMISIÓN TME]]&lt;0,"DOWNSELL",IF(CambioPlan[[#This Row],[C. COMISIÓN TME]]=0,"MISMA TARIFA",IF(CambioPlan[[#This Row],[C. COMISIÓN TME]]&gt;0,"UPSELL")))</f>
        <v>DOWNSELL</v>
      </c>
      <c r="CE168">
        <f>VLOOKUP(CambioPlan[[#This Row],[TARIFA_BASICA_ANTERIOR]],[3]Hoja1!$F:$G,2,0)</f>
        <v>1</v>
      </c>
      <c r="CF168">
        <f>VLOOKUP(CambioPlan[[#This Row],[TARIFA_BASICA_ACTUAL]],[3]Hoja1!$B:$C,2,0)</f>
        <v>0</v>
      </c>
      <c r="CG168">
        <f t="shared" si="2"/>
        <v>-1</v>
      </c>
      <c r="CH168" t="e">
        <f>VLOOKUP(CambioPlan[[#This Row],[TELEFONO]],[1]Retenciones!$R$63:$R$287,1,0)</f>
        <v>#N/A</v>
      </c>
    </row>
    <row r="169" spans="1:86" x14ac:dyDescent="0.25">
      <c r="A169" s="43">
        <v>202212</v>
      </c>
      <c r="B169" s="44">
        <v>44914</v>
      </c>
      <c r="C169" s="43" t="s">
        <v>7637</v>
      </c>
      <c r="D169" s="43" t="s">
        <v>7638</v>
      </c>
      <c r="E169" s="43" t="s">
        <v>95</v>
      </c>
      <c r="F169" s="43" t="s">
        <v>231</v>
      </c>
      <c r="G169" s="43" t="s">
        <v>231</v>
      </c>
      <c r="H169" s="43" t="s">
        <v>67</v>
      </c>
      <c r="I169" s="43" t="s">
        <v>7639</v>
      </c>
      <c r="J169" s="43" t="s">
        <v>7047</v>
      </c>
      <c r="K169" s="43" t="s">
        <v>118</v>
      </c>
      <c r="L169" s="43" t="s">
        <v>4963</v>
      </c>
      <c r="M169" s="43" t="s">
        <v>4964</v>
      </c>
      <c r="N169" s="43" t="s">
        <v>79</v>
      </c>
      <c r="O169" s="45">
        <v>32.130000000000003</v>
      </c>
      <c r="P169" s="43" t="s">
        <v>95</v>
      </c>
      <c r="Q169" s="43" t="s">
        <v>95</v>
      </c>
      <c r="R169" s="43" t="s">
        <v>95</v>
      </c>
      <c r="S169" s="45">
        <v>0</v>
      </c>
      <c r="T169" s="43" t="s">
        <v>95</v>
      </c>
      <c r="U169" s="44" t="s">
        <v>95</v>
      </c>
      <c r="V169" s="44" t="s">
        <v>95</v>
      </c>
      <c r="W169" s="43" t="s">
        <v>95</v>
      </c>
      <c r="X169" s="45">
        <v>32.130000000000003</v>
      </c>
      <c r="Y169" s="43" t="s">
        <v>81</v>
      </c>
      <c r="Z169" s="43" t="s">
        <v>7213</v>
      </c>
      <c r="AA169" s="43" t="s">
        <v>7477</v>
      </c>
      <c r="AB169" s="43" t="s">
        <v>79</v>
      </c>
      <c r="AC169" s="45">
        <v>24.99</v>
      </c>
      <c r="AD169" s="43" t="s">
        <v>95</v>
      </c>
      <c r="AE169" s="43" t="s">
        <v>95</v>
      </c>
      <c r="AF169" s="43" t="s">
        <v>95</v>
      </c>
      <c r="AG169" s="43" t="s">
        <v>95</v>
      </c>
      <c r="AH169" s="45">
        <v>0</v>
      </c>
      <c r="AI169" s="43" t="s">
        <v>95</v>
      </c>
      <c r="AJ169" s="43" t="s">
        <v>95</v>
      </c>
      <c r="AK169" s="43" t="s">
        <v>95</v>
      </c>
      <c r="AL169" s="43" t="s">
        <v>95</v>
      </c>
      <c r="AM169" s="45">
        <v>24.99</v>
      </c>
      <c r="AN169" s="43" t="s">
        <v>81</v>
      </c>
      <c r="AO169" s="44">
        <v>44904</v>
      </c>
      <c r="AP169" s="43" t="s">
        <v>808</v>
      </c>
      <c r="AQ169" s="43" t="s">
        <v>809</v>
      </c>
      <c r="AR169" s="43" t="s">
        <v>808</v>
      </c>
      <c r="AS169" s="43" t="s">
        <v>809</v>
      </c>
      <c r="AT169" s="43" t="s">
        <v>85</v>
      </c>
      <c r="AU169" s="43" t="s">
        <v>7030</v>
      </c>
      <c r="AV169" s="43" t="s">
        <v>7031</v>
      </c>
      <c r="AW169" s="43" t="s">
        <v>7031</v>
      </c>
      <c r="AX169" s="43" t="s">
        <v>90</v>
      </c>
      <c r="AY169" s="43" t="s">
        <v>114</v>
      </c>
      <c r="AZ169" s="43" t="s">
        <v>7047</v>
      </c>
      <c r="BA169" s="43" t="s">
        <v>92</v>
      </c>
      <c r="BB169" s="45">
        <v>7.14</v>
      </c>
      <c r="BC169" s="45">
        <v>7.14</v>
      </c>
      <c r="BD169" s="43" t="s">
        <v>7032</v>
      </c>
      <c r="BE169" s="43" t="s">
        <v>81</v>
      </c>
      <c r="BF169" s="43" t="s">
        <v>81</v>
      </c>
      <c r="BG169" s="43" t="s">
        <v>86</v>
      </c>
      <c r="BH169" s="43" t="s">
        <v>122</v>
      </c>
      <c r="BI169" s="43" t="s">
        <v>7048</v>
      </c>
      <c r="BJ169" s="43" t="s">
        <v>7030</v>
      </c>
      <c r="BK169" s="43" t="s">
        <v>92</v>
      </c>
      <c r="BL169" s="43" t="s">
        <v>85</v>
      </c>
      <c r="BM169" s="43" t="s">
        <v>85</v>
      </c>
      <c r="BN169" s="43" t="s">
        <v>92</v>
      </c>
      <c r="BO169" s="46">
        <v>7.14</v>
      </c>
      <c r="BP169" s="43" t="s">
        <v>7032</v>
      </c>
      <c r="BQ169" s="43">
        <v>7.14</v>
      </c>
      <c r="BR169" s="43" t="s">
        <v>7032</v>
      </c>
      <c r="BS169" s="47">
        <v>7.14</v>
      </c>
      <c r="BT169" s="43" t="s">
        <v>7032</v>
      </c>
      <c r="BU169" s="43" t="s">
        <v>7032</v>
      </c>
      <c r="BV169" s="43" t="str">
        <f>CambioPlan[[#This Row],[TELEFONO]]&amp;"UPSELLSI"</f>
        <v>995509875UPSELLSI</v>
      </c>
      <c r="BW169" s="43">
        <f>DAY(CambioPlan[[#This Row],[FECHA_CAMBIO_PLAN]])</f>
        <v>9</v>
      </c>
      <c r="BX169" s="43" t="str">
        <f>VLOOKUP(CambioPlan[[#This Row],[NOM_PLAZA]],[1]!Locales[#Data],3,0)</f>
        <v>TIENDA MACHALA</v>
      </c>
      <c r="BY169" s="43" t="str">
        <f>VLOOKUP(CambioPlan[[#This Row],[DOMAIN_LOGIN_OW]],[1]!Personal[#Data],6,0)</f>
        <v>ALICIA ROMINA GONZALEZ SANDOYA</v>
      </c>
      <c r="BZ169" s="43"/>
      <c r="CA169" s="43" t="str">
        <f>IFERROR(IF(FIND("ADULTO",CambioPlan[[#This Row],[DESCRIPCION_PLAN_ACTUAL]],1),"NO SE PAGA",),"SI SE PAGA")</f>
        <v>SI SE PAGA</v>
      </c>
      <c r="CB169" s="45">
        <f>CambioPlan[[#This Row],[TARIFA_BASICA_ACTUAL]]-CambioPlan[[#This Row],[TARIFA_BASICA_ANTERIOR]]</f>
        <v>7.1400000000000041</v>
      </c>
      <c r="CC169" s="56">
        <f>CambioPlan[[#This Row],[DIF. TARIFAS]]*4</f>
        <v>28.560000000000016</v>
      </c>
      <c r="CD169" s="53" t="str">
        <f>IF(CambioPlan[[#This Row],[C. COMISIÓN TME]]&lt;0,"DOWNSELL",IF(CambioPlan[[#This Row],[C. COMISIÓN TME]]=0,"MISMA TARIFA",IF(CambioPlan[[#This Row],[C. COMISIÓN TME]]&gt;0,"UPSELL")))</f>
        <v>UPSELL</v>
      </c>
      <c r="CE169">
        <f>VLOOKUP(CambioPlan[[#This Row],[TARIFA_BASICA_ANTERIOR]],[3]Hoja1!$F:$G,2,0)</f>
        <v>4</v>
      </c>
      <c r="CF169">
        <f>VLOOKUP(CambioPlan[[#This Row],[TARIFA_BASICA_ACTUAL]],[3]Hoja1!$B:$C,2,0)</f>
        <v>5</v>
      </c>
      <c r="CG169">
        <f t="shared" si="2"/>
        <v>1</v>
      </c>
      <c r="CH169" t="e">
        <f>VLOOKUP(CambioPlan[[#This Row],[TELEFONO]],[1]Retenciones!$R$63:$R$287,1,0)</f>
        <v>#N/A</v>
      </c>
    </row>
    <row r="170" spans="1:86" x14ac:dyDescent="0.25">
      <c r="A170" s="43">
        <v>202212</v>
      </c>
      <c r="B170" s="44">
        <v>44914</v>
      </c>
      <c r="C170" s="43" t="s">
        <v>7640</v>
      </c>
      <c r="D170" s="43" t="s">
        <v>7641</v>
      </c>
      <c r="E170" s="43" t="s">
        <v>95</v>
      </c>
      <c r="F170" s="43" t="s">
        <v>77</v>
      </c>
      <c r="G170" s="43" t="s">
        <v>164</v>
      </c>
      <c r="H170" s="43" t="s">
        <v>67</v>
      </c>
      <c r="I170" s="43" t="s">
        <v>7642</v>
      </c>
      <c r="J170" s="43" t="s">
        <v>7037</v>
      </c>
      <c r="K170" s="43" t="s">
        <v>118</v>
      </c>
      <c r="L170" s="43" t="s">
        <v>71</v>
      </c>
      <c r="M170" s="43" t="s">
        <v>258</v>
      </c>
      <c r="N170" s="43" t="s">
        <v>79</v>
      </c>
      <c r="O170" s="45">
        <v>11.42</v>
      </c>
      <c r="P170" s="43" t="s">
        <v>95</v>
      </c>
      <c r="Q170" s="43" t="s">
        <v>95</v>
      </c>
      <c r="R170" s="43" t="s">
        <v>95</v>
      </c>
      <c r="S170" s="45">
        <v>0</v>
      </c>
      <c r="T170" s="43" t="s">
        <v>95</v>
      </c>
      <c r="U170" s="44" t="s">
        <v>95</v>
      </c>
      <c r="V170" s="44" t="s">
        <v>95</v>
      </c>
      <c r="W170" s="43" t="s">
        <v>95</v>
      </c>
      <c r="X170" s="45">
        <v>11.42</v>
      </c>
      <c r="Y170" s="43" t="s">
        <v>81</v>
      </c>
      <c r="Z170" s="43" t="s">
        <v>160</v>
      </c>
      <c r="AA170" s="43" t="s">
        <v>161</v>
      </c>
      <c r="AB170" s="43" t="s">
        <v>79</v>
      </c>
      <c r="AC170" s="45">
        <v>14.28</v>
      </c>
      <c r="AD170" s="43" t="s">
        <v>95</v>
      </c>
      <c r="AE170" s="43" t="s">
        <v>95</v>
      </c>
      <c r="AF170" s="43" t="s">
        <v>95</v>
      </c>
      <c r="AG170" s="43" t="s">
        <v>95</v>
      </c>
      <c r="AH170" s="45">
        <v>0</v>
      </c>
      <c r="AI170" s="43" t="s">
        <v>95</v>
      </c>
      <c r="AJ170" s="43" t="s">
        <v>95</v>
      </c>
      <c r="AK170" s="43" t="s">
        <v>95</v>
      </c>
      <c r="AL170" s="43" t="s">
        <v>95</v>
      </c>
      <c r="AM170" s="45">
        <v>14.28</v>
      </c>
      <c r="AN170" s="43" t="s">
        <v>81</v>
      </c>
      <c r="AO170" s="44">
        <v>44896</v>
      </c>
      <c r="AP170" s="43" t="s">
        <v>262</v>
      </c>
      <c r="AQ170" s="43" t="s">
        <v>263</v>
      </c>
      <c r="AR170" s="43" t="s">
        <v>262</v>
      </c>
      <c r="AS170" s="43" t="s">
        <v>263</v>
      </c>
      <c r="AT170" s="43" t="s">
        <v>85</v>
      </c>
      <c r="AU170" s="43" t="s">
        <v>7030</v>
      </c>
      <c r="AV170" s="43" t="s">
        <v>7031</v>
      </c>
      <c r="AW170" s="43" t="s">
        <v>7031</v>
      </c>
      <c r="AX170" s="43" t="s">
        <v>90</v>
      </c>
      <c r="AY170" s="43" t="s">
        <v>132</v>
      </c>
      <c r="AZ170" s="43" t="s">
        <v>7037</v>
      </c>
      <c r="BA170" s="43" t="s">
        <v>139</v>
      </c>
      <c r="BB170" s="45">
        <v>-2.86</v>
      </c>
      <c r="BC170" s="45">
        <v>-2.86</v>
      </c>
      <c r="BD170" s="43" t="s">
        <v>7106</v>
      </c>
      <c r="BE170" s="43" t="s">
        <v>81</v>
      </c>
      <c r="BF170" s="43" t="s">
        <v>81</v>
      </c>
      <c r="BG170" s="43" t="s">
        <v>86</v>
      </c>
      <c r="BH170" s="43" t="s">
        <v>177</v>
      </c>
      <c r="BI170" s="43" t="s">
        <v>7038</v>
      </c>
      <c r="BJ170" s="43" t="s">
        <v>7030</v>
      </c>
      <c r="BK170" s="43" t="s">
        <v>139</v>
      </c>
      <c r="BL170" s="43" t="s">
        <v>85</v>
      </c>
      <c r="BM170" s="43" t="s">
        <v>85</v>
      </c>
      <c r="BN170" s="43" t="s">
        <v>139</v>
      </c>
      <c r="BO170" s="46">
        <v>-2.86</v>
      </c>
      <c r="BP170" s="43" t="s">
        <v>7106</v>
      </c>
      <c r="BQ170" s="43">
        <v>-2.86</v>
      </c>
      <c r="BR170" s="43" t="s">
        <v>7106</v>
      </c>
      <c r="BS170" s="47">
        <v>-2.86</v>
      </c>
      <c r="BT170" s="43" t="s">
        <v>7106</v>
      </c>
      <c r="BU170" s="43" t="s">
        <v>7106</v>
      </c>
      <c r="BV170" s="43" t="str">
        <f>CambioPlan[[#This Row],[TELEFONO]]&amp;"UPSELLSI"</f>
        <v>995531188UPSELLSI</v>
      </c>
      <c r="BW170" s="43">
        <f>DAY(CambioPlan[[#This Row],[FECHA_CAMBIO_PLAN]])</f>
        <v>1</v>
      </c>
      <c r="BX170" s="43" t="str">
        <f>VLOOKUP(CambioPlan[[#This Row],[NOM_PLAZA]],[1]!Locales[#Data],3,0)</f>
        <v>TIENDA RECREO</v>
      </c>
      <c r="BY170" s="43" t="str">
        <f>VLOOKUP(CambioPlan[[#This Row],[DOMAIN_LOGIN_OW]],[1]!Personal[#Data],6,0)</f>
        <v>CHICAIZA TOAPANTA ALEX DANILO</v>
      </c>
      <c r="BZ170" s="43"/>
      <c r="CA170" s="43" t="str">
        <f>IFERROR(IF(FIND("ADULTO",CambioPlan[[#This Row],[DESCRIPCION_PLAN_ACTUAL]],1),"NO SE PAGA",),"SI SE PAGA")</f>
        <v>SI SE PAGA</v>
      </c>
      <c r="CB170" s="45">
        <f>CambioPlan[[#This Row],[TARIFA_BASICA_ACTUAL]]-CambioPlan[[#This Row],[TARIFA_BASICA_ANTERIOR]]</f>
        <v>-2.8599999999999994</v>
      </c>
      <c r="CC170" s="56">
        <f>CambioPlan[[#This Row],[DIF. TARIFAS]]*4</f>
        <v>-11.439999999999998</v>
      </c>
      <c r="CD170" s="53" t="str">
        <f>IF(CambioPlan[[#This Row],[C. COMISIÓN TME]]&lt;0,"DOWNSELL",IF(CambioPlan[[#This Row],[C. COMISIÓN TME]]=0,"MISMA TARIFA",IF(CambioPlan[[#This Row],[C. COMISIÓN TME]]&gt;0,"UPSELL")))</f>
        <v>DOWNSELL</v>
      </c>
      <c r="CE170">
        <f>VLOOKUP(CambioPlan[[#This Row],[TARIFA_BASICA_ANTERIOR]],[3]Hoja1!$F:$G,2,0)</f>
        <v>1</v>
      </c>
      <c r="CF170">
        <f>VLOOKUP(CambioPlan[[#This Row],[TARIFA_BASICA_ACTUAL]],[3]Hoja1!$B:$C,2,0)</f>
        <v>0</v>
      </c>
      <c r="CG170">
        <f t="shared" si="2"/>
        <v>-1</v>
      </c>
      <c r="CH170" t="e">
        <f>VLOOKUP(CambioPlan[[#This Row],[TELEFONO]],[1]Retenciones!$R$63:$R$287,1,0)</f>
        <v>#N/A</v>
      </c>
    </row>
    <row r="171" spans="1:86" x14ac:dyDescent="0.25">
      <c r="A171" s="43">
        <v>202212</v>
      </c>
      <c r="B171" s="44">
        <v>44914</v>
      </c>
      <c r="C171" s="43" t="s">
        <v>7643</v>
      </c>
      <c r="D171" s="43" t="s">
        <v>7644</v>
      </c>
      <c r="E171" s="43" t="s">
        <v>95</v>
      </c>
      <c r="F171" s="43" t="s">
        <v>77</v>
      </c>
      <c r="G171" s="43" t="s">
        <v>1532</v>
      </c>
      <c r="H171" s="43" t="s">
        <v>67</v>
      </c>
      <c r="I171" s="43" t="s">
        <v>182</v>
      </c>
      <c r="J171" s="43" t="s">
        <v>7037</v>
      </c>
      <c r="K171" s="43" t="s">
        <v>118</v>
      </c>
      <c r="L171" s="43" t="s">
        <v>359</v>
      </c>
      <c r="M171" s="43" t="s">
        <v>360</v>
      </c>
      <c r="N171" s="43" t="s">
        <v>79</v>
      </c>
      <c r="O171" s="45">
        <v>14.28</v>
      </c>
      <c r="P171" s="43" t="s">
        <v>95</v>
      </c>
      <c r="Q171" s="43" t="s">
        <v>95</v>
      </c>
      <c r="R171" s="43" t="s">
        <v>95</v>
      </c>
      <c r="S171" s="45">
        <v>0</v>
      </c>
      <c r="T171" s="43" t="s">
        <v>95</v>
      </c>
      <c r="U171" s="44" t="s">
        <v>95</v>
      </c>
      <c r="V171" s="44" t="s">
        <v>95</v>
      </c>
      <c r="W171" s="43" t="s">
        <v>95</v>
      </c>
      <c r="X171" s="45">
        <v>14.28</v>
      </c>
      <c r="Y171" s="43" t="s">
        <v>81</v>
      </c>
      <c r="Z171" s="43" t="s">
        <v>7615</v>
      </c>
      <c r="AA171" s="43" t="s">
        <v>7616</v>
      </c>
      <c r="AB171" s="43" t="s">
        <v>79</v>
      </c>
      <c r="AC171" s="45">
        <v>10.54</v>
      </c>
      <c r="AD171" s="43" t="s">
        <v>95</v>
      </c>
      <c r="AE171" s="43" t="s">
        <v>95</v>
      </c>
      <c r="AF171" s="43" t="s">
        <v>95</v>
      </c>
      <c r="AG171" s="43" t="s">
        <v>95</v>
      </c>
      <c r="AH171" s="45">
        <v>0</v>
      </c>
      <c r="AI171" s="43" t="s">
        <v>95</v>
      </c>
      <c r="AJ171" s="43" t="s">
        <v>95</v>
      </c>
      <c r="AK171" s="43" t="s">
        <v>95</v>
      </c>
      <c r="AL171" s="43" t="s">
        <v>95</v>
      </c>
      <c r="AM171" s="45">
        <v>10.54</v>
      </c>
      <c r="AN171" s="43" t="s">
        <v>81</v>
      </c>
      <c r="AO171" s="44">
        <v>44912</v>
      </c>
      <c r="AP171" s="43" t="s">
        <v>187</v>
      </c>
      <c r="AQ171" s="43" t="s">
        <v>188</v>
      </c>
      <c r="AR171" s="43" t="s">
        <v>187</v>
      </c>
      <c r="AS171" s="43" t="s">
        <v>188</v>
      </c>
      <c r="AT171" s="43" t="s">
        <v>85</v>
      </c>
      <c r="AU171" s="43" t="s">
        <v>7030</v>
      </c>
      <c r="AV171" s="43" t="s">
        <v>7031</v>
      </c>
      <c r="AW171" s="43" t="s">
        <v>7031</v>
      </c>
      <c r="AX171" s="43" t="s">
        <v>90</v>
      </c>
      <c r="AY171" s="43" t="s">
        <v>132</v>
      </c>
      <c r="AZ171" s="43" t="s">
        <v>7037</v>
      </c>
      <c r="BA171" s="43" t="s">
        <v>139</v>
      </c>
      <c r="BB171" s="45">
        <v>3.74</v>
      </c>
      <c r="BC171" s="45">
        <v>3.74</v>
      </c>
      <c r="BD171" s="43" t="s">
        <v>7032</v>
      </c>
      <c r="BE171" s="43" t="s">
        <v>81</v>
      </c>
      <c r="BF171" s="43" t="s">
        <v>81</v>
      </c>
      <c r="BG171" s="43" t="s">
        <v>86</v>
      </c>
      <c r="BH171" s="43" t="s">
        <v>177</v>
      </c>
      <c r="BI171" s="43" t="s">
        <v>7038</v>
      </c>
      <c r="BJ171" s="43" t="s">
        <v>7030</v>
      </c>
      <c r="BK171" s="43" t="s">
        <v>139</v>
      </c>
      <c r="BL171" s="43" t="s">
        <v>85</v>
      </c>
      <c r="BM171" s="43" t="s">
        <v>85</v>
      </c>
      <c r="BN171" s="43" t="s">
        <v>139</v>
      </c>
      <c r="BO171" s="46">
        <v>3.74</v>
      </c>
      <c r="BP171" s="43" t="s">
        <v>7032</v>
      </c>
      <c r="BQ171" s="43">
        <v>3.74</v>
      </c>
      <c r="BR171" s="43" t="s">
        <v>7032</v>
      </c>
      <c r="BS171" s="47">
        <v>3.74</v>
      </c>
      <c r="BT171" s="43" t="s">
        <v>7032</v>
      </c>
      <c r="BU171" s="43" t="s">
        <v>7032</v>
      </c>
      <c r="BV171" s="43" t="str">
        <f>CambioPlan[[#This Row],[TELEFONO]]&amp;"UPSELLSI"</f>
        <v>995542784UPSELLSI</v>
      </c>
      <c r="BW171" s="43">
        <f>DAY(CambioPlan[[#This Row],[FECHA_CAMBIO_PLAN]])</f>
        <v>17</v>
      </c>
      <c r="BX171" s="43" t="str">
        <f>VLOOKUP(CambioPlan[[#This Row],[NOM_PLAZA]],[1]!Locales[#Data],3,0)</f>
        <v>TIENDA RECREO</v>
      </c>
      <c r="BY171" s="43" t="str">
        <f>VLOOKUP(CambioPlan[[#This Row],[DOMAIN_LOGIN_OW]],[1]!Personal[#Data],6,0)</f>
        <v>ESPINOZA MARTINES LAURA XIOMARA</v>
      </c>
      <c r="BZ171" s="43"/>
      <c r="CA171" s="43" t="str">
        <f>IFERROR(IF(FIND("ADULTO",CambioPlan[[#This Row],[DESCRIPCION_PLAN_ACTUAL]],1),"NO SE PAGA",),"SI SE PAGA")</f>
        <v>SI SE PAGA</v>
      </c>
      <c r="CB171" s="45">
        <f>CambioPlan[[#This Row],[TARIFA_BASICA_ACTUAL]]-CambioPlan[[#This Row],[TARIFA_BASICA_ANTERIOR]]</f>
        <v>3.74</v>
      </c>
      <c r="CC171" s="56">
        <f>CambioPlan[[#This Row],[DIF. TARIFAS]]*4</f>
        <v>14.96</v>
      </c>
      <c r="CD171" s="53" t="str">
        <f>IF(CambioPlan[[#This Row],[C. COMISIÓN TME]]&lt;0,"DOWNSELL",IF(CambioPlan[[#This Row],[C. COMISIÓN TME]]=0,"MISMA TARIFA",IF(CambioPlan[[#This Row],[C. COMISIÓN TME]]&gt;0,"UPSELL")))</f>
        <v>UPSELL</v>
      </c>
      <c r="CE171">
        <f>VLOOKUP(CambioPlan[[#This Row],[TARIFA_BASICA_ANTERIOR]],[3]Hoja1!$F:$G,2,0)</f>
        <v>0</v>
      </c>
      <c r="CF171">
        <f>VLOOKUP(CambioPlan[[#This Row],[TARIFA_BASICA_ACTUAL]],[3]Hoja1!$B:$C,2,0)</f>
        <v>1</v>
      </c>
      <c r="CG171">
        <f t="shared" si="2"/>
        <v>1</v>
      </c>
      <c r="CH171" t="e">
        <f>VLOOKUP(CambioPlan[[#This Row],[TELEFONO]],[1]Retenciones!$R$63:$R$287,1,0)</f>
        <v>#N/A</v>
      </c>
    </row>
    <row r="172" spans="1:86" x14ac:dyDescent="0.25">
      <c r="A172" s="43">
        <v>202212</v>
      </c>
      <c r="B172" s="44">
        <v>44914</v>
      </c>
      <c r="C172" s="43" t="s">
        <v>7645</v>
      </c>
      <c r="D172" s="43" t="s">
        <v>7646</v>
      </c>
      <c r="E172" s="43" t="s">
        <v>95</v>
      </c>
      <c r="F172" s="43" t="s">
        <v>77</v>
      </c>
      <c r="G172" s="43" t="s">
        <v>1532</v>
      </c>
      <c r="H172" s="43" t="s">
        <v>67</v>
      </c>
      <c r="I172" s="43" t="s">
        <v>7647</v>
      </c>
      <c r="J172" s="43" t="s">
        <v>7037</v>
      </c>
      <c r="K172" s="43" t="s">
        <v>118</v>
      </c>
      <c r="L172" s="43" t="s">
        <v>1756</v>
      </c>
      <c r="M172" s="43" t="s">
        <v>1757</v>
      </c>
      <c r="N172" s="43" t="s">
        <v>79</v>
      </c>
      <c r="O172" s="45">
        <v>17.850000000000001</v>
      </c>
      <c r="P172" s="43" t="s">
        <v>95</v>
      </c>
      <c r="Q172" s="43" t="s">
        <v>95</v>
      </c>
      <c r="R172" s="43" t="s">
        <v>95</v>
      </c>
      <c r="S172" s="45">
        <v>0</v>
      </c>
      <c r="T172" s="43" t="s">
        <v>95</v>
      </c>
      <c r="U172" s="44" t="s">
        <v>95</v>
      </c>
      <c r="V172" s="44" t="s">
        <v>95</v>
      </c>
      <c r="W172" s="43" t="s">
        <v>95</v>
      </c>
      <c r="X172" s="45">
        <v>17.850000000000001</v>
      </c>
      <c r="Y172" s="43" t="s">
        <v>81</v>
      </c>
      <c r="Z172" s="43" t="s">
        <v>7648</v>
      </c>
      <c r="AA172" s="43" t="s">
        <v>7649</v>
      </c>
      <c r="AB172" s="43" t="s">
        <v>79</v>
      </c>
      <c r="AC172" s="45">
        <v>12.99</v>
      </c>
      <c r="AD172" s="43" t="s">
        <v>95</v>
      </c>
      <c r="AE172" s="43" t="s">
        <v>95</v>
      </c>
      <c r="AF172" s="43" t="s">
        <v>95</v>
      </c>
      <c r="AG172" s="43" t="s">
        <v>95</v>
      </c>
      <c r="AH172" s="45">
        <v>0</v>
      </c>
      <c r="AI172" s="43" t="s">
        <v>95</v>
      </c>
      <c r="AJ172" s="43" t="s">
        <v>95</v>
      </c>
      <c r="AK172" s="43" t="s">
        <v>95</v>
      </c>
      <c r="AL172" s="43" t="s">
        <v>95</v>
      </c>
      <c r="AM172" s="45">
        <v>12.99</v>
      </c>
      <c r="AN172" s="43" t="s">
        <v>81</v>
      </c>
      <c r="AO172" s="44">
        <v>44911</v>
      </c>
      <c r="AP172" s="43" t="s">
        <v>492</v>
      </c>
      <c r="AQ172" s="43" t="s">
        <v>493</v>
      </c>
      <c r="AR172" s="43" t="s">
        <v>492</v>
      </c>
      <c r="AS172" s="43" t="s">
        <v>493</v>
      </c>
      <c r="AT172" s="43" t="s">
        <v>85</v>
      </c>
      <c r="AU172" s="43" t="s">
        <v>7030</v>
      </c>
      <c r="AV172" s="43" t="s">
        <v>7031</v>
      </c>
      <c r="AW172" s="43" t="s">
        <v>7031</v>
      </c>
      <c r="AX172" s="43" t="s">
        <v>90</v>
      </c>
      <c r="AY172" s="43" t="s">
        <v>132</v>
      </c>
      <c r="AZ172" s="43" t="s">
        <v>7037</v>
      </c>
      <c r="BA172" s="43" t="s">
        <v>139</v>
      </c>
      <c r="BB172" s="45">
        <v>4.8600000000000003</v>
      </c>
      <c r="BC172" s="45">
        <v>4.8600000000000003</v>
      </c>
      <c r="BD172" s="43" t="s">
        <v>7032</v>
      </c>
      <c r="BE172" s="43" t="s">
        <v>81</v>
      </c>
      <c r="BF172" s="43" t="s">
        <v>81</v>
      </c>
      <c r="BG172" s="43" t="s">
        <v>86</v>
      </c>
      <c r="BH172" s="43" t="s">
        <v>177</v>
      </c>
      <c r="BI172" s="43" t="s">
        <v>7038</v>
      </c>
      <c r="BJ172" s="43" t="s">
        <v>7030</v>
      </c>
      <c r="BK172" s="43" t="s">
        <v>139</v>
      </c>
      <c r="BL172" s="43" t="s">
        <v>85</v>
      </c>
      <c r="BM172" s="43" t="s">
        <v>85</v>
      </c>
      <c r="BN172" s="43" t="s">
        <v>139</v>
      </c>
      <c r="BO172" s="46">
        <v>4.8600000000000003</v>
      </c>
      <c r="BP172" s="43" t="s">
        <v>7032</v>
      </c>
      <c r="BQ172" s="43">
        <v>4.8600000000000003</v>
      </c>
      <c r="BR172" s="43" t="s">
        <v>7032</v>
      </c>
      <c r="BS172" s="47">
        <v>4.8600000000000003</v>
      </c>
      <c r="BT172" s="43" t="s">
        <v>7032</v>
      </c>
      <c r="BU172" s="43" t="s">
        <v>7032</v>
      </c>
      <c r="BV172" s="43" t="str">
        <f>CambioPlan[[#This Row],[TELEFONO]]&amp;"UPSELLSI"</f>
        <v>995616406UPSELLSI</v>
      </c>
      <c r="BW172" s="43">
        <f>DAY(CambioPlan[[#This Row],[FECHA_CAMBIO_PLAN]])</f>
        <v>16</v>
      </c>
      <c r="BX172" s="43" t="str">
        <f>VLOOKUP(CambioPlan[[#This Row],[NOM_PLAZA]],[1]!Locales[#Data],3,0)</f>
        <v>TIENDA RECREO</v>
      </c>
      <c r="BY172" s="43" t="str">
        <f>VLOOKUP(CambioPlan[[#This Row],[DOMAIN_LOGIN_OW]],[1]!Personal[#Data],6,0)</f>
        <v>CONDO GARCIA NICOLAS MATIAS</v>
      </c>
      <c r="BZ172" s="43"/>
      <c r="CA172" s="43" t="str">
        <f>IFERROR(IF(FIND("ADULTO",CambioPlan[[#This Row],[DESCRIPCION_PLAN_ACTUAL]],1),"NO SE PAGA",),"SI SE PAGA")</f>
        <v>SI SE PAGA</v>
      </c>
      <c r="CB172" s="45">
        <f>CambioPlan[[#This Row],[TARIFA_BASICA_ACTUAL]]-CambioPlan[[#This Row],[TARIFA_BASICA_ANTERIOR]]</f>
        <v>4.8600000000000012</v>
      </c>
      <c r="CC172" s="56">
        <f>CambioPlan[[#This Row],[DIF. TARIFAS]]*4</f>
        <v>19.440000000000005</v>
      </c>
      <c r="CD172" s="53" t="str">
        <f>IF(CambioPlan[[#This Row],[C. COMISIÓN TME]]&lt;0,"DOWNSELL",IF(CambioPlan[[#This Row],[C. COMISIÓN TME]]=0,"MISMA TARIFA",IF(CambioPlan[[#This Row],[C. COMISIÓN TME]]&gt;0,"UPSELL")))</f>
        <v>UPSELL</v>
      </c>
      <c r="CE172">
        <f>VLOOKUP(CambioPlan[[#This Row],[TARIFA_BASICA_ANTERIOR]],[3]Hoja1!$F:$G,2,0)</f>
        <v>1</v>
      </c>
      <c r="CF172">
        <f>VLOOKUP(CambioPlan[[#This Row],[TARIFA_BASICA_ACTUAL]],[3]Hoja1!$B:$C,2,0)</f>
        <v>2</v>
      </c>
      <c r="CG172">
        <f t="shared" si="2"/>
        <v>1</v>
      </c>
      <c r="CH172" t="e">
        <f>VLOOKUP(CambioPlan[[#This Row],[TELEFONO]],[1]Retenciones!$R$63:$R$287,1,0)</f>
        <v>#N/A</v>
      </c>
    </row>
    <row r="173" spans="1:86" x14ac:dyDescent="0.25">
      <c r="A173" s="43">
        <v>202212</v>
      </c>
      <c r="B173" s="44">
        <v>44914</v>
      </c>
      <c r="C173" s="43" t="s">
        <v>7650</v>
      </c>
      <c r="D173" s="43" t="s">
        <v>7651</v>
      </c>
      <c r="E173" s="43" t="s">
        <v>95</v>
      </c>
      <c r="F173" s="43" t="s">
        <v>77</v>
      </c>
      <c r="G173" s="43" t="s">
        <v>2241</v>
      </c>
      <c r="H173" s="43" t="s">
        <v>67</v>
      </c>
      <c r="I173" s="43" t="s">
        <v>7652</v>
      </c>
      <c r="J173" s="43" t="s">
        <v>7029</v>
      </c>
      <c r="K173" s="43" t="s">
        <v>118</v>
      </c>
      <c r="L173" s="43" t="s">
        <v>227</v>
      </c>
      <c r="M173" s="43" t="s">
        <v>426</v>
      </c>
      <c r="N173" s="43" t="s">
        <v>79</v>
      </c>
      <c r="O173" s="45">
        <v>21.42</v>
      </c>
      <c r="P173" s="43" t="s">
        <v>95</v>
      </c>
      <c r="Q173" s="43" t="s">
        <v>95</v>
      </c>
      <c r="R173" s="43" t="s">
        <v>95</v>
      </c>
      <c r="S173" s="45">
        <v>0</v>
      </c>
      <c r="T173" s="43" t="s">
        <v>95</v>
      </c>
      <c r="U173" s="44" t="s">
        <v>95</v>
      </c>
      <c r="V173" s="44" t="s">
        <v>95</v>
      </c>
      <c r="W173" s="43" t="s">
        <v>95</v>
      </c>
      <c r="X173" s="45">
        <v>21.42</v>
      </c>
      <c r="Y173" s="43" t="s">
        <v>81</v>
      </c>
      <c r="Z173" s="43" t="s">
        <v>71</v>
      </c>
      <c r="AA173" s="43" t="s">
        <v>258</v>
      </c>
      <c r="AB173" s="43" t="s">
        <v>79</v>
      </c>
      <c r="AC173" s="45">
        <v>11.42</v>
      </c>
      <c r="AD173" s="43" t="s">
        <v>95</v>
      </c>
      <c r="AE173" s="43" t="s">
        <v>95</v>
      </c>
      <c r="AF173" s="43" t="s">
        <v>95</v>
      </c>
      <c r="AG173" s="43" t="s">
        <v>95</v>
      </c>
      <c r="AH173" s="45">
        <v>0</v>
      </c>
      <c r="AI173" s="43" t="s">
        <v>95</v>
      </c>
      <c r="AJ173" s="43" t="s">
        <v>95</v>
      </c>
      <c r="AK173" s="43" t="s">
        <v>95</v>
      </c>
      <c r="AL173" s="43" t="s">
        <v>95</v>
      </c>
      <c r="AM173" s="45">
        <v>11.42</v>
      </c>
      <c r="AN173" s="43" t="s">
        <v>81</v>
      </c>
      <c r="AO173" s="44">
        <v>44905</v>
      </c>
      <c r="AP173" s="43" t="s">
        <v>1020</v>
      </c>
      <c r="AQ173" s="43" t="s">
        <v>1021</v>
      </c>
      <c r="AR173" s="43" t="s">
        <v>1020</v>
      </c>
      <c r="AS173" s="43" t="s">
        <v>1021</v>
      </c>
      <c r="AT173" s="43" t="s">
        <v>85</v>
      </c>
      <c r="AU173" s="43" t="s">
        <v>7030</v>
      </c>
      <c r="AV173" s="43" t="s">
        <v>7031</v>
      </c>
      <c r="AW173" s="43" t="s">
        <v>7031</v>
      </c>
      <c r="AX173" s="43" t="s">
        <v>90</v>
      </c>
      <c r="AY173" s="43" t="s">
        <v>73</v>
      </c>
      <c r="AZ173" s="43" t="s">
        <v>7029</v>
      </c>
      <c r="BA173" s="43" t="s">
        <v>92</v>
      </c>
      <c r="BB173" s="45">
        <v>10</v>
      </c>
      <c r="BC173" s="45">
        <v>10</v>
      </c>
      <c r="BD173" s="43" t="s">
        <v>7032</v>
      </c>
      <c r="BE173" s="43" t="s">
        <v>81</v>
      </c>
      <c r="BF173" s="43" t="s">
        <v>81</v>
      </c>
      <c r="BG173" s="43" t="s">
        <v>86</v>
      </c>
      <c r="BH173" s="43" t="s">
        <v>91</v>
      </c>
      <c r="BI173" s="43" t="s">
        <v>7086</v>
      </c>
      <c r="BJ173" s="43" t="s">
        <v>7030</v>
      </c>
      <c r="BK173" s="43" t="s">
        <v>92</v>
      </c>
      <c r="BL173" s="43" t="s">
        <v>85</v>
      </c>
      <c r="BM173" s="43" t="s">
        <v>85</v>
      </c>
      <c r="BN173" s="43" t="s">
        <v>92</v>
      </c>
      <c r="BO173" s="46">
        <v>10</v>
      </c>
      <c r="BP173" s="43" t="s">
        <v>7032</v>
      </c>
      <c r="BQ173" s="43">
        <v>10</v>
      </c>
      <c r="BR173" s="43" t="s">
        <v>7032</v>
      </c>
      <c r="BS173" s="47">
        <v>10</v>
      </c>
      <c r="BT173" s="43" t="s">
        <v>7032</v>
      </c>
      <c r="BU173" s="43" t="s">
        <v>7032</v>
      </c>
      <c r="BV173" s="43" t="str">
        <f>CambioPlan[[#This Row],[TELEFONO]]&amp;"UPSELLSI"</f>
        <v>995617726UPSELLSI</v>
      </c>
      <c r="BW173" s="43">
        <f>DAY(CambioPlan[[#This Row],[FECHA_CAMBIO_PLAN]])</f>
        <v>10</v>
      </c>
      <c r="BX173" s="43" t="str">
        <f>VLOOKUP(CambioPlan[[#This Row],[NOM_PLAZA]],[1]!Locales[#Data],3,0)</f>
        <v>TIENDA CUENCA CENTRO</v>
      </c>
      <c r="BY173" s="43" t="str">
        <f>VLOOKUP(CambioPlan[[#This Row],[DOMAIN_LOGIN_OW]],[1]!Personal[#Data],6,0)</f>
        <v>GONZALES ALVARRACIN PAOLA YESSENIA</v>
      </c>
      <c r="BZ173" s="43"/>
      <c r="CA173" s="43" t="str">
        <f>IFERROR(IF(FIND("ADULTO",CambioPlan[[#This Row],[DESCRIPCION_PLAN_ACTUAL]],1),"NO SE PAGA",),"SI SE PAGA")</f>
        <v>SI SE PAGA</v>
      </c>
      <c r="CB173" s="45">
        <f>CambioPlan[[#This Row],[TARIFA_BASICA_ACTUAL]]-CambioPlan[[#This Row],[TARIFA_BASICA_ANTERIOR]]</f>
        <v>10.000000000000002</v>
      </c>
      <c r="CC173" s="56">
        <f>CambioPlan[[#This Row],[DIF. TARIFAS]]*4</f>
        <v>40.000000000000007</v>
      </c>
      <c r="CD173" s="53" t="str">
        <f>IF(CambioPlan[[#This Row],[C. COMISIÓN TME]]&lt;0,"DOWNSELL",IF(CambioPlan[[#This Row],[C. COMISIÓN TME]]=0,"MISMA TARIFA",IF(CambioPlan[[#This Row],[C. COMISIÓN TME]]&gt;0,"UPSELL")))</f>
        <v>UPSELL</v>
      </c>
      <c r="CE173">
        <f>VLOOKUP(CambioPlan[[#This Row],[TARIFA_BASICA_ANTERIOR]],[3]Hoja1!$F:$G,2,0)</f>
        <v>0</v>
      </c>
      <c r="CF173">
        <f>VLOOKUP(CambioPlan[[#This Row],[TARIFA_BASICA_ACTUAL]],[3]Hoja1!$B:$C,2,0)</f>
        <v>3</v>
      </c>
      <c r="CG173">
        <f t="shared" si="2"/>
        <v>3</v>
      </c>
      <c r="CH173" t="e">
        <f>VLOOKUP(CambioPlan[[#This Row],[TELEFONO]],[1]Retenciones!$R$63:$R$287,1,0)</f>
        <v>#N/A</v>
      </c>
    </row>
    <row r="174" spans="1:86" x14ac:dyDescent="0.25">
      <c r="A174" s="43">
        <v>202212</v>
      </c>
      <c r="B174" s="44">
        <v>44914</v>
      </c>
      <c r="C174" s="43" t="s">
        <v>7653</v>
      </c>
      <c r="D174" s="43" t="s">
        <v>7654</v>
      </c>
      <c r="E174" s="43" t="s">
        <v>95</v>
      </c>
      <c r="F174" s="43" t="s">
        <v>77</v>
      </c>
      <c r="G174" s="43" t="s">
        <v>2241</v>
      </c>
      <c r="H174" s="43" t="s">
        <v>246</v>
      </c>
      <c r="I174" s="43" t="s">
        <v>2503</v>
      </c>
      <c r="J174" s="43" t="s">
        <v>7037</v>
      </c>
      <c r="K174" s="43" t="s">
        <v>84</v>
      </c>
      <c r="L174" s="43" t="s">
        <v>3232</v>
      </c>
      <c r="M174" s="43" t="s">
        <v>7237</v>
      </c>
      <c r="N174" s="43" t="s">
        <v>79</v>
      </c>
      <c r="O174" s="45">
        <v>51.78</v>
      </c>
      <c r="P174" s="43" t="s">
        <v>95</v>
      </c>
      <c r="Q174" s="43" t="s">
        <v>95</v>
      </c>
      <c r="R174" s="43" t="s">
        <v>95</v>
      </c>
      <c r="S174" s="45">
        <v>0</v>
      </c>
      <c r="T174" s="43" t="s">
        <v>95</v>
      </c>
      <c r="U174" s="44" t="s">
        <v>95</v>
      </c>
      <c r="V174" s="44" t="s">
        <v>95</v>
      </c>
      <c r="W174" s="43" t="s">
        <v>95</v>
      </c>
      <c r="X174" s="45">
        <v>51.78</v>
      </c>
      <c r="Y174" s="43" t="s">
        <v>81</v>
      </c>
      <c r="Z174" s="43" t="s">
        <v>130</v>
      </c>
      <c r="AA174" s="43" t="s">
        <v>433</v>
      </c>
      <c r="AB174" s="43" t="s">
        <v>79</v>
      </c>
      <c r="AC174" s="45">
        <v>15</v>
      </c>
      <c r="AD174" s="43" t="s">
        <v>95</v>
      </c>
      <c r="AE174" s="43" t="s">
        <v>95</v>
      </c>
      <c r="AF174" s="43" t="s">
        <v>95</v>
      </c>
      <c r="AG174" s="43" t="s">
        <v>95</v>
      </c>
      <c r="AH174" s="45">
        <v>0</v>
      </c>
      <c r="AI174" s="43" t="s">
        <v>95</v>
      </c>
      <c r="AJ174" s="43" t="s">
        <v>95</v>
      </c>
      <c r="AK174" s="43" t="s">
        <v>95</v>
      </c>
      <c r="AL174" s="43" t="s">
        <v>95</v>
      </c>
      <c r="AM174" s="45">
        <v>15</v>
      </c>
      <c r="AN174" s="43" t="s">
        <v>81</v>
      </c>
      <c r="AO174" s="44">
        <v>44913</v>
      </c>
      <c r="AP174" s="43" t="s">
        <v>251</v>
      </c>
      <c r="AQ174" s="43" t="s">
        <v>252</v>
      </c>
      <c r="AR174" s="43" t="s">
        <v>251</v>
      </c>
      <c r="AS174" s="43" t="s">
        <v>252</v>
      </c>
      <c r="AT174" s="43" t="s">
        <v>85</v>
      </c>
      <c r="AU174" s="43" t="s">
        <v>7030</v>
      </c>
      <c r="AV174" s="43" t="s">
        <v>7031</v>
      </c>
      <c r="AW174" s="43" t="s">
        <v>7031</v>
      </c>
      <c r="AX174" s="43" t="s">
        <v>90</v>
      </c>
      <c r="AY174" s="43" t="s">
        <v>132</v>
      </c>
      <c r="AZ174" s="43" t="s">
        <v>7037</v>
      </c>
      <c r="BA174" s="43" t="s">
        <v>139</v>
      </c>
      <c r="BB174" s="45">
        <v>36.78</v>
      </c>
      <c r="BC174" s="45">
        <v>36.78</v>
      </c>
      <c r="BD174" s="43" t="s">
        <v>7032</v>
      </c>
      <c r="BE174" s="43" t="s">
        <v>81</v>
      </c>
      <c r="BF174" s="43" t="s">
        <v>81</v>
      </c>
      <c r="BG174" s="43" t="s">
        <v>86</v>
      </c>
      <c r="BH174" s="43" t="s">
        <v>177</v>
      </c>
      <c r="BI174" s="43" t="s">
        <v>7038</v>
      </c>
      <c r="BJ174" s="43" t="s">
        <v>7030</v>
      </c>
      <c r="BK174" s="43" t="s">
        <v>139</v>
      </c>
      <c r="BL174" s="43" t="s">
        <v>85</v>
      </c>
      <c r="BM174" s="43" t="s">
        <v>85</v>
      </c>
      <c r="BN174" s="43" t="s">
        <v>139</v>
      </c>
      <c r="BO174" s="46">
        <v>36.78</v>
      </c>
      <c r="BP174" s="43" t="s">
        <v>7032</v>
      </c>
      <c r="BQ174" s="43">
        <v>36.78</v>
      </c>
      <c r="BR174" s="43" t="s">
        <v>7032</v>
      </c>
      <c r="BS174" s="47">
        <v>36.78</v>
      </c>
      <c r="BT174" s="43" t="s">
        <v>7032</v>
      </c>
      <c r="BU174" s="43" t="s">
        <v>7032</v>
      </c>
      <c r="BV174" s="43" t="str">
        <f>CambioPlan[[#This Row],[TELEFONO]]&amp;"UPSELLSI"</f>
        <v>995619903UPSELLSI</v>
      </c>
      <c r="BW174" s="43">
        <f>DAY(CambioPlan[[#This Row],[FECHA_CAMBIO_PLAN]])</f>
        <v>18</v>
      </c>
      <c r="BX174" s="43" t="str">
        <f>VLOOKUP(CambioPlan[[#This Row],[NOM_PLAZA]],[1]!Locales[#Data],3,0)</f>
        <v>TIENDA RECREO</v>
      </c>
      <c r="BY174" s="43" t="str">
        <f>VLOOKUP(CambioPlan[[#This Row],[DOMAIN_LOGIN_OW]],[1]!Personal[#Data],6,0)</f>
        <v>CRUZ MONTUFAR KATHERINE ALEJANDRA</v>
      </c>
      <c r="BZ174" s="43"/>
      <c r="CA174" s="43" t="str">
        <f>IFERROR(IF(FIND("ADULTO",CambioPlan[[#This Row],[DESCRIPCION_PLAN_ACTUAL]],1),"NO SE PAGA",),"SI SE PAGA")</f>
        <v>SI SE PAGA</v>
      </c>
      <c r="CB174" s="45">
        <f>CambioPlan[[#This Row],[TARIFA_BASICA_ACTUAL]]-CambioPlan[[#This Row],[TARIFA_BASICA_ANTERIOR]]</f>
        <v>36.78</v>
      </c>
      <c r="CC174" s="56">
        <f>CambioPlan[[#This Row],[DIF. TARIFAS]]*4</f>
        <v>147.12</v>
      </c>
      <c r="CD174" s="53" t="str">
        <f>IF(CambioPlan[[#This Row],[C. COMISIÓN TME]]&lt;0,"DOWNSELL",IF(CambioPlan[[#This Row],[C. COMISIÓN TME]]=0,"MISMA TARIFA",IF(CambioPlan[[#This Row],[C. COMISIÓN TME]]&gt;0,"UPSELL")))</f>
        <v>UPSELL</v>
      </c>
      <c r="CE174">
        <f>VLOOKUP(CambioPlan[[#This Row],[TARIFA_BASICA_ANTERIOR]],[3]Hoja1!$F:$G,2,0)</f>
        <v>2</v>
      </c>
      <c r="CF174">
        <f>VLOOKUP(CambioPlan[[#This Row],[TARIFA_BASICA_ACTUAL]],[3]Hoja1!$B:$C,2,0)</f>
        <v>6</v>
      </c>
      <c r="CG174">
        <f t="shared" si="2"/>
        <v>4</v>
      </c>
      <c r="CH174" t="e">
        <f>VLOOKUP(CambioPlan[[#This Row],[TELEFONO]],[1]Retenciones!$R$63:$R$287,1,0)</f>
        <v>#N/A</v>
      </c>
    </row>
    <row r="175" spans="1:86" x14ac:dyDescent="0.25">
      <c r="A175" s="43">
        <v>202212</v>
      </c>
      <c r="B175" s="44">
        <v>44914</v>
      </c>
      <c r="C175" s="43" t="s">
        <v>7655</v>
      </c>
      <c r="D175" s="43" t="s">
        <v>7656</v>
      </c>
      <c r="E175" s="43" t="s">
        <v>95</v>
      </c>
      <c r="F175" s="43" t="s">
        <v>231</v>
      </c>
      <c r="G175" s="43" t="s">
        <v>231</v>
      </c>
      <c r="H175" s="43" t="s">
        <v>67</v>
      </c>
      <c r="I175" s="43" t="s">
        <v>7202</v>
      </c>
      <c r="J175" s="43" t="s">
        <v>7066</v>
      </c>
      <c r="K175" s="43" t="s">
        <v>215</v>
      </c>
      <c r="L175" s="43" t="s">
        <v>7069</v>
      </c>
      <c r="M175" s="43" t="s">
        <v>7070</v>
      </c>
      <c r="N175" s="43" t="s">
        <v>79</v>
      </c>
      <c r="O175" s="45">
        <v>21.42</v>
      </c>
      <c r="P175" s="43" t="s">
        <v>95</v>
      </c>
      <c r="Q175" s="43" t="s">
        <v>95</v>
      </c>
      <c r="R175" s="43" t="s">
        <v>95</v>
      </c>
      <c r="S175" s="45">
        <v>0</v>
      </c>
      <c r="T175" s="43" t="s">
        <v>95</v>
      </c>
      <c r="U175" s="44" t="s">
        <v>95</v>
      </c>
      <c r="V175" s="44" t="s">
        <v>95</v>
      </c>
      <c r="W175" s="43" t="s">
        <v>95</v>
      </c>
      <c r="X175" s="45">
        <v>21.42</v>
      </c>
      <c r="Y175" s="43" t="s">
        <v>81</v>
      </c>
      <c r="Z175" s="43" t="s">
        <v>7454</v>
      </c>
      <c r="AA175" s="43" t="s">
        <v>7511</v>
      </c>
      <c r="AB175" s="43" t="s">
        <v>79</v>
      </c>
      <c r="AC175" s="45">
        <v>20</v>
      </c>
      <c r="AD175" s="43" t="s">
        <v>95</v>
      </c>
      <c r="AE175" s="43" t="s">
        <v>95</v>
      </c>
      <c r="AF175" s="43" t="s">
        <v>95</v>
      </c>
      <c r="AG175" s="43" t="s">
        <v>95</v>
      </c>
      <c r="AH175" s="45">
        <v>0</v>
      </c>
      <c r="AI175" s="43" t="s">
        <v>95</v>
      </c>
      <c r="AJ175" s="43" t="s">
        <v>95</v>
      </c>
      <c r="AK175" s="43" t="s">
        <v>95</v>
      </c>
      <c r="AL175" s="43" t="s">
        <v>95</v>
      </c>
      <c r="AM175" s="45">
        <v>20</v>
      </c>
      <c r="AN175" s="43" t="s">
        <v>81</v>
      </c>
      <c r="AO175" s="44">
        <v>44905</v>
      </c>
      <c r="AP175" s="43" t="s">
        <v>233</v>
      </c>
      <c r="AQ175" s="43" t="s">
        <v>234</v>
      </c>
      <c r="AR175" s="43" t="s">
        <v>233</v>
      </c>
      <c r="AS175" s="43" t="s">
        <v>234</v>
      </c>
      <c r="AT175" s="43" t="s">
        <v>85</v>
      </c>
      <c r="AU175" s="43" t="s">
        <v>7030</v>
      </c>
      <c r="AV175" s="43" t="s">
        <v>7031</v>
      </c>
      <c r="AW175" s="43" t="s">
        <v>7031</v>
      </c>
      <c r="AX175" s="43" t="s">
        <v>90</v>
      </c>
      <c r="AY175" s="43" t="s">
        <v>132</v>
      </c>
      <c r="AZ175" s="43" t="s">
        <v>7037</v>
      </c>
      <c r="BA175" s="43" t="s">
        <v>139</v>
      </c>
      <c r="BB175" s="45">
        <v>1.42</v>
      </c>
      <c r="BC175" s="45">
        <v>1.42</v>
      </c>
      <c r="BD175" s="43" t="s">
        <v>7032</v>
      </c>
      <c r="BE175" s="43" t="s">
        <v>81</v>
      </c>
      <c r="BF175" s="43" t="s">
        <v>81</v>
      </c>
      <c r="BG175" s="43" t="s">
        <v>86</v>
      </c>
      <c r="BH175" s="43" t="s">
        <v>235</v>
      </c>
      <c r="BI175" s="43" t="s">
        <v>7076</v>
      </c>
      <c r="BJ175" s="43" t="s">
        <v>7030</v>
      </c>
      <c r="BK175" s="43" t="s">
        <v>139</v>
      </c>
      <c r="BL175" s="43" t="s">
        <v>85</v>
      </c>
      <c r="BM175" s="43" t="s">
        <v>85</v>
      </c>
      <c r="BN175" s="43" t="s">
        <v>139</v>
      </c>
      <c r="BO175" s="46">
        <v>1.42</v>
      </c>
      <c r="BP175" s="43" t="s">
        <v>7032</v>
      </c>
      <c r="BQ175" s="43">
        <v>1.42</v>
      </c>
      <c r="BR175" s="43" t="s">
        <v>7032</v>
      </c>
      <c r="BS175" s="47">
        <v>1.42</v>
      </c>
      <c r="BT175" s="43" t="s">
        <v>7032</v>
      </c>
      <c r="BU175" s="43" t="s">
        <v>7032</v>
      </c>
      <c r="BV175" s="43" t="str">
        <f>CambioPlan[[#This Row],[TELEFONO]]&amp;"UPSELLSI"</f>
        <v>995638499UPSELLSI</v>
      </c>
      <c r="BW175" s="43">
        <f>DAY(CambioPlan[[#This Row],[FECHA_CAMBIO_PLAN]])</f>
        <v>10</v>
      </c>
      <c r="BX175" s="43" t="str">
        <f>VLOOKUP(CambioPlan[[#This Row],[NOM_PLAZA]],[1]!Locales[#Data],3,0)</f>
        <v>TIENDA CONDADO</v>
      </c>
      <c r="BY175" s="43" t="str">
        <f>VLOOKUP(CambioPlan[[#This Row],[DOMAIN_LOGIN_OW]],[1]!Personal[#Data],6,0)</f>
        <v>ROSALES MALDONADO JESSICA GABRIELA</v>
      </c>
      <c r="BZ175" s="43"/>
      <c r="CA175" s="43" t="str">
        <f>IFERROR(IF(FIND("ADULTO",CambioPlan[[#This Row],[DESCRIPCION_PLAN_ACTUAL]],1),"NO SE PAGA",),"SI SE PAGA")</f>
        <v>SI SE PAGA</v>
      </c>
      <c r="CB175" s="45">
        <f>CambioPlan[[#This Row],[TARIFA_BASICA_ACTUAL]]-CambioPlan[[#This Row],[TARIFA_BASICA_ANTERIOR]]</f>
        <v>1.4200000000000017</v>
      </c>
      <c r="CC175" s="56">
        <f>CambioPlan[[#This Row],[DIF. TARIFAS]]*4</f>
        <v>5.6800000000000068</v>
      </c>
      <c r="CD175" s="53" t="str">
        <f>IF(CambioPlan[[#This Row],[C. COMISIÓN TME]]&lt;0,"DOWNSELL",IF(CambioPlan[[#This Row],[C. COMISIÓN TME]]=0,"MISMA TARIFA",IF(CambioPlan[[#This Row],[C. COMISIÓN TME]]&gt;0,"UPSELL")))</f>
        <v>UPSELL</v>
      </c>
      <c r="CE175">
        <f>VLOOKUP(CambioPlan[[#This Row],[TARIFA_BASICA_ANTERIOR]],[3]Hoja1!$F:$G,2,0)</f>
        <v>3</v>
      </c>
      <c r="CF175">
        <f>VLOOKUP(CambioPlan[[#This Row],[TARIFA_BASICA_ACTUAL]],[3]Hoja1!$B:$C,2,0)</f>
        <v>3</v>
      </c>
      <c r="CG175">
        <f t="shared" si="2"/>
        <v>0</v>
      </c>
      <c r="CH175" t="e">
        <f>VLOOKUP(CambioPlan[[#This Row],[TELEFONO]],[1]Retenciones!$R$63:$R$287,1,0)</f>
        <v>#N/A</v>
      </c>
    </row>
    <row r="176" spans="1:86" x14ac:dyDescent="0.25">
      <c r="A176" s="43">
        <v>202212</v>
      </c>
      <c r="B176" s="44">
        <v>44914</v>
      </c>
      <c r="C176" s="43" t="s">
        <v>7657</v>
      </c>
      <c r="D176" s="43" t="s">
        <v>7658</v>
      </c>
      <c r="E176" s="43" t="s">
        <v>95</v>
      </c>
      <c r="F176" s="43" t="s">
        <v>77</v>
      </c>
      <c r="G176" s="43" t="s">
        <v>2241</v>
      </c>
      <c r="H176" s="43" t="s">
        <v>246</v>
      </c>
      <c r="I176" s="43" t="s">
        <v>7659</v>
      </c>
      <c r="J176" s="43" t="s">
        <v>7029</v>
      </c>
      <c r="K176" s="43" t="s">
        <v>118</v>
      </c>
      <c r="L176" s="43" t="s">
        <v>698</v>
      </c>
      <c r="M176" s="43" t="s">
        <v>699</v>
      </c>
      <c r="N176" s="43" t="s">
        <v>79</v>
      </c>
      <c r="O176" s="45">
        <v>26.78</v>
      </c>
      <c r="P176" s="43" t="s">
        <v>95</v>
      </c>
      <c r="Q176" s="43" t="s">
        <v>95</v>
      </c>
      <c r="R176" s="43" t="s">
        <v>95</v>
      </c>
      <c r="S176" s="45">
        <v>0</v>
      </c>
      <c r="T176" s="43" t="s">
        <v>95</v>
      </c>
      <c r="U176" s="44" t="s">
        <v>95</v>
      </c>
      <c r="V176" s="44" t="s">
        <v>95</v>
      </c>
      <c r="W176" s="43" t="s">
        <v>95</v>
      </c>
      <c r="X176" s="45">
        <v>26.78</v>
      </c>
      <c r="Y176" s="43" t="s">
        <v>81</v>
      </c>
      <c r="Z176" s="43" t="s">
        <v>7660</v>
      </c>
      <c r="AA176" s="43" t="s">
        <v>7661</v>
      </c>
      <c r="AB176" s="43" t="s">
        <v>79</v>
      </c>
      <c r="AC176" s="45">
        <v>13.79</v>
      </c>
      <c r="AD176" s="43" t="s">
        <v>95</v>
      </c>
      <c r="AE176" s="43" t="s">
        <v>95</v>
      </c>
      <c r="AF176" s="43" t="s">
        <v>95</v>
      </c>
      <c r="AG176" s="43" t="s">
        <v>95</v>
      </c>
      <c r="AH176" s="45">
        <v>0</v>
      </c>
      <c r="AI176" s="43" t="s">
        <v>95</v>
      </c>
      <c r="AJ176" s="43" t="s">
        <v>95</v>
      </c>
      <c r="AK176" s="43" t="s">
        <v>95</v>
      </c>
      <c r="AL176" s="43" t="s">
        <v>95</v>
      </c>
      <c r="AM176" s="45">
        <v>13.79</v>
      </c>
      <c r="AN176" s="43" t="s">
        <v>81</v>
      </c>
      <c r="AO176" s="44">
        <v>44909</v>
      </c>
      <c r="AP176" s="43" t="s">
        <v>262</v>
      </c>
      <c r="AQ176" s="43" t="s">
        <v>263</v>
      </c>
      <c r="AR176" s="43" t="s">
        <v>262</v>
      </c>
      <c r="AS176" s="43" t="s">
        <v>263</v>
      </c>
      <c r="AT176" s="43" t="s">
        <v>85</v>
      </c>
      <c r="AU176" s="43" t="s">
        <v>7030</v>
      </c>
      <c r="AV176" s="43" t="s">
        <v>7031</v>
      </c>
      <c r="AW176" s="43" t="s">
        <v>7031</v>
      </c>
      <c r="AX176" s="43" t="s">
        <v>90</v>
      </c>
      <c r="AY176" s="43" t="s">
        <v>132</v>
      </c>
      <c r="AZ176" s="43" t="s">
        <v>7037</v>
      </c>
      <c r="BA176" s="43" t="s">
        <v>139</v>
      </c>
      <c r="BB176" s="45">
        <v>12.99</v>
      </c>
      <c r="BC176" s="45">
        <v>12.99</v>
      </c>
      <c r="BD176" s="43" t="s">
        <v>7032</v>
      </c>
      <c r="BE176" s="43" t="s">
        <v>81</v>
      </c>
      <c r="BF176" s="43" t="s">
        <v>81</v>
      </c>
      <c r="BG176" s="43" t="s">
        <v>86</v>
      </c>
      <c r="BH176" s="43" t="s">
        <v>177</v>
      </c>
      <c r="BI176" s="43" t="s">
        <v>7038</v>
      </c>
      <c r="BJ176" s="43" t="s">
        <v>7030</v>
      </c>
      <c r="BK176" s="43" t="s">
        <v>139</v>
      </c>
      <c r="BL176" s="43" t="s">
        <v>85</v>
      </c>
      <c r="BM176" s="43" t="s">
        <v>85</v>
      </c>
      <c r="BN176" s="43" t="s">
        <v>139</v>
      </c>
      <c r="BO176" s="46">
        <v>12.99</v>
      </c>
      <c r="BP176" s="43" t="s">
        <v>7032</v>
      </c>
      <c r="BQ176" s="43">
        <v>12.99</v>
      </c>
      <c r="BR176" s="43" t="s">
        <v>7032</v>
      </c>
      <c r="BS176" s="47">
        <v>12.99</v>
      </c>
      <c r="BT176" s="43" t="s">
        <v>7032</v>
      </c>
      <c r="BU176" s="43" t="s">
        <v>7032</v>
      </c>
      <c r="BV176" s="43" t="str">
        <f>CambioPlan[[#This Row],[TELEFONO]]&amp;"UPSELLSI"</f>
        <v>995745578UPSELLSI</v>
      </c>
      <c r="BW176" s="43">
        <f>DAY(CambioPlan[[#This Row],[FECHA_CAMBIO_PLAN]])</f>
        <v>14</v>
      </c>
      <c r="BX176" s="43" t="str">
        <f>VLOOKUP(CambioPlan[[#This Row],[NOM_PLAZA]],[1]!Locales[#Data],3,0)</f>
        <v>TIENDA RECREO</v>
      </c>
      <c r="BY176" s="43" t="str">
        <f>VLOOKUP(CambioPlan[[#This Row],[DOMAIN_LOGIN_OW]],[1]!Personal[#Data],6,0)</f>
        <v>CHICAIZA TOAPANTA ALEX DANILO</v>
      </c>
      <c r="BZ176" s="43"/>
      <c r="CA176" s="43" t="str">
        <f>IFERROR(IF(FIND("ADULTO",CambioPlan[[#This Row],[DESCRIPCION_PLAN_ACTUAL]],1),"NO SE PAGA",),"SI SE PAGA")</f>
        <v>SI SE PAGA</v>
      </c>
      <c r="CB176" s="45">
        <f>CambioPlan[[#This Row],[TARIFA_BASICA_ACTUAL]]-CambioPlan[[#This Row],[TARIFA_BASICA_ANTERIOR]]</f>
        <v>12.990000000000002</v>
      </c>
      <c r="CC176" s="56">
        <f>CambioPlan[[#This Row],[DIF. TARIFAS]]*4</f>
        <v>51.960000000000008</v>
      </c>
      <c r="CD176" s="53" t="str">
        <f>IF(CambioPlan[[#This Row],[C. COMISIÓN TME]]&lt;0,"DOWNSELL",IF(CambioPlan[[#This Row],[C. COMISIÓN TME]]=0,"MISMA TARIFA",IF(CambioPlan[[#This Row],[C. COMISIÓN TME]]&gt;0,"UPSELL")))</f>
        <v>UPSELL</v>
      </c>
      <c r="CE176">
        <f>VLOOKUP(CambioPlan[[#This Row],[TARIFA_BASICA_ANTERIOR]],[3]Hoja1!$F:$G,2,0)</f>
        <v>1</v>
      </c>
      <c r="CF176">
        <f>VLOOKUP(CambioPlan[[#This Row],[TARIFA_BASICA_ACTUAL]],[3]Hoja1!$B:$C,2,0)</f>
        <v>4</v>
      </c>
      <c r="CG176">
        <f t="shared" si="2"/>
        <v>3</v>
      </c>
      <c r="CH176" t="e">
        <f>VLOOKUP(CambioPlan[[#This Row],[TELEFONO]],[1]Retenciones!$R$63:$R$287,1,0)</f>
        <v>#N/A</v>
      </c>
    </row>
    <row r="177" spans="1:86" x14ac:dyDescent="0.25">
      <c r="A177" s="43">
        <v>202212</v>
      </c>
      <c r="B177" s="44">
        <v>44914</v>
      </c>
      <c r="C177" s="43" t="s">
        <v>7662</v>
      </c>
      <c r="D177" s="43" t="s">
        <v>7663</v>
      </c>
      <c r="E177" s="43" t="s">
        <v>95</v>
      </c>
      <c r="F177" s="43" t="s">
        <v>231</v>
      </c>
      <c r="G177" s="43" t="s">
        <v>231</v>
      </c>
      <c r="H177" s="43" t="s">
        <v>67</v>
      </c>
      <c r="I177" s="43" t="s">
        <v>7664</v>
      </c>
      <c r="J177" s="43" t="s">
        <v>7037</v>
      </c>
      <c r="K177" s="43" t="s">
        <v>118</v>
      </c>
      <c r="L177" s="43" t="s">
        <v>7069</v>
      </c>
      <c r="M177" s="43" t="s">
        <v>7070</v>
      </c>
      <c r="N177" s="43" t="s">
        <v>79</v>
      </c>
      <c r="O177" s="45">
        <v>21.42</v>
      </c>
      <c r="P177" s="43" t="s">
        <v>95</v>
      </c>
      <c r="Q177" s="43" t="s">
        <v>95</v>
      </c>
      <c r="R177" s="43" t="s">
        <v>95</v>
      </c>
      <c r="S177" s="45">
        <v>0</v>
      </c>
      <c r="T177" s="43" t="s">
        <v>95</v>
      </c>
      <c r="U177" s="44" t="s">
        <v>95</v>
      </c>
      <c r="V177" s="44" t="s">
        <v>95</v>
      </c>
      <c r="W177" s="43" t="s">
        <v>95</v>
      </c>
      <c r="X177" s="45">
        <v>21.42</v>
      </c>
      <c r="Y177" s="43" t="s">
        <v>81</v>
      </c>
      <c r="Z177" s="43" t="s">
        <v>7213</v>
      </c>
      <c r="AA177" s="43" t="s">
        <v>7477</v>
      </c>
      <c r="AB177" s="43" t="s">
        <v>79</v>
      </c>
      <c r="AC177" s="45">
        <v>24.99</v>
      </c>
      <c r="AD177" s="43" t="s">
        <v>95</v>
      </c>
      <c r="AE177" s="43" t="s">
        <v>95</v>
      </c>
      <c r="AF177" s="43" t="s">
        <v>95</v>
      </c>
      <c r="AG177" s="43" t="s">
        <v>95</v>
      </c>
      <c r="AH177" s="45">
        <v>0</v>
      </c>
      <c r="AI177" s="43" t="s">
        <v>95</v>
      </c>
      <c r="AJ177" s="43" t="s">
        <v>95</v>
      </c>
      <c r="AK177" s="43" t="s">
        <v>95</v>
      </c>
      <c r="AL177" s="43" t="s">
        <v>95</v>
      </c>
      <c r="AM177" s="45">
        <v>24.99</v>
      </c>
      <c r="AN177" s="43" t="s">
        <v>81</v>
      </c>
      <c r="AO177" s="44">
        <v>44903</v>
      </c>
      <c r="AP177" s="43" t="s">
        <v>262</v>
      </c>
      <c r="AQ177" s="43" t="s">
        <v>263</v>
      </c>
      <c r="AR177" s="43" t="s">
        <v>262</v>
      </c>
      <c r="AS177" s="43" t="s">
        <v>263</v>
      </c>
      <c r="AT177" s="43" t="s">
        <v>85</v>
      </c>
      <c r="AU177" s="43" t="s">
        <v>7030</v>
      </c>
      <c r="AV177" s="43" t="s">
        <v>7031</v>
      </c>
      <c r="AW177" s="43" t="s">
        <v>7031</v>
      </c>
      <c r="AX177" s="43" t="s">
        <v>90</v>
      </c>
      <c r="AY177" s="43" t="s">
        <v>132</v>
      </c>
      <c r="AZ177" s="43" t="s">
        <v>7037</v>
      </c>
      <c r="BA177" s="43" t="s">
        <v>139</v>
      </c>
      <c r="BB177" s="45">
        <v>-3.57</v>
      </c>
      <c r="BC177" s="45">
        <v>-3.57</v>
      </c>
      <c r="BD177" s="43" t="s">
        <v>7106</v>
      </c>
      <c r="BE177" s="43" t="s">
        <v>81</v>
      </c>
      <c r="BF177" s="43" t="s">
        <v>81</v>
      </c>
      <c r="BG177" s="43" t="s">
        <v>86</v>
      </c>
      <c r="BH177" s="43" t="s">
        <v>177</v>
      </c>
      <c r="BI177" s="43" t="s">
        <v>7038</v>
      </c>
      <c r="BJ177" s="43" t="s">
        <v>7030</v>
      </c>
      <c r="BK177" s="43" t="s">
        <v>139</v>
      </c>
      <c r="BL177" s="43" t="s">
        <v>85</v>
      </c>
      <c r="BM177" s="43" t="s">
        <v>85</v>
      </c>
      <c r="BN177" s="43" t="s">
        <v>139</v>
      </c>
      <c r="BO177" s="46">
        <v>-3.57</v>
      </c>
      <c r="BP177" s="43" t="s">
        <v>7106</v>
      </c>
      <c r="BQ177" s="43">
        <v>-3.57</v>
      </c>
      <c r="BR177" s="43" t="s">
        <v>7106</v>
      </c>
      <c r="BS177" s="47">
        <v>-3.57</v>
      </c>
      <c r="BT177" s="43" t="s">
        <v>7106</v>
      </c>
      <c r="BU177" s="43" t="s">
        <v>7106</v>
      </c>
      <c r="BV177" s="43" t="str">
        <f>CambioPlan[[#This Row],[TELEFONO]]&amp;"UPSELLSI"</f>
        <v>995777592UPSELLSI</v>
      </c>
      <c r="BW177" s="43">
        <f>DAY(CambioPlan[[#This Row],[FECHA_CAMBIO_PLAN]])</f>
        <v>8</v>
      </c>
      <c r="BX177" s="43" t="str">
        <f>VLOOKUP(CambioPlan[[#This Row],[NOM_PLAZA]],[1]!Locales[#Data],3,0)</f>
        <v>TIENDA RECREO</v>
      </c>
      <c r="BY177" s="43" t="str">
        <f>VLOOKUP(CambioPlan[[#This Row],[DOMAIN_LOGIN_OW]],[1]!Personal[#Data],6,0)</f>
        <v>CHICAIZA TOAPANTA ALEX DANILO</v>
      </c>
      <c r="BZ177" s="43"/>
      <c r="CA177" s="43" t="str">
        <f>IFERROR(IF(FIND("ADULTO",CambioPlan[[#This Row],[DESCRIPCION_PLAN_ACTUAL]],1),"NO SE PAGA",),"SI SE PAGA")</f>
        <v>SI SE PAGA</v>
      </c>
      <c r="CB177" s="45">
        <f>CambioPlan[[#This Row],[TARIFA_BASICA_ACTUAL]]-CambioPlan[[#This Row],[TARIFA_BASICA_ANTERIOR]]</f>
        <v>-3.5699999999999967</v>
      </c>
      <c r="CC177" s="56">
        <f>CambioPlan[[#This Row],[DIF. TARIFAS]]*4</f>
        <v>-14.279999999999987</v>
      </c>
      <c r="CD177" s="53" t="str">
        <f>IF(CambioPlan[[#This Row],[C. COMISIÓN TME]]&lt;0,"DOWNSELL",IF(CambioPlan[[#This Row],[C. COMISIÓN TME]]=0,"MISMA TARIFA",IF(CambioPlan[[#This Row],[C. COMISIÓN TME]]&gt;0,"UPSELL")))</f>
        <v>DOWNSELL</v>
      </c>
      <c r="CE177">
        <f>VLOOKUP(CambioPlan[[#This Row],[TARIFA_BASICA_ANTERIOR]],[3]Hoja1!$F:$G,2,0)</f>
        <v>4</v>
      </c>
      <c r="CF177">
        <f>VLOOKUP(CambioPlan[[#This Row],[TARIFA_BASICA_ACTUAL]],[3]Hoja1!$B:$C,2,0)</f>
        <v>3</v>
      </c>
      <c r="CG177">
        <f t="shared" si="2"/>
        <v>-1</v>
      </c>
      <c r="CH177" t="str">
        <f>VLOOKUP(CambioPlan[[#This Row],[TELEFONO]],[1]Retenciones!$R$63:$R$287,1,0)</f>
        <v>995777592</v>
      </c>
    </row>
    <row r="178" spans="1:86" x14ac:dyDescent="0.25">
      <c r="A178" s="43">
        <v>202212</v>
      </c>
      <c r="B178" s="44">
        <v>44914</v>
      </c>
      <c r="C178" s="43" t="s">
        <v>7665</v>
      </c>
      <c r="D178" s="43" t="s">
        <v>7666</v>
      </c>
      <c r="E178" s="43" t="s">
        <v>95</v>
      </c>
      <c r="F178" s="43" t="s">
        <v>77</v>
      </c>
      <c r="G178" s="43" t="s">
        <v>4453</v>
      </c>
      <c r="H178" s="43" t="s">
        <v>67</v>
      </c>
      <c r="I178" s="43" t="s">
        <v>7480</v>
      </c>
      <c r="J178" s="43" t="s">
        <v>7037</v>
      </c>
      <c r="K178" s="43" t="s">
        <v>215</v>
      </c>
      <c r="L178" s="43" t="s">
        <v>574</v>
      </c>
      <c r="M178" s="43" t="s">
        <v>575</v>
      </c>
      <c r="N178" s="43" t="s">
        <v>79</v>
      </c>
      <c r="O178" s="45">
        <v>17.850000000000001</v>
      </c>
      <c r="P178" s="43" t="s">
        <v>95</v>
      </c>
      <c r="Q178" s="43" t="s">
        <v>95</v>
      </c>
      <c r="R178" s="43" t="s">
        <v>95</v>
      </c>
      <c r="S178" s="45">
        <v>0</v>
      </c>
      <c r="T178" s="43" t="s">
        <v>95</v>
      </c>
      <c r="U178" s="44" t="s">
        <v>95</v>
      </c>
      <c r="V178" s="44" t="s">
        <v>95</v>
      </c>
      <c r="W178" s="43" t="s">
        <v>95</v>
      </c>
      <c r="X178" s="45">
        <v>17.850000000000001</v>
      </c>
      <c r="Y178" s="43" t="s">
        <v>81</v>
      </c>
      <c r="Z178" s="43" t="s">
        <v>7481</v>
      </c>
      <c r="AA178" s="43" t="s">
        <v>7482</v>
      </c>
      <c r="AB178" s="43" t="s">
        <v>79</v>
      </c>
      <c r="AC178" s="45">
        <v>15</v>
      </c>
      <c r="AD178" s="43" t="s">
        <v>95</v>
      </c>
      <c r="AE178" s="43" t="s">
        <v>95</v>
      </c>
      <c r="AF178" s="43" t="s">
        <v>95</v>
      </c>
      <c r="AG178" s="43" t="s">
        <v>95</v>
      </c>
      <c r="AH178" s="45">
        <v>3</v>
      </c>
      <c r="AI178" s="43" t="s">
        <v>7317</v>
      </c>
      <c r="AJ178" s="43">
        <v>44851</v>
      </c>
      <c r="AK178" s="43">
        <v>44943</v>
      </c>
      <c r="AL178" s="43" t="s">
        <v>7062</v>
      </c>
      <c r="AM178" s="45">
        <v>12</v>
      </c>
      <c r="AN178" s="43" t="s">
        <v>81</v>
      </c>
      <c r="AO178" s="44">
        <v>44912</v>
      </c>
      <c r="AP178" s="43" t="s">
        <v>233</v>
      </c>
      <c r="AQ178" s="43" t="s">
        <v>234</v>
      </c>
      <c r="AR178" s="43" t="s">
        <v>7062</v>
      </c>
      <c r="AS178" s="43" t="s">
        <v>95</v>
      </c>
      <c r="AT178" s="43" t="s">
        <v>85</v>
      </c>
      <c r="AU178" s="43" t="s">
        <v>7030</v>
      </c>
      <c r="AV178" s="43" t="s">
        <v>7031</v>
      </c>
      <c r="AW178" s="43" t="s">
        <v>7031</v>
      </c>
      <c r="AX178" s="43" t="s">
        <v>90</v>
      </c>
      <c r="AY178" s="43" t="s">
        <v>132</v>
      </c>
      <c r="AZ178" s="43" t="s">
        <v>7037</v>
      </c>
      <c r="BA178" s="43" t="s">
        <v>139</v>
      </c>
      <c r="BB178" s="45">
        <v>2.85</v>
      </c>
      <c r="BC178" s="45">
        <v>5.85</v>
      </c>
      <c r="BD178" s="43" t="s">
        <v>7032</v>
      </c>
      <c r="BE178" s="43" t="s">
        <v>81</v>
      </c>
      <c r="BF178" s="43" t="s">
        <v>81</v>
      </c>
      <c r="BG178" s="43" t="s">
        <v>86</v>
      </c>
      <c r="BH178" s="43" t="s">
        <v>235</v>
      </c>
      <c r="BI178" s="43" t="s">
        <v>7076</v>
      </c>
      <c r="BJ178" s="43" t="s">
        <v>7030</v>
      </c>
      <c r="BK178" s="43" t="s">
        <v>139</v>
      </c>
      <c r="BL178" s="43" t="s">
        <v>85</v>
      </c>
      <c r="BM178" s="43" t="s">
        <v>85</v>
      </c>
      <c r="BN178" s="43" t="s">
        <v>139</v>
      </c>
      <c r="BO178" s="46">
        <v>2.85</v>
      </c>
      <c r="BP178" s="43" t="s">
        <v>7032</v>
      </c>
      <c r="BQ178" s="43">
        <v>2.85</v>
      </c>
      <c r="BR178" s="43" t="s">
        <v>7032</v>
      </c>
      <c r="BS178" s="47">
        <v>5.85</v>
      </c>
      <c r="BT178" s="43" t="s">
        <v>7032</v>
      </c>
      <c r="BU178" s="43" t="s">
        <v>7032</v>
      </c>
      <c r="BV178" s="43" t="str">
        <f>CambioPlan[[#This Row],[TELEFONO]]&amp;"UPSELLSI"</f>
        <v>995804195UPSELLSI</v>
      </c>
      <c r="BW178" s="43">
        <f>DAY(CambioPlan[[#This Row],[FECHA_CAMBIO_PLAN]])</f>
        <v>17</v>
      </c>
      <c r="BX178" s="43" t="str">
        <f>VLOOKUP(CambioPlan[[#This Row],[NOM_PLAZA]],[1]!Locales[#Data],3,0)</f>
        <v>TIENDA CONDADO</v>
      </c>
      <c r="BY178" s="43" t="str">
        <f>VLOOKUP(CambioPlan[[#This Row],[DOMAIN_LOGIN_OW]],[1]!Personal[#Data],6,0)</f>
        <v>ROSALES MALDONADO JESSICA GABRIELA</v>
      </c>
      <c r="BZ178" s="43"/>
      <c r="CA178" s="43" t="str">
        <f>IFERROR(IF(FIND("ADULTO",CambioPlan[[#This Row],[DESCRIPCION_PLAN_ACTUAL]],1),"NO SE PAGA",),"SI SE PAGA")</f>
        <v>SI SE PAGA</v>
      </c>
      <c r="CB178" s="45">
        <f>CambioPlan[[#This Row],[TARIFA_BASICA_ACTUAL]]-CambioPlan[[#This Row],[TARIFA_BASICA_ANTERIOR]]</f>
        <v>2.8500000000000014</v>
      </c>
      <c r="CC178" s="56">
        <f>CambioPlan[[#This Row],[DIF. TARIFAS]]*4</f>
        <v>11.400000000000006</v>
      </c>
      <c r="CD178" s="53" t="str">
        <f>IF(CambioPlan[[#This Row],[C. COMISIÓN TME]]&lt;0,"DOWNSELL",IF(CambioPlan[[#This Row],[C. COMISIÓN TME]]=0,"MISMA TARIFA",IF(CambioPlan[[#This Row],[C. COMISIÓN TME]]&gt;0,"UPSELL")))</f>
        <v>UPSELL</v>
      </c>
      <c r="CE178">
        <f>VLOOKUP(CambioPlan[[#This Row],[TARIFA_BASICA_ANTERIOR]],[3]Hoja1!$F:$G,2,0)</f>
        <v>2</v>
      </c>
      <c r="CF178">
        <f>VLOOKUP(CambioPlan[[#This Row],[TARIFA_BASICA_ACTUAL]],[3]Hoja1!$B:$C,2,0)</f>
        <v>2</v>
      </c>
      <c r="CG178">
        <f t="shared" si="2"/>
        <v>0</v>
      </c>
      <c r="CH178" t="e">
        <f>VLOOKUP(CambioPlan[[#This Row],[TELEFONO]],[1]Retenciones!$R$63:$R$287,1,0)</f>
        <v>#N/A</v>
      </c>
    </row>
    <row r="179" spans="1:86" x14ac:dyDescent="0.25">
      <c r="A179" s="43">
        <v>202212</v>
      </c>
      <c r="B179" s="44">
        <v>44914</v>
      </c>
      <c r="C179" s="43" t="s">
        <v>7667</v>
      </c>
      <c r="D179" s="43" t="s">
        <v>7668</v>
      </c>
      <c r="E179" s="43" t="s">
        <v>95</v>
      </c>
      <c r="F179" s="43" t="s">
        <v>77</v>
      </c>
      <c r="G179" s="43" t="s">
        <v>164</v>
      </c>
      <c r="H179" s="43" t="s">
        <v>67</v>
      </c>
      <c r="I179" s="43" t="s">
        <v>7669</v>
      </c>
      <c r="J179" s="43" t="s">
        <v>7037</v>
      </c>
      <c r="K179" s="43" t="s">
        <v>118</v>
      </c>
      <c r="L179" s="43" t="s">
        <v>112</v>
      </c>
      <c r="M179" s="43" t="s">
        <v>781</v>
      </c>
      <c r="N179" s="43" t="s">
        <v>79</v>
      </c>
      <c r="O179" s="45">
        <v>17.850000000000001</v>
      </c>
      <c r="P179" s="43" t="s">
        <v>95</v>
      </c>
      <c r="Q179" s="43" t="s">
        <v>95</v>
      </c>
      <c r="R179" s="43" t="s">
        <v>95</v>
      </c>
      <c r="S179" s="45">
        <v>0</v>
      </c>
      <c r="T179" s="43" t="s">
        <v>95</v>
      </c>
      <c r="U179" s="44" t="s">
        <v>95</v>
      </c>
      <c r="V179" s="44" t="s">
        <v>95</v>
      </c>
      <c r="W179" s="43" t="s">
        <v>95</v>
      </c>
      <c r="X179" s="45">
        <v>17.850000000000001</v>
      </c>
      <c r="Y179" s="43" t="s">
        <v>81</v>
      </c>
      <c r="Z179" s="43" t="s">
        <v>160</v>
      </c>
      <c r="AA179" s="43" t="s">
        <v>161</v>
      </c>
      <c r="AB179" s="43" t="s">
        <v>79</v>
      </c>
      <c r="AC179" s="45">
        <v>14.28</v>
      </c>
      <c r="AD179" s="43" t="s">
        <v>95</v>
      </c>
      <c r="AE179" s="43" t="s">
        <v>95</v>
      </c>
      <c r="AF179" s="43" t="s">
        <v>95</v>
      </c>
      <c r="AG179" s="43" t="s">
        <v>95</v>
      </c>
      <c r="AH179" s="45">
        <v>0</v>
      </c>
      <c r="AI179" s="43" t="s">
        <v>95</v>
      </c>
      <c r="AJ179" s="43" t="s">
        <v>95</v>
      </c>
      <c r="AK179" s="43" t="s">
        <v>95</v>
      </c>
      <c r="AL179" s="43" t="s">
        <v>95</v>
      </c>
      <c r="AM179" s="45">
        <v>14.28</v>
      </c>
      <c r="AN179" s="43" t="s">
        <v>81</v>
      </c>
      <c r="AO179" s="44">
        <v>44910</v>
      </c>
      <c r="AP179" s="43" t="s">
        <v>318</v>
      </c>
      <c r="AQ179" s="43" t="s">
        <v>319</v>
      </c>
      <c r="AR179" s="43" t="s">
        <v>318</v>
      </c>
      <c r="AS179" s="43" t="s">
        <v>319</v>
      </c>
      <c r="AT179" s="43" t="s">
        <v>85</v>
      </c>
      <c r="AU179" s="43" t="s">
        <v>7030</v>
      </c>
      <c r="AV179" s="43" t="s">
        <v>7031</v>
      </c>
      <c r="AW179" s="43" t="s">
        <v>7031</v>
      </c>
      <c r="AX179" s="43" t="s">
        <v>90</v>
      </c>
      <c r="AY179" s="43" t="s">
        <v>73</v>
      </c>
      <c r="AZ179" s="43" t="s">
        <v>7029</v>
      </c>
      <c r="BA179" s="43" t="s">
        <v>92</v>
      </c>
      <c r="BB179" s="45">
        <v>3.57</v>
      </c>
      <c r="BC179" s="45">
        <v>3.57</v>
      </c>
      <c r="BD179" s="43" t="s">
        <v>7032</v>
      </c>
      <c r="BE179" s="43" t="s">
        <v>81</v>
      </c>
      <c r="BF179" s="43" t="s">
        <v>81</v>
      </c>
      <c r="BG179" s="43" t="s">
        <v>86</v>
      </c>
      <c r="BH179" s="43" t="s">
        <v>151</v>
      </c>
      <c r="BI179" s="43" t="s">
        <v>7033</v>
      </c>
      <c r="BJ179" s="43" t="s">
        <v>7030</v>
      </c>
      <c r="BK179" s="43" t="s">
        <v>92</v>
      </c>
      <c r="BL179" s="43" t="s">
        <v>85</v>
      </c>
      <c r="BM179" s="43" t="s">
        <v>85</v>
      </c>
      <c r="BN179" s="43" t="s">
        <v>92</v>
      </c>
      <c r="BO179" s="46">
        <v>3.57</v>
      </c>
      <c r="BP179" s="43" t="s">
        <v>7032</v>
      </c>
      <c r="BQ179" s="43">
        <v>3.57</v>
      </c>
      <c r="BR179" s="43" t="s">
        <v>7032</v>
      </c>
      <c r="BS179" s="47">
        <v>3.57</v>
      </c>
      <c r="BT179" s="43" t="s">
        <v>7032</v>
      </c>
      <c r="BU179" s="43" t="s">
        <v>7032</v>
      </c>
      <c r="BV179" s="43" t="str">
        <f>CambioPlan[[#This Row],[TELEFONO]]&amp;"UPSELLSI"</f>
        <v>995836959UPSELLSI</v>
      </c>
      <c r="BW179" s="43">
        <f>DAY(CambioPlan[[#This Row],[FECHA_CAMBIO_PLAN]])</f>
        <v>15</v>
      </c>
      <c r="BX179" s="43" t="str">
        <f>VLOOKUP(CambioPlan[[#This Row],[NOM_PLAZA]],[1]!Locales[#Data],3,0)</f>
        <v>TIENDA CUENCA REMIGIO</v>
      </c>
      <c r="BY179" s="43" t="str">
        <f>VLOOKUP(CambioPlan[[#This Row],[DOMAIN_LOGIN_OW]],[1]!Personal[#Data],6,0)</f>
        <v>RODRIGUEZ QUITO JESSICA GABRIELA</v>
      </c>
      <c r="BZ179" s="43"/>
      <c r="CA179" s="43" t="str">
        <f>IFERROR(IF(FIND("ADULTO",CambioPlan[[#This Row],[DESCRIPCION_PLAN_ACTUAL]],1),"NO SE PAGA",),"SI SE PAGA")</f>
        <v>SI SE PAGA</v>
      </c>
      <c r="CB179" s="45">
        <f>CambioPlan[[#This Row],[TARIFA_BASICA_ACTUAL]]-CambioPlan[[#This Row],[TARIFA_BASICA_ANTERIOR]]</f>
        <v>3.5700000000000021</v>
      </c>
      <c r="CC179" s="56">
        <f>CambioPlan[[#This Row],[DIF. TARIFAS]]*4</f>
        <v>14.280000000000008</v>
      </c>
      <c r="CD179" s="53" t="str">
        <f>IF(CambioPlan[[#This Row],[C. COMISIÓN TME]]&lt;0,"DOWNSELL",IF(CambioPlan[[#This Row],[C. COMISIÓN TME]]=0,"MISMA TARIFA",IF(CambioPlan[[#This Row],[C. COMISIÓN TME]]&gt;0,"UPSELL")))</f>
        <v>UPSELL</v>
      </c>
      <c r="CE179">
        <f>VLOOKUP(CambioPlan[[#This Row],[TARIFA_BASICA_ANTERIOR]],[3]Hoja1!$F:$G,2,0)</f>
        <v>1</v>
      </c>
      <c r="CF179">
        <f>VLOOKUP(CambioPlan[[#This Row],[TARIFA_BASICA_ACTUAL]],[3]Hoja1!$B:$C,2,0)</f>
        <v>2</v>
      </c>
      <c r="CG179">
        <f t="shared" si="2"/>
        <v>1</v>
      </c>
      <c r="CH179" t="e">
        <f>VLOOKUP(CambioPlan[[#This Row],[TELEFONO]],[1]Retenciones!$R$63:$R$287,1,0)</f>
        <v>#N/A</v>
      </c>
    </row>
    <row r="180" spans="1:86" x14ac:dyDescent="0.25">
      <c r="A180" s="43">
        <v>202212</v>
      </c>
      <c r="B180" s="44">
        <v>44914</v>
      </c>
      <c r="C180" s="43" t="s">
        <v>7670</v>
      </c>
      <c r="D180" s="43" t="s">
        <v>7671</v>
      </c>
      <c r="E180" s="43" t="s">
        <v>95</v>
      </c>
      <c r="F180" s="43" t="s">
        <v>77</v>
      </c>
      <c r="G180" s="43" t="s">
        <v>2241</v>
      </c>
      <c r="H180" s="43" t="s">
        <v>67</v>
      </c>
      <c r="I180" s="43" t="s">
        <v>7672</v>
      </c>
      <c r="J180" s="43" t="s">
        <v>7037</v>
      </c>
      <c r="K180" s="43" t="s">
        <v>84</v>
      </c>
      <c r="L180" s="43" t="s">
        <v>112</v>
      </c>
      <c r="M180" s="43" t="s">
        <v>781</v>
      </c>
      <c r="N180" s="43" t="s">
        <v>79</v>
      </c>
      <c r="O180" s="45">
        <v>17.850000000000001</v>
      </c>
      <c r="P180" s="43" t="s">
        <v>95</v>
      </c>
      <c r="Q180" s="43" t="s">
        <v>95</v>
      </c>
      <c r="R180" s="43" t="s">
        <v>95</v>
      </c>
      <c r="S180" s="45">
        <v>0</v>
      </c>
      <c r="T180" s="43" t="s">
        <v>95</v>
      </c>
      <c r="U180" s="44" t="s">
        <v>95</v>
      </c>
      <c r="V180" s="44" t="s">
        <v>95</v>
      </c>
      <c r="W180" s="43" t="s">
        <v>95</v>
      </c>
      <c r="X180" s="45">
        <v>17.850000000000001</v>
      </c>
      <c r="Y180" s="43" t="s">
        <v>81</v>
      </c>
      <c r="Z180" s="43" t="s">
        <v>7074</v>
      </c>
      <c r="AA180" s="43" t="s">
        <v>7557</v>
      </c>
      <c r="AB180" s="43" t="s">
        <v>79</v>
      </c>
      <c r="AC180" s="45">
        <v>12.99</v>
      </c>
      <c r="AD180" s="43" t="s">
        <v>95</v>
      </c>
      <c r="AE180" s="43" t="s">
        <v>95</v>
      </c>
      <c r="AF180" s="43" t="s">
        <v>95</v>
      </c>
      <c r="AG180" s="43" t="s">
        <v>95</v>
      </c>
      <c r="AH180" s="45">
        <v>0</v>
      </c>
      <c r="AI180" s="43" t="s">
        <v>95</v>
      </c>
      <c r="AJ180" s="43" t="s">
        <v>95</v>
      </c>
      <c r="AK180" s="43" t="s">
        <v>95</v>
      </c>
      <c r="AL180" s="43" t="s">
        <v>95</v>
      </c>
      <c r="AM180" s="45">
        <v>12.99</v>
      </c>
      <c r="AN180" s="43" t="s">
        <v>81</v>
      </c>
      <c r="AO180" s="44">
        <v>44896</v>
      </c>
      <c r="AP180" s="43" t="s">
        <v>377</v>
      </c>
      <c r="AQ180" s="43" t="s">
        <v>378</v>
      </c>
      <c r="AR180" s="43" t="s">
        <v>377</v>
      </c>
      <c r="AS180" s="43" t="s">
        <v>378</v>
      </c>
      <c r="AT180" s="43" t="s">
        <v>85</v>
      </c>
      <c r="AU180" s="43" t="s">
        <v>7030</v>
      </c>
      <c r="AV180" s="43" t="s">
        <v>7031</v>
      </c>
      <c r="AW180" s="43" t="s">
        <v>7031</v>
      </c>
      <c r="AX180" s="43" t="s">
        <v>90</v>
      </c>
      <c r="AY180" s="43" t="s">
        <v>132</v>
      </c>
      <c r="AZ180" s="43" t="s">
        <v>7037</v>
      </c>
      <c r="BA180" s="43" t="s">
        <v>139</v>
      </c>
      <c r="BB180" s="45">
        <v>4.8600000000000003</v>
      </c>
      <c r="BC180" s="45">
        <v>4.8600000000000003</v>
      </c>
      <c r="BD180" s="43" t="s">
        <v>7032</v>
      </c>
      <c r="BE180" s="43" t="s">
        <v>81</v>
      </c>
      <c r="BF180" s="43" t="s">
        <v>81</v>
      </c>
      <c r="BG180" s="43" t="s">
        <v>86</v>
      </c>
      <c r="BH180" s="43" t="s">
        <v>235</v>
      </c>
      <c r="BI180" s="43" t="s">
        <v>7076</v>
      </c>
      <c r="BJ180" s="43" t="s">
        <v>7030</v>
      </c>
      <c r="BK180" s="43" t="s">
        <v>139</v>
      </c>
      <c r="BL180" s="43" t="s">
        <v>85</v>
      </c>
      <c r="BM180" s="43" t="s">
        <v>85</v>
      </c>
      <c r="BN180" s="43" t="s">
        <v>139</v>
      </c>
      <c r="BO180" s="46">
        <v>4.8600000000000003</v>
      </c>
      <c r="BP180" s="43" t="s">
        <v>7032</v>
      </c>
      <c r="BQ180" s="43">
        <v>4.8600000000000003</v>
      </c>
      <c r="BR180" s="43" t="s">
        <v>7032</v>
      </c>
      <c r="BS180" s="47">
        <v>4.8600000000000003</v>
      </c>
      <c r="BT180" s="43" t="s">
        <v>7032</v>
      </c>
      <c r="BU180" s="43" t="s">
        <v>7032</v>
      </c>
      <c r="BV180" s="43" t="str">
        <f>CambioPlan[[#This Row],[TELEFONO]]&amp;"UPSELLSI"</f>
        <v>995957304UPSELLSI</v>
      </c>
      <c r="BW180" s="43">
        <f>DAY(CambioPlan[[#This Row],[FECHA_CAMBIO_PLAN]])</f>
        <v>1</v>
      </c>
      <c r="BX180" s="43" t="str">
        <f>VLOOKUP(CambioPlan[[#This Row],[NOM_PLAZA]],[1]!Locales[#Data],3,0)</f>
        <v>TIENDA CONDADO</v>
      </c>
      <c r="BY180" s="43" t="str">
        <f>VLOOKUP(CambioPlan[[#This Row],[DOMAIN_LOGIN_OW]],[1]!Personal[#Data],6,0)</f>
        <v>MELCHIADE ISAAC VALMORE</v>
      </c>
      <c r="BZ180" s="43"/>
      <c r="CA180" s="43" t="str">
        <f>IFERROR(IF(FIND("ADULTO",CambioPlan[[#This Row],[DESCRIPCION_PLAN_ACTUAL]],1),"NO SE PAGA",),"SI SE PAGA")</f>
        <v>SI SE PAGA</v>
      </c>
      <c r="CB180" s="45">
        <f>CambioPlan[[#This Row],[TARIFA_BASICA_ACTUAL]]-CambioPlan[[#This Row],[TARIFA_BASICA_ANTERIOR]]</f>
        <v>4.8600000000000012</v>
      </c>
      <c r="CC180" s="56">
        <f>CambioPlan[[#This Row],[DIF. TARIFAS]]*4</f>
        <v>19.440000000000005</v>
      </c>
      <c r="CD180" s="53" t="str">
        <f>IF(CambioPlan[[#This Row],[C. COMISIÓN TME]]&lt;0,"DOWNSELL",IF(CambioPlan[[#This Row],[C. COMISIÓN TME]]=0,"MISMA TARIFA",IF(CambioPlan[[#This Row],[C. COMISIÓN TME]]&gt;0,"UPSELL")))</f>
        <v>UPSELL</v>
      </c>
      <c r="CE180">
        <f>VLOOKUP(CambioPlan[[#This Row],[TARIFA_BASICA_ANTERIOR]],[3]Hoja1!$F:$G,2,0)</f>
        <v>1</v>
      </c>
      <c r="CF180">
        <f>VLOOKUP(CambioPlan[[#This Row],[TARIFA_BASICA_ACTUAL]],[3]Hoja1!$B:$C,2,0)</f>
        <v>2</v>
      </c>
      <c r="CG180">
        <f t="shared" si="2"/>
        <v>1</v>
      </c>
      <c r="CH180" t="e">
        <f>VLOOKUP(CambioPlan[[#This Row],[TELEFONO]],[1]Retenciones!$R$63:$R$287,1,0)</f>
        <v>#N/A</v>
      </c>
    </row>
    <row r="181" spans="1:86" x14ac:dyDescent="0.25">
      <c r="A181" s="43">
        <v>202212</v>
      </c>
      <c r="B181" s="44">
        <v>44914</v>
      </c>
      <c r="C181" s="43" t="s">
        <v>7673</v>
      </c>
      <c r="D181" s="43" t="s">
        <v>7674</v>
      </c>
      <c r="E181" s="43" t="s">
        <v>95</v>
      </c>
      <c r="F181" s="43" t="s">
        <v>77</v>
      </c>
      <c r="G181" s="43" t="s">
        <v>2241</v>
      </c>
      <c r="H181" s="43" t="s">
        <v>67</v>
      </c>
      <c r="I181" s="43" t="s">
        <v>7675</v>
      </c>
      <c r="J181" s="43" t="s">
        <v>7037</v>
      </c>
      <c r="K181" s="43" t="s">
        <v>118</v>
      </c>
      <c r="L181" s="43" t="s">
        <v>1487</v>
      </c>
      <c r="M181" s="43" t="s">
        <v>6805</v>
      </c>
      <c r="N181" s="43" t="s">
        <v>79</v>
      </c>
      <c r="O181" s="45">
        <v>21.42</v>
      </c>
      <c r="P181" s="43" t="s">
        <v>95</v>
      </c>
      <c r="Q181" s="43" t="s">
        <v>95</v>
      </c>
      <c r="R181" s="43" t="s">
        <v>95</v>
      </c>
      <c r="S181" s="45">
        <v>0</v>
      </c>
      <c r="T181" s="43" t="s">
        <v>95</v>
      </c>
      <c r="U181" s="44" t="s">
        <v>95</v>
      </c>
      <c r="V181" s="44" t="s">
        <v>95</v>
      </c>
      <c r="W181" s="43" t="s">
        <v>95</v>
      </c>
      <c r="X181" s="45">
        <v>21.42</v>
      </c>
      <c r="Y181" s="43" t="s">
        <v>81</v>
      </c>
      <c r="Z181" s="43" t="s">
        <v>160</v>
      </c>
      <c r="AA181" s="43" t="s">
        <v>161</v>
      </c>
      <c r="AB181" s="43" t="s">
        <v>79</v>
      </c>
      <c r="AC181" s="45">
        <v>14.28</v>
      </c>
      <c r="AD181" s="43" t="s">
        <v>95</v>
      </c>
      <c r="AE181" s="43" t="s">
        <v>95</v>
      </c>
      <c r="AF181" s="43" t="s">
        <v>95</v>
      </c>
      <c r="AG181" s="43" t="s">
        <v>95</v>
      </c>
      <c r="AH181" s="45">
        <v>0</v>
      </c>
      <c r="AI181" s="43" t="s">
        <v>95</v>
      </c>
      <c r="AJ181" s="43" t="s">
        <v>95</v>
      </c>
      <c r="AK181" s="43" t="s">
        <v>95</v>
      </c>
      <c r="AL181" s="43" t="s">
        <v>95</v>
      </c>
      <c r="AM181" s="45">
        <v>14.28</v>
      </c>
      <c r="AN181" s="43" t="s">
        <v>81</v>
      </c>
      <c r="AO181" s="44">
        <v>44897</v>
      </c>
      <c r="AP181" s="43" t="s">
        <v>492</v>
      </c>
      <c r="AQ181" s="43" t="s">
        <v>493</v>
      </c>
      <c r="AR181" s="43" t="s">
        <v>492</v>
      </c>
      <c r="AS181" s="43" t="s">
        <v>493</v>
      </c>
      <c r="AT181" s="43" t="s">
        <v>85</v>
      </c>
      <c r="AU181" s="43" t="s">
        <v>7030</v>
      </c>
      <c r="AV181" s="43" t="s">
        <v>7031</v>
      </c>
      <c r="AW181" s="43" t="s">
        <v>7031</v>
      </c>
      <c r="AX181" s="43" t="s">
        <v>90</v>
      </c>
      <c r="AY181" s="43" t="s">
        <v>132</v>
      </c>
      <c r="AZ181" s="43" t="s">
        <v>7037</v>
      </c>
      <c r="BA181" s="43" t="s">
        <v>139</v>
      </c>
      <c r="BB181" s="45">
        <v>7.14</v>
      </c>
      <c r="BC181" s="45">
        <v>7.14</v>
      </c>
      <c r="BD181" s="43" t="s">
        <v>7032</v>
      </c>
      <c r="BE181" s="43" t="s">
        <v>81</v>
      </c>
      <c r="BF181" s="43" t="s">
        <v>81</v>
      </c>
      <c r="BG181" s="43" t="s">
        <v>86</v>
      </c>
      <c r="BH181" s="43" t="s">
        <v>177</v>
      </c>
      <c r="BI181" s="43" t="s">
        <v>7038</v>
      </c>
      <c r="BJ181" s="43" t="s">
        <v>7030</v>
      </c>
      <c r="BK181" s="43" t="s">
        <v>139</v>
      </c>
      <c r="BL181" s="43" t="s">
        <v>85</v>
      </c>
      <c r="BM181" s="43" t="s">
        <v>85</v>
      </c>
      <c r="BN181" s="43" t="s">
        <v>139</v>
      </c>
      <c r="BO181" s="46">
        <v>7.14</v>
      </c>
      <c r="BP181" s="43" t="s">
        <v>7032</v>
      </c>
      <c r="BQ181" s="43">
        <v>7.14</v>
      </c>
      <c r="BR181" s="43" t="s">
        <v>7032</v>
      </c>
      <c r="BS181" s="47">
        <v>7.14</v>
      </c>
      <c r="BT181" s="43" t="s">
        <v>7032</v>
      </c>
      <c r="BU181" s="43" t="s">
        <v>7032</v>
      </c>
      <c r="BV181" s="43" t="str">
        <f>CambioPlan[[#This Row],[TELEFONO]]&amp;"UPSELLSI"</f>
        <v>996214924UPSELLSI</v>
      </c>
      <c r="BW181" s="43">
        <f>DAY(CambioPlan[[#This Row],[FECHA_CAMBIO_PLAN]])</f>
        <v>2</v>
      </c>
      <c r="BX181" s="43" t="str">
        <f>VLOOKUP(CambioPlan[[#This Row],[NOM_PLAZA]],[1]!Locales[#Data],3,0)</f>
        <v>TIENDA RECREO</v>
      </c>
      <c r="BY181" s="43" t="str">
        <f>VLOOKUP(CambioPlan[[#This Row],[DOMAIN_LOGIN_OW]],[1]!Personal[#Data],6,0)</f>
        <v>CONDO GARCIA NICOLAS MATIAS</v>
      </c>
      <c r="BZ181" s="43"/>
      <c r="CA181" s="43" t="str">
        <f>IFERROR(IF(FIND("ADULTO",CambioPlan[[#This Row],[DESCRIPCION_PLAN_ACTUAL]],1),"NO SE PAGA",),"SI SE PAGA")</f>
        <v>SI SE PAGA</v>
      </c>
      <c r="CB181" s="45">
        <f>CambioPlan[[#This Row],[TARIFA_BASICA_ACTUAL]]-CambioPlan[[#This Row],[TARIFA_BASICA_ANTERIOR]]</f>
        <v>7.1400000000000023</v>
      </c>
      <c r="CC181" s="56">
        <f>CambioPlan[[#This Row],[DIF. TARIFAS]]*4</f>
        <v>28.560000000000009</v>
      </c>
      <c r="CD181" s="53" t="str">
        <f>IF(CambioPlan[[#This Row],[C. COMISIÓN TME]]&lt;0,"DOWNSELL",IF(CambioPlan[[#This Row],[C. COMISIÓN TME]]=0,"MISMA TARIFA",IF(CambioPlan[[#This Row],[C. COMISIÓN TME]]&gt;0,"UPSELL")))</f>
        <v>UPSELL</v>
      </c>
      <c r="CE181">
        <f>VLOOKUP(CambioPlan[[#This Row],[TARIFA_BASICA_ANTERIOR]],[3]Hoja1!$F:$G,2,0)</f>
        <v>1</v>
      </c>
      <c r="CF181">
        <f>VLOOKUP(CambioPlan[[#This Row],[TARIFA_BASICA_ACTUAL]],[3]Hoja1!$B:$C,2,0)</f>
        <v>3</v>
      </c>
      <c r="CG181">
        <f t="shared" si="2"/>
        <v>2</v>
      </c>
      <c r="CH181" t="str">
        <f>VLOOKUP(CambioPlan[[#This Row],[TELEFONO]],[1]Retenciones!$R$63:$R$287,1,0)</f>
        <v>996214924</v>
      </c>
    </row>
    <row r="182" spans="1:86" x14ac:dyDescent="0.25">
      <c r="A182" s="43">
        <v>202212</v>
      </c>
      <c r="B182" s="44">
        <v>44914</v>
      </c>
      <c r="C182" s="43" t="s">
        <v>7676</v>
      </c>
      <c r="D182" s="43" t="s">
        <v>7677</v>
      </c>
      <c r="E182" s="43" t="s">
        <v>95</v>
      </c>
      <c r="F182" s="43" t="s">
        <v>231</v>
      </c>
      <c r="G182" s="43" t="s">
        <v>231</v>
      </c>
      <c r="H182" s="43" t="s">
        <v>67</v>
      </c>
      <c r="I182" s="43" t="s">
        <v>7678</v>
      </c>
      <c r="J182" s="43" t="s">
        <v>7037</v>
      </c>
      <c r="K182" s="43" t="s">
        <v>84</v>
      </c>
      <c r="L182" s="43" t="s">
        <v>3972</v>
      </c>
      <c r="M182" s="43" t="s">
        <v>3973</v>
      </c>
      <c r="N182" s="43" t="s">
        <v>79</v>
      </c>
      <c r="O182" s="45">
        <v>26.78</v>
      </c>
      <c r="P182" s="43" t="s">
        <v>95</v>
      </c>
      <c r="Q182" s="43" t="s">
        <v>95</v>
      </c>
      <c r="R182" s="43" t="s">
        <v>95</v>
      </c>
      <c r="S182" s="45">
        <v>0</v>
      </c>
      <c r="T182" s="43" t="s">
        <v>95</v>
      </c>
      <c r="U182" s="44" t="s">
        <v>95</v>
      </c>
      <c r="V182" s="44" t="s">
        <v>95</v>
      </c>
      <c r="W182" s="43" t="s">
        <v>95</v>
      </c>
      <c r="X182" s="45">
        <v>26.78</v>
      </c>
      <c r="Y182" s="43" t="s">
        <v>81</v>
      </c>
      <c r="Z182" s="43" t="s">
        <v>7679</v>
      </c>
      <c r="AA182" s="43" t="s">
        <v>7680</v>
      </c>
      <c r="AB182" s="43" t="s">
        <v>79</v>
      </c>
      <c r="AC182" s="45">
        <v>25.15</v>
      </c>
      <c r="AD182" s="43" t="s">
        <v>95</v>
      </c>
      <c r="AE182" s="43" t="s">
        <v>95</v>
      </c>
      <c r="AF182" s="43" t="s">
        <v>95</v>
      </c>
      <c r="AG182" s="43" t="s">
        <v>95</v>
      </c>
      <c r="AH182" s="45">
        <v>0</v>
      </c>
      <c r="AI182" s="43" t="s">
        <v>95</v>
      </c>
      <c r="AJ182" s="43" t="s">
        <v>95</v>
      </c>
      <c r="AK182" s="43" t="s">
        <v>95</v>
      </c>
      <c r="AL182" s="43" t="s">
        <v>95</v>
      </c>
      <c r="AM182" s="45">
        <v>25.15</v>
      </c>
      <c r="AN182" s="43" t="s">
        <v>81</v>
      </c>
      <c r="AO182" s="44">
        <v>44910</v>
      </c>
      <c r="AP182" s="43" t="s">
        <v>492</v>
      </c>
      <c r="AQ182" s="43" t="s">
        <v>493</v>
      </c>
      <c r="AR182" s="43" t="s">
        <v>492</v>
      </c>
      <c r="AS182" s="43" t="s">
        <v>493</v>
      </c>
      <c r="AT182" s="43" t="s">
        <v>85</v>
      </c>
      <c r="AU182" s="43" t="s">
        <v>7030</v>
      </c>
      <c r="AV182" s="43" t="s">
        <v>7031</v>
      </c>
      <c r="AW182" s="43" t="s">
        <v>7031</v>
      </c>
      <c r="AX182" s="43" t="s">
        <v>90</v>
      </c>
      <c r="AY182" s="43" t="s">
        <v>132</v>
      </c>
      <c r="AZ182" s="43" t="s">
        <v>7037</v>
      </c>
      <c r="BA182" s="43" t="s">
        <v>139</v>
      </c>
      <c r="BB182" s="45">
        <v>1.63</v>
      </c>
      <c r="BC182" s="45">
        <v>1.63</v>
      </c>
      <c r="BD182" s="43" t="s">
        <v>7032</v>
      </c>
      <c r="BE182" s="43" t="s">
        <v>81</v>
      </c>
      <c r="BF182" s="43" t="s">
        <v>81</v>
      </c>
      <c r="BG182" s="43" t="s">
        <v>86</v>
      </c>
      <c r="BH182" s="43" t="s">
        <v>177</v>
      </c>
      <c r="BI182" s="43" t="s">
        <v>7038</v>
      </c>
      <c r="BJ182" s="43" t="s">
        <v>7030</v>
      </c>
      <c r="BK182" s="43" t="s">
        <v>139</v>
      </c>
      <c r="BL182" s="43" t="s">
        <v>85</v>
      </c>
      <c r="BM182" s="43" t="s">
        <v>85</v>
      </c>
      <c r="BN182" s="43" t="s">
        <v>139</v>
      </c>
      <c r="BO182" s="46">
        <v>1.63</v>
      </c>
      <c r="BP182" s="43" t="s">
        <v>7032</v>
      </c>
      <c r="BQ182" s="43">
        <v>1.63</v>
      </c>
      <c r="BR182" s="43" t="s">
        <v>7032</v>
      </c>
      <c r="BS182" s="47">
        <v>1.63</v>
      </c>
      <c r="BT182" s="43" t="s">
        <v>7032</v>
      </c>
      <c r="BU182" s="43" t="s">
        <v>7032</v>
      </c>
      <c r="BV182" s="43" t="str">
        <f>CambioPlan[[#This Row],[TELEFONO]]&amp;"UPSELLSI"</f>
        <v>996603809UPSELLSI</v>
      </c>
      <c r="BW182" s="43">
        <f>DAY(CambioPlan[[#This Row],[FECHA_CAMBIO_PLAN]])</f>
        <v>15</v>
      </c>
      <c r="BX182" s="43" t="str">
        <f>VLOOKUP(CambioPlan[[#This Row],[NOM_PLAZA]],[1]!Locales[#Data],3,0)</f>
        <v>TIENDA RECREO</v>
      </c>
      <c r="BY182" s="43" t="str">
        <f>VLOOKUP(CambioPlan[[#This Row],[DOMAIN_LOGIN_OW]],[1]!Personal[#Data],6,0)</f>
        <v>CONDO GARCIA NICOLAS MATIAS</v>
      </c>
      <c r="BZ182" s="43"/>
      <c r="CA182" s="43" t="str">
        <f>IFERROR(IF(FIND("ADULTO",CambioPlan[[#This Row],[DESCRIPCION_PLAN_ACTUAL]],1),"NO SE PAGA",),"SI SE PAGA")</f>
        <v>SI SE PAGA</v>
      </c>
      <c r="CB182" s="45">
        <f>CambioPlan[[#This Row],[TARIFA_BASICA_ACTUAL]]-CambioPlan[[#This Row],[TARIFA_BASICA_ANTERIOR]]</f>
        <v>1.6300000000000026</v>
      </c>
      <c r="CC182" s="56">
        <f>CambioPlan[[#This Row],[DIF. TARIFAS]]*4</f>
        <v>6.5200000000000102</v>
      </c>
      <c r="CD182" s="53" t="str">
        <f>IF(CambioPlan[[#This Row],[C. COMISIÓN TME]]&lt;0,"DOWNSELL",IF(CambioPlan[[#This Row],[C. COMISIÓN TME]]=0,"MISMA TARIFA",IF(CambioPlan[[#This Row],[C. COMISIÓN TME]]&gt;0,"UPSELL")))</f>
        <v>UPSELL</v>
      </c>
      <c r="CE182">
        <f>VLOOKUP(CambioPlan[[#This Row],[TARIFA_BASICA_ANTERIOR]],[3]Hoja1!$F:$G,2,0)</f>
        <v>4</v>
      </c>
      <c r="CF182">
        <f>VLOOKUP(CambioPlan[[#This Row],[TARIFA_BASICA_ACTUAL]],[3]Hoja1!$B:$C,2,0)</f>
        <v>4</v>
      </c>
      <c r="CG182">
        <f t="shared" si="2"/>
        <v>0</v>
      </c>
      <c r="CH182" t="e">
        <f>VLOOKUP(CambioPlan[[#This Row],[TELEFONO]],[1]Retenciones!$R$63:$R$287,1,0)</f>
        <v>#N/A</v>
      </c>
    </row>
    <row r="183" spans="1:86" x14ac:dyDescent="0.25">
      <c r="A183" s="43">
        <v>202212</v>
      </c>
      <c r="B183" s="44">
        <v>44914</v>
      </c>
      <c r="C183" s="43" t="s">
        <v>7681</v>
      </c>
      <c r="D183" s="43" t="s">
        <v>7682</v>
      </c>
      <c r="E183" s="43" t="s">
        <v>95</v>
      </c>
      <c r="F183" s="43" t="s">
        <v>768</v>
      </c>
      <c r="G183" s="43" t="s">
        <v>768</v>
      </c>
      <c r="H183" s="43" t="s">
        <v>67</v>
      </c>
      <c r="I183" s="43" t="s">
        <v>7683</v>
      </c>
      <c r="J183" s="43" t="s">
        <v>7066</v>
      </c>
      <c r="K183" s="43" t="s">
        <v>84</v>
      </c>
      <c r="L183" s="43" t="s">
        <v>3972</v>
      </c>
      <c r="M183" s="43" t="s">
        <v>3973</v>
      </c>
      <c r="N183" s="43" t="s">
        <v>79</v>
      </c>
      <c r="O183" s="45">
        <v>26.78</v>
      </c>
      <c r="P183" s="43" t="s">
        <v>95</v>
      </c>
      <c r="Q183" s="43" t="s">
        <v>95</v>
      </c>
      <c r="R183" s="43" t="s">
        <v>95</v>
      </c>
      <c r="S183" s="45">
        <v>0</v>
      </c>
      <c r="T183" s="43" t="s">
        <v>95</v>
      </c>
      <c r="U183" s="44" t="s">
        <v>95</v>
      </c>
      <c r="V183" s="44" t="s">
        <v>95</v>
      </c>
      <c r="W183" s="43" t="s">
        <v>95</v>
      </c>
      <c r="X183" s="45">
        <v>26.78</v>
      </c>
      <c r="Y183" s="43" t="s">
        <v>81</v>
      </c>
      <c r="Z183" s="43" t="s">
        <v>7213</v>
      </c>
      <c r="AA183" s="43" t="s">
        <v>7477</v>
      </c>
      <c r="AB183" s="43" t="s">
        <v>79</v>
      </c>
      <c r="AC183" s="45">
        <v>24.99</v>
      </c>
      <c r="AD183" s="43" t="s">
        <v>95</v>
      </c>
      <c r="AE183" s="43" t="s">
        <v>95</v>
      </c>
      <c r="AF183" s="43" t="s">
        <v>95</v>
      </c>
      <c r="AG183" s="43" t="s">
        <v>95</v>
      </c>
      <c r="AH183" s="45">
        <v>0</v>
      </c>
      <c r="AI183" s="43" t="s">
        <v>95</v>
      </c>
      <c r="AJ183" s="43" t="s">
        <v>95</v>
      </c>
      <c r="AK183" s="43" t="s">
        <v>95</v>
      </c>
      <c r="AL183" s="43" t="s">
        <v>95</v>
      </c>
      <c r="AM183" s="45">
        <v>24.99</v>
      </c>
      <c r="AN183" s="43" t="s">
        <v>81</v>
      </c>
      <c r="AO183" s="44">
        <v>44899</v>
      </c>
      <c r="AP183" s="43" t="s">
        <v>2159</v>
      </c>
      <c r="AQ183" s="43" t="s">
        <v>2160</v>
      </c>
      <c r="AR183" s="43" t="s">
        <v>2159</v>
      </c>
      <c r="AS183" s="43" t="s">
        <v>2160</v>
      </c>
      <c r="AT183" s="43" t="s">
        <v>85</v>
      </c>
      <c r="AU183" s="43" t="s">
        <v>7030</v>
      </c>
      <c r="AV183" s="43" t="s">
        <v>7031</v>
      </c>
      <c r="AW183" s="43" t="s">
        <v>7031</v>
      </c>
      <c r="AX183" s="43" t="s">
        <v>90</v>
      </c>
      <c r="AY183" s="43" t="s">
        <v>132</v>
      </c>
      <c r="AZ183" s="43" t="s">
        <v>7037</v>
      </c>
      <c r="BA183" s="43" t="s">
        <v>139</v>
      </c>
      <c r="BB183" s="45">
        <v>1.79</v>
      </c>
      <c r="BC183" s="45">
        <v>1.79</v>
      </c>
      <c r="BD183" s="43" t="s">
        <v>7032</v>
      </c>
      <c r="BE183" s="43" t="s">
        <v>81</v>
      </c>
      <c r="BF183" s="43" t="s">
        <v>81</v>
      </c>
      <c r="BG183" s="43" t="s">
        <v>86</v>
      </c>
      <c r="BH183" s="43" t="s">
        <v>177</v>
      </c>
      <c r="BI183" s="43" t="s">
        <v>7038</v>
      </c>
      <c r="BJ183" s="43" t="s">
        <v>7030</v>
      </c>
      <c r="BK183" s="43" t="s">
        <v>139</v>
      </c>
      <c r="BL183" s="43" t="s">
        <v>85</v>
      </c>
      <c r="BM183" s="43" t="s">
        <v>85</v>
      </c>
      <c r="BN183" s="43" t="s">
        <v>139</v>
      </c>
      <c r="BO183" s="46">
        <v>1.79</v>
      </c>
      <c r="BP183" s="43" t="s">
        <v>7032</v>
      </c>
      <c r="BQ183" s="43">
        <v>1.79</v>
      </c>
      <c r="BR183" s="43" t="s">
        <v>7032</v>
      </c>
      <c r="BS183" s="47">
        <v>1.79</v>
      </c>
      <c r="BT183" s="43" t="s">
        <v>7032</v>
      </c>
      <c r="BU183" s="43" t="s">
        <v>7032</v>
      </c>
      <c r="BV183" s="43" t="str">
        <f>CambioPlan[[#This Row],[TELEFONO]]&amp;"UPSELLSI"</f>
        <v>997467269UPSELLSI</v>
      </c>
      <c r="BW183" s="43">
        <f>DAY(CambioPlan[[#This Row],[FECHA_CAMBIO_PLAN]])</f>
        <v>4</v>
      </c>
      <c r="BX183" s="43" t="str">
        <f>VLOOKUP(CambioPlan[[#This Row],[NOM_PLAZA]],[1]!Locales[#Data],3,0)</f>
        <v>TIENDA RECREO</v>
      </c>
      <c r="BY183" s="43" t="str">
        <f>VLOOKUP(CambioPlan[[#This Row],[DOMAIN_LOGIN_OW]],[1]!Personal[#Data],6,0)</f>
        <v>GUEVARA MAZA CRISTIAN FABIAN</v>
      </c>
      <c r="BZ183" s="43"/>
      <c r="CA183" s="43" t="str">
        <f>IFERROR(IF(FIND("ADULTO",CambioPlan[[#This Row],[DESCRIPCION_PLAN_ACTUAL]],1),"NO SE PAGA",),"SI SE PAGA")</f>
        <v>SI SE PAGA</v>
      </c>
      <c r="CB183" s="45">
        <f>CambioPlan[[#This Row],[TARIFA_BASICA_ACTUAL]]-CambioPlan[[#This Row],[TARIFA_BASICA_ANTERIOR]]</f>
        <v>1.7900000000000027</v>
      </c>
      <c r="CC183" s="56">
        <f>CambioPlan[[#This Row],[DIF. TARIFAS]]*4</f>
        <v>7.1600000000000108</v>
      </c>
      <c r="CD183" s="53" t="str">
        <f>IF(CambioPlan[[#This Row],[C. COMISIÓN TME]]&lt;0,"DOWNSELL",IF(CambioPlan[[#This Row],[C. COMISIÓN TME]]=0,"MISMA TARIFA",IF(CambioPlan[[#This Row],[C. COMISIÓN TME]]&gt;0,"UPSELL")))</f>
        <v>UPSELL</v>
      </c>
      <c r="CE183">
        <f>VLOOKUP(CambioPlan[[#This Row],[TARIFA_BASICA_ANTERIOR]],[3]Hoja1!$F:$G,2,0)</f>
        <v>4</v>
      </c>
      <c r="CF183">
        <f>VLOOKUP(CambioPlan[[#This Row],[TARIFA_BASICA_ACTUAL]],[3]Hoja1!$B:$C,2,0)</f>
        <v>4</v>
      </c>
      <c r="CG183">
        <f t="shared" si="2"/>
        <v>0</v>
      </c>
      <c r="CH183" t="e">
        <f>VLOOKUP(CambioPlan[[#This Row],[TELEFONO]],[1]Retenciones!$R$63:$R$287,1,0)</f>
        <v>#N/A</v>
      </c>
    </row>
    <row r="184" spans="1:86" x14ac:dyDescent="0.25">
      <c r="A184" s="43">
        <v>202212</v>
      </c>
      <c r="B184" s="44">
        <v>44914</v>
      </c>
      <c r="C184" s="43" t="s">
        <v>7684</v>
      </c>
      <c r="D184" s="43" t="s">
        <v>7685</v>
      </c>
      <c r="E184" s="43" t="s">
        <v>95</v>
      </c>
      <c r="F184" s="43" t="s">
        <v>77</v>
      </c>
      <c r="G184" s="43" t="s">
        <v>2241</v>
      </c>
      <c r="H184" s="43" t="s">
        <v>246</v>
      </c>
      <c r="I184" s="43" t="s">
        <v>7686</v>
      </c>
      <c r="J184" s="43" t="s">
        <v>7037</v>
      </c>
      <c r="K184" s="43" t="s">
        <v>84</v>
      </c>
      <c r="L184" s="43" t="s">
        <v>698</v>
      </c>
      <c r="M184" s="43" t="s">
        <v>699</v>
      </c>
      <c r="N184" s="43" t="s">
        <v>79</v>
      </c>
      <c r="O184" s="45">
        <v>26.78</v>
      </c>
      <c r="P184" s="43" t="s">
        <v>95</v>
      </c>
      <c r="Q184" s="43" t="s">
        <v>95</v>
      </c>
      <c r="R184" s="43" t="s">
        <v>95</v>
      </c>
      <c r="S184" s="45">
        <v>0</v>
      </c>
      <c r="T184" s="43" t="s">
        <v>95</v>
      </c>
      <c r="U184" s="44" t="s">
        <v>95</v>
      </c>
      <c r="V184" s="44" t="s">
        <v>95</v>
      </c>
      <c r="W184" s="43" t="s">
        <v>95</v>
      </c>
      <c r="X184" s="45">
        <v>26.78</v>
      </c>
      <c r="Y184" s="43" t="s">
        <v>81</v>
      </c>
      <c r="Z184" s="43" t="s">
        <v>130</v>
      </c>
      <c r="AA184" s="43" t="s">
        <v>433</v>
      </c>
      <c r="AB184" s="43" t="s">
        <v>79</v>
      </c>
      <c r="AC184" s="45">
        <v>15</v>
      </c>
      <c r="AD184" s="43" t="s">
        <v>95</v>
      </c>
      <c r="AE184" s="43" t="s">
        <v>95</v>
      </c>
      <c r="AF184" s="43" t="s">
        <v>95</v>
      </c>
      <c r="AG184" s="43" t="s">
        <v>95</v>
      </c>
      <c r="AH184" s="45">
        <v>0</v>
      </c>
      <c r="AI184" s="43" t="s">
        <v>95</v>
      </c>
      <c r="AJ184" s="43" t="s">
        <v>95</v>
      </c>
      <c r="AK184" s="43" t="s">
        <v>95</v>
      </c>
      <c r="AL184" s="43" t="s">
        <v>95</v>
      </c>
      <c r="AM184" s="45">
        <v>15</v>
      </c>
      <c r="AN184" s="43" t="s">
        <v>81</v>
      </c>
      <c r="AO184" s="44">
        <v>44901</v>
      </c>
      <c r="AP184" s="43" t="s">
        <v>369</v>
      </c>
      <c r="AQ184" s="43" t="s">
        <v>370</v>
      </c>
      <c r="AR184" s="43" t="s">
        <v>369</v>
      </c>
      <c r="AS184" s="43" t="s">
        <v>370</v>
      </c>
      <c r="AT184" s="43" t="s">
        <v>85</v>
      </c>
      <c r="AU184" s="43" t="s">
        <v>7030</v>
      </c>
      <c r="AV184" s="43" t="s">
        <v>7031</v>
      </c>
      <c r="AW184" s="43" t="s">
        <v>7031</v>
      </c>
      <c r="AX184" s="43" t="s">
        <v>90</v>
      </c>
      <c r="AY184" s="43" t="s">
        <v>132</v>
      </c>
      <c r="AZ184" s="43" t="s">
        <v>7037</v>
      </c>
      <c r="BA184" s="43" t="s">
        <v>139</v>
      </c>
      <c r="BB184" s="45">
        <v>11.78</v>
      </c>
      <c r="BC184" s="45">
        <v>11.78</v>
      </c>
      <c r="BD184" s="43" t="s">
        <v>7032</v>
      </c>
      <c r="BE184" s="43" t="s">
        <v>81</v>
      </c>
      <c r="BF184" s="43" t="s">
        <v>81</v>
      </c>
      <c r="BG184" s="43" t="s">
        <v>86</v>
      </c>
      <c r="BH184" s="43" t="s">
        <v>177</v>
      </c>
      <c r="BI184" s="43" t="s">
        <v>7038</v>
      </c>
      <c r="BJ184" s="43" t="s">
        <v>7030</v>
      </c>
      <c r="BK184" s="43" t="s">
        <v>139</v>
      </c>
      <c r="BL184" s="43" t="s">
        <v>85</v>
      </c>
      <c r="BM184" s="43" t="s">
        <v>85</v>
      </c>
      <c r="BN184" s="43" t="s">
        <v>139</v>
      </c>
      <c r="BO184" s="46">
        <v>11.78</v>
      </c>
      <c r="BP184" s="43" t="s">
        <v>7032</v>
      </c>
      <c r="BQ184" s="43">
        <v>11.78</v>
      </c>
      <c r="BR184" s="43" t="s">
        <v>7032</v>
      </c>
      <c r="BS184" s="47">
        <v>11.78</v>
      </c>
      <c r="BT184" s="43" t="s">
        <v>7032</v>
      </c>
      <c r="BU184" s="43" t="s">
        <v>7032</v>
      </c>
      <c r="BV184" s="43" t="str">
        <f>CambioPlan[[#This Row],[TELEFONO]]&amp;"UPSELLSI"</f>
        <v>998000088UPSELLSI</v>
      </c>
      <c r="BW184" s="43">
        <f>DAY(CambioPlan[[#This Row],[FECHA_CAMBIO_PLAN]])</f>
        <v>6</v>
      </c>
      <c r="BX184" s="43" t="str">
        <f>VLOOKUP(CambioPlan[[#This Row],[NOM_PLAZA]],[1]!Locales[#Data],3,0)</f>
        <v>TIENDA RECREO</v>
      </c>
      <c r="BY184" s="43" t="str">
        <f>VLOOKUP(CambioPlan[[#This Row],[DOMAIN_LOGIN_OW]],[1]!Personal[#Data],6,0)</f>
        <v>GUAIGUA REINOSO GENESIS CAROLINA</v>
      </c>
      <c r="BZ184" s="43"/>
      <c r="CA184" s="43" t="str">
        <f>IFERROR(IF(FIND("ADULTO",CambioPlan[[#This Row],[DESCRIPCION_PLAN_ACTUAL]],1),"NO SE PAGA",),"SI SE PAGA")</f>
        <v>SI SE PAGA</v>
      </c>
      <c r="CB184" s="45">
        <f>CambioPlan[[#This Row],[TARIFA_BASICA_ACTUAL]]-CambioPlan[[#This Row],[TARIFA_BASICA_ANTERIOR]]</f>
        <v>11.780000000000001</v>
      </c>
      <c r="CC184" s="56">
        <f>CambioPlan[[#This Row],[DIF. TARIFAS]]*4</f>
        <v>47.120000000000005</v>
      </c>
      <c r="CD184" s="53" t="str">
        <f>IF(CambioPlan[[#This Row],[C. COMISIÓN TME]]&lt;0,"DOWNSELL",IF(CambioPlan[[#This Row],[C. COMISIÓN TME]]=0,"MISMA TARIFA",IF(CambioPlan[[#This Row],[C. COMISIÓN TME]]&gt;0,"UPSELL")))</f>
        <v>UPSELL</v>
      </c>
      <c r="CE184">
        <f>VLOOKUP(CambioPlan[[#This Row],[TARIFA_BASICA_ANTERIOR]],[3]Hoja1!$F:$G,2,0)</f>
        <v>2</v>
      </c>
      <c r="CF184">
        <f>VLOOKUP(CambioPlan[[#This Row],[TARIFA_BASICA_ACTUAL]],[3]Hoja1!$B:$C,2,0)</f>
        <v>4</v>
      </c>
      <c r="CG184">
        <f t="shared" si="2"/>
        <v>2</v>
      </c>
      <c r="CH184" t="e">
        <f>VLOOKUP(CambioPlan[[#This Row],[TELEFONO]],[1]Retenciones!$R$63:$R$287,1,0)</f>
        <v>#N/A</v>
      </c>
    </row>
    <row r="185" spans="1:86" x14ac:dyDescent="0.25">
      <c r="A185" s="43">
        <v>202212</v>
      </c>
      <c r="B185" s="44">
        <v>44914</v>
      </c>
      <c r="C185" s="43" t="s">
        <v>7687</v>
      </c>
      <c r="D185" s="43" t="s">
        <v>7688</v>
      </c>
      <c r="E185" s="43" t="s">
        <v>95</v>
      </c>
      <c r="F185" s="43" t="s">
        <v>77</v>
      </c>
      <c r="G185" s="43" t="s">
        <v>2241</v>
      </c>
      <c r="H185" s="43" t="s">
        <v>67</v>
      </c>
      <c r="I185" s="43" t="s">
        <v>7689</v>
      </c>
      <c r="J185" s="43" t="s">
        <v>7037</v>
      </c>
      <c r="K185" s="43" t="s">
        <v>118</v>
      </c>
      <c r="L185" s="43" t="s">
        <v>130</v>
      </c>
      <c r="M185" s="43" t="s">
        <v>433</v>
      </c>
      <c r="N185" s="43" t="s">
        <v>79</v>
      </c>
      <c r="O185" s="45">
        <v>15</v>
      </c>
      <c r="P185" s="43" t="s">
        <v>95</v>
      </c>
      <c r="Q185" s="43" t="s">
        <v>95</v>
      </c>
      <c r="R185" s="43" t="s">
        <v>95</v>
      </c>
      <c r="S185" s="45">
        <v>7.5</v>
      </c>
      <c r="T185" s="43" t="s">
        <v>7104</v>
      </c>
      <c r="U185" s="44">
        <v>44903</v>
      </c>
      <c r="V185" s="44" t="s">
        <v>95</v>
      </c>
      <c r="W185" s="43" t="s">
        <v>7105</v>
      </c>
      <c r="X185" s="45">
        <v>7.5</v>
      </c>
      <c r="Y185" s="43" t="s">
        <v>81</v>
      </c>
      <c r="Z185" s="43" t="s">
        <v>7427</v>
      </c>
      <c r="AA185" s="43" t="s">
        <v>72</v>
      </c>
      <c r="AB185" s="43" t="s">
        <v>79</v>
      </c>
      <c r="AC185" s="45">
        <v>9.99</v>
      </c>
      <c r="AD185" s="43" t="s">
        <v>95</v>
      </c>
      <c r="AE185" s="43" t="s">
        <v>95</v>
      </c>
      <c r="AF185" s="43" t="s">
        <v>95</v>
      </c>
      <c r="AG185" s="43" t="s">
        <v>95</v>
      </c>
      <c r="AH185" s="45">
        <v>0</v>
      </c>
      <c r="AI185" s="43" t="s">
        <v>95</v>
      </c>
      <c r="AJ185" s="43" t="s">
        <v>95</v>
      </c>
      <c r="AK185" s="43" t="s">
        <v>95</v>
      </c>
      <c r="AL185" s="43" t="s">
        <v>95</v>
      </c>
      <c r="AM185" s="45">
        <v>9.99</v>
      </c>
      <c r="AN185" s="43" t="s">
        <v>81</v>
      </c>
      <c r="AO185" s="44">
        <v>44902</v>
      </c>
      <c r="AP185" s="43" t="s">
        <v>377</v>
      </c>
      <c r="AQ185" s="43" t="s">
        <v>378</v>
      </c>
      <c r="AR185" s="43" t="s">
        <v>377</v>
      </c>
      <c r="AS185" s="43" t="s">
        <v>378</v>
      </c>
      <c r="AT185" s="43" t="s">
        <v>85</v>
      </c>
      <c r="AU185" s="43" t="s">
        <v>7030</v>
      </c>
      <c r="AV185" s="43" t="s">
        <v>7031</v>
      </c>
      <c r="AW185" s="43" t="s">
        <v>7031</v>
      </c>
      <c r="AX185" s="43" t="s">
        <v>90</v>
      </c>
      <c r="AY185" s="43" t="s">
        <v>132</v>
      </c>
      <c r="AZ185" s="43" t="s">
        <v>7037</v>
      </c>
      <c r="BA185" s="43" t="s">
        <v>139</v>
      </c>
      <c r="BB185" s="45">
        <v>5.01</v>
      </c>
      <c r="BC185" s="45">
        <v>-2.4900000000000002</v>
      </c>
      <c r="BD185" s="43" t="s">
        <v>7106</v>
      </c>
      <c r="BE185" s="43" t="s">
        <v>81</v>
      </c>
      <c r="BF185" s="43" t="s">
        <v>81</v>
      </c>
      <c r="BG185" s="43" t="s">
        <v>86</v>
      </c>
      <c r="BH185" s="43" t="s">
        <v>235</v>
      </c>
      <c r="BI185" s="43" t="s">
        <v>7076</v>
      </c>
      <c r="BJ185" s="43" t="s">
        <v>7030</v>
      </c>
      <c r="BK185" s="43" t="s">
        <v>139</v>
      </c>
      <c r="BL185" s="43" t="s">
        <v>85</v>
      </c>
      <c r="BM185" s="43" t="s">
        <v>85</v>
      </c>
      <c r="BN185" s="43" t="s">
        <v>139</v>
      </c>
      <c r="BO185" s="46">
        <v>5.01</v>
      </c>
      <c r="BP185" s="43" t="s">
        <v>7032</v>
      </c>
      <c r="BQ185" s="43">
        <v>5.01</v>
      </c>
      <c r="BR185" s="43" t="s">
        <v>7032</v>
      </c>
      <c r="BS185" s="47">
        <v>-2.4900000000000002</v>
      </c>
      <c r="BT185" s="43" t="s">
        <v>7106</v>
      </c>
      <c r="BU185" s="43" t="s">
        <v>7032</v>
      </c>
      <c r="BV185" s="43" t="str">
        <f>CambioPlan[[#This Row],[TELEFONO]]&amp;"UPSELLSI"</f>
        <v>998008084UPSELLSI</v>
      </c>
      <c r="BW185" s="43">
        <f>DAY(CambioPlan[[#This Row],[FECHA_CAMBIO_PLAN]])</f>
        <v>7</v>
      </c>
      <c r="BX185" s="43" t="str">
        <f>VLOOKUP(CambioPlan[[#This Row],[NOM_PLAZA]],[1]!Locales[#Data],3,0)</f>
        <v>TIENDA CONDADO</v>
      </c>
      <c r="BY185" s="43" t="str">
        <f>VLOOKUP(CambioPlan[[#This Row],[DOMAIN_LOGIN_OW]],[1]!Personal[#Data],6,0)</f>
        <v>MELCHIADE ISAAC VALMORE</v>
      </c>
      <c r="BZ185" s="43"/>
      <c r="CA185" s="43" t="str">
        <f>IFERROR(IF(FIND("ADULTO",CambioPlan[[#This Row],[DESCRIPCION_PLAN_ACTUAL]],1),"NO SE PAGA",),"SI SE PAGA")</f>
        <v>NO SE PAGA</v>
      </c>
      <c r="CB185" s="45">
        <f>CambioPlan[[#This Row],[TARIFA_BASICA_ACTUAL]]-CambioPlan[[#This Row],[TARIFA_BASICA_ANTERIOR]]</f>
        <v>5.01</v>
      </c>
      <c r="CC185" s="56">
        <f>CambioPlan[[#This Row],[DIF. TARIFAS]]*4</f>
        <v>20.04</v>
      </c>
      <c r="CD185" s="53" t="str">
        <f>IF(CambioPlan[[#This Row],[C. COMISIÓN TME]]&lt;0,"DOWNSELL",IF(CambioPlan[[#This Row],[C. COMISIÓN TME]]=0,"MISMA TARIFA",IF(CambioPlan[[#This Row],[C. COMISIÓN TME]]&gt;0,"UPSELL")))</f>
        <v>UPSELL</v>
      </c>
      <c r="CE185">
        <f>VLOOKUP(CambioPlan[[#This Row],[TARIFA_BASICA_ANTERIOR]],[3]Hoja1!$F:$G,2,0)</f>
        <v>0</v>
      </c>
      <c r="CF185">
        <f>VLOOKUP(CambioPlan[[#This Row],[TARIFA_BASICA_ACTUAL]],[3]Hoja1!$B:$C,2,0)</f>
        <v>2</v>
      </c>
      <c r="CG185">
        <f t="shared" si="2"/>
        <v>2</v>
      </c>
      <c r="CH185" t="e">
        <f>VLOOKUP(CambioPlan[[#This Row],[TELEFONO]],[1]Retenciones!$R$63:$R$287,1,0)</f>
        <v>#N/A</v>
      </c>
    </row>
    <row r="186" spans="1:86" x14ac:dyDescent="0.25">
      <c r="A186" s="43">
        <v>202212</v>
      </c>
      <c r="B186" s="44">
        <v>44914</v>
      </c>
      <c r="C186" s="43" t="s">
        <v>7690</v>
      </c>
      <c r="D186" s="43" t="s">
        <v>7691</v>
      </c>
      <c r="E186" s="43" t="s">
        <v>95</v>
      </c>
      <c r="F186" s="43" t="s">
        <v>77</v>
      </c>
      <c r="G186" s="43" t="s">
        <v>1532</v>
      </c>
      <c r="H186" s="43" t="s">
        <v>67</v>
      </c>
      <c r="I186" s="43" t="s">
        <v>7692</v>
      </c>
      <c r="J186" s="43" t="s">
        <v>7037</v>
      </c>
      <c r="K186" s="43" t="s">
        <v>118</v>
      </c>
      <c r="L186" s="43" t="s">
        <v>359</v>
      </c>
      <c r="M186" s="43" t="s">
        <v>360</v>
      </c>
      <c r="N186" s="43" t="s">
        <v>79</v>
      </c>
      <c r="O186" s="45">
        <v>14.28</v>
      </c>
      <c r="P186" s="43" t="s">
        <v>95</v>
      </c>
      <c r="Q186" s="43" t="s">
        <v>95</v>
      </c>
      <c r="R186" s="43" t="s">
        <v>95</v>
      </c>
      <c r="S186" s="45">
        <v>0</v>
      </c>
      <c r="T186" s="43" t="s">
        <v>95</v>
      </c>
      <c r="U186" s="44" t="s">
        <v>95</v>
      </c>
      <c r="V186" s="44" t="s">
        <v>95</v>
      </c>
      <c r="W186" s="43" t="s">
        <v>95</v>
      </c>
      <c r="X186" s="45">
        <v>14.28</v>
      </c>
      <c r="Y186" s="43" t="s">
        <v>81</v>
      </c>
      <c r="Z186" s="43" t="s">
        <v>7648</v>
      </c>
      <c r="AA186" s="43" t="s">
        <v>7649</v>
      </c>
      <c r="AB186" s="43" t="s">
        <v>79</v>
      </c>
      <c r="AC186" s="45">
        <v>12.99</v>
      </c>
      <c r="AD186" s="43" t="s">
        <v>95</v>
      </c>
      <c r="AE186" s="43" t="s">
        <v>95</v>
      </c>
      <c r="AF186" s="43" t="s">
        <v>95</v>
      </c>
      <c r="AG186" s="43" t="s">
        <v>95</v>
      </c>
      <c r="AH186" s="45">
        <v>0</v>
      </c>
      <c r="AI186" s="43" t="s">
        <v>95</v>
      </c>
      <c r="AJ186" s="43" t="s">
        <v>95</v>
      </c>
      <c r="AK186" s="43" t="s">
        <v>95</v>
      </c>
      <c r="AL186" s="43" t="s">
        <v>95</v>
      </c>
      <c r="AM186" s="45">
        <v>12.99</v>
      </c>
      <c r="AN186" s="43" t="s">
        <v>81</v>
      </c>
      <c r="AO186" s="44">
        <v>44897</v>
      </c>
      <c r="AP186" s="43" t="s">
        <v>262</v>
      </c>
      <c r="AQ186" s="43" t="s">
        <v>263</v>
      </c>
      <c r="AR186" s="43" t="s">
        <v>7062</v>
      </c>
      <c r="AS186" s="43" t="s">
        <v>95</v>
      </c>
      <c r="AT186" s="43" t="s">
        <v>85</v>
      </c>
      <c r="AU186" s="43" t="s">
        <v>7030</v>
      </c>
      <c r="AV186" s="43" t="s">
        <v>7031</v>
      </c>
      <c r="AW186" s="43" t="s">
        <v>7031</v>
      </c>
      <c r="AX186" s="43" t="s">
        <v>90</v>
      </c>
      <c r="AY186" s="43" t="s">
        <v>132</v>
      </c>
      <c r="AZ186" s="43" t="s">
        <v>7037</v>
      </c>
      <c r="BA186" s="43" t="s">
        <v>139</v>
      </c>
      <c r="BB186" s="45">
        <v>1.29</v>
      </c>
      <c r="BC186" s="45">
        <v>1.29</v>
      </c>
      <c r="BD186" s="43" t="s">
        <v>7032</v>
      </c>
      <c r="BE186" s="43" t="s">
        <v>81</v>
      </c>
      <c r="BF186" s="43" t="s">
        <v>81</v>
      </c>
      <c r="BG186" s="43" t="s">
        <v>86</v>
      </c>
      <c r="BH186" s="43" t="s">
        <v>177</v>
      </c>
      <c r="BI186" s="43" t="s">
        <v>7038</v>
      </c>
      <c r="BJ186" s="43" t="s">
        <v>7030</v>
      </c>
      <c r="BK186" s="43" t="s">
        <v>139</v>
      </c>
      <c r="BL186" s="43" t="s">
        <v>85</v>
      </c>
      <c r="BM186" s="43" t="s">
        <v>85</v>
      </c>
      <c r="BN186" s="43" t="s">
        <v>139</v>
      </c>
      <c r="BO186" s="46">
        <v>1.29</v>
      </c>
      <c r="BP186" s="43" t="s">
        <v>7032</v>
      </c>
      <c r="BQ186" s="43">
        <v>1.29</v>
      </c>
      <c r="BR186" s="43" t="s">
        <v>7032</v>
      </c>
      <c r="BS186" s="47">
        <v>1.29</v>
      </c>
      <c r="BT186" s="43" t="s">
        <v>7032</v>
      </c>
      <c r="BU186" s="43" t="s">
        <v>7032</v>
      </c>
      <c r="BV186" s="43" t="str">
        <f>CambioPlan[[#This Row],[TELEFONO]]&amp;"UPSELLSI"</f>
        <v>998030128UPSELLSI</v>
      </c>
      <c r="BW186" s="43">
        <f>DAY(CambioPlan[[#This Row],[FECHA_CAMBIO_PLAN]])</f>
        <v>2</v>
      </c>
      <c r="BX186" s="43" t="str">
        <f>VLOOKUP(CambioPlan[[#This Row],[NOM_PLAZA]],[1]!Locales[#Data],3,0)</f>
        <v>TIENDA RECREO</v>
      </c>
      <c r="BY186" s="43" t="str">
        <f>VLOOKUP(CambioPlan[[#This Row],[DOMAIN_LOGIN_OW]],[1]!Personal[#Data],6,0)</f>
        <v>CHICAIZA TOAPANTA ALEX DANILO</v>
      </c>
      <c r="BZ186" s="43"/>
      <c r="CA186" s="43" t="str">
        <f>IFERROR(IF(FIND("ADULTO",CambioPlan[[#This Row],[DESCRIPCION_PLAN_ACTUAL]],1),"NO SE PAGA",),"SI SE PAGA")</f>
        <v>SI SE PAGA</v>
      </c>
      <c r="CB186" s="45">
        <f>CambioPlan[[#This Row],[TARIFA_BASICA_ACTUAL]]-CambioPlan[[#This Row],[TARIFA_BASICA_ANTERIOR]]</f>
        <v>1.2899999999999991</v>
      </c>
      <c r="CC186" s="56">
        <f>CambioPlan[[#This Row],[DIF. TARIFAS]]*4</f>
        <v>5.1599999999999966</v>
      </c>
      <c r="CD186" s="53" t="str">
        <f>IF(CambioPlan[[#This Row],[C. COMISIÓN TME]]&lt;0,"DOWNSELL",IF(CambioPlan[[#This Row],[C. COMISIÓN TME]]=0,"MISMA TARIFA",IF(CambioPlan[[#This Row],[C. COMISIÓN TME]]&gt;0,"UPSELL")))</f>
        <v>UPSELL</v>
      </c>
      <c r="CE186">
        <f>VLOOKUP(CambioPlan[[#This Row],[TARIFA_BASICA_ANTERIOR]],[3]Hoja1!$F:$G,2,0)</f>
        <v>1</v>
      </c>
      <c r="CF186">
        <f>VLOOKUP(CambioPlan[[#This Row],[TARIFA_BASICA_ACTUAL]],[3]Hoja1!$B:$C,2,0)</f>
        <v>1</v>
      </c>
      <c r="CG186">
        <f t="shared" si="2"/>
        <v>0</v>
      </c>
      <c r="CH186" t="e">
        <f>VLOOKUP(CambioPlan[[#This Row],[TELEFONO]],[1]Retenciones!$R$63:$R$287,1,0)</f>
        <v>#N/A</v>
      </c>
    </row>
    <row r="187" spans="1:86" x14ac:dyDescent="0.25">
      <c r="A187" s="43">
        <v>202212</v>
      </c>
      <c r="B187" s="44">
        <v>44914</v>
      </c>
      <c r="C187" s="43" t="s">
        <v>7693</v>
      </c>
      <c r="D187" s="43" t="s">
        <v>7694</v>
      </c>
      <c r="E187" s="43" t="s">
        <v>95</v>
      </c>
      <c r="F187" s="43" t="s">
        <v>77</v>
      </c>
      <c r="G187" s="43" t="s">
        <v>2241</v>
      </c>
      <c r="H187" s="43" t="s">
        <v>246</v>
      </c>
      <c r="I187" s="43" t="s">
        <v>7695</v>
      </c>
      <c r="J187" s="43" t="s">
        <v>7037</v>
      </c>
      <c r="K187" s="43" t="s">
        <v>84</v>
      </c>
      <c r="L187" s="43" t="s">
        <v>698</v>
      </c>
      <c r="M187" s="43" t="s">
        <v>699</v>
      </c>
      <c r="N187" s="43" t="s">
        <v>79</v>
      </c>
      <c r="O187" s="45">
        <v>26.78</v>
      </c>
      <c r="P187" s="43" t="s">
        <v>95</v>
      </c>
      <c r="Q187" s="43" t="s">
        <v>95</v>
      </c>
      <c r="R187" s="43" t="s">
        <v>95</v>
      </c>
      <c r="S187" s="45">
        <v>0</v>
      </c>
      <c r="T187" s="43" t="s">
        <v>95</v>
      </c>
      <c r="U187" s="44" t="s">
        <v>95</v>
      </c>
      <c r="V187" s="44" t="s">
        <v>95</v>
      </c>
      <c r="W187" s="43" t="s">
        <v>95</v>
      </c>
      <c r="X187" s="45">
        <v>26.78</v>
      </c>
      <c r="Y187" s="43" t="s">
        <v>81</v>
      </c>
      <c r="Z187" s="43" t="s">
        <v>160</v>
      </c>
      <c r="AA187" s="43" t="s">
        <v>161</v>
      </c>
      <c r="AB187" s="43" t="s">
        <v>79</v>
      </c>
      <c r="AC187" s="45">
        <v>14.28</v>
      </c>
      <c r="AD187" s="43" t="s">
        <v>95</v>
      </c>
      <c r="AE187" s="43" t="s">
        <v>95</v>
      </c>
      <c r="AF187" s="43" t="s">
        <v>95</v>
      </c>
      <c r="AG187" s="43" t="s">
        <v>95</v>
      </c>
      <c r="AH187" s="45">
        <v>0</v>
      </c>
      <c r="AI187" s="43" t="s">
        <v>95</v>
      </c>
      <c r="AJ187" s="43" t="s">
        <v>95</v>
      </c>
      <c r="AK187" s="43" t="s">
        <v>95</v>
      </c>
      <c r="AL187" s="43" t="s">
        <v>95</v>
      </c>
      <c r="AM187" s="45">
        <v>14.28</v>
      </c>
      <c r="AN187" s="43" t="s">
        <v>81</v>
      </c>
      <c r="AO187" s="44">
        <v>44906</v>
      </c>
      <c r="AP187" s="43" t="s">
        <v>280</v>
      </c>
      <c r="AQ187" s="43" t="s">
        <v>281</v>
      </c>
      <c r="AR187" s="43" t="s">
        <v>280</v>
      </c>
      <c r="AS187" s="43" t="s">
        <v>281</v>
      </c>
      <c r="AT187" s="43" t="s">
        <v>85</v>
      </c>
      <c r="AU187" s="43" t="s">
        <v>7030</v>
      </c>
      <c r="AV187" s="43" t="s">
        <v>7031</v>
      </c>
      <c r="AW187" s="43" t="s">
        <v>7031</v>
      </c>
      <c r="AX187" s="43" t="s">
        <v>90</v>
      </c>
      <c r="AY187" s="43" t="s">
        <v>132</v>
      </c>
      <c r="AZ187" s="43" t="s">
        <v>7037</v>
      </c>
      <c r="BA187" s="43" t="s">
        <v>139</v>
      </c>
      <c r="BB187" s="45">
        <v>12.5</v>
      </c>
      <c r="BC187" s="45">
        <v>12.5</v>
      </c>
      <c r="BD187" s="43" t="s">
        <v>7032</v>
      </c>
      <c r="BE187" s="43" t="s">
        <v>81</v>
      </c>
      <c r="BF187" s="43" t="s">
        <v>81</v>
      </c>
      <c r="BG187" s="43" t="s">
        <v>86</v>
      </c>
      <c r="BH187" s="43" t="s">
        <v>235</v>
      </c>
      <c r="BI187" s="43" t="s">
        <v>7076</v>
      </c>
      <c r="BJ187" s="43" t="s">
        <v>7030</v>
      </c>
      <c r="BK187" s="43" t="s">
        <v>139</v>
      </c>
      <c r="BL187" s="43" t="s">
        <v>85</v>
      </c>
      <c r="BM187" s="43" t="s">
        <v>85</v>
      </c>
      <c r="BN187" s="43" t="s">
        <v>139</v>
      </c>
      <c r="BO187" s="46">
        <v>12.5</v>
      </c>
      <c r="BP187" s="43" t="s">
        <v>7032</v>
      </c>
      <c r="BQ187" s="43">
        <v>12.5</v>
      </c>
      <c r="BR187" s="43" t="s">
        <v>7032</v>
      </c>
      <c r="BS187" s="47">
        <v>12.5</v>
      </c>
      <c r="BT187" s="43" t="s">
        <v>7032</v>
      </c>
      <c r="BU187" s="43" t="s">
        <v>7032</v>
      </c>
      <c r="BV187" s="43" t="str">
        <f>CambioPlan[[#This Row],[TELEFONO]]&amp;"UPSELLSI"</f>
        <v>998102917UPSELLSI</v>
      </c>
      <c r="BW187" s="43">
        <f>DAY(CambioPlan[[#This Row],[FECHA_CAMBIO_PLAN]])</f>
        <v>11</v>
      </c>
      <c r="BX187" s="43" t="str">
        <f>VLOOKUP(CambioPlan[[#This Row],[NOM_PLAZA]],[1]!Locales[#Data],3,0)</f>
        <v>TIENDA CONDADO</v>
      </c>
      <c r="BY187" s="43" t="str">
        <f>VLOOKUP(CambioPlan[[#This Row],[DOMAIN_LOGIN_OW]],[1]!Personal[#Data],6,0)</f>
        <v>GUACHAMIN CAZA HUGO ADRIAN</v>
      </c>
      <c r="BZ187" s="43"/>
      <c r="CA187" s="43" t="str">
        <f>IFERROR(IF(FIND("ADULTO",CambioPlan[[#This Row],[DESCRIPCION_PLAN_ACTUAL]],1),"NO SE PAGA",),"SI SE PAGA")</f>
        <v>SI SE PAGA</v>
      </c>
      <c r="CB187" s="45">
        <f>CambioPlan[[#This Row],[TARIFA_BASICA_ACTUAL]]-CambioPlan[[#This Row],[TARIFA_BASICA_ANTERIOR]]</f>
        <v>12.500000000000002</v>
      </c>
      <c r="CC187" s="56">
        <f>CambioPlan[[#This Row],[DIF. TARIFAS]]*4</f>
        <v>50.000000000000007</v>
      </c>
      <c r="CD187" s="53" t="str">
        <f>IF(CambioPlan[[#This Row],[C. COMISIÓN TME]]&lt;0,"DOWNSELL",IF(CambioPlan[[#This Row],[C. COMISIÓN TME]]=0,"MISMA TARIFA",IF(CambioPlan[[#This Row],[C. COMISIÓN TME]]&gt;0,"UPSELL")))</f>
        <v>UPSELL</v>
      </c>
      <c r="CE187">
        <f>VLOOKUP(CambioPlan[[#This Row],[TARIFA_BASICA_ANTERIOR]],[3]Hoja1!$F:$G,2,0)</f>
        <v>1</v>
      </c>
      <c r="CF187">
        <f>VLOOKUP(CambioPlan[[#This Row],[TARIFA_BASICA_ACTUAL]],[3]Hoja1!$B:$C,2,0)</f>
        <v>4</v>
      </c>
      <c r="CG187">
        <f t="shared" si="2"/>
        <v>3</v>
      </c>
      <c r="CH187" t="e">
        <f>VLOOKUP(CambioPlan[[#This Row],[TELEFONO]],[1]Retenciones!$R$63:$R$287,1,0)</f>
        <v>#N/A</v>
      </c>
    </row>
    <row r="188" spans="1:86" x14ac:dyDescent="0.25">
      <c r="A188" s="43">
        <v>202212</v>
      </c>
      <c r="B188" s="44">
        <v>44914</v>
      </c>
      <c r="C188" s="43" t="s">
        <v>7696</v>
      </c>
      <c r="D188" s="43" t="s">
        <v>7697</v>
      </c>
      <c r="E188" s="43" t="s">
        <v>95</v>
      </c>
      <c r="F188" s="43" t="s">
        <v>77</v>
      </c>
      <c r="G188" s="43" t="s">
        <v>2241</v>
      </c>
      <c r="H188" s="43" t="s">
        <v>67</v>
      </c>
      <c r="I188" s="43" t="s">
        <v>7698</v>
      </c>
      <c r="J188" s="43" t="s">
        <v>7037</v>
      </c>
      <c r="K188" s="43" t="s">
        <v>215</v>
      </c>
      <c r="L188" s="43" t="s">
        <v>112</v>
      </c>
      <c r="M188" s="43" t="s">
        <v>781</v>
      </c>
      <c r="N188" s="43" t="s">
        <v>79</v>
      </c>
      <c r="O188" s="45">
        <v>17.850000000000001</v>
      </c>
      <c r="P188" s="43" t="s">
        <v>95</v>
      </c>
      <c r="Q188" s="43" t="s">
        <v>95</v>
      </c>
      <c r="R188" s="43" t="s">
        <v>95</v>
      </c>
      <c r="S188" s="45">
        <v>0</v>
      </c>
      <c r="T188" s="43" t="s">
        <v>95</v>
      </c>
      <c r="U188" s="44" t="s">
        <v>95</v>
      </c>
      <c r="V188" s="44" t="s">
        <v>95</v>
      </c>
      <c r="W188" s="43" t="s">
        <v>95</v>
      </c>
      <c r="X188" s="45">
        <v>17.850000000000001</v>
      </c>
      <c r="Y188" s="43" t="s">
        <v>81</v>
      </c>
      <c r="Z188" s="43" t="s">
        <v>7487</v>
      </c>
      <c r="AA188" s="43" t="s">
        <v>7504</v>
      </c>
      <c r="AB188" s="43" t="s">
        <v>79</v>
      </c>
      <c r="AC188" s="45">
        <v>16.989999999999998</v>
      </c>
      <c r="AD188" s="43" t="s">
        <v>95</v>
      </c>
      <c r="AE188" s="43" t="s">
        <v>95</v>
      </c>
      <c r="AF188" s="43" t="s">
        <v>95</v>
      </c>
      <c r="AG188" s="43" t="s">
        <v>95</v>
      </c>
      <c r="AH188" s="45">
        <v>0</v>
      </c>
      <c r="AI188" s="43" t="s">
        <v>95</v>
      </c>
      <c r="AJ188" s="43" t="s">
        <v>95</v>
      </c>
      <c r="AK188" s="43" t="s">
        <v>95</v>
      </c>
      <c r="AL188" s="43" t="s">
        <v>95</v>
      </c>
      <c r="AM188" s="45">
        <v>16.989999999999998</v>
      </c>
      <c r="AN188" s="43" t="s">
        <v>81</v>
      </c>
      <c r="AO188" s="44">
        <v>44909</v>
      </c>
      <c r="AP188" s="43" t="s">
        <v>1315</v>
      </c>
      <c r="AQ188" s="43" t="s">
        <v>1316</v>
      </c>
      <c r="AR188" s="43" t="s">
        <v>1315</v>
      </c>
      <c r="AS188" s="43" t="s">
        <v>1316</v>
      </c>
      <c r="AT188" s="43" t="s">
        <v>85</v>
      </c>
      <c r="AU188" s="43" t="s">
        <v>7030</v>
      </c>
      <c r="AV188" s="43" t="s">
        <v>7031</v>
      </c>
      <c r="AW188" s="43" t="s">
        <v>7031</v>
      </c>
      <c r="AX188" s="43" t="s">
        <v>90</v>
      </c>
      <c r="AY188" s="43" t="s">
        <v>132</v>
      </c>
      <c r="AZ188" s="43" t="s">
        <v>7037</v>
      </c>
      <c r="BA188" s="43" t="s">
        <v>139</v>
      </c>
      <c r="BB188" s="45">
        <v>0.86000000000000298</v>
      </c>
      <c r="BC188" s="45">
        <v>0.85999999999999899</v>
      </c>
      <c r="BD188" s="43" t="s">
        <v>7032</v>
      </c>
      <c r="BE188" s="43" t="s">
        <v>81</v>
      </c>
      <c r="BF188" s="43" t="s">
        <v>81</v>
      </c>
      <c r="BG188" s="43" t="s">
        <v>86</v>
      </c>
      <c r="BH188" s="43" t="s">
        <v>177</v>
      </c>
      <c r="BI188" s="43" t="s">
        <v>7038</v>
      </c>
      <c r="BJ188" s="43" t="s">
        <v>7030</v>
      </c>
      <c r="BK188" s="43" t="s">
        <v>139</v>
      </c>
      <c r="BL188" s="43" t="s">
        <v>85</v>
      </c>
      <c r="BM188" s="43" t="s">
        <v>85</v>
      </c>
      <c r="BN188" s="43" t="s">
        <v>139</v>
      </c>
      <c r="BO188" s="46">
        <v>0.85999999999999899</v>
      </c>
      <c r="BP188" s="43" t="s">
        <v>7032</v>
      </c>
      <c r="BQ188" s="43">
        <v>0.85999999999999899</v>
      </c>
      <c r="BR188" s="43" t="s">
        <v>7032</v>
      </c>
      <c r="BS188" s="47">
        <v>0.85999999999999899</v>
      </c>
      <c r="BT188" s="43" t="s">
        <v>7032</v>
      </c>
      <c r="BU188" s="43" t="s">
        <v>7092</v>
      </c>
      <c r="BV188" s="43" t="str">
        <f>CambioPlan[[#This Row],[TELEFONO]]&amp;"UPSELLSI"</f>
        <v>998123679UPSELLSI</v>
      </c>
      <c r="BW188" s="43">
        <f>DAY(CambioPlan[[#This Row],[FECHA_CAMBIO_PLAN]])</f>
        <v>14</v>
      </c>
      <c r="BX188" s="43" t="str">
        <f>VLOOKUP(CambioPlan[[#This Row],[NOM_PLAZA]],[1]!Locales[#Data],3,0)</f>
        <v>TIENDA RECREO</v>
      </c>
      <c r="BY188" s="43" t="str">
        <f>VLOOKUP(CambioPlan[[#This Row],[DOMAIN_LOGIN_OW]],[1]!Personal[#Data],6,0)</f>
        <v>ORTEGA  NATALIE MÉNDEZ</v>
      </c>
      <c r="BZ188" s="43"/>
      <c r="CA188" s="43" t="str">
        <f>IFERROR(IF(FIND("ADULTO",CambioPlan[[#This Row],[DESCRIPCION_PLAN_ACTUAL]],1),"NO SE PAGA",),"SI SE PAGA")</f>
        <v>SI SE PAGA</v>
      </c>
      <c r="CB188" s="45">
        <f>CambioPlan[[#This Row],[TARIFA_BASICA_ACTUAL]]-CambioPlan[[#This Row],[TARIFA_BASICA_ANTERIOR]]</f>
        <v>0.86000000000000298</v>
      </c>
      <c r="CC188" s="56">
        <f>CambioPlan[[#This Row],[DIF. TARIFAS]]*4</f>
        <v>3.4400000000000119</v>
      </c>
      <c r="CD188" s="53" t="str">
        <f>IF(CambioPlan[[#This Row],[C. COMISIÓN TME]]&lt;0,"DOWNSELL",IF(CambioPlan[[#This Row],[C. COMISIÓN TME]]=0,"MISMA TARIFA",IF(CambioPlan[[#This Row],[C. COMISIÓN TME]]&gt;0,"UPSELL")))</f>
        <v>UPSELL</v>
      </c>
      <c r="CE188">
        <f>VLOOKUP(CambioPlan[[#This Row],[TARIFA_BASICA_ANTERIOR]],[3]Hoja1!$F:$G,2,0)</f>
        <v>2</v>
      </c>
      <c r="CF188">
        <f>VLOOKUP(CambioPlan[[#This Row],[TARIFA_BASICA_ACTUAL]],[3]Hoja1!$B:$C,2,0)</f>
        <v>2</v>
      </c>
      <c r="CG188">
        <f t="shared" si="2"/>
        <v>0</v>
      </c>
      <c r="CH188" t="e">
        <f>VLOOKUP(CambioPlan[[#This Row],[TELEFONO]],[1]Retenciones!$R$63:$R$287,1,0)</f>
        <v>#N/A</v>
      </c>
    </row>
    <row r="189" spans="1:86" x14ac:dyDescent="0.25">
      <c r="A189" s="43">
        <v>202212</v>
      </c>
      <c r="B189" s="44">
        <v>44914</v>
      </c>
      <c r="C189" s="43" t="s">
        <v>7699</v>
      </c>
      <c r="D189" s="43" t="s">
        <v>7700</v>
      </c>
      <c r="E189" s="43" t="s">
        <v>95</v>
      </c>
      <c r="F189" s="43" t="s">
        <v>77</v>
      </c>
      <c r="G189" s="43" t="s">
        <v>2241</v>
      </c>
      <c r="H189" s="43" t="s">
        <v>67</v>
      </c>
      <c r="I189" s="43" t="s">
        <v>7701</v>
      </c>
      <c r="J189" s="43" t="s">
        <v>7037</v>
      </c>
      <c r="K189" s="43" t="s">
        <v>118</v>
      </c>
      <c r="L189" s="43" t="s">
        <v>227</v>
      </c>
      <c r="M189" s="43" t="s">
        <v>426</v>
      </c>
      <c r="N189" s="43" t="s">
        <v>79</v>
      </c>
      <c r="O189" s="45">
        <v>21.42</v>
      </c>
      <c r="P189" s="43" t="s">
        <v>95</v>
      </c>
      <c r="Q189" s="43" t="s">
        <v>95</v>
      </c>
      <c r="R189" s="43" t="s">
        <v>95</v>
      </c>
      <c r="S189" s="45">
        <v>0</v>
      </c>
      <c r="T189" s="43" t="s">
        <v>95</v>
      </c>
      <c r="U189" s="44" t="s">
        <v>95</v>
      </c>
      <c r="V189" s="44" t="s">
        <v>95</v>
      </c>
      <c r="W189" s="43" t="s">
        <v>95</v>
      </c>
      <c r="X189" s="45">
        <v>21.42</v>
      </c>
      <c r="Y189" s="43" t="s">
        <v>81</v>
      </c>
      <c r="Z189" s="43" t="s">
        <v>7427</v>
      </c>
      <c r="AA189" s="43" t="s">
        <v>7702</v>
      </c>
      <c r="AB189" s="43" t="s">
        <v>79</v>
      </c>
      <c r="AC189" s="45">
        <v>9.99</v>
      </c>
      <c r="AD189" s="43" t="s">
        <v>95</v>
      </c>
      <c r="AE189" s="43" t="s">
        <v>95</v>
      </c>
      <c r="AF189" s="43" t="s">
        <v>95</v>
      </c>
      <c r="AG189" s="43" t="s">
        <v>95</v>
      </c>
      <c r="AH189" s="45">
        <v>0</v>
      </c>
      <c r="AI189" s="43" t="s">
        <v>95</v>
      </c>
      <c r="AJ189" s="43" t="s">
        <v>95</v>
      </c>
      <c r="AK189" s="43" t="s">
        <v>95</v>
      </c>
      <c r="AL189" s="43" t="s">
        <v>95</v>
      </c>
      <c r="AM189" s="45">
        <v>9.99</v>
      </c>
      <c r="AN189" s="43" t="s">
        <v>81</v>
      </c>
      <c r="AO189" s="44">
        <v>44904</v>
      </c>
      <c r="AP189" s="43" t="s">
        <v>740</v>
      </c>
      <c r="AQ189" s="43" t="s">
        <v>741</v>
      </c>
      <c r="AR189" s="43" t="s">
        <v>740</v>
      </c>
      <c r="AS189" s="43" t="s">
        <v>741</v>
      </c>
      <c r="AT189" s="43" t="s">
        <v>85</v>
      </c>
      <c r="AU189" s="43" t="s">
        <v>7030</v>
      </c>
      <c r="AV189" s="43" t="s">
        <v>7031</v>
      </c>
      <c r="AW189" s="43" t="s">
        <v>7031</v>
      </c>
      <c r="AX189" s="43" t="s">
        <v>90</v>
      </c>
      <c r="AY189" s="43" t="s">
        <v>132</v>
      </c>
      <c r="AZ189" s="43" t="s">
        <v>7037</v>
      </c>
      <c r="BA189" s="43" t="s">
        <v>139</v>
      </c>
      <c r="BB189" s="45">
        <v>11.43</v>
      </c>
      <c r="BC189" s="45">
        <v>11.43</v>
      </c>
      <c r="BD189" s="43" t="s">
        <v>7032</v>
      </c>
      <c r="BE189" s="43" t="s">
        <v>81</v>
      </c>
      <c r="BF189" s="43" t="s">
        <v>81</v>
      </c>
      <c r="BG189" s="43" t="s">
        <v>86</v>
      </c>
      <c r="BH189" s="43" t="s">
        <v>177</v>
      </c>
      <c r="BI189" s="43" t="s">
        <v>7038</v>
      </c>
      <c r="BJ189" s="43" t="s">
        <v>7030</v>
      </c>
      <c r="BK189" s="43" t="s">
        <v>139</v>
      </c>
      <c r="BL189" s="43" t="s">
        <v>85</v>
      </c>
      <c r="BM189" s="43" t="s">
        <v>85</v>
      </c>
      <c r="BN189" s="43" t="s">
        <v>139</v>
      </c>
      <c r="BO189" s="46">
        <v>11.43</v>
      </c>
      <c r="BP189" s="43" t="s">
        <v>7032</v>
      </c>
      <c r="BQ189" s="43">
        <v>11.43</v>
      </c>
      <c r="BR189" s="43" t="s">
        <v>7032</v>
      </c>
      <c r="BS189" s="47">
        <v>11.43</v>
      </c>
      <c r="BT189" s="43" t="s">
        <v>7032</v>
      </c>
      <c r="BU189" s="43" t="s">
        <v>7032</v>
      </c>
      <c r="BV189" s="43" t="str">
        <f>CambioPlan[[#This Row],[TELEFONO]]&amp;"UPSELLSI"</f>
        <v>998134186UPSELLSI</v>
      </c>
      <c r="BW189" s="43">
        <f>DAY(CambioPlan[[#This Row],[FECHA_CAMBIO_PLAN]])</f>
        <v>9</v>
      </c>
      <c r="BX189" s="43" t="str">
        <f>VLOOKUP(CambioPlan[[#This Row],[NOM_PLAZA]],[1]!Locales[#Data],3,0)</f>
        <v>TIENDA RECREO</v>
      </c>
      <c r="BY189" s="43" t="str">
        <f>VLOOKUP(CambioPlan[[#This Row],[DOMAIN_LOGIN_OW]],[1]!Personal[#Data],6,0)</f>
        <v>CHAVEZ VASQUEZ YESSENIA KATHERINE</v>
      </c>
      <c r="BZ189" s="43"/>
      <c r="CA189" s="43" t="str">
        <f>IFERROR(IF(FIND("ADULTO",CambioPlan[[#This Row],[DESCRIPCION_PLAN_ACTUAL]],1),"NO SE PAGA",),"SI SE PAGA")</f>
        <v>SI SE PAGA</v>
      </c>
      <c r="CB189" s="45">
        <f>CambioPlan[[#This Row],[TARIFA_BASICA_ACTUAL]]-CambioPlan[[#This Row],[TARIFA_BASICA_ANTERIOR]]</f>
        <v>11.430000000000001</v>
      </c>
      <c r="CC189" s="56">
        <f>CambioPlan[[#This Row],[DIF. TARIFAS]]*4</f>
        <v>45.720000000000006</v>
      </c>
      <c r="CD189" s="53" t="str">
        <f>IF(CambioPlan[[#This Row],[C. COMISIÓN TME]]&lt;0,"DOWNSELL",IF(CambioPlan[[#This Row],[C. COMISIÓN TME]]=0,"MISMA TARIFA",IF(CambioPlan[[#This Row],[C. COMISIÓN TME]]&gt;0,"UPSELL")))</f>
        <v>UPSELL</v>
      </c>
      <c r="CE189">
        <f>VLOOKUP(CambioPlan[[#This Row],[TARIFA_BASICA_ANTERIOR]],[3]Hoja1!$F:$G,2,0)</f>
        <v>0</v>
      </c>
      <c r="CF189">
        <f>VLOOKUP(CambioPlan[[#This Row],[TARIFA_BASICA_ACTUAL]],[3]Hoja1!$B:$C,2,0)</f>
        <v>3</v>
      </c>
      <c r="CG189">
        <f t="shared" si="2"/>
        <v>3</v>
      </c>
      <c r="CH189" t="e">
        <f>VLOOKUP(CambioPlan[[#This Row],[TELEFONO]],[1]Retenciones!$R$63:$R$287,1,0)</f>
        <v>#N/A</v>
      </c>
    </row>
    <row r="190" spans="1:86" x14ac:dyDescent="0.25">
      <c r="A190" s="43">
        <v>202212</v>
      </c>
      <c r="B190" s="44">
        <v>44914</v>
      </c>
      <c r="C190" s="43" t="s">
        <v>7703</v>
      </c>
      <c r="D190" s="43" t="s">
        <v>7704</v>
      </c>
      <c r="E190" s="43" t="s">
        <v>95</v>
      </c>
      <c r="F190" s="43" t="s">
        <v>768</v>
      </c>
      <c r="G190" s="43" t="s">
        <v>768</v>
      </c>
      <c r="H190" s="43" t="s">
        <v>67</v>
      </c>
      <c r="I190" s="43" t="s">
        <v>7705</v>
      </c>
      <c r="J190" s="43" t="s">
        <v>7037</v>
      </c>
      <c r="K190" s="43" t="s">
        <v>84</v>
      </c>
      <c r="L190" s="43" t="s">
        <v>359</v>
      </c>
      <c r="M190" s="43" t="s">
        <v>360</v>
      </c>
      <c r="N190" s="43" t="s">
        <v>79</v>
      </c>
      <c r="O190" s="45">
        <v>14.28</v>
      </c>
      <c r="P190" s="43" t="s">
        <v>95</v>
      </c>
      <c r="Q190" s="43" t="s">
        <v>95</v>
      </c>
      <c r="R190" s="43" t="s">
        <v>95</v>
      </c>
      <c r="S190" s="45">
        <v>0</v>
      </c>
      <c r="T190" s="43" t="s">
        <v>95</v>
      </c>
      <c r="U190" s="44" t="s">
        <v>95</v>
      </c>
      <c r="V190" s="44" t="s">
        <v>95</v>
      </c>
      <c r="W190" s="43" t="s">
        <v>95</v>
      </c>
      <c r="X190" s="45">
        <v>14.28</v>
      </c>
      <c r="Y190" s="43" t="s">
        <v>81</v>
      </c>
      <c r="Z190" s="43" t="s">
        <v>574</v>
      </c>
      <c r="AA190" s="43" t="s">
        <v>575</v>
      </c>
      <c r="AB190" s="43" t="s">
        <v>79</v>
      </c>
      <c r="AC190" s="45">
        <v>17.850000000000001</v>
      </c>
      <c r="AD190" s="43" t="s">
        <v>95</v>
      </c>
      <c r="AE190" s="43" t="s">
        <v>95</v>
      </c>
      <c r="AF190" s="43" t="s">
        <v>95</v>
      </c>
      <c r="AG190" s="43" t="s">
        <v>95</v>
      </c>
      <c r="AH190" s="45">
        <v>0</v>
      </c>
      <c r="AI190" s="43" t="s">
        <v>95</v>
      </c>
      <c r="AJ190" s="43" t="s">
        <v>95</v>
      </c>
      <c r="AK190" s="43" t="s">
        <v>95</v>
      </c>
      <c r="AL190" s="43" t="s">
        <v>95</v>
      </c>
      <c r="AM190" s="45">
        <v>17.850000000000001</v>
      </c>
      <c r="AN190" s="43" t="s">
        <v>81</v>
      </c>
      <c r="AO190" s="44">
        <v>44897</v>
      </c>
      <c r="AP190" s="43" t="s">
        <v>262</v>
      </c>
      <c r="AQ190" s="43" t="s">
        <v>263</v>
      </c>
      <c r="AR190" s="43" t="s">
        <v>262</v>
      </c>
      <c r="AS190" s="43" t="s">
        <v>263</v>
      </c>
      <c r="AT190" s="43" t="s">
        <v>85</v>
      </c>
      <c r="AU190" s="43" t="s">
        <v>7030</v>
      </c>
      <c r="AV190" s="43" t="s">
        <v>7031</v>
      </c>
      <c r="AW190" s="43" t="s">
        <v>7031</v>
      </c>
      <c r="AX190" s="43" t="s">
        <v>90</v>
      </c>
      <c r="AY190" s="43" t="s">
        <v>132</v>
      </c>
      <c r="AZ190" s="43" t="s">
        <v>7037</v>
      </c>
      <c r="BA190" s="43" t="s">
        <v>139</v>
      </c>
      <c r="BB190" s="45">
        <v>-3.57</v>
      </c>
      <c r="BC190" s="45">
        <v>-3.57</v>
      </c>
      <c r="BD190" s="43" t="s">
        <v>7106</v>
      </c>
      <c r="BE190" s="43" t="s">
        <v>81</v>
      </c>
      <c r="BF190" s="43" t="s">
        <v>81</v>
      </c>
      <c r="BG190" s="43" t="s">
        <v>86</v>
      </c>
      <c r="BH190" s="43" t="s">
        <v>177</v>
      </c>
      <c r="BI190" s="43" t="s">
        <v>7038</v>
      </c>
      <c r="BJ190" s="43" t="s">
        <v>7030</v>
      </c>
      <c r="BK190" s="43" t="s">
        <v>139</v>
      </c>
      <c r="BL190" s="43" t="s">
        <v>85</v>
      </c>
      <c r="BM190" s="43" t="s">
        <v>85</v>
      </c>
      <c r="BN190" s="43" t="s">
        <v>139</v>
      </c>
      <c r="BO190" s="46">
        <v>-3.57</v>
      </c>
      <c r="BP190" s="43" t="s">
        <v>7106</v>
      </c>
      <c r="BQ190" s="43">
        <v>-3.57</v>
      </c>
      <c r="BR190" s="43" t="s">
        <v>7106</v>
      </c>
      <c r="BS190" s="47">
        <v>-3.57</v>
      </c>
      <c r="BT190" s="43" t="s">
        <v>7106</v>
      </c>
      <c r="BU190" s="43" t="s">
        <v>7106</v>
      </c>
      <c r="BV190" s="43" t="str">
        <f>CambioPlan[[#This Row],[TELEFONO]]&amp;"UPSELLSI"</f>
        <v>998157210UPSELLSI</v>
      </c>
      <c r="BW190" s="43">
        <f>DAY(CambioPlan[[#This Row],[FECHA_CAMBIO_PLAN]])</f>
        <v>2</v>
      </c>
      <c r="BX190" s="43" t="str">
        <f>VLOOKUP(CambioPlan[[#This Row],[NOM_PLAZA]],[1]!Locales[#Data],3,0)</f>
        <v>TIENDA RECREO</v>
      </c>
      <c r="BY190" s="43" t="str">
        <f>VLOOKUP(CambioPlan[[#This Row],[DOMAIN_LOGIN_OW]],[1]!Personal[#Data],6,0)</f>
        <v>CHICAIZA TOAPANTA ALEX DANILO</v>
      </c>
      <c r="BZ190" s="43"/>
      <c r="CA190" s="43" t="str">
        <f>IFERROR(IF(FIND("ADULTO",CambioPlan[[#This Row],[DESCRIPCION_PLAN_ACTUAL]],1),"NO SE PAGA",),"SI SE PAGA")</f>
        <v>SI SE PAGA</v>
      </c>
      <c r="CB190" s="45">
        <f>CambioPlan[[#This Row],[TARIFA_BASICA_ACTUAL]]-CambioPlan[[#This Row],[TARIFA_BASICA_ANTERIOR]]</f>
        <v>-3.5700000000000021</v>
      </c>
      <c r="CC190" s="56">
        <f>CambioPlan[[#This Row],[DIF. TARIFAS]]*4</f>
        <v>-14.280000000000008</v>
      </c>
      <c r="CD190" s="53" t="str">
        <f>IF(CambioPlan[[#This Row],[C. COMISIÓN TME]]&lt;0,"DOWNSELL",IF(CambioPlan[[#This Row],[C. COMISIÓN TME]]=0,"MISMA TARIFA",IF(CambioPlan[[#This Row],[C. COMISIÓN TME]]&gt;0,"UPSELL")))</f>
        <v>DOWNSELL</v>
      </c>
      <c r="CE190">
        <f>VLOOKUP(CambioPlan[[#This Row],[TARIFA_BASICA_ANTERIOR]],[3]Hoja1!$F:$G,2,0)</f>
        <v>2</v>
      </c>
      <c r="CF190">
        <f>VLOOKUP(CambioPlan[[#This Row],[TARIFA_BASICA_ACTUAL]],[3]Hoja1!$B:$C,2,0)</f>
        <v>1</v>
      </c>
      <c r="CG190">
        <f t="shared" si="2"/>
        <v>-1</v>
      </c>
      <c r="CH190" t="e">
        <f>VLOOKUP(CambioPlan[[#This Row],[TELEFONO]],[1]Retenciones!$R$63:$R$287,1,0)</f>
        <v>#N/A</v>
      </c>
    </row>
    <row r="191" spans="1:86" x14ac:dyDescent="0.25">
      <c r="A191" s="43">
        <v>202212</v>
      </c>
      <c r="B191" s="44">
        <v>44914</v>
      </c>
      <c r="C191" s="43" t="s">
        <v>7706</v>
      </c>
      <c r="D191" s="43" t="s">
        <v>7707</v>
      </c>
      <c r="E191" s="43" t="s">
        <v>95</v>
      </c>
      <c r="F191" s="43" t="s">
        <v>77</v>
      </c>
      <c r="G191" s="43" t="s">
        <v>1532</v>
      </c>
      <c r="H191" s="43" t="s">
        <v>67</v>
      </c>
      <c r="I191" s="43" t="s">
        <v>7708</v>
      </c>
      <c r="J191" s="43" t="s">
        <v>7709</v>
      </c>
      <c r="K191" s="43" t="s">
        <v>84</v>
      </c>
      <c r="L191" s="43" t="s">
        <v>574</v>
      </c>
      <c r="M191" s="43" t="s">
        <v>575</v>
      </c>
      <c r="N191" s="43" t="s">
        <v>79</v>
      </c>
      <c r="O191" s="45">
        <v>17.850000000000001</v>
      </c>
      <c r="P191" s="43" t="s">
        <v>95</v>
      </c>
      <c r="Q191" s="43" t="s">
        <v>95</v>
      </c>
      <c r="R191" s="43" t="s">
        <v>95</v>
      </c>
      <c r="S191" s="45">
        <v>0</v>
      </c>
      <c r="T191" s="43" t="s">
        <v>95</v>
      </c>
      <c r="U191" s="44" t="s">
        <v>95</v>
      </c>
      <c r="V191" s="44" t="s">
        <v>95</v>
      </c>
      <c r="W191" s="43" t="s">
        <v>95</v>
      </c>
      <c r="X191" s="45">
        <v>17.850000000000001</v>
      </c>
      <c r="Y191" s="43" t="s">
        <v>81</v>
      </c>
      <c r="Z191" s="43" t="s">
        <v>7281</v>
      </c>
      <c r="AA191" s="43" t="s">
        <v>7282</v>
      </c>
      <c r="AB191" s="43" t="s">
        <v>79</v>
      </c>
      <c r="AC191" s="45">
        <v>17.03</v>
      </c>
      <c r="AD191" s="43" t="s">
        <v>95</v>
      </c>
      <c r="AE191" s="43" t="s">
        <v>95</v>
      </c>
      <c r="AF191" s="43" t="s">
        <v>95</v>
      </c>
      <c r="AG191" s="43" t="s">
        <v>95</v>
      </c>
      <c r="AH191" s="45">
        <v>0</v>
      </c>
      <c r="AI191" s="43" t="s">
        <v>95</v>
      </c>
      <c r="AJ191" s="43" t="s">
        <v>95</v>
      </c>
      <c r="AK191" s="43" t="s">
        <v>95</v>
      </c>
      <c r="AL191" s="43" t="s">
        <v>95</v>
      </c>
      <c r="AM191" s="45">
        <v>17.03</v>
      </c>
      <c r="AN191" s="43" t="s">
        <v>81</v>
      </c>
      <c r="AO191" s="44">
        <v>44903</v>
      </c>
      <c r="AP191" s="43" t="s">
        <v>262</v>
      </c>
      <c r="AQ191" s="43" t="s">
        <v>263</v>
      </c>
      <c r="AR191" s="43" t="s">
        <v>262</v>
      </c>
      <c r="AS191" s="43" t="s">
        <v>263</v>
      </c>
      <c r="AT191" s="43" t="s">
        <v>85</v>
      </c>
      <c r="AU191" s="43" t="s">
        <v>7030</v>
      </c>
      <c r="AV191" s="43" t="s">
        <v>7031</v>
      </c>
      <c r="AW191" s="43" t="s">
        <v>7031</v>
      </c>
      <c r="AX191" s="43" t="s">
        <v>90</v>
      </c>
      <c r="AY191" s="43" t="s">
        <v>132</v>
      </c>
      <c r="AZ191" s="43" t="s">
        <v>7037</v>
      </c>
      <c r="BA191" s="43" t="s">
        <v>139</v>
      </c>
      <c r="BB191" s="45">
        <v>0.82</v>
      </c>
      <c r="BC191" s="45">
        <v>0.82</v>
      </c>
      <c r="BD191" s="43" t="s">
        <v>7032</v>
      </c>
      <c r="BE191" s="43" t="s">
        <v>81</v>
      </c>
      <c r="BF191" s="43" t="s">
        <v>81</v>
      </c>
      <c r="BG191" s="43" t="s">
        <v>86</v>
      </c>
      <c r="BH191" s="43" t="s">
        <v>177</v>
      </c>
      <c r="BI191" s="43" t="s">
        <v>7038</v>
      </c>
      <c r="BJ191" s="43" t="s">
        <v>7030</v>
      </c>
      <c r="BK191" s="43" t="s">
        <v>139</v>
      </c>
      <c r="BL191" s="43" t="s">
        <v>85</v>
      </c>
      <c r="BM191" s="43" t="s">
        <v>85</v>
      </c>
      <c r="BN191" s="43" t="s">
        <v>139</v>
      </c>
      <c r="BO191" s="46">
        <v>0.82</v>
      </c>
      <c r="BP191" s="43" t="s">
        <v>7032</v>
      </c>
      <c r="BQ191" s="43">
        <v>0.82</v>
      </c>
      <c r="BR191" s="43" t="s">
        <v>7032</v>
      </c>
      <c r="BS191" s="47">
        <v>0.82</v>
      </c>
      <c r="BT191" s="43" t="s">
        <v>7032</v>
      </c>
      <c r="BU191" s="43" t="s">
        <v>7092</v>
      </c>
      <c r="BV191" s="43" t="str">
        <f>CambioPlan[[#This Row],[TELEFONO]]&amp;"UPSELLSI"</f>
        <v>998173887UPSELLSI</v>
      </c>
      <c r="BW191" s="43">
        <f>DAY(CambioPlan[[#This Row],[FECHA_CAMBIO_PLAN]])</f>
        <v>8</v>
      </c>
      <c r="BX191" s="43" t="str">
        <f>VLOOKUP(CambioPlan[[#This Row],[NOM_PLAZA]],[1]!Locales[#Data],3,0)</f>
        <v>TIENDA RECREO</v>
      </c>
      <c r="BY191" s="43" t="str">
        <f>VLOOKUP(CambioPlan[[#This Row],[DOMAIN_LOGIN_OW]],[1]!Personal[#Data],6,0)</f>
        <v>CHICAIZA TOAPANTA ALEX DANILO</v>
      </c>
      <c r="BZ191" s="43"/>
      <c r="CA191" s="43" t="str">
        <f>IFERROR(IF(FIND("ADULTO",CambioPlan[[#This Row],[DESCRIPCION_PLAN_ACTUAL]],1),"NO SE PAGA",),"SI SE PAGA")</f>
        <v>SI SE PAGA</v>
      </c>
      <c r="CB191" s="45">
        <f>CambioPlan[[#This Row],[TARIFA_BASICA_ACTUAL]]-CambioPlan[[#This Row],[TARIFA_BASICA_ANTERIOR]]</f>
        <v>0.82000000000000028</v>
      </c>
      <c r="CC191" s="56">
        <f>CambioPlan[[#This Row],[DIF. TARIFAS]]*4</f>
        <v>3.2800000000000011</v>
      </c>
      <c r="CD191" s="53" t="str">
        <f>IF(CambioPlan[[#This Row],[C. COMISIÓN TME]]&lt;0,"DOWNSELL",IF(CambioPlan[[#This Row],[C. COMISIÓN TME]]=0,"MISMA TARIFA",IF(CambioPlan[[#This Row],[C. COMISIÓN TME]]&gt;0,"UPSELL")))</f>
        <v>UPSELL</v>
      </c>
      <c r="CE191">
        <f>VLOOKUP(CambioPlan[[#This Row],[TARIFA_BASICA_ANTERIOR]],[3]Hoja1!$F:$G,2,0)</f>
        <v>2</v>
      </c>
      <c r="CF191">
        <f>VLOOKUP(CambioPlan[[#This Row],[TARIFA_BASICA_ACTUAL]],[3]Hoja1!$B:$C,2,0)</f>
        <v>2</v>
      </c>
      <c r="CG191">
        <f t="shared" si="2"/>
        <v>0</v>
      </c>
      <c r="CH191" t="str">
        <f>VLOOKUP(CambioPlan[[#This Row],[TELEFONO]],[1]Retenciones!$R$63:$R$287,1,0)</f>
        <v>998173887</v>
      </c>
    </row>
    <row r="192" spans="1:86" x14ac:dyDescent="0.25">
      <c r="A192" s="43">
        <v>202212</v>
      </c>
      <c r="B192" s="44">
        <v>44914</v>
      </c>
      <c r="C192" s="43" t="s">
        <v>7710</v>
      </c>
      <c r="D192" s="43" t="s">
        <v>7711</v>
      </c>
      <c r="E192" s="43" t="s">
        <v>95</v>
      </c>
      <c r="F192" s="43" t="s">
        <v>231</v>
      </c>
      <c r="G192" s="43" t="s">
        <v>231</v>
      </c>
      <c r="H192" s="43" t="s">
        <v>67</v>
      </c>
      <c r="I192" s="43" t="s">
        <v>7712</v>
      </c>
      <c r="J192" s="43" t="s">
        <v>7037</v>
      </c>
      <c r="K192" s="43" t="s">
        <v>118</v>
      </c>
      <c r="L192" s="43" t="s">
        <v>3972</v>
      </c>
      <c r="M192" s="43" t="s">
        <v>3973</v>
      </c>
      <c r="N192" s="43" t="s">
        <v>79</v>
      </c>
      <c r="O192" s="45">
        <v>26.78</v>
      </c>
      <c r="P192" s="43" t="s">
        <v>95</v>
      </c>
      <c r="Q192" s="43" t="s">
        <v>95</v>
      </c>
      <c r="R192" s="43" t="s">
        <v>95</v>
      </c>
      <c r="S192" s="45">
        <v>0</v>
      </c>
      <c r="T192" s="43" t="s">
        <v>95</v>
      </c>
      <c r="U192" s="44" t="s">
        <v>95</v>
      </c>
      <c r="V192" s="44" t="s">
        <v>95</v>
      </c>
      <c r="W192" s="43" t="s">
        <v>95</v>
      </c>
      <c r="X192" s="45">
        <v>26.78</v>
      </c>
      <c r="Y192" s="43" t="s">
        <v>81</v>
      </c>
      <c r="Z192" s="43" t="s">
        <v>7679</v>
      </c>
      <c r="AA192" s="43" t="s">
        <v>7680</v>
      </c>
      <c r="AB192" s="43" t="s">
        <v>79</v>
      </c>
      <c r="AC192" s="45">
        <v>25.15</v>
      </c>
      <c r="AD192" s="43" t="s">
        <v>95</v>
      </c>
      <c r="AE192" s="43" t="s">
        <v>95</v>
      </c>
      <c r="AF192" s="43" t="s">
        <v>95</v>
      </c>
      <c r="AG192" s="43" t="s">
        <v>95</v>
      </c>
      <c r="AH192" s="45">
        <v>0</v>
      </c>
      <c r="AI192" s="43" t="s">
        <v>95</v>
      </c>
      <c r="AJ192" s="43" t="s">
        <v>95</v>
      </c>
      <c r="AK192" s="43" t="s">
        <v>95</v>
      </c>
      <c r="AL192" s="43" t="s">
        <v>95</v>
      </c>
      <c r="AM192" s="45">
        <v>25.15</v>
      </c>
      <c r="AN192" s="43" t="s">
        <v>81</v>
      </c>
      <c r="AO192" s="44">
        <v>44908</v>
      </c>
      <c r="AP192" s="43" t="s">
        <v>541</v>
      </c>
      <c r="AQ192" s="43" t="s">
        <v>542</v>
      </c>
      <c r="AR192" s="43" t="s">
        <v>7062</v>
      </c>
      <c r="AS192" s="43" t="s">
        <v>95</v>
      </c>
      <c r="AT192" s="43" t="s">
        <v>85</v>
      </c>
      <c r="AU192" s="43" t="s">
        <v>7030</v>
      </c>
      <c r="AV192" s="43" t="s">
        <v>7031</v>
      </c>
      <c r="AW192" s="43" t="s">
        <v>7031</v>
      </c>
      <c r="AX192" s="43" t="s">
        <v>90</v>
      </c>
      <c r="AY192" s="43" t="s">
        <v>132</v>
      </c>
      <c r="AZ192" s="43" t="s">
        <v>7037</v>
      </c>
      <c r="BA192" s="43" t="s">
        <v>139</v>
      </c>
      <c r="BB192" s="45">
        <v>1.63</v>
      </c>
      <c r="BC192" s="45">
        <v>1.63</v>
      </c>
      <c r="BD192" s="43" t="s">
        <v>7032</v>
      </c>
      <c r="BE192" s="43" t="s">
        <v>81</v>
      </c>
      <c r="BF192" s="43" t="s">
        <v>81</v>
      </c>
      <c r="BG192" s="43" t="s">
        <v>86</v>
      </c>
      <c r="BH192" s="43" t="s">
        <v>138</v>
      </c>
      <c r="BI192" s="43" t="s">
        <v>7076</v>
      </c>
      <c r="BJ192" s="43" t="s">
        <v>7030</v>
      </c>
      <c r="BK192" s="43" t="s">
        <v>139</v>
      </c>
      <c r="BL192" s="43" t="s">
        <v>85</v>
      </c>
      <c r="BM192" s="43" t="s">
        <v>85</v>
      </c>
      <c r="BN192" s="43" t="s">
        <v>139</v>
      </c>
      <c r="BO192" s="46">
        <v>1.63</v>
      </c>
      <c r="BP192" s="43" t="s">
        <v>7032</v>
      </c>
      <c r="BQ192" s="43">
        <v>1.63</v>
      </c>
      <c r="BR192" s="43" t="s">
        <v>7032</v>
      </c>
      <c r="BS192" s="47">
        <v>1.63</v>
      </c>
      <c r="BT192" s="43" t="s">
        <v>7032</v>
      </c>
      <c r="BU192" s="43" t="s">
        <v>7032</v>
      </c>
      <c r="BV192" s="43" t="str">
        <f>CambioPlan[[#This Row],[TELEFONO]]&amp;"UPSELLSI"</f>
        <v>998175321UPSELLSI</v>
      </c>
      <c r="BW192" s="43">
        <f>DAY(CambioPlan[[#This Row],[FECHA_CAMBIO_PLAN]])</f>
        <v>13</v>
      </c>
      <c r="BX192" s="43" t="str">
        <f>VLOOKUP(CambioPlan[[#This Row],[NOM_PLAZA]],[1]!Locales[#Data],3,0)</f>
        <v>TIENDA AMERICA</v>
      </c>
      <c r="BY192" s="43" t="str">
        <f>VLOOKUP(CambioPlan[[#This Row],[DOMAIN_LOGIN_OW]],[1]!Personal[#Data],6,0)</f>
        <v>CEVALLOS PONCE DIANA CAROLINA</v>
      </c>
      <c r="BZ192" s="43"/>
      <c r="CA192" s="43" t="str">
        <f>IFERROR(IF(FIND("ADULTO",CambioPlan[[#This Row],[DESCRIPCION_PLAN_ACTUAL]],1),"NO SE PAGA",),"SI SE PAGA")</f>
        <v>SI SE PAGA</v>
      </c>
      <c r="CB192" s="45">
        <f>CambioPlan[[#This Row],[TARIFA_BASICA_ACTUAL]]-CambioPlan[[#This Row],[TARIFA_BASICA_ANTERIOR]]</f>
        <v>1.6300000000000026</v>
      </c>
      <c r="CC192" s="56">
        <f>CambioPlan[[#This Row],[DIF. TARIFAS]]*4</f>
        <v>6.5200000000000102</v>
      </c>
      <c r="CD192" s="53" t="str">
        <f>IF(CambioPlan[[#This Row],[C. COMISIÓN TME]]&lt;0,"DOWNSELL",IF(CambioPlan[[#This Row],[C. COMISIÓN TME]]=0,"MISMA TARIFA",IF(CambioPlan[[#This Row],[C. COMISIÓN TME]]&gt;0,"UPSELL")))</f>
        <v>UPSELL</v>
      </c>
      <c r="CE192">
        <f>VLOOKUP(CambioPlan[[#This Row],[TARIFA_BASICA_ANTERIOR]],[3]Hoja1!$F:$G,2,0)</f>
        <v>4</v>
      </c>
      <c r="CF192">
        <f>VLOOKUP(CambioPlan[[#This Row],[TARIFA_BASICA_ACTUAL]],[3]Hoja1!$B:$C,2,0)</f>
        <v>4</v>
      </c>
      <c r="CG192">
        <f t="shared" si="2"/>
        <v>0</v>
      </c>
      <c r="CH192" t="e">
        <f>VLOOKUP(CambioPlan[[#This Row],[TELEFONO]],[1]Retenciones!$R$63:$R$287,1,0)</f>
        <v>#N/A</v>
      </c>
    </row>
    <row r="193" spans="1:86" x14ac:dyDescent="0.25">
      <c r="A193" s="43">
        <v>202212</v>
      </c>
      <c r="B193" s="44">
        <v>44914</v>
      </c>
      <c r="C193" s="43" t="s">
        <v>7713</v>
      </c>
      <c r="D193" s="43" t="s">
        <v>7714</v>
      </c>
      <c r="E193" s="43" t="s">
        <v>95</v>
      </c>
      <c r="F193" s="43" t="s">
        <v>77</v>
      </c>
      <c r="G193" s="43" t="s">
        <v>1532</v>
      </c>
      <c r="H193" s="43" t="s">
        <v>246</v>
      </c>
      <c r="I193" s="43" t="s">
        <v>7444</v>
      </c>
      <c r="J193" s="43" t="s">
        <v>7029</v>
      </c>
      <c r="K193" s="43" t="s">
        <v>84</v>
      </c>
      <c r="L193" s="43" t="s">
        <v>7067</v>
      </c>
      <c r="M193" s="43" t="s">
        <v>7068</v>
      </c>
      <c r="N193" s="43" t="s">
        <v>79</v>
      </c>
      <c r="O193" s="45">
        <v>51.78</v>
      </c>
      <c r="P193" s="43" t="s">
        <v>95</v>
      </c>
      <c r="Q193" s="43" t="s">
        <v>95</v>
      </c>
      <c r="R193" s="43" t="s">
        <v>95</v>
      </c>
      <c r="S193" s="45">
        <v>0</v>
      </c>
      <c r="T193" s="43" t="s">
        <v>95</v>
      </c>
      <c r="U193" s="44" t="s">
        <v>95</v>
      </c>
      <c r="V193" s="44" t="s">
        <v>95</v>
      </c>
      <c r="W193" s="43" t="s">
        <v>95</v>
      </c>
      <c r="X193" s="45">
        <v>51.78</v>
      </c>
      <c r="Y193" s="43" t="s">
        <v>81</v>
      </c>
      <c r="Z193" s="43" t="s">
        <v>574</v>
      </c>
      <c r="AA193" s="43" t="s">
        <v>575</v>
      </c>
      <c r="AB193" s="43" t="s">
        <v>79</v>
      </c>
      <c r="AC193" s="45">
        <v>17.850000000000001</v>
      </c>
      <c r="AD193" s="43" t="s">
        <v>95</v>
      </c>
      <c r="AE193" s="43" t="s">
        <v>95</v>
      </c>
      <c r="AF193" s="43" t="s">
        <v>95</v>
      </c>
      <c r="AG193" s="43" t="s">
        <v>95</v>
      </c>
      <c r="AH193" s="45">
        <v>0</v>
      </c>
      <c r="AI193" s="43" t="s">
        <v>95</v>
      </c>
      <c r="AJ193" s="43" t="s">
        <v>95</v>
      </c>
      <c r="AK193" s="43" t="s">
        <v>95</v>
      </c>
      <c r="AL193" s="43" t="s">
        <v>95</v>
      </c>
      <c r="AM193" s="45">
        <v>17.850000000000001</v>
      </c>
      <c r="AN193" s="43" t="s">
        <v>81</v>
      </c>
      <c r="AO193" s="44">
        <v>44912</v>
      </c>
      <c r="AP193" s="43" t="s">
        <v>187</v>
      </c>
      <c r="AQ193" s="43" t="s">
        <v>188</v>
      </c>
      <c r="AR193" s="43" t="s">
        <v>187</v>
      </c>
      <c r="AS193" s="43" t="s">
        <v>188</v>
      </c>
      <c r="AT193" s="43" t="s">
        <v>85</v>
      </c>
      <c r="AU193" s="43" t="s">
        <v>7030</v>
      </c>
      <c r="AV193" s="43" t="s">
        <v>7031</v>
      </c>
      <c r="AW193" s="43" t="s">
        <v>7031</v>
      </c>
      <c r="AX193" s="43" t="s">
        <v>90</v>
      </c>
      <c r="AY193" s="43" t="s">
        <v>132</v>
      </c>
      <c r="AZ193" s="43" t="s">
        <v>7037</v>
      </c>
      <c r="BA193" s="43" t="s">
        <v>139</v>
      </c>
      <c r="BB193" s="45">
        <v>33.93</v>
      </c>
      <c r="BC193" s="45">
        <v>33.93</v>
      </c>
      <c r="BD193" s="43" t="s">
        <v>7032</v>
      </c>
      <c r="BE193" s="43" t="s">
        <v>81</v>
      </c>
      <c r="BF193" s="43" t="s">
        <v>81</v>
      </c>
      <c r="BG193" s="43" t="s">
        <v>86</v>
      </c>
      <c r="BH193" s="43" t="s">
        <v>177</v>
      </c>
      <c r="BI193" s="43" t="s">
        <v>7038</v>
      </c>
      <c r="BJ193" s="43" t="s">
        <v>7030</v>
      </c>
      <c r="BK193" s="43" t="s">
        <v>139</v>
      </c>
      <c r="BL193" s="43" t="s">
        <v>85</v>
      </c>
      <c r="BM193" s="43" t="s">
        <v>85</v>
      </c>
      <c r="BN193" s="43" t="s">
        <v>139</v>
      </c>
      <c r="BO193" s="46">
        <v>33.93</v>
      </c>
      <c r="BP193" s="43" t="s">
        <v>7032</v>
      </c>
      <c r="BQ193" s="43">
        <v>33.93</v>
      </c>
      <c r="BR193" s="43" t="s">
        <v>7032</v>
      </c>
      <c r="BS193" s="47">
        <v>33.93</v>
      </c>
      <c r="BT193" s="43" t="s">
        <v>7032</v>
      </c>
      <c r="BU193" s="43" t="s">
        <v>7032</v>
      </c>
      <c r="BV193" s="43" t="str">
        <f>CambioPlan[[#This Row],[TELEFONO]]&amp;"UPSELLSI"</f>
        <v>998177412UPSELLSI</v>
      </c>
      <c r="BW193" s="43">
        <f>DAY(CambioPlan[[#This Row],[FECHA_CAMBIO_PLAN]])</f>
        <v>17</v>
      </c>
      <c r="BX193" s="43" t="str">
        <f>VLOOKUP(CambioPlan[[#This Row],[NOM_PLAZA]],[1]!Locales[#Data],3,0)</f>
        <v>TIENDA RECREO</v>
      </c>
      <c r="BY193" s="43" t="str">
        <f>VLOOKUP(CambioPlan[[#This Row],[DOMAIN_LOGIN_OW]],[1]!Personal[#Data],6,0)</f>
        <v>ESPINOZA MARTINES LAURA XIOMARA</v>
      </c>
      <c r="BZ193" s="43"/>
      <c r="CA193" s="43" t="str">
        <f>IFERROR(IF(FIND("ADULTO",CambioPlan[[#This Row],[DESCRIPCION_PLAN_ACTUAL]],1),"NO SE PAGA",),"SI SE PAGA")</f>
        <v>SI SE PAGA</v>
      </c>
      <c r="CB193" s="45">
        <f>CambioPlan[[#This Row],[TARIFA_BASICA_ACTUAL]]-CambioPlan[[#This Row],[TARIFA_BASICA_ANTERIOR]]</f>
        <v>33.93</v>
      </c>
      <c r="CC193" s="56">
        <f>CambioPlan[[#This Row],[DIF. TARIFAS]]*4</f>
        <v>135.72</v>
      </c>
      <c r="CD193" s="53" t="str">
        <f>IF(CambioPlan[[#This Row],[C. COMISIÓN TME]]&lt;0,"DOWNSELL",IF(CambioPlan[[#This Row],[C. COMISIÓN TME]]=0,"MISMA TARIFA",IF(CambioPlan[[#This Row],[C. COMISIÓN TME]]&gt;0,"UPSELL")))</f>
        <v>UPSELL</v>
      </c>
      <c r="CE193">
        <f>VLOOKUP(CambioPlan[[#This Row],[TARIFA_BASICA_ANTERIOR]],[3]Hoja1!$F:$G,2,0)</f>
        <v>2</v>
      </c>
      <c r="CF193">
        <f>VLOOKUP(CambioPlan[[#This Row],[TARIFA_BASICA_ACTUAL]],[3]Hoja1!$B:$C,2,0)</f>
        <v>6</v>
      </c>
      <c r="CG193">
        <f t="shared" si="2"/>
        <v>4</v>
      </c>
      <c r="CH193" t="e">
        <f>VLOOKUP(CambioPlan[[#This Row],[TELEFONO]],[1]Retenciones!$R$63:$R$287,1,0)</f>
        <v>#N/A</v>
      </c>
    </row>
    <row r="194" spans="1:86" x14ac:dyDescent="0.25">
      <c r="A194" s="43">
        <v>202212</v>
      </c>
      <c r="B194" s="44">
        <v>44914</v>
      </c>
      <c r="C194" s="43" t="s">
        <v>7715</v>
      </c>
      <c r="D194" s="43" t="s">
        <v>7716</v>
      </c>
      <c r="E194" s="43" t="s">
        <v>95</v>
      </c>
      <c r="F194" s="43" t="s">
        <v>77</v>
      </c>
      <c r="G194" s="43" t="s">
        <v>7168</v>
      </c>
      <c r="H194" s="43" t="s">
        <v>67</v>
      </c>
      <c r="I194" s="43" t="s">
        <v>7717</v>
      </c>
      <c r="J194" s="43" t="s">
        <v>7037</v>
      </c>
      <c r="K194" s="43" t="s">
        <v>118</v>
      </c>
      <c r="L194" s="43" t="s">
        <v>160</v>
      </c>
      <c r="M194" s="43" t="s">
        <v>161</v>
      </c>
      <c r="N194" s="43" t="s">
        <v>79</v>
      </c>
      <c r="O194" s="45">
        <v>14.28</v>
      </c>
      <c r="P194" s="43" t="s">
        <v>95</v>
      </c>
      <c r="Q194" s="43" t="s">
        <v>95</v>
      </c>
      <c r="R194" s="43" t="s">
        <v>95</v>
      </c>
      <c r="S194" s="45">
        <v>0</v>
      </c>
      <c r="T194" s="43" t="s">
        <v>95</v>
      </c>
      <c r="U194" s="44" t="s">
        <v>95</v>
      </c>
      <c r="V194" s="44" t="s">
        <v>95</v>
      </c>
      <c r="W194" s="43" t="s">
        <v>95</v>
      </c>
      <c r="X194" s="45">
        <v>14.28</v>
      </c>
      <c r="Y194" s="43" t="s">
        <v>81</v>
      </c>
      <c r="Z194" s="43" t="s">
        <v>71</v>
      </c>
      <c r="AA194" s="43" t="s">
        <v>258</v>
      </c>
      <c r="AB194" s="43" t="s">
        <v>79</v>
      </c>
      <c r="AC194" s="45">
        <v>11.42</v>
      </c>
      <c r="AD194" s="43" t="s">
        <v>95</v>
      </c>
      <c r="AE194" s="43" t="s">
        <v>95</v>
      </c>
      <c r="AF194" s="43" t="s">
        <v>95</v>
      </c>
      <c r="AG194" s="43" t="s">
        <v>95</v>
      </c>
      <c r="AH194" s="45">
        <v>0</v>
      </c>
      <c r="AI194" s="43" t="s">
        <v>95</v>
      </c>
      <c r="AJ194" s="43" t="s">
        <v>95</v>
      </c>
      <c r="AK194" s="43" t="s">
        <v>95</v>
      </c>
      <c r="AL194" s="43" t="s">
        <v>95</v>
      </c>
      <c r="AM194" s="45">
        <v>11.42</v>
      </c>
      <c r="AN194" s="43" t="s">
        <v>81</v>
      </c>
      <c r="AO194" s="44">
        <v>44896</v>
      </c>
      <c r="AP194" s="43" t="s">
        <v>926</v>
      </c>
      <c r="AQ194" s="43" t="s">
        <v>927</v>
      </c>
      <c r="AR194" s="43" t="s">
        <v>7062</v>
      </c>
      <c r="AS194" s="43" t="s">
        <v>95</v>
      </c>
      <c r="AT194" s="43" t="s">
        <v>85</v>
      </c>
      <c r="AU194" s="43" t="s">
        <v>7030</v>
      </c>
      <c r="AV194" s="43" t="s">
        <v>7031</v>
      </c>
      <c r="AW194" s="43" t="s">
        <v>7031</v>
      </c>
      <c r="AX194" s="43" t="s">
        <v>90</v>
      </c>
      <c r="AY194" s="43" t="s">
        <v>132</v>
      </c>
      <c r="AZ194" s="43" t="s">
        <v>7037</v>
      </c>
      <c r="BA194" s="43" t="s">
        <v>139</v>
      </c>
      <c r="BB194" s="45">
        <v>2.86</v>
      </c>
      <c r="BC194" s="45">
        <v>2.86</v>
      </c>
      <c r="BD194" s="43" t="s">
        <v>7032</v>
      </c>
      <c r="BE194" s="43" t="s">
        <v>81</v>
      </c>
      <c r="BF194" s="43" t="s">
        <v>81</v>
      </c>
      <c r="BG194" s="43" t="s">
        <v>86</v>
      </c>
      <c r="BH194" s="43" t="s">
        <v>177</v>
      </c>
      <c r="BI194" s="43" t="s">
        <v>7038</v>
      </c>
      <c r="BJ194" s="43" t="s">
        <v>7030</v>
      </c>
      <c r="BK194" s="43" t="s">
        <v>139</v>
      </c>
      <c r="BL194" s="43" t="s">
        <v>85</v>
      </c>
      <c r="BM194" s="43" t="s">
        <v>85</v>
      </c>
      <c r="BN194" s="43" t="s">
        <v>139</v>
      </c>
      <c r="BO194" s="46">
        <v>2.86</v>
      </c>
      <c r="BP194" s="43" t="s">
        <v>7032</v>
      </c>
      <c r="BQ194" s="43">
        <v>2.86</v>
      </c>
      <c r="BR194" s="43" t="s">
        <v>7032</v>
      </c>
      <c r="BS194" s="47">
        <v>2.86</v>
      </c>
      <c r="BT194" s="43" t="s">
        <v>7032</v>
      </c>
      <c r="BU194" s="43" t="s">
        <v>7032</v>
      </c>
      <c r="BV194" s="43" t="str">
        <f>CambioPlan[[#This Row],[TELEFONO]]&amp;"UPSELLSI"</f>
        <v>998191105UPSELLSI</v>
      </c>
      <c r="BW194" s="43">
        <f>DAY(CambioPlan[[#This Row],[FECHA_CAMBIO_PLAN]])</f>
        <v>1</v>
      </c>
      <c r="BX194" s="43" t="str">
        <f>VLOOKUP(CambioPlan[[#This Row],[NOM_PLAZA]],[1]!Locales[#Data],3,0)</f>
        <v>TIENDA RECREO</v>
      </c>
      <c r="BY194" s="43" t="str">
        <f>VLOOKUP(CambioPlan[[#This Row],[DOMAIN_LOGIN_OW]],[1]!Personal[#Data],6,0)</f>
        <v>CABEZAS LOPEZ ROBERTO ALEJANDRO</v>
      </c>
      <c r="BZ194" s="43"/>
      <c r="CA194" s="43" t="str">
        <f>IFERROR(IF(FIND("ADULTO",CambioPlan[[#This Row],[DESCRIPCION_PLAN_ACTUAL]],1),"NO SE PAGA",),"SI SE PAGA")</f>
        <v>SI SE PAGA</v>
      </c>
      <c r="CB194" s="45">
        <f>CambioPlan[[#This Row],[TARIFA_BASICA_ACTUAL]]-CambioPlan[[#This Row],[TARIFA_BASICA_ANTERIOR]]</f>
        <v>2.8599999999999994</v>
      </c>
      <c r="CC194" s="56">
        <f>CambioPlan[[#This Row],[DIF. TARIFAS]]*4</f>
        <v>11.439999999999998</v>
      </c>
      <c r="CD194" s="53" t="str">
        <f>IF(CambioPlan[[#This Row],[C. COMISIÓN TME]]&lt;0,"DOWNSELL",IF(CambioPlan[[#This Row],[C. COMISIÓN TME]]=0,"MISMA TARIFA",IF(CambioPlan[[#This Row],[C. COMISIÓN TME]]&gt;0,"UPSELL")))</f>
        <v>UPSELL</v>
      </c>
      <c r="CE194">
        <f>VLOOKUP(CambioPlan[[#This Row],[TARIFA_BASICA_ANTERIOR]],[3]Hoja1!$F:$G,2,0)</f>
        <v>0</v>
      </c>
      <c r="CF194">
        <f>VLOOKUP(CambioPlan[[#This Row],[TARIFA_BASICA_ACTUAL]],[3]Hoja1!$B:$C,2,0)</f>
        <v>1</v>
      </c>
      <c r="CG194">
        <f t="shared" si="2"/>
        <v>1</v>
      </c>
      <c r="CH194" t="e">
        <f>VLOOKUP(CambioPlan[[#This Row],[TELEFONO]],[1]Retenciones!$R$63:$R$287,1,0)</f>
        <v>#N/A</v>
      </c>
    </row>
    <row r="195" spans="1:86" x14ac:dyDescent="0.25">
      <c r="A195" s="43">
        <v>202212</v>
      </c>
      <c r="B195" s="44">
        <v>44914</v>
      </c>
      <c r="C195" s="43" t="s">
        <v>7718</v>
      </c>
      <c r="D195" s="43" t="s">
        <v>7719</v>
      </c>
      <c r="E195" s="43" t="s">
        <v>95</v>
      </c>
      <c r="F195" s="43" t="s">
        <v>77</v>
      </c>
      <c r="G195" s="43" t="s">
        <v>7168</v>
      </c>
      <c r="H195" s="43" t="s">
        <v>67</v>
      </c>
      <c r="I195" s="43" t="s">
        <v>7720</v>
      </c>
      <c r="J195" s="43" t="s">
        <v>7037</v>
      </c>
      <c r="K195" s="43" t="s">
        <v>118</v>
      </c>
      <c r="L195" s="43" t="s">
        <v>712</v>
      </c>
      <c r="M195" s="43" t="s">
        <v>2836</v>
      </c>
      <c r="N195" s="43" t="s">
        <v>79</v>
      </c>
      <c r="O195" s="45">
        <v>17.850000000000001</v>
      </c>
      <c r="P195" s="43" t="s">
        <v>95</v>
      </c>
      <c r="Q195" s="43" t="s">
        <v>95</v>
      </c>
      <c r="R195" s="43" t="s">
        <v>95</v>
      </c>
      <c r="S195" s="45">
        <v>0</v>
      </c>
      <c r="T195" s="43" t="s">
        <v>95</v>
      </c>
      <c r="U195" s="44" t="s">
        <v>95</v>
      </c>
      <c r="V195" s="44" t="s">
        <v>95</v>
      </c>
      <c r="W195" s="43" t="s">
        <v>95</v>
      </c>
      <c r="X195" s="45">
        <v>17.850000000000001</v>
      </c>
      <c r="Y195" s="43" t="s">
        <v>81</v>
      </c>
      <c r="Z195" s="43" t="s">
        <v>194</v>
      </c>
      <c r="AA195" s="43" t="s">
        <v>268</v>
      </c>
      <c r="AB195" s="43" t="s">
        <v>79</v>
      </c>
      <c r="AC195" s="45">
        <v>14.28</v>
      </c>
      <c r="AD195" s="43" t="s">
        <v>95</v>
      </c>
      <c r="AE195" s="43" t="s">
        <v>95</v>
      </c>
      <c r="AF195" s="43" t="s">
        <v>95</v>
      </c>
      <c r="AG195" s="43" t="s">
        <v>95</v>
      </c>
      <c r="AH195" s="45">
        <v>0</v>
      </c>
      <c r="AI195" s="43" t="s">
        <v>95</v>
      </c>
      <c r="AJ195" s="43" t="s">
        <v>95</v>
      </c>
      <c r="AK195" s="43" t="s">
        <v>95</v>
      </c>
      <c r="AL195" s="43" t="s">
        <v>95</v>
      </c>
      <c r="AM195" s="45">
        <v>14.28</v>
      </c>
      <c r="AN195" s="43" t="s">
        <v>81</v>
      </c>
      <c r="AO195" s="44">
        <v>44896</v>
      </c>
      <c r="AP195" s="43" t="s">
        <v>369</v>
      </c>
      <c r="AQ195" s="43" t="s">
        <v>370</v>
      </c>
      <c r="AR195" s="43" t="s">
        <v>7062</v>
      </c>
      <c r="AS195" s="43" t="s">
        <v>95</v>
      </c>
      <c r="AT195" s="43" t="s">
        <v>85</v>
      </c>
      <c r="AU195" s="43" t="s">
        <v>7030</v>
      </c>
      <c r="AV195" s="43" t="s">
        <v>7031</v>
      </c>
      <c r="AW195" s="43" t="s">
        <v>7031</v>
      </c>
      <c r="AX195" s="43" t="s">
        <v>90</v>
      </c>
      <c r="AY195" s="43" t="s">
        <v>132</v>
      </c>
      <c r="AZ195" s="43" t="s">
        <v>7037</v>
      </c>
      <c r="BA195" s="43" t="s">
        <v>139</v>
      </c>
      <c r="BB195" s="45">
        <v>3.57</v>
      </c>
      <c r="BC195" s="45">
        <v>3.57</v>
      </c>
      <c r="BD195" s="43" t="s">
        <v>7032</v>
      </c>
      <c r="BE195" s="43" t="s">
        <v>81</v>
      </c>
      <c r="BF195" s="43" t="s">
        <v>81</v>
      </c>
      <c r="BG195" s="43" t="s">
        <v>86</v>
      </c>
      <c r="BH195" s="43" t="s">
        <v>177</v>
      </c>
      <c r="BI195" s="43" t="s">
        <v>7038</v>
      </c>
      <c r="BJ195" s="43" t="s">
        <v>7030</v>
      </c>
      <c r="BK195" s="43" t="s">
        <v>139</v>
      </c>
      <c r="BL195" s="43" t="s">
        <v>85</v>
      </c>
      <c r="BM195" s="43" t="s">
        <v>85</v>
      </c>
      <c r="BN195" s="43" t="s">
        <v>139</v>
      </c>
      <c r="BO195" s="46">
        <v>3.57</v>
      </c>
      <c r="BP195" s="43" t="s">
        <v>7032</v>
      </c>
      <c r="BQ195" s="43">
        <v>3.57</v>
      </c>
      <c r="BR195" s="43" t="s">
        <v>7032</v>
      </c>
      <c r="BS195" s="47">
        <v>3.57</v>
      </c>
      <c r="BT195" s="43" t="s">
        <v>7032</v>
      </c>
      <c r="BU195" s="43" t="s">
        <v>7032</v>
      </c>
      <c r="BV195" s="43" t="str">
        <f>CambioPlan[[#This Row],[TELEFONO]]&amp;"UPSELLSI"</f>
        <v>998206212UPSELLSI</v>
      </c>
      <c r="BW195" s="43">
        <f>DAY(CambioPlan[[#This Row],[FECHA_CAMBIO_PLAN]])</f>
        <v>1</v>
      </c>
      <c r="BX195" s="43" t="str">
        <f>VLOOKUP(CambioPlan[[#This Row],[NOM_PLAZA]],[1]!Locales[#Data],3,0)</f>
        <v>TIENDA RECREO</v>
      </c>
      <c r="BY195" s="43" t="str">
        <f>VLOOKUP(CambioPlan[[#This Row],[DOMAIN_LOGIN_OW]],[1]!Personal[#Data],6,0)</f>
        <v>GUAIGUA REINOSO GENESIS CAROLINA</v>
      </c>
      <c r="BZ195" s="43"/>
      <c r="CA195" s="43" t="str">
        <f>IFERROR(IF(FIND("ADULTO",CambioPlan[[#This Row],[DESCRIPCION_PLAN_ACTUAL]],1),"NO SE PAGA",),"SI SE PAGA")</f>
        <v>SI SE PAGA</v>
      </c>
      <c r="CB195" s="45">
        <f>CambioPlan[[#This Row],[TARIFA_BASICA_ACTUAL]]-CambioPlan[[#This Row],[TARIFA_BASICA_ANTERIOR]]</f>
        <v>3.5700000000000021</v>
      </c>
      <c r="CC195" s="56">
        <f>CambioPlan[[#This Row],[DIF. TARIFAS]]*4</f>
        <v>14.280000000000008</v>
      </c>
      <c r="CD195" s="53" t="str">
        <f>IF(CambioPlan[[#This Row],[C. COMISIÓN TME]]&lt;0,"DOWNSELL",IF(CambioPlan[[#This Row],[C. COMISIÓN TME]]=0,"MISMA TARIFA",IF(CambioPlan[[#This Row],[C. COMISIÓN TME]]&gt;0,"UPSELL")))</f>
        <v>UPSELL</v>
      </c>
      <c r="CE195">
        <f>VLOOKUP(CambioPlan[[#This Row],[TARIFA_BASICA_ANTERIOR]],[3]Hoja1!$F:$G,2,0)</f>
        <v>1</v>
      </c>
      <c r="CF195">
        <f>VLOOKUP(CambioPlan[[#This Row],[TARIFA_BASICA_ACTUAL]],[3]Hoja1!$B:$C,2,0)</f>
        <v>2</v>
      </c>
      <c r="CG195">
        <f t="shared" si="2"/>
        <v>1</v>
      </c>
      <c r="CH195" t="e">
        <f>VLOOKUP(CambioPlan[[#This Row],[TELEFONO]],[1]Retenciones!$R$63:$R$287,1,0)</f>
        <v>#N/A</v>
      </c>
    </row>
    <row r="196" spans="1:86" x14ac:dyDescent="0.25">
      <c r="A196" s="43">
        <v>202212</v>
      </c>
      <c r="B196" s="44">
        <v>44914</v>
      </c>
      <c r="C196" s="43" t="s">
        <v>7721</v>
      </c>
      <c r="D196" s="43" t="s">
        <v>7722</v>
      </c>
      <c r="E196" s="43" t="s">
        <v>95</v>
      </c>
      <c r="F196" s="43" t="s">
        <v>77</v>
      </c>
      <c r="G196" s="43" t="s">
        <v>1532</v>
      </c>
      <c r="H196" s="43" t="s">
        <v>67</v>
      </c>
      <c r="I196" s="43" t="s">
        <v>7723</v>
      </c>
      <c r="J196" s="43" t="s">
        <v>7037</v>
      </c>
      <c r="K196" s="43" t="s">
        <v>215</v>
      </c>
      <c r="L196" s="43" t="s">
        <v>359</v>
      </c>
      <c r="M196" s="43" t="s">
        <v>360</v>
      </c>
      <c r="N196" s="43" t="s">
        <v>79</v>
      </c>
      <c r="O196" s="45">
        <v>14.28</v>
      </c>
      <c r="P196" s="43" t="s">
        <v>95</v>
      </c>
      <c r="Q196" s="43" t="s">
        <v>95</v>
      </c>
      <c r="R196" s="43" t="s">
        <v>95</v>
      </c>
      <c r="S196" s="45">
        <v>0</v>
      </c>
      <c r="T196" s="43" t="s">
        <v>95</v>
      </c>
      <c r="U196" s="44" t="s">
        <v>95</v>
      </c>
      <c r="V196" s="44" t="s">
        <v>95</v>
      </c>
      <c r="W196" s="43" t="s">
        <v>95</v>
      </c>
      <c r="X196" s="45">
        <v>14.28</v>
      </c>
      <c r="Y196" s="43" t="s">
        <v>81</v>
      </c>
      <c r="Z196" s="43" t="s">
        <v>671</v>
      </c>
      <c r="AA196" s="43" t="s">
        <v>672</v>
      </c>
      <c r="AB196" s="43" t="s">
        <v>79</v>
      </c>
      <c r="AC196" s="45">
        <v>15</v>
      </c>
      <c r="AD196" s="43" t="s">
        <v>95</v>
      </c>
      <c r="AE196" s="43" t="s">
        <v>95</v>
      </c>
      <c r="AF196" s="43" t="s">
        <v>95</v>
      </c>
      <c r="AG196" s="43" t="s">
        <v>95</v>
      </c>
      <c r="AH196" s="45">
        <v>0</v>
      </c>
      <c r="AI196" s="43" t="s">
        <v>95</v>
      </c>
      <c r="AJ196" s="43" t="s">
        <v>95</v>
      </c>
      <c r="AK196" s="43" t="s">
        <v>95</v>
      </c>
      <c r="AL196" s="43" t="s">
        <v>95</v>
      </c>
      <c r="AM196" s="45">
        <v>15</v>
      </c>
      <c r="AN196" s="43" t="s">
        <v>81</v>
      </c>
      <c r="AO196" s="44">
        <v>44897</v>
      </c>
      <c r="AP196" s="43" t="s">
        <v>541</v>
      </c>
      <c r="AQ196" s="43" t="s">
        <v>542</v>
      </c>
      <c r="AR196" s="43" t="s">
        <v>541</v>
      </c>
      <c r="AS196" s="43" t="s">
        <v>542</v>
      </c>
      <c r="AT196" s="43" t="s">
        <v>85</v>
      </c>
      <c r="AU196" s="43" t="s">
        <v>7030</v>
      </c>
      <c r="AV196" s="43" t="s">
        <v>7031</v>
      </c>
      <c r="AW196" s="43" t="s">
        <v>7031</v>
      </c>
      <c r="AX196" s="43" t="s">
        <v>90</v>
      </c>
      <c r="AY196" s="43" t="s">
        <v>132</v>
      </c>
      <c r="AZ196" s="43" t="s">
        <v>7037</v>
      </c>
      <c r="BA196" s="43" t="s">
        <v>139</v>
      </c>
      <c r="BB196" s="45">
        <v>-0.72000000000000097</v>
      </c>
      <c r="BC196" s="45">
        <v>-0.71999999999999897</v>
      </c>
      <c r="BD196" s="43" t="s">
        <v>7106</v>
      </c>
      <c r="BE196" s="43" t="s">
        <v>81</v>
      </c>
      <c r="BF196" s="43" t="s">
        <v>81</v>
      </c>
      <c r="BG196" s="43" t="s">
        <v>86</v>
      </c>
      <c r="BH196" s="43" t="s">
        <v>138</v>
      </c>
      <c r="BI196" s="43" t="s">
        <v>7076</v>
      </c>
      <c r="BJ196" s="43" t="s">
        <v>7030</v>
      </c>
      <c r="BK196" s="43" t="s">
        <v>139</v>
      </c>
      <c r="BL196" s="43" t="s">
        <v>85</v>
      </c>
      <c r="BM196" s="43" t="s">
        <v>85</v>
      </c>
      <c r="BN196" s="43" t="s">
        <v>139</v>
      </c>
      <c r="BO196" s="46">
        <v>-0.71999999999999897</v>
      </c>
      <c r="BP196" s="43" t="s">
        <v>7106</v>
      </c>
      <c r="BQ196" s="43">
        <v>-0.71999999999999897</v>
      </c>
      <c r="BR196" s="43" t="s">
        <v>7106</v>
      </c>
      <c r="BS196" s="47">
        <v>-0.71999999999999897</v>
      </c>
      <c r="BT196" s="43" t="s">
        <v>7106</v>
      </c>
      <c r="BU196" s="43" t="s">
        <v>7106</v>
      </c>
      <c r="BV196" s="43" t="str">
        <f>CambioPlan[[#This Row],[TELEFONO]]&amp;"UPSELLSI"</f>
        <v>998208180UPSELLSI</v>
      </c>
      <c r="BW196" s="43">
        <f>DAY(CambioPlan[[#This Row],[FECHA_CAMBIO_PLAN]])</f>
        <v>2</v>
      </c>
      <c r="BX196" s="43" t="str">
        <f>VLOOKUP(CambioPlan[[#This Row],[NOM_PLAZA]],[1]!Locales[#Data],3,0)</f>
        <v>TIENDA AMERICA</v>
      </c>
      <c r="BY196" s="43" t="str">
        <f>VLOOKUP(CambioPlan[[#This Row],[DOMAIN_LOGIN_OW]],[1]!Personal[#Data],6,0)</f>
        <v>CEVALLOS PONCE DIANA CAROLINA</v>
      </c>
      <c r="BZ196" s="43"/>
      <c r="CA196" s="43" t="str">
        <f>IFERROR(IF(FIND("ADULTO",CambioPlan[[#This Row],[DESCRIPCION_PLAN_ACTUAL]],1),"NO SE PAGA",),"SI SE PAGA")</f>
        <v>SI SE PAGA</v>
      </c>
      <c r="CB196" s="45">
        <f>CambioPlan[[#This Row],[TARIFA_BASICA_ACTUAL]]-CambioPlan[[#This Row],[TARIFA_BASICA_ANTERIOR]]</f>
        <v>-0.72000000000000064</v>
      </c>
      <c r="CC196" s="56">
        <f>CambioPlan[[#This Row],[DIF. TARIFAS]]*4</f>
        <v>-2.8800000000000026</v>
      </c>
      <c r="CD196" s="53" t="str">
        <f>IF(CambioPlan[[#This Row],[C. COMISIÓN TME]]&lt;0,"DOWNSELL",IF(CambioPlan[[#This Row],[C. COMISIÓN TME]]=0,"MISMA TARIFA",IF(CambioPlan[[#This Row],[C. COMISIÓN TME]]&gt;0,"UPSELL")))</f>
        <v>DOWNSELL</v>
      </c>
      <c r="CE196">
        <f>VLOOKUP(CambioPlan[[#This Row],[TARIFA_BASICA_ANTERIOR]],[3]Hoja1!$F:$G,2,0)</f>
        <v>2</v>
      </c>
      <c r="CF196">
        <f>VLOOKUP(CambioPlan[[#This Row],[TARIFA_BASICA_ACTUAL]],[3]Hoja1!$B:$C,2,0)</f>
        <v>1</v>
      </c>
      <c r="CG196">
        <f t="shared" si="2"/>
        <v>-1</v>
      </c>
      <c r="CH196" t="e">
        <f>VLOOKUP(CambioPlan[[#This Row],[TELEFONO]],[1]Retenciones!$R$63:$R$287,1,0)</f>
        <v>#N/A</v>
      </c>
    </row>
    <row r="197" spans="1:86" x14ac:dyDescent="0.25">
      <c r="A197" s="43">
        <v>202212</v>
      </c>
      <c r="B197" s="44">
        <v>44914</v>
      </c>
      <c r="C197" s="43" t="s">
        <v>7724</v>
      </c>
      <c r="D197" s="43" t="s">
        <v>7725</v>
      </c>
      <c r="E197" s="43" t="s">
        <v>95</v>
      </c>
      <c r="F197" s="43" t="s">
        <v>77</v>
      </c>
      <c r="G197" s="43" t="s">
        <v>1532</v>
      </c>
      <c r="H197" s="43" t="s">
        <v>67</v>
      </c>
      <c r="I197" s="43" t="s">
        <v>7726</v>
      </c>
      <c r="J197" s="43" t="s">
        <v>7029</v>
      </c>
      <c r="K197" s="43" t="s">
        <v>215</v>
      </c>
      <c r="L197" s="43" t="s">
        <v>359</v>
      </c>
      <c r="M197" s="43" t="s">
        <v>360</v>
      </c>
      <c r="N197" s="43" t="s">
        <v>79</v>
      </c>
      <c r="O197" s="45">
        <v>14.28</v>
      </c>
      <c r="P197" s="43" t="s">
        <v>95</v>
      </c>
      <c r="Q197" s="43" t="s">
        <v>95</v>
      </c>
      <c r="R197" s="43" t="s">
        <v>95</v>
      </c>
      <c r="S197" s="45">
        <v>0</v>
      </c>
      <c r="T197" s="43" t="s">
        <v>95</v>
      </c>
      <c r="U197" s="44" t="s">
        <v>95</v>
      </c>
      <c r="V197" s="44" t="s">
        <v>95</v>
      </c>
      <c r="W197" s="43" t="s">
        <v>95</v>
      </c>
      <c r="X197" s="45">
        <v>14.28</v>
      </c>
      <c r="Y197" s="43" t="s">
        <v>81</v>
      </c>
      <c r="Z197" s="43" t="s">
        <v>7727</v>
      </c>
      <c r="AA197" s="43" t="s">
        <v>7728</v>
      </c>
      <c r="AB197" s="43" t="s">
        <v>79</v>
      </c>
      <c r="AC197" s="45">
        <v>9.99</v>
      </c>
      <c r="AD197" s="43" t="s">
        <v>95</v>
      </c>
      <c r="AE197" s="43" t="s">
        <v>95</v>
      </c>
      <c r="AF197" s="43" t="s">
        <v>95</v>
      </c>
      <c r="AG197" s="43" t="s">
        <v>95</v>
      </c>
      <c r="AH197" s="45">
        <v>0</v>
      </c>
      <c r="AI197" s="43" t="s">
        <v>95</v>
      </c>
      <c r="AJ197" s="43" t="s">
        <v>95</v>
      </c>
      <c r="AK197" s="43" t="s">
        <v>95</v>
      </c>
      <c r="AL197" s="43" t="s">
        <v>95</v>
      </c>
      <c r="AM197" s="45">
        <v>9.99</v>
      </c>
      <c r="AN197" s="43" t="s">
        <v>81</v>
      </c>
      <c r="AO197" s="44">
        <v>44906</v>
      </c>
      <c r="AP197" s="43" t="s">
        <v>271</v>
      </c>
      <c r="AQ197" s="43" t="s">
        <v>272</v>
      </c>
      <c r="AR197" s="43" t="s">
        <v>271</v>
      </c>
      <c r="AS197" s="43" t="s">
        <v>272</v>
      </c>
      <c r="AT197" s="43" t="s">
        <v>85</v>
      </c>
      <c r="AU197" s="43" t="s">
        <v>7030</v>
      </c>
      <c r="AV197" s="43" t="s">
        <v>7031</v>
      </c>
      <c r="AW197" s="43" t="s">
        <v>7031</v>
      </c>
      <c r="AX197" s="43" t="s">
        <v>90</v>
      </c>
      <c r="AY197" s="43" t="s">
        <v>132</v>
      </c>
      <c r="AZ197" s="43" t="s">
        <v>7037</v>
      </c>
      <c r="BA197" s="43" t="s">
        <v>139</v>
      </c>
      <c r="BB197" s="45">
        <v>4.29</v>
      </c>
      <c r="BC197" s="45">
        <v>4.29</v>
      </c>
      <c r="BD197" s="43" t="s">
        <v>7032</v>
      </c>
      <c r="BE197" s="43" t="s">
        <v>81</v>
      </c>
      <c r="BF197" s="43" t="s">
        <v>81</v>
      </c>
      <c r="BG197" s="43" t="s">
        <v>86</v>
      </c>
      <c r="BH197" s="43" t="s">
        <v>235</v>
      </c>
      <c r="BI197" s="43" t="s">
        <v>7076</v>
      </c>
      <c r="BJ197" s="43" t="s">
        <v>7030</v>
      </c>
      <c r="BK197" s="43" t="s">
        <v>139</v>
      </c>
      <c r="BL197" s="43" t="s">
        <v>85</v>
      </c>
      <c r="BM197" s="43" t="s">
        <v>85</v>
      </c>
      <c r="BN197" s="43" t="s">
        <v>139</v>
      </c>
      <c r="BO197" s="46">
        <v>4.29</v>
      </c>
      <c r="BP197" s="43" t="s">
        <v>7032</v>
      </c>
      <c r="BQ197" s="43">
        <v>4.29</v>
      </c>
      <c r="BR197" s="43" t="s">
        <v>7032</v>
      </c>
      <c r="BS197" s="47">
        <v>4.29</v>
      </c>
      <c r="BT197" s="43" t="s">
        <v>7032</v>
      </c>
      <c r="BU197" s="43" t="s">
        <v>7032</v>
      </c>
      <c r="BV197" s="43" t="str">
        <f>CambioPlan[[#This Row],[TELEFONO]]&amp;"UPSELLSI"</f>
        <v>998221281UPSELLSI</v>
      </c>
      <c r="BW197" s="43">
        <f>DAY(CambioPlan[[#This Row],[FECHA_CAMBIO_PLAN]])</f>
        <v>11</v>
      </c>
      <c r="BX197" s="43" t="str">
        <f>VLOOKUP(CambioPlan[[#This Row],[NOM_PLAZA]],[1]!Locales[#Data],3,0)</f>
        <v>TIENDA CONDADO</v>
      </c>
      <c r="BY197" s="43" t="str">
        <f>VLOOKUP(CambioPlan[[#This Row],[DOMAIN_LOGIN_OW]],[1]!Personal[#Data],6,0)</f>
        <v>CASTILLO AGUIRRE EDWIN MODESTO</v>
      </c>
      <c r="BZ197" s="43"/>
      <c r="CA197" s="43" t="str">
        <f>IFERROR(IF(FIND("ADULTO",CambioPlan[[#This Row],[DESCRIPCION_PLAN_ACTUAL]],1),"NO SE PAGA",),"SI SE PAGA")</f>
        <v>SI SE PAGA</v>
      </c>
      <c r="CB197" s="45">
        <f>CambioPlan[[#This Row],[TARIFA_BASICA_ACTUAL]]-CambioPlan[[#This Row],[TARIFA_BASICA_ANTERIOR]]</f>
        <v>4.2899999999999991</v>
      </c>
      <c r="CC197" s="56">
        <f>CambioPlan[[#This Row],[DIF. TARIFAS]]*4</f>
        <v>17.159999999999997</v>
      </c>
      <c r="CD197" s="53" t="str">
        <f>IF(CambioPlan[[#This Row],[C. COMISIÓN TME]]&lt;0,"DOWNSELL",IF(CambioPlan[[#This Row],[C. COMISIÓN TME]]=0,"MISMA TARIFA",IF(CambioPlan[[#This Row],[C. COMISIÓN TME]]&gt;0,"UPSELL")))</f>
        <v>UPSELL</v>
      </c>
      <c r="CE197">
        <f>VLOOKUP(CambioPlan[[#This Row],[TARIFA_BASICA_ANTERIOR]],[3]Hoja1!$F:$G,2,0)</f>
        <v>0</v>
      </c>
      <c r="CF197">
        <f>VLOOKUP(CambioPlan[[#This Row],[TARIFA_BASICA_ACTUAL]],[3]Hoja1!$B:$C,2,0)</f>
        <v>1</v>
      </c>
      <c r="CG197">
        <f t="shared" si="2"/>
        <v>1</v>
      </c>
      <c r="CH197" t="e">
        <f>VLOOKUP(CambioPlan[[#This Row],[TELEFONO]],[1]Retenciones!$R$63:$R$287,1,0)</f>
        <v>#N/A</v>
      </c>
    </row>
    <row r="198" spans="1:86" x14ac:dyDescent="0.25">
      <c r="A198" s="43">
        <v>202212</v>
      </c>
      <c r="B198" s="44">
        <v>44914</v>
      </c>
      <c r="C198" s="43" t="s">
        <v>7729</v>
      </c>
      <c r="D198" s="43" t="s">
        <v>7730</v>
      </c>
      <c r="E198" s="43" t="s">
        <v>95</v>
      </c>
      <c r="F198" s="43" t="s">
        <v>77</v>
      </c>
      <c r="G198" s="43" t="s">
        <v>4453</v>
      </c>
      <c r="H198" s="43" t="s">
        <v>67</v>
      </c>
      <c r="I198" s="43" t="s">
        <v>7731</v>
      </c>
      <c r="J198" s="43" t="s">
        <v>7037</v>
      </c>
      <c r="K198" s="43" t="s">
        <v>84</v>
      </c>
      <c r="L198" s="43" t="s">
        <v>574</v>
      </c>
      <c r="M198" s="43" t="s">
        <v>575</v>
      </c>
      <c r="N198" s="43" t="s">
        <v>79</v>
      </c>
      <c r="O198" s="45">
        <v>17.850000000000001</v>
      </c>
      <c r="P198" s="43" t="s">
        <v>95</v>
      </c>
      <c r="Q198" s="43" t="s">
        <v>95</v>
      </c>
      <c r="R198" s="43" t="s">
        <v>95</v>
      </c>
      <c r="S198" s="45">
        <v>0</v>
      </c>
      <c r="T198" s="43" t="s">
        <v>95</v>
      </c>
      <c r="U198" s="44" t="s">
        <v>95</v>
      </c>
      <c r="V198" s="44" t="s">
        <v>95</v>
      </c>
      <c r="W198" s="43" t="s">
        <v>95</v>
      </c>
      <c r="X198" s="45">
        <v>17.850000000000001</v>
      </c>
      <c r="Y198" s="43" t="s">
        <v>81</v>
      </c>
      <c r="Z198" s="43" t="s">
        <v>160</v>
      </c>
      <c r="AA198" s="43" t="s">
        <v>161</v>
      </c>
      <c r="AB198" s="43" t="s">
        <v>79</v>
      </c>
      <c r="AC198" s="45">
        <v>14.28</v>
      </c>
      <c r="AD198" s="43" t="s">
        <v>95</v>
      </c>
      <c r="AE198" s="43" t="s">
        <v>95</v>
      </c>
      <c r="AF198" s="43" t="s">
        <v>95</v>
      </c>
      <c r="AG198" s="43" t="s">
        <v>95</v>
      </c>
      <c r="AH198" s="45">
        <v>0</v>
      </c>
      <c r="AI198" s="43" t="s">
        <v>95</v>
      </c>
      <c r="AJ198" s="43" t="s">
        <v>95</v>
      </c>
      <c r="AK198" s="43" t="s">
        <v>95</v>
      </c>
      <c r="AL198" s="43" t="s">
        <v>95</v>
      </c>
      <c r="AM198" s="45">
        <v>14.28</v>
      </c>
      <c r="AN198" s="43" t="s">
        <v>81</v>
      </c>
      <c r="AO198" s="44">
        <v>44896</v>
      </c>
      <c r="AP198" s="43" t="s">
        <v>412</v>
      </c>
      <c r="AQ198" s="43" t="s">
        <v>413</v>
      </c>
      <c r="AR198" s="43" t="s">
        <v>412</v>
      </c>
      <c r="AS198" s="43" t="s">
        <v>413</v>
      </c>
      <c r="AT198" s="43" t="s">
        <v>85</v>
      </c>
      <c r="AU198" s="43" t="s">
        <v>7030</v>
      </c>
      <c r="AV198" s="43" t="s">
        <v>7031</v>
      </c>
      <c r="AW198" s="43" t="s">
        <v>7031</v>
      </c>
      <c r="AX198" s="43" t="s">
        <v>90</v>
      </c>
      <c r="AY198" s="43" t="s">
        <v>132</v>
      </c>
      <c r="AZ198" s="43" t="s">
        <v>7037</v>
      </c>
      <c r="BA198" s="43" t="s">
        <v>139</v>
      </c>
      <c r="BB198" s="45">
        <v>3.57</v>
      </c>
      <c r="BC198" s="45">
        <v>3.57</v>
      </c>
      <c r="BD198" s="43" t="s">
        <v>7032</v>
      </c>
      <c r="BE198" s="43" t="s">
        <v>81</v>
      </c>
      <c r="BF198" s="43" t="s">
        <v>81</v>
      </c>
      <c r="BG198" s="43" t="s">
        <v>86</v>
      </c>
      <c r="BH198" s="43" t="s">
        <v>235</v>
      </c>
      <c r="BI198" s="43" t="s">
        <v>7076</v>
      </c>
      <c r="BJ198" s="43" t="s">
        <v>7030</v>
      </c>
      <c r="BK198" s="43" t="s">
        <v>139</v>
      </c>
      <c r="BL198" s="43" t="s">
        <v>85</v>
      </c>
      <c r="BM198" s="43" t="s">
        <v>85</v>
      </c>
      <c r="BN198" s="43" t="s">
        <v>139</v>
      </c>
      <c r="BO198" s="46">
        <v>3.57</v>
      </c>
      <c r="BP198" s="43" t="s">
        <v>7032</v>
      </c>
      <c r="BQ198" s="43">
        <v>3.57</v>
      </c>
      <c r="BR198" s="43" t="s">
        <v>7032</v>
      </c>
      <c r="BS198" s="47">
        <v>3.57</v>
      </c>
      <c r="BT198" s="43" t="s">
        <v>7032</v>
      </c>
      <c r="BU198" s="43" t="s">
        <v>7032</v>
      </c>
      <c r="BV198" s="43" t="str">
        <f>CambioPlan[[#This Row],[TELEFONO]]&amp;"UPSELLSI"</f>
        <v>998244296UPSELLSI</v>
      </c>
      <c r="BW198" s="43">
        <f>DAY(CambioPlan[[#This Row],[FECHA_CAMBIO_PLAN]])</f>
        <v>1</v>
      </c>
      <c r="BX198" s="43" t="str">
        <f>VLOOKUP(CambioPlan[[#This Row],[NOM_PLAZA]],[1]!Locales[#Data],3,0)</f>
        <v>TIENDA CONDADO</v>
      </c>
      <c r="BY198" s="43" t="str">
        <f>VLOOKUP(CambioPlan[[#This Row],[DOMAIN_LOGIN_OW]],[1]!Personal[#Data],6,0)</f>
        <v>PADILLA MALDONADO HENRY LEOPOLDO</v>
      </c>
      <c r="BZ198" s="43"/>
      <c r="CA198" s="43" t="str">
        <f>IFERROR(IF(FIND("ADULTO",CambioPlan[[#This Row],[DESCRIPCION_PLAN_ACTUAL]],1),"NO SE PAGA",),"SI SE PAGA")</f>
        <v>SI SE PAGA</v>
      </c>
      <c r="CB198" s="45">
        <f>CambioPlan[[#This Row],[TARIFA_BASICA_ACTUAL]]-CambioPlan[[#This Row],[TARIFA_BASICA_ANTERIOR]]</f>
        <v>3.5700000000000021</v>
      </c>
      <c r="CC198" s="56">
        <f>CambioPlan[[#This Row],[DIF. TARIFAS]]*4</f>
        <v>14.280000000000008</v>
      </c>
      <c r="CD198" s="53" t="str">
        <f>IF(CambioPlan[[#This Row],[C. COMISIÓN TME]]&lt;0,"DOWNSELL",IF(CambioPlan[[#This Row],[C. COMISIÓN TME]]=0,"MISMA TARIFA",IF(CambioPlan[[#This Row],[C. COMISIÓN TME]]&gt;0,"UPSELL")))</f>
        <v>UPSELL</v>
      </c>
      <c r="CE198">
        <f>VLOOKUP(CambioPlan[[#This Row],[TARIFA_BASICA_ANTERIOR]],[3]Hoja1!$F:$G,2,0)</f>
        <v>1</v>
      </c>
      <c r="CF198">
        <f>VLOOKUP(CambioPlan[[#This Row],[TARIFA_BASICA_ACTUAL]],[3]Hoja1!$B:$C,2,0)</f>
        <v>2</v>
      </c>
      <c r="CG198">
        <f t="shared" si="2"/>
        <v>1</v>
      </c>
      <c r="CH198" t="e">
        <f>VLOOKUP(CambioPlan[[#This Row],[TELEFONO]],[1]Retenciones!$R$63:$R$287,1,0)</f>
        <v>#N/A</v>
      </c>
    </row>
    <row r="199" spans="1:86" x14ac:dyDescent="0.25">
      <c r="A199" s="43">
        <v>202212</v>
      </c>
      <c r="B199" s="44">
        <v>44914</v>
      </c>
      <c r="C199" s="43" t="s">
        <v>7732</v>
      </c>
      <c r="D199" s="43" t="s">
        <v>7733</v>
      </c>
      <c r="E199" s="43" t="s">
        <v>95</v>
      </c>
      <c r="F199" s="43" t="s">
        <v>77</v>
      </c>
      <c r="G199" s="43" t="s">
        <v>1532</v>
      </c>
      <c r="H199" s="43" t="s">
        <v>67</v>
      </c>
      <c r="I199" s="43" t="s">
        <v>7734</v>
      </c>
      <c r="J199" s="43" t="s">
        <v>7029</v>
      </c>
      <c r="K199" s="43" t="s">
        <v>215</v>
      </c>
      <c r="L199" s="43" t="s">
        <v>359</v>
      </c>
      <c r="M199" s="43" t="s">
        <v>360</v>
      </c>
      <c r="N199" s="43" t="s">
        <v>79</v>
      </c>
      <c r="O199" s="45">
        <v>14.28</v>
      </c>
      <c r="P199" s="43" t="s">
        <v>95</v>
      </c>
      <c r="Q199" s="43" t="s">
        <v>95</v>
      </c>
      <c r="R199" s="43" t="s">
        <v>95</v>
      </c>
      <c r="S199" s="45">
        <v>0</v>
      </c>
      <c r="T199" s="43" t="s">
        <v>95</v>
      </c>
      <c r="U199" s="44" t="s">
        <v>95</v>
      </c>
      <c r="V199" s="44" t="s">
        <v>95</v>
      </c>
      <c r="W199" s="43" t="s">
        <v>95</v>
      </c>
      <c r="X199" s="45">
        <v>14.28</v>
      </c>
      <c r="Y199" s="43" t="s">
        <v>81</v>
      </c>
      <c r="Z199" s="43" t="s">
        <v>7227</v>
      </c>
      <c r="AA199" s="43" t="s">
        <v>7277</v>
      </c>
      <c r="AB199" s="43" t="s">
        <v>79</v>
      </c>
      <c r="AC199" s="45">
        <v>9.99</v>
      </c>
      <c r="AD199" s="43" t="s">
        <v>95</v>
      </c>
      <c r="AE199" s="43" t="s">
        <v>95</v>
      </c>
      <c r="AF199" s="43" t="s">
        <v>95</v>
      </c>
      <c r="AG199" s="43" t="s">
        <v>95</v>
      </c>
      <c r="AH199" s="45">
        <v>0</v>
      </c>
      <c r="AI199" s="43" t="s">
        <v>95</v>
      </c>
      <c r="AJ199" s="43" t="s">
        <v>95</v>
      </c>
      <c r="AK199" s="43" t="s">
        <v>95</v>
      </c>
      <c r="AL199" s="43" t="s">
        <v>95</v>
      </c>
      <c r="AM199" s="45">
        <v>9.99</v>
      </c>
      <c r="AN199" s="43" t="s">
        <v>81</v>
      </c>
      <c r="AO199" s="44">
        <v>44898</v>
      </c>
      <c r="AP199" s="43" t="s">
        <v>1020</v>
      </c>
      <c r="AQ199" s="43" t="s">
        <v>1021</v>
      </c>
      <c r="AR199" s="43" t="s">
        <v>1020</v>
      </c>
      <c r="AS199" s="43" t="s">
        <v>1021</v>
      </c>
      <c r="AT199" s="43" t="s">
        <v>85</v>
      </c>
      <c r="AU199" s="43" t="s">
        <v>7030</v>
      </c>
      <c r="AV199" s="43" t="s">
        <v>7031</v>
      </c>
      <c r="AW199" s="43" t="s">
        <v>7031</v>
      </c>
      <c r="AX199" s="43" t="s">
        <v>90</v>
      </c>
      <c r="AY199" s="43" t="s">
        <v>73</v>
      </c>
      <c r="AZ199" s="43" t="s">
        <v>7029</v>
      </c>
      <c r="BA199" s="43" t="s">
        <v>92</v>
      </c>
      <c r="BB199" s="45">
        <v>4.29</v>
      </c>
      <c r="BC199" s="45">
        <v>4.29</v>
      </c>
      <c r="BD199" s="43" t="s">
        <v>7032</v>
      </c>
      <c r="BE199" s="43" t="s">
        <v>81</v>
      </c>
      <c r="BF199" s="43" t="s">
        <v>81</v>
      </c>
      <c r="BG199" s="43" t="s">
        <v>86</v>
      </c>
      <c r="BH199" s="43" t="s">
        <v>91</v>
      </c>
      <c r="BI199" s="43" t="s">
        <v>7086</v>
      </c>
      <c r="BJ199" s="43" t="s">
        <v>7030</v>
      </c>
      <c r="BK199" s="43" t="s">
        <v>92</v>
      </c>
      <c r="BL199" s="43" t="s">
        <v>85</v>
      </c>
      <c r="BM199" s="43" t="s">
        <v>85</v>
      </c>
      <c r="BN199" s="43" t="s">
        <v>92</v>
      </c>
      <c r="BO199" s="46">
        <v>4.29</v>
      </c>
      <c r="BP199" s="43" t="s">
        <v>7032</v>
      </c>
      <c r="BQ199" s="43">
        <v>4.29</v>
      </c>
      <c r="BR199" s="43" t="s">
        <v>7032</v>
      </c>
      <c r="BS199" s="47">
        <v>4.29</v>
      </c>
      <c r="BT199" s="43" t="s">
        <v>7032</v>
      </c>
      <c r="BU199" s="43" t="s">
        <v>7032</v>
      </c>
      <c r="BV199" s="43" t="str">
        <f>CambioPlan[[#This Row],[TELEFONO]]&amp;"UPSELLSI"</f>
        <v>998248207UPSELLSI</v>
      </c>
      <c r="BW199" s="43">
        <f>DAY(CambioPlan[[#This Row],[FECHA_CAMBIO_PLAN]])</f>
        <v>3</v>
      </c>
      <c r="BX199" s="43" t="str">
        <f>VLOOKUP(CambioPlan[[#This Row],[NOM_PLAZA]],[1]!Locales[#Data],3,0)</f>
        <v>TIENDA CUENCA CENTRO</v>
      </c>
      <c r="BY199" s="43" t="str">
        <f>VLOOKUP(CambioPlan[[#This Row],[DOMAIN_LOGIN_OW]],[1]!Personal[#Data],6,0)</f>
        <v>GONZALES ALVARRACIN PAOLA YESSENIA</v>
      </c>
      <c r="BZ199" s="43"/>
      <c r="CA199" s="43" t="str">
        <f>IFERROR(IF(FIND("ADULTO",CambioPlan[[#This Row],[DESCRIPCION_PLAN_ACTUAL]],1),"NO SE PAGA",),"SI SE PAGA")</f>
        <v>SI SE PAGA</v>
      </c>
      <c r="CB199" s="45">
        <f>CambioPlan[[#This Row],[TARIFA_BASICA_ACTUAL]]-CambioPlan[[#This Row],[TARIFA_BASICA_ANTERIOR]]</f>
        <v>4.2899999999999991</v>
      </c>
      <c r="CC199" s="56">
        <f>CambioPlan[[#This Row],[DIF. TARIFAS]]*4</f>
        <v>17.159999999999997</v>
      </c>
      <c r="CD199" s="53" t="str">
        <f>IF(CambioPlan[[#This Row],[C. COMISIÓN TME]]&lt;0,"DOWNSELL",IF(CambioPlan[[#This Row],[C. COMISIÓN TME]]=0,"MISMA TARIFA",IF(CambioPlan[[#This Row],[C. COMISIÓN TME]]&gt;0,"UPSELL")))</f>
        <v>UPSELL</v>
      </c>
      <c r="CE199">
        <f>VLOOKUP(CambioPlan[[#This Row],[TARIFA_BASICA_ANTERIOR]],[3]Hoja1!$F:$G,2,0)</f>
        <v>0</v>
      </c>
      <c r="CF199">
        <f>VLOOKUP(CambioPlan[[#This Row],[TARIFA_BASICA_ACTUAL]],[3]Hoja1!$B:$C,2,0)</f>
        <v>1</v>
      </c>
      <c r="CG199">
        <f t="shared" si="2"/>
        <v>1</v>
      </c>
      <c r="CH199" t="e">
        <f>VLOOKUP(CambioPlan[[#This Row],[TELEFONO]],[1]Retenciones!$R$63:$R$287,1,0)</f>
        <v>#N/A</v>
      </c>
    </row>
    <row r="200" spans="1:86" x14ac:dyDescent="0.25">
      <c r="A200" s="43">
        <v>202212</v>
      </c>
      <c r="B200" s="44">
        <v>44914</v>
      </c>
      <c r="C200" s="43" t="s">
        <v>7735</v>
      </c>
      <c r="D200" s="43" t="s">
        <v>7736</v>
      </c>
      <c r="E200" s="43" t="s">
        <v>95</v>
      </c>
      <c r="F200" s="43" t="s">
        <v>77</v>
      </c>
      <c r="G200" s="43" t="s">
        <v>1532</v>
      </c>
      <c r="H200" s="43" t="s">
        <v>67</v>
      </c>
      <c r="I200" s="43" t="s">
        <v>7737</v>
      </c>
      <c r="J200" s="43" t="s">
        <v>7029</v>
      </c>
      <c r="K200" s="43" t="s">
        <v>215</v>
      </c>
      <c r="L200" s="43" t="s">
        <v>4963</v>
      </c>
      <c r="M200" s="43" t="s">
        <v>4964</v>
      </c>
      <c r="N200" s="43" t="s">
        <v>79</v>
      </c>
      <c r="O200" s="45">
        <v>32.130000000000003</v>
      </c>
      <c r="P200" s="43" t="s">
        <v>95</v>
      </c>
      <c r="Q200" s="43" t="s">
        <v>95</v>
      </c>
      <c r="R200" s="43" t="s">
        <v>95</v>
      </c>
      <c r="S200" s="45">
        <v>0</v>
      </c>
      <c r="T200" s="43" t="s">
        <v>95</v>
      </c>
      <c r="U200" s="44" t="s">
        <v>95</v>
      </c>
      <c r="V200" s="44" t="s">
        <v>95</v>
      </c>
      <c r="W200" s="43" t="s">
        <v>95</v>
      </c>
      <c r="X200" s="45">
        <v>32.130000000000003</v>
      </c>
      <c r="Y200" s="43" t="s">
        <v>81</v>
      </c>
      <c r="Z200" s="43" t="s">
        <v>7247</v>
      </c>
      <c r="AA200" s="43" t="s">
        <v>7738</v>
      </c>
      <c r="AB200" s="43" t="s">
        <v>79</v>
      </c>
      <c r="AC200" s="45">
        <v>19.989999999999998</v>
      </c>
      <c r="AD200" s="43" t="s">
        <v>95</v>
      </c>
      <c r="AE200" s="43" t="s">
        <v>95</v>
      </c>
      <c r="AF200" s="43" t="s">
        <v>95</v>
      </c>
      <c r="AG200" s="43" t="s">
        <v>95</v>
      </c>
      <c r="AH200" s="45">
        <v>0</v>
      </c>
      <c r="AI200" s="43" t="s">
        <v>95</v>
      </c>
      <c r="AJ200" s="43" t="s">
        <v>95</v>
      </c>
      <c r="AK200" s="43" t="s">
        <v>95</v>
      </c>
      <c r="AL200" s="43" t="s">
        <v>95</v>
      </c>
      <c r="AM200" s="45">
        <v>19.989999999999998</v>
      </c>
      <c r="AN200" s="43" t="s">
        <v>81</v>
      </c>
      <c r="AO200" s="44">
        <v>44907</v>
      </c>
      <c r="AP200" s="43" t="s">
        <v>420</v>
      </c>
      <c r="AQ200" s="43" t="s">
        <v>421</v>
      </c>
      <c r="AR200" s="43" t="s">
        <v>420</v>
      </c>
      <c r="AS200" s="43" t="s">
        <v>421</v>
      </c>
      <c r="AT200" s="43" t="s">
        <v>85</v>
      </c>
      <c r="AU200" s="43" t="s">
        <v>7030</v>
      </c>
      <c r="AV200" s="43" t="s">
        <v>7031</v>
      </c>
      <c r="AW200" s="43" t="s">
        <v>7031</v>
      </c>
      <c r="AX200" s="43" t="s">
        <v>90</v>
      </c>
      <c r="AY200" s="43" t="s">
        <v>73</v>
      </c>
      <c r="AZ200" s="43" t="s">
        <v>7029</v>
      </c>
      <c r="BA200" s="43" t="s">
        <v>92</v>
      </c>
      <c r="BB200" s="45">
        <v>12.14</v>
      </c>
      <c r="BC200" s="45">
        <v>12.14</v>
      </c>
      <c r="BD200" s="43" t="s">
        <v>7032</v>
      </c>
      <c r="BE200" s="43" t="s">
        <v>81</v>
      </c>
      <c r="BF200" s="43" t="s">
        <v>81</v>
      </c>
      <c r="BG200" s="43" t="s">
        <v>86</v>
      </c>
      <c r="BH200" s="43" t="s">
        <v>151</v>
      </c>
      <c r="BI200" s="43" t="s">
        <v>7033</v>
      </c>
      <c r="BJ200" s="43" t="s">
        <v>7030</v>
      </c>
      <c r="BK200" s="43" t="s">
        <v>92</v>
      </c>
      <c r="BL200" s="43" t="s">
        <v>85</v>
      </c>
      <c r="BM200" s="43" t="s">
        <v>85</v>
      </c>
      <c r="BN200" s="43" t="s">
        <v>92</v>
      </c>
      <c r="BO200" s="46">
        <v>12.14</v>
      </c>
      <c r="BP200" s="43" t="s">
        <v>7032</v>
      </c>
      <c r="BQ200" s="43">
        <v>12.14</v>
      </c>
      <c r="BR200" s="43" t="s">
        <v>7032</v>
      </c>
      <c r="BS200" s="47">
        <v>12.14</v>
      </c>
      <c r="BT200" s="43" t="s">
        <v>7032</v>
      </c>
      <c r="BU200" s="43" t="s">
        <v>7032</v>
      </c>
      <c r="BV200" s="43" t="str">
        <f>CambioPlan[[#This Row],[TELEFONO]]&amp;"UPSELLSI"</f>
        <v>998265078UPSELLSI</v>
      </c>
      <c r="BW200" s="43">
        <f>DAY(CambioPlan[[#This Row],[FECHA_CAMBIO_PLAN]])</f>
        <v>12</v>
      </c>
      <c r="BX200" s="43" t="str">
        <f>VLOOKUP(CambioPlan[[#This Row],[NOM_PLAZA]],[1]!Locales[#Data],3,0)</f>
        <v>TIENDA CUENCA REMIGIO</v>
      </c>
      <c r="BY200" s="43" t="str">
        <f>VLOOKUP(CambioPlan[[#This Row],[DOMAIN_LOGIN_OW]],[1]!Personal[#Data],6,0)</f>
        <v>YEPEZ PALOMEQUE DIANA PATRICIA</v>
      </c>
      <c r="BZ200" s="43"/>
      <c r="CA200" s="43" t="str">
        <f>IFERROR(IF(FIND("ADULTO",CambioPlan[[#This Row],[DESCRIPCION_PLAN_ACTUAL]],1),"NO SE PAGA",),"SI SE PAGA")</f>
        <v>SI SE PAGA</v>
      </c>
      <c r="CB200" s="45">
        <f>CambioPlan[[#This Row],[TARIFA_BASICA_ACTUAL]]-CambioPlan[[#This Row],[TARIFA_BASICA_ANTERIOR]]</f>
        <v>12.140000000000004</v>
      </c>
      <c r="CC200" s="56">
        <f>CambioPlan[[#This Row],[DIF. TARIFAS]]*4</f>
        <v>48.560000000000016</v>
      </c>
      <c r="CD200" s="53" t="str">
        <f>IF(CambioPlan[[#This Row],[C. COMISIÓN TME]]&lt;0,"DOWNSELL",IF(CambioPlan[[#This Row],[C. COMISIÓN TME]]=0,"MISMA TARIFA",IF(CambioPlan[[#This Row],[C. COMISIÓN TME]]&gt;0,"UPSELL")))</f>
        <v>UPSELL</v>
      </c>
      <c r="CE200">
        <f>VLOOKUP(CambioPlan[[#This Row],[TARIFA_BASICA_ANTERIOR]],[3]Hoja1!$F:$G,2,0)</f>
        <v>3</v>
      </c>
      <c r="CF200">
        <f>VLOOKUP(CambioPlan[[#This Row],[TARIFA_BASICA_ACTUAL]],[3]Hoja1!$B:$C,2,0)</f>
        <v>5</v>
      </c>
      <c r="CG200">
        <f t="shared" si="2"/>
        <v>2</v>
      </c>
      <c r="CH200" t="e">
        <f>VLOOKUP(CambioPlan[[#This Row],[TELEFONO]],[1]Retenciones!$R$63:$R$287,1,0)</f>
        <v>#N/A</v>
      </c>
    </row>
    <row r="201" spans="1:86" x14ac:dyDescent="0.25">
      <c r="A201" s="43">
        <v>202212</v>
      </c>
      <c r="B201" s="44">
        <v>44914</v>
      </c>
      <c r="C201" s="43" t="s">
        <v>7739</v>
      </c>
      <c r="D201" s="43" t="s">
        <v>7740</v>
      </c>
      <c r="E201" s="43" t="s">
        <v>95</v>
      </c>
      <c r="F201" s="43" t="s">
        <v>231</v>
      </c>
      <c r="G201" s="43" t="s">
        <v>231</v>
      </c>
      <c r="H201" s="43" t="s">
        <v>67</v>
      </c>
      <c r="I201" s="43" t="s">
        <v>7741</v>
      </c>
      <c r="J201" s="43" t="s">
        <v>7037</v>
      </c>
      <c r="K201" s="43" t="s">
        <v>118</v>
      </c>
      <c r="L201" s="43" t="s">
        <v>4963</v>
      </c>
      <c r="M201" s="43" t="s">
        <v>4964</v>
      </c>
      <c r="N201" s="43" t="s">
        <v>79</v>
      </c>
      <c r="O201" s="45">
        <v>32.130000000000003</v>
      </c>
      <c r="P201" s="43" t="s">
        <v>95</v>
      </c>
      <c r="Q201" s="43" t="s">
        <v>95</v>
      </c>
      <c r="R201" s="43" t="s">
        <v>95</v>
      </c>
      <c r="S201" s="45">
        <v>0</v>
      </c>
      <c r="T201" s="43" t="s">
        <v>95</v>
      </c>
      <c r="U201" s="44" t="s">
        <v>95</v>
      </c>
      <c r="V201" s="44" t="s">
        <v>95</v>
      </c>
      <c r="W201" s="43" t="s">
        <v>95</v>
      </c>
      <c r="X201" s="45">
        <v>32.130000000000003</v>
      </c>
      <c r="Y201" s="43" t="s">
        <v>81</v>
      </c>
      <c r="Z201" s="43" t="s">
        <v>7404</v>
      </c>
      <c r="AA201" s="43" t="s">
        <v>7405</v>
      </c>
      <c r="AB201" s="43" t="s">
        <v>79</v>
      </c>
      <c r="AC201" s="45">
        <v>29.99</v>
      </c>
      <c r="AD201" s="43" t="s">
        <v>95</v>
      </c>
      <c r="AE201" s="43" t="s">
        <v>95</v>
      </c>
      <c r="AF201" s="43" t="s">
        <v>95</v>
      </c>
      <c r="AG201" s="43" t="s">
        <v>95</v>
      </c>
      <c r="AH201" s="45">
        <v>0</v>
      </c>
      <c r="AI201" s="43" t="s">
        <v>95</v>
      </c>
      <c r="AJ201" s="43" t="s">
        <v>95</v>
      </c>
      <c r="AK201" s="43" t="s">
        <v>95</v>
      </c>
      <c r="AL201" s="43" t="s">
        <v>95</v>
      </c>
      <c r="AM201" s="45">
        <v>29.99</v>
      </c>
      <c r="AN201" s="43" t="s">
        <v>81</v>
      </c>
      <c r="AO201" s="44">
        <v>44912</v>
      </c>
      <c r="AP201" s="43" t="s">
        <v>457</v>
      </c>
      <c r="AQ201" s="43" t="s">
        <v>458</v>
      </c>
      <c r="AR201" s="43" t="s">
        <v>457</v>
      </c>
      <c r="AS201" s="43" t="s">
        <v>458</v>
      </c>
      <c r="AT201" s="43" t="s">
        <v>85</v>
      </c>
      <c r="AU201" s="43" t="s">
        <v>7030</v>
      </c>
      <c r="AV201" s="43" t="s">
        <v>7031</v>
      </c>
      <c r="AW201" s="43" t="s">
        <v>7031</v>
      </c>
      <c r="AX201" s="43" t="s">
        <v>90</v>
      </c>
      <c r="AY201" s="43" t="s">
        <v>132</v>
      </c>
      <c r="AZ201" s="43" t="s">
        <v>7037</v>
      </c>
      <c r="BA201" s="43" t="s">
        <v>139</v>
      </c>
      <c r="BB201" s="45">
        <v>2.14</v>
      </c>
      <c r="BC201" s="45">
        <v>2.14</v>
      </c>
      <c r="BD201" s="43" t="s">
        <v>7032</v>
      </c>
      <c r="BE201" s="43" t="s">
        <v>81</v>
      </c>
      <c r="BF201" s="43" t="s">
        <v>81</v>
      </c>
      <c r="BG201" s="43" t="s">
        <v>86</v>
      </c>
      <c r="BH201" s="43" t="s">
        <v>177</v>
      </c>
      <c r="BI201" s="43" t="s">
        <v>7038</v>
      </c>
      <c r="BJ201" s="43" t="s">
        <v>7030</v>
      </c>
      <c r="BK201" s="43" t="s">
        <v>139</v>
      </c>
      <c r="BL201" s="43" t="s">
        <v>85</v>
      </c>
      <c r="BM201" s="43" t="s">
        <v>85</v>
      </c>
      <c r="BN201" s="43" t="s">
        <v>139</v>
      </c>
      <c r="BO201" s="46">
        <v>2.14</v>
      </c>
      <c r="BP201" s="43" t="s">
        <v>7032</v>
      </c>
      <c r="BQ201" s="43">
        <v>2.14</v>
      </c>
      <c r="BR201" s="43" t="s">
        <v>7032</v>
      </c>
      <c r="BS201" s="47">
        <v>2.14</v>
      </c>
      <c r="BT201" s="43" t="s">
        <v>7032</v>
      </c>
      <c r="BU201" s="43" t="s">
        <v>7032</v>
      </c>
      <c r="BV201" s="43" t="str">
        <f>CambioPlan[[#This Row],[TELEFONO]]&amp;"UPSELLSI"</f>
        <v>998329604UPSELLSI</v>
      </c>
      <c r="BW201" s="43">
        <f>DAY(CambioPlan[[#This Row],[FECHA_CAMBIO_PLAN]])</f>
        <v>17</v>
      </c>
      <c r="BX201" s="43" t="str">
        <f>VLOOKUP(CambioPlan[[#This Row],[NOM_PLAZA]],[1]!Locales[#Data],3,0)</f>
        <v>TIENDA RECREO</v>
      </c>
      <c r="BY201" s="43" t="str">
        <f>VLOOKUP(CambioPlan[[#This Row],[DOMAIN_LOGIN_OW]],[1]!Personal[#Data],6,0)</f>
        <v>LOZADA REYES BERTHA MARIBEL</v>
      </c>
      <c r="BZ201" s="43"/>
      <c r="CA201" s="43" t="str">
        <f>IFERROR(IF(FIND("ADULTO",CambioPlan[[#This Row],[DESCRIPCION_PLAN_ACTUAL]],1),"NO SE PAGA",),"SI SE PAGA")</f>
        <v>SI SE PAGA</v>
      </c>
      <c r="CB201" s="45">
        <f>CambioPlan[[#This Row],[TARIFA_BASICA_ACTUAL]]-CambioPlan[[#This Row],[TARIFA_BASICA_ANTERIOR]]</f>
        <v>2.1400000000000041</v>
      </c>
      <c r="CC201" s="56">
        <f>CambioPlan[[#This Row],[DIF. TARIFAS]]*4</f>
        <v>8.5600000000000165</v>
      </c>
      <c r="CD201" s="53" t="str">
        <f>IF(CambioPlan[[#This Row],[C. COMISIÓN TME]]&lt;0,"DOWNSELL",IF(CambioPlan[[#This Row],[C. COMISIÓN TME]]=0,"MISMA TARIFA",IF(CambioPlan[[#This Row],[C. COMISIÓN TME]]&gt;0,"UPSELL")))</f>
        <v>UPSELL</v>
      </c>
      <c r="CE201">
        <f>VLOOKUP(CambioPlan[[#This Row],[TARIFA_BASICA_ANTERIOR]],[3]Hoja1!$F:$G,2,0)</f>
        <v>5</v>
      </c>
      <c r="CF201">
        <f>VLOOKUP(CambioPlan[[#This Row],[TARIFA_BASICA_ACTUAL]],[3]Hoja1!$B:$C,2,0)</f>
        <v>5</v>
      </c>
      <c r="CG201">
        <f t="shared" si="2"/>
        <v>0</v>
      </c>
      <c r="CH201" t="e">
        <f>VLOOKUP(CambioPlan[[#This Row],[TELEFONO]],[1]Retenciones!$R$63:$R$287,1,0)</f>
        <v>#N/A</v>
      </c>
    </row>
    <row r="202" spans="1:86" x14ac:dyDescent="0.25">
      <c r="A202" s="43">
        <v>202212</v>
      </c>
      <c r="B202" s="44">
        <v>44914</v>
      </c>
      <c r="C202" s="43" t="s">
        <v>7742</v>
      </c>
      <c r="D202" s="43" t="s">
        <v>7743</v>
      </c>
      <c r="E202" s="43" t="s">
        <v>95</v>
      </c>
      <c r="F202" s="43" t="s">
        <v>231</v>
      </c>
      <c r="G202" s="43" t="s">
        <v>231</v>
      </c>
      <c r="H202" s="43" t="s">
        <v>67</v>
      </c>
      <c r="I202" s="43" t="s">
        <v>7744</v>
      </c>
      <c r="J202" s="43" t="s">
        <v>7486</v>
      </c>
      <c r="K202" s="43" t="s">
        <v>84</v>
      </c>
      <c r="L202" s="43" t="s">
        <v>574</v>
      </c>
      <c r="M202" s="43" t="s">
        <v>575</v>
      </c>
      <c r="N202" s="43" t="s">
        <v>79</v>
      </c>
      <c r="O202" s="45">
        <v>17.850000000000001</v>
      </c>
      <c r="P202" s="43" t="s">
        <v>95</v>
      </c>
      <c r="Q202" s="43" t="s">
        <v>95</v>
      </c>
      <c r="R202" s="43" t="s">
        <v>95</v>
      </c>
      <c r="S202" s="45">
        <v>0</v>
      </c>
      <c r="T202" s="43" t="s">
        <v>95</v>
      </c>
      <c r="U202" s="44" t="s">
        <v>95</v>
      </c>
      <c r="V202" s="44" t="s">
        <v>95</v>
      </c>
      <c r="W202" s="43" t="s">
        <v>95</v>
      </c>
      <c r="X202" s="45">
        <v>17.850000000000001</v>
      </c>
      <c r="Y202" s="43" t="s">
        <v>81</v>
      </c>
      <c r="Z202" s="43" t="s">
        <v>7281</v>
      </c>
      <c r="AA202" s="43" t="s">
        <v>7282</v>
      </c>
      <c r="AB202" s="43" t="s">
        <v>79</v>
      </c>
      <c r="AC202" s="45">
        <v>17.03</v>
      </c>
      <c r="AD202" s="43" t="s">
        <v>95</v>
      </c>
      <c r="AE202" s="43" t="s">
        <v>95</v>
      </c>
      <c r="AF202" s="43" t="s">
        <v>95</v>
      </c>
      <c r="AG202" s="43" t="s">
        <v>95</v>
      </c>
      <c r="AH202" s="45">
        <v>0</v>
      </c>
      <c r="AI202" s="43" t="s">
        <v>95</v>
      </c>
      <c r="AJ202" s="43" t="s">
        <v>95</v>
      </c>
      <c r="AK202" s="43" t="s">
        <v>95</v>
      </c>
      <c r="AL202" s="43" t="s">
        <v>95</v>
      </c>
      <c r="AM202" s="45">
        <v>17.03</v>
      </c>
      <c r="AN202" s="43" t="s">
        <v>81</v>
      </c>
      <c r="AO202" s="44">
        <v>44901</v>
      </c>
      <c r="AP202" s="43" t="s">
        <v>740</v>
      </c>
      <c r="AQ202" s="43" t="s">
        <v>741</v>
      </c>
      <c r="AR202" s="43" t="s">
        <v>740</v>
      </c>
      <c r="AS202" s="43" t="s">
        <v>741</v>
      </c>
      <c r="AT202" s="43" t="s">
        <v>85</v>
      </c>
      <c r="AU202" s="43" t="s">
        <v>7030</v>
      </c>
      <c r="AV202" s="43" t="s">
        <v>7031</v>
      </c>
      <c r="AW202" s="43" t="s">
        <v>7031</v>
      </c>
      <c r="AX202" s="43" t="s">
        <v>90</v>
      </c>
      <c r="AY202" s="43" t="s">
        <v>132</v>
      </c>
      <c r="AZ202" s="43" t="s">
        <v>7037</v>
      </c>
      <c r="BA202" s="43" t="s">
        <v>139</v>
      </c>
      <c r="BB202" s="45">
        <v>0.82</v>
      </c>
      <c r="BC202" s="45">
        <v>0.82</v>
      </c>
      <c r="BD202" s="43" t="s">
        <v>7032</v>
      </c>
      <c r="BE202" s="43" t="s">
        <v>81</v>
      </c>
      <c r="BF202" s="43" t="s">
        <v>81</v>
      </c>
      <c r="BG202" s="43" t="s">
        <v>86</v>
      </c>
      <c r="BH202" s="43" t="s">
        <v>177</v>
      </c>
      <c r="BI202" s="43" t="s">
        <v>7038</v>
      </c>
      <c r="BJ202" s="43" t="s">
        <v>7030</v>
      </c>
      <c r="BK202" s="43" t="s">
        <v>139</v>
      </c>
      <c r="BL202" s="43" t="s">
        <v>85</v>
      </c>
      <c r="BM202" s="43" t="s">
        <v>85</v>
      </c>
      <c r="BN202" s="43" t="s">
        <v>139</v>
      </c>
      <c r="BO202" s="46">
        <v>0.82</v>
      </c>
      <c r="BP202" s="43" t="s">
        <v>7032</v>
      </c>
      <c r="BQ202" s="43">
        <v>0.82</v>
      </c>
      <c r="BR202" s="43" t="s">
        <v>7032</v>
      </c>
      <c r="BS202" s="47">
        <v>0.82</v>
      </c>
      <c r="BT202" s="43" t="s">
        <v>7032</v>
      </c>
      <c r="BU202" s="43" t="s">
        <v>7092</v>
      </c>
      <c r="BV202" s="43" t="str">
        <f>CambioPlan[[#This Row],[TELEFONO]]&amp;"UPSELLSI"</f>
        <v>998329730UPSELLSI</v>
      </c>
      <c r="BW202" s="43">
        <f>DAY(CambioPlan[[#This Row],[FECHA_CAMBIO_PLAN]])</f>
        <v>6</v>
      </c>
      <c r="BX202" s="43" t="str">
        <f>VLOOKUP(CambioPlan[[#This Row],[NOM_PLAZA]],[1]!Locales[#Data],3,0)</f>
        <v>TIENDA RECREO</v>
      </c>
      <c r="BY202" s="43" t="str">
        <f>VLOOKUP(CambioPlan[[#This Row],[DOMAIN_LOGIN_OW]],[1]!Personal[#Data],6,0)</f>
        <v>CHAVEZ VASQUEZ YESSENIA KATHERINE</v>
      </c>
      <c r="BZ202" s="43"/>
      <c r="CA202" s="43" t="str">
        <f>IFERROR(IF(FIND("ADULTO",CambioPlan[[#This Row],[DESCRIPCION_PLAN_ACTUAL]],1),"NO SE PAGA",),"SI SE PAGA")</f>
        <v>SI SE PAGA</v>
      </c>
      <c r="CB202" s="45">
        <f>CambioPlan[[#This Row],[TARIFA_BASICA_ACTUAL]]-CambioPlan[[#This Row],[TARIFA_BASICA_ANTERIOR]]</f>
        <v>0.82000000000000028</v>
      </c>
      <c r="CC202" s="56">
        <f>CambioPlan[[#This Row],[DIF. TARIFAS]]*4</f>
        <v>3.2800000000000011</v>
      </c>
      <c r="CD202" s="53" t="str">
        <f>IF(CambioPlan[[#This Row],[C. COMISIÓN TME]]&lt;0,"DOWNSELL",IF(CambioPlan[[#This Row],[C. COMISIÓN TME]]=0,"MISMA TARIFA",IF(CambioPlan[[#This Row],[C. COMISIÓN TME]]&gt;0,"UPSELL")))</f>
        <v>UPSELL</v>
      </c>
      <c r="CE202">
        <f>VLOOKUP(CambioPlan[[#This Row],[TARIFA_BASICA_ANTERIOR]],[3]Hoja1!$F:$G,2,0)</f>
        <v>2</v>
      </c>
      <c r="CF202">
        <f>VLOOKUP(CambioPlan[[#This Row],[TARIFA_BASICA_ACTUAL]],[3]Hoja1!$B:$C,2,0)</f>
        <v>2</v>
      </c>
      <c r="CG202">
        <f t="shared" si="2"/>
        <v>0</v>
      </c>
      <c r="CH202" t="e">
        <f>VLOOKUP(CambioPlan[[#This Row],[TELEFONO]],[1]Retenciones!$R$63:$R$287,1,0)</f>
        <v>#N/A</v>
      </c>
    </row>
    <row r="203" spans="1:86" x14ac:dyDescent="0.25">
      <c r="A203" s="43">
        <v>202212</v>
      </c>
      <c r="B203" s="44">
        <v>44914</v>
      </c>
      <c r="C203" s="43" t="s">
        <v>7745</v>
      </c>
      <c r="D203" s="43" t="s">
        <v>7746</v>
      </c>
      <c r="E203" s="43" t="s">
        <v>95</v>
      </c>
      <c r="F203" s="43" t="s">
        <v>77</v>
      </c>
      <c r="G203" s="43" t="s">
        <v>164</v>
      </c>
      <c r="H203" s="43" t="s">
        <v>67</v>
      </c>
      <c r="I203" s="43" t="s">
        <v>7747</v>
      </c>
      <c r="J203" s="43" t="s">
        <v>7029</v>
      </c>
      <c r="K203" s="43" t="s">
        <v>118</v>
      </c>
      <c r="L203" s="43" t="s">
        <v>112</v>
      </c>
      <c r="M203" s="43" t="s">
        <v>781</v>
      </c>
      <c r="N203" s="43" t="s">
        <v>79</v>
      </c>
      <c r="O203" s="45">
        <v>17.850000000000001</v>
      </c>
      <c r="P203" s="43" t="s">
        <v>95</v>
      </c>
      <c r="Q203" s="43" t="s">
        <v>95</v>
      </c>
      <c r="R203" s="43" t="s">
        <v>95</v>
      </c>
      <c r="S203" s="45">
        <v>0</v>
      </c>
      <c r="T203" s="43" t="s">
        <v>95</v>
      </c>
      <c r="U203" s="44" t="s">
        <v>95</v>
      </c>
      <c r="V203" s="44" t="s">
        <v>95</v>
      </c>
      <c r="W203" s="43" t="s">
        <v>95</v>
      </c>
      <c r="X203" s="45">
        <v>17.850000000000001</v>
      </c>
      <c r="Y203" s="43" t="s">
        <v>81</v>
      </c>
      <c r="Z203" s="43" t="s">
        <v>71</v>
      </c>
      <c r="AA203" s="43" t="s">
        <v>258</v>
      </c>
      <c r="AB203" s="43" t="s">
        <v>79</v>
      </c>
      <c r="AC203" s="45">
        <v>11.42</v>
      </c>
      <c r="AD203" s="43" t="s">
        <v>95</v>
      </c>
      <c r="AE203" s="43" t="s">
        <v>95</v>
      </c>
      <c r="AF203" s="43" t="s">
        <v>95</v>
      </c>
      <c r="AG203" s="43" t="s">
        <v>95</v>
      </c>
      <c r="AH203" s="45">
        <v>0</v>
      </c>
      <c r="AI203" s="43" t="s">
        <v>95</v>
      </c>
      <c r="AJ203" s="43" t="s">
        <v>95</v>
      </c>
      <c r="AK203" s="43" t="s">
        <v>95</v>
      </c>
      <c r="AL203" s="43" t="s">
        <v>95</v>
      </c>
      <c r="AM203" s="45">
        <v>11.42</v>
      </c>
      <c r="AN203" s="43" t="s">
        <v>81</v>
      </c>
      <c r="AO203" s="44">
        <v>44897</v>
      </c>
      <c r="AP203" s="43" t="s">
        <v>120</v>
      </c>
      <c r="AQ203" s="43" t="s">
        <v>121</v>
      </c>
      <c r="AR203" s="43" t="s">
        <v>120</v>
      </c>
      <c r="AS203" s="43" t="s">
        <v>121</v>
      </c>
      <c r="AT203" s="43" t="s">
        <v>85</v>
      </c>
      <c r="AU203" s="43" t="s">
        <v>7030</v>
      </c>
      <c r="AV203" s="43" t="s">
        <v>7031</v>
      </c>
      <c r="AW203" s="43" t="s">
        <v>7031</v>
      </c>
      <c r="AX203" s="43" t="s">
        <v>90</v>
      </c>
      <c r="AY203" s="43" t="s">
        <v>114</v>
      </c>
      <c r="AZ203" s="43" t="s">
        <v>7047</v>
      </c>
      <c r="BA203" s="43" t="s">
        <v>92</v>
      </c>
      <c r="BB203" s="45">
        <v>6.43</v>
      </c>
      <c r="BC203" s="45">
        <v>6.43</v>
      </c>
      <c r="BD203" s="43" t="s">
        <v>7032</v>
      </c>
      <c r="BE203" s="43" t="s">
        <v>81</v>
      </c>
      <c r="BF203" s="43" t="s">
        <v>81</v>
      </c>
      <c r="BG203" s="43" t="s">
        <v>86</v>
      </c>
      <c r="BH203" s="43" t="s">
        <v>122</v>
      </c>
      <c r="BI203" s="43" t="s">
        <v>7048</v>
      </c>
      <c r="BJ203" s="43" t="s">
        <v>7030</v>
      </c>
      <c r="BK203" s="43" t="s">
        <v>92</v>
      </c>
      <c r="BL203" s="43" t="s">
        <v>85</v>
      </c>
      <c r="BM203" s="43" t="s">
        <v>85</v>
      </c>
      <c r="BN203" s="43" t="s">
        <v>92</v>
      </c>
      <c r="BO203" s="46">
        <v>6.43</v>
      </c>
      <c r="BP203" s="43" t="s">
        <v>7032</v>
      </c>
      <c r="BQ203" s="43">
        <v>6.43</v>
      </c>
      <c r="BR203" s="43" t="s">
        <v>7032</v>
      </c>
      <c r="BS203" s="47">
        <v>6.43</v>
      </c>
      <c r="BT203" s="43" t="s">
        <v>7032</v>
      </c>
      <c r="BU203" s="43" t="s">
        <v>7032</v>
      </c>
      <c r="BV203" s="43" t="str">
        <f>CambioPlan[[#This Row],[TELEFONO]]&amp;"UPSELLSI"</f>
        <v>998331011UPSELLSI</v>
      </c>
      <c r="BW203" s="43">
        <f>DAY(CambioPlan[[#This Row],[FECHA_CAMBIO_PLAN]])</f>
        <v>2</v>
      </c>
      <c r="BX203" s="43" t="str">
        <f>VLOOKUP(CambioPlan[[#This Row],[NOM_PLAZA]],[1]!Locales[#Data],3,0)</f>
        <v>TIENDA MACHALA</v>
      </c>
      <c r="BY203" s="43" t="str">
        <f>VLOOKUP(CambioPlan[[#This Row],[DOMAIN_LOGIN_OW]],[1]!Personal[#Data],6,0)</f>
        <v>ARROBO VICENTE YADIRA ESPERANZA</v>
      </c>
      <c r="BZ203" s="43"/>
      <c r="CA203" s="43" t="str">
        <f>IFERROR(IF(FIND("ADULTO",CambioPlan[[#This Row],[DESCRIPCION_PLAN_ACTUAL]],1),"NO SE PAGA",),"SI SE PAGA")</f>
        <v>SI SE PAGA</v>
      </c>
      <c r="CB203" s="45">
        <f>CambioPlan[[#This Row],[TARIFA_BASICA_ACTUAL]]-CambioPlan[[#This Row],[TARIFA_BASICA_ANTERIOR]]</f>
        <v>6.4300000000000015</v>
      </c>
      <c r="CC203" s="56">
        <f>CambioPlan[[#This Row],[DIF. TARIFAS]]*4</f>
        <v>25.720000000000006</v>
      </c>
      <c r="CD203" s="53" t="str">
        <f>IF(CambioPlan[[#This Row],[C. COMISIÓN TME]]&lt;0,"DOWNSELL",IF(CambioPlan[[#This Row],[C. COMISIÓN TME]]=0,"MISMA TARIFA",IF(CambioPlan[[#This Row],[C. COMISIÓN TME]]&gt;0,"UPSELL")))</f>
        <v>UPSELL</v>
      </c>
      <c r="CE203">
        <f>VLOOKUP(CambioPlan[[#This Row],[TARIFA_BASICA_ANTERIOR]],[3]Hoja1!$F:$G,2,0)</f>
        <v>0</v>
      </c>
      <c r="CF203">
        <f>VLOOKUP(CambioPlan[[#This Row],[TARIFA_BASICA_ACTUAL]],[3]Hoja1!$B:$C,2,0)</f>
        <v>2</v>
      </c>
      <c r="CG203">
        <f t="shared" si="2"/>
        <v>2</v>
      </c>
      <c r="CH203" t="e">
        <f>VLOOKUP(CambioPlan[[#This Row],[TELEFONO]],[1]Retenciones!$R$63:$R$287,1,0)</f>
        <v>#N/A</v>
      </c>
    </row>
    <row r="204" spans="1:86" x14ac:dyDescent="0.25">
      <c r="A204" s="43">
        <v>202212</v>
      </c>
      <c r="B204" s="44">
        <v>44914</v>
      </c>
      <c r="C204" s="43" t="s">
        <v>7748</v>
      </c>
      <c r="D204" s="43" t="s">
        <v>7749</v>
      </c>
      <c r="E204" s="43" t="s">
        <v>95</v>
      </c>
      <c r="F204" s="43" t="s">
        <v>77</v>
      </c>
      <c r="G204" s="43" t="s">
        <v>1532</v>
      </c>
      <c r="H204" s="43" t="s">
        <v>67</v>
      </c>
      <c r="I204" s="43" t="s">
        <v>7750</v>
      </c>
      <c r="J204" s="43" t="s">
        <v>7037</v>
      </c>
      <c r="K204" s="43" t="s">
        <v>118</v>
      </c>
      <c r="L204" s="43" t="s">
        <v>359</v>
      </c>
      <c r="M204" s="43" t="s">
        <v>360</v>
      </c>
      <c r="N204" s="43" t="s">
        <v>79</v>
      </c>
      <c r="O204" s="45">
        <v>14.28</v>
      </c>
      <c r="P204" s="43" t="s">
        <v>95</v>
      </c>
      <c r="Q204" s="43" t="s">
        <v>95</v>
      </c>
      <c r="R204" s="43" t="s">
        <v>95</v>
      </c>
      <c r="S204" s="45">
        <v>0</v>
      </c>
      <c r="T204" s="43" t="s">
        <v>95</v>
      </c>
      <c r="U204" s="44" t="s">
        <v>95</v>
      </c>
      <c r="V204" s="44" t="s">
        <v>95</v>
      </c>
      <c r="W204" s="43" t="s">
        <v>95</v>
      </c>
      <c r="X204" s="45">
        <v>14.28</v>
      </c>
      <c r="Y204" s="43" t="s">
        <v>81</v>
      </c>
      <c r="Z204" s="43" t="s">
        <v>7147</v>
      </c>
      <c r="AA204" s="43" t="s">
        <v>7148</v>
      </c>
      <c r="AB204" s="43" t="s">
        <v>79</v>
      </c>
      <c r="AC204" s="45">
        <v>13.79</v>
      </c>
      <c r="AD204" s="43" t="s">
        <v>95</v>
      </c>
      <c r="AE204" s="43" t="s">
        <v>95</v>
      </c>
      <c r="AF204" s="43" t="s">
        <v>95</v>
      </c>
      <c r="AG204" s="43" t="s">
        <v>95</v>
      </c>
      <c r="AH204" s="45">
        <v>0</v>
      </c>
      <c r="AI204" s="43" t="s">
        <v>95</v>
      </c>
      <c r="AJ204" s="43" t="s">
        <v>95</v>
      </c>
      <c r="AK204" s="43" t="s">
        <v>95</v>
      </c>
      <c r="AL204" s="43" t="s">
        <v>95</v>
      </c>
      <c r="AM204" s="45">
        <v>13.79</v>
      </c>
      <c r="AN204" s="43" t="s">
        <v>81</v>
      </c>
      <c r="AO204" s="44">
        <v>44912</v>
      </c>
      <c r="AP204" s="43" t="s">
        <v>396</v>
      </c>
      <c r="AQ204" s="43" t="s">
        <v>397</v>
      </c>
      <c r="AR204" s="43" t="s">
        <v>396</v>
      </c>
      <c r="AS204" s="43" t="s">
        <v>397</v>
      </c>
      <c r="AT204" s="43" t="s">
        <v>85</v>
      </c>
      <c r="AU204" s="43" t="s">
        <v>7030</v>
      </c>
      <c r="AV204" s="43" t="s">
        <v>7031</v>
      </c>
      <c r="AW204" s="43" t="s">
        <v>7031</v>
      </c>
      <c r="AX204" s="43" t="s">
        <v>90</v>
      </c>
      <c r="AY204" s="43" t="s">
        <v>132</v>
      </c>
      <c r="AZ204" s="43" t="s">
        <v>7037</v>
      </c>
      <c r="BA204" s="43" t="s">
        <v>139</v>
      </c>
      <c r="BB204" s="45">
        <v>0.49</v>
      </c>
      <c r="BC204" s="45">
        <v>0.49</v>
      </c>
      <c r="BD204" s="43" t="s">
        <v>7032</v>
      </c>
      <c r="BE204" s="43" t="s">
        <v>81</v>
      </c>
      <c r="BF204" s="43" t="s">
        <v>81</v>
      </c>
      <c r="BG204" s="43" t="s">
        <v>86</v>
      </c>
      <c r="BH204" s="43" t="s">
        <v>177</v>
      </c>
      <c r="BI204" s="43" t="s">
        <v>7038</v>
      </c>
      <c r="BJ204" s="43" t="s">
        <v>7030</v>
      </c>
      <c r="BK204" s="43" t="s">
        <v>139</v>
      </c>
      <c r="BL204" s="43" t="s">
        <v>85</v>
      </c>
      <c r="BM204" s="43" t="s">
        <v>85</v>
      </c>
      <c r="BN204" s="43" t="s">
        <v>139</v>
      </c>
      <c r="BO204" s="46">
        <v>0.49</v>
      </c>
      <c r="BP204" s="43" t="s">
        <v>7032</v>
      </c>
      <c r="BQ204" s="43">
        <v>0.49</v>
      </c>
      <c r="BR204" s="43" t="s">
        <v>7032</v>
      </c>
      <c r="BS204" s="47">
        <v>0.49</v>
      </c>
      <c r="BT204" s="43" t="s">
        <v>7032</v>
      </c>
      <c r="BU204" s="43" t="s">
        <v>7092</v>
      </c>
      <c r="BV204" s="43" t="str">
        <f>CambioPlan[[#This Row],[TELEFONO]]&amp;"UPSELLSI"</f>
        <v>998335509UPSELLSI</v>
      </c>
      <c r="BW204" s="43">
        <f>DAY(CambioPlan[[#This Row],[FECHA_CAMBIO_PLAN]])</f>
        <v>17</v>
      </c>
      <c r="BX204" s="43" t="str">
        <f>VLOOKUP(CambioPlan[[#This Row],[NOM_PLAZA]],[1]!Locales[#Data],3,0)</f>
        <v>TIENDA RECREO</v>
      </c>
      <c r="BY204" s="43" t="str">
        <f>VLOOKUP(CambioPlan[[#This Row],[DOMAIN_LOGIN_OW]],[1]!Personal[#Data],6,0)</f>
        <v>VINUEZA VELASCO ANGY DAYANA</v>
      </c>
      <c r="BZ204" s="43"/>
      <c r="CA204" s="43" t="str">
        <f>IFERROR(IF(FIND("ADULTO",CambioPlan[[#This Row],[DESCRIPCION_PLAN_ACTUAL]],1),"NO SE PAGA",),"SI SE PAGA")</f>
        <v>SI SE PAGA</v>
      </c>
      <c r="CB204" s="45">
        <f>CambioPlan[[#This Row],[TARIFA_BASICA_ACTUAL]]-CambioPlan[[#This Row],[TARIFA_BASICA_ANTERIOR]]</f>
        <v>0.49000000000000021</v>
      </c>
      <c r="CC204" s="56">
        <f>CambioPlan[[#This Row],[DIF. TARIFAS]]*4</f>
        <v>1.9600000000000009</v>
      </c>
      <c r="CD204" s="53" t="str">
        <f>IF(CambioPlan[[#This Row],[C. COMISIÓN TME]]&lt;0,"DOWNSELL",IF(CambioPlan[[#This Row],[C. COMISIÓN TME]]=0,"MISMA TARIFA",IF(CambioPlan[[#This Row],[C. COMISIÓN TME]]&gt;0,"UPSELL")))</f>
        <v>UPSELL</v>
      </c>
      <c r="CE204">
        <f>VLOOKUP(CambioPlan[[#This Row],[TARIFA_BASICA_ANTERIOR]],[3]Hoja1!$F:$G,2,0)</f>
        <v>1</v>
      </c>
      <c r="CF204">
        <f>VLOOKUP(CambioPlan[[#This Row],[TARIFA_BASICA_ACTUAL]],[3]Hoja1!$B:$C,2,0)</f>
        <v>1</v>
      </c>
      <c r="CG204">
        <f t="shared" si="2"/>
        <v>0</v>
      </c>
      <c r="CH204" t="e">
        <f>VLOOKUP(CambioPlan[[#This Row],[TELEFONO]],[1]Retenciones!$R$63:$R$287,1,0)</f>
        <v>#N/A</v>
      </c>
    </row>
    <row r="205" spans="1:86" x14ac:dyDescent="0.25">
      <c r="A205" s="43">
        <v>202212</v>
      </c>
      <c r="B205" s="44">
        <v>44914</v>
      </c>
      <c r="C205" s="43" t="s">
        <v>7751</v>
      </c>
      <c r="D205" s="43" t="s">
        <v>7752</v>
      </c>
      <c r="E205" s="43" t="s">
        <v>95</v>
      </c>
      <c r="F205" s="43" t="s">
        <v>231</v>
      </c>
      <c r="G205" s="43" t="s">
        <v>231</v>
      </c>
      <c r="H205" s="43" t="s">
        <v>67</v>
      </c>
      <c r="I205" s="43" t="s">
        <v>7664</v>
      </c>
      <c r="J205" s="43" t="s">
        <v>7037</v>
      </c>
      <c r="K205" s="43" t="s">
        <v>118</v>
      </c>
      <c r="L205" s="43" t="s">
        <v>7055</v>
      </c>
      <c r="M205" s="43" t="s">
        <v>7056</v>
      </c>
      <c r="N205" s="43" t="s">
        <v>79</v>
      </c>
      <c r="O205" s="45">
        <v>15</v>
      </c>
      <c r="P205" s="43" t="s">
        <v>95</v>
      </c>
      <c r="Q205" s="43" t="s">
        <v>95</v>
      </c>
      <c r="R205" s="43" t="s">
        <v>95</v>
      </c>
      <c r="S205" s="45">
        <v>0</v>
      </c>
      <c r="T205" s="43" t="s">
        <v>95</v>
      </c>
      <c r="U205" s="44" t="s">
        <v>95</v>
      </c>
      <c r="V205" s="44" t="s">
        <v>95</v>
      </c>
      <c r="W205" s="43" t="s">
        <v>95</v>
      </c>
      <c r="X205" s="45">
        <v>15</v>
      </c>
      <c r="Y205" s="43" t="s">
        <v>81</v>
      </c>
      <c r="Z205" s="43" t="s">
        <v>7454</v>
      </c>
      <c r="AA205" s="43" t="s">
        <v>7511</v>
      </c>
      <c r="AB205" s="43" t="s">
        <v>79</v>
      </c>
      <c r="AC205" s="45">
        <v>20</v>
      </c>
      <c r="AD205" s="43" t="s">
        <v>95</v>
      </c>
      <c r="AE205" s="43" t="s">
        <v>95</v>
      </c>
      <c r="AF205" s="43" t="s">
        <v>95</v>
      </c>
      <c r="AG205" s="43" t="s">
        <v>95</v>
      </c>
      <c r="AH205" s="45">
        <v>0</v>
      </c>
      <c r="AI205" s="43" t="s">
        <v>95</v>
      </c>
      <c r="AJ205" s="43" t="s">
        <v>95</v>
      </c>
      <c r="AK205" s="43" t="s">
        <v>95</v>
      </c>
      <c r="AL205" s="43" t="s">
        <v>95</v>
      </c>
      <c r="AM205" s="45">
        <v>20</v>
      </c>
      <c r="AN205" s="43" t="s">
        <v>81</v>
      </c>
      <c r="AO205" s="44">
        <v>44903</v>
      </c>
      <c r="AP205" s="43" t="s">
        <v>262</v>
      </c>
      <c r="AQ205" s="43" t="s">
        <v>263</v>
      </c>
      <c r="AR205" s="43" t="s">
        <v>262</v>
      </c>
      <c r="AS205" s="43" t="s">
        <v>263</v>
      </c>
      <c r="AT205" s="43" t="s">
        <v>85</v>
      </c>
      <c r="AU205" s="43" t="s">
        <v>7030</v>
      </c>
      <c r="AV205" s="43" t="s">
        <v>7031</v>
      </c>
      <c r="AW205" s="43" t="s">
        <v>7031</v>
      </c>
      <c r="AX205" s="43" t="s">
        <v>90</v>
      </c>
      <c r="AY205" s="43" t="s">
        <v>132</v>
      </c>
      <c r="AZ205" s="43" t="s">
        <v>7037</v>
      </c>
      <c r="BA205" s="43" t="s">
        <v>139</v>
      </c>
      <c r="BB205" s="45">
        <v>-5</v>
      </c>
      <c r="BC205" s="45">
        <v>-5</v>
      </c>
      <c r="BD205" s="43" t="s">
        <v>7106</v>
      </c>
      <c r="BE205" s="43" t="s">
        <v>81</v>
      </c>
      <c r="BF205" s="43" t="s">
        <v>81</v>
      </c>
      <c r="BG205" s="43" t="s">
        <v>86</v>
      </c>
      <c r="BH205" s="43" t="s">
        <v>177</v>
      </c>
      <c r="BI205" s="43" t="s">
        <v>7038</v>
      </c>
      <c r="BJ205" s="43" t="s">
        <v>7030</v>
      </c>
      <c r="BK205" s="43" t="s">
        <v>139</v>
      </c>
      <c r="BL205" s="43" t="s">
        <v>85</v>
      </c>
      <c r="BM205" s="43" t="s">
        <v>85</v>
      </c>
      <c r="BN205" s="43" t="s">
        <v>139</v>
      </c>
      <c r="BO205" s="46">
        <v>-5</v>
      </c>
      <c r="BP205" s="43" t="s">
        <v>7106</v>
      </c>
      <c r="BQ205" s="43">
        <v>-5</v>
      </c>
      <c r="BR205" s="43" t="s">
        <v>7106</v>
      </c>
      <c r="BS205" s="47">
        <v>-5</v>
      </c>
      <c r="BT205" s="43" t="s">
        <v>7106</v>
      </c>
      <c r="BU205" s="43" t="s">
        <v>7106</v>
      </c>
      <c r="BV205" s="43" t="str">
        <f>CambioPlan[[#This Row],[TELEFONO]]&amp;"UPSELLSI"</f>
        <v>998340817UPSELLSI</v>
      </c>
      <c r="BW205" s="43">
        <f>DAY(CambioPlan[[#This Row],[FECHA_CAMBIO_PLAN]])</f>
        <v>8</v>
      </c>
      <c r="BX205" s="43" t="str">
        <f>VLOOKUP(CambioPlan[[#This Row],[NOM_PLAZA]],[1]!Locales[#Data],3,0)</f>
        <v>TIENDA RECREO</v>
      </c>
      <c r="BY205" s="43" t="str">
        <f>VLOOKUP(CambioPlan[[#This Row],[DOMAIN_LOGIN_OW]],[1]!Personal[#Data],6,0)</f>
        <v>CHICAIZA TOAPANTA ALEX DANILO</v>
      </c>
      <c r="BZ205" s="43"/>
      <c r="CA205" s="43" t="str">
        <f>IFERROR(IF(FIND("ADULTO",CambioPlan[[#This Row],[DESCRIPCION_PLAN_ACTUAL]],1),"NO SE PAGA",),"SI SE PAGA")</f>
        <v>SI SE PAGA</v>
      </c>
      <c r="CB205" s="45">
        <f>CambioPlan[[#This Row],[TARIFA_BASICA_ACTUAL]]-CambioPlan[[#This Row],[TARIFA_BASICA_ANTERIOR]]</f>
        <v>-5</v>
      </c>
      <c r="CC205" s="56">
        <f>CambioPlan[[#This Row],[DIF. TARIFAS]]*4</f>
        <v>-20</v>
      </c>
      <c r="CD205" s="53" t="str">
        <f>IF(CambioPlan[[#This Row],[C. COMISIÓN TME]]&lt;0,"DOWNSELL",IF(CambioPlan[[#This Row],[C. COMISIÓN TME]]=0,"MISMA TARIFA",IF(CambioPlan[[#This Row],[C. COMISIÓN TME]]&gt;0,"UPSELL")))</f>
        <v>DOWNSELL</v>
      </c>
      <c r="CE205">
        <f>VLOOKUP(CambioPlan[[#This Row],[TARIFA_BASICA_ANTERIOR]],[3]Hoja1!$F:$G,2,0)</f>
        <v>3</v>
      </c>
      <c r="CF205">
        <f>VLOOKUP(CambioPlan[[#This Row],[TARIFA_BASICA_ACTUAL]],[3]Hoja1!$B:$C,2,0)</f>
        <v>2</v>
      </c>
      <c r="CG205">
        <f t="shared" si="2"/>
        <v>-1</v>
      </c>
      <c r="CH205" t="str">
        <f>VLOOKUP(CambioPlan[[#This Row],[TELEFONO]],[1]Retenciones!$R$63:$R$287,1,0)</f>
        <v>998340817</v>
      </c>
    </row>
    <row r="206" spans="1:86" x14ac:dyDescent="0.25">
      <c r="A206" s="43">
        <v>202212</v>
      </c>
      <c r="B206" s="44">
        <v>44914</v>
      </c>
      <c r="C206" s="43" t="s">
        <v>7753</v>
      </c>
      <c r="D206" s="43" t="s">
        <v>7754</v>
      </c>
      <c r="E206" s="43" t="s">
        <v>95</v>
      </c>
      <c r="F206" s="43" t="s">
        <v>311</v>
      </c>
      <c r="G206" s="43" t="s">
        <v>311</v>
      </c>
      <c r="H206" s="43" t="s">
        <v>67</v>
      </c>
      <c r="I206" s="43" t="s">
        <v>7755</v>
      </c>
      <c r="J206" s="43" t="s">
        <v>7037</v>
      </c>
      <c r="K206" s="43" t="s">
        <v>215</v>
      </c>
      <c r="L206" s="43" t="s">
        <v>3972</v>
      </c>
      <c r="M206" s="43" t="s">
        <v>3973</v>
      </c>
      <c r="N206" s="43" t="s">
        <v>79</v>
      </c>
      <c r="O206" s="45">
        <v>26.78</v>
      </c>
      <c r="P206" s="43" t="s">
        <v>95</v>
      </c>
      <c r="Q206" s="43" t="s">
        <v>95</v>
      </c>
      <c r="R206" s="43" t="s">
        <v>95</v>
      </c>
      <c r="S206" s="45">
        <v>0</v>
      </c>
      <c r="T206" s="43" t="s">
        <v>95</v>
      </c>
      <c r="U206" s="44" t="s">
        <v>95</v>
      </c>
      <c r="V206" s="44" t="s">
        <v>95</v>
      </c>
      <c r="W206" s="43" t="s">
        <v>95</v>
      </c>
      <c r="X206" s="45">
        <v>26.78</v>
      </c>
      <c r="Y206" s="43" t="s">
        <v>81</v>
      </c>
      <c r="Z206" s="43" t="s">
        <v>7213</v>
      </c>
      <c r="AA206" s="43" t="s">
        <v>7214</v>
      </c>
      <c r="AB206" s="43" t="s">
        <v>79</v>
      </c>
      <c r="AC206" s="45">
        <v>24.99</v>
      </c>
      <c r="AD206" s="43" t="s">
        <v>95</v>
      </c>
      <c r="AE206" s="43" t="s">
        <v>95</v>
      </c>
      <c r="AF206" s="43" t="s">
        <v>95</v>
      </c>
      <c r="AG206" s="43" t="s">
        <v>95</v>
      </c>
      <c r="AH206" s="45">
        <v>0</v>
      </c>
      <c r="AI206" s="43" t="s">
        <v>95</v>
      </c>
      <c r="AJ206" s="43" t="s">
        <v>95</v>
      </c>
      <c r="AK206" s="43" t="s">
        <v>95</v>
      </c>
      <c r="AL206" s="43" t="s">
        <v>95</v>
      </c>
      <c r="AM206" s="45">
        <v>24.99</v>
      </c>
      <c r="AN206" s="43" t="s">
        <v>81</v>
      </c>
      <c r="AO206" s="44">
        <v>44902</v>
      </c>
      <c r="AP206" s="43" t="s">
        <v>1545</v>
      </c>
      <c r="AQ206" s="43" t="s">
        <v>1546</v>
      </c>
      <c r="AR206" s="43" t="s">
        <v>7062</v>
      </c>
      <c r="AS206" s="43" t="s">
        <v>95</v>
      </c>
      <c r="AT206" s="43" t="s">
        <v>85</v>
      </c>
      <c r="AU206" s="43" t="s">
        <v>7030</v>
      </c>
      <c r="AV206" s="43" t="s">
        <v>7031</v>
      </c>
      <c r="AW206" s="43" t="s">
        <v>7031</v>
      </c>
      <c r="AX206" s="43" t="s">
        <v>90</v>
      </c>
      <c r="AY206" s="43" t="s">
        <v>132</v>
      </c>
      <c r="AZ206" s="43" t="s">
        <v>7037</v>
      </c>
      <c r="BA206" s="43" t="s">
        <v>139</v>
      </c>
      <c r="BB206" s="45">
        <v>1.79</v>
      </c>
      <c r="BC206" s="45">
        <v>1.79</v>
      </c>
      <c r="BD206" s="43" t="s">
        <v>7032</v>
      </c>
      <c r="BE206" s="43" t="s">
        <v>81</v>
      </c>
      <c r="BF206" s="43" t="s">
        <v>81</v>
      </c>
      <c r="BG206" s="43" t="s">
        <v>86</v>
      </c>
      <c r="BH206" s="43" t="s">
        <v>138</v>
      </c>
      <c r="BI206" s="43" t="s">
        <v>7076</v>
      </c>
      <c r="BJ206" s="43" t="s">
        <v>7030</v>
      </c>
      <c r="BK206" s="43" t="s">
        <v>139</v>
      </c>
      <c r="BL206" s="43" t="s">
        <v>85</v>
      </c>
      <c r="BM206" s="43" t="s">
        <v>85</v>
      </c>
      <c r="BN206" s="43" t="s">
        <v>139</v>
      </c>
      <c r="BO206" s="46">
        <v>1.79</v>
      </c>
      <c r="BP206" s="43" t="s">
        <v>7032</v>
      </c>
      <c r="BQ206" s="43">
        <v>1.79</v>
      </c>
      <c r="BR206" s="43" t="s">
        <v>7032</v>
      </c>
      <c r="BS206" s="47">
        <v>1.79</v>
      </c>
      <c r="BT206" s="43" t="s">
        <v>7032</v>
      </c>
      <c r="BU206" s="43" t="s">
        <v>7032</v>
      </c>
      <c r="BV206" s="43" t="str">
        <f>CambioPlan[[#This Row],[TELEFONO]]&amp;"UPSELLSI"</f>
        <v>998389490UPSELLSI</v>
      </c>
      <c r="BW206" s="43">
        <f>DAY(CambioPlan[[#This Row],[FECHA_CAMBIO_PLAN]])</f>
        <v>7</v>
      </c>
      <c r="BX206" s="43" t="str">
        <f>VLOOKUP(CambioPlan[[#This Row],[NOM_PLAZA]],[1]!Locales[#Data],3,0)</f>
        <v>TIENDA AMERICA</v>
      </c>
      <c r="BY206" s="43" t="str">
        <f>VLOOKUP(CambioPlan[[#This Row],[DOMAIN_LOGIN_OW]],[1]!Personal[#Data],6,0)</f>
        <v>GRANDA ESPINOZA ANDRES SEBASTIAN</v>
      </c>
      <c r="BZ206" s="43"/>
      <c r="CA206" s="43" t="str">
        <f>IFERROR(IF(FIND("ADULTO",CambioPlan[[#This Row],[DESCRIPCION_PLAN_ACTUAL]],1),"NO SE PAGA",),"SI SE PAGA")</f>
        <v>SI SE PAGA</v>
      </c>
      <c r="CB206" s="45">
        <f>CambioPlan[[#This Row],[TARIFA_BASICA_ACTUAL]]-CambioPlan[[#This Row],[TARIFA_BASICA_ANTERIOR]]</f>
        <v>1.7900000000000027</v>
      </c>
      <c r="CC206" s="56">
        <f>CambioPlan[[#This Row],[DIF. TARIFAS]]*4</f>
        <v>7.1600000000000108</v>
      </c>
      <c r="CD206" s="53" t="str">
        <f>IF(CambioPlan[[#This Row],[C. COMISIÓN TME]]&lt;0,"DOWNSELL",IF(CambioPlan[[#This Row],[C. COMISIÓN TME]]=0,"MISMA TARIFA",IF(CambioPlan[[#This Row],[C. COMISIÓN TME]]&gt;0,"UPSELL")))</f>
        <v>UPSELL</v>
      </c>
      <c r="CE206">
        <f>VLOOKUP(CambioPlan[[#This Row],[TARIFA_BASICA_ANTERIOR]],[3]Hoja1!$F:$G,2,0)</f>
        <v>4</v>
      </c>
      <c r="CF206">
        <f>VLOOKUP(CambioPlan[[#This Row],[TARIFA_BASICA_ACTUAL]],[3]Hoja1!$B:$C,2,0)</f>
        <v>4</v>
      </c>
      <c r="CG206">
        <f t="shared" si="2"/>
        <v>0</v>
      </c>
      <c r="CH206" t="e">
        <f>VLOOKUP(CambioPlan[[#This Row],[TELEFONO]],[1]Retenciones!$R$63:$R$287,1,0)</f>
        <v>#N/A</v>
      </c>
    </row>
    <row r="207" spans="1:86" x14ac:dyDescent="0.25">
      <c r="A207" s="43">
        <v>202212</v>
      </c>
      <c r="B207" s="44">
        <v>44914</v>
      </c>
      <c r="C207" s="43" t="s">
        <v>7756</v>
      </c>
      <c r="D207" s="43" t="s">
        <v>7757</v>
      </c>
      <c r="E207" s="43" t="s">
        <v>95</v>
      </c>
      <c r="F207" s="43" t="s">
        <v>77</v>
      </c>
      <c r="G207" s="43" t="s">
        <v>164</v>
      </c>
      <c r="H207" s="43" t="s">
        <v>67</v>
      </c>
      <c r="I207" s="43" t="s">
        <v>7758</v>
      </c>
      <c r="J207" s="43" t="s">
        <v>7029</v>
      </c>
      <c r="K207" s="43" t="s">
        <v>84</v>
      </c>
      <c r="L207" s="43" t="s">
        <v>71</v>
      </c>
      <c r="M207" s="43" t="s">
        <v>258</v>
      </c>
      <c r="N207" s="43" t="s">
        <v>79</v>
      </c>
      <c r="O207" s="45">
        <v>11.42</v>
      </c>
      <c r="P207" s="43" t="s">
        <v>95</v>
      </c>
      <c r="Q207" s="43" t="s">
        <v>95</v>
      </c>
      <c r="R207" s="43" t="s">
        <v>95</v>
      </c>
      <c r="S207" s="45">
        <v>0</v>
      </c>
      <c r="T207" s="43" t="s">
        <v>95</v>
      </c>
      <c r="U207" s="44" t="s">
        <v>95</v>
      </c>
      <c r="V207" s="44" t="s">
        <v>95</v>
      </c>
      <c r="W207" s="43" t="s">
        <v>95</v>
      </c>
      <c r="X207" s="45">
        <v>11.42</v>
      </c>
      <c r="Y207" s="43" t="s">
        <v>81</v>
      </c>
      <c r="Z207" s="43" t="s">
        <v>160</v>
      </c>
      <c r="AA207" s="43" t="s">
        <v>161</v>
      </c>
      <c r="AB207" s="43" t="s">
        <v>79</v>
      </c>
      <c r="AC207" s="45">
        <v>14.28</v>
      </c>
      <c r="AD207" s="43" t="s">
        <v>95</v>
      </c>
      <c r="AE207" s="43" t="s">
        <v>95</v>
      </c>
      <c r="AF207" s="43" t="s">
        <v>95</v>
      </c>
      <c r="AG207" s="43" t="s">
        <v>95</v>
      </c>
      <c r="AH207" s="45">
        <v>0</v>
      </c>
      <c r="AI207" s="43" t="s">
        <v>95</v>
      </c>
      <c r="AJ207" s="43" t="s">
        <v>95</v>
      </c>
      <c r="AK207" s="43" t="s">
        <v>95</v>
      </c>
      <c r="AL207" s="43" t="s">
        <v>95</v>
      </c>
      <c r="AM207" s="45">
        <v>14.28</v>
      </c>
      <c r="AN207" s="43" t="s">
        <v>81</v>
      </c>
      <c r="AO207" s="44">
        <v>44905</v>
      </c>
      <c r="AP207" s="43" t="s">
        <v>369</v>
      </c>
      <c r="AQ207" s="43" t="s">
        <v>370</v>
      </c>
      <c r="AR207" s="43" t="s">
        <v>369</v>
      </c>
      <c r="AS207" s="43" t="s">
        <v>370</v>
      </c>
      <c r="AT207" s="43" t="s">
        <v>85</v>
      </c>
      <c r="AU207" s="43" t="s">
        <v>7030</v>
      </c>
      <c r="AV207" s="43" t="s">
        <v>7031</v>
      </c>
      <c r="AW207" s="43" t="s">
        <v>7031</v>
      </c>
      <c r="AX207" s="43" t="s">
        <v>90</v>
      </c>
      <c r="AY207" s="43" t="s">
        <v>132</v>
      </c>
      <c r="AZ207" s="43" t="s">
        <v>7037</v>
      </c>
      <c r="BA207" s="43" t="s">
        <v>139</v>
      </c>
      <c r="BB207" s="45">
        <v>-2.86</v>
      </c>
      <c r="BC207" s="45">
        <v>-2.86</v>
      </c>
      <c r="BD207" s="43" t="s">
        <v>7106</v>
      </c>
      <c r="BE207" s="43" t="s">
        <v>81</v>
      </c>
      <c r="BF207" s="43" t="s">
        <v>81</v>
      </c>
      <c r="BG207" s="43" t="s">
        <v>86</v>
      </c>
      <c r="BH207" s="43" t="s">
        <v>177</v>
      </c>
      <c r="BI207" s="43" t="s">
        <v>7038</v>
      </c>
      <c r="BJ207" s="43" t="s">
        <v>7030</v>
      </c>
      <c r="BK207" s="43" t="s">
        <v>139</v>
      </c>
      <c r="BL207" s="43" t="s">
        <v>85</v>
      </c>
      <c r="BM207" s="43" t="s">
        <v>85</v>
      </c>
      <c r="BN207" s="43" t="s">
        <v>139</v>
      </c>
      <c r="BO207" s="46">
        <v>-2.86</v>
      </c>
      <c r="BP207" s="43" t="s">
        <v>7106</v>
      </c>
      <c r="BQ207" s="43">
        <v>-2.86</v>
      </c>
      <c r="BR207" s="43" t="s">
        <v>7106</v>
      </c>
      <c r="BS207" s="47">
        <v>-2.86</v>
      </c>
      <c r="BT207" s="43" t="s">
        <v>7106</v>
      </c>
      <c r="BU207" s="43" t="s">
        <v>7106</v>
      </c>
      <c r="BV207" s="43" t="str">
        <f>CambioPlan[[#This Row],[TELEFONO]]&amp;"UPSELLSI"</f>
        <v>998390333UPSELLSI</v>
      </c>
      <c r="BW207" s="43">
        <f>DAY(CambioPlan[[#This Row],[FECHA_CAMBIO_PLAN]])</f>
        <v>10</v>
      </c>
      <c r="BX207" s="43" t="str">
        <f>VLOOKUP(CambioPlan[[#This Row],[NOM_PLAZA]],[1]!Locales[#Data],3,0)</f>
        <v>TIENDA RECREO</v>
      </c>
      <c r="BY207" s="43" t="str">
        <f>VLOOKUP(CambioPlan[[#This Row],[DOMAIN_LOGIN_OW]],[1]!Personal[#Data],6,0)</f>
        <v>GUAIGUA REINOSO GENESIS CAROLINA</v>
      </c>
      <c r="BZ207" s="43"/>
      <c r="CA207" s="43" t="str">
        <f>IFERROR(IF(FIND("ADULTO",CambioPlan[[#This Row],[DESCRIPCION_PLAN_ACTUAL]],1),"NO SE PAGA",),"SI SE PAGA")</f>
        <v>SI SE PAGA</v>
      </c>
      <c r="CB207" s="45">
        <f>CambioPlan[[#This Row],[TARIFA_BASICA_ACTUAL]]-CambioPlan[[#This Row],[TARIFA_BASICA_ANTERIOR]]</f>
        <v>-2.8599999999999994</v>
      </c>
      <c r="CC207" s="56">
        <f>CambioPlan[[#This Row],[DIF. TARIFAS]]*4</f>
        <v>-11.439999999999998</v>
      </c>
      <c r="CD207" s="53" t="str">
        <f>IF(CambioPlan[[#This Row],[C. COMISIÓN TME]]&lt;0,"DOWNSELL",IF(CambioPlan[[#This Row],[C. COMISIÓN TME]]=0,"MISMA TARIFA",IF(CambioPlan[[#This Row],[C. COMISIÓN TME]]&gt;0,"UPSELL")))</f>
        <v>DOWNSELL</v>
      </c>
      <c r="CE207">
        <f>VLOOKUP(CambioPlan[[#This Row],[TARIFA_BASICA_ANTERIOR]],[3]Hoja1!$F:$G,2,0)</f>
        <v>1</v>
      </c>
      <c r="CF207">
        <f>VLOOKUP(CambioPlan[[#This Row],[TARIFA_BASICA_ACTUAL]],[3]Hoja1!$B:$C,2,0)</f>
        <v>0</v>
      </c>
      <c r="CG207">
        <f t="shared" si="2"/>
        <v>-1</v>
      </c>
      <c r="CH207" t="e">
        <f>VLOOKUP(CambioPlan[[#This Row],[TELEFONO]],[1]Retenciones!$R$63:$R$287,1,0)</f>
        <v>#N/A</v>
      </c>
    </row>
    <row r="208" spans="1:86" x14ac:dyDescent="0.25">
      <c r="A208" s="43">
        <v>202212</v>
      </c>
      <c r="B208" s="44">
        <v>44914</v>
      </c>
      <c r="C208" s="43" t="s">
        <v>7759</v>
      </c>
      <c r="D208" s="43" t="s">
        <v>7760</v>
      </c>
      <c r="E208" s="43" t="s">
        <v>95</v>
      </c>
      <c r="F208" s="43" t="s">
        <v>77</v>
      </c>
      <c r="G208" s="43" t="s">
        <v>2241</v>
      </c>
      <c r="H208" s="43" t="s">
        <v>67</v>
      </c>
      <c r="I208" s="43" t="s">
        <v>7761</v>
      </c>
      <c r="J208" s="43" t="s">
        <v>7037</v>
      </c>
      <c r="K208" s="43" t="s">
        <v>118</v>
      </c>
      <c r="L208" s="43" t="s">
        <v>112</v>
      </c>
      <c r="M208" s="43" t="s">
        <v>781</v>
      </c>
      <c r="N208" s="43" t="s">
        <v>79</v>
      </c>
      <c r="O208" s="45">
        <v>17.850000000000001</v>
      </c>
      <c r="P208" s="43" t="s">
        <v>95</v>
      </c>
      <c r="Q208" s="43" t="s">
        <v>95</v>
      </c>
      <c r="R208" s="43" t="s">
        <v>95</v>
      </c>
      <c r="S208" s="45">
        <v>0</v>
      </c>
      <c r="T208" s="43" t="s">
        <v>95</v>
      </c>
      <c r="U208" s="44" t="s">
        <v>95</v>
      </c>
      <c r="V208" s="44" t="s">
        <v>95</v>
      </c>
      <c r="W208" s="43" t="s">
        <v>95</v>
      </c>
      <c r="X208" s="45">
        <v>17.850000000000001</v>
      </c>
      <c r="Y208" s="43" t="s">
        <v>81</v>
      </c>
      <c r="Z208" s="43" t="s">
        <v>1357</v>
      </c>
      <c r="AA208" s="43" t="s">
        <v>2022</v>
      </c>
      <c r="AB208" s="43" t="s">
        <v>79</v>
      </c>
      <c r="AC208" s="45">
        <v>11.42</v>
      </c>
      <c r="AD208" s="43" t="s">
        <v>95</v>
      </c>
      <c r="AE208" s="43" t="s">
        <v>95</v>
      </c>
      <c r="AF208" s="43" t="s">
        <v>95</v>
      </c>
      <c r="AG208" s="43" t="s">
        <v>95</v>
      </c>
      <c r="AH208" s="45">
        <v>0</v>
      </c>
      <c r="AI208" s="43" t="s">
        <v>95</v>
      </c>
      <c r="AJ208" s="43" t="s">
        <v>95</v>
      </c>
      <c r="AK208" s="43" t="s">
        <v>95</v>
      </c>
      <c r="AL208" s="43" t="s">
        <v>95</v>
      </c>
      <c r="AM208" s="45">
        <v>11.42</v>
      </c>
      <c r="AN208" s="43" t="s">
        <v>81</v>
      </c>
      <c r="AO208" s="44">
        <v>44910</v>
      </c>
      <c r="AP208" s="43" t="s">
        <v>404</v>
      </c>
      <c r="AQ208" s="43" t="s">
        <v>405</v>
      </c>
      <c r="AR208" s="43" t="s">
        <v>404</v>
      </c>
      <c r="AS208" s="43" t="s">
        <v>405</v>
      </c>
      <c r="AT208" s="43" t="s">
        <v>85</v>
      </c>
      <c r="AU208" s="43" t="s">
        <v>7030</v>
      </c>
      <c r="AV208" s="43" t="s">
        <v>7031</v>
      </c>
      <c r="AW208" s="43" t="s">
        <v>7031</v>
      </c>
      <c r="AX208" s="43" t="s">
        <v>90</v>
      </c>
      <c r="AY208" s="43" t="s">
        <v>132</v>
      </c>
      <c r="AZ208" s="43" t="s">
        <v>7037</v>
      </c>
      <c r="BA208" s="43" t="s">
        <v>139</v>
      </c>
      <c r="BB208" s="45">
        <v>6.43</v>
      </c>
      <c r="BC208" s="45">
        <v>6.43</v>
      </c>
      <c r="BD208" s="43" t="s">
        <v>7032</v>
      </c>
      <c r="BE208" s="43" t="s">
        <v>81</v>
      </c>
      <c r="BF208" s="43" t="s">
        <v>81</v>
      </c>
      <c r="BG208" s="43" t="s">
        <v>86</v>
      </c>
      <c r="BH208" s="43" t="s">
        <v>177</v>
      </c>
      <c r="BI208" s="43" t="s">
        <v>7038</v>
      </c>
      <c r="BJ208" s="43" t="s">
        <v>7030</v>
      </c>
      <c r="BK208" s="43" t="s">
        <v>139</v>
      </c>
      <c r="BL208" s="43" t="s">
        <v>85</v>
      </c>
      <c r="BM208" s="43" t="s">
        <v>85</v>
      </c>
      <c r="BN208" s="43" t="s">
        <v>139</v>
      </c>
      <c r="BO208" s="46">
        <v>6.43</v>
      </c>
      <c r="BP208" s="43" t="s">
        <v>7032</v>
      </c>
      <c r="BQ208" s="43">
        <v>6.43</v>
      </c>
      <c r="BR208" s="43" t="s">
        <v>7032</v>
      </c>
      <c r="BS208" s="47">
        <v>6.43</v>
      </c>
      <c r="BT208" s="43" t="s">
        <v>7032</v>
      </c>
      <c r="BU208" s="43" t="s">
        <v>7032</v>
      </c>
      <c r="BV208" s="43" t="str">
        <f>CambioPlan[[#This Row],[TELEFONO]]&amp;"UPSELLSI"</f>
        <v>998399874UPSELLSI</v>
      </c>
      <c r="BW208" s="43">
        <f>DAY(CambioPlan[[#This Row],[FECHA_CAMBIO_PLAN]])</f>
        <v>15</v>
      </c>
      <c r="BX208" s="43" t="str">
        <f>VLOOKUP(CambioPlan[[#This Row],[NOM_PLAZA]],[1]!Locales[#Data],3,0)</f>
        <v>TIENDA RECREO</v>
      </c>
      <c r="BY208" s="43" t="str">
        <f>VLOOKUP(CambioPlan[[#This Row],[DOMAIN_LOGIN_OW]],[1]!Personal[#Data],6,0)</f>
        <v>OTERO YEPEZ ANDREA SOLEDAD</v>
      </c>
      <c r="BZ208" s="43"/>
      <c r="CA208" s="43" t="str">
        <f>IFERROR(IF(FIND("ADULTO",CambioPlan[[#This Row],[DESCRIPCION_PLAN_ACTUAL]],1),"NO SE PAGA",),"SI SE PAGA")</f>
        <v>SI SE PAGA</v>
      </c>
      <c r="CB208" s="45">
        <f>CambioPlan[[#This Row],[TARIFA_BASICA_ACTUAL]]-CambioPlan[[#This Row],[TARIFA_BASICA_ANTERIOR]]</f>
        <v>6.4300000000000015</v>
      </c>
      <c r="CC208" s="56">
        <f>CambioPlan[[#This Row],[DIF. TARIFAS]]*4</f>
        <v>25.720000000000006</v>
      </c>
      <c r="CD208" s="53" t="str">
        <f>IF(CambioPlan[[#This Row],[C. COMISIÓN TME]]&lt;0,"DOWNSELL",IF(CambioPlan[[#This Row],[C. COMISIÓN TME]]=0,"MISMA TARIFA",IF(CambioPlan[[#This Row],[C. COMISIÓN TME]]&gt;0,"UPSELL")))</f>
        <v>UPSELL</v>
      </c>
      <c r="CE208">
        <f>VLOOKUP(CambioPlan[[#This Row],[TARIFA_BASICA_ANTERIOR]],[3]Hoja1!$F:$G,2,0)</f>
        <v>0</v>
      </c>
      <c r="CF208">
        <f>VLOOKUP(CambioPlan[[#This Row],[TARIFA_BASICA_ACTUAL]],[3]Hoja1!$B:$C,2,0)</f>
        <v>2</v>
      </c>
      <c r="CG208">
        <f t="shared" si="2"/>
        <v>2</v>
      </c>
      <c r="CH208" t="e">
        <f>VLOOKUP(CambioPlan[[#This Row],[TELEFONO]],[1]Retenciones!$R$63:$R$287,1,0)</f>
        <v>#N/A</v>
      </c>
    </row>
    <row r="209" spans="1:86" x14ac:dyDescent="0.25">
      <c r="A209" s="43">
        <v>202212</v>
      </c>
      <c r="B209" s="44">
        <v>44914</v>
      </c>
      <c r="C209" s="43" t="s">
        <v>7762</v>
      </c>
      <c r="D209" s="43" t="s">
        <v>7763</v>
      </c>
      <c r="E209" s="43" t="s">
        <v>95</v>
      </c>
      <c r="F209" s="43" t="s">
        <v>77</v>
      </c>
      <c r="G209" s="43" t="s">
        <v>1532</v>
      </c>
      <c r="H209" s="43" t="s">
        <v>67</v>
      </c>
      <c r="I209" s="43" t="s">
        <v>7764</v>
      </c>
      <c r="J209" s="43" t="s">
        <v>7047</v>
      </c>
      <c r="K209" s="43" t="s">
        <v>118</v>
      </c>
      <c r="L209" s="43" t="s">
        <v>7208</v>
      </c>
      <c r="M209" s="43" t="s">
        <v>7209</v>
      </c>
      <c r="N209" s="43" t="s">
        <v>79</v>
      </c>
      <c r="O209" s="45">
        <v>21.42</v>
      </c>
      <c r="P209" s="43" t="s">
        <v>95</v>
      </c>
      <c r="Q209" s="43" t="s">
        <v>95</v>
      </c>
      <c r="R209" s="43" t="s">
        <v>95</v>
      </c>
      <c r="S209" s="45">
        <v>0</v>
      </c>
      <c r="T209" s="43" t="s">
        <v>95</v>
      </c>
      <c r="U209" s="44" t="s">
        <v>95</v>
      </c>
      <c r="V209" s="44" t="s">
        <v>95</v>
      </c>
      <c r="W209" s="43" t="s">
        <v>95</v>
      </c>
      <c r="X209" s="45">
        <v>21.42</v>
      </c>
      <c r="Y209" s="43" t="s">
        <v>81</v>
      </c>
      <c r="Z209" s="43" t="s">
        <v>574</v>
      </c>
      <c r="AA209" s="43" t="s">
        <v>575</v>
      </c>
      <c r="AB209" s="43" t="s">
        <v>79</v>
      </c>
      <c r="AC209" s="45">
        <v>17.850000000000001</v>
      </c>
      <c r="AD209" s="43" t="s">
        <v>95</v>
      </c>
      <c r="AE209" s="43" t="s">
        <v>95</v>
      </c>
      <c r="AF209" s="43" t="s">
        <v>95</v>
      </c>
      <c r="AG209" s="43" t="s">
        <v>95</v>
      </c>
      <c r="AH209" s="45">
        <v>0</v>
      </c>
      <c r="AI209" s="43" t="s">
        <v>95</v>
      </c>
      <c r="AJ209" s="43" t="s">
        <v>95</v>
      </c>
      <c r="AK209" s="43" t="s">
        <v>95</v>
      </c>
      <c r="AL209" s="43" t="s">
        <v>95</v>
      </c>
      <c r="AM209" s="45">
        <v>17.850000000000001</v>
      </c>
      <c r="AN209" s="43" t="s">
        <v>81</v>
      </c>
      <c r="AO209" s="44">
        <v>44907</v>
      </c>
      <c r="AP209" s="43" t="s">
        <v>1043</v>
      </c>
      <c r="AQ209" s="43" t="s">
        <v>1044</v>
      </c>
      <c r="AR209" s="43" t="s">
        <v>1043</v>
      </c>
      <c r="AS209" s="43" t="s">
        <v>1044</v>
      </c>
      <c r="AT209" s="43" t="s">
        <v>85</v>
      </c>
      <c r="AU209" s="43" t="s">
        <v>7030</v>
      </c>
      <c r="AV209" s="43" t="s">
        <v>7031</v>
      </c>
      <c r="AW209" s="43" t="s">
        <v>7031</v>
      </c>
      <c r="AX209" s="43" t="s">
        <v>90</v>
      </c>
      <c r="AY209" s="43" t="s">
        <v>114</v>
      </c>
      <c r="AZ209" s="43" t="s">
        <v>7047</v>
      </c>
      <c r="BA209" s="43" t="s">
        <v>92</v>
      </c>
      <c r="BB209" s="45">
        <v>3.57</v>
      </c>
      <c r="BC209" s="45">
        <v>3.57</v>
      </c>
      <c r="BD209" s="43" t="s">
        <v>7032</v>
      </c>
      <c r="BE209" s="43" t="s">
        <v>81</v>
      </c>
      <c r="BF209" s="43" t="s">
        <v>81</v>
      </c>
      <c r="BG209" s="43" t="s">
        <v>86</v>
      </c>
      <c r="BH209" s="43" t="s">
        <v>122</v>
      </c>
      <c r="BI209" s="43" t="s">
        <v>7048</v>
      </c>
      <c r="BJ209" s="43" t="s">
        <v>7030</v>
      </c>
      <c r="BK209" s="43" t="s">
        <v>92</v>
      </c>
      <c r="BL209" s="43" t="s">
        <v>85</v>
      </c>
      <c r="BM209" s="43" t="s">
        <v>85</v>
      </c>
      <c r="BN209" s="43" t="s">
        <v>92</v>
      </c>
      <c r="BO209" s="46">
        <v>3.57</v>
      </c>
      <c r="BP209" s="43" t="s">
        <v>7032</v>
      </c>
      <c r="BQ209" s="43">
        <v>3.57</v>
      </c>
      <c r="BR209" s="43" t="s">
        <v>7032</v>
      </c>
      <c r="BS209" s="47">
        <v>3.57</v>
      </c>
      <c r="BT209" s="43" t="s">
        <v>7032</v>
      </c>
      <c r="BU209" s="43" t="s">
        <v>7032</v>
      </c>
      <c r="BV209" s="43" t="str">
        <f>CambioPlan[[#This Row],[TELEFONO]]&amp;"UPSELLSI"</f>
        <v>998434908UPSELLSI</v>
      </c>
      <c r="BW209" s="43">
        <f>DAY(CambioPlan[[#This Row],[FECHA_CAMBIO_PLAN]])</f>
        <v>12</v>
      </c>
      <c r="BX209" s="43" t="str">
        <f>VLOOKUP(CambioPlan[[#This Row],[NOM_PLAZA]],[1]!Locales[#Data],3,0)</f>
        <v>TIENDA MACHALA</v>
      </c>
      <c r="BY209" s="43" t="str">
        <f>VLOOKUP(CambioPlan[[#This Row],[DOMAIN_LOGIN_OW]],[1]!Personal[#Data],6,0)</f>
        <v>GONZAGA YUPANGUI LIZBETH KATHERINE</v>
      </c>
      <c r="BZ209" s="43"/>
      <c r="CA209" s="43" t="str">
        <f>IFERROR(IF(FIND("ADULTO",CambioPlan[[#This Row],[DESCRIPCION_PLAN_ACTUAL]],1),"NO SE PAGA",),"SI SE PAGA")</f>
        <v>SI SE PAGA</v>
      </c>
      <c r="CB209" s="45">
        <f>CambioPlan[[#This Row],[TARIFA_BASICA_ACTUAL]]-CambioPlan[[#This Row],[TARIFA_BASICA_ANTERIOR]]</f>
        <v>3.5700000000000003</v>
      </c>
      <c r="CC209" s="56">
        <f>CambioPlan[[#This Row],[DIF. TARIFAS]]*4</f>
        <v>14.280000000000001</v>
      </c>
      <c r="CD209" s="53" t="str">
        <f>IF(CambioPlan[[#This Row],[C. COMISIÓN TME]]&lt;0,"DOWNSELL",IF(CambioPlan[[#This Row],[C. COMISIÓN TME]]=0,"MISMA TARIFA",IF(CambioPlan[[#This Row],[C. COMISIÓN TME]]&gt;0,"UPSELL")))</f>
        <v>UPSELL</v>
      </c>
      <c r="CE209">
        <f>VLOOKUP(CambioPlan[[#This Row],[TARIFA_BASICA_ANTERIOR]],[3]Hoja1!$F:$G,2,0)</f>
        <v>2</v>
      </c>
      <c r="CF209">
        <f>VLOOKUP(CambioPlan[[#This Row],[TARIFA_BASICA_ACTUAL]],[3]Hoja1!$B:$C,2,0)</f>
        <v>3</v>
      </c>
      <c r="CG209">
        <f t="shared" si="2"/>
        <v>1</v>
      </c>
      <c r="CH209" t="e">
        <f>VLOOKUP(CambioPlan[[#This Row],[TELEFONO]],[1]Retenciones!$R$63:$R$287,1,0)</f>
        <v>#N/A</v>
      </c>
    </row>
    <row r="210" spans="1:86" x14ac:dyDescent="0.25">
      <c r="A210" s="43">
        <v>202212</v>
      </c>
      <c r="B210" s="44">
        <v>44914</v>
      </c>
      <c r="C210" s="43" t="s">
        <v>7765</v>
      </c>
      <c r="D210" s="43" t="s">
        <v>7766</v>
      </c>
      <c r="E210" s="43" t="s">
        <v>95</v>
      </c>
      <c r="F210" s="43" t="s">
        <v>77</v>
      </c>
      <c r="G210" s="43" t="s">
        <v>1532</v>
      </c>
      <c r="H210" s="43" t="s">
        <v>67</v>
      </c>
      <c r="I210" s="43" t="s">
        <v>7767</v>
      </c>
      <c r="J210" s="43" t="s">
        <v>7037</v>
      </c>
      <c r="K210" s="43" t="s">
        <v>84</v>
      </c>
      <c r="L210" s="43" t="s">
        <v>359</v>
      </c>
      <c r="M210" s="43" t="s">
        <v>360</v>
      </c>
      <c r="N210" s="43" t="s">
        <v>79</v>
      </c>
      <c r="O210" s="45">
        <v>14.28</v>
      </c>
      <c r="P210" s="43" t="s">
        <v>95</v>
      </c>
      <c r="Q210" s="43" t="s">
        <v>95</v>
      </c>
      <c r="R210" s="43" t="s">
        <v>95</v>
      </c>
      <c r="S210" s="45">
        <v>0</v>
      </c>
      <c r="T210" s="43" t="s">
        <v>95</v>
      </c>
      <c r="U210" s="44" t="s">
        <v>95</v>
      </c>
      <c r="V210" s="44" t="s">
        <v>95</v>
      </c>
      <c r="W210" s="43" t="s">
        <v>95</v>
      </c>
      <c r="X210" s="45">
        <v>14.28</v>
      </c>
      <c r="Y210" s="43" t="s">
        <v>81</v>
      </c>
      <c r="Z210" s="43" t="s">
        <v>7768</v>
      </c>
      <c r="AA210" s="43" t="s">
        <v>7769</v>
      </c>
      <c r="AB210" s="43" t="s">
        <v>79</v>
      </c>
      <c r="AC210" s="45">
        <v>6</v>
      </c>
      <c r="AD210" s="43" t="s">
        <v>95</v>
      </c>
      <c r="AE210" s="43" t="s">
        <v>95</v>
      </c>
      <c r="AF210" s="43" t="s">
        <v>95</v>
      </c>
      <c r="AG210" s="43" t="s">
        <v>95</v>
      </c>
      <c r="AH210" s="45">
        <v>0</v>
      </c>
      <c r="AI210" s="43" t="s">
        <v>95</v>
      </c>
      <c r="AJ210" s="43" t="s">
        <v>95</v>
      </c>
      <c r="AK210" s="43" t="s">
        <v>95</v>
      </c>
      <c r="AL210" s="43" t="s">
        <v>95</v>
      </c>
      <c r="AM210" s="45">
        <v>6</v>
      </c>
      <c r="AN210" s="43" t="s">
        <v>81</v>
      </c>
      <c r="AO210" s="44">
        <v>44910</v>
      </c>
      <c r="AP210" s="43" t="s">
        <v>1545</v>
      </c>
      <c r="AQ210" s="43" t="s">
        <v>1546</v>
      </c>
      <c r="AR210" s="43" t="s">
        <v>1545</v>
      </c>
      <c r="AS210" s="43" t="s">
        <v>1546</v>
      </c>
      <c r="AT210" s="43" t="s">
        <v>85</v>
      </c>
      <c r="AU210" s="43" t="s">
        <v>7030</v>
      </c>
      <c r="AV210" s="43" t="s">
        <v>7031</v>
      </c>
      <c r="AW210" s="43" t="s">
        <v>7031</v>
      </c>
      <c r="AX210" s="43" t="s">
        <v>90</v>
      </c>
      <c r="AY210" s="43" t="s">
        <v>132</v>
      </c>
      <c r="AZ210" s="43" t="s">
        <v>7037</v>
      </c>
      <c r="BA210" s="43" t="s">
        <v>139</v>
      </c>
      <c r="BB210" s="45">
        <v>8.2799999999999994</v>
      </c>
      <c r="BC210" s="45">
        <v>8.2799999999999994</v>
      </c>
      <c r="BD210" s="43" t="s">
        <v>7032</v>
      </c>
      <c r="BE210" s="43" t="s">
        <v>81</v>
      </c>
      <c r="BF210" s="43" t="s">
        <v>81</v>
      </c>
      <c r="BG210" s="43" t="s">
        <v>86</v>
      </c>
      <c r="BH210" s="43" t="s">
        <v>138</v>
      </c>
      <c r="BI210" s="43" t="s">
        <v>7076</v>
      </c>
      <c r="BJ210" s="43" t="s">
        <v>7030</v>
      </c>
      <c r="BK210" s="43" t="s">
        <v>139</v>
      </c>
      <c r="BL210" s="43" t="s">
        <v>85</v>
      </c>
      <c r="BM210" s="43" t="s">
        <v>85</v>
      </c>
      <c r="BN210" s="43" t="s">
        <v>139</v>
      </c>
      <c r="BO210" s="46">
        <v>8.2799999999999994</v>
      </c>
      <c r="BP210" s="43" t="s">
        <v>7032</v>
      </c>
      <c r="BQ210" s="43">
        <v>8.2799999999999994</v>
      </c>
      <c r="BR210" s="43" t="s">
        <v>7032</v>
      </c>
      <c r="BS210" s="47">
        <v>8.2799999999999994</v>
      </c>
      <c r="BT210" s="43" t="s">
        <v>7032</v>
      </c>
      <c r="BU210" s="43" t="s">
        <v>7032</v>
      </c>
      <c r="BV210" s="43" t="str">
        <f>CambioPlan[[#This Row],[TELEFONO]]&amp;"UPSELLSI"</f>
        <v>998559201UPSELLSI</v>
      </c>
      <c r="BW210" s="43">
        <f>DAY(CambioPlan[[#This Row],[FECHA_CAMBIO_PLAN]])</f>
        <v>15</v>
      </c>
      <c r="BX210" s="43" t="str">
        <f>VLOOKUP(CambioPlan[[#This Row],[NOM_PLAZA]],[1]!Locales[#Data],3,0)</f>
        <v>TIENDA AMERICA</v>
      </c>
      <c r="BY210" s="43" t="str">
        <f>VLOOKUP(CambioPlan[[#This Row],[DOMAIN_LOGIN_OW]],[1]!Personal[#Data],6,0)</f>
        <v>GRANDA ESPINOZA ANDRES SEBASTIAN</v>
      </c>
      <c r="BZ210" s="43"/>
      <c r="CA210" s="43" t="str">
        <f>IFERROR(IF(FIND("ADULTO",CambioPlan[[#This Row],[DESCRIPCION_PLAN_ACTUAL]],1),"NO SE PAGA",),"SI SE PAGA")</f>
        <v>SI SE PAGA</v>
      </c>
      <c r="CB210" s="45">
        <f>CambioPlan[[#This Row],[TARIFA_BASICA_ACTUAL]]-CambioPlan[[#This Row],[TARIFA_BASICA_ANTERIOR]]</f>
        <v>8.2799999999999994</v>
      </c>
      <c r="CC210" s="56">
        <f>CambioPlan[[#This Row],[DIF. TARIFAS]]*4</f>
        <v>33.119999999999997</v>
      </c>
      <c r="CD210" s="53" t="str">
        <f>IF(CambioPlan[[#This Row],[C. COMISIÓN TME]]&lt;0,"DOWNSELL",IF(CambioPlan[[#This Row],[C. COMISIÓN TME]]=0,"MISMA TARIFA",IF(CambioPlan[[#This Row],[C. COMISIÓN TME]]&gt;0,"UPSELL")))</f>
        <v>UPSELL</v>
      </c>
      <c r="CE210">
        <f>VLOOKUP(CambioPlan[[#This Row],[TARIFA_BASICA_ANTERIOR]],[3]Hoja1!$F:$G,2,0)</f>
        <v>-1</v>
      </c>
      <c r="CF210">
        <f>VLOOKUP(CambioPlan[[#This Row],[TARIFA_BASICA_ACTUAL]],[3]Hoja1!$B:$C,2,0)</f>
        <v>1</v>
      </c>
      <c r="CG210">
        <f t="shared" si="2"/>
        <v>2</v>
      </c>
      <c r="CH210" t="e">
        <f>VLOOKUP(CambioPlan[[#This Row],[TELEFONO]],[1]Retenciones!$R$63:$R$287,1,0)</f>
        <v>#N/A</v>
      </c>
    </row>
    <row r="211" spans="1:86" x14ac:dyDescent="0.25">
      <c r="A211" s="43">
        <v>202212</v>
      </c>
      <c r="B211" s="44">
        <v>44914</v>
      </c>
      <c r="C211" s="43" t="s">
        <v>7770</v>
      </c>
      <c r="D211" s="43" t="s">
        <v>7771</v>
      </c>
      <c r="E211" s="43" t="s">
        <v>95</v>
      </c>
      <c r="F211" s="43" t="s">
        <v>77</v>
      </c>
      <c r="G211" s="43" t="s">
        <v>2241</v>
      </c>
      <c r="H211" s="43" t="s">
        <v>67</v>
      </c>
      <c r="I211" s="43" t="s">
        <v>7772</v>
      </c>
      <c r="J211" s="43" t="s">
        <v>7029</v>
      </c>
      <c r="K211" s="43" t="s">
        <v>84</v>
      </c>
      <c r="L211" s="43" t="s">
        <v>160</v>
      </c>
      <c r="M211" s="43" t="s">
        <v>161</v>
      </c>
      <c r="N211" s="43" t="s">
        <v>79</v>
      </c>
      <c r="O211" s="45">
        <v>14.28</v>
      </c>
      <c r="P211" s="43" t="s">
        <v>95</v>
      </c>
      <c r="Q211" s="43" t="s">
        <v>95</v>
      </c>
      <c r="R211" s="43" t="s">
        <v>95</v>
      </c>
      <c r="S211" s="45">
        <v>0</v>
      </c>
      <c r="T211" s="43" t="s">
        <v>95</v>
      </c>
      <c r="U211" s="44" t="s">
        <v>95</v>
      </c>
      <c r="V211" s="44" t="s">
        <v>95</v>
      </c>
      <c r="W211" s="43" t="s">
        <v>95</v>
      </c>
      <c r="X211" s="45">
        <v>14.28</v>
      </c>
      <c r="Y211" s="43" t="s">
        <v>81</v>
      </c>
      <c r="Z211" s="43" t="s">
        <v>7427</v>
      </c>
      <c r="AA211" s="43" t="s">
        <v>72</v>
      </c>
      <c r="AB211" s="43" t="s">
        <v>79</v>
      </c>
      <c r="AC211" s="45">
        <v>9.99</v>
      </c>
      <c r="AD211" s="43" t="s">
        <v>95</v>
      </c>
      <c r="AE211" s="43" t="s">
        <v>95</v>
      </c>
      <c r="AF211" s="43" t="s">
        <v>95</v>
      </c>
      <c r="AG211" s="43" t="s">
        <v>95</v>
      </c>
      <c r="AH211" s="45">
        <v>0</v>
      </c>
      <c r="AI211" s="43" t="s">
        <v>95</v>
      </c>
      <c r="AJ211" s="43" t="s">
        <v>95</v>
      </c>
      <c r="AK211" s="43" t="s">
        <v>95</v>
      </c>
      <c r="AL211" s="43" t="s">
        <v>95</v>
      </c>
      <c r="AM211" s="45">
        <v>9.99</v>
      </c>
      <c r="AN211" s="43" t="s">
        <v>81</v>
      </c>
      <c r="AO211" s="44">
        <v>44900</v>
      </c>
      <c r="AP211" s="43" t="s">
        <v>880</v>
      </c>
      <c r="AQ211" s="43" t="s">
        <v>881</v>
      </c>
      <c r="AR211" s="43" t="s">
        <v>7512</v>
      </c>
      <c r="AS211" s="43" t="s">
        <v>7513</v>
      </c>
      <c r="AT211" s="43" t="s">
        <v>85</v>
      </c>
      <c r="AU211" s="43" t="s">
        <v>7030</v>
      </c>
      <c r="AV211" s="43" t="s">
        <v>7031</v>
      </c>
      <c r="AW211" s="43" t="s">
        <v>7031</v>
      </c>
      <c r="AX211" s="43" t="s">
        <v>90</v>
      </c>
      <c r="AY211" s="43" t="s">
        <v>73</v>
      </c>
      <c r="AZ211" s="43" t="s">
        <v>7029</v>
      </c>
      <c r="BA211" s="43" t="s">
        <v>92</v>
      </c>
      <c r="BB211" s="45">
        <v>4.29</v>
      </c>
      <c r="BC211" s="45">
        <v>4.29</v>
      </c>
      <c r="BD211" s="43" t="s">
        <v>7032</v>
      </c>
      <c r="BE211" s="43" t="s">
        <v>81</v>
      </c>
      <c r="BF211" s="43" t="s">
        <v>81</v>
      </c>
      <c r="BG211" s="43" t="s">
        <v>86</v>
      </c>
      <c r="BH211" s="43" t="s">
        <v>91</v>
      </c>
      <c r="BI211" s="43" t="s">
        <v>7086</v>
      </c>
      <c r="BJ211" s="43" t="s">
        <v>7030</v>
      </c>
      <c r="BK211" s="43" t="s">
        <v>92</v>
      </c>
      <c r="BL211" s="43" t="s">
        <v>85</v>
      </c>
      <c r="BM211" s="43" t="s">
        <v>85</v>
      </c>
      <c r="BN211" s="43" t="s">
        <v>92</v>
      </c>
      <c r="BO211" s="46">
        <v>4.29</v>
      </c>
      <c r="BP211" s="43" t="s">
        <v>7032</v>
      </c>
      <c r="BQ211" s="43">
        <v>4.29</v>
      </c>
      <c r="BR211" s="43" t="s">
        <v>7032</v>
      </c>
      <c r="BS211" s="47">
        <v>4.29</v>
      </c>
      <c r="BT211" s="43" t="s">
        <v>7032</v>
      </c>
      <c r="BU211" s="43" t="s">
        <v>7032</v>
      </c>
      <c r="BV211" s="43" t="str">
        <f>CambioPlan[[#This Row],[TELEFONO]]&amp;"UPSELLSI"</f>
        <v>998565233UPSELLSI</v>
      </c>
      <c r="BW211" s="43">
        <f>DAY(CambioPlan[[#This Row],[FECHA_CAMBIO_PLAN]])</f>
        <v>5</v>
      </c>
      <c r="BX211" s="43" t="str">
        <f>VLOOKUP(CambioPlan[[#This Row],[NOM_PLAZA]],[1]!Locales[#Data],3,0)</f>
        <v>TIENDA CUENCA CENTRO</v>
      </c>
      <c r="BY211" s="43" t="str">
        <f>VLOOKUP(CambioPlan[[#This Row],[DOMAIN_LOGIN_OW]],[1]!Personal[#Data],6,0)</f>
        <v>LUNA JACHO ANDREA GABRIELA</v>
      </c>
      <c r="BZ211" s="43"/>
      <c r="CA211" s="43" t="str">
        <f>IFERROR(IF(FIND("ADULTO",CambioPlan[[#This Row],[DESCRIPCION_PLAN_ACTUAL]],1),"NO SE PAGA",),"SI SE PAGA")</f>
        <v>SI SE PAGA</v>
      </c>
      <c r="CB211" s="45">
        <f>CambioPlan[[#This Row],[TARIFA_BASICA_ACTUAL]]-CambioPlan[[#This Row],[TARIFA_BASICA_ANTERIOR]]</f>
        <v>4.2899999999999991</v>
      </c>
      <c r="CC211" s="56">
        <f>CambioPlan[[#This Row],[DIF. TARIFAS]]*4</f>
        <v>17.159999999999997</v>
      </c>
      <c r="CD211" s="53" t="str">
        <f>IF(CambioPlan[[#This Row],[C. COMISIÓN TME]]&lt;0,"DOWNSELL",IF(CambioPlan[[#This Row],[C. COMISIÓN TME]]=0,"MISMA TARIFA",IF(CambioPlan[[#This Row],[C. COMISIÓN TME]]&gt;0,"UPSELL")))</f>
        <v>UPSELL</v>
      </c>
      <c r="CE211">
        <f>VLOOKUP(CambioPlan[[#This Row],[TARIFA_BASICA_ANTERIOR]],[3]Hoja1!$F:$G,2,0)</f>
        <v>0</v>
      </c>
      <c r="CF211">
        <f>VLOOKUP(CambioPlan[[#This Row],[TARIFA_BASICA_ACTUAL]],[3]Hoja1!$B:$C,2,0)</f>
        <v>1</v>
      </c>
      <c r="CG211">
        <f t="shared" si="2"/>
        <v>1</v>
      </c>
      <c r="CH211" t="e">
        <f>VLOOKUP(CambioPlan[[#This Row],[TELEFONO]],[1]Retenciones!$R$63:$R$287,1,0)</f>
        <v>#N/A</v>
      </c>
    </row>
    <row r="212" spans="1:86" x14ac:dyDescent="0.25">
      <c r="A212" s="43">
        <v>202212</v>
      </c>
      <c r="B212" s="44">
        <v>44914</v>
      </c>
      <c r="C212" s="43" t="s">
        <v>7773</v>
      </c>
      <c r="D212" s="43" t="s">
        <v>7774</v>
      </c>
      <c r="E212" s="43" t="s">
        <v>95</v>
      </c>
      <c r="F212" s="43" t="s">
        <v>768</v>
      </c>
      <c r="G212" s="43" t="s">
        <v>768</v>
      </c>
      <c r="H212" s="43" t="s">
        <v>67</v>
      </c>
      <c r="I212" s="43" t="s">
        <v>7775</v>
      </c>
      <c r="J212" s="43" t="s">
        <v>7037</v>
      </c>
      <c r="K212" s="43" t="s">
        <v>84</v>
      </c>
      <c r="L212" s="43" t="s">
        <v>7069</v>
      </c>
      <c r="M212" s="43" t="s">
        <v>7070</v>
      </c>
      <c r="N212" s="43" t="s">
        <v>79</v>
      </c>
      <c r="O212" s="45">
        <v>21.42</v>
      </c>
      <c r="P212" s="43" t="s">
        <v>95</v>
      </c>
      <c r="Q212" s="43" t="s">
        <v>95</v>
      </c>
      <c r="R212" s="43" t="s">
        <v>95</v>
      </c>
      <c r="S212" s="45">
        <v>0</v>
      </c>
      <c r="T212" s="43" t="s">
        <v>95</v>
      </c>
      <c r="U212" s="44" t="s">
        <v>95</v>
      </c>
      <c r="V212" s="44" t="s">
        <v>95</v>
      </c>
      <c r="W212" s="43" t="s">
        <v>95</v>
      </c>
      <c r="X212" s="45">
        <v>21.42</v>
      </c>
      <c r="Y212" s="43" t="s">
        <v>81</v>
      </c>
      <c r="Z212" s="43" t="s">
        <v>7247</v>
      </c>
      <c r="AA212" s="43" t="s">
        <v>7738</v>
      </c>
      <c r="AB212" s="43" t="s">
        <v>79</v>
      </c>
      <c r="AC212" s="45">
        <v>19.989999999999998</v>
      </c>
      <c r="AD212" s="43" t="s">
        <v>95</v>
      </c>
      <c r="AE212" s="43" t="s">
        <v>95</v>
      </c>
      <c r="AF212" s="43" t="s">
        <v>95</v>
      </c>
      <c r="AG212" s="43" t="s">
        <v>95</v>
      </c>
      <c r="AH212" s="45">
        <v>0</v>
      </c>
      <c r="AI212" s="43" t="s">
        <v>95</v>
      </c>
      <c r="AJ212" s="43" t="s">
        <v>95</v>
      </c>
      <c r="AK212" s="43" t="s">
        <v>95</v>
      </c>
      <c r="AL212" s="43" t="s">
        <v>95</v>
      </c>
      <c r="AM212" s="45">
        <v>19.989999999999998</v>
      </c>
      <c r="AN212" s="43" t="s">
        <v>81</v>
      </c>
      <c r="AO212" s="44">
        <v>44901</v>
      </c>
      <c r="AP212" s="43" t="s">
        <v>136</v>
      </c>
      <c r="AQ212" s="43" t="s">
        <v>137</v>
      </c>
      <c r="AR212" s="43" t="s">
        <v>7062</v>
      </c>
      <c r="AS212" s="43" t="s">
        <v>95</v>
      </c>
      <c r="AT212" s="43" t="s">
        <v>85</v>
      </c>
      <c r="AU212" s="43" t="s">
        <v>7030</v>
      </c>
      <c r="AV212" s="43" t="s">
        <v>7031</v>
      </c>
      <c r="AW212" s="43" t="s">
        <v>7031</v>
      </c>
      <c r="AX212" s="43" t="s">
        <v>90</v>
      </c>
      <c r="AY212" s="43" t="s">
        <v>132</v>
      </c>
      <c r="AZ212" s="43" t="s">
        <v>7037</v>
      </c>
      <c r="BA212" s="43" t="s">
        <v>139</v>
      </c>
      <c r="BB212" s="45">
        <v>1.43</v>
      </c>
      <c r="BC212" s="45">
        <v>1.43</v>
      </c>
      <c r="BD212" s="43" t="s">
        <v>7032</v>
      </c>
      <c r="BE212" s="43" t="s">
        <v>81</v>
      </c>
      <c r="BF212" s="43" t="s">
        <v>81</v>
      </c>
      <c r="BG212" s="43" t="s">
        <v>86</v>
      </c>
      <c r="BH212" s="43" t="s">
        <v>138</v>
      </c>
      <c r="BI212" s="43" t="s">
        <v>7076</v>
      </c>
      <c r="BJ212" s="43" t="s">
        <v>7030</v>
      </c>
      <c r="BK212" s="43" t="s">
        <v>139</v>
      </c>
      <c r="BL212" s="43" t="s">
        <v>85</v>
      </c>
      <c r="BM212" s="43" t="s">
        <v>85</v>
      </c>
      <c r="BN212" s="43" t="s">
        <v>139</v>
      </c>
      <c r="BO212" s="46">
        <v>1.43</v>
      </c>
      <c r="BP212" s="43" t="s">
        <v>7032</v>
      </c>
      <c r="BQ212" s="43">
        <v>1.43</v>
      </c>
      <c r="BR212" s="43" t="s">
        <v>7032</v>
      </c>
      <c r="BS212" s="47">
        <v>1.43</v>
      </c>
      <c r="BT212" s="43" t="s">
        <v>7032</v>
      </c>
      <c r="BU212" s="43" t="s">
        <v>7032</v>
      </c>
      <c r="BV212" s="43" t="str">
        <f>CambioPlan[[#This Row],[TELEFONO]]&amp;"UPSELLSI"</f>
        <v>998617784UPSELLSI</v>
      </c>
      <c r="BW212" s="43">
        <f>DAY(CambioPlan[[#This Row],[FECHA_CAMBIO_PLAN]])</f>
        <v>6</v>
      </c>
      <c r="BX212" s="43" t="str">
        <f>VLOOKUP(CambioPlan[[#This Row],[NOM_PLAZA]],[1]!Locales[#Data],3,0)</f>
        <v>TIENDA AMERICA</v>
      </c>
      <c r="BY212" s="43" t="str">
        <f>VLOOKUP(CambioPlan[[#This Row],[DOMAIN_LOGIN_OW]],[1]!Personal[#Data],6,0)</f>
        <v>SALVATIERRA GUERRA JULIAN ENRIQUE</v>
      </c>
      <c r="BZ212" s="43"/>
      <c r="CA212" s="43" t="str">
        <f>IFERROR(IF(FIND("ADULTO",CambioPlan[[#This Row],[DESCRIPCION_PLAN_ACTUAL]],1),"NO SE PAGA",),"SI SE PAGA")</f>
        <v>SI SE PAGA</v>
      </c>
      <c r="CB212" s="45">
        <f>CambioPlan[[#This Row],[TARIFA_BASICA_ACTUAL]]-CambioPlan[[#This Row],[TARIFA_BASICA_ANTERIOR]]</f>
        <v>1.4300000000000033</v>
      </c>
      <c r="CC212" s="56">
        <f>CambioPlan[[#This Row],[DIF. TARIFAS]]*4</f>
        <v>5.7200000000000131</v>
      </c>
      <c r="CD212" s="53" t="str">
        <f>IF(CambioPlan[[#This Row],[C. COMISIÓN TME]]&lt;0,"DOWNSELL",IF(CambioPlan[[#This Row],[C. COMISIÓN TME]]=0,"MISMA TARIFA",IF(CambioPlan[[#This Row],[C. COMISIÓN TME]]&gt;0,"UPSELL")))</f>
        <v>UPSELL</v>
      </c>
      <c r="CE212">
        <f>VLOOKUP(CambioPlan[[#This Row],[TARIFA_BASICA_ANTERIOR]],[3]Hoja1!$F:$G,2,0)</f>
        <v>3</v>
      </c>
      <c r="CF212">
        <f>VLOOKUP(CambioPlan[[#This Row],[TARIFA_BASICA_ACTUAL]],[3]Hoja1!$B:$C,2,0)</f>
        <v>3</v>
      </c>
      <c r="CG212">
        <f t="shared" si="2"/>
        <v>0</v>
      </c>
      <c r="CH212" t="e">
        <f>VLOOKUP(CambioPlan[[#This Row],[TELEFONO]],[1]Retenciones!$R$63:$R$287,1,0)</f>
        <v>#N/A</v>
      </c>
    </row>
    <row r="213" spans="1:86" x14ac:dyDescent="0.25">
      <c r="A213" s="43">
        <v>202212</v>
      </c>
      <c r="B213" s="44">
        <v>44914</v>
      </c>
      <c r="C213" s="43" t="s">
        <v>7776</v>
      </c>
      <c r="D213" s="43" t="s">
        <v>7777</v>
      </c>
      <c r="E213" s="43" t="s">
        <v>95</v>
      </c>
      <c r="F213" s="43" t="s">
        <v>77</v>
      </c>
      <c r="G213" s="43" t="s">
        <v>7168</v>
      </c>
      <c r="H213" s="43" t="s">
        <v>67</v>
      </c>
      <c r="I213" s="43" t="s">
        <v>7778</v>
      </c>
      <c r="J213" s="43" t="s">
        <v>7779</v>
      </c>
      <c r="K213" s="43" t="s">
        <v>118</v>
      </c>
      <c r="L213" s="43" t="s">
        <v>112</v>
      </c>
      <c r="M213" s="43" t="s">
        <v>781</v>
      </c>
      <c r="N213" s="43" t="s">
        <v>79</v>
      </c>
      <c r="O213" s="45">
        <v>17.850000000000001</v>
      </c>
      <c r="P213" s="43" t="s">
        <v>95</v>
      </c>
      <c r="Q213" s="43" t="s">
        <v>95</v>
      </c>
      <c r="R213" s="43" t="s">
        <v>95</v>
      </c>
      <c r="S213" s="45">
        <v>0</v>
      </c>
      <c r="T213" s="43" t="s">
        <v>95</v>
      </c>
      <c r="U213" s="44" t="s">
        <v>95</v>
      </c>
      <c r="V213" s="44" t="s">
        <v>95</v>
      </c>
      <c r="W213" s="43" t="s">
        <v>95</v>
      </c>
      <c r="X213" s="45">
        <v>17.850000000000001</v>
      </c>
      <c r="Y213" s="43" t="s">
        <v>81</v>
      </c>
      <c r="Z213" s="43" t="s">
        <v>71</v>
      </c>
      <c r="AA213" s="43" t="s">
        <v>258</v>
      </c>
      <c r="AB213" s="43" t="s">
        <v>79</v>
      </c>
      <c r="AC213" s="45">
        <v>11.42</v>
      </c>
      <c r="AD213" s="43" t="s">
        <v>95</v>
      </c>
      <c r="AE213" s="43" t="s">
        <v>95</v>
      </c>
      <c r="AF213" s="43" t="s">
        <v>95</v>
      </c>
      <c r="AG213" s="43" t="s">
        <v>95</v>
      </c>
      <c r="AH213" s="45">
        <v>0</v>
      </c>
      <c r="AI213" s="43" t="s">
        <v>95</v>
      </c>
      <c r="AJ213" s="43" t="s">
        <v>95</v>
      </c>
      <c r="AK213" s="43" t="s">
        <v>95</v>
      </c>
      <c r="AL213" s="43" t="s">
        <v>95</v>
      </c>
      <c r="AM213" s="45">
        <v>11.42</v>
      </c>
      <c r="AN213" s="43" t="s">
        <v>81</v>
      </c>
      <c r="AO213" s="44">
        <v>44897</v>
      </c>
      <c r="AP213" s="43" t="s">
        <v>651</v>
      </c>
      <c r="AQ213" s="43" t="s">
        <v>652</v>
      </c>
      <c r="AR213" s="43" t="s">
        <v>651</v>
      </c>
      <c r="AS213" s="43" t="s">
        <v>652</v>
      </c>
      <c r="AT213" s="43" t="s">
        <v>85</v>
      </c>
      <c r="AU213" s="43" t="s">
        <v>7030</v>
      </c>
      <c r="AV213" s="43" t="s">
        <v>7031</v>
      </c>
      <c r="AW213" s="43" t="s">
        <v>7031</v>
      </c>
      <c r="AX213" s="43" t="s">
        <v>90</v>
      </c>
      <c r="AY213" s="43" t="s">
        <v>114</v>
      </c>
      <c r="AZ213" s="43" t="s">
        <v>7047</v>
      </c>
      <c r="BA213" s="43" t="s">
        <v>92</v>
      </c>
      <c r="BB213" s="45">
        <v>6.43</v>
      </c>
      <c r="BC213" s="45">
        <v>6.43</v>
      </c>
      <c r="BD213" s="43" t="s">
        <v>7032</v>
      </c>
      <c r="BE213" s="43" t="s">
        <v>81</v>
      </c>
      <c r="BF213" s="43" t="s">
        <v>81</v>
      </c>
      <c r="BG213" s="43" t="s">
        <v>86</v>
      </c>
      <c r="BH213" s="43" t="s">
        <v>122</v>
      </c>
      <c r="BI213" s="43" t="s">
        <v>7048</v>
      </c>
      <c r="BJ213" s="43" t="s">
        <v>7030</v>
      </c>
      <c r="BK213" s="43" t="s">
        <v>92</v>
      </c>
      <c r="BL213" s="43" t="s">
        <v>85</v>
      </c>
      <c r="BM213" s="43" t="s">
        <v>85</v>
      </c>
      <c r="BN213" s="43" t="s">
        <v>92</v>
      </c>
      <c r="BO213" s="46">
        <v>6.43</v>
      </c>
      <c r="BP213" s="43" t="s">
        <v>7032</v>
      </c>
      <c r="BQ213" s="43">
        <v>6.43</v>
      </c>
      <c r="BR213" s="43" t="s">
        <v>7032</v>
      </c>
      <c r="BS213" s="47">
        <v>6.43</v>
      </c>
      <c r="BT213" s="43" t="s">
        <v>7032</v>
      </c>
      <c r="BU213" s="43" t="s">
        <v>7032</v>
      </c>
      <c r="BV213" s="43" t="str">
        <f>CambioPlan[[#This Row],[TELEFONO]]&amp;"UPSELLSI"</f>
        <v>998638004UPSELLSI</v>
      </c>
      <c r="BW213" s="43">
        <f>DAY(CambioPlan[[#This Row],[FECHA_CAMBIO_PLAN]])</f>
        <v>2</v>
      </c>
      <c r="BX213" s="43" t="str">
        <f>VLOOKUP(CambioPlan[[#This Row],[NOM_PLAZA]],[1]!Locales[#Data],3,0)</f>
        <v>TIENDA MACHALA</v>
      </c>
      <c r="BY213" s="43" t="str">
        <f>VLOOKUP(CambioPlan[[#This Row],[DOMAIN_LOGIN_OW]],[1]!Personal[#Data],6,0)</f>
        <v>SANCHEZ SARITAMA JOEL LUIS</v>
      </c>
      <c r="BZ213" s="43"/>
      <c r="CA213" s="43" t="str">
        <f>IFERROR(IF(FIND("ADULTO",CambioPlan[[#This Row],[DESCRIPCION_PLAN_ACTUAL]],1),"NO SE PAGA",),"SI SE PAGA")</f>
        <v>SI SE PAGA</v>
      </c>
      <c r="CB213" s="45">
        <f>CambioPlan[[#This Row],[TARIFA_BASICA_ACTUAL]]-CambioPlan[[#This Row],[TARIFA_BASICA_ANTERIOR]]</f>
        <v>6.4300000000000015</v>
      </c>
      <c r="CC213" s="56">
        <f>CambioPlan[[#This Row],[DIF. TARIFAS]]*4</f>
        <v>25.720000000000006</v>
      </c>
      <c r="CD213" s="53" t="str">
        <f>IF(CambioPlan[[#This Row],[C. COMISIÓN TME]]&lt;0,"DOWNSELL",IF(CambioPlan[[#This Row],[C. COMISIÓN TME]]=0,"MISMA TARIFA",IF(CambioPlan[[#This Row],[C. COMISIÓN TME]]&gt;0,"UPSELL")))</f>
        <v>UPSELL</v>
      </c>
      <c r="CE213">
        <f>VLOOKUP(CambioPlan[[#This Row],[TARIFA_BASICA_ANTERIOR]],[3]Hoja1!$F:$G,2,0)</f>
        <v>0</v>
      </c>
      <c r="CF213">
        <f>VLOOKUP(CambioPlan[[#This Row],[TARIFA_BASICA_ACTUAL]],[3]Hoja1!$B:$C,2,0)</f>
        <v>2</v>
      </c>
      <c r="CG213">
        <f t="shared" si="2"/>
        <v>2</v>
      </c>
      <c r="CH213" t="e">
        <f>VLOOKUP(CambioPlan[[#This Row],[TELEFONO]],[1]Retenciones!$R$63:$R$287,1,0)</f>
        <v>#N/A</v>
      </c>
    </row>
    <row r="214" spans="1:86" x14ac:dyDescent="0.25">
      <c r="A214" s="43">
        <v>202212</v>
      </c>
      <c r="B214" s="44">
        <v>44914</v>
      </c>
      <c r="C214" s="43" t="s">
        <v>7780</v>
      </c>
      <c r="D214" s="43" t="s">
        <v>7781</v>
      </c>
      <c r="E214" s="43" t="s">
        <v>95</v>
      </c>
      <c r="F214" s="43" t="s">
        <v>311</v>
      </c>
      <c r="G214" s="43" t="s">
        <v>311</v>
      </c>
      <c r="H214" s="43" t="s">
        <v>246</v>
      </c>
      <c r="I214" s="43" t="s">
        <v>7782</v>
      </c>
      <c r="J214" s="43" t="s">
        <v>7037</v>
      </c>
      <c r="K214" s="43" t="s">
        <v>118</v>
      </c>
      <c r="L214" s="43" t="s">
        <v>7067</v>
      </c>
      <c r="M214" s="43" t="s">
        <v>7068</v>
      </c>
      <c r="N214" s="43" t="s">
        <v>79</v>
      </c>
      <c r="O214" s="45">
        <v>51.78</v>
      </c>
      <c r="P214" s="43" t="s">
        <v>95</v>
      </c>
      <c r="Q214" s="43" t="s">
        <v>95</v>
      </c>
      <c r="R214" s="43" t="s">
        <v>95</v>
      </c>
      <c r="S214" s="45">
        <v>0</v>
      </c>
      <c r="T214" s="43" t="s">
        <v>95</v>
      </c>
      <c r="U214" s="44" t="s">
        <v>95</v>
      </c>
      <c r="V214" s="44" t="s">
        <v>95</v>
      </c>
      <c r="W214" s="43" t="s">
        <v>95</v>
      </c>
      <c r="X214" s="45">
        <v>51.78</v>
      </c>
      <c r="Y214" s="43" t="s">
        <v>81</v>
      </c>
      <c r="Z214" s="43" t="s">
        <v>7147</v>
      </c>
      <c r="AA214" s="43" t="s">
        <v>7148</v>
      </c>
      <c r="AB214" s="43" t="s">
        <v>79</v>
      </c>
      <c r="AC214" s="45">
        <v>13.79</v>
      </c>
      <c r="AD214" s="43" t="s">
        <v>95</v>
      </c>
      <c r="AE214" s="43" t="s">
        <v>95</v>
      </c>
      <c r="AF214" s="43" t="s">
        <v>95</v>
      </c>
      <c r="AG214" s="43" t="s">
        <v>95</v>
      </c>
      <c r="AH214" s="45">
        <v>0</v>
      </c>
      <c r="AI214" s="43" t="s">
        <v>95</v>
      </c>
      <c r="AJ214" s="43" t="s">
        <v>95</v>
      </c>
      <c r="AK214" s="43" t="s">
        <v>95</v>
      </c>
      <c r="AL214" s="43" t="s">
        <v>95</v>
      </c>
      <c r="AM214" s="45">
        <v>13.79</v>
      </c>
      <c r="AN214" s="43" t="s">
        <v>81</v>
      </c>
      <c r="AO214" s="44">
        <v>44911</v>
      </c>
      <c r="AP214" s="43" t="s">
        <v>251</v>
      </c>
      <c r="AQ214" s="43" t="s">
        <v>252</v>
      </c>
      <c r="AR214" s="43" t="s">
        <v>251</v>
      </c>
      <c r="AS214" s="43" t="s">
        <v>252</v>
      </c>
      <c r="AT214" s="43" t="s">
        <v>85</v>
      </c>
      <c r="AU214" s="43" t="s">
        <v>7030</v>
      </c>
      <c r="AV214" s="43" t="s">
        <v>7031</v>
      </c>
      <c r="AW214" s="43" t="s">
        <v>7031</v>
      </c>
      <c r="AX214" s="43" t="s">
        <v>90</v>
      </c>
      <c r="AY214" s="43" t="s">
        <v>132</v>
      </c>
      <c r="AZ214" s="43" t="s">
        <v>7037</v>
      </c>
      <c r="BA214" s="43" t="s">
        <v>139</v>
      </c>
      <c r="BB214" s="45">
        <v>37.99</v>
      </c>
      <c r="BC214" s="45">
        <v>37.99</v>
      </c>
      <c r="BD214" s="43" t="s">
        <v>7032</v>
      </c>
      <c r="BE214" s="43" t="s">
        <v>81</v>
      </c>
      <c r="BF214" s="43" t="s">
        <v>81</v>
      </c>
      <c r="BG214" s="43" t="s">
        <v>86</v>
      </c>
      <c r="BH214" s="43" t="s">
        <v>177</v>
      </c>
      <c r="BI214" s="43" t="s">
        <v>7038</v>
      </c>
      <c r="BJ214" s="43" t="s">
        <v>7030</v>
      </c>
      <c r="BK214" s="43" t="s">
        <v>139</v>
      </c>
      <c r="BL214" s="43" t="s">
        <v>85</v>
      </c>
      <c r="BM214" s="43" t="s">
        <v>85</v>
      </c>
      <c r="BN214" s="43" t="s">
        <v>139</v>
      </c>
      <c r="BO214" s="46">
        <v>37.99</v>
      </c>
      <c r="BP214" s="43" t="s">
        <v>7032</v>
      </c>
      <c r="BQ214" s="43">
        <v>37.99</v>
      </c>
      <c r="BR214" s="43" t="s">
        <v>7032</v>
      </c>
      <c r="BS214" s="47">
        <v>37.99</v>
      </c>
      <c r="BT214" s="43" t="s">
        <v>7032</v>
      </c>
      <c r="BU214" s="43" t="s">
        <v>7032</v>
      </c>
      <c r="BV214" s="43" t="str">
        <f>CambioPlan[[#This Row],[TELEFONO]]&amp;"UPSELLSI"</f>
        <v>998640536UPSELLSI</v>
      </c>
      <c r="BW214" s="43">
        <f>DAY(CambioPlan[[#This Row],[FECHA_CAMBIO_PLAN]])</f>
        <v>16</v>
      </c>
      <c r="BX214" s="43" t="str">
        <f>VLOOKUP(CambioPlan[[#This Row],[NOM_PLAZA]],[1]!Locales[#Data],3,0)</f>
        <v>TIENDA RECREO</v>
      </c>
      <c r="BY214" s="43" t="str">
        <f>VLOOKUP(CambioPlan[[#This Row],[DOMAIN_LOGIN_OW]],[1]!Personal[#Data],6,0)</f>
        <v>CRUZ MONTUFAR KATHERINE ALEJANDRA</v>
      </c>
      <c r="BZ214" s="43"/>
      <c r="CA214" s="43" t="str">
        <f>IFERROR(IF(FIND("ADULTO",CambioPlan[[#This Row],[DESCRIPCION_PLAN_ACTUAL]],1),"NO SE PAGA",),"SI SE PAGA")</f>
        <v>SI SE PAGA</v>
      </c>
      <c r="CB214" s="45">
        <f>CambioPlan[[#This Row],[TARIFA_BASICA_ACTUAL]]-CambioPlan[[#This Row],[TARIFA_BASICA_ANTERIOR]]</f>
        <v>37.99</v>
      </c>
      <c r="CC214" s="56">
        <f>CambioPlan[[#This Row],[DIF. TARIFAS]]*4</f>
        <v>151.96</v>
      </c>
      <c r="CD214" s="53" t="str">
        <f>IF(CambioPlan[[#This Row],[C. COMISIÓN TME]]&lt;0,"DOWNSELL",IF(CambioPlan[[#This Row],[C. COMISIÓN TME]]=0,"MISMA TARIFA",IF(CambioPlan[[#This Row],[C. COMISIÓN TME]]&gt;0,"UPSELL")))</f>
        <v>UPSELL</v>
      </c>
      <c r="CE214">
        <f>VLOOKUP(CambioPlan[[#This Row],[TARIFA_BASICA_ANTERIOR]],[3]Hoja1!$F:$G,2,0)</f>
        <v>1</v>
      </c>
      <c r="CF214">
        <f>VLOOKUP(CambioPlan[[#This Row],[TARIFA_BASICA_ACTUAL]],[3]Hoja1!$B:$C,2,0)</f>
        <v>6</v>
      </c>
      <c r="CG214">
        <f t="shared" si="2"/>
        <v>5</v>
      </c>
      <c r="CH214" t="e">
        <f>VLOOKUP(CambioPlan[[#This Row],[TELEFONO]],[1]Retenciones!$R$63:$R$287,1,0)</f>
        <v>#N/A</v>
      </c>
    </row>
    <row r="215" spans="1:86" x14ac:dyDescent="0.25">
      <c r="A215" s="43">
        <v>202212</v>
      </c>
      <c r="B215" s="44">
        <v>44914</v>
      </c>
      <c r="C215" s="43" t="s">
        <v>7783</v>
      </c>
      <c r="D215" s="43" t="s">
        <v>7784</v>
      </c>
      <c r="E215" s="43" t="s">
        <v>95</v>
      </c>
      <c r="F215" s="43" t="s">
        <v>231</v>
      </c>
      <c r="G215" s="43" t="s">
        <v>231</v>
      </c>
      <c r="H215" s="43" t="s">
        <v>67</v>
      </c>
      <c r="I215" s="43" t="s">
        <v>7744</v>
      </c>
      <c r="J215" s="43" t="s">
        <v>7037</v>
      </c>
      <c r="K215" s="43" t="s">
        <v>84</v>
      </c>
      <c r="L215" s="43" t="s">
        <v>1756</v>
      </c>
      <c r="M215" s="43" t="s">
        <v>1757</v>
      </c>
      <c r="N215" s="43" t="s">
        <v>79</v>
      </c>
      <c r="O215" s="45">
        <v>17.850000000000001</v>
      </c>
      <c r="P215" s="43" t="s">
        <v>95</v>
      </c>
      <c r="Q215" s="43" t="s">
        <v>95</v>
      </c>
      <c r="R215" s="43" t="s">
        <v>95</v>
      </c>
      <c r="S215" s="45">
        <v>0</v>
      </c>
      <c r="T215" s="43" t="s">
        <v>95</v>
      </c>
      <c r="U215" s="44" t="s">
        <v>95</v>
      </c>
      <c r="V215" s="44" t="s">
        <v>95</v>
      </c>
      <c r="W215" s="43" t="s">
        <v>95</v>
      </c>
      <c r="X215" s="45">
        <v>17.850000000000001</v>
      </c>
      <c r="Y215" s="43" t="s">
        <v>81</v>
      </c>
      <c r="Z215" s="43" t="s">
        <v>574</v>
      </c>
      <c r="AA215" s="43" t="s">
        <v>575</v>
      </c>
      <c r="AB215" s="43" t="s">
        <v>79</v>
      </c>
      <c r="AC215" s="45">
        <v>17.850000000000001</v>
      </c>
      <c r="AD215" s="43" t="s">
        <v>95</v>
      </c>
      <c r="AE215" s="43" t="s">
        <v>95</v>
      </c>
      <c r="AF215" s="43" t="s">
        <v>95</v>
      </c>
      <c r="AG215" s="43" t="s">
        <v>95</v>
      </c>
      <c r="AH215" s="45">
        <v>0</v>
      </c>
      <c r="AI215" s="43" t="s">
        <v>95</v>
      </c>
      <c r="AJ215" s="43" t="s">
        <v>95</v>
      </c>
      <c r="AK215" s="43" t="s">
        <v>95</v>
      </c>
      <c r="AL215" s="43" t="s">
        <v>95</v>
      </c>
      <c r="AM215" s="45">
        <v>17.850000000000001</v>
      </c>
      <c r="AN215" s="43" t="s">
        <v>81</v>
      </c>
      <c r="AO215" s="44">
        <v>44901</v>
      </c>
      <c r="AP215" s="43" t="s">
        <v>740</v>
      </c>
      <c r="AQ215" s="43" t="s">
        <v>741</v>
      </c>
      <c r="AR215" s="43" t="s">
        <v>740</v>
      </c>
      <c r="AS215" s="43" t="s">
        <v>741</v>
      </c>
      <c r="AT215" s="43" t="s">
        <v>85</v>
      </c>
      <c r="AU215" s="43" t="s">
        <v>7030</v>
      </c>
      <c r="AV215" s="43" t="s">
        <v>7031</v>
      </c>
      <c r="AW215" s="43" t="s">
        <v>7031</v>
      </c>
      <c r="AX215" s="43" t="s">
        <v>90</v>
      </c>
      <c r="AY215" s="43" t="s">
        <v>132</v>
      </c>
      <c r="AZ215" s="43" t="s">
        <v>7037</v>
      </c>
      <c r="BA215" s="43" t="s">
        <v>139</v>
      </c>
      <c r="BB215" s="45">
        <v>0</v>
      </c>
      <c r="BC215" s="45">
        <v>0</v>
      </c>
      <c r="BD215" s="43" t="s">
        <v>7042</v>
      </c>
      <c r="BE215" s="43" t="s">
        <v>81</v>
      </c>
      <c r="BF215" s="43" t="s">
        <v>81</v>
      </c>
      <c r="BG215" s="43" t="s">
        <v>86</v>
      </c>
      <c r="BH215" s="43" t="s">
        <v>177</v>
      </c>
      <c r="BI215" s="43" t="s">
        <v>7038</v>
      </c>
      <c r="BJ215" s="43" t="s">
        <v>7030</v>
      </c>
      <c r="BK215" s="43" t="s">
        <v>139</v>
      </c>
      <c r="BL215" s="43" t="s">
        <v>85</v>
      </c>
      <c r="BM215" s="43" t="s">
        <v>85</v>
      </c>
      <c r="BN215" s="43" t="s">
        <v>139</v>
      </c>
      <c r="BO215" s="46">
        <v>0</v>
      </c>
      <c r="BP215" s="43" t="s">
        <v>7042</v>
      </c>
      <c r="BQ215" s="43">
        <v>0</v>
      </c>
      <c r="BR215" s="43" t="s">
        <v>7042</v>
      </c>
      <c r="BS215" s="47">
        <v>0</v>
      </c>
      <c r="BT215" s="43" t="s">
        <v>7042</v>
      </c>
      <c r="BU215" s="43" t="s">
        <v>7042</v>
      </c>
      <c r="BV215" s="43" t="str">
        <f>CambioPlan[[#This Row],[TELEFONO]]&amp;"UPSELLSI"</f>
        <v>998647984UPSELLSI</v>
      </c>
      <c r="BW215" s="43">
        <f>DAY(CambioPlan[[#This Row],[FECHA_CAMBIO_PLAN]])</f>
        <v>6</v>
      </c>
      <c r="BX215" s="43" t="str">
        <f>VLOOKUP(CambioPlan[[#This Row],[NOM_PLAZA]],[1]!Locales[#Data],3,0)</f>
        <v>TIENDA RECREO</v>
      </c>
      <c r="BY215" s="43" t="str">
        <f>VLOOKUP(CambioPlan[[#This Row],[DOMAIN_LOGIN_OW]],[1]!Personal[#Data],6,0)</f>
        <v>CHAVEZ VASQUEZ YESSENIA KATHERINE</v>
      </c>
      <c r="BZ215" s="43"/>
      <c r="CA215" s="43" t="str">
        <f>IFERROR(IF(FIND("ADULTO",CambioPlan[[#This Row],[DESCRIPCION_PLAN_ACTUAL]],1),"NO SE PAGA",),"SI SE PAGA")</f>
        <v>SI SE PAGA</v>
      </c>
      <c r="CB215" s="45">
        <f>CambioPlan[[#This Row],[TARIFA_BASICA_ACTUAL]]-CambioPlan[[#This Row],[TARIFA_BASICA_ANTERIOR]]</f>
        <v>0</v>
      </c>
      <c r="CC215" s="56">
        <f>CambioPlan[[#This Row],[DIF. TARIFAS]]*4</f>
        <v>0</v>
      </c>
      <c r="CD215" s="53" t="str">
        <f>IF(CambioPlan[[#This Row],[C. COMISIÓN TME]]&lt;0,"DOWNSELL",IF(CambioPlan[[#This Row],[C. COMISIÓN TME]]=0,"MISMA TARIFA",IF(CambioPlan[[#This Row],[C. COMISIÓN TME]]&gt;0,"UPSELL")))</f>
        <v>MISMA TARIFA</v>
      </c>
      <c r="CE215">
        <f>VLOOKUP(CambioPlan[[#This Row],[TARIFA_BASICA_ANTERIOR]],[3]Hoja1!$F:$G,2,0)</f>
        <v>2</v>
      </c>
      <c r="CF215">
        <f>VLOOKUP(CambioPlan[[#This Row],[TARIFA_BASICA_ACTUAL]],[3]Hoja1!$B:$C,2,0)</f>
        <v>2</v>
      </c>
      <c r="CG215">
        <f t="shared" si="2"/>
        <v>0</v>
      </c>
      <c r="CH215" t="e">
        <f>VLOOKUP(CambioPlan[[#This Row],[TELEFONO]],[1]Retenciones!$R$63:$R$287,1,0)</f>
        <v>#N/A</v>
      </c>
    </row>
    <row r="216" spans="1:86" x14ac:dyDescent="0.25">
      <c r="A216" s="43">
        <v>202212</v>
      </c>
      <c r="B216" s="44">
        <v>44914</v>
      </c>
      <c r="C216" s="43" t="s">
        <v>7785</v>
      </c>
      <c r="D216" s="43" t="s">
        <v>7786</v>
      </c>
      <c r="E216" s="43" t="s">
        <v>95</v>
      </c>
      <c r="F216" s="43" t="s">
        <v>77</v>
      </c>
      <c r="G216" s="43" t="s">
        <v>2241</v>
      </c>
      <c r="H216" s="43" t="s">
        <v>67</v>
      </c>
      <c r="I216" s="43" t="s">
        <v>7787</v>
      </c>
      <c r="J216" s="43" t="s">
        <v>7047</v>
      </c>
      <c r="K216" s="43" t="s">
        <v>84</v>
      </c>
      <c r="L216" s="43" t="s">
        <v>112</v>
      </c>
      <c r="M216" s="43" t="s">
        <v>781</v>
      </c>
      <c r="N216" s="43" t="s">
        <v>79</v>
      </c>
      <c r="O216" s="45">
        <v>17.850000000000001</v>
      </c>
      <c r="P216" s="43" t="s">
        <v>95</v>
      </c>
      <c r="Q216" s="43" t="s">
        <v>95</v>
      </c>
      <c r="R216" s="43" t="s">
        <v>95</v>
      </c>
      <c r="S216" s="45">
        <v>0</v>
      </c>
      <c r="T216" s="43" t="s">
        <v>95</v>
      </c>
      <c r="U216" s="44" t="s">
        <v>95</v>
      </c>
      <c r="V216" s="44" t="s">
        <v>95</v>
      </c>
      <c r="W216" s="43" t="s">
        <v>95</v>
      </c>
      <c r="X216" s="45">
        <v>17.850000000000001</v>
      </c>
      <c r="Y216" s="43" t="s">
        <v>81</v>
      </c>
      <c r="Z216" s="43" t="s">
        <v>7184</v>
      </c>
      <c r="AA216" s="43" t="s">
        <v>7185</v>
      </c>
      <c r="AB216" s="43" t="s">
        <v>79</v>
      </c>
      <c r="AC216" s="45">
        <v>10.54</v>
      </c>
      <c r="AD216" s="43" t="s">
        <v>95</v>
      </c>
      <c r="AE216" s="43" t="s">
        <v>95</v>
      </c>
      <c r="AF216" s="43" t="s">
        <v>95</v>
      </c>
      <c r="AG216" s="43" t="s">
        <v>95</v>
      </c>
      <c r="AH216" s="45">
        <v>0</v>
      </c>
      <c r="AI216" s="43" t="s">
        <v>95</v>
      </c>
      <c r="AJ216" s="43" t="s">
        <v>95</v>
      </c>
      <c r="AK216" s="43" t="s">
        <v>95</v>
      </c>
      <c r="AL216" s="43" t="s">
        <v>95</v>
      </c>
      <c r="AM216" s="45">
        <v>10.54</v>
      </c>
      <c r="AN216" s="43" t="s">
        <v>81</v>
      </c>
      <c r="AO216" s="44">
        <v>44905</v>
      </c>
      <c r="AP216" s="43" t="s">
        <v>808</v>
      </c>
      <c r="AQ216" s="43" t="s">
        <v>809</v>
      </c>
      <c r="AR216" s="43" t="s">
        <v>808</v>
      </c>
      <c r="AS216" s="43" t="s">
        <v>809</v>
      </c>
      <c r="AT216" s="43" t="s">
        <v>85</v>
      </c>
      <c r="AU216" s="43" t="s">
        <v>7030</v>
      </c>
      <c r="AV216" s="43" t="s">
        <v>7031</v>
      </c>
      <c r="AW216" s="43" t="s">
        <v>7031</v>
      </c>
      <c r="AX216" s="43" t="s">
        <v>90</v>
      </c>
      <c r="AY216" s="43" t="s">
        <v>114</v>
      </c>
      <c r="AZ216" s="43" t="s">
        <v>7047</v>
      </c>
      <c r="BA216" s="43" t="s">
        <v>92</v>
      </c>
      <c r="BB216" s="45">
        <v>7.31</v>
      </c>
      <c r="BC216" s="45">
        <v>7.31</v>
      </c>
      <c r="BD216" s="43" t="s">
        <v>7032</v>
      </c>
      <c r="BE216" s="43" t="s">
        <v>81</v>
      </c>
      <c r="BF216" s="43" t="s">
        <v>81</v>
      </c>
      <c r="BG216" s="43" t="s">
        <v>86</v>
      </c>
      <c r="BH216" s="43" t="s">
        <v>122</v>
      </c>
      <c r="BI216" s="43" t="s">
        <v>7048</v>
      </c>
      <c r="BJ216" s="43" t="s">
        <v>7030</v>
      </c>
      <c r="BK216" s="43" t="s">
        <v>92</v>
      </c>
      <c r="BL216" s="43" t="s">
        <v>85</v>
      </c>
      <c r="BM216" s="43" t="s">
        <v>85</v>
      </c>
      <c r="BN216" s="43" t="s">
        <v>92</v>
      </c>
      <c r="BO216" s="46">
        <v>7.31</v>
      </c>
      <c r="BP216" s="43" t="s">
        <v>7032</v>
      </c>
      <c r="BQ216" s="43">
        <v>7.31</v>
      </c>
      <c r="BR216" s="43" t="s">
        <v>7032</v>
      </c>
      <c r="BS216" s="47">
        <v>7.31</v>
      </c>
      <c r="BT216" s="43" t="s">
        <v>7032</v>
      </c>
      <c r="BU216" s="43" t="s">
        <v>7032</v>
      </c>
      <c r="BV216" s="43" t="str">
        <f>CambioPlan[[#This Row],[TELEFONO]]&amp;"UPSELLSI"</f>
        <v>998657950UPSELLSI</v>
      </c>
      <c r="BW216" s="43">
        <f>DAY(CambioPlan[[#This Row],[FECHA_CAMBIO_PLAN]])</f>
        <v>10</v>
      </c>
      <c r="BX216" s="43" t="str">
        <f>VLOOKUP(CambioPlan[[#This Row],[NOM_PLAZA]],[1]!Locales[#Data],3,0)</f>
        <v>TIENDA MACHALA</v>
      </c>
      <c r="BY216" s="43" t="str">
        <f>VLOOKUP(CambioPlan[[#This Row],[DOMAIN_LOGIN_OW]],[1]!Personal[#Data],6,0)</f>
        <v>ALICIA ROMINA GONZALEZ SANDOYA</v>
      </c>
      <c r="BZ216" s="43"/>
      <c r="CA216" s="43" t="str">
        <f>IFERROR(IF(FIND("ADULTO",CambioPlan[[#This Row],[DESCRIPCION_PLAN_ACTUAL]],1),"NO SE PAGA",),"SI SE PAGA")</f>
        <v>SI SE PAGA</v>
      </c>
      <c r="CB216" s="45">
        <f>CambioPlan[[#This Row],[TARIFA_BASICA_ACTUAL]]-CambioPlan[[#This Row],[TARIFA_BASICA_ANTERIOR]]</f>
        <v>7.3100000000000023</v>
      </c>
      <c r="CC216" s="56">
        <f>CambioPlan[[#This Row],[DIF. TARIFAS]]*4</f>
        <v>29.240000000000009</v>
      </c>
      <c r="CD216" s="53" t="str">
        <f>IF(CambioPlan[[#This Row],[C. COMISIÓN TME]]&lt;0,"DOWNSELL",IF(CambioPlan[[#This Row],[C. COMISIÓN TME]]=0,"MISMA TARIFA",IF(CambioPlan[[#This Row],[C. COMISIÓN TME]]&gt;0,"UPSELL")))</f>
        <v>UPSELL</v>
      </c>
      <c r="CE216">
        <f>VLOOKUP(CambioPlan[[#This Row],[TARIFA_BASICA_ANTERIOR]],[3]Hoja1!$F:$G,2,0)</f>
        <v>0</v>
      </c>
      <c r="CF216">
        <f>VLOOKUP(CambioPlan[[#This Row],[TARIFA_BASICA_ACTUAL]],[3]Hoja1!$B:$C,2,0)</f>
        <v>2</v>
      </c>
      <c r="CG216">
        <f t="shared" ref="CG216:CG238" si="3">CF216-CE216</f>
        <v>2</v>
      </c>
      <c r="CH216" t="e">
        <f>VLOOKUP(CambioPlan[[#This Row],[TELEFONO]],[1]Retenciones!$R$63:$R$287,1,0)</f>
        <v>#N/A</v>
      </c>
    </row>
    <row r="217" spans="1:86" x14ac:dyDescent="0.25">
      <c r="A217" s="43">
        <v>202212</v>
      </c>
      <c r="B217" s="44">
        <v>44914</v>
      </c>
      <c r="C217" s="43" t="s">
        <v>7788</v>
      </c>
      <c r="D217" s="43" t="s">
        <v>7789</v>
      </c>
      <c r="E217" s="43" t="s">
        <v>95</v>
      </c>
      <c r="F217" s="43" t="s">
        <v>77</v>
      </c>
      <c r="G217" s="43" t="s">
        <v>164</v>
      </c>
      <c r="H217" s="43" t="s">
        <v>67</v>
      </c>
      <c r="I217" s="43" t="s">
        <v>7790</v>
      </c>
      <c r="J217" s="43" t="s">
        <v>7037</v>
      </c>
      <c r="K217" s="43" t="s">
        <v>118</v>
      </c>
      <c r="L217" s="43" t="s">
        <v>112</v>
      </c>
      <c r="M217" s="43" t="s">
        <v>781</v>
      </c>
      <c r="N217" s="43" t="s">
        <v>79</v>
      </c>
      <c r="O217" s="45">
        <v>17.850000000000001</v>
      </c>
      <c r="P217" s="43" t="s">
        <v>95</v>
      </c>
      <c r="Q217" s="43" t="s">
        <v>95</v>
      </c>
      <c r="R217" s="43" t="s">
        <v>95</v>
      </c>
      <c r="S217" s="45">
        <v>0</v>
      </c>
      <c r="T217" s="43" t="s">
        <v>95</v>
      </c>
      <c r="U217" s="44" t="s">
        <v>95</v>
      </c>
      <c r="V217" s="44" t="s">
        <v>95</v>
      </c>
      <c r="W217" s="43" t="s">
        <v>95</v>
      </c>
      <c r="X217" s="45">
        <v>17.850000000000001</v>
      </c>
      <c r="Y217" s="43" t="s">
        <v>81</v>
      </c>
      <c r="Z217" s="43" t="s">
        <v>160</v>
      </c>
      <c r="AA217" s="43" t="s">
        <v>161</v>
      </c>
      <c r="AB217" s="43" t="s">
        <v>79</v>
      </c>
      <c r="AC217" s="45">
        <v>14.28</v>
      </c>
      <c r="AD217" s="43" t="s">
        <v>95</v>
      </c>
      <c r="AE217" s="43" t="s">
        <v>95</v>
      </c>
      <c r="AF217" s="43" t="s">
        <v>95</v>
      </c>
      <c r="AG217" s="43" t="s">
        <v>95</v>
      </c>
      <c r="AH217" s="45">
        <v>0</v>
      </c>
      <c r="AI217" s="43" t="s">
        <v>95</v>
      </c>
      <c r="AJ217" s="43" t="s">
        <v>95</v>
      </c>
      <c r="AK217" s="43" t="s">
        <v>95</v>
      </c>
      <c r="AL217" s="43" t="s">
        <v>95</v>
      </c>
      <c r="AM217" s="45">
        <v>14.28</v>
      </c>
      <c r="AN217" s="43" t="s">
        <v>81</v>
      </c>
      <c r="AO217" s="44">
        <v>44905</v>
      </c>
      <c r="AP217" s="43" t="s">
        <v>251</v>
      </c>
      <c r="AQ217" s="43" t="s">
        <v>252</v>
      </c>
      <c r="AR217" s="43" t="s">
        <v>251</v>
      </c>
      <c r="AS217" s="43" t="s">
        <v>252</v>
      </c>
      <c r="AT217" s="43" t="s">
        <v>85</v>
      </c>
      <c r="AU217" s="43" t="s">
        <v>7030</v>
      </c>
      <c r="AV217" s="43" t="s">
        <v>7031</v>
      </c>
      <c r="AW217" s="43" t="s">
        <v>7031</v>
      </c>
      <c r="AX217" s="43" t="s">
        <v>90</v>
      </c>
      <c r="AY217" s="43" t="s">
        <v>132</v>
      </c>
      <c r="AZ217" s="43" t="s">
        <v>7037</v>
      </c>
      <c r="BA217" s="43" t="s">
        <v>139</v>
      </c>
      <c r="BB217" s="45">
        <v>3.57</v>
      </c>
      <c r="BC217" s="45">
        <v>3.57</v>
      </c>
      <c r="BD217" s="43" t="s">
        <v>7032</v>
      </c>
      <c r="BE217" s="43" t="s">
        <v>81</v>
      </c>
      <c r="BF217" s="43" t="s">
        <v>81</v>
      </c>
      <c r="BG217" s="43" t="s">
        <v>86</v>
      </c>
      <c r="BH217" s="43" t="s">
        <v>177</v>
      </c>
      <c r="BI217" s="43" t="s">
        <v>7038</v>
      </c>
      <c r="BJ217" s="43" t="s">
        <v>7030</v>
      </c>
      <c r="BK217" s="43" t="s">
        <v>139</v>
      </c>
      <c r="BL217" s="43" t="s">
        <v>85</v>
      </c>
      <c r="BM217" s="43" t="s">
        <v>85</v>
      </c>
      <c r="BN217" s="43" t="s">
        <v>139</v>
      </c>
      <c r="BO217" s="46">
        <v>3.57</v>
      </c>
      <c r="BP217" s="43" t="s">
        <v>7032</v>
      </c>
      <c r="BQ217" s="43">
        <v>3.57</v>
      </c>
      <c r="BR217" s="43" t="s">
        <v>7032</v>
      </c>
      <c r="BS217" s="47">
        <v>3.57</v>
      </c>
      <c r="BT217" s="43" t="s">
        <v>7032</v>
      </c>
      <c r="BU217" s="43" t="s">
        <v>7032</v>
      </c>
      <c r="BV217" s="43" t="str">
        <f>CambioPlan[[#This Row],[TELEFONO]]&amp;"UPSELLSI"</f>
        <v>998680496UPSELLSI</v>
      </c>
      <c r="BW217" s="43">
        <f>DAY(CambioPlan[[#This Row],[FECHA_CAMBIO_PLAN]])</f>
        <v>10</v>
      </c>
      <c r="BX217" s="43" t="str">
        <f>VLOOKUP(CambioPlan[[#This Row],[NOM_PLAZA]],[1]!Locales[#Data],3,0)</f>
        <v>TIENDA RECREO</v>
      </c>
      <c r="BY217" s="43" t="str">
        <f>VLOOKUP(CambioPlan[[#This Row],[DOMAIN_LOGIN_OW]],[1]!Personal[#Data],6,0)</f>
        <v>CRUZ MONTUFAR KATHERINE ALEJANDRA</v>
      </c>
      <c r="BZ217" s="43"/>
      <c r="CA217" s="43" t="str">
        <f>IFERROR(IF(FIND("ADULTO",CambioPlan[[#This Row],[DESCRIPCION_PLAN_ACTUAL]],1),"NO SE PAGA",),"SI SE PAGA")</f>
        <v>SI SE PAGA</v>
      </c>
      <c r="CB217" s="45">
        <f>CambioPlan[[#This Row],[TARIFA_BASICA_ACTUAL]]-CambioPlan[[#This Row],[TARIFA_BASICA_ANTERIOR]]</f>
        <v>3.5700000000000021</v>
      </c>
      <c r="CC217" s="56">
        <f>CambioPlan[[#This Row],[DIF. TARIFAS]]*4</f>
        <v>14.280000000000008</v>
      </c>
      <c r="CD217" s="53" t="str">
        <f>IF(CambioPlan[[#This Row],[C. COMISIÓN TME]]&lt;0,"DOWNSELL",IF(CambioPlan[[#This Row],[C. COMISIÓN TME]]=0,"MISMA TARIFA",IF(CambioPlan[[#This Row],[C. COMISIÓN TME]]&gt;0,"UPSELL")))</f>
        <v>UPSELL</v>
      </c>
      <c r="CE217">
        <f>VLOOKUP(CambioPlan[[#This Row],[TARIFA_BASICA_ANTERIOR]],[3]Hoja1!$F:$G,2,0)</f>
        <v>1</v>
      </c>
      <c r="CF217">
        <f>VLOOKUP(CambioPlan[[#This Row],[TARIFA_BASICA_ACTUAL]],[3]Hoja1!$B:$C,2,0)</f>
        <v>2</v>
      </c>
      <c r="CG217">
        <f t="shared" si="3"/>
        <v>1</v>
      </c>
      <c r="CH217" t="e">
        <f>VLOOKUP(CambioPlan[[#This Row],[TELEFONO]],[1]Retenciones!$R$63:$R$287,1,0)</f>
        <v>#N/A</v>
      </c>
    </row>
    <row r="218" spans="1:86" x14ac:dyDescent="0.25">
      <c r="A218" s="43">
        <v>202212</v>
      </c>
      <c r="B218" s="44">
        <v>44914</v>
      </c>
      <c r="C218" s="43" t="s">
        <v>7791</v>
      </c>
      <c r="D218" s="43" t="s">
        <v>7792</v>
      </c>
      <c r="E218" s="43" t="s">
        <v>95</v>
      </c>
      <c r="F218" s="43" t="s">
        <v>768</v>
      </c>
      <c r="G218" s="43" t="s">
        <v>768</v>
      </c>
      <c r="H218" s="43" t="s">
        <v>67</v>
      </c>
      <c r="I218" s="43" t="s">
        <v>7793</v>
      </c>
      <c r="J218" s="43" t="s">
        <v>7037</v>
      </c>
      <c r="K218" s="43" t="s">
        <v>215</v>
      </c>
      <c r="L218" s="43" t="s">
        <v>183</v>
      </c>
      <c r="M218" s="43" t="s">
        <v>184</v>
      </c>
      <c r="N218" s="43" t="s">
        <v>79</v>
      </c>
      <c r="O218" s="45">
        <v>11.42</v>
      </c>
      <c r="P218" s="43" t="s">
        <v>95</v>
      </c>
      <c r="Q218" s="43" t="s">
        <v>95</v>
      </c>
      <c r="R218" s="43" t="s">
        <v>95</v>
      </c>
      <c r="S218" s="45">
        <v>0</v>
      </c>
      <c r="T218" s="43" t="s">
        <v>95</v>
      </c>
      <c r="U218" s="44" t="s">
        <v>95</v>
      </c>
      <c r="V218" s="44" t="s">
        <v>95</v>
      </c>
      <c r="W218" s="43" t="s">
        <v>95</v>
      </c>
      <c r="X218" s="45">
        <v>11.42</v>
      </c>
      <c r="Y218" s="43" t="s">
        <v>81</v>
      </c>
      <c r="Z218" s="43" t="s">
        <v>7358</v>
      </c>
      <c r="AA218" s="43" t="s">
        <v>7359</v>
      </c>
      <c r="AB218" s="43" t="s">
        <v>79</v>
      </c>
      <c r="AC218" s="45">
        <v>10.54</v>
      </c>
      <c r="AD218" s="43" t="s">
        <v>95</v>
      </c>
      <c r="AE218" s="43" t="s">
        <v>95</v>
      </c>
      <c r="AF218" s="43" t="s">
        <v>95</v>
      </c>
      <c r="AG218" s="43" t="s">
        <v>95</v>
      </c>
      <c r="AH218" s="45">
        <v>0</v>
      </c>
      <c r="AI218" s="43" t="s">
        <v>95</v>
      </c>
      <c r="AJ218" s="43" t="s">
        <v>95</v>
      </c>
      <c r="AK218" s="43" t="s">
        <v>95</v>
      </c>
      <c r="AL218" s="43" t="s">
        <v>95</v>
      </c>
      <c r="AM218" s="45">
        <v>10.54</v>
      </c>
      <c r="AN218" s="43" t="s">
        <v>81</v>
      </c>
      <c r="AO218" s="44">
        <v>44912</v>
      </c>
      <c r="AP218" s="43" t="s">
        <v>326</v>
      </c>
      <c r="AQ218" s="43" t="s">
        <v>327</v>
      </c>
      <c r="AR218" s="43" t="s">
        <v>326</v>
      </c>
      <c r="AS218" s="43" t="s">
        <v>327</v>
      </c>
      <c r="AT218" s="43" t="s">
        <v>85</v>
      </c>
      <c r="AU218" s="43" t="s">
        <v>7030</v>
      </c>
      <c r="AV218" s="43" t="s">
        <v>7031</v>
      </c>
      <c r="AW218" s="43" t="s">
        <v>7031</v>
      </c>
      <c r="AX218" s="43" t="s">
        <v>90</v>
      </c>
      <c r="AY218" s="43" t="s">
        <v>132</v>
      </c>
      <c r="AZ218" s="43" t="s">
        <v>7037</v>
      </c>
      <c r="BA218" s="43" t="s">
        <v>139</v>
      </c>
      <c r="BB218" s="45">
        <v>0.880000000000001</v>
      </c>
      <c r="BC218" s="45">
        <v>0.87999999999999901</v>
      </c>
      <c r="BD218" s="43" t="s">
        <v>7032</v>
      </c>
      <c r="BE218" s="43" t="s">
        <v>81</v>
      </c>
      <c r="BF218" s="43" t="s">
        <v>81</v>
      </c>
      <c r="BG218" s="43" t="s">
        <v>86</v>
      </c>
      <c r="BH218" s="43" t="s">
        <v>138</v>
      </c>
      <c r="BI218" s="43" t="s">
        <v>7076</v>
      </c>
      <c r="BJ218" s="43" t="s">
        <v>7030</v>
      </c>
      <c r="BK218" s="43" t="s">
        <v>139</v>
      </c>
      <c r="BL218" s="43" t="s">
        <v>85</v>
      </c>
      <c r="BM218" s="43" t="s">
        <v>85</v>
      </c>
      <c r="BN218" s="43" t="s">
        <v>139</v>
      </c>
      <c r="BO218" s="46">
        <v>0.87999999999999901</v>
      </c>
      <c r="BP218" s="43" t="s">
        <v>7032</v>
      </c>
      <c r="BQ218" s="43">
        <v>0.87999999999999901</v>
      </c>
      <c r="BR218" s="43" t="s">
        <v>7032</v>
      </c>
      <c r="BS218" s="47">
        <v>0.87999999999999901</v>
      </c>
      <c r="BT218" s="43" t="s">
        <v>7032</v>
      </c>
      <c r="BU218" s="43" t="s">
        <v>7092</v>
      </c>
      <c r="BV218" s="43" t="str">
        <f>CambioPlan[[#This Row],[TELEFONO]]&amp;"UPSELLSI"</f>
        <v>998696183UPSELLSI</v>
      </c>
      <c r="BW218" s="43">
        <f>DAY(CambioPlan[[#This Row],[FECHA_CAMBIO_PLAN]])</f>
        <v>17</v>
      </c>
      <c r="BX218" s="43" t="str">
        <f>VLOOKUP(CambioPlan[[#This Row],[NOM_PLAZA]],[1]!Locales[#Data],3,0)</f>
        <v>TIENDA AMERICA</v>
      </c>
      <c r="BY218" s="43" t="str">
        <f>VLOOKUP(CambioPlan[[#This Row],[DOMAIN_LOGIN_OW]],[1]!Personal[#Data],6,0)</f>
        <v>AMBULUDI ROLDAN GIANELLA GRIMANEZA</v>
      </c>
      <c r="BZ218" s="43"/>
      <c r="CA218" s="43" t="str">
        <f>IFERROR(IF(FIND("ADULTO",CambioPlan[[#This Row],[DESCRIPCION_PLAN_ACTUAL]],1),"NO SE PAGA",),"SI SE PAGA")</f>
        <v>SI SE PAGA</v>
      </c>
      <c r="CB218" s="45">
        <f>CambioPlan[[#This Row],[TARIFA_BASICA_ACTUAL]]-CambioPlan[[#This Row],[TARIFA_BASICA_ANTERIOR]]</f>
        <v>0.88000000000000078</v>
      </c>
      <c r="CC218" s="56">
        <f>CambioPlan[[#This Row],[DIF. TARIFAS]]*4</f>
        <v>3.5200000000000031</v>
      </c>
      <c r="CD218" s="53" t="str">
        <f>IF(CambioPlan[[#This Row],[C. COMISIÓN TME]]&lt;0,"DOWNSELL",IF(CambioPlan[[#This Row],[C. COMISIÓN TME]]=0,"MISMA TARIFA",IF(CambioPlan[[#This Row],[C. COMISIÓN TME]]&gt;0,"UPSELL")))</f>
        <v>UPSELL</v>
      </c>
      <c r="CE218">
        <f>VLOOKUP(CambioPlan[[#This Row],[TARIFA_BASICA_ANTERIOR]],[3]Hoja1!$F:$G,2,0)</f>
        <v>0</v>
      </c>
      <c r="CF218">
        <f>VLOOKUP(CambioPlan[[#This Row],[TARIFA_BASICA_ACTUAL]],[3]Hoja1!$B:$C,2,0)</f>
        <v>0</v>
      </c>
      <c r="CG218">
        <f t="shared" si="3"/>
        <v>0</v>
      </c>
      <c r="CH218" t="e">
        <f>VLOOKUP(CambioPlan[[#This Row],[TELEFONO]],[1]Retenciones!$R$63:$R$287,1,0)</f>
        <v>#N/A</v>
      </c>
    </row>
    <row r="219" spans="1:86" x14ac:dyDescent="0.25">
      <c r="A219" s="43">
        <v>202212</v>
      </c>
      <c r="B219" s="44">
        <v>44914</v>
      </c>
      <c r="C219" s="43" t="s">
        <v>7794</v>
      </c>
      <c r="D219" s="43" t="s">
        <v>7795</v>
      </c>
      <c r="E219" s="43" t="s">
        <v>95</v>
      </c>
      <c r="F219" s="43" t="s">
        <v>77</v>
      </c>
      <c r="G219" s="43" t="s">
        <v>2241</v>
      </c>
      <c r="H219" s="43" t="s">
        <v>67</v>
      </c>
      <c r="I219" s="43" t="s">
        <v>7796</v>
      </c>
      <c r="J219" s="43" t="s">
        <v>7037</v>
      </c>
      <c r="K219" s="43" t="s">
        <v>118</v>
      </c>
      <c r="L219" s="43" t="s">
        <v>160</v>
      </c>
      <c r="M219" s="43" t="s">
        <v>161</v>
      </c>
      <c r="N219" s="43" t="s">
        <v>79</v>
      </c>
      <c r="O219" s="45">
        <v>14.28</v>
      </c>
      <c r="P219" s="43" t="s">
        <v>95</v>
      </c>
      <c r="Q219" s="43" t="s">
        <v>95</v>
      </c>
      <c r="R219" s="43" t="s">
        <v>95</v>
      </c>
      <c r="S219" s="45">
        <v>0</v>
      </c>
      <c r="T219" s="43" t="s">
        <v>95</v>
      </c>
      <c r="U219" s="44" t="s">
        <v>95</v>
      </c>
      <c r="V219" s="44" t="s">
        <v>95</v>
      </c>
      <c r="W219" s="43" t="s">
        <v>95</v>
      </c>
      <c r="X219" s="45">
        <v>14.28</v>
      </c>
      <c r="Y219" s="43" t="s">
        <v>81</v>
      </c>
      <c r="Z219" s="43" t="s">
        <v>130</v>
      </c>
      <c r="AA219" s="43" t="s">
        <v>433</v>
      </c>
      <c r="AB219" s="43" t="s">
        <v>79</v>
      </c>
      <c r="AC219" s="45">
        <v>15</v>
      </c>
      <c r="AD219" s="43" t="s">
        <v>95</v>
      </c>
      <c r="AE219" s="43" t="s">
        <v>95</v>
      </c>
      <c r="AF219" s="43" t="s">
        <v>95</v>
      </c>
      <c r="AG219" s="43" t="s">
        <v>95</v>
      </c>
      <c r="AH219" s="45">
        <v>0</v>
      </c>
      <c r="AI219" s="43" t="s">
        <v>95</v>
      </c>
      <c r="AJ219" s="43" t="s">
        <v>95</v>
      </c>
      <c r="AK219" s="43" t="s">
        <v>95</v>
      </c>
      <c r="AL219" s="43" t="s">
        <v>95</v>
      </c>
      <c r="AM219" s="45">
        <v>15</v>
      </c>
      <c r="AN219" s="43" t="s">
        <v>81</v>
      </c>
      <c r="AO219" s="44">
        <v>44902</v>
      </c>
      <c r="AP219" s="43" t="s">
        <v>918</v>
      </c>
      <c r="AQ219" s="43" t="s">
        <v>919</v>
      </c>
      <c r="AR219" s="43" t="s">
        <v>918</v>
      </c>
      <c r="AS219" s="43" t="s">
        <v>919</v>
      </c>
      <c r="AT219" s="43" t="s">
        <v>85</v>
      </c>
      <c r="AU219" s="43" t="s">
        <v>7030</v>
      </c>
      <c r="AV219" s="43" t="s">
        <v>7031</v>
      </c>
      <c r="AW219" s="43" t="s">
        <v>7031</v>
      </c>
      <c r="AX219" s="43" t="s">
        <v>90</v>
      </c>
      <c r="AY219" s="43" t="s">
        <v>132</v>
      </c>
      <c r="AZ219" s="43" t="s">
        <v>7037</v>
      </c>
      <c r="BA219" s="43" t="s">
        <v>139</v>
      </c>
      <c r="BB219" s="45">
        <v>-0.72000000000000097</v>
      </c>
      <c r="BC219" s="45">
        <v>-0.71999999999999897</v>
      </c>
      <c r="BD219" s="43" t="s">
        <v>7106</v>
      </c>
      <c r="BE219" s="43" t="s">
        <v>81</v>
      </c>
      <c r="BF219" s="43" t="s">
        <v>81</v>
      </c>
      <c r="BG219" s="43" t="s">
        <v>86</v>
      </c>
      <c r="BH219" s="43" t="s">
        <v>177</v>
      </c>
      <c r="BI219" s="43" t="s">
        <v>7038</v>
      </c>
      <c r="BJ219" s="43" t="s">
        <v>7030</v>
      </c>
      <c r="BK219" s="43" t="s">
        <v>139</v>
      </c>
      <c r="BL219" s="43" t="s">
        <v>85</v>
      </c>
      <c r="BM219" s="43" t="s">
        <v>85</v>
      </c>
      <c r="BN219" s="43" t="s">
        <v>139</v>
      </c>
      <c r="BO219" s="46">
        <v>-0.71999999999999897</v>
      </c>
      <c r="BP219" s="43" t="s">
        <v>7106</v>
      </c>
      <c r="BQ219" s="43">
        <v>-0.71999999999999897</v>
      </c>
      <c r="BR219" s="43" t="s">
        <v>7106</v>
      </c>
      <c r="BS219" s="47">
        <v>-0.71999999999999897</v>
      </c>
      <c r="BT219" s="43" t="s">
        <v>7106</v>
      </c>
      <c r="BU219" s="43" t="s">
        <v>7106</v>
      </c>
      <c r="BV219" s="43" t="str">
        <f>CambioPlan[[#This Row],[TELEFONO]]&amp;"UPSELLSI"</f>
        <v>998698063UPSELLSI</v>
      </c>
      <c r="BW219" s="43">
        <f>DAY(CambioPlan[[#This Row],[FECHA_CAMBIO_PLAN]])</f>
        <v>7</v>
      </c>
      <c r="BX219" s="43" t="str">
        <f>VLOOKUP(CambioPlan[[#This Row],[NOM_PLAZA]],[1]!Locales[#Data],3,0)</f>
        <v>TIENDA RECREO</v>
      </c>
      <c r="BY219" s="43" t="str">
        <f>VLOOKUP(CambioPlan[[#This Row],[DOMAIN_LOGIN_OW]],[1]!Personal[#Data],6,0)</f>
        <v>ORELLANA CARRERA MICHAEL ALEXANDER</v>
      </c>
      <c r="BZ219" s="43"/>
      <c r="CA219" s="43" t="str">
        <f>IFERROR(IF(FIND("ADULTO",CambioPlan[[#This Row],[DESCRIPCION_PLAN_ACTUAL]],1),"NO SE PAGA",),"SI SE PAGA")</f>
        <v>SI SE PAGA</v>
      </c>
      <c r="CB219" s="45">
        <f>CambioPlan[[#This Row],[TARIFA_BASICA_ACTUAL]]-CambioPlan[[#This Row],[TARIFA_BASICA_ANTERIOR]]</f>
        <v>-0.72000000000000064</v>
      </c>
      <c r="CC219" s="56">
        <f>CambioPlan[[#This Row],[DIF. TARIFAS]]*4</f>
        <v>-2.8800000000000026</v>
      </c>
      <c r="CD219" s="53" t="str">
        <f>IF(CambioPlan[[#This Row],[C. COMISIÓN TME]]&lt;0,"DOWNSELL",IF(CambioPlan[[#This Row],[C. COMISIÓN TME]]=0,"MISMA TARIFA",IF(CambioPlan[[#This Row],[C. COMISIÓN TME]]&gt;0,"UPSELL")))</f>
        <v>DOWNSELL</v>
      </c>
      <c r="CE219">
        <f>VLOOKUP(CambioPlan[[#This Row],[TARIFA_BASICA_ANTERIOR]],[3]Hoja1!$F:$G,2,0)</f>
        <v>2</v>
      </c>
      <c r="CF219">
        <f>VLOOKUP(CambioPlan[[#This Row],[TARIFA_BASICA_ACTUAL]],[3]Hoja1!$B:$C,2,0)</f>
        <v>1</v>
      </c>
      <c r="CG219">
        <f t="shared" si="3"/>
        <v>-1</v>
      </c>
      <c r="CH219" t="e">
        <f>VLOOKUP(CambioPlan[[#This Row],[TELEFONO]],[1]Retenciones!$R$63:$R$287,1,0)</f>
        <v>#N/A</v>
      </c>
    </row>
    <row r="220" spans="1:86" x14ac:dyDescent="0.25">
      <c r="A220" s="43">
        <v>202212</v>
      </c>
      <c r="B220" s="44">
        <v>44914</v>
      </c>
      <c r="C220" s="43" t="s">
        <v>7797</v>
      </c>
      <c r="D220" s="43" t="s">
        <v>7798</v>
      </c>
      <c r="E220" s="43" t="s">
        <v>95</v>
      </c>
      <c r="F220" s="43" t="s">
        <v>77</v>
      </c>
      <c r="G220" s="43" t="s">
        <v>1532</v>
      </c>
      <c r="H220" s="43" t="s">
        <v>246</v>
      </c>
      <c r="I220" s="43" t="s">
        <v>2467</v>
      </c>
      <c r="J220" s="43" t="s">
        <v>7037</v>
      </c>
      <c r="K220" s="43" t="s">
        <v>84</v>
      </c>
      <c r="L220" s="43" t="s">
        <v>7067</v>
      </c>
      <c r="M220" s="43" t="s">
        <v>7068</v>
      </c>
      <c r="N220" s="43" t="s">
        <v>79</v>
      </c>
      <c r="O220" s="45">
        <v>51.78</v>
      </c>
      <c r="P220" s="43" t="s">
        <v>95</v>
      </c>
      <c r="Q220" s="43" t="s">
        <v>95</v>
      </c>
      <c r="R220" s="43" t="s">
        <v>95</v>
      </c>
      <c r="S220" s="45">
        <v>0</v>
      </c>
      <c r="T220" s="43" t="s">
        <v>95</v>
      </c>
      <c r="U220" s="44" t="s">
        <v>95</v>
      </c>
      <c r="V220" s="44" t="s">
        <v>95</v>
      </c>
      <c r="W220" s="43" t="s">
        <v>95</v>
      </c>
      <c r="X220" s="45">
        <v>51.78</v>
      </c>
      <c r="Y220" s="43" t="s">
        <v>81</v>
      </c>
      <c r="Z220" s="43" t="s">
        <v>7055</v>
      </c>
      <c r="AA220" s="43" t="s">
        <v>7341</v>
      </c>
      <c r="AB220" s="43" t="s">
        <v>79</v>
      </c>
      <c r="AC220" s="45">
        <v>15</v>
      </c>
      <c r="AD220" s="43" t="s">
        <v>95</v>
      </c>
      <c r="AE220" s="43" t="s">
        <v>95</v>
      </c>
      <c r="AF220" s="43" t="s">
        <v>95</v>
      </c>
      <c r="AG220" s="43" t="s">
        <v>95</v>
      </c>
      <c r="AH220" s="45">
        <v>0</v>
      </c>
      <c r="AI220" s="43" t="s">
        <v>95</v>
      </c>
      <c r="AJ220" s="43" t="s">
        <v>95</v>
      </c>
      <c r="AK220" s="43" t="s">
        <v>95</v>
      </c>
      <c r="AL220" s="43" t="s">
        <v>95</v>
      </c>
      <c r="AM220" s="45">
        <v>15</v>
      </c>
      <c r="AN220" s="43" t="s">
        <v>81</v>
      </c>
      <c r="AO220" s="44">
        <v>44899</v>
      </c>
      <c r="AP220" s="43" t="s">
        <v>175</v>
      </c>
      <c r="AQ220" s="43" t="s">
        <v>176</v>
      </c>
      <c r="AR220" s="43" t="s">
        <v>175</v>
      </c>
      <c r="AS220" s="43" t="s">
        <v>176</v>
      </c>
      <c r="AT220" s="43" t="s">
        <v>85</v>
      </c>
      <c r="AU220" s="43" t="s">
        <v>7030</v>
      </c>
      <c r="AV220" s="43" t="s">
        <v>7031</v>
      </c>
      <c r="AW220" s="43" t="s">
        <v>7031</v>
      </c>
      <c r="AX220" s="43" t="s">
        <v>90</v>
      </c>
      <c r="AY220" s="43" t="s">
        <v>132</v>
      </c>
      <c r="AZ220" s="43" t="s">
        <v>7037</v>
      </c>
      <c r="BA220" s="43" t="s">
        <v>139</v>
      </c>
      <c r="BB220" s="45">
        <v>36.78</v>
      </c>
      <c r="BC220" s="45">
        <v>36.78</v>
      </c>
      <c r="BD220" s="43" t="s">
        <v>7032</v>
      </c>
      <c r="BE220" s="43" t="s">
        <v>81</v>
      </c>
      <c r="BF220" s="43" t="s">
        <v>81</v>
      </c>
      <c r="BG220" s="43" t="s">
        <v>86</v>
      </c>
      <c r="BH220" s="43" t="s">
        <v>177</v>
      </c>
      <c r="BI220" s="43" t="s">
        <v>7038</v>
      </c>
      <c r="BJ220" s="43" t="s">
        <v>7030</v>
      </c>
      <c r="BK220" s="43" t="s">
        <v>139</v>
      </c>
      <c r="BL220" s="43" t="s">
        <v>85</v>
      </c>
      <c r="BM220" s="43" t="s">
        <v>85</v>
      </c>
      <c r="BN220" s="43" t="s">
        <v>139</v>
      </c>
      <c r="BO220" s="46">
        <v>36.78</v>
      </c>
      <c r="BP220" s="43" t="s">
        <v>7032</v>
      </c>
      <c r="BQ220" s="43">
        <v>36.78</v>
      </c>
      <c r="BR220" s="43" t="s">
        <v>7032</v>
      </c>
      <c r="BS220" s="47">
        <v>36.78</v>
      </c>
      <c r="BT220" s="43" t="s">
        <v>7032</v>
      </c>
      <c r="BU220" s="43" t="s">
        <v>7032</v>
      </c>
      <c r="BV220" s="43" t="str">
        <f>CambioPlan[[#This Row],[TELEFONO]]&amp;"UPSELLSI"</f>
        <v>998744918UPSELLSI</v>
      </c>
      <c r="BW220" s="43">
        <f>DAY(CambioPlan[[#This Row],[FECHA_CAMBIO_PLAN]])</f>
        <v>4</v>
      </c>
      <c r="BX220" s="43" t="str">
        <f>VLOOKUP(CambioPlan[[#This Row],[NOM_PLAZA]],[1]!Locales[#Data],3,0)</f>
        <v>TIENDA RECREO</v>
      </c>
      <c r="BY220" s="43" t="str">
        <f>VLOOKUP(CambioPlan[[#This Row],[DOMAIN_LOGIN_OW]],[1]!Personal[#Data],6,0)</f>
        <v>VARGAS REYES LUIS EDUARDO</v>
      </c>
      <c r="BZ220" s="43"/>
      <c r="CA220" s="43" t="str">
        <f>IFERROR(IF(FIND("ADULTO",CambioPlan[[#This Row],[DESCRIPCION_PLAN_ACTUAL]],1),"NO SE PAGA",),"SI SE PAGA")</f>
        <v>SI SE PAGA</v>
      </c>
      <c r="CB220" s="45">
        <f>CambioPlan[[#This Row],[TARIFA_BASICA_ACTUAL]]-CambioPlan[[#This Row],[TARIFA_BASICA_ANTERIOR]]</f>
        <v>36.78</v>
      </c>
      <c r="CC220" s="56">
        <f>CambioPlan[[#This Row],[DIF. TARIFAS]]*4</f>
        <v>147.12</v>
      </c>
      <c r="CD220" s="53" t="str">
        <f>IF(CambioPlan[[#This Row],[C. COMISIÓN TME]]&lt;0,"DOWNSELL",IF(CambioPlan[[#This Row],[C. COMISIÓN TME]]=0,"MISMA TARIFA",IF(CambioPlan[[#This Row],[C. COMISIÓN TME]]&gt;0,"UPSELL")))</f>
        <v>UPSELL</v>
      </c>
      <c r="CE220">
        <f>VLOOKUP(CambioPlan[[#This Row],[TARIFA_BASICA_ANTERIOR]],[3]Hoja1!$F:$G,2,0)</f>
        <v>2</v>
      </c>
      <c r="CF220">
        <f>VLOOKUP(CambioPlan[[#This Row],[TARIFA_BASICA_ACTUAL]],[3]Hoja1!$B:$C,2,0)</f>
        <v>6</v>
      </c>
      <c r="CG220">
        <f t="shared" si="3"/>
        <v>4</v>
      </c>
      <c r="CH220" t="e">
        <f>VLOOKUP(CambioPlan[[#This Row],[TELEFONO]],[1]Retenciones!$R$63:$R$287,1,0)</f>
        <v>#N/A</v>
      </c>
    </row>
    <row r="221" spans="1:86" x14ac:dyDescent="0.25">
      <c r="A221" s="43">
        <v>202212</v>
      </c>
      <c r="B221" s="44">
        <v>44914</v>
      </c>
      <c r="C221" s="43" t="s">
        <v>7799</v>
      </c>
      <c r="D221" s="43" t="s">
        <v>7800</v>
      </c>
      <c r="E221" s="43" t="s">
        <v>95</v>
      </c>
      <c r="F221" s="43" t="s">
        <v>77</v>
      </c>
      <c r="G221" s="43" t="s">
        <v>2241</v>
      </c>
      <c r="H221" s="43" t="s">
        <v>246</v>
      </c>
      <c r="I221" s="43" t="s">
        <v>7659</v>
      </c>
      <c r="J221" s="43" t="s">
        <v>7029</v>
      </c>
      <c r="K221" s="43" t="s">
        <v>118</v>
      </c>
      <c r="L221" s="43" t="s">
        <v>698</v>
      </c>
      <c r="M221" s="43" t="s">
        <v>699</v>
      </c>
      <c r="N221" s="43" t="s">
        <v>79</v>
      </c>
      <c r="O221" s="45">
        <v>26.78</v>
      </c>
      <c r="P221" s="43" t="s">
        <v>95</v>
      </c>
      <c r="Q221" s="43" t="s">
        <v>95</v>
      </c>
      <c r="R221" s="43" t="s">
        <v>95</v>
      </c>
      <c r="S221" s="45">
        <v>0</v>
      </c>
      <c r="T221" s="43" t="s">
        <v>95</v>
      </c>
      <c r="U221" s="44" t="s">
        <v>95</v>
      </c>
      <c r="V221" s="44" t="s">
        <v>95</v>
      </c>
      <c r="W221" s="43" t="s">
        <v>95</v>
      </c>
      <c r="X221" s="45">
        <v>26.78</v>
      </c>
      <c r="Y221" s="43" t="s">
        <v>81</v>
      </c>
      <c r="Z221" s="43" t="s">
        <v>7660</v>
      </c>
      <c r="AA221" s="43" t="s">
        <v>7661</v>
      </c>
      <c r="AB221" s="43" t="s">
        <v>79</v>
      </c>
      <c r="AC221" s="45">
        <v>13.79</v>
      </c>
      <c r="AD221" s="43" t="s">
        <v>95</v>
      </c>
      <c r="AE221" s="43" t="s">
        <v>95</v>
      </c>
      <c r="AF221" s="43" t="s">
        <v>95</v>
      </c>
      <c r="AG221" s="43" t="s">
        <v>95</v>
      </c>
      <c r="AH221" s="45">
        <v>0</v>
      </c>
      <c r="AI221" s="43" t="s">
        <v>95</v>
      </c>
      <c r="AJ221" s="43" t="s">
        <v>95</v>
      </c>
      <c r="AK221" s="43" t="s">
        <v>95</v>
      </c>
      <c r="AL221" s="43" t="s">
        <v>95</v>
      </c>
      <c r="AM221" s="45">
        <v>13.79</v>
      </c>
      <c r="AN221" s="43" t="s">
        <v>81</v>
      </c>
      <c r="AO221" s="44">
        <v>44909</v>
      </c>
      <c r="AP221" s="43" t="s">
        <v>262</v>
      </c>
      <c r="AQ221" s="43" t="s">
        <v>263</v>
      </c>
      <c r="AR221" s="43" t="s">
        <v>262</v>
      </c>
      <c r="AS221" s="43" t="s">
        <v>263</v>
      </c>
      <c r="AT221" s="43" t="s">
        <v>85</v>
      </c>
      <c r="AU221" s="43" t="s">
        <v>7030</v>
      </c>
      <c r="AV221" s="43" t="s">
        <v>7031</v>
      </c>
      <c r="AW221" s="43" t="s">
        <v>7031</v>
      </c>
      <c r="AX221" s="43" t="s">
        <v>90</v>
      </c>
      <c r="AY221" s="43" t="s">
        <v>132</v>
      </c>
      <c r="AZ221" s="43" t="s">
        <v>7037</v>
      </c>
      <c r="BA221" s="43" t="s">
        <v>139</v>
      </c>
      <c r="BB221" s="45">
        <v>12.99</v>
      </c>
      <c r="BC221" s="45">
        <v>12.99</v>
      </c>
      <c r="BD221" s="43" t="s">
        <v>7032</v>
      </c>
      <c r="BE221" s="43" t="s">
        <v>81</v>
      </c>
      <c r="BF221" s="43" t="s">
        <v>81</v>
      </c>
      <c r="BG221" s="43" t="s">
        <v>86</v>
      </c>
      <c r="BH221" s="43" t="s">
        <v>177</v>
      </c>
      <c r="BI221" s="43" t="s">
        <v>7038</v>
      </c>
      <c r="BJ221" s="43" t="s">
        <v>7030</v>
      </c>
      <c r="BK221" s="43" t="s">
        <v>139</v>
      </c>
      <c r="BL221" s="43" t="s">
        <v>85</v>
      </c>
      <c r="BM221" s="43" t="s">
        <v>85</v>
      </c>
      <c r="BN221" s="43" t="s">
        <v>139</v>
      </c>
      <c r="BO221" s="46">
        <v>12.99</v>
      </c>
      <c r="BP221" s="43" t="s">
        <v>7032</v>
      </c>
      <c r="BQ221" s="43">
        <v>12.99</v>
      </c>
      <c r="BR221" s="43" t="s">
        <v>7032</v>
      </c>
      <c r="BS221" s="47">
        <v>12.99</v>
      </c>
      <c r="BT221" s="43" t="s">
        <v>7032</v>
      </c>
      <c r="BU221" s="43" t="s">
        <v>7032</v>
      </c>
      <c r="BV221" s="43" t="str">
        <f>CambioPlan[[#This Row],[TELEFONO]]&amp;"UPSELLSI"</f>
        <v>998824007UPSELLSI</v>
      </c>
      <c r="BW221" s="43">
        <f>DAY(CambioPlan[[#This Row],[FECHA_CAMBIO_PLAN]])</f>
        <v>14</v>
      </c>
      <c r="BX221" s="43" t="str">
        <f>VLOOKUP(CambioPlan[[#This Row],[NOM_PLAZA]],[1]!Locales[#Data],3,0)</f>
        <v>TIENDA RECREO</v>
      </c>
      <c r="BY221" s="43" t="str">
        <f>VLOOKUP(CambioPlan[[#This Row],[DOMAIN_LOGIN_OW]],[1]!Personal[#Data],6,0)</f>
        <v>CHICAIZA TOAPANTA ALEX DANILO</v>
      </c>
      <c r="BZ221" s="43"/>
      <c r="CA221" s="43" t="str">
        <f>IFERROR(IF(FIND("ADULTO",CambioPlan[[#This Row],[DESCRIPCION_PLAN_ACTUAL]],1),"NO SE PAGA",),"SI SE PAGA")</f>
        <v>SI SE PAGA</v>
      </c>
      <c r="CB221" s="45">
        <f>CambioPlan[[#This Row],[TARIFA_BASICA_ACTUAL]]-CambioPlan[[#This Row],[TARIFA_BASICA_ANTERIOR]]</f>
        <v>12.990000000000002</v>
      </c>
      <c r="CC221" s="56">
        <f>CambioPlan[[#This Row],[DIF. TARIFAS]]*4</f>
        <v>51.960000000000008</v>
      </c>
      <c r="CD221" s="53" t="str">
        <f>IF(CambioPlan[[#This Row],[C. COMISIÓN TME]]&lt;0,"DOWNSELL",IF(CambioPlan[[#This Row],[C. COMISIÓN TME]]=0,"MISMA TARIFA",IF(CambioPlan[[#This Row],[C. COMISIÓN TME]]&gt;0,"UPSELL")))</f>
        <v>UPSELL</v>
      </c>
      <c r="CE221">
        <f>VLOOKUP(CambioPlan[[#This Row],[TARIFA_BASICA_ANTERIOR]],[3]Hoja1!$F:$G,2,0)</f>
        <v>1</v>
      </c>
      <c r="CF221">
        <f>VLOOKUP(CambioPlan[[#This Row],[TARIFA_BASICA_ACTUAL]],[3]Hoja1!$B:$C,2,0)</f>
        <v>4</v>
      </c>
      <c r="CG221">
        <f t="shared" si="3"/>
        <v>3</v>
      </c>
      <c r="CH221" t="e">
        <f>VLOOKUP(CambioPlan[[#This Row],[TELEFONO]],[1]Retenciones!$R$63:$R$287,1,0)</f>
        <v>#N/A</v>
      </c>
    </row>
    <row r="222" spans="1:86" x14ac:dyDescent="0.25">
      <c r="A222" s="43">
        <v>202212</v>
      </c>
      <c r="B222" s="44">
        <v>44914</v>
      </c>
      <c r="C222" s="43" t="s">
        <v>7801</v>
      </c>
      <c r="D222" s="43" t="s">
        <v>7802</v>
      </c>
      <c r="E222" s="43" t="s">
        <v>95</v>
      </c>
      <c r="F222" s="43" t="s">
        <v>77</v>
      </c>
      <c r="G222" s="43" t="s">
        <v>4453</v>
      </c>
      <c r="H222" s="43" t="s">
        <v>67</v>
      </c>
      <c r="I222" s="43" t="s">
        <v>7803</v>
      </c>
      <c r="J222" s="43" t="s">
        <v>7029</v>
      </c>
      <c r="K222" s="43" t="s">
        <v>84</v>
      </c>
      <c r="L222" s="43" t="s">
        <v>574</v>
      </c>
      <c r="M222" s="43" t="s">
        <v>575</v>
      </c>
      <c r="N222" s="43" t="s">
        <v>79</v>
      </c>
      <c r="O222" s="45">
        <v>17.850000000000001</v>
      </c>
      <c r="P222" s="43" t="s">
        <v>95</v>
      </c>
      <c r="Q222" s="43" t="s">
        <v>95</v>
      </c>
      <c r="R222" s="43" t="s">
        <v>95</v>
      </c>
      <c r="S222" s="45">
        <v>0</v>
      </c>
      <c r="T222" s="43" t="s">
        <v>95</v>
      </c>
      <c r="U222" s="44" t="s">
        <v>95</v>
      </c>
      <c r="V222" s="44" t="s">
        <v>95</v>
      </c>
      <c r="W222" s="43" t="s">
        <v>95</v>
      </c>
      <c r="X222" s="45">
        <v>17.850000000000001</v>
      </c>
      <c r="Y222" s="43" t="s">
        <v>81</v>
      </c>
      <c r="Z222" s="43" t="s">
        <v>7481</v>
      </c>
      <c r="AA222" s="43" t="s">
        <v>7482</v>
      </c>
      <c r="AB222" s="43" t="s">
        <v>79</v>
      </c>
      <c r="AC222" s="45">
        <v>15</v>
      </c>
      <c r="AD222" s="43" t="s">
        <v>95</v>
      </c>
      <c r="AE222" s="43" t="s">
        <v>95</v>
      </c>
      <c r="AF222" s="43" t="s">
        <v>95</v>
      </c>
      <c r="AG222" s="43" t="s">
        <v>95</v>
      </c>
      <c r="AH222" s="45">
        <v>1.5</v>
      </c>
      <c r="AI222" s="43" t="s">
        <v>7804</v>
      </c>
      <c r="AJ222" s="43">
        <v>44894</v>
      </c>
      <c r="AK222" s="43">
        <v>44985</v>
      </c>
      <c r="AL222" s="43" t="s">
        <v>7805</v>
      </c>
      <c r="AM222" s="45">
        <v>13.5</v>
      </c>
      <c r="AN222" s="43" t="s">
        <v>81</v>
      </c>
      <c r="AO222" s="44">
        <v>44903</v>
      </c>
      <c r="AP222" s="43" t="s">
        <v>420</v>
      </c>
      <c r="AQ222" s="43" t="s">
        <v>421</v>
      </c>
      <c r="AR222" s="43" t="s">
        <v>420</v>
      </c>
      <c r="AS222" s="43" t="s">
        <v>421</v>
      </c>
      <c r="AT222" s="43" t="s">
        <v>85</v>
      </c>
      <c r="AU222" s="43" t="s">
        <v>7030</v>
      </c>
      <c r="AV222" s="43" t="s">
        <v>7031</v>
      </c>
      <c r="AW222" s="43" t="s">
        <v>7031</v>
      </c>
      <c r="AX222" s="43" t="s">
        <v>90</v>
      </c>
      <c r="AY222" s="43" t="s">
        <v>73</v>
      </c>
      <c r="AZ222" s="43" t="s">
        <v>7029</v>
      </c>
      <c r="BA222" s="43" t="s">
        <v>92</v>
      </c>
      <c r="BB222" s="45">
        <v>2.85</v>
      </c>
      <c r="BC222" s="45">
        <v>4.3499999999999996</v>
      </c>
      <c r="BD222" s="43" t="s">
        <v>7032</v>
      </c>
      <c r="BE222" s="43" t="s">
        <v>81</v>
      </c>
      <c r="BF222" s="43" t="s">
        <v>81</v>
      </c>
      <c r="BG222" s="43" t="s">
        <v>86</v>
      </c>
      <c r="BH222" s="43" t="s">
        <v>151</v>
      </c>
      <c r="BI222" s="43" t="s">
        <v>7033</v>
      </c>
      <c r="BJ222" s="43" t="s">
        <v>7030</v>
      </c>
      <c r="BK222" s="43" t="s">
        <v>92</v>
      </c>
      <c r="BL222" s="43" t="s">
        <v>85</v>
      </c>
      <c r="BM222" s="43" t="s">
        <v>85</v>
      </c>
      <c r="BN222" s="43" t="s">
        <v>92</v>
      </c>
      <c r="BO222" s="46">
        <v>2.85</v>
      </c>
      <c r="BP222" s="43" t="s">
        <v>7032</v>
      </c>
      <c r="BQ222" s="43">
        <v>2.85</v>
      </c>
      <c r="BR222" s="43" t="s">
        <v>7032</v>
      </c>
      <c r="BS222" s="47">
        <v>4.3499999999999996</v>
      </c>
      <c r="BT222" s="43" t="s">
        <v>7032</v>
      </c>
      <c r="BU222" s="43" t="s">
        <v>7032</v>
      </c>
      <c r="BV222" s="43" t="str">
        <f>CambioPlan[[#This Row],[TELEFONO]]&amp;"UPSELLSI"</f>
        <v>998870099UPSELLSI</v>
      </c>
      <c r="BW222" s="43">
        <f>DAY(CambioPlan[[#This Row],[FECHA_CAMBIO_PLAN]])</f>
        <v>8</v>
      </c>
      <c r="BX222" s="43" t="str">
        <f>VLOOKUP(CambioPlan[[#This Row],[NOM_PLAZA]],[1]!Locales[#Data],3,0)</f>
        <v>TIENDA CUENCA REMIGIO</v>
      </c>
      <c r="BY222" s="43" t="str">
        <f>VLOOKUP(CambioPlan[[#This Row],[DOMAIN_LOGIN_OW]],[1]!Personal[#Data],6,0)</f>
        <v>YEPEZ PALOMEQUE DIANA PATRICIA</v>
      </c>
      <c r="BZ222" s="43"/>
      <c r="CA222" s="43" t="str">
        <f>IFERROR(IF(FIND("ADULTO",CambioPlan[[#This Row],[DESCRIPCION_PLAN_ACTUAL]],1),"NO SE PAGA",),"SI SE PAGA")</f>
        <v>SI SE PAGA</v>
      </c>
      <c r="CB222" s="45">
        <f>CambioPlan[[#This Row],[TARIFA_BASICA_ACTUAL]]-CambioPlan[[#This Row],[TARIFA_BASICA_ANTERIOR]]</f>
        <v>2.8500000000000014</v>
      </c>
      <c r="CC222" s="56">
        <f>CambioPlan[[#This Row],[DIF. TARIFAS]]*4</f>
        <v>11.400000000000006</v>
      </c>
      <c r="CD222" s="53" t="str">
        <f>IF(CambioPlan[[#This Row],[C. COMISIÓN TME]]&lt;0,"DOWNSELL",IF(CambioPlan[[#This Row],[C. COMISIÓN TME]]=0,"MISMA TARIFA",IF(CambioPlan[[#This Row],[C. COMISIÓN TME]]&gt;0,"UPSELL")))</f>
        <v>UPSELL</v>
      </c>
      <c r="CE222">
        <f>VLOOKUP(CambioPlan[[#This Row],[TARIFA_BASICA_ANTERIOR]],[3]Hoja1!$F:$G,2,0)</f>
        <v>2</v>
      </c>
      <c r="CF222">
        <f>VLOOKUP(CambioPlan[[#This Row],[TARIFA_BASICA_ACTUAL]],[3]Hoja1!$B:$C,2,0)</f>
        <v>2</v>
      </c>
      <c r="CG222">
        <f t="shared" si="3"/>
        <v>0</v>
      </c>
      <c r="CH222" t="e">
        <f>VLOOKUP(CambioPlan[[#This Row],[TELEFONO]],[1]Retenciones!$R$63:$R$287,1,0)</f>
        <v>#N/A</v>
      </c>
    </row>
    <row r="223" spans="1:86" x14ac:dyDescent="0.25">
      <c r="A223" s="43">
        <v>202212</v>
      </c>
      <c r="B223" s="44">
        <v>44914</v>
      </c>
      <c r="C223" s="43" t="s">
        <v>7806</v>
      </c>
      <c r="D223" s="43" t="s">
        <v>7807</v>
      </c>
      <c r="E223" s="43" t="s">
        <v>95</v>
      </c>
      <c r="F223" s="43" t="s">
        <v>77</v>
      </c>
      <c r="G223" s="43" t="s">
        <v>164</v>
      </c>
      <c r="H223" s="43" t="s">
        <v>246</v>
      </c>
      <c r="I223" s="43" t="s">
        <v>2724</v>
      </c>
      <c r="J223" s="43" t="s">
        <v>7029</v>
      </c>
      <c r="K223" s="43" t="s">
        <v>84</v>
      </c>
      <c r="L223" s="43" t="s">
        <v>698</v>
      </c>
      <c r="M223" s="43" t="s">
        <v>699</v>
      </c>
      <c r="N223" s="43" t="s">
        <v>79</v>
      </c>
      <c r="O223" s="45">
        <v>26.78</v>
      </c>
      <c r="P223" s="43" t="s">
        <v>95</v>
      </c>
      <c r="Q223" s="43" t="s">
        <v>95</v>
      </c>
      <c r="R223" s="43" t="s">
        <v>95</v>
      </c>
      <c r="S223" s="45">
        <v>0</v>
      </c>
      <c r="T223" s="43" t="s">
        <v>95</v>
      </c>
      <c r="U223" s="44" t="s">
        <v>95</v>
      </c>
      <c r="V223" s="44" t="s">
        <v>95</v>
      </c>
      <c r="W223" s="43" t="s">
        <v>95</v>
      </c>
      <c r="X223" s="45">
        <v>26.78</v>
      </c>
      <c r="Y223" s="43" t="s">
        <v>81</v>
      </c>
      <c r="Z223" s="43" t="s">
        <v>194</v>
      </c>
      <c r="AA223" s="43" t="s">
        <v>268</v>
      </c>
      <c r="AB223" s="43" t="s">
        <v>79</v>
      </c>
      <c r="AC223" s="45">
        <v>14.28</v>
      </c>
      <c r="AD223" s="43" t="s">
        <v>95</v>
      </c>
      <c r="AE223" s="43" t="s">
        <v>95</v>
      </c>
      <c r="AF223" s="43" t="s">
        <v>95</v>
      </c>
      <c r="AG223" s="43" t="s">
        <v>95</v>
      </c>
      <c r="AH223" s="45">
        <v>0</v>
      </c>
      <c r="AI223" s="43" t="s">
        <v>95</v>
      </c>
      <c r="AJ223" s="43" t="s">
        <v>95</v>
      </c>
      <c r="AK223" s="43" t="s">
        <v>95</v>
      </c>
      <c r="AL223" s="43" t="s">
        <v>95</v>
      </c>
      <c r="AM223" s="45">
        <v>14.28</v>
      </c>
      <c r="AN223" s="43" t="s">
        <v>81</v>
      </c>
      <c r="AO223" s="44">
        <v>44911</v>
      </c>
      <c r="AP223" s="43" t="s">
        <v>630</v>
      </c>
      <c r="AQ223" s="43" t="s">
        <v>631</v>
      </c>
      <c r="AR223" s="43" t="s">
        <v>630</v>
      </c>
      <c r="AS223" s="43" t="s">
        <v>631</v>
      </c>
      <c r="AT223" s="43" t="s">
        <v>85</v>
      </c>
      <c r="AU223" s="43" t="s">
        <v>7030</v>
      </c>
      <c r="AV223" s="43" t="s">
        <v>7031</v>
      </c>
      <c r="AW223" s="43" t="s">
        <v>7031</v>
      </c>
      <c r="AX223" s="43" t="s">
        <v>90</v>
      </c>
      <c r="AY223" s="43" t="s">
        <v>132</v>
      </c>
      <c r="AZ223" s="43" t="s">
        <v>7037</v>
      </c>
      <c r="BA223" s="43" t="s">
        <v>139</v>
      </c>
      <c r="BB223" s="45">
        <v>12.5</v>
      </c>
      <c r="BC223" s="45">
        <v>12.5</v>
      </c>
      <c r="BD223" s="43" t="s">
        <v>7032</v>
      </c>
      <c r="BE223" s="43" t="s">
        <v>81</v>
      </c>
      <c r="BF223" s="43" t="s">
        <v>81</v>
      </c>
      <c r="BG223" s="43" t="s">
        <v>86</v>
      </c>
      <c r="BH223" s="43" t="s">
        <v>177</v>
      </c>
      <c r="BI223" s="43" t="s">
        <v>7038</v>
      </c>
      <c r="BJ223" s="43" t="s">
        <v>7030</v>
      </c>
      <c r="BK223" s="43" t="s">
        <v>139</v>
      </c>
      <c r="BL223" s="43" t="s">
        <v>85</v>
      </c>
      <c r="BM223" s="43" t="s">
        <v>85</v>
      </c>
      <c r="BN223" s="43" t="s">
        <v>139</v>
      </c>
      <c r="BO223" s="46">
        <v>12.5</v>
      </c>
      <c r="BP223" s="43" t="s">
        <v>7032</v>
      </c>
      <c r="BQ223" s="43">
        <v>12.5</v>
      </c>
      <c r="BR223" s="43" t="s">
        <v>7032</v>
      </c>
      <c r="BS223" s="47">
        <v>12.5</v>
      </c>
      <c r="BT223" s="43" t="s">
        <v>7032</v>
      </c>
      <c r="BU223" s="43" t="s">
        <v>7032</v>
      </c>
      <c r="BV223" s="43" t="str">
        <f>CambioPlan[[#This Row],[TELEFONO]]&amp;"UPSELLSI"</f>
        <v>998882444UPSELLSI</v>
      </c>
      <c r="BW223" s="43">
        <f>DAY(CambioPlan[[#This Row],[FECHA_CAMBIO_PLAN]])</f>
        <v>16</v>
      </c>
      <c r="BX223" s="43" t="str">
        <f>VLOOKUP(CambioPlan[[#This Row],[NOM_PLAZA]],[1]!Locales[#Data],3,0)</f>
        <v>TIENDA RECREO</v>
      </c>
      <c r="BY223" s="43" t="str">
        <f>VLOOKUP(CambioPlan[[#This Row],[DOMAIN_LOGIN_OW]],[1]!Personal[#Data],6,0)</f>
        <v>LOAYZA AGUILAR JONATHAN FABIAN</v>
      </c>
      <c r="BZ223" s="43"/>
      <c r="CA223" s="43" t="str">
        <f>IFERROR(IF(FIND("ADULTO",CambioPlan[[#This Row],[DESCRIPCION_PLAN_ACTUAL]],1),"NO SE PAGA",),"SI SE PAGA")</f>
        <v>SI SE PAGA</v>
      </c>
      <c r="CB223" s="45">
        <f>CambioPlan[[#This Row],[TARIFA_BASICA_ACTUAL]]-CambioPlan[[#This Row],[TARIFA_BASICA_ANTERIOR]]</f>
        <v>12.500000000000002</v>
      </c>
      <c r="CC223" s="56">
        <f>CambioPlan[[#This Row],[DIF. TARIFAS]]*4</f>
        <v>50.000000000000007</v>
      </c>
      <c r="CD223" s="53" t="str">
        <f>IF(CambioPlan[[#This Row],[C. COMISIÓN TME]]&lt;0,"DOWNSELL",IF(CambioPlan[[#This Row],[C. COMISIÓN TME]]=0,"MISMA TARIFA",IF(CambioPlan[[#This Row],[C. COMISIÓN TME]]&gt;0,"UPSELL")))</f>
        <v>UPSELL</v>
      </c>
      <c r="CE223">
        <f>VLOOKUP(CambioPlan[[#This Row],[TARIFA_BASICA_ANTERIOR]],[3]Hoja1!$F:$G,2,0)</f>
        <v>1</v>
      </c>
      <c r="CF223">
        <f>VLOOKUP(CambioPlan[[#This Row],[TARIFA_BASICA_ACTUAL]],[3]Hoja1!$B:$C,2,0)</f>
        <v>4</v>
      </c>
      <c r="CG223">
        <f t="shared" si="3"/>
        <v>3</v>
      </c>
      <c r="CH223" t="e">
        <f>VLOOKUP(CambioPlan[[#This Row],[TELEFONO]],[1]Retenciones!$R$63:$R$287,1,0)</f>
        <v>#N/A</v>
      </c>
    </row>
    <row r="224" spans="1:86" x14ac:dyDescent="0.25">
      <c r="A224" s="43">
        <v>202212</v>
      </c>
      <c r="B224" s="44">
        <v>44914</v>
      </c>
      <c r="C224" s="43" t="s">
        <v>7808</v>
      </c>
      <c r="D224" s="43" t="s">
        <v>7809</v>
      </c>
      <c r="E224" s="43" t="s">
        <v>95</v>
      </c>
      <c r="F224" s="43" t="s">
        <v>231</v>
      </c>
      <c r="G224" s="43" t="s">
        <v>231</v>
      </c>
      <c r="H224" s="43" t="s">
        <v>67</v>
      </c>
      <c r="I224" s="43" t="s">
        <v>7146</v>
      </c>
      <c r="J224" s="43" t="s">
        <v>7029</v>
      </c>
      <c r="K224" s="43" t="s">
        <v>215</v>
      </c>
      <c r="L224" s="43" t="s">
        <v>574</v>
      </c>
      <c r="M224" s="43" t="s">
        <v>575</v>
      </c>
      <c r="N224" s="43" t="s">
        <v>79</v>
      </c>
      <c r="O224" s="45">
        <v>17.850000000000001</v>
      </c>
      <c r="P224" s="43" t="s">
        <v>95</v>
      </c>
      <c r="Q224" s="43" t="s">
        <v>95</v>
      </c>
      <c r="R224" s="43" t="s">
        <v>95</v>
      </c>
      <c r="S224" s="45">
        <v>0</v>
      </c>
      <c r="T224" s="43" t="s">
        <v>95</v>
      </c>
      <c r="U224" s="44" t="s">
        <v>95</v>
      </c>
      <c r="V224" s="44" t="s">
        <v>95</v>
      </c>
      <c r="W224" s="43" t="s">
        <v>95</v>
      </c>
      <c r="X224" s="45">
        <v>17.850000000000001</v>
      </c>
      <c r="Y224" s="43" t="s">
        <v>81</v>
      </c>
      <c r="Z224" s="43" t="s">
        <v>7147</v>
      </c>
      <c r="AA224" s="43" t="s">
        <v>7148</v>
      </c>
      <c r="AB224" s="43" t="s">
        <v>79</v>
      </c>
      <c r="AC224" s="45">
        <v>13.79</v>
      </c>
      <c r="AD224" s="43" t="s">
        <v>95</v>
      </c>
      <c r="AE224" s="43" t="s">
        <v>95</v>
      </c>
      <c r="AF224" s="43" t="s">
        <v>95</v>
      </c>
      <c r="AG224" s="43" t="s">
        <v>95</v>
      </c>
      <c r="AH224" s="45">
        <v>0</v>
      </c>
      <c r="AI224" s="43" t="s">
        <v>95</v>
      </c>
      <c r="AJ224" s="43" t="s">
        <v>95</v>
      </c>
      <c r="AK224" s="43" t="s">
        <v>95</v>
      </c>
      <c r="AL224" s="43" t="s">
        <v>95</v>
      </c>
      <c r="AM224" s="45">
        <v>13.79</v>
      </c>
      <c r="AN224" s="43" t="s">
        <v>81</v>
      </c>
      <c r="AO224" s="44">
        <v>44904</v>
      </c>
      <c r="AP224" s="43" t="s">
        <v>420</v>
      </c>
      <c r="AQ224" s="43" t="s">
        <v>421</v>
      </c>
      <c r="AR224" s="43" t="s">
        <v>420</v>
      </c>
      <c r="AS224" s="43" t="s">
        <v>421</v>
      </c>
      <c r="AT224" s="43" t="s">
        <v>85</v>
      </c>
      <c r="AU224" s="43" t="s">
        <v>7030</v>
      </c>
      <c r="AV224" s="43" t="s">
        <v>7031</v>
      </c>
      <c r="AW224" s="43" t="s">
        <v>7031</v>
      </c>
      <c r="AX224" s="43" t="s">
        <v>90</v>
      </c>
      <c r="AY224" s="43" t="s">
        <v>73</v>
      </c>
      <c r="AZ224" s="43" t="s">
        <v>7029</v>
      </c>
      <c r="BA224" s="43" t="s">
        <v>92</v>
      </c>
      <c r="BB224" s="45">
        <v>4.0599999999999996</v>
      </c>
      <c r="BC224" s="45">
        <v>4.0599999999999996</v>
      </c>
      <c r="BD224" s="43" t="s">
        <v>7032</v>
      </c>
      <c r="BE224" s="43" t="s">
        <v>81</v>
      </c>
      <c r="BF224" s="43" t="s">
        <v>81</v>
      </c>
      <c r="BG224" s="43" t="s">
        <v>86</v>
      </c>
      <c r="BH224" s="43" t="s">
        <v>151</v>
      </c>
      <c r="BI224" s="43" t="s">
        <v>7033</v>
      </c>
      <c r="BJ224" s="43" t="s">
        <v>7030</v>
      </c>
      <c r="BK224" s="43" t="s">
        <v>92</v>
      </c>
      <c r="BL224" s="43" t="s">
        <v>85</v>
      </c>
      <c r="BM224" s="43" t="s">
        <v>85</v>
      </c>
      <c r="BN224" s="43" t="s">
        <v>92</v>
      </c>
      <c r="BO224" s="46">
        <v>4.0599999999999996</v>
      </c>
      <c r="BP224" s="43" t="s">
        <v>7032</v>
      </c>
      <c r="BQ224" s="43">
        <v>4.0599999999999996</v>
      </c>
      <c r="BR224" s="43" t="s">
        <v>7032</v>
      </c>
      <c r="BS224" s="47">
        <v>4.0599999999999996</v>
      </c>
      <c r="BT224" s="43" t="s">
        <v>7032</v>
      </c>
      <c r="BU224" s="43" t="s">
        <v>7032</v>
      </c>
      <c r="BV224" s="43" t="str">
        <f>CambioPlan[[#This Row],[TELEFONO]]&amp;"UPSELLSI"</f>
        <v>998913441UPSELLSI</v>
      </c>
      <c r="BW224" s="43">
        <f>DAY(CambioPlan[[#This Row],[FECHA_CAMBIO_PLAN]])</f>
        <v>9</v>
      </c>
      <c r="BX224" s="43" t="str">
        <f>VLOOKUP(CambioPlan[[#This Row],[NOM_PLAZA]],[1]!Locales[#Data],3,0)</f>
        <v>TIENDA CUENCA REMIGIO</v>
      </c>
      <c r="BY224" s="43" t="str">
        <f>VLOOKUP(CambioPlan[[#This Row],[DOMAIN_LOGIN_OW]],[1]!Personal[#Data],6,0)</f>
        <v>YEPEZ PALOMEQUE DIANA PATRICIA</v>
      </c>
      <c r="BZ224" s="43"/>
      <c r="CA224" s="43" t="str">
        <f>IFERROR(IF(FIND("ADULTO",CambioPlan[[#This Row],[DESCRIPCION_PLAN_ACTUAL]],1),"NO SE PAGA",),"SI SE PAGA")</f>
        <v>SI SE PAGA</v>
      </c>
      <c r="CB224" s="45">
        <f>CambioPlan[[#This Row],[TARIFA_BASICA_ACTUAL]]-CambioPlan[[#This Row],[TARIFA_BASICA_ANTERIOR]]</f>
        <v>4.0600000000000023</v>
      </c>
      <c r="CC224" s="56">
        <f>CambioPlan[[#This Row],[DIF. TARIFAS]]*4</f>
        <v>16.240000000000009</v>
      </c>
      <c r="CD224" s="53" t="str">
        <f>IF(CambioPlan[[#This Row],[C. COMISIÓN TME]]&lt;0,"DOWNSELL",IF(CambioPlan[[#This Row],[C. COMISIÓN TME]]=0,"MISMA TARIFA",IF(CambioPlan[[#This Row],[C. COMISIÓN TME]]&gt;0,"UPSELL")))</f>
        <v>UPSELL</v>
      </c>
      <c r="CE224">
        <f>VLOOKUP(CambioPlan[[#This Row],[TARIFA_BASICA_ANTERIOR]],[3]Hoja1!$F:$G,2,0)</f>
        <v>1</v>
      </c>
      <c r="CF224">
        <f>VLOOKUP(CambioPlan[[#This Row],[TARIFA_BASICA_ACTUAL]],[3]Hoja1!$B:$C,2,0)</f>
        <v>2</v>
      </c>
      <c r="CG224">
        <f t="shared" si="3"/>
        <v>1</v>
      </c>
      <c r="CH224" t="e">
        <f>VLOOKUP(CambioPlan[[#This Row],[TELEFONO]],[1]Retenciones!$R$63:$R$287,1,0)</f>
        <v>#N/A</v>
      </c>
    </row>
    <row r="225" spans="1:86" x14ac:dyDescent="0.25">
      <c r="A225" s="43">
        <v>202212</v>
      </c>
      <c r="B225" s="44">
        <v>44914</v>
      </c>
      <c r="C225" s="43" t="s">
        <v>7810</v>
      </c>
      <c r="D225" s="43" t="s">
        <v>7811</v>
      </c>
      <c r="E225" s="43" t="s">
        <v>95</v>
      </c>
      <c r="F225" s="43" t="s">
        <v>311</v>
      </c>
      <c r="G225" s="43" t="s">
        <v>311</v>
      </c>
      <c r="H225" s="43" t="s">
        <v>67</v>
      </c>
      <c r="I225" s="43" t="s">
        <v>1596</v>
      </c>
      <c r="J225" s="43" t="s">
        <v>7037</v>
      </c>
      <c r="K225" s="43" t="s">
        <v>84</v>
      </c>
      <c r="L225" s="43" t="s">
        <v>7069</v>
      </c>
      <c r="M225" s="43" t="s">
        <v>7070</v>
      </c>
      <c r="N225" s="43" t="s">
        <v>79</v>
      </c>
      <c r="O225" s="45">
        <v>21.42</v>
      </c>
      <c r="P225" s="43" t="s">
        <v>95</v>
      </c>
      <c r="Q225" s="43" t="s">
        <v>95</v>
      </c>
      <c r="R225" s="43" t="s">
        <v>95</v>
      </c>
      <c r="S225" s="45">
        <v>0</v>
      </c>
      <c r="T225" s="43" t="s">
        <v>95</v>
      </c>
      <c r="U225" s="44" t="s">
        <v>95</v>
      </c>
      <c r="V225" s="44" t="s">
        <v>95</v>
      </c>
      <c r="W225" s="43" t="s">
        <v>95</v>
      </c>
      <c r="X225" s="45">
        <v>21.42</v>
      </c>
      <c r="Y225" s="43" t="s">
        <v>81</v>
      </c>
      <c r="Z225" s="43" t="s">
        <v>7369</v>
      </c>
      <c r="AA225" s="43" t="s">
        <v>7370</v>
      </c>
      <c r="AB225" s="43" t="s">
        <v>79</v>
      </c>
      <c r="AC225" s="45">
        <v>20.28</v>
      </c>
      <c r="AD225" s="43" t="s">
        <v>95</v>
      </c>
      <c r="AE225" s="43" t="s">
        <v>95</v>
      </c>
      <c r="AF225" s="43" t="s">
        <v>95</v>
      </c>
      <c r="AG225" s="43" t="s">
        <v>95</v>
      </c>
      <c r="AH225" s="45">
        <v>0</v>
      </c>
      <c r="AI225" s="43" t="s">
        <v>95</v>
      </c>
      <c r="AJ225" s="43" t="s">
        <v>95</v>
      </c>
      <c r="AK225" s="43" t="s">
        <v>95</v>
      </c>
      <c r="AL225" s="43" t="s">
        <v>95</v>
      </c>
      <c r="AM225" s="45">
        <v>20.28</v>
      </c>
      <c r="AN225" s="43" t="s">
        <v>81</v>
      </c>
      <c r="AO225" s="44">
        <v>44896</v>
      </c>
      <c r="AP225" s="43" t="s">
        <v>665</v>
      </c>
      <c r="AQ225" s="43" t="s">
        <v>666</v>
      </c>
      <c r="AR225" s="43" t="s">
        <v>665</v>
      </c>
      <c r="AS225" s="43" t="s">
        <v>666</v>
      </c>
      <c r="AT225" s="43" t="s">
        <v>85</v>
      </c>
      <c r="AU225" s="43" t="s">
        <v>7030</v>
      </c>
      <c r="AV225" s="43" t="s">
        <v>7031</v>
      </c>
      <c r="AW225" s="43" t="s">
        <v>7031</v>
      </c>
      <c r="AX225" s="43" t="s">
        <v>90</v>
      </c>
      <c r="AY225" s="43" t="s">
        <v>132</v>
      </c>
      <c r="AZ225" s="43" t="s">
        <v>7037</v>
      </c>
      <c r="BA225" s="43" t="s">
        <v>139</v>
      </c>
      <c r="BB225" s="45">
        <v>1.1399999999999999</v>
      </c>
      <c r="BC225" s="45">
        <v>1.1399999999999999</v>
      </c>
      <c r="BD225" s="43" t="s">
        <v>7032</v>
      </c>
      <c r="BE225" s="43" t="s">
        <v>81</v>
      </c>
      <c r="BF225" s="43" t="s">
        <v>81</v>
      </c>
      <c r="BG225" s="43" t="s">
        <v>86</v>
      </c>
      <c r="BH225" s="43" t="s">
        <v>138</v>
      </c>
      <c r="BI225" s="43" t="s">
        <v>7076</v>
      </c>
      <c r="BJ225" s="43" t="s">
        <v>7030</v>
      </c>
      <c r="BK225" s="43" t="s">
        <v>139</v>
      </c>
      <c r="BL225" s="43" t="s">
        <v>85</v>
      </c>
      <c r="BM225" s="43" t="s">
        <v>85</v>
      </c>
      <c r="BN225" s="43" t="s">
        <v>139</v>
      </c>
      <c r="BO225" s="46">
        <v>1.1399999999999999</v>
      </c>
      <c r="BP225" s="43" t="s">
        <v>7032</v>
      </c>
      <c r="BQ225" s="43">
        <v>1.1399999999999999</v>
      </c>
      <c r="BR225" s="43" t="s">
        <v>7032</v>
      </c>
      <c r="BS225" s="47">
        <v>1.1399999999999999</v>
      </c>
      <c r="BT225" s="43" t="s">
        <v>7032</v>
      </c>
      <c r="BU225" s="43" t="s">
        <v>7032</v>
      </c>
      <c r="BV225" s="43" t="str">
        <f>CambioPlan[[#This Row],[TELEFONO]]&amp;"UPSELLSI"</f>
        <v>998956553UPSELLSI</v>
      </c>
      <c r="BW225" s="43">
        <f>DAY(CambioPlan[[#This Row],[FECHA_CAMBIO_PLAN]])</f>
        <v>1</v>
      </c>
      <c r="BX225" s="43" t="str">
        <f>VLOOKUP(CambioPlan[[#This Row],[NOM_PLAZA]],[1]!Locales[#Data],3,0)</f>
        <v>TIENDA AMERICA</v>
      </c>
      <c r="BY225" s="43" t="str">
        <f>VLOOKUP(CambioPlan[[#This Row],[DOMAIN_LOGIN_OW]],[1]!Personal[#Data],6,0)</f>
        <v>ROSERO CAICEDO JAIRO STEFANO</v>
      </c>
      <c r="BZ225" s="43"/>
      <c r="CA225" s="43" t="str">
        <f>IFERROR(IF(FIND("ADULTO",CambioPlan[[#This Row],[DESCRIPCION_PLAN_ACTUAL]],1),"NO SE PAGA",),"SI SE PAGA")</f>
        <v>SI SE PAGA</v>
      </c>
      <c r="CB225" s="45">
        <f>CambioPlan[[#This Row],[TARIFA_BASICA_ACTUAL]]-CambioPlan[[#This Row],[TARIFA_BASICA_ANTERIOR]]</f>
        <v>1.1400000000000006</v>
      </c>
      <c r="CC225" s="56">
        <f>CambioPlan[[#This Row],[DIF. TARIFAS]]*4</f>
        <v>4.5600000000000023</v>
      </c>
      <c r="CD225" s="53" t="str">
        <f>IF(CambioPlan[[#This Row],[C. COMISIÓN TME]]&lt;0,"DOWNSELL",IF(CambioPlan[[#This Row],[C. COMISIÓN TME]]=0,"MISMA TARIFA",IF(CambioPlan[[#This Row],[C. COMISIÓN TME]]&gt;0,"UPSELL")))</f>
        <v>UPSELL</v>
      </c>
      <c r="CE225">
        <f>VLOOKUP(CambioPlan[[#This Row],[TARIFA_BASICA_ANTERIOR]],[3]Hoja1!$F:$G,2,0)</f>
        <v>3</v>
      </c>
      <c r="CF225">
        <f>VLOOKUP(CambioPlan[[#This Row],[TARIFA_BASICA_ACTUAL]],[3]Hoja1!$B:$C,2,0)</f>
        <v>3</v>
      </c>
      <c r="CG225">
        <f t="shared" si="3"/>
        <v>0</v>
      </c>
      <c r="CH225" t="e">
        <f>VLOOKUP(CambioPlan[[#This Row],[TELEFONO]],[1]Retenciones!$R$63:$R$287,1,0)</f>
        <v>#N/A</v>
      </c>
    </row>
    <row r="226" spans="1:86" x14ac:dyDescent="0.25">
      <c r="A226" s="43">
        <v>202212</v>
      </c>
      <c r="B226" s="44">
        <v>44914</v>
      </c>
      <c r="C226" s="43" t="s">
        <v>7812</v>
      </c>
      <c r="D226" s="43" t="s">
        <v>7813</v>
      </c>
      <c r="E226" s="43" t="s">
        <v>95</v>
      </c>
      <c r="F226" s="43" t="s">
        <v>77</v>
      </c>
      <c r="G226" s="43" t="s">
        <v>1532</v>
      </c>
      <c r="H226" s="43" t="s">
        <v>67</v>
      </c>
      <c r="I226" s="43" t="s">
        <v>7814</v>
      </c>
      <c r="J226" s="43" t="s">
        <v>7029</v>
      </c>
      <c r="K226" s="43" t="s">
        <v>215</v>
      </c>
      <c r="L226" s="43" t="s">
        <v>359</v>
      </c>
      <c r="M226" s="43" t="s">
        <v>360</v>
      </c>
      <c r="N226" s="43" t="s">
        <v>79</v>
      </c>
      <c r="O226" s="45">
        <v>14.28</v>
      </c>
      <c r="P226" s="43" t="s">
        <v>95</v>
      </c>
      <c r="Q226" s="43" t="s">
        <v>95</v>
      </c>
      <c r="R226" s="43" t="s">
        <v>95</v>
      </c>
      <c r="S226" s="45">
        <v>0</v>
      </c>
      <c r="T226" s="43" t="s">
        <v>95</v>
      </c>
      <c r="U226" s="44" t="s">
        <v>95</v>
      </c>
      <c r="V226" s="44" t="s">
        <v>95</v>
      </c>
      <c r="W226" s="43" t="s">
        <v>95</v>
      </c>
      <c r="X226" s="45">
        <v>14.28</v>
      </c>
      <c r="Y226" s="43" t="s">
        <v>81</v>
      </c>
      <c r="Z226" s="43" t="s">
        <v>7815</v>
      </c>
      <c r="AA226" s="43" t="s">
        <v>7816</v>
      </c>
      <c r="AB226" s="43" t="s">
        <v>79</v>
      </c>
      <c r="AC226" s="45">
        <v>11.99</v>
      </c>
      <c r="AD226" s="43" t="s">
        <v>95</v>
      </c>
      <c r="AE226" s="43" t="s">
        <v>95</v>
      </c>
      <c r="AF226" s="43" t="s">
        <v>95</v>
      </c>
      <c r="AG226" s="43" t="s">
        <v>95</v>
      </c>
      <c r="AH226" s="45">
        <v>0</v>
      </c>
      <c r="AI226" s="43" t="s">
        <v>95</v>
      </c>
      <c r="AJ226" s="43" t="s">
        <v>95</v>
      </c>
      <c r="AK226" s="43" t="s">
        <v>95</v>
      </c>
      <c r="AL226" s="43" t="s">
        <v>95</v>
      </c>
      <c r="AM226" s="45">
        <v>11.99</v>
      </c>
      <c r="AN226" s="43" t="s">
        <v>81</v>
      </c>
      <c r="AO226" s="44">
        <v>44902</v>
      </c>
      <c r="AP226" s="43" t="s">
        <v>385</v>
      </c>
      <c r="AQ226" s="43" t="s">
        <v>386</v>
      </c>
      <c r="AR226" s="43" t="s">
        <v>385</v>
      </c>
      <c r="AS226" s="43" t="s">
        <v>386</v>
      </c>
      <c r="AT226" s="43" t="s">
        <v>85</v>
      </c>
      <c r="AU226" s="43" t="s">
        <v>7030</v>
      </c>
      <c r="AV226" s="43" t="s">
        <v>7031</v>
      </c>
      <c r="AW226" s="43" t="s">
        <v>7031</v>
      </c>
      <c r="AX226" s="43" t="s">
        <v>90</v>
      </c>
      <c r="AY226" s="43" t="s">
        <v>73</v>
      </c>
      <c r="AZ226" s="43" t="s">
        <v>7029</v>
      </c>
      <c r="BA226" s="43" t="s">
        <v>92</v>
      </c>
      <c r="BB226" s="45">
        <v>2.29</v>
      </c>
      <c r="BC226" s="45">
        <v>2.29</v>
      </c>
      <c r="BD226" s="43" t="s">
        <v>7032</v>
      </c>
      <c r="BE226" s="43" t="s">
        <v>81</v>
      </c>
      <c r="BF226" s="43" t="s">
        <v>81</v>
      </c>
      <c r="BG226" s="43" t="s">
        <v>86</v>
      </c>
      <c r="BH226" s="43" t="s">
        <v>151</v>
      </c>
      <c r="BI226" s="43" t="s">
        <v>7033</v>
      </c>
      <c r="BJ226" s="43" t="s">
        <v>7030</v>
      </c>
      <c r="BK226" s="43" t="s">
        <v>92</v>
      </c>
      <c r="BL226" s="43" t="s">
        <v>85</v>
      </c>
      <c r="BM226" s="43" t="s">
        <v>85</v>
      </c>
      <c r="BN226" s="43" t="s">
        <v>92</v>
      </c>
      <c r="BO226" s="46">
        <v>2.29</v>
      </c>
      <c r="BP226" s="43" t="s">
        <v>7032</v>
      </c>
      <c r="BQ226" s="43">
        <v>2.29</v>
      </c>
      <c r="BR226" s="43" t="s">
        <v>7032</v>
      </c>
      <c r="BS226" s="47">
        <v>2.29</v>
      </c>
      <c r="BT226" s="43" t="s">
        <v>7032</v>
      </c>
      <c r="BU226" s="43" t="s">
        <v>7032</v>
      </c>
      <c r="BV226" s="43" t="str">
        <f>CambioPlan[[#This Row],[TELEFONO]]&amp;"UPSELLSI"</f>
        <v>998962125UPSELLSI</v>
      </c>
      <c r="BW226" s="43">
        <f>DAY(CambioPlan[[#This Row],[FECHA_CAMBIO_PLAN]])</f>
        <v>7</v>
      </c>
      <c r="BX226" s="43" t="str">
        <f>VLOOKUP(CambioPlan[[#This Row],[NOM_PLAZA]],[1]!Locales[#Data],3,0)</f>
        <v>TIENDA CUENCA REMIGIO</v>
      </c>
      <c r="BY226" s="43" t="str">
        <f>VLOOKUP(CambioPlan[[#This Row],[DOMAIN_LOGIN_OW]],[1]!Personal[#Data],6,0)</f>
        <v>RAMIREZ RUBIO NELLY LILIANA</v>
      </c>
      <c r="BZ226" s="43"/>
      <c r="CA226" s="43" t="str">
        <f>IFERROR(IF(FIND("ADULTO",CambioPlan[[#This Row],[DESCRIPCION_PLAN_ACTUAL]],1),"NO SE PAGA",),"SI SE PAGA")</f>
        <v>SI SE PAGA</v>
      </c>
      <c r="CB226" s="45">
        <f>CambioPlan[[#This Row],[TARIFA_BASICA_ACTUAL]]-CambioPlan[[#This Row],[TARIFA_BASICA_ANTERIOR]]</f>
        <v>2.2899999999999991</v>
      </c>
      <c r="CC226" s="56">
        <f>CambioPlan[[#This Row],[DIF. TARIFAS]]*4</f>
        <v>9.1599999999999966</v>
      </c>
      <c r="CD226" s="53" t="str">
        <f>IF(CambioPlan[[#This Row],[C. COMISIÓN TME]]&lt;0,"DOWNSELL",IF(CambioPlan[[#This Row],[C. COMISIÓN TME]]=0,"MISMA TARIFA",IF(CambioPlan[[#This Row],[C. COMISIÓN TME]]&gt;0,"UPSELL")))</f>
        <v>UPSELL</v>
      </c>
      <c r="CE226">
        <f>VLOOKUP(CambioPlan[[#This Row],[TARIFA_BASICA_ANTERIOR]],[3]Hoja1!$F:$G,2,0)</f>
        <v>0</v>
      </c>
      <c r="CF226">
        <f>VLOOKUP(CambioPlan[[#This Row],[TARIFA_BASICA_ACTUAL]],[3]Hoja1!$B:$C,2,0)</f>
        <v>1</v>
      </c>
      <c r="CG226">
        <f t="shared" si="3"/>
        <v>1</v>
      </c>
      <c r="CH226" t="e">
        <f>VLOOKUP(CambioPlan[[#This Row],[TELEFONO]],[1]Retenciones!$R$63:$R$287,1,0)</f>
        <v>#N/A</v>
      </c>
    </row>
    <row r="227" spans="1:86" x14ac:dyDescent="0.25">
      <c r="A227" s="43">
        <v>202212</v>
      </c>
      <c r="B227" s="44">
        <v>44914</v>
      </c>
      <c r="C227" s="43" t="s">
        <v>7817</v>
      </c>
      <c r="D227" s="43" t="s">
        <v>7818</v>
      </c>
      <c r="E227" s="43" t="s">
        <v>95</v>
      </c>
      <c r="F227" s="43" t="s">
        <v>77</v>
      </c>
      <c r="G227" s="43" t="s">
        <v>2241</v>
      </c>
      <c r="H227" s="43" t="s">
        <v>67</v>
      </c>
      <c r="I227" s="43" t="s">
        <v>7819</v>
      </c>
      <c r="J227" s="43" t="s">
        <v>7037</v>
      </c>
      <c r="K227" s="43" t="s">
        <v>84</v>
      </c>
      <c r="L227" s="43" t="s">
        <v>112</v>
      </c>
      <c r="M227" s="43" t="s">
        <v>781</v>
      </c>
      <c r="N227" s="43" t="s">
        <v>79</v>
      </c>
      <c r="O227" s="45">
        <v>17.850000000000001</v>
      </c>
      <c r="P227" s="43" t="s">
        <v>95</v>
      </c>
      <c r="Q227" s="43" t="s">
        <v>95</v>
      </c>
      <c r="R227" s="43" t="s">
        <v>95</v>
      </c>
      <c r="S227" s="45">
        <v>0</v>
      </c>
      <c r="T227" s="43" t="s">
        <v>95</v>
      </c>
      <c r="U227" s="44" t="s">
        <v>95</v>
      </c>
      <c r="V227" s="44" t="s">
        <v>95</v>
      </c>
      <c r="W227" s="43" t="s">
        <v>95</v>
      </c>
      <c r="X227" s="45">
        <v>17.850000000000001</v>
      </c>
      <c r="Y227" s="43" t="s">
        <v>81</v>
      </c>
      <c r="Z227" s="43" t="s">
        <v>160</v>
      </c>
      <c r="AA227" s="43" t="s">
        <v>161</v>
      </c>
      <c r="AB227" s="43" t="s">
        <v>79</v>
      </c>
      <c r="AC227" s="45">
        <v>14.28</v>
      </c>
      <c r="AD227" s="43" t="s">
        <v>95</v>
      </c>
      <c r="AE227" s="43" t="s">
        <v>95</v>
      </c>
      <c r="AF227" s="43" t="s">
        <v>95</v>
      </c>
      <c r="AG227" s="43" t="s">
        <v>95</v>
      </c>
      <c r="AH227" s="45">
        <v>0</v>
      </c>
      <c r="AI227" s="43" t="s">
        <v>95</v>
      </c>
      <c r="AJ227" s="43" t="s">
        <v>95</v>
      </c>
      <c r="AK227" s="43" t="s">
        <v>95</v>
      </c>
      <c r="AL227" s="43" t="s">
        <v>95</v>
      </c>
      <c r="AM227" s="45">
        <v>14.28</v>
      </c>
      <c r="AN227" s="43" t="s">
        <v>81</v>
      </c>
      <c r="AO227" s="44">
        <v>44897</v>
      </c>
      <c r="AP227" s="43" t="s">
        <v>492</v>
      </c>
      <c r="AQ227" s="43" t="s">
        <v>493</v>
      </c>
      <c r="AR227" s="43" t="s">
        <v>492</v>
      </c>
      <c r="AS227" s="43" t="s">
        <v>493</v>
      </c>
      <c r="AT227" s="43" t="s">
        <v>85</v>
      </c>
      <c r="AU227" s="43" t="s">
        <v>7030</v>
      </c>
      <c r="AV227" s="43" t="s">
        <v>7031</v>
      </c>
      <c r="AW227" s="43" t="s">
        <v>7031</v>
      </c>
      <c r="AX227" s="43" t="s">
        <v>90</v>
      </c>
      <c r="AY227" s="43" t="s">
        <v>132</v>
      </c>
      <c r="AZ227" s="43" t="s">
        <v>7037</v>
      </c>
      <c r="BA227" s="43" t="s">
        <v>139</v>
      </c>
      <c r="BB227" s="45">
        <v>3.57</v>
      </c>
      <c r="BC227" s="45">
        <v>3.57</v>
      </c>
      <c r="BD227" s="43" t="s">
        <v>7032</v>
      </c>
      <c r="BE227" s="43" t="s">
        <v>81</v>
      </c>
      <c r="BF227" s="43" t="s">
        <v>81</v>
      </c>
      <c r="BG227" s="43" t="s">
        <v>86</v>
      </c>
      <c r="BH227" s="43" t="s">
        <v>177</v>
      </c>
      <c r="BI227" s="43" t="s">
        <v>7038</v>
      </c>
      <c r="BJ227" s="43" t="s">
        <v>7030</v>
      </c>
      <c r="BK227" s="43" t="s">
        <v>139</v>
      </c>
      <c r="BL227" s="43" t="s">
        <v>85</v>
      </c>
      <c r="BM227" s="43" t="s">
        <v>85</v>
      </c>
      <c r="BN227" s="43" t="s">
        <v>139</v>
      </c>
      <c r="BO227" s="46">
        <v>3.57</v>
      </c>
      <c r="BP227" s="43" t="s">
        <v>7032</v>
      </c>
      <c r="BQ227" s="43">
        <v>3.57</v>
      </c>
      <c r="BR227" s="43" t="s">
        <v>7032</v>
      </c>
      <c r="BS227" s="47">
        <v>3.57</v>
      </c>
      <c r="BT227" s="43" t="s">
        <v>7032</v>
      </c>
      <c r="BU227" s="43" t="s">
        <v>7032</v>
      </c>
      <c r="BV227" s="43" t="str">
        <f>CambioPlan[[#This Row],[TELEFONO]]&amp;"UPSELLSI"</f>
        <v>998980879UPSELLSI</v>
      </c>
      <c r="BW227" s="43">
        <f>DAY(CambioPlan[[#This Row],[FECHA_CAMBIO_PLAN]])</f>
        <v>2</v>
      </c>
      <c r="BX227" s="43" t="str">
        <f>VLOOKUP(CambioPlan[[#This Row],[NOM_PLAZA]],[1]!Locales[#Data],3,0)</f>
        <v>TIENDA RECREO</v>
      </c>
      <c r="BY227" s="43" t="str">
        <f>VLOOKUP(CambioPlan[[#This Row],[DOMAIN_LOGIN_OW]],[1]!Personal[#Data],6,0)</f>
        <v>CONDO GARCIA NICOLAS MATIAS</v>
      </c>
      <c r="BZ227" s="43"/>
      <c r="CA227" s="43" t="str">
        <f>IFERROR(IF(FIND("ADULTO",CambioPlan[[#This Row],[DESCRIPCION_PLAN_ACTUAL]],1),"NO SE PAGA",),"SI SE PAGA")</f>
        <v>SI SE PAGA</v>
      </c>
      <c r="CB227" s="45">
        <f>CambioPlan[[#This Row],[TARIFA_BASICA_ACTUAL]]-CambioPlan[[#This Row],[TARIFA_BASICA_ANTERIOR]]</f>
        <v>3.5700000000000021</v>
      </c>
      <c r="CC227" s="56">
        <f>CambioPlan[[#This Row],[DIF. TARIFAS]]*4</f>
        <v>14.280000000000008</v>
      </c>
      <c r="CD227" s="53" t="str">
        <f>IF(CambioPlan[[#This Row],[C. COMISIÓN TME]]&lt;0,"DOWNSELL",IF(CambioPlan[[#This Row],[C. COMISIÓN TME]]=0,"MISMA TARIFA",IF(CambioPlan[[#This Row],[C. COMISIÓN TME]]&gt;0,"UPSELL")))</f>
        <v>UPSELL</v>
      </c>
      <c r="CE227">
        <f>VLOOKUP(CambioPlan[[#This Row],[TARIFA_BASICA_ANTERIOR]],[3]Hoja1!$F:$G,2,0)</f>
        <v>1</v>
      </c>
      <c r="CF227">
        <f>VLOOKUP(CambioPlan[[#This Row],[TARIFA_BASICA_ACTUAL]],[3]Hoja1!$B:$C,2,0)</f>
        <v>2</v>
      </c>
      <c r="CG227">
        <f t="shared" si="3"/>
        <v>1</v>
      </c>
      <c r="CH227" t="str">
        <f>VLOOKUP(CambioPlan[[#This Row],[TELEFONO]],[1]Retenciones!$R$63:$R$287,1,0)</f>
        <v>998980879</v>
      </c>
    </row>
    <row r="228" spans="1:86" x14ac:dyDescent="0.25">
      <c r="A228" s="43">
        <v>202212</v>
      </c>
      <c r="B228" s="44">
        <v>44914</v>
      </c>
      <c r="C228" s="43" t="s">
        <v>7820</v>
      </c>
      <c r="D228" s="43" t="s">
        <v>7821</v>
      </c>
      <c r="E228" s="43" t="s">
        <v>95</v>
      </c>
      <c r="F228" s="43" t="s">
        <v>311</v>
      </c>
      <c r="G228" s="43" t="s">
        <v>311</v>
      </c>
      <c r="H228" s="43" t="s">
        <v>67</v>
      </c>
      <c r="I228" s="43" t="s">
        <v>7822</v>
      </c>
      <c r="J228" s="43" t="s">
        <v>7037</v>
      </c>
      <c r="K228" s="43" t="s">
        <v>84</v>
      </c>
      <c r="L228" s="43" t="s">
        <v>3972</v>
      </c>
      <c r="M228" s="43" t="s">
        <v>3973</v>
      </c>
      <c r="N228" s="43" t="s">
        <v>79</v>
      </c>
      <c r="O228" s="45">
        <v>26.78</v>
      </c>
      <c r="P228" s="43" t="s">
        <v>95</v>
      </c>
      <c r="Q228" s="43" t="s">
        <v>95</v>
      </c>
      <c r="R228" s="43" t="s">
        <v>95</v>
      </c>
      <c r="S228" s="45">
        <v>0</v>
      </c>
      <c r="T228" s="43" t="s">
        <v>95</v>
      </c>
      <c r="U228" s="44" t="s">
        <v>95</v>
      </c>
      <c r="V228" s="44" t="s">
        <v>95</v>
      </c>
      <c r="W228" s="43" t="s">
        <v>95</v>
      </c>
      <c r="X228" s="45">
        <v>26.78</v>
      </c>
      <c r="Y228" s="43" t="s">
        <v>81</v>
      </c>
      <c r="Z228" s="43" t="s">
        <v>7823</v>
      </c>
      <c r="AA228" s="43" t="s">
        <v>7824</v>
      </c>
      <c r="AB228" s="43" t="s">
        <v>79</v>
      </c>
      <c r="AC228" s="45">
        <v>35</v>
      </c>
      <c r="AD228" s="43" t="s">
        <v>95</v>
      </c>
      <c r="AE228" s="43" t="s">
        <v>95</v>
      </c>
      <c r="AF228" s="43" t="s">
        <v>95</v>
      </c>
      <c r="AG228" s="43" t="s">
        <v>95</v>
      </c>
      <c r="AH228" s="45">
        <v>0</v>
      </c>
      <c r="AI228" s="43" t="s">
        <v>95</v>
      </c>
      <c r="AJ228" s="43" t="s">
        <v>95</v>
      </c>
      <c r="AK228" s="43" t="s">
        <v>95</v>
      </c>
      <c r="AL228" s="43" t="s">
        <v>95</v>
      </c>
      <c r="AM228" s="45">
        <v>35</v>
      </c>
      <c r="AN228" s="43" t="s">
        <v>81</v>
      </c>
      <c r="AO228" s="44">
        <v>44900</v>
      </c>
      <c r="AP228" s="43" t="s">
        <v>369</v>
      </c>
      <c r="AQ228" s="43" t="s">
        <v>370</v>
      </c>
      <c r="AR228" s="43" t="s">
        <v>369</v>
      </c>
      <c r="AS228" s="43" t="s">
        <v>370</v>
      </c>
      <c r="AT228" s="43" t="s">
        <v>85</v>
      </c>
      <c r="AU228" s="43" t="s">
        <v>7030</v>
      </c>
      <c r="AV228" s="43" t="s">
        <v>7031</v>
      </c>
      <c r="AW228" s="43" t="s">
        <v>7031</v>
      </c>
      <c r="AX228" s="43" t="s">
        <v>90</v>
      </c>
      <c r="AY228" s="43" t="s">
        <v>132</v>
      </c>
      <c r="AZ228" s="43" t="s">
        <v>7037</v>
      </c>
      <c r="BA228" s="43" t="s">
        <v>139</v>
      </c>
      <c r="BB228" s="45">
        <v>-8.2200000000000006</v>
      </c>
      <c r="BC228" s="45">
        <v>-8.2200000000000006</v>
      </c>
      <c r="BD228" s="43" t="s">
        <v>7106</v>
      </c>
      <c r="BE228" s="43" t="s">
        <v>81</v>
      </c>
      <c r="BF228" s="43" t="s">
        <v>81</v>
      </c>
      <c r="BG228" s="43" t="s">
        <v>86</v>
      </c>
      <c r="BH228" s="43" t="s">
        <v>177</v>
      </c>
      <c r="BI228" s="43" t="s">
        <v>7038</v>
      </c>
      <c r="BJ228" s="43" t="s">
        <v>7030</v>
      </c>
      <c r="BK228" s="43" t="s">
        <v>139</v>
      </c>
      <c r="BL228" s="43" t="s">
        <v>85</v>
      </c>
      <c r="BM228" s="43" t="s">
        <v>85</v>
      </c>
      <c r="BN228" s="43" t="s">
        <v>139</v>
      </c>
      <c r="BO228" s="46">
        <v>-8.2200000000000006</v>
      </c>
      <c r="BP228" s="43" t="s">
        <v>7106</v>
      </c>
      <c r="BQ228" s="43">
        <v>-8.2200000000000006</v>
      </c>
      <c r="BR228" s="43" t="s">
        <v>7106</v>
      </c>
      <c r="BS228" s="47">
        <v>-8.2200000000000006</v>
      </c>
      <c r="BT228" s="43" t="s">
        <v>7106</v>
      </c>
      <c r="BU228" s="43" t="s">
        <v>7106</v>
      </c>
      <c r="BV228" s="43" t="str">
        <f>CambioPlan[[#This Row],[TELEFONO]]&amp;"UPSELLSI"</f>
        <v>999005438UPSELLSI</v>
      </c>
      <c r="BW228" s="43">
        <f>DAY(CambioPlan[[#This Row],[FECHA_CAMBIO_PLAN]])</f>
        <v>5</v>
      </c>
      <c r="BX228" s="43" t="str">
        <f>VLOOKUP(CambioPlan[[#This Row],[NOM_PLAZA]],[1]!Locales[#Data],3,0)</f>
        <v>TIENDA RECREO</v>
      </c>
      <c r="BY228" s="43" t="str">
        <f>VLOOKUP(CambioPlan[[#This Row],[DOMAIN_LOGIN_OW]],[1]!Personal[#Data],6,0)</f>
        <v>GUAIGUA REINOSO GENESIS CAROLINA</v>
      </c>
      <c r="BZ228" s="43"/>
      <c r="CA228" s="43" t="str">
        <f>IFERROR(IF(FIND("ADULTO",CambioPlan[[#This Row],[DESCRIPCION_PLAN_ACTUAL]],1),"NO SE PAGA",),"SI SE PAGA")</f>
        <v>SI SE PAGA</v>
      </c>
      <c r="CB228" s="45">
        <f>CambioPlan[[#This Row],[TARIFA_BASICA_ACTUAL]]-CambioPlan[[#This Row],[TARIFA_BASICA_ANTERIOR]]</f>
        <v>-8.2199999999999989</v>
      </c>
      <c r="CC228" s="56">
        <f>CambioPlan[[#This Row],[DIF. TARIFAS]]*4</f>
        <v>-32.879999999999995</v>
      </c>
      <c r="CD228" s="53" t="str">
        <f>IF(CambioPlan[[#This Row],[C. COMISIÓN TME]]&lt;0,"DOWNSELL",IF(CambioPlan[[#This Row],[C. COMISIÓN TME]]=0,"MISMA TARIFA",IF(CambioPlan[[#This Row],[C. COMISIÓN TME]]&gt;0,"UPSELL")))</f>
        <v>DOWNSELL</v>
      </c>
      <c r="CE228">
        <f>VLOOKUP(CambioPlan[[#This Row],[TARIFA_BASICA_ANTERIOR]],[3]Hoja1!$F:$G,2,0)</f>
        <v>5</v>
      </c>
      <c r="CF228">
        <f>VLOOKUP(CambioPlan[[#This Row],[TARIFA_BASICA_ACTUAL]],[3]Hoja1!$B:$C,2,0)</f>
        <v>4</v>
      </c>
      <c r="CG228">
        <f t="shared" si="3"/>
        <v>-1</v>
      </c>
      <c r="CH228" t="str">
        <f>VLOOKUP(CambioPlan[[#This Row],[TELEFONO]],[1]Retenciones!$R$63:$R$287,1,0)</f>
        <v>999005438</v>
      </c>
    </row>
    <row r="229" spans="1:86" x14ac:dyDescent="0.25">
      <c r="A229" s="43">
        <v>202212</v>
      </c>
      <c r="B229" s="44">
        <v>44914</v>
      </c>
      <c r="C229" s="43" t="s">
        <v>7825</v>
      </c>
      <c r="D229" s="43" t="s">
        <v>7826</v>
      </c>
      <c r="E229" s="43" t="s">
        <v>95</v>
      </c>
      <c r="F229" s="43" t="s">
        <v>231</v>
      </c>
      <c r="G229" s="43" t="s">
        <v>231</v>
      </c>
      <c r="H229" s="43" t="s">
        <v>67</v>
      </c>
      <c r="I229" s="43" t="s">
        <v>7827</v>
      </c>
      <c r="J229" s="43" t="s">
        <v>7037</v>
      </c>
      <c r="K229" s="43" t="s">
        <v>84</v>
      </c>
      <c r="L229" s="43" t="s">
        <v>3972</v>
      </c>
      <c r="M229" s="43" t="s">
        <v>3973</v>
      </c>
      <c r="N229" s="43" t="s">
        <v>79</v>
      </c>
      <c r="O229" s="45">
        <v>26.78</v>
      </c>
      <c r="P229" s="43" t="s">
        <v>95</v>
      </c>
      <c r="Q229" s="43" t="s">
        <v>95</v>
      </c>
      <c r="R229" s="43" t="s">
        <v>95</v>
      </c>
      <c r="S229" s="45">
        <v>0</v>
      </c>
      <c r="T229" s="43" t="s">
        <v>95</v>
      </c>
      <c r="U229" s="44" t="s">
        <v>95</v>
      </c>
      <c r="V229" s="44" t="s">
        <v>95</v>
      </c>
      <c r="W229" s="43" t="s">
        <v>95</v>
      </c>
      <c r="X229" s="45">
        <v>26.78</v>
      </c>
      <c r="Y229" s="43" t="s">
        <v>81</v>
      </c>
      <c r="Z229" s="43" t="s">
        <v>7213</v>
      </c>
      <c r="AA229" s="43" t="s">
        <v>7214</v>
      </c>
      <c r="AB229" s="43" t="s">
        <v>79</v>
      </c>
      <c r="AC229" s="45">
        <v>24.99</v>
      </c>
      <c r="AD229" s="43" t="s">
        <v>95</v>
      </c>
      <c r="AE229" s="43" t="s">
        <v>95</v>
      </c>
      <c r="AF229" s="43" t="s">
        <v>95</v>
      </c>
      <c r="AG229" s="43" t="s">
        <v>95</v>
      </c>
      <c r="AH229" s="45">
        <v>0</v>
      </c>
      <c r="AI229" s="43" t="s">
        <v>95</v>
      </c>
      <c r="AJ229" s="43" t="s">
        <v>95</v>
      </c>
      <c r="AK229" s="43" t="s">
        <v>95</v>
      </c>
      <c r="AL229" s="43" t="s">
        <v>95</v>
      </c>
      <c r="AM229" s="45">
        <v>24.99</v>
      </c>
      <c r="AN229" s="43" t="s">
        <v>81</v>
      </c>
      <c r="AO229" s="44">
        <v>44900</v>
      </c>
      <c r="AP229" s="43" t="s">
        <v>280</v>
      </c>
      <c r="AQ229" s="43" t="s">
        <v>281</v>
      </c>
      <c r="AR229" s="43" t="s">
        <v>280</v>
      </c>
      <c r="AS229" s="43" t="s">
        <v>281</v>
      </c>
      <c r="AT229" s="43" t="s">
        <v>85</v>
      </c>
      <c r="AU229" s="43" t="s">
        <v>7030</v>
      </c>
      <c r="AV229" s="43" t="s">
        <v>7031</v>
      </c>
      <c r="AW229" s="43" t="s">
        <v>7031</v>
      </c>
      <c r="AX229" s="43" t="s">
        <v>90</v>
      </c>
      <c r="AY229" s="43" t="s">
        <v>132</v>
      </c>
      <c r="AZ229" s="43" t="s">
        <v>7037</v>
      </c>
      <c r="BA229" s="43" t="s">
        <v>139</v>
      </c>
      <c r="BB229" s="45">
        <v>1.79</v>
      </c>
      <c r="BC229" s="45">
        <v>1.79</v>
      </c>
      <c r="BD229" s="43" t="s">
        <v>7032</v>
      </c>
      <c r="BE229" s="43" t="s">
        <v>81</v>
      </c>
      <c r="BF229" s="43" t="s">
        <v>81</v>
      </c>
      <c r="BG229" s="43" t="s">
        <v>86</v>
      </c>
      <c r="BH229" s="43" t="s">
        <v>235</v>
      </c>
      <c r="BI229" s="43" t="s">
        <v>7076</v>
      </c>
      <c r="BJ229" s="43" t="s">
        <v>7030</v>
      </c>
      <c r="BK229" s="43" t="s">
        <v>139</v>
      </c>
      <c r="BL229" s="43" t="s">
        <v>85</v>
      </c>
      <c r="BM229" s="43" t="s">
        <v>85</v>
      </c>
      <c r="BN229" s="43" t="s">
        <v>139</v>
      </c>
      <c r="BO229" s="46">
        <v>1.79</v>
      </c>
      <c r="BP229" s="43" t="s">
        <v>7032</v>
      </c>
      <c r="BQ229" s="43">
        <v>1.79</v>
      </c>
      <c r="BR229" s="43" t="s">
        <v>7032</v>
      </c>
      <c r="BS229" s="47">
        <v>1.79</v>
      </c>
      <c r="BT229" s="43" t="s">
        <v>7032</v>
      </c>
      <c r="BU229" s="43" t="s">
        <v>7032</v>
      </c>
      <c r="BV229" s="43" t="str">
        <f>CambioPlan[[#This Row],[TELEFONO]]&amp;"UPSELLSI"</f>
        <v>999019685UPSELLSI</v>
      </c>
      <c r="BW229" s="43">
        <f>DAY(CambioPlan[[#This Row],[FECHA_CAMBIO_PLAN]])</f>
        <v>5</v>
      </c>
      <c r="BX229" s="43" t="str">
        <f>VLOOKUP(CambioPlan[[#This Row],[NOM_PLAZA]],[1]!Locales[#Data],3,0)</f>
        <v>TIENDA CONDADO</v>
      </c>
      <c r="BY229" s="43" t="str">
        <f>VLOOKUP(CambioPlan[[#This Row],[DOMAIN_LOGIN_OW]],[1]!Personal[#Data],6,0)</f>
        <v>GUACHAMIN CAZA HUGO ADRIAN</v>
      </c>
      <c r="BZ229" s="43"/>
      <c r="CA229" s="43" t="str">
        <f>IFERROR(IF(FIND("ADULTO",CambioPlan[[#This Row],[DESCRIPCION_PLAN_ACTUAL]],1),"NO SE PAGA",),"SI SE PAGA")</f>
        <v>SI SE PAGA</v>
      </c>
      <c r="CB229" s="45">
        <f>CambioPlan[[#This Row],[TARIFA_BASICA_ACTUAL]]-CambioPlan[[#This Row],[TARIFA_BASICA_ANTERIOR]]</f>
        <v>1.7900000000000027</v>
      </c>
      <c r="CC229" s="56">
        <f>CambioPlan[[#This Row],[DIF. TARIFAS]]*4</f>
        <v>7.1600000000000108</v>
      </c>
      <c r="CD229" s="53" t="str">
        <f>IF(CambioPlan[[#This Row],[C. COMISIÓN TME]]&lt;0,"DOWNSELL",IF(CambioPlan[[#This Row],[C. COMISIÓN TME]]=0,"MISMA TARIFA",IF(CambioPlan[[#This Row],[C. COMISIÓN TME]]&gt;0,"UPSELL")))</f>
        <v>UPSELL</v>
      </c>
      <c r="CE229">
        <f>VLOOKUP(CambioPlan[[#This Row],[TARIFA_BASICA_ANTERIOR]],[3]Hoja1!$F:$G,2,0)</f>
        <v>4</v>
      </c>
      <c r="CF229">
        <f>VLOOKUP(CambioPlan[[#This Row],[TARIFA_BASICA_ACTUAL]],[3]Hoja1!$B:$C,2,0)</f>
        <v>4</v>
      </c>
      <c r="CG229">
        <f t="shared" si="3"/>
        <v>0</v>
      </c>
      <c r="CH229" t="e">
        <f>VLOOKUP(CambioPlan[[#This Row],[TELEFONO]],[1]Retenciones!$R$63:$R$287,1,0)</f>
        <v>#N/A</v>
      </c>
    </row>
    <row r="230" spans="1:86" x14ac:dyDescent="0.25">
      <c r="A230" s="43">
        <v>202212</v>
      </c>
      <c r="B230" s="44">
        <v>44914</v>
      </c>
      <c r="C230" s="43" t="s">
        <v>7828</v>
      </c>
      <c r="D230" s="43" t="s">
        <v>7829</v>
      </c>
      <c r="E230" s="43" t="s">
        <v>95</v>
      </c>
      <c r="F230" s="43" t="s">
        <v>77</v>
      </c>
      <c r="G230" s="43" t="s">
        <v>1532</v>
      </c>
      <c r="H230" s="43" t="s">
        <v>246</v>
      </c>
      <c r="I230" s="43" t="s">
        <v>1885</v>
      </c>
      <c r="J230" s="43" t="s">
        <v>7029</v>
      </c>
      <c r="K230" s="43" t="s">
        <v>118</v>
      </c>
      <c r="L230" s="43" t="s">
        <v>7067</v>
      </c>
      <c r="M230" s="43" t="s">
        <v>7068</v>
      </c>
      <c r="N230" s="43" t="s">
        <v>79</v>
      </c>
      <c r="O230" s="45">
        <v>51.78</v>
      </c>
      <c r="P230" s="43" t="s">
        <v>95</v>
      </c>
      <c r="Q230" s="43" t="s">
        <v>95</v>
      </c>
      <c r="R230" s="43" t="s">
        <v>95</v>
      </c>
      <c r="S230" s="45">
        <v>0</v>
      </c>
      <c r="T230" s="43" t="s">
        <v>95</v>
      </c>
      <c r="U230" s="44" t="s">
        <v>95</v>
      </c>
      <c r="V230" s="44" t="s">
        <v>95</v>
      </c>
      <c r="W230" s="43" t="s">
        <v>95</v>
      </c>
      <c r="X230" s="45">
        <v>51.78</v>
      </c>
      <c r="Y230" s="43" t="s">
        <v>81</v>
      </c>
      <c r="Z230" s="43" t="s">
        <v>7281</v>
      </c>
      <c r="AA230" s="43" t="s">
        <v>7282</v>
      </c>
      <c r="AB230" s="43" t="s">
        <v>79</v>
      </c>
      <c r="AC230" s="45">
        <v>17.03</v>
      </c>
      <c r="AD230" s="43" t="s">
        <v>95</v>
      </c>
      <c r="AE230" s="43" t="s">
        <v>95</v>
      </c>
      <c r="AF230" s="43" t="s">
        <v>95</v>
      </c>
      <c r="AG230" s="43" t="s">
        <v>95</v>
      </c>
      <c r="AH230" s="45">
        <v>0</v>
      </c>
      <c r="AI230" s="43" t="s">
        <v>95</v>
      </c>
      <c r="AJ230" s="43" t="s">
        <v>95</v>
      </c>
      <c r="AK230" s="43" t="s">
        <v>95</v>
      </c>
      <c r="AL230" s="43" t="s">
        <v>95</v>
      </c>
      <c r="AM230" s="45">
        <v>17.03</v>
      </c>
      <c r="AN230" s="43" t="s">
        <v>81</v>
      </c>
      <c r="AO230" s="44">
        <v>44911</v>
      </c>
      <c r="AP230" s="43" t="s">
        <v>251</v>
      </c>
      <c r="AQ230" s="43" t="s">
        <v>252</v>
      </c>
      <c r="AR230" s="43" t="s">
        <v>251</v>
      </c>
      <c r="AS230" s="43" t="s">
        <v>252</v>
      </c>
      <c r="AT230" s="43" t="s">
        <v>85</v>
      </c>
      <c r="AU230" s="43" t="s">
        <v>7030</v>
      </c>
      <c r="AV230" s="43" t="s">
        <v>7031</v>
      </c>
      <c r="AW230" s="43" t="s">
        <v>7031</v>
      </c>
      <c r="AX230" s="43" t="s">
        <v>90</v>
      </c>
      <c r="AY230" s="43" t="s">
        <v>132</v>
      </c>
      <c r="AZ230" s="43" t="s">
        <v>7037</v>
      </c>
      <c r="BA230" s="43" t="s">
        <v>139</v>
      </c>
      <c r="BB230" s="45">
        <v>34.75</v>
      </c>
      <c r="BC230" s="45">
        <v>34.75</v>
      </c>
      <c r="BD230" s="43" t="s">
        <v>7032</v>
      </c>
      <c r="BE230" s="43" t="s">
        <v>81</v>
      </c>
      <c r="BF230" s="43" t="s">
        <v>81</v>
      </c>
      <c r="BG230" s="43" t="s">
        <v>86</v>
      </c>
      <c r="BH230" s="43" t="s">
        <v>177</v>
      </c>
      <c r="BI230" s="43" t="s">
        <v>7038</v>
      </c>
      <c r="BJ230" s="43" t="s">
        <v>7030</v>
      </c>
      <c r="BK230" s="43" t="s">
        <v>139</v>
      </c>
      <c r="BL230" s="43" t="s">
        <v>85</v>
      </c>
      <c r="BM230" s="43" t="s">
        <v>85</v>
      </c>
      <c r="BN230" s="43" t="s">
        <v>139</v>
      </c>
      <c r="BO230" s="46">
        <v>34.75</v>
      </c>
      <c r="BP230" s="43" t="s">
        <v>7032</v>
      </c>
      <c r="BQ230" s="43">
        <v>34.75</v>
      </c>
      <c r="BR230" s="43" t="s">
        <v>7032</v>
      </c>
      <c r="BS230" s="47">
        <v>34.75</v>
      </c>
      <c r="BT230" s="43" t="s">
        <v>7032</v>
      </c>
      <c r="BU230" s="43" t="s">
        <v>7032</v>
      </c>
      <c r="BV230" s="43" t="str">
        <f>CambioPlan[[#This Row],[TELEFONO]]&amp;"UPSELLSI"</f>
        <v>999022984UPSELLSI</v>
      </c>
      <c r="BW230" s="43">
        <f>DAY(CambioPlan[[#This Row],[FECHA_CAMBIO_PLAN]])</f>
        <v>16</v>
      </c>
      <c r="BX230" s="43" t="str">
        <f>VLOOKUP(CambioPlan[[#This Row],[NOM_PLAZA]],[1]!Locales[#Data],3,0)</f>
        <v>TIENDA RECREO</v>
      </c>
      <c r="BY230" s="43" t="str">
        <f>VLOOKUP(CambioPlan[[#This Row],[DOMAIN_LOGIN_OW]],[1]!Personal[#Data],6,0)</f>
        <v>CRUZ MONTUFAR KATHERINE ALEJANDRA</v>
      </c>
      <c r="BZ230" s="43"/>
      <c r="CA230" s="43" t="str">
        <f>IFERROR(IF(FIND("ADULTO",CambioPlan[[#This Row],[DESCRIPCION_PLAN_ACTUAL]],1),"NO SE PAGA",),"SI SE PAGA")</f>
        <v>SI SE PAGA</v>
      </c>
      <c r="CB230" s="45">
        <f>CambioPlan[[#This Row],[TARIFA_BASICA_ACTUAL]]-CambioPlan[[#This Row],[TARIFA_BASICA_ANTERIOR]]</f>
        <v>34.75</v>
      </c>
      <c r="CC230" s="56">
        <f>CambioPlan[[#This Row],[DIF. TARIFAS]]*4</f>
        <v>139</v>
      </c>
      <c r="CD230" s="53" t="str">
        <f>IF(CambioPlan[[#This Row],[C. COMISIÓN TME]]&lt;0,"DOWNSELL",IF(CambioPlan[[#This Row],[C. COMISIÓN TME]]=0,"MISMA TARIFA",IF(CambioPlan[[#This Row],[C. COMISIÓN TME]]&gt;0,"UPSELL")))</f>
        <v>UPSELL</v>
      </c>
      <c r="CE230">
        <f>VLOOKUP(CambioPlan[[#This Row],[TARIFA_BASICA_ANTERIOR]],[3]Hoja1!$F:$G,2,0)</f>
        <v>2</v>
      </c>
      <c r="CF230">
        <f>VLOOKUP(CambioPlan[[#This Row],[TARIFA_BASICA_ACTUAL]],[3]Hoja1!$B:$C,2,0)</f>
        <v>6</v>
      </c>
      <c r="CG230">
        <f t="shared" si="3"/>
        <v>4</v>
      </c>
      <c r="CH230" t="e">
        <f>VLOOKUP(CambioPlan[[#This Row],[TELEFONO]],[1]Retenciones!$R$63:$R$287,1,0)</f>
        <v>#N/A</v>
      </c>
    </row>
    <row r="231" spans="1:86" x14ac:dyDescent="0.25">
      <c r="A231" s="43">
        <v>202212</v>
      </c>
      <c r="B231" s="44">
        <v>44914</v>
      </c>
      <c r="C231" s="43" t="s">
        <v>7830</v>
      </c>
      <c r="D231" s="43" t="s">
        <v>7831</v>
      </c>
      <c r="E231" s="43" t="s">
        <v>95</v>
      </c>
      <c r="F231" s="43" t="s">
        <v>77</v>
      </c>
      <c r="G231" s="43" t="s">
        <v>2241</v>
      </c>
      <c r="H231" s="43" t="s">
        <v>67</v>
      </c>
      <c r="I231" s="43" t="s">
        <v>7832</v>
      </c>
      <c r="J231" s="43" t="s">
        <v>7029</v>
      </c>
      <c r="K231" s="43" t="s">
        <v>118</v>
      </c>
      <c r="L231" s="43" t="s">
        <v>160</v>
      </c>
      <c r="M231" s="43" t="s">
        <v>161</v>
      </c>
      <c r="N231" s="43" t="s">
        <v>79</v>
      </c>
      <c r="O231" s="45">
        <v>14.28</v>
      </c>
      <c r="P231" s="43" t="s">
        <v>95</v>
      </c>
      <c r="Q231" s="43" t="s">
        <v>95</v>
      </c>
      <c r="R231" s="43" t="s">
        <v>95</v>
      </c>
      <c r="S231" s="45">
        <v>0</v>
      </c>
      <c r="T231" s="43" t="s">
        <v>95</v>
      </c>
      <c r="U231" s="44" t="s">
        <v>95</v>
      </c>
      <c r="V231" s="44" t="s">
        <v>95</v>
      </c>
      <c r="W231" s="43" t="s">
        <v>95</v>
      </c>
      <c r="X231" s="45">
        <v>14.28</v>
      </c>
      <c r="Y231" s="43" t="s">
        <v>81</v>
      </c>
      <c r="Z231" s="43" t="s">
        <v>71</v>
      </c>
      <c r="AA231" s="43" t="s">
        <v>258</v>
      </c>
      <c r="AB231" s="43" t="s">
        <v>79</v>
      </c>
      <c r="AC231" s="45">
        <v>11.42</v>
      </c>
      <c r="AD231" s="43" t="s">
        <v>95</v>
      </c>
      <c r="AE231" s="43" t="s">
        <v>95</v>
      </c>
      <c r="AF231" s="43" t="s">
        <v>95</v>
      </c>
      <c r="AG231" s="43" t="s">
        <v>95</v>
      </c>
      <c r="AH231" s="45">
        <v>0</v>
      </c>
      <c r="AI231" s="43" t="s">
        <v>95</v>
      </c>
      <c r="AJ231" s="43" t="s">
        <v>95</v>
      </c>
      <c r="AK231" s="43" t="s">
        <v>95</v>
      </c>
      <c r="AL231" s="43" t="s">
        <v>95</v>
      </c>
      <c r="AM231" s="45">
        <v>11.42</v>
      </c>
      <c r="AN231" s="43" t="s">
        <v>81</v>
      </c>
      <c r="AO231" s="44">
        <v>44909</v>
      </c>
      <c r="AP231" s="43" t="s">
        <v>926</v>
      </c>
      <c r="AQ231" s="43" t="s">
        <v>927</v>
      </c>
      <c r="AR231" s="43" t="s">
        <v>7062</v>
      </c>
      <c r="AS231" s="43" t="s">
        <v>95</v>
      </c>
      <c r="AT231" s="43" t="s">
        <v>85</v>
      </c>
      <c r="AU231" s="43" t="s">
        <v>7030</v>
      </c>
      <c r="AV231" s="43" t="s">
        <v>7031</v>
      </c>
      <c r="AW231" s="43" t="s">
        <v>7031</v>
      </c>
      <c r="AX231" s="43" t="s">
        <v>90</v>
      </c>
      <c r="AY231" s="43" t="s">
        <v>132</v>
      </c>
      <c r="AZ231" s="43" t="s">
        <v>7037</v>
      </c>
      <c r="BA231" s="43" t="s">
        <v>139</v>
      </c>
      <c r="BB231" s="45">
        <v>2.86</v>
      </c>
      <c r="BC231" s="45">
        <v>2.86</v>
      </c>
      <c r="BD231" s="43" t="s">
        <v>7032</v>
      </c>
      <c r="BE231" s="43" t="s">
        <v>81</v>
      </c>
      <c r="BF231" s="43" t="s">
        <v>81</v>
      </c>
      <c r="BG231" s="43" t="s">
        <v>86</v>
      </c>
      <c r="BH231" s="43" t="s">
        <v>177</v>
      </c>
      <c r="BI231" s="43" t="s">
        <v>7038</v>
      </c>
      <c r="BJ231" s="43" t="s">
        <v>7030</v>
      </c>
      <c r="BK231" s="43" t="s">
        <v>139</v>
      </c>
      <c r="BL231" s="43" t="s">
        <v>85</v>
      </c>
      <c r="BM231" s="43" t="s">
        <v>85</v>
      </c>
      <c r="BN231" s="43" t="s">
        <v>139</v>
      </c>
      <c r="BO231" s="46">
        <v>2.86</v>
      </c>
      <c r="BP231" s="43" t="s">
        <v>7032</v>
      </c>
      <c r="BQ231" s="43">
        <v>2.86</v>
      </c>
      <c r="BR231" s="43" t="s">
        <v>7032</v>
      </c>
      <c r="BS231" s="47">
        <v>2.86</v>
      </c>
      <c r="BT231" s="43" t="s">
        <v>7032</v>
      </c>
      <c r="BU231" s="43" t="s">
        <v>7032</v>
      </c>
      <c r="BV231" s="43" t="str">
        <f>CambioPlan[[#This Row],[TELEFONO]]&amp;"UPSELLSI"</f>
        <v>999042461UPSELLSI</v>
      </c>
      <c r="BW231" s="43">
        <f>DAY(CambioPlan[[#This Row],[FECHA_CAMBIO_PLAN]])</f>
        <v>14</v>
      </c>
      <c r="BX231" s="43" t="str">
        <f>VLOOKUP(CambioPlan[[#This Row],[NOM_PLAZA]],[1]!Locales[#Data],3,0)</f>
        <v>TIENDA RECREO</v>
      </c>
      <c r="BY231" s="43" t="str">
        <f>VLOOKUP(CambioPlan[[#This Row],[DOMAIN_LOGIN_OW]],[1]!Personal[#Data],6,0)</f>
        <v>CABEZAS LOPEZ ROBERTO ALEJANDRO</v>
      </c>
      <c r="BZ231" s="43"/>
      <c r="CA231" s="43" t="str">
        <f>IFERROR(IF(FIND("ADULTO",CambioPlan[[#This Row],[DESCRIPCION_PLAN_ACTUAL]],1),"NO SE PAGA",),"SI SE PAGA")</f>
        <v>SI SE PAGA</v>
      </c>
      <c r="CB231" s="45">
        <f>CambioPlan[[#This Row],[TARIFA_BASICA_ACTUAL]]-CambioPlan[[#This Row],[TARIFA_BASICA_ANTERIOR]]</f>
        <v>2.8599999999999994</v>
      </c>
      <c r="CC231" s="56">
        <f>CambioPlan[[#This Row],[DIF. TARIFAS]]*4</f>
        <v>11.439999999999998</v>
      </c>
      <c r="CD231" s="53" t="str">
        <f>IF(CambioPlan[[#This Row],[C. COMISIÓN TME]]&lt;0,"DOWNSELL",IF(CambioPlan[[#This Row],[C. COMISIÓN TME]]=0,"MISMA TARIFA",IF(CambioPlan[[#This Row],[C. COMISIÓN TME]]&gt;0,"UPSELL")))</f>
        <v>UPSELL</v>
      </c>
      <c r="CE231">
        <f>VLOOKUP(CambioPlan[[#This Row],[TARIFA_BASICA_ANTERIOR]],[3]Hoja1!$F:$G,2,0)</f>
        <v>0</v>
      </c>
      <c r="CF231">
        <f>VLOOKUP(CambioPlan[[#This Row],[TARIFA_BASICA_ACTUAL]],[3]Hoja1!$B:$C,2,0)</f>
        <v>1</v>
      </c>
      <c r="CG231">
        <f t="shared" si="3"/>
        <v>1</v>
      </c>
      <c r="CH231" t="e">
        <f>VLOOKUP(CambioPlan[[#This Row],[TELEFONO]],[1]Retenciones!$R$63:$R$287,1,0)</f>
        <v>#N/A</v>
      </c>
    </row>
    <row r="232" spans="1:86" x14ac:dyDescent="0.25">
      <c r="A232" s="43">
        <v>202212</v>
      </c>
      <c r="B232" s="44">
        <v>44914</v>
      </c>
      <c r="C232" s="43" t="s">
        <v>7833</v>
      </c>
      <c r="D232" s="43" t="s">
        <v>7834</v>
      </c>
      <c r="E232" s="43" t="s">
        <v>95</v>
      </c>
      <c r="F232" s="43" t="s">
        <v>77</v>
      </c>
      <c r="G232" s="43" t="s">
        <v>164</v>
      </c>
      <c r="H232" s="43" t="s">
        <v>246</v>
      </c>
      <c r="I232" s="43" t="s">
        <v>7835</v>
      </c>
      <c r="J232" s="43" t="s">
        <v>7037</v>
      </c>
      <c r="K232" s="43" t="s">
        <v>118</v>
      </c>
      <c r="L232" s="43" t="s">
        <v>3232</v>
      </c>
      <c r="M232" s="43" t="s">
        <v>7237</v>
      </c>
      <c r="N232" s="43" t="s">
        <v>79</v>
      </c>
      <c r="O232" s="45">
        <v>51.78</v>
      </c>
      <c r="P232" s="43" t="s">
        <v>95</v>
      </c>
      <c r="Q232" s="43" t="s">
        <v>95</v>
      </c>
      <c r="R232" s="43" t="s">
        <v>95</v>
      </c>
      <c r="S232" s="45">
        <v>0</v>
      </c>
      <c r="T232" s="43" t="s">
        <v>95</v>
      </c>
      <c r="U232" s="44" t="s">
        <v>95</v>
      </c>
      <c r="V232" s="44" t="s">
        <v>95</v>
      </c>
      <c r="W232" s="43" t="s">
        <v>95</v>
      </c>
      <c r="X232" s="45">
        <v>51.78</v>
      </c>
      <c r="Y232" s="43" t="s">
        <v>81</v>
      </c>
      <c r="Z232" s="43" t="s">
        <v>130</v>
      </c>
      <c r="AA232" s="43" t="s">
        <v>433</v>
      </c>
      <c r="AB232" s="43" t="s">
        <v>79</v>
      </c>
      <c r="AC232" s="45">
        <v>15</v>
      </c>
      <c r="AD232" s="43" t="s">
        <v>95</v>
      </c>
      <c r="AE232" s="43" t="s">
        <v>95</v>
      </c>
      <c r="AF232" s="43" t="s">
        <v>95</v>
      </c>
      <c r="AG232" s="43" t="s">
        <v>95</v>
      </c>
      <c r="AH232" s="45">
        <v>0</v>
      </c>
      <c r="AI232" s="43" t="s">
        <v>95</v>
      </c>
      <c r="AJ232" s="43" t="s">
        <v>95</v>
      </c>
      <c r="AK232" s="43" t="s">
        <v>95</v>
      </c>
      <c r="AL232" s="43" t="s">
        <v>95</v>
      </c>
      <c r="AM232" s="45">
        <v>15</v>
      </c>
      <c r="AN232" s="43" t="s">
        <v>81</v>
      </c>
      <c r="AO232" s="44">
        <v>44908</v>
      </c>
      <c r="AP232" s="43" t="s">
        <v>630</v>
      </c>
      <c r="AQ232" s="43" t="s">
        <v>631</v>
      </c>
      <c r="AR232" s="43" t="s">
        <v>630</v>
      </c>
      <c r="AS232" s="43" t="s">
        <v>631</v>
      </c>
      <c r="AT232" s="43" t="s">
        <v>85</v>
      </c>
      <c r="AU232" s="43" t="s">
        <v>7030</v>
      </c>
      <c r="AV232" s="43" t="s">
        <v>7031</v>
      </c>
      <c r="AW232" s="43" t="s">
        <v>7031</v>
      </c>
      <c r="AX232" s="43" t="s">
        <v>90</v>
      </c>
      <c r="AY232" s="43" t="s">
        <v>132</v>
      </c>
      <c r="AZ232" s="43" t="s">
        <v>7037</v>
      </c>
      <c r="BA232" s="43" t="s">
        <v>139</v>
      </c>
      <c r="BB232" s="45">
        <v>36.78</v>
      </c>
      <c r="BC232" s="45">
        <v>36.78</v>
      </c>
      <c r="BD232" s="43" t="s">
        <v>7032</v>
      </c>
      <c r="BE232" s="43" t="s">
        <v>81</v>
      </c>
      <c r="BF232" s="43" t="s">
        <v>81</v>
      </c>
      <c r="BG232" s="43" t="s">
        <v>86</v>
      </c>
      <c r="BH232" s="43" t="s">
        <v>177</v>
      </c>
      <c r="BI232" s="43" t="s">
        <v>7038</v>
      </c>
      <c r="BJ232" s="43" t="s">
        <v>7030</v>
      </c>
      <c r="BK232" s="43" t="s">
        <v>139</v>
      </c>
      <c r="BL232" s="43" t="s">
        <v>85</v>
      </c>
      <c r="BM232" s="43" t="s">
        <v>85</v>
      </c>
      <c r="BN232" s="43" t="s">
        <v>139</v>
      </c>
      <c r="BO232" s="46">
        <v>36.78</v>
      </c>
      <c r="BP232" s="43" t="s">
        <v>7032</v>
      </c>
      <c r="BQ232" s="43">
        <v>36.78</v>
      </c>
      <c r="BR232" s="43" t="s">
        <v>7032</v>
      </c>
      <c r="BS232" s="47">
        <v>36.78</v>
      </c>
      <c r="BT232" s="43" t="s">
        <v>7032</v>
      </c>
      <c r="BU232" s="43" t="s">
        <v>7032</v>
      </c>
      <c r="BV232" s="43" t="str">
        <f>CambioPlan[[#This Row],[TELEFONO]]&amp;"UPSELLSI"</f>
        <v>999048031UPSELLSI</v>
      </c>
      <c r="BW232" s="43">
        <f>DAY(CambioPlan[[#This Row],[FECHA_CAMBIO_PLAN]])</f>
        <v>13</v>
      </c>
      <c r="BX232" s="43" t="str">
        <f>VLOOKUP(CambioPlan[[#This Row],[NOM_PLAZA]],[1]!Locales[#Data],3,0)</f>
        <v>TIENDA RECREO</v>
      </c>
      <c r="BY232" s="43" t="str">
        <f>VLOOKUP(CambioPlan[[#This Row],[DOMAIN_LOGIN_OW]],[1]!Personal[#Data],6,0)</f>
        <v>LOAYZA AGUILAR JONATHAN FABIAN</v>
      </c>
      <c r="BZ232" s="43"/>
      <c r="CA232" s="43" t="str">
        <f>IFERROR(IF(FIND("ADULTO",CambioPlan[[#This Row],[DESCRIPCION_PLAN_ACTUAL]],1),"NO SE PAGA",),"SI SE PAGA")</f>
        <v>SI SE PAGA</v>
      </c>
      <c r="CB232" s="45">
        <f>CambioPlan[[#This Row],[TARIFA_BASICA_ACTUAL]]-CambioPlan[[#This Row],[TARIFA_BASICA_ANTERIOR]]</f>
        <v>36.78</v>
      </c>
      <c r="CC232" s="56">
        <f>CambioPlan[[#This Row],[DIF. TARIFAS]]*4</f>
        <v>147.12</v>
      </c>
      <c r="CD232" s="53" t="str">
        <f>IF(CambioPlan[[#This Row],[C. COMISIÓN TME]]&lt;0,"DOWNSELL",IF(CambioPlan[[#This Row],[C. COMISIÓN TME]]=0,"MISMA TARIFA",IF(CambioPlan[[#This Row],[C. COMISIÓN TME]]&gt;0,"UPSELL")))</f>
        <v>UPSELL</v>
      </c>
      <c r="CE232">
        <f>VLOOKUP(CambioPlan[[#This Row],[TARIFA_BASICA_ANTERIOR]],[3]Hoja1!$F:$G,2,0)</f>
        <v>2</v>
      </c>
      <c r="CF232">
        <f>VLOOKUP(CambioPlan[[#This Row],[TARIFA_BASICA_ACTUAL]],[3]Hoja1!$B:$C,2,0)</f>
        <v>6</v>
      </c>
      <c r="CG232">
        <f t="shared" si="3"/>
        <v>4</v>
      </c>
      <c r="CH232" t="e">
        <f>VLOOKUP(CambioPlan[[#This Row],[TELEFONO]],[1]Retenciones!$R$63:$R$287,1,0)</f>
        <v>#N/A</v>
      </c>
    </row>
    <row r="233" spans="1:86" x14ac:dyDescent="0.25">
      <c r="A233" s="43">
        <v>202212</v>
      </c>
      <c r="B233" s="44">
        <v>44914</v>
      </c>
      <c r="C233" s="43" t="s">
        <v>7836</v>
      </c>
      <c r="D233" s="43" t="s">
        <v>7837</v>
      </c>
      <c r="E233" s="43" t="s">
        <v>95</v>
      </c>
      <c r="F233" s="43" t="s">
        <v>77</v>
      </c>
      <c r="G233" s="43" t="s">
        <v>164</v>
      </c>
      <c r="H233" s="43" t="s">
        <v>67</v>
      </c>
      <c r="I233" s="43" t="s">
        <v>7838</v>
      </c>
      <c r="J233" s="43" t="s">
        <v>7037</v>
      </c>
      <c r="K233" s="43" t="s">
        <v>84</v>
      </c>
      <c r="L233" s="43" t="s">
        <v>112</v>
      </c>
      <c r="M233" s="43" t="s">
        <v>781</v>
      </c>
      <c r="N233" s="43" t="s">
        <v>79</v>
      </c>
      <c r="O233" s="45">
        <v>17.850000000000001</v>
      </c>
      <c r="P233" s="43" t="s">
        <v>95</v>
      </c>
      <c r="Q233" s="43" t="s">
        <v>95</v>
      </c>
      <c r="R233" s="43" t="s">
        <v>95</v>
      </c>
      <c r="S233" s="45">
        <v>0</v>
      </c>
      <c r="T233" s="43" t="s">
        <v>95</v>
      </c>
      <c r="U233" s="44" t="s">
        <v>95</v>
      </c>
      <c r="V233" s="44" t="s">
        <v>95</v>
      </c>
      <c r="W233" s="43" t="s">
        <v>95</v>
      </c>
      <c r="X233" s="45">
        <v>17.850000000000001</v>
      </c>
      <c r="Y233" s="43" t="s">
        <v>81</v>
      </c>
      <c r="Z233" s="43" t="s">
        <v>160</v>
      </c>
      <c r="AA233" s="43" t="s">
        <v>161</v>
      </c>
      <c r="AB233" s="43" t="s">
        <v>79</v>
      </c>
      <c r="AC233" s="45">
        <v>14.28</v>
      </c>
      <c r="AD233" s="43" t="s">
        <v>95</v>
      </c>
      <c r="AE233" s="43" t="s">
        <v>95</v>
      </c>
      <c r="AF233" s="43" t="s">
        <v>95</v>
      </c>
      <c r="AG233" s="43" t="s">
        <v>95</v>
      </c>
      <c r="AH233" s="45">
        <v>0</v>
      </c>
      <c r="AI233" s="43" t="s">
        <v>95</v>
      </c>
      <c r="AJ233" s="43" t="s">
        <v>95</v>
      </c>
      <c r="AK233" s="43" t="s">
        <v>95</v>
      </c>
      <c r="AL233" s="43" t="s">
        <v>95</v>
      </c>
      <c r="AM233" s="45">
        <v>14.28</v>
      </c>
      <c r="AN233" s="43" t="s">
        <v>81</v>
      </c>
      <c r="AO233" s="44">
        <v>44906</v>
      </c>
      <c r="AP233" s="43" t="s">
        <v>2159</v>
      </c>
      <c r="AQ233" s="43" t="s">
        <v>2160</v>
      </c>
      <c r="AR233" s="43" t="s">
        <v>2159</v>
      </c>
      <c r="AS233" s="43" t="s">
        <v>2160</v>
      </c>
      <c r="AT233" s="43" t="s">
        <v>85</v>
      </c>
      <c r="AU233" s="43" t="s">
        <v>7030</v>
      </c>
      <c r="AV233" s="43" t="s">
        <v>7031</v>
      </c>
      <c r="AW233" s="43" t="s">
        <v>7031</v>
      </c>
      <c r="AX233" s="43" t="s">
        <v>90</v>
      </c>
      <c r="AY233" s="43" t="s">
        <v>132</v>
      </c>
      <c r="AZ233" s="43" t="s">
        <v>7037</v>
      </c>
      <c r="BA233" s="43" t="s">
        <v>139</v>
      </c>
      <c r="BB233" s="45">
        <v>3.57</v>
      </c>
      <c r="BC233" s="45">
        <v>3.57</v>
      </c>
      <c r="BD233" s="43" t="s">
        <v>7032</v>
      </c>
      <c r="BE233" s="43" t="s">
        <v>81</v>
      </c>
      <c r="BF233" s="43" t="s">
        <v>81</v>
      </c>
      <c r="BG233" s="43" t="s">
        <v>86</v>
      </c>
      <c r="BH233" s="43" t="s">
        <v>177</v>
      </c>
      <c r="BI233" s="43" t="s">
        <v>7038</v>
      </c>
      <c r="BJ233" s="43" t="s">
        <v>7030</v>
      </c>
      <c r="BK233" s="43" t="s">
        <v>139</v>
      </c>
      <c r="BL233" s="43" t="s">
        <v>85</v>
      </c>
      <c r="BM233" s="43" t="s">
        <v>85</v>
      </c>
      <c r="BN233" s="43" t="s">
        <v>139</v>
      </c>
      <c r="BO233" s="46">
        <v>3.57</v>
      </c>
      <c r="BP233" s="43" t="s">
        <v>7032</v>
      </c>
      <c r="BQ233" s="43">
        <v>3.57</v>
      </c>
      <c r="BR233" s="43" t="s">
        <v>7032</v>
      </c>
      <c r="BS233" s="47">
        <v>3.57</v>
      </c>
      <c r="BT233" s="43" t="s">
        <v>7032</v>
      </c>
      <c r="BU233" s="43" t="s">
        <v>7032</v>
      </c>
      <c r="BV233" s="43" t="str">
        <f>CambioPlan[[#This Row],[TELEFONO]]&amp;"UPSELLSI"</f>
        <v>999053956UPSELLSI</v>
      </c>
      <c r="BW233" s="43">
        <f>DAY(CambioPlan[[#This Row],[FECHA_CAMBIO_PLAN]])</f>
        <v>11</v>
      </c>
      <c r="BX233" s="43" t="str">
        <f>VLOOKUP(CambioPlan[[#This Row],[NOM_PLAZA]],[1]!Locales[#Data],3,0)</f>
        <v>TIENDA RECREO</v>
      </c>
      <c r="BY233" s="43" t="str">
        <f>VLOOKUP(CambioPlan[[#This Row],[DOMAIN_LOGIN_OW]],[1]!Personal[#Data],6,0)</f>
        <v>GUEVARA MAZA CRISTIAN FABIAN</v>
      </c>
      <c r="BZ233" s="43"/>
      <c r="CA233" s="43" t="str">
        <f>IFERROR(IF(FIND("ADULTO",CambioPlan[[#This Row],[DESCRIPCION_PLAN_ACTUAL]],1),"NO SE PAGA",),"SI SE PAGA")</f>
        <v>SI SE PAGA</v>
      </c>
      <c r="CB233" s="45">
        <f>CambioPlan[[#This Row],[TARIFA_BASICA_ACTUAL]]-CambioPlan[[#This Row],[TARIFA_BASICA_ANTERIOR]]</f>
        <v>3.5700000000000021</v>
      </c>
      <c r="CC233" s="56">
        <f>CambioPlan[[#This Row],[DIF. TARIFAS]]*4</f>
        <v>14.280000000000008</v>
      </c>
      <c r="CD233" s="53" t="str">
        <f>IF(CambioPlan[[#This Row],[C. COMISIÓN TME]]&lt;0,"DOWNSELL",IF(CambioPlan[[#This Row],[C. COMISIÓN TME]]=0,"MISMA TARIFA",IF(CambioPlan[[#This Row],[C. COMISIÓN TME]]&gt;0,"UPSELL")))</f>
        <v>UPSELL</v>
      </c>
      <c r="CE233">
        <f>VLOOKUP(CambioPlan[[#This Row],[TARIFA_BASICA_ANTERIOR]],[3]Hoja1!$F:$G,2,0)</f>
        <v>1</v>
      </c>
      <c r="CF233">
        <f>VLOOKUP(CambioPlan[[#This Row],[TARIFA_BASICA_ACTUAL]],[3]Hoja1!$B:$C,2,0)</f>
        <v>2</v>
      </c>
      <c r="CG233">
        <f t="shared" si="3"/>
        <v>1</v>
      </c>
      <c r="CH233" t="e">
        <f>VLOOKUP(CambioPlan[[#This Row],[TELEFONO]],[1]Retenciones!$R$63:$R$287,1,0)</f>
        <v>#N/A</v>
      </c>
    </row>
    <row r="234" spans="1:86" x14ac:dyDescent="0.25">
      <c r="A234" s="43">
        <v>202212</v>
      </c>
      <c r="B234" s="44">
        <v>44914</v>
      </c>
      <c r="C234" s="43" t="s">
        <v>7839</v>
      </c>
      <c r="D234" s="43" t="s">
        <v>7840</v>
      </c>
      <c r="E234" s="43" t="s">
        <v>95</v>
      </c>
      <c r="F234" s="43" t="s">
        <v>77</v>
      </c>
      <c r="G234" s="43" t="s">
        <v>2241</v>
      </c>
      <c r="H234" s="43" t="s">
        <v>67</v>
      </c>
      <c r="I234" s="43" t="s">
        <v>7841</v>
      </c>
      <c r="J234" s="43" t="s">
        <v>7029</v>
      </c>
      <c r="K234" s="43" t="s">
        <v>84</v>
      </c>
      <c r="L234" s="43" t="s">
        <v>227</v>
      </c>
      <c r="M234" s="43" t="s">
        <v>426</v>
      </c>
      <c r="N234" s="43" t="s">
        <v>79</v>
      </c>
      <c r="O234" s="45">
        <v>21.42</v>
      </c>
      <c r="P234" s="43" t="s">
        <v>95</v>
      </c>
      <c r="Q234" s="43" t="s">
        <v>95</v>
      </c>
      <c r="R234" s="43" t="s">
        <v>95</v>
      </c>
      <c r="S234" s="45">
        <v>0</v>
      </c>
      <c r="T234" s="43" t="s">
        <v>95</v>
      </c>
      <c r="U234" s="44" t="s">
        <v>95</v>
      </c>
      <c r="V234" s="44" t="s">
        <v>95</v>
      </c>
      <c r="W234" s="43" t="s">
        <v>95</v>
      </c>
      <c r="X234" s="45">
        <v>21.42</v>
      </c>
      <c r="Y234" s="43" t="s">
        <v>81</v>
      </c>
      <c r="Z234" s="43" t="s">
        <v>7074</v>
      </c>
      <c r="AA234" s="43" t="s">
        <v>7557</v>
      </c>
      <c r="AB234" s="43" t="s">
        <v>79</v>
      </c>
      <c r="AC234" s="45">
        <v>12.99</v>
      </c>
      <c r="AD234" s="43" t="s">
        <v>95</v>
      </c>
      <c r="AE234" s="43" t="s">
        <v>95</v>
      </c>
      <c r="AF234" s="43" t="s">
        <v>95</v>
      </c>
      <c r="AG234" s="43" t="s">
        <v>95</v>
      </c>
      <c r="AH234" s="45">
        <v>0</v>
      </c>
      <c r="AI234" s="43" t="s">
        <v>95</v>
      </c>
      <c r="AJ234" s="43" t="s">
        <v>95</v>
      </c>
      <c r="AK234" s="43" t="s">
        <v>95</v>
      </c>
      <c r="AL234" s="43" t="s">
        <v>95</v>
      </c>
      <c r="AM234" s="45">
        <v>12.99</v>
      </c>
      <c r="AN234" s="43" t="s">
        <v>81</v>
      </c>
      <c r="AO234" s="44">
        <v>44903</v>
      </c>
      <c r="AP234" s="43" t="s">
        <v>385</v>
      </c>
      <c r="AQ234" s="43" t="s">
        <v>386</v>
      </c>
      <c r="AR234" s="43" t="s">
        <v>385</v>
      </c>
      <c r="AS234" s="43" t="s">
        <v>386</v>
      </c>
      <c r="AT234" s="43" t="s">
        <v>85</v>
      </c>
      <c r="AU234" s="43" t="s">
        <v>7030</v>
      </c>
      <c r="AV234" s="43" t="s">
        <v>7031</v>
      </c>
      <c r="AW234" s="43" t="s">
        <v>7031</v>
      </c>
      <c r="AX234" s="43" t="s">
        <v>90</v>
      </c>
      <c r="AY234" s="43" t="s">
        <v>73</v>
      </c>
      <c r="AZ234" s="43" t="s">
        <v>7029</v>
      </c>
      <c r="BA234" s="43" t="s">
        <v>92</v>
      </c>
      <c r="BB234" s="45">
        <v>8.43</v>
      </c>
      <c r="BC234" s="45">
        <v>8.43</v>
      </c>
      <c r="BD234" s="43" t="s">
        <v>7032</v>
      </c>
      <c r="BE234" s="43" t="s">
        <v>81</v>
      </c>
      <c r="BF234" s="43" t="s">
        <v>81</v>
      </c>
      <c r="BG234" s="43" t="s">
        <v>86</v>
      </c>
      <c r="BH234" s="43" t="s">
        <v>151</v>
      </c>
      <c r="BI234" s="43" t="s">
        <v>7033</v>
      </c>
      <c r="BJ234" s="43" t="s">
        <v>7030</v>
      </c>
      <c r="BK234" s="43" t="s">
        <v>92</v>
      </c>
      <c r="BL234" s="43" t="s">
        <v>85</v>
      </c>
      <c r="BM234" s="43" t="s">
        <v>85</v>
      </c>
      <c r="BN234" s="43" t="s">
        <v>92</v>
      </c>
      <c r="BO234" s="46">
        <v>8.43</v>
      </c>
      <c r="BP234" s="43" t="s">
        <v>7032</v>
      </c>
      <c r="BQ234" s="43">
        <v>8.43</v>
      </c>
      <c r="BR234" s="43" t="s">
        <v>7032</v>
      </c>
      <c r="BS234" s="47">
        <v>8.43</v>
      </c>
      <c r="BT234" s="43" t="s">
        <v>7032</v>
      </c>
      <c r="BU234" s="43" t="s">
        <v>7032</v>
      </c>
      <c r="BV234" s="43" t="str">
        <f>CambioPlan[[#This Row],[TELEFONO]]&amp;"UPSELLSI"</f>
        <v>999059832UPSELLSI</v>
      </c>
      <c r="BW234" s="43">
        <f>DAY(CambioPlan[[#This Row],[FECHA_CAMBIO_PLAN]])</f>
        <v>8</v>
      </c>
      <c r="BX234" s="43" t="str">
        <f>VLOOKUP(CambioPlan[[#This Row],[NOM_PLAZA]],[1]!Locales[#Data],3,0)</f>
        <v>TIENDA CUENCA REMIGIO</v>
      </c>
      <c r="BY234" s="43" t="str">
        <f>VLOOKUP(CambioPlan[[#This Row],[DOMAIN_LOGIN_OW]],[1]!Personal[#Data],6,0)</f>
        <v>RAMIREZ RUBIO NELLY LILIANA</v>
      </c>
      <c r="BZ234" s="43"/>
      <c r="CA234" s="43" t="str">
        <f>IFERROR(IF(FIND("ADULTO",CambioPlan[[#This Row],[DESCRIPCION_PLAN_ACTUAL]],1),"NO SE PAGA",),"SI SE PAGA")</f>
        <v>SI SE PAGA</v>
      </c>
      <c r="CB234" s="45">
        <f>CambioPlan[[#This Row],[TARIFA_BASICA_ACTUAL]]-CambioPlan[[#This Row],[TARIFA_BASICA_ANTERIOR]]</f>
        <v>8.4300000000000015</v>
      </c>
      <c r="CC234" s="56">
        <f>CambioPlan[[#This Row],[DIF. TARIFAS]]*4</f>
        <v>33.720000000000006</v>
      </c>
      <c r="CD234" s="53" t="str">
        <f>IF(CambioPlan[[#This Row],[C. COMISIÓN TME]]&lt;0,"DOWNSELL",IF(CambioPlan[[#This Row],[C. COMISIÓN TME]]=0,"MISMA TARIFA",IF(CambioPlan[[#This Row],[C. COMISIÓN TME]]&gt;0,"UPSELL")))</f>
        <v>UPSELL</v>
      </c>
      <c r="CE234">
        <f>VLOOKUP(CambioPlan[[#This Row],[TARIFA_BASICA_ANTERIOR]],[3]Hoja1!$F:$G,2,0)</f>
        <v>1</v>
      </c>
      <c r="CF234">
        <f>VLOOKUP(CambioPlan[[#This Row],[TARIFA_BASICA_ACTUAL]],[3]Hoja1!$B:$C,2,0)</f>
        <v>3</v>
      </c>
      <c r="CG234">
        <f t="shared" si="3"/>
        <v>2</v>
      </c>
      <c r="CH234" t="e">
        <f>VLOOKUP(CambioPlan[[#This Row],[TELEFONO]],[1]Retenciones!$R$63:$R$287,1,0)</f>
        <v>#N/A</v>
      </c>
    </row>
    <row r="235" spans="1:86" x14ac:dyDescent="0.25">
      <c r="A235" s="43">
        <v>202212</v>
      </c>
      <c r="B235" s="44">
        <v>44914</v>
      </c>
      <c r="C235" s="43" t="s">
        <v>7842</v>
      </c>
      <c r="D235" s="43" t="s">
        <v>7843</v>
      </c>
      <c r="E235" s="43" t="s">
        <v>95</v>
      </c>
      <c r="F235" s="43" t="s">
        <v>77</v>
      </c>
      <c r="G235" s="43" t="s">
        <v>2241</v>
      </c>
      <c r="H235" s="43" t="s">
        <v>67</v>
      </c>
      <c r="I235" s="43" t="s">
        <v>7844</v>
      </c>
      <c r="J235" s="43" t="s">
        <v>7029</v>
      </c>
      <c r="K235" s="43" t="s">
        <v>84</v>
      </c>
      <c r="L235" s="43" t="s">
        <v>112</v>
      </c>
      <c r="M235" s="43" t="s">
        <v>781</v>
      </c>
      <c r="N235" s="43" t="s">
        <v>79</v>
      </c>
      <c r="O235" s="45">
        <v>17.850000000000001</v>
      </c>
      <c r="P235" s="43" t="s">
        <v>95</v>
      </c>
      <c r="Q235" s="43" t="s">
        <v>95</v>
      </c>
      <c r="R235" s="43" t="s">
        <v>95</v>
      </c>
      <c r="S235" s="45">
        <v>0</v>
      </c>
      <c r="T235" s="43" t="s">
        <v>95</v>
      </c>
      <c r="U235" s="44" t="s">
        <v>95</v>
      </c>
      <c r="V235" s="44" t="s">
        <v>95</v>
      </c>
      <c r="W235" s="43" t="s">
        <v>95</v>
      </c>
      <c r="X235" s="45">
        <v>17.850000000000001</v>
      </c>
      <c r="Y235" s="43" t="s">
        <v>81</v>
      </c>
      <c r="Z235" s="43" t="s">
        <v>160</v>
      </c>
      <c r="AA235" s="43" t="s">
        <v>161</v>
      </c>
      <c r="AB235" s="43" t="s">
        <v>79</v>
      </c>
      <c r="AC235" s="45">
        <v>14.28</v>
      </c>
      <c r="AD235" s="43" t="s">
        <v>95</v>
      </c>
      <c r="AE235" s="43" t="s">
        <v>95</v>
      </c>
      <c r="AF235" s="43" t="s">
        <v>95</v>
      </c>
      <c r="AG235" s="43" t="s">
        <v>95</v>
      </c>
      <c r="AH235" s="45">
        <v>0</v>
      </c>
      <c r="AI235" s="43" t="s">
        <v>95</v>
      </c>
      <c r="AJ235" s="43" t="s">
        <v>95</v>
      </c>
      <c r="AK235" s="43" t="s">
        <v>95</v>
      </c>
      <c r="AL235" s="43" t="s">
        <v>95</v>
      </c>
      <c r="AM235" s="45">
        <v>14.28</v>
      </c>
      <c r="AN235" s="43" t="s">
        <v>81</v>
      </c>
      <c r="AO235" s="44">
        <v>44902</v>
      </c>
      <c r="AP235" s="43" t="s">
        <v>1020</v>
      </c>
      <c r="AQ235" s="43" t="s">
        <v>1021</v>
      </c>
      <c r="AR235" s="43" t="s">
        <v>1020</v>
      </c>
      <c r="AS235" s="43" t="s">
        <v>1021</v>
      </c>
      <c r="AT235" s="43" t="s">
        <v>85</v>
      </c>
      <c r="AU235" s="43" t="s">
        <v>7030</v>
      </c>
      <c r="AV235" s="43" t="s">
        <v>7031</v>
      </c>
      <c r="AW235" s="43" t="s">
        <v>7031</v>
      </c>
      <c r="AX235" s="43" t="s">
        <v>90</v>
      </c>
      <c r="AY235" s="43" t="s">
        <v>73</v>
      </c>
      <c r="AZ235" s="43" t="s">
        <v>7029</v>
      </c>
      <c r="BA235" s="43" t="s">
        <v>92</v>
      </c>
      <c r="BB235" s="45">
        <v>3.57</v>
      </c>
      <c r="BC235" s="45">
        <v>3.57</v>
      </c>
      <c r="BD235" s="43" t="s">
        <v>7032</v>
      </c>
      <c r="BE235" s="43" t="s">
        <v>81</v>
      </c>
      <c r="BF235" s="43" t="s">
        <v>81</v>
      </c>
      <c r="BG235" s="43" t="s">
        <v>86</v>
      </c>
      <c r="BH235" s="43" t="s">
        <v>91</v>
      </c>
      <c r="BI235" s="43" t="s">
        <v>7086</v>
      </c>
      <c r="BJ235" s="43" t="s">
        <v>7030</v>
      </c>
      <c r="BK235" s="43" t="s">
        <v>92</v>
      </c>
      <c r="BL235" s="43" t="s">
        <v>85</v>
      </c>
      <c r="BM235" s="43" t="s">
        <v>85</v>
      </c>
      <c r="BN235" s="43" t="s">
        <v>92</v>
      </c>
      <c r="BO235" s="46">
        <v>3.57</v>
      </c>
      <c r="BP235" s="43" t="s">
        <v>7032</v>
      </c>
      <c r="BQ235" s="43">
        <v>3.57</v>
      </c>
      <c r="BR235" s="43" t="s">
        <v>7032</v>
      </c>
      <c r="BS235" s="47">
        <v>3.57</v>
      </c>
      <c r="BT235" s="43" t="s">
        <v>7032</v>
      </c>
      <c r="BU235" s="43" t="s">
        <v>7032</v>
      </c>
      <c r="BV235" s="43" t="str">
        <f>CambioPlan[[#This Row],[TELEFONO]]&amp;"UPSELLSI"</f>
        <v>999088622UPSELLSI</v>
      </c>
      <c r="BW235" s="43">
        <f>DAY(CambioPlan[[#This Row],[FECHA_CAMBIO_PLAN]])</f>
        <v>7</v>
      </c>
      <c r="BX235" s="43" t="str">
        <f>VLOOKUP(CambioPlan[[#This Row],[NOM_PLAZA]],[1]!Locales[#Data],3,0)</f>
        <v>TIENDA CUENCA CENTRO</v>
      </c>
      <c r="BY235" s="43" t="str">
        <f>VLOOKUP(CambioPlan[[#This Row],[DOMAIN_LOGIN_OW]],[1]!Personal[#Data],6,0)</f>
        <v>GONZALES ALVARRACIN PAOLA YESSENIA</v>
      </c>
      <c r="BZ235" s="43"/>
      <c r="CA235" s="43" t="str">
        <f>IFERROR(IF(FIND("ADULTO",CambioPlan[[#This Row],[DESCRIPCION_PLAN_ACTUAL]],1),"NO SE PAGA",),"SI SE PAGA")</f>
        <v>SI SE PAGA</v>
      </c>
      <c r="CB235" s="45">
        <f>CambioPlan[[#This Row],[TARIFA_BASICA_ACTUAL]]-CambioPlan[[#This Row],[TARIFA_BASICA_ANTERIOR]]</f>
        <v>3.5700000000000021</v>
      </c>
      <c r="CC235" s="56">
        <f>CambioPlan[[#This Row],[DIF. TARIFAS]]*4</f>
        <v>14.280000000000008</v>
      </c>
      <c r="CD235" s="53" t="str">
        <f>IF(CambioPlan[[#This Row],[C. COMISIÓN TME]]&lt;0,"DOWNSELL",IF(CambioPlan[[#This Row],[C. COMISIÓN TME]]=0,"MISMA TARIFA",IF(CambioPlan[[#This Row],[C. COMISIÓN TME]]&gt;0,"UPSELL")))</f>
        <v>UPSELL</v>
      </c>
      <c r="CE235">
        <f>VLOOKUP(CambioPlan[[#This Row],[TARIFA_BASICA_ANTERIOR]],[3]Hoja1!$F:$G,2,0)</f>
        <v>1</v>
      </c>
      <c r="CF235">
        <f>VLOOKUP(CambioPlan[[#This Row],[TARIFA_BASICA_ACTUAL]],[3]Hoja1!$B:$C,2,0)</f>
        <v>2</v>
      </c>
      <c r="CG235">
        <f t="shared" si="3"/>
        <v>1</v>
      </c>
      <c r="CH235" t="e">
        <f>VLOOKUP(CambioPlan[[#This Row],[TELEFONO]],[1]Retenciones!$R$63:$R$287,1,0)</f>
        <v>#N/A</v>
      </c>
    </row>
    <row r="236" spans="1:86" x14ac:dyDescent="0.25">
      <c r="A236" s="43">
        <v>202212</v>
      </c>
      <c r="B236" s="44">
        <v>44914</v>
      </c>
      <c r="C236" s="43" t="s">
        <v>7845</v>
      </c>
      <c r="D236" s="43" t="s">
        <v>7846</v>
      </c>
      <c r="E236" s="43" t="s">
        <v>95</v>
      </c>
      <c r="F236" s="43" t="s">
        <v>77</v>
      </c>
      <c r="G236" s="43" t="s">
        <v>1532</v>
      </c>
      <c r="H236" s="43" t="s">
        <v>67</v>
      </c>
      <c r="I236" s="43" t="s">
        <v>7847</v>
      </c>
      <c r="J236" s="43" t="s">
        <v>7486</v>
      </c>
      <c r="K236" s="43" t="s">
        <v>118</v>
      </c>
      <c r="L236" s="43" t="s">
        <v>183</v>
      </c>
      <c r="M236" s="43" t="s">
        <v>184</v>
      </c>
      <c r="N236" s="43" t="s">
        <v>79</v>
      </c>
      <c r="O236" s="45">
        <v>11.42</v>
      </c>
      <c r="P236" s="43" t="s">
        <v>95</v>
      </c>
      <c r="Q236" s="43" t="s">
        <v>95</v>
      </c>
      <c r="R236" s="43" t="s">
        <v>95</v>
      </c>
      <c r="S236" s="45">
        <v>0</v>
      </c>
      <c r="T236" s="43" t="s">
        <v>95</v>
      </c>
      <c r="U236" s="44" t="s">
        <v>95</v>
      </c>
      <c r="V236" s="44" t="s">
        <v>95</v>
      </c>
      <c r="W236" s="43" t="s">
        <v>95</v>
      </c>
      <c r="X236" s="45">
        <v>11.42</v>
      </c>
      <c r="Y236" s="43" t="s">
        <v>81</v>
      </c>
      <c r="Z236" s="43" t="s">
        <v>7768</v>
      </c>
      <c r="AA236" s="43" t="s">
        <v>7769</v>
      </c>
      <c r="AB236" s="43" t="s">
        <v>79</v>
      </c>
      <c r="AC236" s="45">
        <v>6</v>
      </c>
      <c r="AD236" s="43" t="s">
        <v>95</v>
      </c>
      <c r="AE236" s="43" t="s">
        <v>95</v>
      </c>
      <c r="AF236" s="43" t="s">
        <v>95</v>
      </c>
      <c r="AG236" s="43" t="s">
        <v>95</v>
      </c>
      <c r="AH236" s="45">
        <v>0</v>
      </c>
      <c r="AI236" s="43" t="s">
        <v>95</v>
      </c>
      <c r="AJ236" s="43" t="s">
        <v>95</v>
      </c>
      <c r="AK236" s="43" t="s">
        <v>95</v>
      </c>
      <c r="AL236" s="43" t="s">
        <v>95</v>
      </c>
      <c r="AM236" s="45">
        <v>6</v>
      </c>
      <c r="AN236" s="43" t="s">
        <v>81</v>
      </c>
      <c r="AO236" s="44">
        <v>44908</v>
      </c>
      <c r="AP236" s="43" t="s">
        <v>233</v>
      </c>
      <c r="AQ236" s="43" t="s">
        <v>234</v>
      </c>
      <c r="AR236" s="43" t="s">
        <v>233</v>
      </c>
      <c r="AS236" s="43" t="s">
        <v>234</v>
      </c>
      <c r="AT236" s="43" t="s">
        <v>85</v>
      </c>
      <c r="AU236" s="43" t="s">
        <v>7030</v>
      </c>
      <c r="AV236" s="43" t="s">
        <v>7031</v>
      </c>
      <c r="AW236" s="43" t="s">
        <v>7031</v>
      </c>
      <c r="AX236" s="43" t="s">
        <v>90</v>
      </c>
      <c r="AY236" s="43" t="s">
        <v>132</v>
      </c>
      <c r="AZ236" s="43" t="s">
        <v>7037</v>
      </c>
      <c r="BA236" s="43" t="s">
        <v>139</v>
      </c>
      <c r="BB236" s="45">
        <v>5.42</v>
      </c>
      <c r="BC236" s="45">
        <v>5.42</v>
      </c>
      <c r="BD236" s="43" t="s">
        <v>7032</v>
      </c>
      <c r="BE236" s="43" t="s">
        <v>81</v>
      </c>
      <c r="BF236" s="43" t="s">
        <v>81</v>
      </c>
      <c r="BG236" s="43" t="s">
        <v>86</v>
      </c>
      <c r="BH236" s="43" t="s">
        <v>235</v>
      </c>
      <c r="BI236" s="43" t="s">
        <v>7076</v>
      </c>
      <c r="BJ236" s="43" t="s">
        <v>7030</v>
      </c>
      <c r="BK236" s="43" t="s">
        <v>139</v>
      </c>
      <c r="BL236" s="43" t="s">
        <v>85</v>
      </c>
      <c r="BM236" s="43" t="s">
        <v>85</v>
      </c>
      <c r="BN236" s="43" t="s">
        <v>139</v>
      </c>
      <c r="BO236" s="46">
        <v>5.42</v>
      </c>
      <c r="BP236" s="43" t="s">
        <v>7032</v>
      </c>
      <c r="BQ236" s="43">
        <v>5.42</v>
      </c>
      <c r="BR236" s="43" t="s">
        <v>7032</v>
      </c>
      <c r="BS236" s="47">
        <v>5.42</v>
      </c>
      <c r="BT236" s="43" t="s">
        <v>7032</v>
      </c>
      <c r="BU236" s="43" t="s">
        <v>7032</v>
      </c>
      <c r="BV236" s="43" t="str">
        <f>CambioPlan[[#This Row],[TELEFONO]]&amp;"UPSELLSI"</f>
        <v>999205752UPSELLSI</v>
      </c>
      <c r="BW236" s="43">
        <f>DAY(CambioPlan[[#This Row],[FECHA_CAMBIO_PLAN]])</f>
        <v>13</v>
      </c>
      <c r="BX236" s="43" t="str">
        <f>VLOOKUP(CambioPlan[[#This Row],[NOM_PLAZA]],[1]!Locales[#Data],3,0)</f>
        <v>TIENDA CONDADO</v>
      </c>
      <c r="BY236" s="43" t="str">
        <f>VLOOKUP(CambioPlan[[#This Row],[DOMAIN_LOGIN_OW]],[1]!Personal[#Data],6,0)</f>
        <v>ROSALES MALDONADO JESSICA GABRIELA</v>
      </c>
      <c r="BZ236" s="43"/>
      <c r="CA236" s="43" t="str">
        <f>IFERROR(IF(FIND("ADULTO",CambioPlan[[#This Row],[DESCRIPCION_PLAN_ACTUAL]],1),"NO SE PAGA",),"SI SE PAGA")</f>
        <v>SI SE PAGA</v>
      </c>
      <c r="CB236" s="45">
        <f>CambioPlan[[#This Row],[TARIFA_BASICA_ACTUAL]]-CambioPlan[[#This Row],[TARIFA_BASICA_ANTERIOR]]</f>
        <v>5.42</v>
      </c>
      <c r="CC236" s="56">
        <f>CambioPlan[[#This Row],[DIF. TARIFAS]]*4</f>
        <v>21.68</v>
      </c>
      <c r="CD236" s="53" t="str">
        <f>IF(CambioPlan[[#This Row],[C. COMISIÓN TME]]&lt;0,"DOWNSELL",IF(CambioPlan[[#This Row],[C. COMISIÓN TME]]=0,"MISMA TARIFA",IF(CambioPlan[[#This Row],[C. COMISIÓN TME]]&gt;0,"UPSELL")))</f>
        <v>UPSELL</v>
      </c>
      <c r="CE236">
        <f>VLOOKUP(CambioPlan[[#This Row],[TARIFA_BASICA_ANTERIOR]],[3]Hoja1!$F:$G,2,0)</f>
        <v>-1</v>
      </c>
      <c r="CF236">
        <f>VLOOKUP(CambioPlan[[#This Row],[TARIFA_BASICA_ACTUAL]],[3]Hoja1!$B:$C,2,0)</f>
        <v>0</v>
      </c>
      <c r="CG236">
        <f t="shared" si="3"/>
        <v>1</v>
      </c>
      <c r="CH236" t="e">
        <f>VLOOKUP(CambioPlan[[#This Row],[TELEFONO]],[1]Retenciones!$R$63:$R$287,1,0)</f>
        <v>#N/A</v>
      </c>
    </row>
    <row r="237" spans="1:86" x14ac:dyDescent="0.25">
      <c r="A237" s="43">
        <v>202212</v>
      </c>
      <c r="B237" s="44">
        <v>44914</v>
      </c>
      <c r="C237" s="43" t="s">
        <v>7848</v>
      </c>
      <c r="D237" s="43" t="s">
        <v>7849</v>
      </c>
      <c r="E237" s="43" t="s">
        <v>95</v>
      </c>
      <c r="F237" s="43" t="s">
        <v>77</v>
      </c>
      <c r="G237" s="43" t="s">
        <v>1532</v>
      </c>
      <c r="H237" s="43" t="s">
        <v>67</v>
      </c>
      <c r="I237" s="43" t="s">
        <v>7850</v>
      </c>
      <c r="J237" s="43" t="s">
        <v>7047</v>
      </c>
      <c r="K237" s="43" t="s">
        <v>118</v>
      </c>
      <c r="L237" s="43" t="s">
        <v>671</v>
      </c>
      <c r="M237" s="43" t="s">
        <v>672</v>
      </c>
      <c r="N237" s="43" t="s">
        <v>79</v>
      </c>
      <c r="O237" s="45">
        <v>15</v>
      </c>
      <c r="P237" s="43" t="s">
        <v>95</v>
      </c>
      <c r="Q237" s="43" t="s">
        <v>95</v>
      </c>
      <c r="R237" s="43" t="s">
        <v>95</v>
      </c>
      <c r="S237" s="45">
        <v>7.5</v>
      </c>
      <c r="T237" s="43" t="s">
        <v>7104</v>
      </c>
      <c r="U237" s="44">
        <v>44911</v>
      </c>
      <c r="V237" s="44" t="s">
        <v>95</v>
      </c>
      <c r="W237" s="43" t="s">
        <v>7105</v>
      </c>
      <c r="X237" s="45">
        <v>7.5</v>
      </c>
      <c r="Y237" s="43" t="s">
        <v>81</v>
      </c>
      <c r="Z237" s="43" t="s">
        <v>7147</v>
      </c>
      <c r="AA237" s="43" t="s">
        <v>7148</v>
      </c>
      <c r="AB237" s="43" t="s">
        <v>79</v>
      </c>
      <c r="AC237" s="45">
        <v>13.79</v>
      </c>
      <c r="AD237" s="43" t="s">
        <v>95</v>
      </c>
      <c r="AE237" s="43" t="s">
        <v>95</v>
      </c>
      <c r="AF237" s="43" t="s">
        <v>95</v>
      </c>
      <c r="AG237" s="43" t="s">
        <v>95</v>
      </c>
      <c r="AH237" s="45">
        <v>0</v>
      </c>
      <c r="AI237" s="43" t="s">
        <v>95</v>
      </c>
      <c r="AJ237" s="43" t="s">
        <v>95</v>
      </c>
      <c r="AK237" s="43" t="s">
        <v>95</v>
      </c>
      <c r="AL237" s="43" t="s">
        <v>95</v>
      </c>
      <c r="AM237" s="45">
        <v>13.79</v>
      </c>
      <c r="AN237" s="43" t="s">
        <v>81</v>
      </c>
      <c r="AO237" s="44">
        <v>44910</v>
      </c>
      <c r="AP237" s="43" t="s">
        <v>651</v>
      </c>
      <c r="AQ237" s="43" t="s">
        <v>652</v>
      </c>
      <c r="AR237" s="43" t="s">
        <v>651</v>
      </c>
      <c r="AS237" s="43" t="s">
        <v>652</v>
      </c>
      <c r="AT237" s="43" t="s">
        <v>85</v>
      </c>
      <c r="AU237" s="43" t="s">
        <v>7030</v>
      </c>
      <c r="AV237" s="43" t="s">
        <v>7031</v>
      </c>
      <c r="AW237" s="43" t="s">
        <v>7031</v>
      </c>
      <c r="AX237" s="43" t="s">
        <v>90</v>
      </c>
      <c r="AY237" s="43" t="s">
        <v>114</v>
      </c>
      <c r="AZ237" s="43" t="s">
        <v>7047</v>
      </c>
      <c r="BA237" s="43" t="s">
        <v>92</v>
      </c>
      <c r="BB237" s="45">
        <v>1.21</v>
      </c>
      <c r="BC237" s="45">
        <v>-6.29</v>
      </c>
      <c r="BD237" s="43" t="s">
        <v>7106</v>
      </c>
      <c r="BE237" s="43" t="s">
        <v>81</v>
      </c>
      <c r="BF237" s="43" t="s">
        <v>81</v>
      </c>
      <c r="BG237" s="43" t="s">
        <v>86</v>
      </c>
      <c r="BH237" s="43" t="s">
        <v>122</v>
      </c>
      <c r="BI237" s="43" t="s">
        <v>7048</v>
      </c>
      <c r="BJ237" s="43" t="s">
        <v>7030</v>
      </c>
      <c r="BK237" s="43" t="s">
        <v>92</v>
      </c>
      <c r="BL237" s="43" t="s">
        <v>85</v>
      </c>
      <c r="BM237" s="43" t="s">
        <v>85</v>
      </c>
      <c r="BN237" s="43" t="s">
        <v>92</v>
      </c>
      <c r="BO237" s="46">
        <v>1.21</v>
      </c>
      <c r="BP237" s="43" t="s">
        <v>7032</v>
      </c>
      <c r="BQ237" s="43">
        <v>1.21</v>
      </c>
      <c r="BR237" s="43" t="s">
        <v>7032</v>
      </c>
      <c r="BS237" s="47">
        <v>-6.29</v>
      </c>
      <c r="BT237" s="43" t="s">
        <v>7106</v>
      </c>
      <c r="BU237" s="43" t="s">
        <v>7032</v>
      </c>
      <c r="BV237" s="43" t="str">
        <f>CambioPlan[[#This Row],[TELEFONO]]&amp;"UPSELLSI"</f>
        <v>999214247UPSELLSI</v>
      </c>
      <c r="BW237" s="43">
        <f>DAY(CambioPlan[[#This Row],[FECHA_CAMBIO_PLAN]])</f>
        <v>15</v>
      </c>
      <c r="BX237" s="43" t="str">
        <f>VLOOKUP(CambioPlan[[#This Row],[NOM_PLAZA]],[1]!Locales[#Data],3,0)</f>
        <v>TIENDA MACHALA</v>
      </c>
      <c r="BY237" s="43" t="str">
        <f>VLOOKUP(CambioPlan[[#This Row],[DOMAIN_LOGIN_OW]],[1]!Personal[#Data],6,0)</f>
        <v>SANCHEZ SARITAMA JOEL LUIS</v>
      </c>
      <c r="BZ237" s="43"/>
      <c r="CA237" s="43" t="str">
        <f>IFERROR(IF(FIND("ADULTO",CambioPlan[[#This Row],[DESCRIPCION_PLAN_ACTUAL]],1),"NO SE PAGA",),"SI SE PAGA")</f>
        <v>NO SE PAGA</v>
      </c>
      <c r="CB237" s="45">
        <f>CambioPlan[[#This Row],[TARIFA_BASICA_ACTUAL]]-CambioPlan[[#This Row],[TARIFA_BASICA_ANTERIOR]]</f>
        <v>1.2100000000000009</v>
      </c>
      <c r="CC237" s="56">
        <f>CambioPlan[[#This Row],[DIF. TARIFAS]]*4</f>
        <v>4.8400000000000034</v>
      </c>
      <c r="CD237" s="53" t="str">
        <f>IF(CambioPlan[[#This Row],[C. COMISIÓN TME]]&lt;0,"DOWNSELL",IF(CambioPlan[[#This Row],[C. COMISIÓN TME]]=0,"MISMA TARIFA",IF(CambioPlan[[#This Row],[C. COMISIÓN TME]]&gt;0,"UPSELL")))</f>
        <v>UPSELL</v>
      </c>
      <c r="CE237">
        <f>VLOOKUP(CambioPlan[[#This Row],[TARIFA_BASICA_ANTERIOR]],[3]Hoja1!$F:$G,2,0)</f>
        <v>1</v>
      </c>
      <c r="CF237">
        <f>VLOOKUP(CambioPlan[[#This Row],[TARIFA_BASICA_ACTUAL]],[3]Hoja1!$B:$C,2,0)</f>
        <v>2</v>
      </c>
      <c r="CG237">
        <f t="shared" si="3"/>
        <v>1</v>
      </c>
      <c r="CH237" t="e">
        <f>VLOOKUP(CambioPlan[[#This Row],[TELEFONO]],[1]Retenciones!$R$63:$R$287,1,0)</f>
        <v>#N/A</v>
      </c>
    </row>
    <row r="238" spans="1:86" x14ac:dyDescent="0.25">
      <c r="A238" s="43">
        <v>202212</v>
      </c>
      <c r="B238" s="44">
        <v>44914</v>
      </c>
      <c r="C238" s="43" t="s">
        <v>7851</v>
      </c>
      <c r="D238" s="43" t="s">
        <v>7852</v>
      </c>
      <c r="E238" s="43" t="s">
        <v>95</v>
      </c>
      <c r="F238" s="43" t="s">
        <v>77</v>
      </c>
      <c r="G238" s="43" t="s">
        <v>2241</v>
      </c>
      <c r="H238" s="43" t="s">
        <v>67</v>
      </c>
      <c r="I238" s="43" t="s">
        <v>7853</v>
      </c>
      <c r="J238" s="43" t="s">
        <v>7029</v>
      </c>
      <c r="K238" s="43" t="s">
        <v>84</v>
      </c>
      <c r="L238" s="43" t="s">
        <v>227</v>
      </c>
      <c r="M238" s="43" t="s">
        <v>426</v>
      </c>
      <c r="N238" s="43" t="s">
        <v>79</v>
      </c>
      <c r="O238" s="45">
        <v>21.42</v>
      </c>
      <c r="P238" s="43" t="s">
        <v>95</v>
      </c>
      <c r="Q238" s="43" t="s">
        <v>95</v>
      </c>
      <c r="R238" s="43" t="s">
        <v>95</v>
      </c>
      <c r="S238" s="45">
        <v>0</v>
      </c>
      <c r="T238" s="43" t="s">
        <v>95</v>
      </c>
      <c r="U238" s="44" t="s">
        <v>95</v>
      </c>
      <c r="V238" s="44" t="s">
        <v>95</v>
      </c>
      <c r="W238" s="43" t="s">
        <v>95</v>
      </c>
      <c r="X238" s="45">
        <v>21.42</v>
      </c>
      <c r="Y238" s="43" t="s">
        <v>81</v>
      </c>
      <c r="Z238" s="43" t="s">
        <v>606</v>
      </c>
      <c r="AA238" s="43" t="s">
        <v>1672</v>
      </c>
      <c r="AB238" s="43" t="s">
        <v>79</v>
      </c>
      <c r="AC238" s="45">
        <v>26.78</v>
      </c>
      <c r="AD238" s="43" t="s">
        <v>95</v>
      </c>
      <c r="AE238" s="43" t="s">
        <v>95</v>
      </c>
      <c r="AF238" s="43" t="s">
        <v>95</v>
      </c>
      <c r="AG238" s="43" t="s">
        <v>95</v>
      </c>
      <c r="AH238" s="45">
        <v>0</v>
      </c>
      <c r="AI238" s="43" t="s">
        <v>95</v>
      </c>
      <c r="AJ238" s="43" t="s">
        <v>95</v>
      </c>
      <c r="AK238" s="43" t="s">
        <v>95</v>
      </c>
      <c r="AL238" s="43" t="s">
        <v>95</v>
      </c>
      <c r="AM238" s="45">
        <v>26.78</v>
      </c>
      <c r="AN238" s="43" t="s">
        <v>81</v>
      </c>
      <c r="AO238" s="44">
        <v>44910</v>
      </c>
      <c r="AP238" s="43" t="s">
        <v>289</v>
      </c>
      <c r="AQ238" s="43" t="s">
        <v>290</v>
      </c>
      <c r="AR238" s="43" t="s">
        <v>289</v>
      </c>
      <c r="AS238" s="43" t="s">
        <v>290</v>
      </c>
      <c r="AT238" s="43" t="s">
        <v>85</v>
      </c>
      <c r="AU238" s="43" t="s">
        <v>7030</v>
      </c>
      <c r="AV238" s="43" t="s">
        <v>7031</v>
      </c>
      <c r="AW238" s="43" t="s">
        <v>7031</v>
      </c>
      <c r="AX238" s="43" t="s">
        <v>90</v>
      </c>
      <c r="AY238" s="43" t="s">
        <v>73</v>
      </c>
      <c r="AZ238" s="43" t="s">
        <v>7029</v>
      </c>
      <c r="BA238" s="43" t="s">
        <v>92</v>
      </c>
      <c r="BB238" s="45">
        <v>-5.36</v>
      </c>
      <c r="BC238" s="45">
        <v>-5.36</v>
      </c>
      <c r="BD238" s="43" t="s">
        <v>7106</v>
      </c>
      <c r="BE238" s="43" t="s">
        <v>81</v>
      </c>
      <c r="BF238" s="43" t="s">
        <v>81</v>
      </c>
      <c r="BG238" s="43" t="s">
        <v>86</v>
      </c>
      <c r="BH238" s="43" t="s">
        <v>91</v>
      </c>
      <c r="BI238" s="43" t="s">
        <v>7086</v>
      </c>
      <c r="BJ238" s="43" t="s">
        <v>7030</v>
      </c>
      <c r="BK238" s="43" t="s">
        <v>92</v>
      </c>
      <c r="BL238" s="43" t="s">
        <v>85</v>
      </c>
      <c r="BM238" s="43" t="s">
        <v>85</v>
      </c>
      <c r="BN238" s="43" t="s">
        <v>92</v>
      </c>
      <c r="BO238" s="46">
        <v>-5.36</v>
      </c>
      <c r="BP238" s="43" t="s">
        <v>7106</v>
      </c>
      <c r="BQ238" s="43">
        <v>-5.36</v>
      </c>
      <c r="BR238" s="43" t="s">
        <v>7106</v>
      </c>
      <c r="BS238" s="47">
        <v>-5.36</v>
      </c>
      <c r="BT238" s="43" t="s">
        <v>7106</v>
      </c>
      <c r="BU238" s="43" t="s">
        <v>7106</v>
      </c>
      <c r="BV238" s="43" t="str">
        <f>CambioPlan[[#This Row],[TELEFONO]]&amp;"UPSELLSI"</f>
        <v>999263391UPSELLSI</v>
      </c>
      <c r="BW238" s="43">
        <f>DAY(CambioPlan[[#This Row],[FECHA_CAMBIO_PLAN]])</f>
        <v>15</v>
      </c>
      <c r="BX238" s="43" t="str">
        <f>VLOOKUP(CambioPlan[[#This Row],[NOM_PLAZA]],[1]!Locales[#Data],3,0)</f>
        <v>TIENDA CUENCA CENTRO</v>
      </c>
      <c r="BY238" s="43" t="str">
        <f>VLOOKUP(CambioPlan[[#This Row],[DOMAIN_LOGIN_OW]],[1]!Personal[#Data],6,0)</f>
        <v>CALLE CHACA JORGE VINICIO</v>
      </c>
      <c r="BZ238" s="43"/>
      <c r="CA238" s="43" t="str">
        <f>IFERROR(IF(FIND("ADULTO",CambioPlan[[#This Row],[DESCRIPCION_PLAN_ACTUAL]],1),"NO SE PAGA",),"SI SE PAGA")</f>
        <v>SI SE PAGA</v>
      </c>
      <c r="CB238" s="45">
        <f>CambioPlan[[#This Row],[TARIFA_BASICA_ACTUAL]]-CambioPlan[[#This Row],[TARIFA_BASICA_ANTERIOR]]</f>
        <v>-5.3599999999999994</v>
      </c>
      <c r="CC238" s="56">
        <f>CambioPlan[[#This Row],[DIF. TARIFAS]]*4</f>
        <v>-21.439999999999998</v>
      </c>
      <c r="CD238" s="53" t="str">
        <f>IF(CambioPlan[[#This Row],[C. COMISIÓN TME]]&lt;0,"DOWNSELL",IF(CambioPlan[[#This Row],[C. COMISIÓN TME]]=0,"MISMA TARIFA",IF(CambioPlan[[#This Row],[C. COMISIÓN TME]]&gt;0,"UPSELL")))</f>
        <v>DOWNSELL</v>
      </c>
      <c r="CE238">
        <f>VLOOKUP(CambioPlan[[#This Row],[TARIFA_BASICA_ANTERIOR]],[3]Hoja1!$F:$G,2,0)</f>
        <v>4</v>
      </c>
      <c r="CF238">
        <f>VLOOKUP(CambioPlan[[#This Row],[TARIFA_BASICA_ACTUAL]],[3]Hoja1!$B:$C,2,0)</f>
        <v>3</v>
      </c>
      <c r="CG238">
        <f t="shared" si="3"/>
        <v>-1</v>
      </c>
      <c r="CH238" t="e">
        <f>VLOOKUP(CambioPlan[[#This Row],[TELEFONO]],[1]Retenciones!$R$63:$R$287,1,0)</f>
        <v>#N/A</v>
      </c>
    </row>
    <row r="239" spans="1:86" x14ac:dyDescent="0.25">
      <c r="A239" s="43">
        <v>202212</v>
      </c>
      <c r="B239" s="44">
        <v>44914</v>
      </c>
      <c r="C239" s="43" t="s">
        <v>7854</v>
      </c>
      <c r="D239" s="43" t="s">
        <v>7855</v>
      </c>
      <c r="E239" s="43" t="s">
        <v>95</v>
      </c>
      <c r="F239" s="43" t="s">
        <v>311</v>
      </c>
      <c r="G239" s="43" t="s">
        <v>311</v>
      </c>
      <c r="H239" s="43" t="s">
        <v>67</v>
      </c>
      <c r="I239" s="43" t="s">
        <v>4781</v>
      </c>
      <c r="J239" s="43" t="s">
        <v>7029</v>
      </c>
      <c r="K239" s="43" t="s">
        <v>215</v>
      </c>
      <c r="L239" s="43" t="s">
        <v>112</v>
      </c>
      <c r="M239" s="43" t="s">
        <v>781</v>
      </c>
      <c r="N239" s="43" t="s">
        <v>79</v>
      </c>
      <c r="O239" s="45">
        <v>17.850000000000001</v>
      </c>
      <c r="P239" s="43" t="s">
        <v>95</v>
      </c>
      <c r="Q239" s="43" t="s">
        <v>95</v>
      </c>
      <c r="R239" s="43" t="s">
        <v>95</v>
      </c>
      <c r="S239" s="45">
        <v>0</v>
      </c>
      <c r="T239" s="43" t="s">
        <v>95</v>
      </c>
      <c r="U239" s="44" t="s">
        <v>95</v>
      </c>
      <c r="V239" s="44" t="s">
        <v>95</v>
      </c>
      <c r="W239" s="43" t="s">
        <v>95</v>
      </c>
      <c r="X239" s="45">
        <v>17.850000000000001</v>
      </c>
      <c r="Y239" s="43" t="s">
        <v>81</v>
      </c>
      <c r="Z239" s="43" t="s">
        <v>71</v>
      </c>
      <c r="AA239" s="43" t="s">
        <v>258</v>
      </c>
      <c r="AB239" s="43" t="s">
        <v>79</v>
      </c>
      <c r="AC239" s="45">
        <v>11.42</v>
      </c>
      <c r="AD239" s="43" t="s">
        <v>95</v>
      </c>
      <c r="AE239" s="43" t="s">
        <v>95</v>
      </c>
      <c r="AF239" s="43" t="s">
        <v>95</v>
      </c>
      <c r="AG239" s="43" t="s">
        <v>95</v>
      </c>
      <c r="AH239" s="45">
        <v>0</v>
      </c>
      <c r="AI239" s="43" t="s">
        <v>95</v>
      </c>
      <c r="AJ239" s="43" t="s">
        <v>95</v>
      </c>
      <c r="AK239" s="43" t="s">
        <v>95</v>
      </c>
      <c r="AL239" s="43" t="s">
        <v>95</v>
      </c>
      <c r="AM239" s="45">
        <v>11.42</v>
      </c>
      <c r="AN239" s="43" t="s">
        <v>81</v>
      </c>
      <c r="AO239" s="44">
        <v>44896</v>
      </c>
      <c r="AP239" s="43" t="s">
        <v>149</v>
      </c>
      <c r="AQ239" s="43" t="s">
        <v>150</v>
      </c>
      <c r="AR239" s="43" t="s">
        <v>149</v>
      </c>
      <c r="AS239" s="43" t="s">
        <v>150</v>
      </c>
      <c r="AT239" s="43" t="s">
        <v>85</v>
      </c>
      <c r="AU239" s="43" t="s">
        <v>7030</v>
      </c>
      <c r="AV239" s="43" t="s">
        <v>7031</v>
      </c>
      <c r="AW239" s="43" t="s">
        <v>7031</v>
      </c>
      <c r="AX239" s="43" t="s">
        <v>90</v>
      </c>
      <c r="AY239" s="43" t="s">
        <v>73</v>
      </c>
      <c r="AZ239" s="43" t="s">
        <v>7029</v>
      </c>
      <c r="BA239" s="43" t="s">
        <v>92</v>
      </c>
      <c r="BB239" s="45">
        <v>6.43</v>
      </c>
      <c r="BC239" s="45">
        <v>6.43</v>
      </c>
      <c r="BD239" s="43" t="s">
        <v>7032</v>
      </c>
      <c r="BE239" s="43" t="s">
        <v>81</v>
      </c>
      <c r="BF239" s="43" t="s">
        <v>81</v>
      </c>
      <c r="BG239" s="43" t="s">
        <v>86</v>
      </c>
      <c r="BH239" s="43" t="s">
        <v>151</v>
      </c>
      <c r="BI239" s="43" t="s">
        <v>7033</v>
      </c>
      <c r="BJ239" s="43" t="s">
        <v>7030</v>
      </c>
      <c r="BK239" s="43" t="s">
        <v>92</v>
      </c>
      <c r="BL239" s="43" t="s">
        <v>85</v>
      </c>
      <c r="BM239" s="43" t="s">
        <v>85</v>
      </c>
      <c r="BN239" s="43" t="s">
        <v>92</v>
      </c>
      <c r="BO239" s="46">
        <v>6.43</v>
      </c>
      <c r="BP239" s="43" t="s">
        <v>7032</v>
      </c>
      <c r="BQ239" s="43">
        <v>6.43</v>
      </c>
      <c r="BR239" s="43" t="s">
        <v>7032</v>
      </c>
      <c r="BS239" s="47">
        <v>6.43</v>
      </c>
      <c r="BT239" s="43" t="s">
        <v>7032</v>
      </c>
      <c r="BU239" s="43" t="s">
        <v>7032</v>
      </c>
      <c r="BV239" s="43" t="str">
        <f>CambioPlan[[#This Row],[TELEFONO]]&amp;"UPSELLSI"</f>
        <v>999270799UPSELLSI</v>
      </c>
      <c r="BW239" s="43">
        <f>DAY(CambioPlan[[#This Row],[FECHA_CAMBIO_PLAN]])</f>
        <v>1</v>
      </c>
      <c r="BX239" s="43" t="str">
        <f>VLOOKUP(CambioPlan[[#This Row],[NOM_PLAZA]],[1]!Locales[#Data],3,0)</f>
        <v>TIENDA CUENCA REMIGIO</v>
      </c>
      <c r="BY239" s="43" t="str">
        <f>VLOOKUP(CambioPlan[[#This Row],[DOMAIN_LOGIN_OW]],[1]!Personal[#Data],6,0)</f>
        <v>OSORIO TEJADA ANA ESTEFANIA</v>
      </c>
      <c r="BZ239" s="43"/>
      <c r="CA239" s="43" t="str">
        <f>IFERROR(IF(FIND("ADULTO",CambioPlan[[#This Row],[DESCRIPCION_PLAN_ACTUAL]],1),"NO SE PAGA",),"SI SE PAGA")</f>
        <v>SI SE PAGA</v>
      </c>
      <c r="CB239" s="45">
        <f>CambioPlan[[#This Row],[TARIFA_BASICA_ACTUAL]]-CambioPlan[[#This Row],[TARIFA_BASICA_ANTERIOR]]</f>
        <v>6.4300000000000015</v>
      </c>
      <c r="CC239" s="56">
        <f>CambioPlan[[#This Row],[DIF. TARIFAS]]*4</f>
        <v>25.720000000000006</v>
      </c>
      <c r="CD239" s="53" t="str">
        <f>IF(CambioPlan[[#This Row],[C. COMISIÓN TME]]&lt;0,"DOWNSELL",IF(CambioPlan[[#This Row],[C. COMISIÓN TME]]=0,"MISMA TARIFA",IF(CambioPlan[[#This Row],[C. COMISIÓN TME]]&gt;0,"UPSELL")))</f>
        <v>UPSELL</v>
      </c>
      <c r="CE239">
        <f>VLOOKUP(CambioPlan[[#This Row],[TARIFA_BASICA_ANTERIOR]],[3]Hoja1!$F:$G,2,0)</f>
        <v>0</v>
      </c>
      <c r="CF239">
        <f>VLOOKUP(CambioPlan[[#This Row],[TARIFA_BASICA_ACTUAL]],[3]Hoja1!$B:$C,2,0)</f>
        <v>2</v>
      </c>
    </row>
    <row r="240" spans="1:86" x14ac:dyDescent="0.25">
      <c r="A240" s="43">
        <v>202212</v>
      </c>
      <c r="B240" s="44">
        <v>44914</v>
      </c>
      <c r="C240" s="43" t="s">
        <v>7856</v>
      </c>
      <c r="D240" s="43" t="s">
        <v>7857</v>
      </c>
      <c r="E240" s="43" t="s">
        <v>95</v>
      </c>
      <c r="F240" s="43" t="s">
        <v>311</v>
      </c>
      <c r="G240" s="43" t="s">
        <v>311</v>
      </c>
      <c r="H240" s="43" t="s">
        <v>67</v>
      </c>
      <c r="I240" s="43" t="s">
        <v>7858</v>
      </c>
      <c r="J240" s="43" t="s">
        <v>7037</v>
      </c>
      <c r="K240" s="43" t="s">
        <v>84</v>
      </c>
      <c r="L240" s="43" t="s">
        <v>7069</v>
      </c>
      <c r="M240" s="43" t="s">
        <v>7070</v>
      </c>
      <c r="N240" s="43" t="s">
        <v>79</v>
      </c>
      <c r="O240" s="45">
        <v>21.42</v>
      </c>
      <c r="P240" s="43" t="s">
        <v>95</v>
      </c>
      <c r="Q240" s="43" t="s">
        <v>95</v>
      </c>
      <c r="R240" s="43" t="s">
        <v>95</v>
      </c>
      <c r="S240" s="45">
        <v>0</v>
      </c>
      <c r="T240" s="43" t="s">
        <v>95</v>
      </c>
      <c r="U240" s="44" t="s">
        <v>95</v>
      </c>
      <c r="V240" s="44" t="s">
        <v>95</v>
      </c>
      <c r="W240" s="43" t="s">
        <v>95</v>
      </c>
      <c r="X240" s="45">
        <v>21.42</v>
      </c>
      <c r="Y240" s="43" t="s">
        <v>81</v>
      </c>
      <c r="Z240" s="43" t="s">
        <v>7369</v>
      </c>
      <c r="AA240" s="43" t="s">
        <v>7370</v>
      </c>
      <c r="AB240" s="43" t="s">
        <v>79</v>
      </c>
      <c r="AC240" s="45">
        <v>20.28</v>
      </c>
      <c r="AD240" s="43" t="s">
        <v>95</v>
      </c>
      <c r="AE240" s="43" t="s">
        <v>95</v>
      </c>
      <c r="AF240" s="43" t="s">
        <v>95</v>
      </c>
      <c r="AG240" s="43" t="s">
        <v>95</v>
      </c>
      <c r="AH240" s="45">
        <v>0</v>
      </c>
      <c r="AI240" s="43" t="s">
        <v>95</v>
      </c>
      <c r="AJ240" s="43" t="s">
        <v>95</v>
      </c>
      <c r="AK240" s="43" t="s">
        <v>95</v>
      </c>
      <c r="AL240" s="43" t="s">
        <v>95</v>
      </c>
      <c r="AM240" s="45">
        <v>20.28</v>
      </c>
      <c r="AN240" s="43" t="s">
        <v>81</v>
      </c>
      <c r="AO240" s="44">
        <v>44896</v>
      </c>
      <c r="AP240" s="43" t="s">
        <v>866</v>
      </c>
      <c r="AQ240" s="43" t="s">
        <v>867</v>
      </c>
      <c r="AR240" s="43" t="s">
        <v>866</v>
      </c>
      <c r="AS240" s="43" t="s">
        <v>867</v>
      </c>
      <c r="AT240" s="43" t="s">
        <v>85</v>
      </c>
      <c r="AU240" s="43" t="s">
        <v>7030</v>
      </c>
      <c r="AV240" s="43" t="s">
        <v>7031</v>
      </c>
      <c r="AW240" s="43" t="s">
        <v>7031</v>
      </c>
      <c r="AX240" s="43" t="s">
        <v>90</v>
      </c>
      <c r="AY240" s="43" t="s">
        <v>132</v>
      </c>
      <c r="AZ240" s="43" t="s">
        <v>7037</v>
      </c>
      <c r="BA240" s="43" t="s">
        <v>139</v>
      </c>
      <c r="BB240" s="45">
        <v>1.1399999999999999</v>
      </c>
      <c r="BC240" s="45">
        <v>1.1399999999999999</v>
      </c>
      <c r="BD240" s="43" t="s">
        <v>7032</v>
      </c>
      <c r="BE240" s="43" t="s">
        <v>81</v>
      </c>
      <c r="BF240" s="43" t="s">
        <v>81</v>
      </c>
      <c r="BG240" s="43" t="s">
        <v>86</v>
      </c>
      <c r="BH240" s="43" t="s">
        <v>138</v>
      </c>
      <c r="BI240" s="43" t="s">
        <v>7076</v>
      </c>
      <c r="BJ240" s="43" t="s">
        <v>7030</v>
      </c>
      <c r="BK240" s="43" t="s">
        <v>139</v>
      </c>
      <c r="BL240" s="43" t="s">
        <v>85</v>
      </c>
      <c r="BM240" s="43" t="s">
        <v>85</v>
      </c>
      <c r="BN240" s="43" t="s">
        <v>139</v>
      </c>
      <c r="BO240" s="46">
        <v>1.1399999999999999</v>
      </c>
      <c r="BP240" s="43" t="s">
        <v>7032</v>
      </c>
      <c r="BQ240" s="43">
        <v>1.1399999999999999</v>
      </c>
      <c r="BR240" s="43" t="s">
        <v>7032</v>
      </c>
      <c r="BS240" s="47">
        <v>1.1399999999999999</v>
      </c>
      <c r="BT240" s="43" t="s">
        <v>7032</v>
      </c>
      <c r="BU240" s="43" t="s">
        <v>7032</v>
      </c>
      <c r="BV240" s="43" t="str">
        <f>CambioPlan[[#This Row],[TELEFONO]]&amp;"UPSELLSI"</f>
        <v>999739781UPSELLSI</v>
      </c>
      <c r="BW240" s="43">
        <f>DAY(CambioPlan[[#This Row],[FECHA_CAMBIO_PLAN]])</f>
        <v>1</v>
      </c>
      <c r="BX240" s="43" t="str">
        <f>VLOOKUP(CambioPlan[[#This Row],[NOM_PLAZA]],[1]!Locales[#Data],3,0)</f>
        <v>TIENDA AMERICA</v>
      </c>
      <c r="BY240" s="43" t="str">
        <f>VLOOKUP(CambioPlan[[#This Row],[DOMAIN_LOGIN_OW]],[1]!Personal[#Data],6,0)</f>
        <v>ORTEGA RUIZ GABRIEL ANTONIO</v>
      </c>
      <c r="BZ240" s="43"/>
      <c r="CA240" s="43" t="str">
        <f>IFERROR(IF(FIND("ADULTO",CambioPlan[[#This Row],[DESCRIPCION_PLAN_ACTUAL]],1),"NO SE PAGA",),"SI SE PAGA")</f>
        <v>SI SE PAGA</v>
      </c>
      <c r="CB240" s="45">
        <f>CambioPlan[[#This Row],[TARIFA_BASICA_ACTUAL]]-CambioPlan[[#This Row],[TARIFA_BASICA_ANTERIOR]]</f>
        <v>1.1400000000000006</v>
      </c>
      <c r="CC240" s="56">
        <f>CambioPlan[[#This Row],[DIF. TARIFAS]]*4</f>
        <v>4.5600000000000023</v>
      </c>
      <c r="CD240" s="53" t="str">
        <f>IF(CambioPlan[[#This Row],[C. COMISIÓN TME]]&lt;0,"DOWNSELL",IF(CambioPlan[[#This Row],[C. COMISIÓN TME]]=0,"MISMA TARIFA",IF(CambioPlan[[#This Row],[C. COMISIÓN TME]]&gt;0,"UPSELL")))</f>
        <v>UPSELL</v>
      </c>
      <c r="CE240">
        <f>VLOOKUP(CambioPlan[[#This Row],[TARIFA_BASICA_ANTERIOR]],[3]Hoja1!$F:$G,2,0)</f>
        <v>3</v>
      </c>
      <c r="CF240">
        <f>VLOOKUP(CambioPlan[[#This Row],[TARIFA_BASICA_ACTUAL]],[3]Hoja1!$B:$C,2,0)</f>
        <v>3</v>
      </c>
    </row>
    <row r="241" spans="1:84" x14ac:dyDescent="0.25">
      <c r="A241" s="43">
        <v>202212</v>
      </c>
      <c r="B241" s="44">
        <v>44914</v>
      </c>
      <c r="C241" s="43" t="s">
        <v>7859</v>
      </c>
      <c r="D241" s="43" t="s">
        <v>7860</v>
      </c>
      <c r="E241" s="43" t="s">
        <v>95</v>
      </c>
      <c r="F241" s="43" t="s">
        <v>77</v>
      </c>
      <c r="G241" s="43" t="s">
        <v>2241</v>
      </c>
      <c r="H241" s="43" t="s">
        <v>67</v>
      </c>
      <c r="I241" s="43" t="s">
        <v>7861</v>
      </c>
      <c r="J241" s="43" t="s">
        <v>7029</v>
      </c>
      <c r="K241" s="43" t="s">
        <v>118</v>
      </c>
      <c r="L241" s="43" t="s">
        <v>130</v>
      </c>
      <c r="M241" s="43" t="s">
        <v>433</v>
      </c>
      <c r="N241" s="43" t="s">
        <v>79</v>
      </c>
      <c r="O241" s="45">
        <v>15</v>
      </c>
      <c r="P241" s="43" t="s">
        <v>95</v>
      </c>
      <c r="Q241" s="43" t="s">
        <v>95</v>
      </c>
      <c r="R241" s="43" t="s">
        <v>95</v>
      </c>
      <c r="S241" s="45">
        <v>7.5</v>
      </c>
      <c r="T241" s="43" t="s">
        <v>7104</v>
      </c>
      <c r="U241" s="44">
        <v>44912</v>
      </c>
      <c r="V241" s="44" t="s">
        <v>95</v>
      </c>
      <c r="W241" s="43" t="s">
        <v>7105</v>
      </c>
      <c r="X241" s="45">
        <v>7.5</v>
      </c>
      <c r="Y241" s="43" t="s">
        <v>81</v>
      </c>
      <c r="Z241" s="43" t="s">
        <v>71</v>
      </c>
      <c r="AA241" s="43" t="s">
        <v>258</v>
      </c>
      <c r="AB241" s="43" t="s">
        <v>79</v>
      </c>
      <c r="AC241" s="45">
        <v>11.42</v>
      </c>
      <c r="AD241" s="43" t="s">
        <v>95</v>
      </c>
      <c r="AE241" s="43" t="s">
        <v>95</v>
      </c>
      <c r="AF241" s="43" t="s">
        <v>95</v>
      </c>
      <c r="AG241" s="43" t="s">
        <v>95</v>
      </c>
      <c r="AH241" s="45">
        <v>0</v>
      </c>
      <c r="AI241" s="43" t="s">
        <v>95</v>
      </c>
      <c r="AJ241" s="43" t="s">
        <v>95</v>
      </c>
      <c r="AK241" s="43" t="s">
        <v>95</v>
      </c>
      <c r="AL241" s="43" t="s">
        <v>95</v>
      </c>
      <c r="AM241" s="45">
        <v>11.42</v>
      </c>
      <c r="AN241" s="43" t="s">
        <v>81</v>
      </c>
      <c r="AO241" s="44">
        <v>44911</v>
      </c>
      <c r="AP241" s="43" t="s">
        <v>149</v>
      </c>
      <c r="AQ241" s="43" t="s">
        <v>150</v>
      </c>
      <c r="AR241" s="43" t="s">
        <v>149</v>
      </c>
      <c r="AS241" s="43" t="s">
        <v>150</v>
      </c>
      <c r="AT241" s="43" t="s">
        <v>85</v>
      </c>
      <c r="AU241" s="43" t="s">
        <v>7030</v>
      </c>
      <c r="AV241" s="43" t="s">
        <v>7031</v>
      </c>
      <c r="AW241" s="43" t="s">
        <v>7031</v>
      </c>
      <c r="AX241" s="43" t="s">
        <v>90</v>
      </c>
      <c r="AY241" s="43" t="s">
        <v>73</v>
      </c>
      <c r="AZ241" s="43" t="s">
        <v>7029</v>
      </c>
      <c r="BA241" s="43" t="s">
        <v>92</v>
      </c>
      <c r="BB241" s="45">
        <v>3.58</v>
      </c>
      <c r="BC241" s="45">
        <v>-3.92</v>
      </c>
      <c r="BD241" s="43" t="s">
        <v>7106</v>
      </c>
      <c r="BE241" s="43" t="s">
        <v>81</v>
      </c>
      <c r="BF241" s="43" t="s">
        <v>81</v>
      </c>
      <c r="BG241" s="43" t="s">
        <v>86</v>
      </c>
      <c r="BH241" s="43" t="s">
        <v>151</v>
      </c>
      <c r="BI241" s="43" t="s">
        <v>7033</v>
      </c>
      <c r="BJ241" s="43" t="s">
        <v>7030</v>
      </c>
      <c r="BK241" s="43" t="s">
        <v>92</v>
      </c>
      <c r="BL241" s="43" t="s">
        <v>85</v>
      </c>
      <c r="BM241" s="43" t="s">
        <v>85</v>
      </c>
      <c r="BN241" s="43" t="s">
        <v>92</v>
      </c>
      <c r="BO241" s="46">
        <v>3.58</v>
      </c>
      <c r="BP241" s="43" t="s">
        <v>7032</v>
      </c>
      <c r="BQ241" s="43">
        <v>3.58</v>
      </c>
      <c r="BR241" s="43" t="s">
        <v>7032</v>
      </c>
      <c r="BS241" s="47">
        <v>-3.92</v>
      </c>
      <c r="BT241" s="43" t="s">
        <v>7106</v>
      </c>
      <c r="BU241" s="43" t="s">
        <v>7032</v>
      </c>
      <c r="BV241" s="43" t="str">
        <f>CambioPlan[[#This Row],[TELEFONO]]&amp;"UPSELLSI"</f>
        <v>999747892UPSELLSI</v>
      </c>
      <c r="BW241" s="43">
        <f>DAY(CambioPlan[[#This Row],[FECHA_CAMBIO_PLAN]])</f>
        <v>16</v>
      </c>
      <c r="BX241" s="43" t="str">
        <f>VLOOKUP(CambioPlan[[#This Row],[NOM_PLAZA]],[1]!Locales[#Data],3,0)</f>
        <v>TIENDA CUENCA REMIGIO</v>
      </c>
      <c r="BY241" s="43" t="str">
        <f>VLOOKUP(CambioPlan[[#This Row],[DOMAIN_LOGIN_OW]],[1]!Personal[#Data],6,0)</f>
        <v>OSORIO TEJADA ANA ESTEFANIA</v>
      </c>
      <c r="BZ241" s="43"/>
      <c r="CA241" s="43" t="str">
        <f>IFERROR(IF(FIND("ADULTO",CambioPlan[[#This Row],[DESCRIPCION_PLAN_ACTUAL]],1),"NO SE PAGA",),"SI SE PAGA")</f>
        <v>NO SE PAGA</v>
      </c>
      <c r="CB241" s="45">
        <f>CambioPlan[[#This Row],[TARIFA_BASICA_ACTUAL]]-CambioPlan[[#This Row],[TARIFA_BASICA_ANTERIOR]]</f>
        <v>3.58</v>
      </c>
      <c r="CC241" s="56">
        <f>CambioPlan[[#This Row],[DIF. TARIFAS]]*4</f>
        <v>14.32</v>
      </c>
      <c r="CD241" s="53" t="str">
        <f>IF(CambioPlan[[#This Row],[C. COMISIÓN TME]]&lt;0,"DOWNSELL",IF(CambioPlan[[#This Row],[C. COMISIÓN TME]]=0,"MISMA TARIFA",IF(CambioPlan[[#This Row],[C. COMISIÓN TME]]&gt;0,"UPSELL")))</f>
        <v>UPSELL</v>
      </c>
      <c r="CE241">
        <f>VLOOKUP(CambioPlan[[#This Row],[TARIFA_BASICA_ANTERIOR]],[3]Hoja1!$F:$G,2,0)</f>
        <v>0</v>
      </c>
      <c r="CF241">
        <f>VLOOKUP(CambioPlan[[#This Row],[TARIFA_BASICA_ACTUAL]],[3]Hoja1!$B:$C,2,0)</f>
        <v>2</v>
      </c>
    </row>
    <row r="242" spans="1:84" x14ac:dyDescent="0.25">
      <c r="A242" s="43">
        <v>202212</v>
      </c>
      <c r="B242" s="44">
        <v>44914</v>
      </c>
      <c r="C242" s="43" t="s">
        <v>7862</v>
      </c>
      <c r="D242" s="43" t="s">
        <v>7863</v>
      </c>
      <c r="E242" s="43" t="s">
        <v>95</v>
      </c>
      <c r="F242" s="43" t="s">
        <v>77</v>
      </c>
      <c r="G242" s="43" t="s">
        <v>2241</v>
      </c>
      <c r="H242" s="43" t="s">
        <v>67</v>
      </c>
      <c r="I242" s="43" t="s">
        <v>7864</v>
      </c>
      <c r="J242" s="43" t="s">
        <v>7037</v>
      </c>
      <c r="K242" s="43" t="s">
        <v>118</v>
      </c>
      <c r="L242" s="43" t="s">
        <v>1357</v>
      </c>
      <c r="M242" s="43" t="s">
        <v>2022</v>
      </c>
      <c r="N242" s="43" t="s">
        <v>79</v>
      </c>
      <c r="O242" s="45">
        <v>11.42</v>
      </c>
      <c r="P242" s="43" t="s">
        <v>95</v>
      </c>
      <c r="Q242" s="43" t="s">
        <v>95</v>
      </c>
      <c r="R242" s="43" t="s">
        <v>95</v>
      </c>
      <c r="S242" s="45">
        <v>0</v>
      </c>
      <c r="T242" s="43" t="s">
        <v>95</v>
      </c>
      <c r="U242" s="44" t="s">
        <v>95</v>
      </c>
      <c r="V242" s="44" t="s">
        <v>95</v>
      </c>
      <c r="W242" s="43" t="s">
        <v>95</v>
      </c>
      <c r="X242" s="45">
        <v>11.42</v>
      </c>
      <c r="Y242" s="43" t="s">
        <v>81</v>
      </c>
      <c r="Z242" s="43" t="s">
        <v>71</v>
      </c>
      <c r="AA242" s="43" t="s">
        <v>258</v>
      </c>
      <c r="AB242" s="43" t="s">
        <v>79</v>
      </c>
      <c r="AC242" s="45">
        <v>11.42</v>
      </c>
      <c r="AD242" s="43" t="s">
        <v>95</v>
      </c>
      <c r="AE242" s="43" t="s">
        <v>95</v>
      </c>
      <c r="AF242" s="43" t="s">
        <v>95</v>
      </c>
      <c r="AG242" s="43" t="s">
        <v>95</v>
      </c>
      <c r="AH242" s="45">
        <v>0</v>
      </c>
      <c r="AI242" s="43" t="s">
        <v>95</v>
      </c>
      <c r="AJ242" s="43" t="s">
        <v>95</v>
      </c>
      <c r="AK242" s="43" t="s">
        <v>95</v>
      </c>
      <c r="AL242" s="43" t="s">
        <v>95</v>
      </c>
      <c r="AM242" s="45">
        <v>11.42</v>
      </c>
      <c r="AN242" s="43" t="s">
        <v>81</v>
      </c>
      <c r="AO242" s="44">
        <v>44908</v>
      </c>
      <c r="AP242" s="43" t="s">
        <v>262</v>
      </c>
      <c r="AQ242" s="43" t="s">
        <v>263</v>
      </c>
      <c r="AR242" s="43" t="s">
        <v>262</v>
      </c>
      <c r="AS242" s="43" t="s">
        <v>263</v>
      </c>
      <c r="AT242" s="43" t="s">
        <v>85</v>
      </c>
      <c r="AU242" s="43" t="s">
        <v>7030</v>
      </c>
      <c r="AV242" s="43" t="s">
        <v>7031</v>
      </c>
      <c r="AW242" s="43" t="s">
        <v>7031</v>
      </c>
      <c r="AX242" s="43" t="s">
        <v>90</v>
      </c>
      <c r="AY242" s="43" t="s">
        <v>132</v>
      </c>
      <c r="AZ242" s="43" t="s">
        <v>7037</v>
      </c>
      <c r="BA242" s="43" t="s">
        <v>139</v>
      </c>
      <c r="BB242" s="45">
        <v>0</v>
      </c>
      <c r="BC242" s="45">
        <v>0</v>
      </c>
      <c r="BD242" s="43" t="s">
        <v>7042</v>
      </c>
      <c r="BE242" s="43" t="s">
        <v>81</v>
      </c>
      <c r="BF242" s="43" t="s">
        <v>81</v>
      </c>
      <c r="BG242" s="43" t="s">
        <v>86</v>
      </c>
      <c r="BH242" s="43" t="s">
        <v>177</v>
      </c>
      <c r="BI242" s="43" t="s">
        <v>7038</v>
      </c>
      <c r="BJ242" s="43" t="s">
        <v>7030</v>
      </c>
      <c r="BK242" s="43" t="s">
        <v>139</v>
      </c>
      <c r="BL242" s="43" t="s">
        <v>85</v>
      </c>
      <c r="BM242" s="43" t="s">
        <v>85</v>
      </c>
      <c r="BN242" s="43" t="s">
        <v>139</v>
      </c>
      <c r="BO242" s="46">
        <v>0</v>
      </c>
      <c r="BP242" s="43" t="s">
        <v>7042</v>
      </c>
      <c r="BQ242" s="43">
        <v>0</v>
      </c>
      <c r="BR242" s="43" t="s">
        <v>7042</v>
      </c>
      <c r="BS242" s="47">
        <v>0</v>
      </c>
      <c r="BT242" s="43" t="s">
        <v>7042</v>
      </c>
      <c r="BU242" s="43" t="s">
        <v>7042</v>
      </c>
      <c r="BV242" s="43" t="str">
        <f>CambioPlan[[#This Row],[TELEFONO]]&amp;"UPSELLSI"</f>
        <v>999762427UPSELLSI</v>
      </c>
      <c r="BW242" s="43">
        <f>DAY(CambioPlan[[#This Row],[FECHA_CAMBIO_PLAN]])</f>
        <v>13</v>
      </c>
      <c r="BX242" s="43" t="str">
        <f>VLOOKUP(CambioPlan[[#This Row],[NOM_PLAZA]],[1]!Locales[#Data],3,0)</f>
        <v>TIENDA RECREO</v>
      </c>
      <c r="BY242" s="43" t="str">
        <f>VLOOKUP(CambioPlan[[#This Row],[DOMAIN_LOGIN_OW]],[1]!Personal[#Data],6,0)</f>
        <v>CHICAIZA TOAPANTA ALEX DANILO</v>
      </c>
      <c r="BZ242" s="43"/>
      <c r="CA242" s="43" t="str">
        <f>IFERROR(IF(FIND("ADULTO",CambioPlan[[#This Row],[DESCRIPCION_PLAN_ACTUAL]],1),"NO SE PAGA",),"SI SE PAGA")</f>
        <v>SI SE PAGA</v>
      </c>
      <c r="CB242" s="45">
        <f>CambioPlan[[#This Row],[TARIFA_BASICA_ACTUAL]]-CambioPlan[[#This Row],[TARIFA_BASICA_ANTERIOR]]</f>
        <v>0</v>
      </c>
      <c r="CC242" s="56">
        <f>CambioPlan[[#This Row],[DIF. TARIFAS]]*4</f>
        <v>0</v>
      </c>
      <c r="CD242" s="53" t="str">
        <f>IF(CambioPlan[[#This Row],[C. COMISIÓN TME]]&lt;0,"DOWNSELL",IF(CambioPlan[[#This Row],[C. COMISIÓN TME]]=0,"MISMA TARIFA",IF(CambioPlan[[#This Row],[C. COMISIÓN TME]]&gt;0,"UPSELL")))</f>
        <v>MISMA TARIFA</v>
      </c>
      <c r="CE242">
        <f>VLOOKUP(CambioPlan[[#This Row],[TARIFA_BASICA_ANTERIOR]],[3]Hoja1!$F:$G,2,0)</f>
        <v>0</v>
      </c>
      <c r="CF242">
        <f>VLOOKUP(CambioPlan[[#This Row],[TARIFA_BASICA_ACTUAL]],[3]Hoja1!$B:$C,2,0)</f>
        <v>0</v>
      </c>
    </row>
    <row r="243" spans="1:84" x14ac:dyDescent="0.25">
      <c r="A243" s="43">
        <v>202212</v>
      </c>
      <c r="B243" s="44">
        <v>44914</v>
      </c>
      <c r="C243" s="43" t="s">
        <v>7865</v>
      </c>
      <c r="D243" s="43" t="s">
        <v>7866</v>
      </c>
      <c r="E243" s="43" t="s">
        <v>95</v>
      </c>
      <c r="F243" s="43" t="s">
        <v>77</v>
      </c>
      <c r="G243" s="43" t="s">
        <v>2241</v>
      </c>
      <c r="H243" s="43" t="s">
        <v>246</v>
      </c>
      <c r="I243" s="43" t="s">
        <v>7867</v>
      </c>
      <c r="J243" s="43" t="s">
        <v>7037</v>
      </c>
      <c r="K243" s="43" t="s">
        <v>84</v>
      </c>
      <c r="L243" s="43" t="s">
        <v>606</v>
      </c>
      <c r="M243" s="43" t="s">
        <v>1672</v>
      </c>
      <c r="N243" s="43" t="s">
        <v>79</v>
      </c>
      <c r="O243" s="45">
        <v>26.78</v>
      </c>
      <c r="P243" s="43" t="s">
        <v>95</v>
      </c>
      <c r="Q243" s="43" t="s">
        <v>95</v>
      </c>
      <c r="R243" s="43" t="s">
        <v>95</v>
      </c>
      <c r="S243" s="45">
        <v>0</v>
      </c>
      <c r="T243" s="43" t="s">
        <v>95</v>
      </c>
      <c r="U243" s="44" t="s">
        <v>95</v>
      </c>
      <c r="V243" s="44" t="s">
        <v>95</v>
      </c>
      <c r="W243" s="43" t="s">
        <v>95</v>
      </c>
      <c r="X243" s="45">
        <v>26.78</v>
      </c>
      <c r="Y243" s="43" t="s">
        <v>81</v>
      </c>
      <c r="Z243" s="43" t="s">
        <v>160</v>
      </c>
      <c r="AA243" s="43" t="s">
        <v>161</v>
      </c>
      <c r="AB243" s="43" t="s">
        <v>79</v>
      </c>
      <c r="AC243" s="45">
        <v>14.28</v>
      </c>
      <c r="AD243" s="43" t="s">
        <v>95</v>
      </c>
      <c r="AE243" s="43" t="s">
        <v>95</v>
      </c>
      <c r="AF243" s="43" t="s">
        <v>95</v>
      </c>
      <c r="AG243" s="43" t="s">
        <v>95</v>
      </c>
      <c r="AH243" s="45">
        <v>0</v>
      </c>
      <c r="AI243" s="43" t="s">
        <v>95</v>
      </c>
      <c r="AJ243" s="43" t="s">
        <v>95</v>
      </c>
      <c r="AK243" s="43" t="s">
        <v>95</v>
      </c>
      <c r="AL243" s="43" t="s">
        <v>95</v>
      </c>
      <c r="AM243" s="45">
        <v>14.28</v>
      </c>
      <c r="AN243" s="43" t="s">
        <v>81</v>
      </c>
      <c r="AO243" s="44">
        <v>44907</v>
      </c>
      <c r="AP243" s="43" t="s">
        <v>369</v>
      </c>
      <c r="AQ243" s="43" t="s">
        <v>370</v>
      </c>
      <c r="AR243" s="43" t="s">
        <v>369</v>
      </c>
      <c r="AS243" s="43" t="s">
        <v>370</v>
      </c>
      <c r="AT243" s="43" t="s">
        <v>85</v>
      </c>
      <c r="AU243" s="43" t="s">
        <v>7030</v>
      </c>
      <c r="AV243" s="43" t="s">
        <v>7031</v>
      </c>
      <c r="AW243" s="43" t="s">
        <v>7031</v>
      </c>
      <c r="AX243" s="43" t="s">
        <v>90</v>
      </c>
      <c r="AY243" s="43" t="s">
        <v>132</v>
      </c>
      <c r="AZ243" s="43" t="s">
        <v>7037</v>
      </c>
      <c r="BA243" s="43" t="s">
        <v>139</v>
      </c>
      <c r="BB243" s="45">
        <v>12.5</v>
      </c>
      <c r="BC243" s="45">
        <v>12.5</v>
      </c>
      <c r="BD243" s="43" t="s">
        <v>7032</v>
      </c>
      <c r="BE243" s="43" t="s">
        <v>81</v>
      </c>
      <c r="BF243" s="43" t="s">
        <v>81</v>
      </c>
      <c r="BG243" s="43" t="s">
        <v>86</v>
      </c>
      <c r="BH243" s="43" t="s">
        <v>177</v>
      </c>
      <c r="BI243" s="43" t="s">
        <v>7038</v>
      </c>
      <c r="BJ243" s="43" t="s">
        <v>7030</v>
      </c>
      <c r="BK243" s="43" t="s">
        <v>139</v>
      </c>
      <c r="BL243" s="43" t="s">
        <v>85</v>
      </c>
      <c r="BM243" s="43" t="s">
        <v>85</v>
      </c>
      <c r="BN243" s="43" t="s">
        <v>139</v>
      </c>
      <c r="BO243" s="46">
        <v>12.5</v>
      </c>
      <c r="BP243" s="43" t="s">
        <v>7032</v>
      </c>
      <c r="BQ243" s="43">
        <v>12.5</v>
      </c>
      <c r="BR243" s="43" t="s">
        <v>7032</v>
      </c>
      <c r="BS243" s="47">
        <v>12.5</v>
      </c>
      <c r="BT243" s="43" t="s">
        <v>7032</v>
      </c>
      <c r="BU243" s="43" t="s">
        <v>7032</v>
      </c>
      <c r="BV243" s="43" t="str">
        <f>CambioPlan[[#This Row],[TELEFONO]]&amp;"UPSELLSI"</f>
        <v>999775468UPSELLSI</v>
      </c>
      <c r="BW243" s="43">
        <f>DAY(CambioPlan[[#This Row],[FECHA_CAMBIO_PLAN]])</f>
        <v>12</v>
      </c>
      <c r="BX243" s="43" t="str">
        <f>VLOOKUP(CambioPlan[[#This Row],[NOM_PLAZA]],[1]!Locales[#Data],3,0)</f>
        <v>TIENDA RECREO</v>
      </c>
      <c r="BY243" s="43" t="str">
        <f>VLOOKUP(CambioPlan[[#This Row],[DOMAIN_LOGIN_OW]],[1]!Personal[#Data],6,0)</f>
        <v>GUAIGUA REINOSO GENESIS CAROLINA</v>
      </c>
      <c r="BZ243" s="43"/>
      <c r="CA243" s="43" t="str">
        <f>IFERROR(IF(FIND("ADULTO",CambioPlan[[#This Row],[DESCRIPCION_PLAN_ACTUAL]],1),"NO SE PAGA",),"SI SE PAGA")</f>
        <v>SI SE PAGA</v>
      </c>
      <c r="CB243" s="45">
        <f>CambioPlan[[#This Row],[TARIFA_BASICA_ACTUAL]]-CambioPlan[[#This Row],[TARIFA_BASICA_ANTERIOR]]</f>
        <v>12.500000000000002</v>
      </c>
      <c r="CC243" s="56">
        <f>CambioPlan[[#This Row],[DIF. TARIFAS]]*4</f>
        <v>50.000000000000007</v>
      </c>
      <c r="CD243" s="53" t="str">
        <f>IF(CambioPlan[[#This Row],[C. COMISIÓN TME]]&lt;0,"DOWNSELL",IF(CambioPlan[[#This Row],[C. COMISIÓN TME]]=0,"MISMA TARIFA",IF(CambioPlan[[#This Row],[C. COMISIÓN TME]]&gt;0,"UPSELL")))</f>
        <v>UPSELL</v>
      </c>
      <c r="CE243">
        <f>VLOOKUP(CambioPlan[[#This Row],[TARIFA_BASICA_ANTERIOR]],[3]Hoja1!$F:$G,2,0)</f>
        <v>1</v>
      </c>
      <c r="CF243">
        <f>VLOOKUP(CambioPlan[[#This Row],[TARIFA_BASICA_ACTUAL]],[3]Hoja1!$B:$C,2,0)</f>
        <v>4</v>
      </c>
    </row>
    <row r="244" spans="1:84" x14ac:dyDescent="0.25">
      <c r="A244" s="43">
        <v>202212</v>
      </c>
      <c r="B244" s="44">
        <v>44914</v>
      </c>
      <c r="C244" s="43" t="s">
        <v>7868</v>
      </c>
      <c r="D244" s="43" t="s">
        <v>7869</v>
      </c>
      <c r="E244" s="43" t="s">
        <v>95</v>
      </c>
      <c r="F244" s="43" t="s">
        <v>231</v>
      </c>
      <c r="G244" s="43" t="s">
        <v>231</v>
      </c>
      <c r="H244" s="43" t="s">
        <v>67</v>
      </c>
      <c r="I244" s="43" t="s">
        <v>7870</v>
      </c>
      <c r="J244" s="43" t="s">
        <v>7037</v>
      </c>
      <c r="K244" s="43" t="s">
        <v>84</v>
      </c>
      <c r="L244" s="43" t="s">
        <v>359</v>
      </c>
      <c r="M244" s="43" t="s">
        <v>360</v>
      </c>
      <c r="N244" s="43" t="s">
        <v>79</v>
      </c>
      <c r="O244" s="45">
        <v>14.28</v>
      </c>
      <c r="P244" s="43" t="s">
        <v>95</v>
      </c>
      <c r="Q244" s="43" t="s">
        <v>95</v>
      </c>
      <c r="R244" s="43" t="s">
        <v>95</v>
      </c>
      <c r="S244" s="45">
        <v>0</v>
      </c>
      <c r="T244" s="43" t="s">
        <v>95</v>
      </c>
      <c r="U244" s="44" t="s">
        <v>95</v>
      </c>
      <c r="V244" s="44" t="s">
        <v>95</v>
      </c>
      <c r="W244" s="43" t="s">
        <v>95</v>
      </c>
      <c r="X244" s="45">
        <v>14.28</v>
      </c>
      <c r="Y244" s="43" t="s">
        <v>81</v>
      </c>
      <c r="Z244" s="43" t="s">
        <v>7227</v>
      </c>
      <c r="AA244" s="43" t="s">
        <v>7228</v>
      </c>
      <c r="AB244" s="43" t="s">
        <v>79</v>
      </c>
      <c r="AC244" s="45">
        <v>9.99</v>
      </c>
      <c r="AD244" s="43" t="s">
        <v>95</v>
      </c>
      <c r="AE244" s="43" t="s">
        <v>95</v>
      </c>
      <c r="AF244" s="43" t="s">
        <v>95</v>
      </c>
      <c r="AG244" s="43" t="s">
        <v>95</v>
      </c>
      <c r="AH244" s="45">
        <v>0</v>
      </c>
      <c r="AI244" s="43" t="s">
        <v>95</v>
      </c>
      <c r="AJ244" s="43" t="s">
        <v>95</v>
      </c>
      <c r="AK244" s="43" t="s">
        <v>95</v>
      </c>
      <c r="AL244" s="43" t="s">
        <v>95</v>
      </c>
      <c r="AM244" s="45">
        <v>9.99</v>
      </c>
      <c r="AN244" s="43" t="s">
        <v>81</v>
      </c>
      <c r="AO244" s="44">
        <v>44909</v>
      </c>
      <c r="AP244" s="43" t="s">
        <v>136</v>
      </c>
      <c r="AQ244" s="43" t="s">
        <v>137</v>
      </c>
      <c r="AR244" s="43" t="s">
        <v>136</v>
      </c>
      <c r="AS244" s="43" t="s">
        <v>137</v>
      </c>
      <c r="AT244" s="43" t="s">
        <v>85</v>
      </c>
      <c r="AU244" s="43" t="s">
        <v>7030</v>
      </c>
      <c r="AV244" s="43" t="s">
        <v>7031</v>
      </c>
      <c r="AW244" s="43" t="s">
        <v>7031</v>
      </c>
      <c r="AX244" s="43" t="s">
        <v>90</v>
      </c>
      <c r="AY244" s="43" t="s">
        <v>132</v>
      </c>
      <c r="AZ244" s="43" t="s">
        <v>7037</v>
      </c>
      <c r="BA244" s="43" t="s">
        <v>139</v>
      </c>
      <c r="BB244" s="45">
        <v>4.29</v>
      </c>
      <c r="BC244" s="45">
        <v>4.29</v>
      </c>
      <c r="BD244" s="43" t="s">
        <v>7032</v>
      </c>
      <c r="BE244" s="43" t="s">
        <v>81</v>
      </c>
      <c r="BF244" s="43" t="s">
        <v>81</v>
      </c>
      <c r="BG244" s="43" t="s">
        <v>86</v>
      </c>
      <c r="BH244" s="43" t="s">
        <v>138</v>
      </c>
      <c r="BI244" s="43" t="s">
        <v>7076</v>
      </c>
      <c r="BJ244" s="43" t="s">
        <v>7030</v>
      </c>
      <c r="BK244" s="43" t="s">
        <v>139</v>
      </c>
      <c r="BL244" s="43" t="s">
        <v>85</v>
      </c>
      <c r="BM244" s="43" t="s">
        <v>85</v>
      </c>
      <c r="BN244" s="43" t="s">
        <v>139</v>
      </c>
      <c r="BO244" s="46">
        <v>4.29</v>
      </c>
      <c r="BP244" s="43" t="s">
        <v>7032</v>
      </c>
      <c r="BQ244" s="43">
        <v>4.29</v>
      </c>
      <c r="BR244" s="43" t="s">
        <v>7032</v>
      </c>
      <c r="BS244" s="47">
        <v>4.29</v>
      </c>
      <c r="BT244" s="43" t="s">
        <v>7032</v>
      </c>
      <c r="BU244" s="43" t="s">
        <v>7032</v>
      </c>
      <c r="BV244" s="43" t="str">
        <f>CambioPlan[[#This Row],[TELEFONO]]&amp;"UPSELLSI"</f>
        <v>999783281UPSELLSI</v>
      </c>
      <c r="BW244" s="43">
        <f>DAY(CambioPlan[[#This Row],[FECHA_CAMBIO_PLAN]])</f>
        <v>14</v>
      </c>
      <c r="BX244" s="43" t="str">
        <f>VLOOKUP(CambioPlan[[#This Row],[NOM_PLAZA]],[1]!Locales[#Data],3,0)</f>
        <v>TIENDA AMERICA</v>
      </c>
      <c r="BY244" s="43" t="str">
        <f>VLOOKUP(CambioPlan[[#This Row],[DOMAIN_LOGIN_OW]],[1]!Personal[#Data],6,0)</f>
        <v>SALVATIERRA GUERRA JULIAN ENRIQUE</v>
      </c>
      <c r="BZ244" s="43"/>
      <c r="CA244" s="43" t="str">
        <f>IFERROR(IF(FIND("ADULTO",CambioPlan[[#This Row],[DESCRIPCION_PLAN_ACTUAL]],1),"NO SE PAGA",),"SI SE PAGA")</f>
        <v>SI SE PAGA</v>
      </c>
      <c r="CB244" s="45">
        <f>CambioPlan[[#This Row],[TARIFA_BASICA_ACTUAL]]-CambioPlan[[#This Row],[TARIFA_BASICA_ANTERIOR]]</f>
        <v>4.2899999999999991</v>
      </c>
      <c r="CC244" s="56">
        <f>CambioPlan[[#This Row],[DIF. TARIFAS]]*4</f>
        <v>17.159999999999997</v>
      </c>
      <c r="CD244" s="53" t="str">
        <f>IF(CambioPlan[[#This Row],[C. COMISIÓN TME]]&lt;0,"DOWNSELL",IF(CambioPlan[[#This Row],[C. COMISIÓN TME]]=0,"MISMA TARIFA",IF(CambioPlan[[#This Row],[C. COMISIÓN TME]]&gt;0,"UPSELL")))</f>
        <v>UPSELL</v>
      </c>
      <c r="CE244">
        <f>VLOOKUP(CambioPlan[[#This Row],[TARIFA_BASICA_ANTERIOR]],[3]Hoja1!$F:$G,2,0)</f>
        <v>0</v>
      </c>
      <c r="CF244">
        <f>VLOOKUP(CambioPlan[[#This Row],[TARIFA_BASICA_ACTUAL]],[3]Hoja1!$B:$C,2,0)</f>
        <v>1</v>
      </c>
    </row>
    <row r="245" spans="1:84" x14ac:dyDescent="0.25">
      <c r="A245" s="43">
        <v>202212</v>
      </c>
      <c r="B245" s="44">
        <v>44914</v>
      </c>
      <c r="C245" s="43" t="s">
        <v>7871</v>
      </c>
      <c r="D245" s="43" t="s">
        <v>7872</v>
      </c>
      <c r="E245" s="43" t="s">
        <v>95</v>
      </c>
      <c r="F245" s="43" t="s">
        <v>77</v>
      </c>
      <c r="G245" s="43" t="s">
        <v>2241</v>
      </c>
      <c r="H245" s="43" t="s">
        <v>67</v>
      </c>
      <c r="I245" s="43" t="s">
        <v>3502</v>
      </c>
      <c r="J245" s="43" t="s">
        <v>7037</v>
      </c>
      <c r="K245" s="43" t="s">
        <v>84</v>
      </c>
      <c r="L245" s="43" t="s">
        <v>112</v>
      </c>
      <c r="M245" s="43" t="s">
        <v>781</v>
      </c>
      <c r="N245" s="43" t="s">
        <v>79</v>
      </c>
      <c r="O245" s="45">
        <v>17.850000000000001</v>
      </c>
      <c r="P245" s="43" t="s">
        <v>95</v>
      </c>
      <c r="Q245" s="43" t="s">
        <v>95</v>
      </c>
      <c r="R245" s="43" t="s">
        <v>95</v>
      </c>
      <c r="S245" s="45">
        <v>0</v>
      </c>
      <c r="T245" s="43" t="s">
        <v>95</v>
      </c>
      <c r="U245" s="44" t="s">
        <v>95</v>
      </c>
      <c r="V245" s="44" t="s">
        <v>95</v>
      </c>
      <c r="W245" s="43" t="s">
        <v>95</v>
      </c>
      <c r="X245" s="45">
        <v>17.850000000000001</v>
      </c>
      <c r="Y245" s="43" t="s">
        <v>81</v>
      </c>
      <c r="Z245" s="43" t="s">
        <v>7090</v>
      </c>
      <c r="AA245" s="43" t="s">
        <v>7091</v>
      </c>
      <c r="AB245" s="43" t="s">
        <v>79</v>
      </c>
      <c r="AC245" s="45">
        <v>17.03</v>
      </c>
      <c r="AD245" s="43" t="s">
        <v>95</v>
      </c>
      <c r="AE245" s="43" t="s">
        <v>95</v>
      </c>
      <c r="AF245" s="43" t="s">
        <v>95</v>
      </c>
      <c r="AG245" s="43" t="s">
        <v>95</v>
      </c>
      <c r="AH245" s="45">
        <v>0</v>
      </c>
      <c r="AI245" s="43" t="s">
        <v>95</v>
      </c>
      <c r="AJ245" s="43" t="s">
        <v>95</v>
      </c>
      <c r="AK245" s="43" t="s">
        <v>95</v>
      </c>
      <c r="AL245" s="43" t="s">
        <v>95</v>
      </c>
      <c r="AM245" s="45">
        <v>17.03</v>
      </c>
      <c r="AN245" s="43" t="s">
        <v>81</v>
      </c>
      <c r="AO245" s="44">
        <v>44908</v>
      </c>
      <c r="AP245" s="43" t="s">
        <v>303</v>
      </c>
      <c r="AQ245" s="43" t="s">
        <v>304</v>
      </c>
      <c r="AR245" s="43" t="s">
        <v>303</v>
      </c>
      <c r="AS245" s="43" t="s">
        <v>304</v>
      </c>
      <c r="AT245" s="43" t="s">
        <v>85</v>
      </c>
      <c r="AU245" s="43" t="s">
        <v>7030</v>
      </c>
      <c r="AV245" s="43" t="s">
        <v>7031</v>
      </c>
      <c r="AW245" s="43" t="s">
        <v>7031</v>
      </c>
      <c r="AX245" s="43" t="s">
        <v>90</v>
      </c>
      <c r="AY245" s="43" t="s">
        <v>132</v>
      </c>
      <c r="AZ245" s="43" t="s">
        <v>7037</v>
      </c>
      <c r="BA245" s="43" t="s">
        <v>139</v>
      </c>
      <c r="BB245" s="45">
        <v>0.82</v>
      </c>
      <c r="BC245" s="45">
        <v>0.82</v>
      </c>
      <c r="BD245" s="43" t="s">
        <v>7032</v>
      </c>
      <c r="BE245" s="43" t="s">
        <v>81</v>
      </c>
      <c r="BF245" s="43" t="s">
        <v>81</v>
      </c>
      <c r="BG245" s="43" t="s">
        <v>86</v>
      </c>
      <c r="BH245" s="43" t="s">
        <v>177</v>
      </c>
      <c r="BI245" s="43" t="s">
        <v>7038</v>
      </c>
      <c r="BJ245" s="43" t="s">
        <v>7030</v>
      </c>
      <c r="BK245" s="43" t="s">
        <v>139</v>
      </c>
      <c r="BL245" s="43" t="s">
        <v>85</v>
      </c>
      <c r="BM245" s="43" t="s">
        <v>85</v>
      </c>
      <c r="BN245" s="43" t="s">
        <v>139</v>
      </c>
      <c r="BO245" s="46">
        <v>0.82</v>
      </c>
      <c r="BP245" s="43" t="s">
        <v>7032</v>
      </c>
      <c r="BQ245" s="43">
        <v>0.82</v>
      </c>
      <c r="BR245" s="43" t="s">
        <v>7032</v>
      </c>
      <c r="BS245" s="47">
        <v>0.82</v>
      </c>
      <c r="BT245" s="43" t="s">
        <v>7032</v>
      </c>
      <c r="BU245" s="43" t="s">
        <v>7092</v>
      </c>
      <c r="BV245" s="43" t="str">
        <f>CambioPlan[[#This Row],[TELEFONO]]&amp;"UPSELLSI"</f>
        <v>999784494UPSELLSI</v>
      </c>
      <c r="BW245" s="43">
        <f>DAY(CambioPlan[[#This Row],[FECHA_CAMBIO_PLAN]])</f>
        <v>13</v>
      </c>
      <c r="BX245" s="43" t="str">
        <f>VLOOKUP(CambioPlan[[#This Row],[NOM_PLAZA]],[1]!Locales[#Data],3,0)</f>
        <v>TIENDA RECREO</v>
      </c>
      <c r="BY245" s="43" t="str">
        <f>VLOOKUP(CambioPlan[[#This Row],[DOMAIN_LOGIN_OW]],[1]!Personal[#Data],6,0)</f>
        <v>CORDOVA GAIBOR JONATHAN HERNAN</v>
      </c>
      <c r="BZ245" s="43"/>
      <c r="CA245" s="43" t="str">
        <f>IFERROR(IF(FIND("ADULTO",CambioPlan[[#This Row],[DESCRIPCION_PLAN_ACTUAL]],1),"NO SE PAGA",),"SI SE PAGA")</f>
        <v>SI SE PAGA</v>
      </c>
      <c r="CB245" s="45">
        <f>CambioPlan[[#This Row],[TARIFA_BASICA_ACTUAL]]-CambioPlan[[#This Row],[TARIFA_BASICA_ANTERIOR]]</f>
        <v>0.82000000000000028</v>
      </c>
      <c r="CC245" s="56">
        <f>CambioPlan[[#This Row],[DIF. TARIFAS]]*4</f>
        <v>3.2800000000000011</v>
      </c>
      <c r="CD245" s="53" t="str">
        <f>IF(CambioPlan[[#This Row],[C. COMISIÓN TME]]&lt;0,"DOWNSELL",IF(CambioPlan[[#This Row],[C. COMISIÓN TME]]=0,"MISMA TARIFA",IF(CambioPlan[[#This Row],[C. COMISIÓN TME]]&gt;0,"UPSELL")))</f>
        <v>UPSELL</v>
      </c>
      <c r="CE245">
        <f>VLOOKUP(CambioPlan[[#This Row],[TARIFA_BASICA_ANTERIOR]],[3]Hoja1!$F:$G,2,0)</f>
        <v>2</v>
      </c>
      <c r="CF245">
        <f>VLOOKUP(CambioPlan[[#This Row],[TARIFA_BASICA_ACTUAL]],[3]Hoja1!$B:$C,2,0)</f>
        <v>2</v>
      </c>
    </row>
    <row r="246" spans="1:84" x14ac:dyDescent="0.25">
      <c r="A246" s="43">
        <v>202212</v>
      </c>
      <c r="B246" s="44">
        <v>44914</v>
      </c>
      <c r="C246" s="43" t="s">
        <v>7873</v>
      </c>
      <c r="D246" s="43" t="s">
        <v>7874</v>
      </c>
      <c r="E246" s="43" t="s">
        <v>95</v>
      </c>
      <c r="F246" s="43" t="s">
        <v>231</v>
      </c>
      <c r="G246" s="43" t="s">
        <v>231</v>
      </c>
      <c r="H246" s="43" t="s">
        <v>67</v>
      </c>
      <c r="I246" s="43" t="s">
        <v>7875</v>
      </c>
      <c r="J246" s="43" t="s">
        <v>7037</v>
      </c>
      <c r="K246" s="43" t="s">
        <v>84</v>
      </c>
      <c r="L246" s="43" t="s">
        <v>7069</v>
      </c>
      <c r="M246" s="43" t="s">
        <v>7070</v>
      </c>
      <c r="N246" s="43" t="s">
        <v>79</v>
      </c>
      <c r="O246" s="45">
        <v>21.42</v>
      </c>
      <c r="P246" s="43" t="s">
        <v>95</v>
      </c>
      <c r="Q246" s="43" t="s">
        <v>95</v>
      </c>
      <c r="R246" s="43" t="s">
        <v>95</v>
      </c>
      <c r="S246" s="45">
        <v>0</v>
      </c>
      <c r="T246" s="43" t="s">
        <v>95</v>
      </c>
      <c r="U246" s="44" t="s">
        <v>95</v>
      </c>
      <c r="V246" s="44" t="s">
        <v>95</v>
      </c>
      <c r="W246" s="43" t="s">
        <v>95</v>
      </c>
      <c r="X246" s="45">
        <v>21.42</v>
      </c>
      <c r="Y246" s="43" t="s">
        <v>81</v>
      </c>
      <c r="Z246" s="43" t="s">
        <v>7247</v>
      </c>
      <c r="AA246" s="43" t="s">
        <v>7738</v>
      </c>
      <c r="AB246" s="43" t="s">
        <v>79</v>
      </c>
      <c r="AC246" s="45">
        <v>19.989999999999998</v>
      </c>
      <c r="AD246" s="43" t="s">
        <v>95</v>
      </c>
      <c r="AE246" s="43" t="s">
        <v>95</v>
      </c>
      <c r="AF246" s="43" t="s">
        <v>95</v>
      </c>
      <c r="AG246" s="43" t="s">
        <v>95</v>
      </c>
      <c r="AH246" s="45">
        <v>0</v>
      </c>
      <c r="AI246" s="43" t="s">
        <v>95</v>
      </c>
      <c r="AJ246" s="43" t="s">
        <v>95</v>
      </c>
      <c r="AK246" s="43" t="s">
        <v>95</v>
      </c>
      <c r="AL246" s="43" t="s">
        <v>95</v>
      </c>
      <c r="AM246" s="45">
        <v>19.989999999999998</v>
      </c>
      <c r="AN246" s="43" t="s">
        <v>81</v>
      </c>
      <c r="AO246" s="44">
        <v>44898</v>
      </c>
      <c r="AP246" s="43" t="s">
        <v>1545</v>
      </c>
      <c r="AQ246" s="43" t="s">
        <v>1546</v>
      </c>
      <c r="AR246" s="43" t="s">
        <v>1545</v>
      </c>
      <c r="AS246" s="43" t="s">
        <v>1546</v>
      </c>
      <c r="AT246" s="43" t="s">
        <v>85</v>
      </c>
      <c r="AU246" s="43" t="s">
        <v>7030</v>
      </c>
      <c r="AV246" s="43" t="s">
        <v>7031</v>
      </c>
      <c r="AW246" s="43" t="s">
        <v>7031</v>
      </c>
      <c r="AX246" s="43" t="s">
        <v>90</v>
      </c>
      <c r="AY246" s="43" t="s">
        <v>132</v>
      </c>
      <c r="AZ246" s="43" t="s">
        <v>7037</v>
      </c>
      <c r="BA246" s="43" t="s">
        <v>139</v>
      </c>
      <c r="BB246" s="45">
        <v>1.43</v>
      </c>
      <c r="BC246" s="45">
        <v>1.43</v>
      </c>
      <c r="BD246" s="43" t="s">
        <v>7032</v>
      </c>
      <c r="BE246" s="43" t="s">
        <v>81</v>
      </c>
      <c r="BF246" s="43" t="s">
        <v>81</v>
      </c>
      <c r="BG246" s="43" t="s">
        <v>86</v>
      </c>
      <c r="BH246" s="43" t="s">
        <v>138</v>
      </c>
      <c r="BI246" s="43" t="s">
        <v>7076</v>
      </c>
      <c r="BJ246" s="43" t="s">
        <v>7030</v>
      </c>
      <c r="BK246" s="43" t="s">
        <v>139</v>
      </c>
      <c r="BL246" s="43" t="s">
        <v>85</v>
      </c>
      <c r="BM246" s="43" t="s">
        <v>85</v>
      </c>
      <c r="BN246" s="43" t="s">
        <v>139</v>
      </c>
      <c r="BO246" s="46">
        <v>1.43</v>
      </c>
      <c r="BP246" s="43" t="s">
        <v>7032</v>
      </c>
      <c r="BQ246" s="43">
        <v>1.43</v>
      </c>
      <c r="BR246" s="43" t="s">
        <v>7032</v>
      </c>
      <c r="BS246" s="47">
        <v>1.43</v>
      </c>
      <c r="BT246" s="43" t="s">
        <v>7032</v>
      </c>
      <c r="BU246" s="43" t="s">
        <v>7032</v>
      </c>
      <c r="BV246" s="43" t="str">
        <f>CambioPlan[[#This Row],[TELEFONO]]&amp;"UPSELLSI"</f>
        <v>999816033UPSELLSI</v>
      </c>
      <c r="BW246" s="43">
        <f>DAY(CambioPlan[[#This Row],[FECHA_CAMBIO_PLAN]])</f>
        <v>3</v>
      </c>
      <c r="BX246" s="43" t="str">
        <f>VLOOKUP(CambioPlan[[#This Row],[NOM_PLAZA]],[1]!Locales[#Data],3,0)</f>
        <v>TIENDA AMERICA</v>
      </c>
      <c r="BY246" s="43" t="str">
        <f>VLOOKUP(CambioPlan[[#This Row],[DOMAIN_LOGIN_OW]],[1]!Personal[#Data],6,0)</f>
        <v>GRANDA ESPINOZA ANDRES SEBASTIAN</v>
      </c>
      <c r="BZ246" s="43"/>
      <c r="CA246" s="43" t="str">
        <f>IFERROR(IF(FIND("ADULTO",CambioPlan[[#This Row],[DESCRIPCION_PLAN_ACTUAL]],1),"NO SE PAGA",),"SI SE PAGA")</f>
        <v>SI SE PAGA</v>
      </c>
      <c r="CB246" s="45">
        <f>CambioPlan[[#This Row],[TARIFA_BASICA_ACTUAL]]-CambioPlan[[#This Row],[TARIFA_BASICA_ANTERIOR]]</f>
        <v>1.4300000000000033</v>
      </c>
      <c r="CC246" s="56">
        <f>CambioPlan[[#This Row],[DIF. TARIFAS]]*4</f>
        <v>5.7200000000000131</v>
      </c>
      <c r="CD246" s="53" t="str">
        <f>IF(CambioPlan[[#This Row],[C. COMISIÓN TME]]&lt;0,"DOWNSELL",IF(CambioPlan[[#This Row],[C. COMISIÓN TME]]=0,"MISMA TARIFA",IF(CambioPlan[[#This Row],[C. COMISIÓN TME]]&gt;0,"UPSELL")))</f>
        <v>UPSELL</v>
      </c>
      <c r="CE246">
        <f>VLOOKUP(CambioPlan[[#This Row],[TARIFA_BASICA_ANTERIOR]],[3]Hoja1!$F:$G,2,0)</f>
        <v>3</v>
      </c>
      <c r="CF246">
        <f>VLOOKUP(CambioPlan[[#This Row],[TARIFA_BASICA_ACTUAL]],[3]Hoja1!$B:$C,2,0)</f>
        <v>3</v>
      </c>
    </row>
    <row r="247" spans="1:84" x14ac:dyDescent="0.25">
      <c r="A247" s="43">
        <v>202212</v>
      </c>
      <c r="B247" s="44">
        <v>44914</v>
      </c>
      <c r="C247" s="43" t="s">
        <v>7876</v>
      </c>
      <c r="D247" s="43" t="s">
        <v>7877</v>
      </c>
      <c r="E247" s="43" t="s">
        <v>95</v>
      </c>
      <c r="F247" s="43" t="s">
        <v>77</v>
      </c>
      <c r="G247" s="43" t="s">
        <v>164</v>
      </c>
      <c r="H247" s="43" t="s">
        <v>67</v>
      </c>
      <c r="I247" s="43" t="s">
        <v>7878</v>
      </c>
      <c r="J247" s="43" t="s">
        <v>7037</v>
      </c>
      <c r="K247" s="43" t="s">
        <v>84</v>
      </c>
      <c r="L247" s="43" t="s">
        <v>227</v>
      </c>
      <c r="M247" s="43" t="s">
        <v>426</v>
      </c>
      <c r="N247" s="43" t="s">
        <v>79</v>
      </c>
      <c r="O247" s="45">
        <v>21.42</v>
      </c>
      <c r="P247" s="43" t="s">
        <v>95</v>
      </c>
      <c r="Q247" s="43" t="s">
        <v>95</v>
      </c>
      <c r="R247" s="43" t="s">
        <v>95</v>
      </c>
      <c r="S247" s="45">
        <v>0</v>
      </c>
      <c r="T247" s="43" t="s">
        <v>95</v>
      </c>
      <c r="U247" s="44" t="s">
        <v>95</v>
      </c>
      <c r="V247" s="44" t="s">
        <v>95</v>
      </c>
      <c r="W247" s="43" t="s">
        <v>95</v>
      </c>
      <c r="X247" s="45">
        <v>21.42</v>
      </c>
      <c r="Y247" s="43" t="s">
        <v>81</v>
      </c>
      <c r="Z247" s="43" t="s">
        <v>160</v>
      </c>
      <c r="AA247" s="43" t="s">
        <v>161</v>
      </c>
      <c r="AB247" s="43" t="s">
        <v>79</v>
      </c>
      <c r="AC247" s="45">
        <v>14.28</v>
      </c>
      <c r="AD247" s="43" t="s">
        <v>95</v>
      </c>
      <c r="AE247" s="43" t="s">
        <v>95</v>
      </c>
      <c r="AF247" s="43" t="s">
        <v>95</v>
      </c>
      <c r="AG247" s="43" t="s">
        <v>95</v>
      </c>
      <c r="AH247" s="45">
        <v>0</v>
      </c>
      <c r="AI247" s="43" t="s">
        <v>95</v>
      </c>
      <c r="AJ247" s="43" t="s">
        <v>95</v>
      </c>
      <c r="AK247" s="43" t="s">
        <v>95</v>
      </c>
      <c r="AL247" s="43" t="s">
        <v>95</v>
      </c>
      <c r="AM247" s="45">
        <v>14.28</v>
      </c>
      <c r="AN247" s="43" t="s">
        <v>81</v>
      </c>
      <c r="AO247" s="44">
        <v>44911</v>
      </c>
      <c r="AP247" s="43" t="s">
        <v>769</v>
      </c>
      <c r="AQ247" s="43" t="s">
        <v>770</v>
      </c>
      <c r="AR247" s="43" t="s">
        <v>769</v>
      </c>
      <c r="AS247" s="43" t="s">
        <v>770</v>
      </c>
      <c r="AT247" s="43" t="s">
        <v>85</v>
      </c>
      <c r="AU247" s="43" t="s">
        <v>7030</v>
      </c>
      <c r="AV247" s="43" t="s">
        <v>7031</v>
      </c>
      <c r="AW247" s="43" t="s">
        <v>7031</v>
      </c>
      <c r="AX247" s="43" t="s">
        <v>90</v>
      </c>
      <c r="AY247" s="43" t="s">
        <v>132</v>
      </c>
      <c r="AZ247" s="43" t="s">
        <v>7037</v>
      </c>
      <c r="BA247" s="43" t="s">
        <v>139</v>
      </c>
      <c r="BB247" s="45">
        <v>7.14</v>
      </c>
      <c r="BC247" s="45">
        <v>7.14</v>
      </c>
      <c r="BD247" s="43" t="s">
        <v>7032</v>
      </c>
      <c r="BE247" s="43" t="s">
        <v>81</v>
      </c>
      <c r="BF247" s="43" t="s">
        <v>81</v>
      </c>
      <c r="BG247" s="43" t="s">
        <v>86</v>
      </c>
      <c r="BH247" s="43" t="s">
        <v>235</v>
      </c>
      <c r="BI247" s="43" t="s">
        <v>7076</v>
      </c>
      <c r="BJ247" s="43" t="s">
        <v>7030</v>
      </c>
      <c r="BK247" s="43" t="s">
        <v>139</v>
      </c>
      <c r="BL247" s="43" t="s">
        <v>85</v>
      </c>
      <c r="BM247" s="43" t="s">
        <v>85</v>
      </c>
      <c r="BN247" s="43" t="s">
        <v>139</v>
      </c>
      <c r="BO247" s="46">
        <v>7.14</v>
      </c>
      <c r="BP247" s="43" t="s">
        <v>7032</v>
      </c>
      <c r="BQ247" s="43">
        <v>7.14</v>
      </c>
      <c r="BR247" s="43" t="s">
        <v>7032</v>
      </c>
      <c r="BS247" s="47">
        <v>7.14</v>
      </c>
      <c r="BT247" s="43" t="s">
        <v>7032</v>
      </c>
      <c r="BU247" s="43" t="s">
        <v>7032</v>
      </c>
      <c r="BV247" s="43" t="str">
        <f>CambioPlan[[#This Row],[TELEFONO]]&amp;"UPSELLSI"</f>
        <v>999869502UPSELLSI</v>
      </c>
      <c r="BW247" s="43">
        <f>DAY(CambioPlan[[#This Row],[FECHA_CAMBIO_PLAN]])</f>
        <v>16</v>
      </c>
      <c r="BX247" s="43" t="str">
        <f>VLOOKUP(CambioPlan[[#This Row],[NOM_PLAZA]],[1]!Locales[#Data],3,0)</f>
        <v>TIENDA CONDADO</v>
      </c>
      <c r="BY247" s="43" t="str">
        <f>VLOOKUP(CambioPlan[[#This Row],[DOMAIN_LOGIN_OW]],[1]!Personal[#Data],6,0)</f>
        <v>ROJAS VEGA JHOSMERY MICHELE</v>
      </c>
      <c r="BZ247" s="43"/>
      <c r="CA247" s="43" t="str">
        <f>IFERROR(IF(FIND("ADULTO",CambioPlan[[#This Row],[DESCRIPCION_PLAN_ACTUAL]],1),"NO SE PAGA",),"SI SE PAGA")</f>
        <v>SI SE PAGA</v>
      </c>
      <c r="CB247" s="45">
        <f>CambioPlan[[#This Row],[TARIFA_BASICA_ACTUAL]]-CambioPlan[[#This Row],[TARIFA_BASICA_ANTERIOR]]</f>
        <v>7.1400000000000023</v>
      </c>
      <c r="CC247" s="56">
        <f>CambioPlan[[#This Row],[DIF. TARIFAS]]*4</f>
        <v>28.560000000000009</v>
      </c>
      <c r="CD247" s="53" t="str">
        <f>IF(CambioPlan[[#This Row],[C. COMISIÓN TME]]&lt;0,"DOWNSELL",IF(CambioPlan[[#This Row],[C. COMISIÓN TME]]=0,"MISMA TARIFA",IF(CambioPlan[[#This Row],[C. COMISIÓN TME]]&gt;0,"UPSELL")))</f>
        <v>UPSELL</v>
      </c>
      <c r="CE247">
        <f>VLOOKUP(CambioPlan[[#This Row],[TARIFA_BASICA_ANTERIOR]],[3]Hoja1!$F:$G,2,0)</f>
        <v>1</v>
      </c>
      <c r="CF247">
        <f>VLOOKUP(CambioPlan[[#This Row],[TARIFA_BASICA_ACTUAL]],[3]Hoja1!$B:$C,2,0)</f>
        <v>3</v>
      </c>
    </row>
    <row r="248" spans="1:84" x14ac:dyDescent="0.25">
      <c r="A248" s="43">
        <v>202212</v>
      </c>
      <c r="B248" s="44">
        <v>44914</v>
      </c>
      <c r="C248" s="43" t="s">
        <v>7879</v>
      </c>
      <c r="D248" s="43" t="s">
        <v>7880</v>
      </c>
      <c r="E248" s="43" t="s">
        <v>95</v>
      </c>
      <c r="F248" s="43" t="s">
        <v>77</v>
      </c>
      <c r="G248" s="43" t="s">
        <v>2241</v>
      </c>
      <c r="H248" s="43" t="s">
        <v>246</v>
      </c>
      <c r="I248" s="43" t="s">
        <v>7881</v>
      </c>
      <c r="J248" s="43" t="s">
        <v>7037</v>
      </c>
      <c r="K248" s="43" t="s">
        <v>118</v>
      </c>
      <c r="L248" s="43" t="s">
        <v>3232</v>
      </c>
      <c r="M248" s="43" t="s">
        <v>7237</v>
      </c>
      <c r="N248" s="43" t="s">
        <v>79</v>
      </c>
      <c r="O248" s="45">
        <v>51.78</v>
      </c>
      <c r="P248" s="43" t="s">
        <v>95</v>
      </c>
      <c r="Q248" s="43" t="s">
        <v>95</v>
      </c>
      <c r="R248" s="43" t="s">
        <v>95</v>
      </c>
      <c r="S248" s="45">
        <v>0</v>
      </c>
      <c r="T248" s="43" t="s">
        <v>95</v>
      </c>
      <c r="U248" s="44" t="s">
        <v>95</v>
      </c>
      <c r="V248" s="44" t="s">
        <v>95</v>
      </c>
      <c r="W248" s="43" t="s">
        <v>95</v>
      </c>
      <c r="X248" s="45">
        <v>51.78</v>
      </c>
      <c r="Y248" s="43" t="s">
        <v>81</v>
      </c>
      <c r="Z248" s="43" t="s">
        <v>7427</v>
      </c>
      <c r="AA248" s="43" t="s">
        <v>72</v>
      </c>
      <c r="AB248" s="43" t="s">
        <v>79</v>
      </c>
      <c r="AC248" s="45">
        <v>9.99</v>
      </c>
      <c r="AD248" s="43" t="s">
        <v>95</v>
      </c>
      <c r="AE248" s="43" t="s">
        <v>95</v>
      </c>
      <c r="AF248" s="43" t="s">
        <v>95</v>
      </c>
      <c r="AG248" s="43" t="s">
        <v>95</v>
      </c>
      <c r="AH248" s="45">
        <v>0</v>
      </c>
      <c r="AI248" s="43" t="s">
        <v>95</v>
      </c>
      <c r="AJ248" s="43" t="s">
        <v>95</v>
      </c>
      <c r="AK248" s="43" t="s">
        <v>95</v>
      </c>
      <c r="AL248" s="43" t="s">
        <v>95</v>
      </c>
      <c r="AM248" s="45">
        <v>9.99</v>
      </c>
      <c r="AN248" s="43" t="s">
        <v>81</v>
      </c>
      <c r="AO248" s="44">
        <v>44910</v>
      </c>
      <c r="AP248" s="43" t="s">
        <v>303</v>
      </c>
      <c r="AQ248" s="43" t="s">
        <v>304</v>
      </c>
      <c r="AR248" s="43" t="s">
        <v>303</v>
      </c>
      <c r="AS248" s="43" t="s">
        <v>304</v>
      </c>
      <c r="AT248" s="43" t="s">
        <v>85</v>
      </c>
      <c r="AU248" s="43" t="s">
        <v>7030</v>
      </c>
      <c r="AV248" s="43" t="s">
        <v>7031</v>
      </c>
      <c r="AW248" s="43" t="s">
        <v>7031</v>
      </c>
      <c r="AX248" s="43" t="s">
        <v>90</v>
      </c>
      <c r="AY248" s="43" t="s">
        <v>132</v>
      </c>
      <c r="AZ248" s="43" t="s">
        <v>7037</v>
      </c>
      <c r="BA248" s="43" t="s">
        <v>139</v>
      </c>
      <c r="BB248" s="45">
        <v>41.79</v>
      </c>
      <c r="BC248" s="45">
        <v>41.79</v>
      </c>
      <c r="BD248" s="43" t="s">
        <v>7032</v>
      </c>
      <c r="BE248" s="43" t="s">
        <v>81</v>
      </c>
      <c r="BF248" s="43" t="s">
        <v>81</v>
      </c>
      <c r="BG248" s="43" t="s">
        <v>86</v>
      </c>
      <c r="BH248" s="43" t="s">
        <v>177</v>
      </c>
      <c r="BI248" s="43" t="s">
        <v>7038</v>
      </c>
      <c r="BJ248" s="43" t="s">
        <v>7030</v>
      </c>
      <c r="BK248" s="43" t="s">
        <v>139</v>
      </c>
      <c r="BL248" s="43" t="s">
        <v>85</v>
      </c>
      <c r="BM248" s="43" t="s">
        <v>85</v>
      </c>
      <c r="BN248" s="43" t="s">
        <v>139</v>
      </c>
      <c r="BO248" s="46">
        <v>41.79</v>
      </c>
      <c r="BP248" s="43" t="s">
        <v>7032</v>
      </c>
      <c r="BQ248" s="43">
        <v>41.79</v>
      </c>
      <c r="BR248" s="43" t="s">
        <v>7032</v>
      </c>
      <c r="BS248" s="47">
        <v>41.79</v>
      </c>
      <c r="BT248" s="43" t="s">
        <v>7032</v>
      </c>
      <c r="BU248" s="43" t="s">
        <v>7032</v>
      </c>
      <c r="BV248" s="43" t="str">
        <f>CambioPlan[[#This Row],[TELEFONO]]&amp;"UPSELLSI"</f>
        <v>999872913UPSELLSI</v>
      </c>
      <c r="BW248" s="43">
        <f>DAY(CambioPlan[[#This Row],[FECHA_CAMBIO_PLAN]])</f>
        <v>15</v>
      </c>
      <c r="BX248" s="43" t="str">
        <f>VLOOKUP(CambioPlan[[#This Row],[NOM_PLAZA]],[1]!Locales[#Data],3,0)</f>
        <v>TIENDA RECREO</v>
      </c>
      <c r="BY248" s="43" t="str">
        <f>VLOOKUP(CambioPlan[[#This Row],[DOMAIN_LOGIN_OW]],[1]!Personal[#Data],6,0)</f>
        <v>CORDOVA GAIBOR JONATHAN HERNAN</v>
      </c>
      <c r="BZ248" s="43"/>
      <c r="CA248" s="43" t="str">
        <f>IFERROR(IF(FIND("ADULTO",CambioPlan[[#This Row],[DESCRIPCION_PLAN_ACTUAL]],1),"NO SE PAGA",),"SI SE PAGA")</f>
        <v>SI SE PAGA</v>
      </c>
      <c r="CB248" s="45">
        <f>CambioPlan[[#This Row],[TARIFA_BASICA_ACTUAL]]-CambioPlan[[#This Row],[TARIFA_BASICA_ANTERIOR]]</f>
        <v>41.79</v>
      </c>
      <c r="CC248" s="56">
        <f>CambioPlan[[#This Row],[DIF. TARIFAS]]*4</f>
        <v>167.16</v>
      </c>
      <c r="CD248" s="53" t="str">
        <f>IF(CambioPlan[[#This Row],[C. COMISIÓN TME]]&lt;0,"DOWNSELL",IF(CambioPlan[[#This Row],[C. COMISIÓN TME]]=0,"MISMA TARIFA",IF(CambioPlan[[#This Row],[C. COMISIÓN TME]]&gt;0,"UPSELL")))</f>
        <v>UPSELL</v>
      </c>
      <c r="CE248">
        <f>VLOOKUP(CambioPlan[[#This Row],[TARIFA_BASICA_ANTERIOR]],[3]Hoja1!$F:$G,2,0)</f>
        <v>0</v>
      </c>
      <c r="CF248">
        <f>VLOOKUP(CambioPlan[[#This Row],[TARIFA_BASICA_ACTUAL]],[3]Hoja1!$B:$C,2,0)</f>
        <v>6</v>
      </c>
    </row>
    <row r="249" spans="1:84" x14ac:dyDescent="0.25">
      <c r="A249" s="43">
        <v>202212</v>
      </c>
      <c r="B249" s="44">
        <v>44914</v>
      </c>
      <c r="C249" s="43" t="s">
        <v>7882</v>
      </c>
      <c r="D249" s="43" t="s">
        <v>7883</v>
      </c>
      <c r="E249" s="43" t="s">
        <v>95</v>
      </c>
      <c r="F249" s="43" t="s">
        <v>231</v>
      </c>
      <c r="G249" s="43" t="s">
        <v>1378</v>
      </c>
      <c r="H249" s="43" t="s">
        <v>67</v>
      </c>
      <c r="I249" s="43" t="s">
        <v>7884</v>
      </c>
      <c r="J249" s="43" t="s">
        <v>7029</v>
      </c>
      <c r="K249" s="43" t="s">
        <v>84</v>
      </c>
      <c r="L249" s="43" t="s">
        <v>4157</v>
      </c>
      <c r="M249" s="43" t="s">
        <v>7138</v>
      </c>
      <c r="N249" s="43" t="s">
        <v>79</v>
      </c>
      <c r="O249" s="45">
        <v>32.130000000000003</v>
      </c>
      <c r="P249" s="43" t="s">
        <v>95</v>
      </c>
      <c r="Q249" s="43" t="s">
        <v>95</v>
      </c>
      <c r="R249" s="43" t="s">
        <v>95</v>
      </c>
      <c r="S249" s="45">
        <v>0</v>
      </c>
      <c r="T249" s="43" t="s">
        <v>95</v>
      </c>
      <c r="U249" s="44" t="s">
        <v>95</v>
      </c>
      <c r="V249" s="44" t="s">
        <v>95</v>
      </c>
      <c r="W249" s="43" t="s">
        <v>95</v>
      </c>
      <c r="X249" s="45">
        <v>32.130000000000003</v>
      </c>
      <c r="Y249" s="43" t="s">
        <v>81</v>
      </c>
      <c r="Z249" s="43" t="s">
        <v>7595</v>
      </c>
      <c r="AA249" s="43" t="s">
        <v>7630</v>
      </c>
      <c r="AB249" s="43" t="s">
        <v>79</v>
      </c>
      <c r="AC249" s="45">
        <v>24.99</v>
      </c>
      <c r="AD249" s="43" t="s">
        <v>95</v>
      </c>
      <c r="AE249" s="43" t="s">
        <v>95</v>
      </c>
      <c r="AF249" s="43" t="s">
        <v>95</v>
      </c>
      <c r="AG249" s="43" t="s">
        <v>95</v>
      </c>
      <c r="AH249" s="45">
        <v>0</v>
      </c>
      <c r="AI249" s="43" t="s">
        <v>95</v>
      </c>
      <c r="AJ249" s="43" t="s">
        <v>95</v>
      </c>
      <c r="AK249" s="43" t="s">
        <v>95</v>
      </c>
      <c r="AL249" s="43" t="s">
        <v>95</v>
      </c>
      <c r="AM249" s="45">
        <v>24.99</v>
      </c>
      <c r="AN249" s="43" t="s">
        <v>81</v>
      </c>
      <c r="AO249" s="44">
        <v>44901</v>
      </c>
      <c r="AP249" s="43" t="s">
        <v>149</v>
      </c>
      <c r="AQ249" s="43" t="s">
        <v>150</v>
      </c>
      <c r="AR249" s="43" t="s">
        <v>149</v>
      </c>
      <c r="AS249" s="43" t="s">
        <v>150</v>
      </c>
      <c r="AT249" s="43" t="s">
        <v>85</v>
      </c>
      <c r="AU249" s="43" t="s">
        <v>7030</v>
      </c>
      <c r="AV249" s="43" t="s">
        <v>7031</v>
      </c>
      <c r="AW249" s="43" t="s">
        <v>7031</v>
      </c>
      <c r="AX249" s="43" t="s">
        <v>90</v>
      </c>
      <c r="AY249" s="43" t="s">
        <v>73</v>
      </c>
      <c r="AZ249" s="43" t="s">
        <v>7029</v>
      </c>
      <c r="BA249" s="43" t="s">
        <v>92</v>
      </c>
      <c r="BB249" s="45">
        <v>7.14</v>
      </c>
      <c r="BC249" s="45">
        <v>7.14</v>
      </c>
      <c r="BD249" s="43" t="s">
        <v>7032</v>
      </c>
      <c r="BE249" s="43" t="s">
        <v>81</v>
      </c>
      <c r="BF249" s="43" t="s">
        <v>81</v>
      </c>
      <c r="BG249" s="43" t="s">
        <v>86</v>
      </c>
      <c r="BH249" s="43" t="s">
        <v>151</v>
      </c>
      <c r="BI249" s="43" t="s">
        <v>7033</v>
      </c>
      <c r="BJ249" s="43" t="s">
        <v>7030</v>
      </c>
      <c r="BK249" s="43" t="s">
        <v>92</v>
      </c>
      <c r="BL249" s="43" t="s">
        <v>85</v>
      </c>
      <c r="BM249" s="43" t="s">
        <v>85</v>
      </c>
      <c r="BN249" s="43" t="s">
        <v>92</v>
      </c>
      <c r="BO249" s="46">
        <v>7.14</v>
      </c>
      <c r="BP249" s="43" t="s">
        <v>7032</v>
      </c>
      <c r="BQ249" s="43">
        <v>7.14</v>
      </c>
      <c r="BR249" s="43" t="s">
        <v>7032</v>
      </c>
      <c r="BS249" s="47">
        <v>7.14</v>
      </c>
      <c r="BT249" s="43" t="s">
        <v>7032</v>
      </c>
      <c r="BU249" s="43" t="s">
        <v>7032</v>
      </c>
      <c r="BV249" s="43" t="str">
        <f>CambioPlan[[#This Row],[TELEFONO]]&amp;"UPSELLSI"</f>
        <v>999907227UPSELLSI</v>
      </c>
      <c r="BW249" s="43">
        <f>DAY(CambioPlan[[#This Row],[FECHA_CAMBIO_PLAN]])</f>
        <v>6</v>
      </c>
      <c r="BX249" s="43" t="str">
        <f>VLOOKUP(CambioPlan[[#This Row],[NOM_PLAZA]],[1]!Locales[#Data],3,0)</f>
        <v>TIENDA CUENCA REMIGIO</v>
      </c>
      <c r="BY249" s="43" t="str">
        <f>VLOOKUP(CambioPlan[[#This Row],[DOMAIN_LOGIN_OW]],[1]!Personal[#Data],6,0)</f>
        <v>OSORIO TEJADA ANA ESTEFANIA</v>
      </c>
      <c r="BZ249" s="43"/>
      <c r="CA249" s="43" t="str">
        <f>IFERROR(IF(FIND("ADULTO",CambioPlan[[#This Row],[DESCRIPCION_PLAN_ACTUAL]],1),"NO SE PAGA",),"SI SE PAGA")</f>
        <v>SI SE PAGA</v>
      </c>
      <c r="CB249" s="45">
        <f>CambioPlan[[#This Row],[TARIFA_BASICA_ACTUAL]]-CambioPlan[[#This Row],[TARIFA_BASICA_ANTERIOR]]</f>
        <v>7.1400000000000041</v>
      </c>
      <c r="CC249" s="56">
        <f>CambioPlan[[#This Row],[DIF. TARIFAS]]*4</f>
        <v>28.560000000000016</v>
      </c>
      <c r="CD249" s="53" t="str">
        <f>IF(CambioPlan[[#This Row],[C. COMISIÓN TME]]&lt;0,"DOWNSELL",IF(CambioPlan[[#This Row],[C. COMISIÓN TME]]=0,"MISMA TARIFA",IF(CambioPlan[[#This Row],[C. COMISIÓN TME]]&gt;0,"UPSELL")))</f>
        <v>UPSELL</v>
      </c>
      <c r="CE249">
        <f>VLOOKUP(CambioPlan[[#This Row],[TARIFA_BASICA_ANTERIOR]],[3]Hoja1!$F:$G,2,0)</f>
        <v>4</v>
      </c>
      <c r="CF249">
        <f>VLOOKUP(CambioPlan[[#This Row],[TARIFA_BASICA_ACTUAL]],[3]Hoja1!$B:$C,2,0)</f>
        <v>5</v>
      </c>
    </row>
    <row r="250" spans="1:84" x14ac:dyDescent="0.25">
      <c r="A250" s="43">
        <v>202212</v>
      </c>
      <c r="B250" s="44">
        <v>44914</v>
      </c>
      <c r="C250" s="43" t="s">
        <v>7885</v>
      </c>
      <c r="D250" s="43" t="s">
        <v>7886</v>
      </c>
      <c r="E250" s="43" t="s">
        <v>95</v>
      </c>
      <c r="F250" s="43" t="s">
        <v>77</v>
      </c>
      <c r="G250" s="43" t="s">
        <v>2241</v>
      </c>
      <c r="H250" s="43" t="s">
        <v>246</v>
      </c>
      <c r="I250" s="43" t="s">
        <v>7659</v>
      </c>
      <c r="J250" s="43" t="s">
        <v>7029</v>
      </c>
      <c r="K250" s="43" t="s">
        <v>118</v>
      </c>
      <c r="L250" s="43" t="s">
        <v>698</v>
      </c>
      <c r="M250" s="43" t="s">
        <v>699</v>
      </c>
      <c r="N250" s="43" t="s">
        <v>79</v>
      </c>
      <c r="O250" s="45">
        <v>26.78</v>
      </c>
      <c r="P250" s="43" t="s">
        <v>95</v>
      </c>
      <c r="Q250" s="43" t="s">
        <v>95</v>
      </c>
      <c r="R250" s="43" t="s">
        <v>95</v>
      </c>
      <c r="S250" s="45">
        <v>0</v>
      </c>
      <c r="T250" s="43" t="s">
        <v>95</v>
      </c>
      <c r="U250" s="44" t="s">
        <v>95</v>
      </c>
      <c r="V250" s="44" t="s">
        <v>95</v>
      </c>
      <c r="W250" s="43" t="s">
        <v>95</v>
      </c>
      <c r="X250" s="45">
        <v>26.78</v>
      </c>
      <c r="Y250" s="43" t="s">
        <v>81</v>
      </c>
      <c r="Z250" s="43" t="s">
        <v>130</v>
      </c>
      <c r="AA250" s="43" t="s">
        <v>433</v>
      </c>
      <c r="AB250" s="43" t="s">
        <v>79</v>
      </c>
      <c r="AC250" s="45">
        <v>15</v>
      </c>
      <c r="AD250" s="43" t="s">
        <v>95</v>
      </c>
      <c r="AE250" s="43" t="s">
        <v>95</v>
      </c>
      <c r="AF250" s="43" t="s">
        <v>95</v>
      </c>
      <c r="AG250" s="43" t="s">
        <v>95</v>
      </c>
      <c r="AH250" s="45">
        <v>0</v>
      </c>
      <c r="AI250" s="43" t="s">
        <v>95</v>
      </c>
      <c r="AJ250" s="43" t="s">
        <v>95</v>
      </c>
      <c r="AK250" s="43" t="s">
        <v>95</v>
      </c>
      <c r="AL250" s="43" t="s">
        <v>95</v>
      </c>
      <c r="AM250" s="45">
        <v>15</v>
      </c>
      <c r="AN250" s="43" t="s">
        <v>81</v>
      </c>
      <c r="AO250" s="44">
        <v>44909</v>
      </c>
      <c r="AP250" s="43" t="s">
        <v>262</v>
      </c>
      <c r="AQ250" s="43" t="s">
        <v>263</v>
      </c>
      <c r="AR250" s="43" t="s">
        <v>262</v>
      </c>
      <c r="AS250" s="43" t="s">
        <v>263</v>
      </c>
      <c r="AT250" s="43" t="s">
        <v>85</v>
      </c>
      <c r="AU250" s="43" t="s">
        <v>7030</v>
      </c>
      <c r="AV250" s="43" t="s">
        <v>7031</v>
      </c>
      <c r="AW250" s="43" t="s">
        <v>7031</v>
      </c>
      <c r="AX250" s="43" t="s">
        <v>90</v>
      </c>
      <c r="AY250" s="43" t="s">
        <v>132</v>
      </c>
      <c r="AZ250" s="43" t="s">
        <v>7037</v>
      </c>
      <c r="BA250" s="43" t="s">
        <v>139</v>
      </c>
      <c r="BB250" s="45">
        <v>11.78</v>
      </c>
      <c r="BC250" s="45">
        <v>11.78</v>
      </c>
      <c r="BD250" s="43" t="s">
        <v>7032</v>
      </c>
      <c r="BE250" s="43" t="s">
        <v>81</v>
      </c>
      <c r="BF250" s="43" t="s">
        <v>81</v>
      </c>
      <c r="BG250" s="43" t="s">
        <v>86</v>
      </c>
      <c r="BH250" s="43" t="s">
        <v>177</v>
      </c>
      <c r="BI250" s="43" t="s">
        <v>7038</v>
      </c>
      <c r="BJ250" s="43" t="s">
        <v>7030</v>
      </c>
      <c r="BK250" s="43" t="s">
        <v>139</v>
      </c>
      <c r="BL250" s="43" t="s">
        <v>85</v>
      </c>
      <c r="BM250" s="43" t="s">
        <v>85</v>
      </c>
      <c r="BN250" s="43" t="s">
        <v>139</v>
      </c>
      <c r="BO250" s="46">
        <v>11.78</v>
      </c>
      <c r="BP250" s="43" t="s">
        <v>7032</v>
      </c>
      <c r="BQ250" s="43">
        <v>11.78</v>
      </c>
      <c r="BR250" s="43" t="s">
        <v>7032</v>
      </c>
      <c r="BS250" s="47">
        <v>11.78</v>
      </c>
      <c r="BT250" s="43" t="s">
        <v>7032</v>
      </c>
      <c r="BU250" s="43" t="s">
        <v>7032</v>
      </c>
      <c r="BV250" s="43" t="str">
        <f>CambioPlan[[#This Row],[TELEFONO]]&amp;"UPSELLSI"</f>
        <v>999918667UPSELLSI</v>
      </c>
      <c r="BW250" s="43">
        <f>DAY(CambioPlan[[#This Row],[FECHA_CAMBIO_PLAN]])</f>
        <v>14</v>
      </c>
      <c r="BX250" s="43" t="str">
        <f>VLOOKUP(CambioPlan[[#This Row],[NOM_PLAZA]],[1]!Locales[#Data],3,0)</f>
        <v>TIENDA RECREO</v>
      </c>
      <c r="BY250" s="43" t="str">
        <f>VLOOKUP(CambioPlan[[#This Row],[DOMAIN_LOGIN_OW]],[1]!Personal[#Data],6,0)</f>
        <v>CHICAIZA TOAPANTA ALEX DANILO</v>
      </c>
      <c r="BZ250" s="43"/>
      <c r="CA250" s="43" t="str">
        <f>IFERROR(IF(FIND("ADULTO",CambioPlan[[#This Row],[DESCRIPCION_PLAN_ACTUAL]],1),"NO SE PAGA",),"SI SE PAGA")</f>
        <v>SI SE PAGA</v>
      </c>
      <c r="CB250" s="45">
        <f>CambioPlan[[#This Row],[TARIFA_BASICA_ACTUAL]]-CambioPlan[[#This Row],[TARIFA_BASICA_ANTERIOR]]</f>
        <v>11.780000000000001</v>
      </c>
      <c r="CC250" s="56">
        <f>CambioPlan[[#This Row],[DIF. TARIFAS]]*4</f>
        <v>47.120000000000005</v>
      </c>
      <c r="CD250" s="53" t="str">
        <f>IF(CambioPlan[[#This Row],[C. COMISIÓN TME]]&lt;0,"DOWNSELL",IF(CambioPlan[[#This Row],[C. COMISIÓN TME]]=0,"MISMA TARIFA",IF(CambioPlan[[#This Row],[C. COMISIÓN TME]]&gt;0,"UPSELL")))</f>
        <v>UPSELL</v>
      </c>
      <c r="CE250">
        <f>VLOOKUP(CambioPlan[[#This Row],[TARIFA_BASICA_ANTERIOR]],[3]Hoja1!$F:$G,2,0)</f>
        <v>2</v>
      </c>
      <c r="CF250">
        <f>VLOOKUP(CambioPlan[[#This Row],[TARIFA_BASICA_ACTUAL]],[3]Hoja1!$B:$C,2,0)</f>
        <v>4</v>
      </c>
    </row>
    <row r="251" spans="1:84" x14ac:dyDescent="0.25">
      <c r="A251" s="43">
        <v>202212</v>
      </c>
      <c r="B251" s="44">
        <v>44914</v>
      </c>
      <c r="C251" s="43" t="s">
        <v>7887</v>
      </c>
      <c r="D251" s="43" t="s">
        <v>7888</v>
      </c>
      <c r="E251" s="43" t="s">
        <v>95</v>
      </c>
      <c r="F251" s="43" t="s">
        <v>231</v>
      </c>
      <c r="G251" s="43" t="s">
        <v>231</v>
      </c>
      <c r="H251" s="43" t="s">
        <v>67</v>
      </c>
      <c r="I251" s="43" t="s">
        <v>7202</v>
      </c>
      <c r="J251" s="43" t="s">
        <v>7066</v>
      </c>
      <c r="K251" s="43" t="s">
        <v>215</v>
      </c>
      <c r="L251" s="43" t="s">
        <v>574</v>
      </c>
      <c r="M251" s="43" t="s">
        <v>575</v>
      </c>
      <c r="N251" s="43" t="s">
        <v>79</v>
      </c>
      <c r="O251" s="45">
        <v>17.850000000000001</v>
      </c>
      <c r="P251" s="43" t="s">
        <v>95</v>
      </c>
      <c r="Q251" s="43" t="s">
        <v>95</v>
      </c>
      <c r="R251" s="43" t="s">
        <v>95</v>
      </c>
      <c r="S251" s="45">
        <v>0</v>
      </c>
      <c r="T251" s="43" t="s">
        <v>95</v>
      </c>
      <c r="U251" s="44" t="s">
        <v>95</v>
      </c>
      <c r="V251" s="44" t="s">
        <v>95</v>
      </c>
      <c r="W251" s="43" t="s">
        <v>95</v>
      </c>
      <c r="X251" s="45">
        <v>17.850000000000001</v>
      </c>
      <c r="Y251" s="43" t="s">
        <v>81</v>
      </c>
      <c r="Z251" s="43" t="s">
        <v>7055</v>
      </c>
      <c r="AA251" s="43" t="s">
        <v>7056</v>
      </c>
      <c r="AB251" s="43" t="s">
        <v>79</v>
      </c>
      <c r="AC251" s="45">
        <v>15</v>
      </c>
      <c r="AD251" s="43" t="s">
        <v>95</v>
      </c>
      <c r="AE251" s="43" t="s">
        <v>95</v>
      </c>
      <c r="AF251" s="43" t="s">
        <v>95</v>
      </c>
      <c r="AG251" s="43" t="s">
        <v>95</v>
      </c>
      <c r="AH251" s="45">
        <v>0</v>
      </c>
      <c r="AI251" s="43" t="s">
        <v>95</v>
      </c>
      <c r="AJ251" s="43" t="s">
        <v>95</v>
      </c>
      <c r="AK251" s="43" t="s">
        <v>95</v>
      </c>
      <c r="AL251" s="43" t="s">
        <v>95</v>
      </c>
      <c r="AM251" s="45">
        <v>15</v>
      </c>
      <c r="AN251" s="43" t="s">
        <v>81</v>
      </c>
      <c r="AO251" s="44">
        <v>44905</v>
      </c>
      <c r="AP251" s="43" t="s">
        <v>233</v>
      </c>
      <c r="AQ251" s="43" t="s">
        <v>234</v>
      </c>
      <c r="AR251" s="43" t="s">
        <v>233</v>
      </c>
      <c r="AS251" s="43" t="s">
        <v>234</v>
      </c>
      <c r="AT251" s="43" t="s">
        <v>85</v>
      </c>
      <c r="AU251" s="43" t="s">
        <v>7030</v>
      </c>
      <c r="AV251" s="43" t="s">
        <v>7031</v>
      </c>
      <c r="AW251" s="43" t="s">
        <v>7031</v>
      </c>
      <c r="AX251" s="43" t="s">
        <v>90</v>
      </c>
      <c r="AY251" s="43" t="s">
        <v>132</v>
      </c>
      <c r="AZ251" s="43" t="s">
        <v>7037</v>
      </c>
      <c r="BA251" s="43" t="s">
        <v>139</v>
      </c>
      <c r="BB251" s="45">
        <v>2.85</v>
      </c>
      <c r="BC251" s="45">
        <v>2.85</v>
      </c>
      <c r="BD251" s="43" t="s">
        <v>7032</v>
      </c>
      <c r="BE251" s="43" t="s">
        <v>81</v>
      </c>
      <c r="BF251" s="43" t="s">
        <v>81</v>
      </c>
      <c r="BG251" s="43" t="s">
        <v>86</v>
      </c>
      <c r="BH251" s="43" t="s">
        <v>235</v>
      </c>
      <c r="BI251" s="43" t="s">
        <v>7076</v>
      </c>
      <c r="BJ251" s="43" t="s">
        <v>7030</v>
      </c>
      <c r="BK251" s="43" t="s">
        <v>139</v>
      </c>
      <c r="BL251" s="43" t="s">
        <v>85</v>
      </c>
      <c r="BM251" s="43" t="s">
        <v>85</v>
      </c>
      <c r="BN251" s="43" t="s">
        <v>139</v>
      </c>
      <c r="BO251" s="46">
        <v>2.85</v>
      </c>
      <c r="BP251" s="43" t="s">
        <v>7032</v>
      </c>
      <c r="BQ251" s="43">
        <v>2.85</v>
      </c>
      <c r="BR251" s="43" t="s">
        <v>7032</v>
      </c>
      <c r="BS251" s="47">
        <v>2.85</v>
      </c>
      <c r="BT251" s="43" t="s">
        <v>7032</v>
      </c>
      <c r="BU251" s="43" t="s">
        <v>7032</v>
      </c>
      <c r="BV251" s="43" t="str">
        <f>CambioPlan[[#This Row],[TELEFONO]]&amp;"UPSELLSI"</f>
        <v>999929515UPSELLSI</v>
      </c>
      <c r="BW251" s="43">
        <f>DAY(CambioPlan[[#This Row],[FECHA_CAMBIO_PLAN]])</f>
        <v>10</v>
      </c>
      <c r="BX251" s="43" t="str">
        <f>VLOOKUP(CambioPlan[[#This Row],[NOM_PLAZA]],[1]!Locales[#Data],3,0)</f>
        <v>TIENDA CONDADO</v>
      </c>
      <c r="BY251" s="43" t="str">
        <f>VLOOKUP(CambioPlan[[#This Row],[DOMAIN_LOGIN_OW]],[1]!Personal[#Data],6,0)</f>
        <v>ROSALES MALDONADO JESSICA GABRIELA</v>
      </c>
      <c r="BZ251" s="43"/>
      <c r="CA251" s="43" t="str">
        <f>IFERROR(IF(FIND("ADULTO",CambioPlan[[#This Row],[DESCRIPCION_PLAN_ACTUAL]],1),"NO SE PAGA",),"SI SE PAGA")</f>
        <v>SI SE PAGA</v>
      </c>
      <c r="CB251" s="45">
        <f>CambioPlan[[#This Row],[TARIFA_BASICA_ACTUAL]]-CambioPlan[[#This Row],[TARIFA_BASICA_ANTERIOR]]</f>
        <v>2.8500000000000014</v>
      </c>
      <c r="CC251" s="56">
        <f>CambioPlan[[#This Row],[DIF. TARIFAS]]*4</f>
        <v>11.400000000000006</v>
      </c>
      <c r="CD251" s="53" t="str">
        <f>IF(CambioPlan[[#This Row],[C. COMISIÓN TME]]&lt;0,"DOWNSELL",IF(CambioPlan[[#This Row],[C. COMISIÓN TME]]=0,"MISMA TARIFA",IF(CambioPlan[[#This Row],[C. COMISIÓN TME]]&gt;0,"UPSELL")))</f>
        <v>UPSELL</v>
      </c>
      <c r="CE251">
        <f>VLOOKUP(CambioPlan[[#This Row],[TARIFA_BASICA_ANTERIOR]],[3]Hoja1!$F:$G,2,0)</f>
        <v>2</v>
      </c>
      <c r="CF251">
        <f>VLOOKUP(CambioPlan[[#This Row],[TARIFA_BASICA_ACTUAL]],[3]Hoja1!$B:$C,2,0)</f>
        <v>2</v>
      </c>
    </row>
    <row r="252" spans="1:84" x14ac:dyDescent="0.25">
      <c r="A252" s="43">
        <v>202212</v>
      </c>
      <c r="B252" s="44">
        <v>44914</v>
      </c>
      <c r="C252" s="43" t="s">
        <v>7889</v>
      </c>
      <c r="D252" s="43" t="s">
        <v>7890</v>
      </c>
      <c r="E252" s="43" t="s">
        <v>95</v>
      </c>
      <c r="F252" s="43" t="s">
        <v>231</v>
      </c>
      <c r="G252" s="43" t="s">
        <v>1378</v>
      </c>
      <c r="H252" s="43" t="s">
        <v>67</v>
      </c>
      <c r="I252" s="43" t="s">
        <v>7891</v>
      </c>
      <c r="J252" s="43" t="s">
        <v>7892</v>
      </c>
      <c r="K252" s="43" t="s">
        <v>84</v>
      </c>
      <c r="L252" s="43" t="s">
        <v>606</v>
      </c>
      <c r="M252" s="43" t="s">
        <v>1672</v>
      </c>
      <c r="N252" s="43" t="s">
        <v>79</v>
      </c>
      <c r="O252" s="45">
        <v>26.78</v>
      </c>
      <c r="P252" s="43" t="s">
        <v>95</v>
      </c>
      <c r="Q252" s="43" t="s">
        <v>95</v>
      </c>
      <c r="R252" s="43" t="s">
        <v>95</v>
      </c>
      <c r="S252" s="45">
        <v>0</v>
      </c>
      <c r="T252" s="43" t="s">
        <v>95</v>
      </c>
      <c r="U252" s="44" t="s">
        <v>95</v>
      </c>
      <c r="V252" s="44" t="s">
        <v>95</v>
      </c>
      <c r="W252" s="43" t="s">
        <v>95</v>
      </c>
      <c r="X252" s="45">
        <v>26.78</v>
      </c>
      <c r="Y252" s="43" t="s">
        <v>81</v>
      </c>
      <c r="Z252" s="43" t="s">
        <v>112</v>
      </c>
      <c r="AA252" s="43" t="s">
        <v>781</v>
      </c>
      <c r="AB252" s="43" t="s">
        <v>79</v>
      </c>
      <c r="AC252" s="45">
        <v>17.850000000000001</v>
      </c>
      <c r="AD252" s="43" t="s">
        <v>95</v>
      </c>
      <c r="AE252" s="43" t="s">
        <v>95</v>
      </c>
      <c r="AF252" s="43" t="s">
        <v>95</v>
      </c>
      <c r="AG252" s="43" t="s">
        <v>95</v>
      </c>
      <c r="AH252" s="45">
        <v>0</v>
      </c>
      <c r="AI252" s="43" t="s">
        <v>95</v>
      </c>
      <c r="AJ252" s="43" t="s">
        <v>95</v>
      </c>
      <c r="AK252" s="43" t="s">
        <v>95</v>
      </c>
      <c r="AL252" s="43" t="s">
        <v>95</v>
      </c>
      <c r="AM252" s="45">
        <v>17.850000000000001</v>
      </c>
      <c r="AN252" s="43" t="s">
        <v>81</v>
      </c>
      <c r="AO252" s="44">
        <v>44901</v>
      </c>
      <c r="AP252" s="43" t="s">
        <v>1043</v>
      </c>
      <c r="AQ252" s="43" t="s">
        <v>1044</v>
      </c>
      <c r="AR252" s="43" t="s">
        <v>1043</v>
      </c>
      <c r="AS252" s="43" t="s">
        <v>1044</v>
      </c>
      <c r="AT252" s="43" t="s">
        <v>85</v>
      </c>
      <c r="AU252" s="43" t="s">
        <v>7030</v>
      </c>
      <c r="AV252" s="43" t="s">
        <v>7031</v>
      </c>
      <c r="AW252" s="43" t="s">
        <v>7031</v>
      </c>
      <c r="AX252" s="43" t="s">
        <v>90</v>
      </c>
      <c r="AY252" s="43" t="s">
        <v>114</v>
      </c>
      <c r="AZ252" s="43" t="s">
        <v>7047</v>
      </c>
      <c r="BA252" s="43" t="s">
        <v>92</v>
      </c>
      <c r="BB252" s="45">
        <v>8.93</v>
      </c>
      <c r="BC252" s="45">
        <v>8.93</v>
      </c>
      <c r="BD252" s="43" t="s">
        <v>7032</v>
      </c>
      <c r="BE252" s="43" t="s">
        <v>81</v>
      </c>
      <c r="BF252" s="43" t="s">
        <v>81</v>
      </c>
      <c r="BG252" s="43" t="s">
        <v>86</v>
      </c>
      <c r="BH252" s="43" t="s">
        <v>122</v>
      </c>
      <c r="BI252" s="43" t="s">
        <v>7048</v>
      </c>
      <c r="BJ252" s="43" t="s">
        <v>7030</v>
      </c>
      <c r="BK252" s="43" t="s">
        <v>92</v>
      </c>
      <c r="BL252" s="43" t="s">
        <v>85</v>
      </c>
      <c r="BM252" s="43" t="s">
        <v>85</v>
      </c>
      <c r="BN252" s="43" t="s">
        <v>92</v>
      </c>
      <c r="BO252" s="46">
        <v>8.93</v>
      </c>
      <c r="BP252" s="43" t="s">
        <v>7032</v>
      </c>
      <c r="BQ252" s="43">
        <v>8.93</v>
      </c>
      <c r="BR252" s="43" t="s">
        <v>7032</v>
      </c>
      <c r="BS252" s="47">
        <v>8.93</v>
      </c>
      <c r="BT252" s="43" t="s">
        <v>7032</v>
      </c>
      <c r="BU252" s="43" t="s">
        <v>7032</v>
      </c>
      <c r="BV252" s="43" t="str">
        <f>CambioPlan[[#This Row],[TELEFONO]]&amp;"UPSELLSI"</f>
        <v>999949028UPSELLSI</v>
      </c>
      <c r="BW252" s="43">
        <f>DAY(CambioPlan[[#This Row],[FECHA_CAMBIO_PLAN]])</f>
        <v>6</v>
      </c>
      <c r="BX252" s="43" t="str">
        <f>VLOOKUP(CambioPlan[[#This Row],[NOM_PLAZA]],[1]!Locales[#Data],3,0)</f>
        <v>TIENDA MACHALA</v>
      </c>
      <c r="BY252" s="43" t="str">
        <f>VLOOKUP(CambioPlan[[#This Row],[DOMAIN_LOGIN_OW]],[1]!Personal[#Data],6,0)</f>
        <v>GONZAGA YUPANGUI LIZBETH KATHERINE</v>
      </c>
      <c r="BZ252" s="43"/>
      <c r="CA252" s="43" t="str">
        <f>IFERROR(IF(FIND("ADULTO",CambioPlan[[#This Row],[DESCRIPCION_PLAN_ACTUAL]],1),"NO SE PAGA",),"SI SE PAGA")</f>
        <v>SI SE PAGA</v>
      </c>
      <c r="CB252" s="45">
        <f>CambioPlan[[#This Row],[TARIFA_BASICA_ACTUAL]]-CambioPlan[[#This Row],[TARIFA_BASICA_ANTERIOR]]</f>
        <v>8.93</v>
      </c>
      <c r="CC252" s="56">
        <f>CambioPlan[[#This Row],[DIF. TARIFAS]]*4</f>
        <v>35.72</v>
      </c>
      <c r="CD252" s="53" t="str">
        <f>IF(CambioPlan[[#This Row],[C. COMISIÓN TME]]&lt;0,"DOWNSELL",IF(CambioPlan[[#This Row],[C. COMISIÓN TME]]=0,"MISMA TARIFA",IF(CambioPlan[[#This Row],[C. COMISIÓN TME]]&gt;0,"UPSELL")))</f>
        <v>UPSELL</v>
      </c>
      <c r="CE252">
        <f>VLOOKUP(CambioPlan[[#This Row],[TARIFA_BASICA_ANTERIOR]],[3]Hoja1!$F:$G,2,0)</f>
        <v>2</v>
      </c>
      <c r="CF252">
        <f>VLOOKUP(CambioPlan[[#This Row],[TARIFA_BASICA_ACTUAL]],[3]Hoja1!$B:$C,2,0)</f>
        <v>4</v>
      </c>
    </row>
    <row r="253" spans="1:84" x14ac:dyDescent="0.25">
      <c r="A253" s="43">
        <v>202212</v>
      </c>
      <c r="B253" s="44">
        <v>44914</v>
      </c>
      <c r="C253" s="43" t="s">
        <v>7893</v>
      </c>
      <c r="D253" s="43" t="s">
        <v>7894</v>
      </c>
      <c r="E253" s="43" t="s">
        <v>95</v>
      </c>
      <c r="F253" s="43" t="s">
        <v>311</v>
      </c>
      <c r="G253" s="43" t="s">
        <v>311</v>
      </c>
      <c r="H253" s="43" t="s">
        <v>67</v>
      </c>
      <c r="I253" s="43" t="s">
        <v>308</v>
      </c>
      <c r="J253" s="43" t="s">
        <v>7037</v>
      </c>
      <c r="K253" s="43" t="s">
        <v>215</v>
      </c>
      <c r="L253" s="43" t="s">
        <v>3972</v>
      </c>
      <c r="M253" s="43" t="s">
        <v>3973</v>
      </c>
      <c r="N253" s="43" t="s">
        <v>79</v>
      </c>
      <c r="O253" s="45">
        <v>26.78</v>
      </c>
      <c r="P253" s="43" t="s">
        <v>95</v>
      </c>
      <c r="Q253" s="43" t="s">
        <v>95</v>
      </c>
      <c r="R253" s="43" t="s">
        <v>95</v>
      </c>
      <c r="S253" s="45">
        <v>0</v>
      </c>
      <c r="T253" s="43" t="s">
        <v>95</v>
      </c>
      <c r="U253" s="44" t="s">
        <v>95</v>
      </c>
      <c r="V253" s="44" t="s">
        <v>95</v>
      </c>
      <c r="W253" s="43" t="s">
        <v>95</v>
      </c>
      <c r="X253" s="45">
        <v>26.78</v>
      </c>
      <c r="Y253" s="43" t="s">
        <v>81</v>
      </c>
      <c r="Z253" s="43" t="s">
        <v>7213</v>
      </c>
      <c r="AA253" s="43" t="s">
        <v>7214</v>
      </c>
      <c r="AB253" s="43" t="s">
        <v>79</v>
      </c>
      <c r="AC253" s="45">
        <v>24.99</v>
      </c>
      <c r="AD253" s="43" t="s">
        <v>95</v>
      </c>
      <c r="AE253" s="43" t="s">
        <v>95</v>
      </c>
      <c r="AF253" s="43" t="s">
        <v>95</v>
      </c>
      <c r="AG253" s="43" t="s">
        <v>95</v>
      </c>
      <c r="AH253" s="45">
        <v>0</v>
      </c>
      <c r="AI253" s="43" t="s">
        <v>95</v>
      </c>
      <c r="AJ253" s="43" t="s">
        <v>95</v>
      </c>
      <c r="AK253" s="43" t="s">
        <v>95</v>
      </c>
      <c r="AL253" s="43" t="s">
        <v>95</v>
      </c>
      <c r="AM253" s="45">
        <v>24.99</v>
      </c>
      <c r="AN253" s="43" t="s">
        <v>81</v>
      </c>
      <c r="AO253" s="44">
        <v>44905</v>
      </c>
      <c r="AP253" s="43" t="s">
        <v>136</v>
      </c>
      <c r="AQ253" s="43" t="s">
        <v>137</v>
      </c>
      <c r="AR253" s="43" t="s">
        <v>7062</v>
      </c>
      <c r="AS253" s="43" t="s">
        <v>95</v>
      </c>
      <c r="AT253" s="43" t="s">
        <v>85</v>
      </c>
      <c r="AU253" s="43" t="s">
        <v>7030</v>
      </c>
      <c r="AV253" s="43" t="s">
        <v>7031</v>
      </c>
      <c r="AW253" s="43" t="s">
        <v>7031</v>
      </c>
      <c r="AX253" s="43" t="s">
        <v>90</v>
      </c>
      <c r="AY253" s="43" t="s">
        <v>132</v>
      </c>
      <c r="AZ253" s="43" t="s">
        <v>7037</v>
      </c>
      <c r="BA253" s="43" t="s">
        <v>139</v>
      </c>
      <c r="BB253" s="45">
        <v>1.79</v>
      </c>
      <c r="BC253" s="45">
        <v>1.79</v>
      </c>
      <c r="BD253" s="43" t="s">
        <v>7032</v>
      </c>
      <c r="BE253" s="43" t="s">
        <v>81</v>
      </c>
      <c r="BF253" s="43" t="s">
        <v>81</v>
      </c>
      <c r="BG253" s="43" t="s">
        <v>86</v>
      </c>
      <c r="BH253" s="43" t="s">
        <v>138</v>
      </c>
      <c r="BI253" s="43" t="s">
        <v>7076</v>
      </c>
      <c r="BJ253" s="43" t="s">
        <v>7030</v>
      </c>
      <c r="BK253" s="43" t="s">
        <v>139</v>
      </c>
      <c r="BL253" s="43" t="s">
        <v>85</v>
      </c>
      <c r="BM253" s="43" t="s">
        <v>85</v>
      </c>
      <c r="BN253" s="43" t="s">
        <v>139</v>
      </c>
      <c r="BO253" s="46">
        <v>1.79</v>
      </c>
      <c r="BP253" s="43" t="s">
        <v>7032</v>
      </c>
      <c r="BQ253" s="43">
        <v>1.79</v>
      </c>
      <c r="BR253" s="43" t="s">
        <v>7032</v>
      </c>
      <c r="BS253" s="47">
        <v>1.79</v>
      </c>
      <c r="BT253" s="43" t="s">
        <v>7032</v>
      </c>
      <c r="BU253" s="43" t="s">
        <v>7032</v>
      </c>
      <c r="BV253" s="43" t="str">
        <f>CambioPlan[[#This Row],[TELEFONO]]&amp;"UPSELLSI"</f>
        <v>999965215UPSELLSI</v>
      </c>
      <c r="BW253" s="43">
        <f>DAY(CambioPlan[[#This Row],[FECHA_CAMBIO_PLAN]])</f>
        <v>10</v>
      </c>
      <c r="BX253" s="43" t="str">
        <f>VLOOKUP(CambioPlan[[#This Row],[NOM_PLAZA]],[1]!Locales[#Data],3,0)</f>
        <v>TIENDA AMERICA</v>
      </c>
      <c r="BY253" s="43" t="str">
        <f>VLOOKUP(CambioPlan[[#This Row],[DOMAIN_LOGIN_OW]],[1]!Personal[#Data],6,0)</f>
        <v>SALVATIERRA GUERRA JULIAN ENRIQUE</v>
      </c>
      <c r="BZ253" s="43"/>
      <c r="CA253" s="43" t="str">
        <f>IFERROR(IF(FIND("ADULTO",CambioPlan[[#This Row],[DESCRIPCION_PLAN_ACTUAL]],1),"NO SE PAGA",),"SI SE PAGA")</f>
        <v>SI SE PAGA</v>
      </c>
      <c r="CB253" s="45">
        <f>CambioPlan[[#This Row],[TARIFA_BASICA_ACTUAL]]-CambioPlan[[#This Row],[TARIFA_BASICA_ANTERIOR]]</f>
        <v>1.7900000000000027</v>
      </c>
      <c r="CC253" s="56">
        <f>CambioPlan[[#This Row],[DIF. TARIFAS]]*4</f>
        <v>7.1600000000000108</v>
      </c>
      <c r="CD253" s="53" t="str">
        <f>IF(CambioPlan[[#This Row],[C. COMISIÓN TME]]&lt;0,"DOWNSELL",IF(CambioPlan[[#This Row],[C. COMISIÓN TME]]=0,"MISMA TARIFA",IF(CambioPlan[[#This Row],[C. COMISIÓN TME]]&gt;0,"UPSELL")))</f>
        <v>UPSELL</v>
      </c>
      <c r="CE253">
        <f>VLOOKUP(CambioPlan[[#This Row],[TARIFA_BASICA_ANTERIOR]],[3]Hoja1!$F:$G,2,0)</f>
        <v>4</v>
      </c>
      <c r="CF253">
        <f>VLOOKUP(CambioPlan[[#This Row],[TARIFA_BASICA_ACTUAL]],[3]Hoja1!$B:$C,2,0)</f>
        <v>4</v>
      </c>
    </row>
    <row r="254" spans="1:84" x14ac:dyDescent="0.25">
      <c r="A254" s="43">
        <v>202212</v>
      </c>
      <c r="B254" s="44">
        <v>44914</v>
      </c>
      <c r="C254" s="43" t="s">
        <v>7895</v>
      </c>
      <c r="D254" s="43" t="s">
        <v>7896</v>
      </c>
      <c r="E254" s="43" t="s">
        <v>95</v>
      </c>
      <c r="F254" s="43" t="s">
        <v>77</v>
      </c>
      <c r="G254" s="43" t="s">
        <v>2241</v>
      </c>
      <c r="H254" s="43" t="s">
        <v>67</v>
      </c>
      <c r="I254" s="43" t="s">
        <v>7897</v>
      </c>
      <c r="J254" s="43" t="s">
        <v>7037</v>
      </c>
      <c r="K254" s="43" t="s">
        <v>118</v>
      </c>
      <c r="L254" s="43" t="s">
        <v>160</v>
      </c>
      <c r="M254" s="43" t="s">
        <v>161</v>
      </c>
      <c r="N254" s="43" t="s">
        <v>79</v>
      </c>
      <c r="O254" s="45">
        <v>14.28</v>
      </c>
      <c r="P254" s="43" t="s">
        <v>95</v>
      </c>
      <c r="Q254" s="43" t="s">
        <v>95</v>
      </c>
      <c r="R254" s="43" t="s">
        <v>95</v>
      </c>
      <c r="S254" s="45">
        <v>0</v>
      </c>
      <c r="T254" s="43" t="s">
        <v>95</v>
      </c>
      <c r="U254" s="44" t="s">
        <v>95</v>
      </c>
      <c r="V254" s="44" t="s">
        <v>95</v>
      </c>
      <c r="W254" s="43" t="s">
        <v>95</v>
      </c>
      <c r="X254" s="45">
        <v>14.28</v>
      </c>
      <c r="Y254" s="43" t="s">
        <v>81</v>
      </c>
      <c r="Z254" s="43" t="s">
        <v>7074</v>
      </c>
      <c r="AA254" s="43" t="s">
        <v>7557</v>
      </c>
      <c r="AB254" s="43" t="s">
        <v>79</v>
      </c>
      <c r="AC254" s="45">
        <v>12.99</v>
      </c>
      <c r="AD254" s="43" t="s">
        <v>95</v>
      </c>
      <c r="AE254" s="43" t="s">
        <v>95</v>
      </c>
      <c r="AF254" s="43" t="s">
        <v>95</v>
      </c>
      <c r="AG254" s="43" t="s">
        <v>95</v>
      </c>
      <c r="AH254" s="45">
        <v>0</v>
      </c>
      <c r="AI254" s="43" t="s">
        <v>95</v>
      </c>
      <c r="AJ254" s="43" t="s">
        <v>95</v>
      </c>
      <c r="AK254" s="43" t="s">
        <v>95</v>
      </c>
      <c r="AL254" s="43" t="s">
        <v>95</v>
      </c>
      <c r="AM254" s="45">
        <v>12.99</v>
      </c>
      <c r="AN254" s="43" t="s">
        <v>81</v>
      </c>
      <c r="AO254" s="44">
        <v>44906</v>
      </c>
      <c r="AP254" s="43" t="s">
        <v>1315</v>
      </c>
      <c r="AQ254" s="43" t="s">
        <v>1316</v>
      </c>
      <c r="AR254" s="43" t="s">
        <v>1315</v>
      </c>
      <c r="AS254" s="43" t="s">
        <v>1316</v>
      </c>
      <c r="AT254" s="43" t="s">
        <v>85</v>
      </c>
      <c r="AU254" s="43" t="s">
        <v>7030</v>
      </c>
      <c r="AV254" s="43" t="s">
        <v>7031</v>
      </c>
      <c r="AW254" s="43" t="s">
        <v>7031</v>
      </c>
      <c r="AX254" s="43" t="s">
        <v>90</v>
      </c>
      <c r="AY254" s="43" t="s">
        <v>132</v>
      </c>
      <c r="AZ254" s="43" t="s">
        <v>7037</v>
      </c>
      <c r="BA254" s="43" t="s">
        <v>139</v>
      </c>
      <c r="BB254" s="45">
        <v>1.29</v>
      </c>
      <c r="BC254" s="45">
        <v>1.29</v>
      </c>
      <c r="BD254" s="43" t="s">
        <v>7032</v>
      </c>
      <c r="BE254" s="43" t="s">
        <v>81</v>
      </c>
      <c r="BF254" s="43" t="s">
        <v>81</v>
      </c>
      <c r="BG254" s="43" t="s">
        <v>86</v>
      </c>
      <c r="BH254" s="43" t="s">
        <v>177</v>
      </c>
      <c r="BI254" s="43" t="s">
        <v>7038</v>
      </c>
      <c r="BJ254" s="43" t="s">
        <v>7030</v>
      </c>
      <c r="BK254" s="43" t="s">
        <v>139</v>
      </c>
      <c r="BL254" s="43" t="s">
        <v>85</v>
      </c>
      <c r="BM254" s="43" t="s">
        <v>85</v>
      </c>
      <c r="BN254" s="43" t="s">
        <v>139</v>
      </c>
      <c r="BO254" s="46">
        <v>1.29</v>
      </c>
      <c r="BP254" s="43" t="s">
        <v>7032</v>
      </c>
      <c r="BQ254" s="43">
        <v>1.29</v>
      </c>
      <c r="BR254" s="43" t="s">
        <v>7032</v>
      </c>
      <c r="BS254" s="47">
        <v>1.29</v>
      </c>
      <c r="BT254" s="43" t="s">
        <v>7032</v>
      </c>
      <c r="BU254" s="43" t="s">
        <v>7032</v>
      </c>
      <c r="BV254" s="43" t="str">
        <f>CambioPlan[[#This Row],[TELEFONO]]&amp;"UPSELLSI"</f>
        <v>999986694UPSELLSI</v>
      </c>
      <c r="BW254" s="43">
        <f>DAY(CambioPlan[[#This Row],[FECHA_CAMBIO_PLAN]])</f>
        <v>11</v>
      </c>
      <c r="BX254" s="43" t="str">
        <f>VLOOKUP(CambioPlan[[#This Row],[NOM_PLAZA]],[1]!Locales[#Data],3,0)</f>
        <v>TIENDA RECREO</v>
      </c>
      <c r="BY254" s="43" t="str">
        <f>VLOOKUP(CambioPlan[[#This Row],[DOMAIN_LOGIN_OW]],[1]!Personal[#Data],6,0)</f>
        <v>ORTEGA  NATALIE MÉNDEZ</v>
      </c>
      <c r="BZ254" s="43"/>
      <c r="CA254" s="43" t="str">
        <f>IFERROR(IF(FIND("ADULTO",CambioPlan[[#This Row],[DESCRIPCION_PLAN_ACTUAL]],1),"NO SE PAGA",),"SI SE PAGA")</f>
        <v>SI SE PAGA</v>
      </c>
      <c r="CB254" s="55">
        <f>CambioPlan[[#This Row],[TARIFA_BASICA_ACTUAL]]-CambioPlan[[#This Row],[TARIFA_BASICA_ANTERIOR]]</f>
        <v>1.2899999999999991</v>
      </c>
      <c r="CC254" s="56">
        <f>CambioPlan[[#This Row],[DIF. TARIFAS]]*4</f>
        <v>5.1599999999999966</v>
      </c>
      <c r="CD254" s="53" t="str">
        <f>IF(CambioPlan[[#This Row],[C. COMISIÓN TME]]&lt;0,"DOWNSELL",IF(CambioPlan[[#This Row],[C. COMISIÓN TME]]=0,"MISMA TARIFA",IF(CambioPlan[[#This Row],[C. COMISIÓN TME]]&gt;0,"UPSELL")))</f>
        <v>UPSELL</v>
      </c>
      <c r="CE254">
        <f>VLOOKUP(CambioPlan[[#This Row],[TARIFA_BASICA_ANTERIOR]],[3]Hoja1!$F:$G,2,0)</f>
        <v>1</v>
      </c>
      <c r="CF254">
        <f>VLOOKUP(CambioPlan[[#This Row],[TARIFA_BASICA_ACTUAL]],[3]Hoja1!$B:$C,2,0)</f>
        <v>1</v>
      </c>
    </row>
    <row r="256" spans="1:84" x14ac:dyDescent="0.25">
      <c r="O256" s="4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0352-AAFF-4530-AC96-92F1C42790BA}">
  <sheetPr codeName="Hoja3"/>
  <dimension ref="A1:CI448"/>
  <sheetViews>
    <sheetView workbookViewId="0"/>
  </sheetViews>
  <sheetFormatPr baseColWidth="10" defaultRowHeight="15" outlineLevelCol="1" x14ac:dyDescent="0.25"/>
  <cols>
    <col min="1" max="1" width="17.7109375" bestFit="1" customWidth="1"/>
    <col min="2" max="2" width="17.5703125" bestFit="1" customWidth="1"/>
    <col min="3" max="3" width="17.140625" bestFit="1" customWidth="1"/>
    <col min="4" max="4" width="12.85546875" bestFit="1" customWidth="1"/>
    <col min="5" max="5" width="37" bestFit="1" customWidth="1"/>
    <col min="6" max="6" width="12" bestFit="1" customWidth="1"/>
    <col min="7" max="7" width="16.140625" bestFit="1" customWidth="1"/>
    <col min="8" max="8" width="19.7109375" bestFit="1" customWidth="1"/>
    <col min="9" max="9" width="16.7109375" bestFit="1" customWidth="1"/>
    <col min="10" max="10" width="30.140625" customWidth="1"/>
    <col min="11" max="11" width="28.7109375" customWidth="1" outlineLevel="1"/>
    <col min="12" max="12" width="17.140625" customWidth="1" outlineLevel="1"/>
    <col min="13" max="13" width="48.42578125" customWidth="1" outlineLevel="1"/>
    <col min="14" max="14" width="25.140625" customWidth="1" outlineLevel="1"/>
    <col min="15" max="15" width="42" customWidth="1" outlineLevel="1"/>
    <col min="16" max="16" width="16.140625" bestFit="1" customWidth="1"/>
    <col min="17" max="17" width="14.28515625" customWidth="1" outlineLevel="1"/>
    <col min="18" max="18" width="25.42578125" customWidth="1" outlineLevel="1"/>
    <col min="19" max="19" width="13.7109375" customWidth="1" outlineLevel="1"/>
    <col min="20" max="20" width="27.42578125" customWidth="1" outlineLevel="1"/>
    <col min="21" max="21" width="16.28515625" customWidth="1" outlineLevel="1"/>
    <col min="22" max="22" width="26.28515625" customWidth="1" outlineLevel="1"/>
    <col min="23" max="23" width="13.42578125" customWidth="1" outlineLevel="1"/>
    <col min="24" max="25" width="16.28515625" customWidth="1" outlineLevel="1"/>
    <col min="26" max="26" width="18.7109375" customWidth="1" outlineLevel="1"/>
    <col min="27" max="27" width="12.140625" bestFit="1" customWidth="1"/>
    <col min="28" max="28" width="11" bestFit="1" customWidth="1"/>
    <col min="29" max="29" width="16.140625" bestFit="1" customWidth="1" outlineLevel="1"/>
    <col min="30" max="30" width="13.42578125" bestFit="1" customWidth="1" outlineLevel="1"/>
    <col min="31" max="31" width="17" bestFit="1" customWidth="1" outlineLevel="1"/>
    <col min="32" max="32" width="14.85546875" bestFit="1" customWidth="1" outlineLevel="1"/>
    <col min="33" max="33" width="13.5703125" bestFit="1" customWidth="1" outlineLevel="1"/>
    <col min="34" max="34" width="10.5703125" bestFit="1" customWidth="1" outlineLevel="1"/>
    <col min="35" max="35" width="14" bestFit="1" customWidth="1" outlineLevel="1"/>
    <col min="36" max="36" width="45.5703125" bestFit="1" customWidth="1" outlineLevel="1"/>
    <col min="37" max="37" width="14.7109375" bestFit="1" customWidth="1" outlineLevel="1"/>
    <col min="38" max="38" width="16.7109375" bestFit="1" customWidth="1" outlineLevel="1"/>
    <col min="39" max="39" width="8.42578125" bestFit="1" customWidth="1" outlineLevel="1"/>
    <col min="40" max="40" width="24.85546875" bestFit="1" customWidth="1" outlineLevel="1"/>
    <col min="41" max="41" width="8.140625" bestFit="1" customWidth="1" outlineLevel="1"/>
    <col min="42" max="42" width="15.42578125" bestFit="1" customWidth="1" outlineLevel="1"/>
    <col min="43" max="43" width="54" bestFit="1" customWidth="1" outlineLevel="1"/>
    <col min="44" max="44" width="15.5703125" bestFit="1" customWidth="1" outlineLevel="1"/>
    <col min="45" max="45" width="21.85546875" bestFit="1" customWidth="1" outlineLevel="1"/>
    <col min="46" max="46" width="30" bestFit="1" customWidth="1" outlineLevel="1"/>
    <col min="47" max="47" width="23.140625" bestFit="1" customWidth="1" outlineLevel="1"/>
    <col min="48" max="48" width="18.28515625" bestFit="1" customWidth="1" outlineLevel="1"/>
    <col min="49" max="49" width="33.140625" bestFit="1" customWidth="1" outlineLevel="1"/>
    <col min="50" max="50" width="23.28515625" bestFit="1" customWidth="1" outlineLevel="1"/>
    <col min="51" max="51" width="12.85546875" bestFit="1" customWidth="1" outlineLevel="1"/>
    <col min="52" max="52" width="22.5703125" bestFit="1" customWidth="1" outlineLevel="1"/>
    <col min="53" max="53" width="21.28515625" bestFit="1" customWidth="1" outlineLevel="1"/>
    <col min="54" max="54" width="16.7109375" bestFit="1" customWidth="1" outlineLevel="1"/>
    <col min="55" max="55" width="20.5703125" bestFit="1" customWidth="1" outlineLevel="1"/>
    <col min="56" max="56" width="14.7109375" bestFit="1" customWidth="1" outlineLevel="1"/>
    <col min="57" max="57" width="35.140625" bestFit="1" customWidth="1" outlineLevel="1"/>
    <col min="58" max="58" width="6.7109375" bestFit="1" customWidth="1" outlineLevel="1"/>
    <col min="59" max="59" width="14.140625" bestFit="1" customWidth="1" outlineLevel="1"/>
    <col min="60" max="60" width="7.7109375" bestFit="1" customWidth="1" outlineLevel="1"/>
    <col min="61" max="61" width="12.28515625" bestFit="1" customWidth="1" outlineLevel="1"/>
    <col min="62" max="62" width="12.5703125" bestFit="1" customWidth="1" outlineLevel="1"/>
    <col min="63" max="63" width="25.42578125" bestFit="1" customWidth="1" outlineLevel="1"/>
    <col min="64" max="64" width="20.5703125" bestFit="1" customWidth="1" outlineLevel="1"/>
    <col min="65" max="65" width="18.5703125" bestFit="1" customWidth="1" outlineLevel="1"/>
    <col min="66" max="66" width="22.28515625" bestFit="1" customWidth="1" outlineLevel="1"/>
    <col min="67" max="67" width="18.5703125" bestFit="1" customWidth="1" outlineLevel="1"/>
    <col min="68" max="68" width="22.85546875" bestFit="1" customWidth="1" outlineLevel="1"/>
    <col min="69" max="69" width="20.42578125" bestFit="1" customWidth="1" outlineLevel="1"/>
    <col min="70" max="70" width="12" bestFit="1" customWidth="1" outlineLevel="1"/>
    <col min="71" max="71" width="21" bestFit="1" customWidth="1" outlineLevel="1"/>
    <col min="72" max="72" width="27.28515625" bestFit="1" customWidth="1" outlineLevel="1"/>
    <col min="73" max="73" width="20.5703125" bestFit="1" customWidth="1" outlineLevel="1"/>
    <col min="74" max="74" width="19.85546875" bestFit="1" customWidth="1" outlineLevel="1"/>
    <col min="75" max="75" width="23.7109375" bestFit="1" customWidth="1"/>
    <col min="76" max="76" width="37.28515625" bestFit="1" customWidth="1"/>
    <col min="77" max="77" width="23.5703125" bestFit="1" customWidth="1"/>
    <col min="78" max="78" width="25.85546875" bestFit="1" customWidth="1"/>
    <col min="79" max="79" width="6.28515625" bestFit="1" customWidth="1"/>
  </cols>
  <sheetData>
    <row r="1" spans="1:87" x14ac:dyDescent="0.25">
      <c r="A1" s="70" t="s">
        <v>16</v>
      </c>
      <c r="B1" s="57" t="s">
        <v>36</v>
      </c>
      <c r="C1" s="58" t="s">
        <v>0</v>
      </c>
      <c r="D1" s="58" t="s">
        <v>15</v>
      </c>
      <c r="E1" s="71" t="s">
        <v>14</v>
      </c>
      <c r="F1" s="58" t="s">
        <v>6963</v>
      </c>
      <c r="G1" s="71" t="s">
        <v>38</v>
      </c>
      <c r="H1" s="58" t="s">
        <v>39</v>
      </c>
      <c r="I1" s="58" t="s">
        <v>7907</v>
      </c>
      <c r="J1" s="58" t="s">
        <v>7908</v>
      </c>
      <c r="K1" s="71" t="s">
        <v>7002</v>
      </c>
      <c r="L1" s="58" t="s">
        <v>2</v>
      </c>
      <c r="M1" s="58" t="s">
        <v>7909</v>
      </c>
      <c r="N1" s="58" t="s">
        <v>7910</v>
      </c>
      <c r="O1" s="58" t="s">
        <v>40</v>
      </c>
      <c r="P1" s="58" t="s">
        <v>11</v>
      </c>
      <c r="Q1" s="71" t="s">
        <v>7911</v>
      </c>
      <c r="R1" s="71" t="s">
        <v>7912</v>
      </c>
      <c r="S1" s="71" t="s">
        <v>7913</v>
      </c>
      <c r="T1" s="71" t="s">
        <v>7914</v>
      </c>
      <c r="U1" s="71" t="s">
        <v>7915</v>
      </c>
      <c r="V1" s="71" t="s">
        <v>7916</v>
      </c>
      <c r="W1" s="71" t="s">
        <v>7917</v>
      </c>
      <c r="X1" s="71" t="s">
        <v>7918</v>
      </c>
      <c r="Y1" s="71" t="s">
        <v>7000</v>
      </c>
      <c r="Z1" s="71" t="s">
        <v>7919</v>
      </c>
      <c r="AA1" s="58" t="s">
        <v>41</v>
      </c>
      <c r="AB1" s="58" t="s">
        <v>42</v>
      </c>
      <c r="AC1" s="71" t="s">
        <v>7920</v>
      </c>
      <c r="AD1" s="58" t="s">
        <v>7921</v>
      </c>
      <c r="AE1" s="58" t="s">
        <v>7922</v>
      </c>
      <c r="AF1" s="71" t="s">
        <v>7923</v>
      </c>
      <c r="AG1" s="71" t="s">
        <v>7924</v>
      </c>
      <c r="AH1" s="71" t="s">
        <v>7925</v>
      </c>
      <c r="AI1" s="58" t="s">
        <v>8</v>
      </c>
      <c r="AJ1" s="58" t="s">
        <v>7926</v>
      </c>
      <c r="AK1" s="58" t="s">
        <v>17</v>
      </c>
      <c r="AL1" s="71" t="s">
        <v>97</v>
      </c>
      <c r="AM1" s="71" t="s">
        <v>7927</v>
      </c>
      <c r="AN1" s="71" t="s">
        <v>7928</v>
      </c>
      <c r="AO1" s="71" t="s">
        <v>7015</v>
      </c>
      <c r="AP1" s="58" t="s">
        <v>7929</v>
      </c>
      <c r="AQ1" s="71" t="s">
        <v>7930</v>
      </c>
      <c r="AR1" s="71" t="s">
        <v>43</v>
      </c>
      <c r="AS1" s="58" t="s">
        <v>7931</v>
      </c>
      <c r="AT1" s="71" t="s">
        <v>7932</v>
      </c>
      <c r="AU1" s="71" t="s">
        <v>7933</v>
      </c>
      <c r="AV1" s="71" t="s">
        <v>7934</v>
      </c>
      <c r="AW1" s="71" t="s">
        <v>7935</v>
      </c>
      <c r="AX1" s="71" t="s">
        <v>7936</v>
      </c>
      <c r="AY1" s="71" t="s">
        <v>7937</v>
      </c>
      <c r="AZ1" s="71" t="s">
        <v>7938</v>
      </c>
      <c r="BA1" s="71" t="s">
        <v>7939</v>
      </c>
      <c r="BB1" s="71" t="s">
        <v>7940</v>
      </c>
      <c r="BC1" s="58" t="s">
        <v>7941</v>
      </c>
      <c r="BD1" s="58" t="s">
        <v>7942</v>
      </c>
      <c r="BE1" s="58" t="s">
        <v>7943</v>
      </c>
      <c r="BF1" s="58" t="s">
        <v>7944</v>
      </c>
      <c r="BG1" s="71" t="s">
        <v>7945</v>
      </c>
      <c r="BH1" s="71" t="s">
        <v>7946</v>
      </c>
      <c r="BI1" s="71" t="s">
        <v>7947</v>
      </c>
      <c r="BJ1" s="71" t="s">
        <v>7948</v>
      </c>
      <c r="BK1" s="71" t="s">
        <v>7949</v>
      </c>
      <c r="BL1" s="71" t="s">
        <v>7950</v>
      </c>
      <c r="BM1" s="71" t="s">
        <v>7951</v>
      </c>
      <c r="BN1" s="71" t="s">
        <v>24</v>
      </c>
      <c r="BO1" s="71" t="s">
        <v>7952</v>
      </c>
      <c r="BP1" s="71" t="s">
        <v>7953</v>
      </c>
      <c r="BQ1" s="71" t="s">
        <v>7954</v>
      </c>
      <c r="BR1" s="71" t="s">
        <v>7955</v>
      </c>
      <c r="BS1" s="58" t="s">
        <v>7956</v>
      </c>
      <c r="BT1" s="58" t="s">
        <v>7957</v>
      </c>
      <c r="BU1" s="71" t="s">
        <v>7958</v>
      </c>
      <c r="BV1" s="59" t="s">
        <v>7023</v>
      </c>
      <c r="BW1" s="59" t="s">
        <v>51</v>
      </c>
      <c r="BX1" s="59" t="s">
        <v>52</v>
      </c>
      <c r="BY1" s="59" t="s">
        <v>98</v>
      </c>
      <c r="BZ1" s="59" t="s">
        <v>7959</v>
      </c>
      <c r="CA1" s="59" t="s">
        <v>54</v>
      </c>
      <c r="CB1" s="60" t="s">
        <v>7960</v>
      </c>
      <c r="CC1" s="60" t="s">
        <v>7961</v>
      </c>
      <c r="CD1" s="60" t="s">
        <v>7962</v>
      </c>
      <c r="CE1" s="60" t="s">
        <v>7963</v>
      </c>
      <c r="CF1" s="61" t="s">
        <v>7964</v>
      </c>
      <c r="CG1" s="61" t="s">
        <v>7965</v>
      </c>
      <c r="CH1" s="61" t="s">
        <v>7966</v>
      </c>
      <c r="CI1" s="61" t="s">
        <v>7967</v>
      </c>
    </row>
    <row r="2" spans="1:87" x14ac:dyDescent="0.25">
      <c r="A2" s="62">
        <v>44926</v>
      </c>
      <c r="B2" s="62">
        <v>44896</v>
      </c>
      <c r="C2" t="s">
        <v>291</v>
      </c>
      <c r="D2" t="s">
        <v>78</v>
      </c>
      <c r="E2" t="s">
        <v>7125</v>
      </c>
      <c r="F2" t="s">
        <v>7968</v>
      </c>
      <c r="G2" t="s">
        <v>292</v>
      </c>
      <c r="H2" t="s">
        <v>293</v>
      </c>
      <c r="I2" t="s">
        <v>7969</v>
      </c>
      <c r="J2" t="s">
        <v>95</v>
      </c>
      <c r="K2" t="s">
        <v>7970</v>
      </c>
      <c r="L2" t="s">
        <v>7971</v>
      </c>
      <c r="M2" t="s">
        <v>7972</v>
      </c>
      <c r="N2" t="s">
        <v>7973</v>
      </c>
      <c r="O2" t="s">
        <v>338</v>
      </c>
      <c r="P2" t="s">
        <v>7974</v>
      </c>
      <c r="Q2" t="s">
        <v>7975</v>
      </c>
      <c r="R2" t="s">
        <v>7976</v>
      </c>
      <c r="S2" t="s">
        <v>7977</v>
      </c>
      <c r="T2" t="s">
        <v>7978</v>
      </c>
      <c r="U2" t="s">
        <v>7979</v>
      </c>
      <c r="V2" t="s">
        <v>6963</v>
      </c>
      <c r="W2" t="s">
        <v>95</v>
      </c>
      <c r="X2" t="s">
        <v>95</v>
      </c>
      <c r="Y2" t="s">
        <v>7980</v>
      </c>
      <c r="Z2" t="s">
        <v>6996</v>
      </c>
      <c r="AA2" s="63">
        <v>1</v>
      </c>
      <c r="AB2">
        <v>392.85714000000002</v>
      </c>
      <c r="AC2" t="s">
        <v>7981</v>
      </c>
      <c r="AD2" t="s">
        <v>7982</v>
      </c>
      <c r="AE2">
        <v>235</v>
      </c>
      <c r="AF2" t="s">
        <v>7983</v>
      </c>
      <c r="AG2">
        <v>235</v>
      </c>
      <c r="AH2" t="s">
        <v>95</v>
      </c>
      <c r="AI2" t="s">
        <v>7090</v>
      </c>
      <c r="AJ2" t="s">
        <v>7091</v>
      </c>
      <c r="AK2">
        <v>17.03</v>
      </c>
      <c r="AL2" t="s">
        <v>95</v>
      </c>
      <c r="AM2" t="s">
        <v>95</v>
      </c>
      <c r="AN2" t="s">
        <v>7984</v>
      </c>
      <c r="AO2" t="s">
        <v>139</v>
      </c>
      <c r="AP2" s="64" t="s">
        <v>541</v>
      </c>
      <c r="AQ2" t="s">
        <v>542</v>
      </c>
      <c r="AR2" t="s">
        <v>295</v>
      </c>
      <c r="AS2">
        <v>12</v>
      </c>
      <c r="AT2" t="s">
        <v>138</v>
      </c>
      <c r="AU2" t="s">
        <v>90</v>
      </c>
      <c r="AV2" t="s">
        <v>7985</v>
      </c>
      <c r="AW2" t="s">
        <v>7986</v>
      </c>
      <c r="AX2" t="s">
        <v>83</v>
      </c>
      <c r="AY2" t="s">
        <v>95</v>
      </c>
      <c r="AZ2" t="s">
        <v>95</v>
      </c>
      <c r="BA2" t="s">
        <v>95</v>
      </c>
      <c r="BB2" t="s">
        <v>95</v>
      </c>
      <c r="BC2" t="s">
        <v>84</v>
      </c>
      <c r="BD2">
        <v>79</v>
      </c>
      <c r="BE2" t="s">
        <v>95</v>
      </c>
      <c r="BF2" t="s">
        <v>95</v>
      </c>
      <c r="BG2" t="s">
        <v>95</v>
      </c>
      <c r="BH2" t="s">
        <v>95</v>
      </c>
      <c r="BI2">
        <v>12</v>
      </c>
      <c r="BJ2">
        <v>2022</v>
      </c>
      <c r="BK2" t="s">
        <v>95</v>
      </c>
      <c r="BL2" t="s">
        <v>95</v>
      </c>
      <c r="BM2" t="s">
        <v>95</v>
      </c>
      <c r="BN2" t="s">
        <v>85</v>
      </c>
      <c r="BO2" t="s">
        <v>86</v>
      </c>
      <c r="BP2" t="s">
        <v>90</v>
      </c>
      <c r="BQ2" t="s">
        <v>7987</v>
      </c>
      <c r="BR2" t="s">
        <v>139</v>
      </c>
      <c r="BS2" t="s">
        <v>7988</v>
      </c>
      <c r="BT2" t="s">
        <v>7989</v>
      </c>
      <c r="BU2" t="s">
        <v>7990</v>
      </c>
      <c r="BV2" s="18" t="str">
        <f>Terminales[[#This Row],[IMEI]]&amp;"SI"</f>
        <v>866184060681223SI</v>
      </c>
      <c r="BW2" s="18" t="str">
        <f>VLOOKUP(Terminales[[#This Row],[OFICINA_USUARIO]],[1]!Locales[#Data],3,0)</f>
        <v>TIENDA AMERICA</v>
      </c>
      <c r="BX2" s="18" t="str">
        <f>VLOOKUP(Terminales[[#This Row],[USUARIO_FINAL]],'[1]Personal Ppto vs Real'!$A:$F,6,0)</f>
        <v>CEVALLOS PONCE DIANA CAROLINA</v>
      </c>
      <c r="BY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2" s="18">
        <f>DAY(Terminales[[#This Row],[FECHA_FACTURA]])</f>
        <v>1</v>
      </c>
      <c r="CB2" s="65">
        <f>IF(Terminales[[#This Row],[CANTIDAD]] = 1,INDEX([1]!Comisiones[#Data],MATCH("Terminales",[1]!Comisiones[Producto],0),MATCH(Terminales[[#This Row],[TIPO ALTA COMISIONES]],[1]!Comisiones[#Headers],0))*Terminales[[#This Row],[MONTO]],0)</f>
        <v>23.571428399999999</v>
      </c>
      <c r="CC2" s="65">
        <f>IFERROR(IF(AND(Terminales[[#This Row],[CANTIDAD]] = 1,Terminales[[#This Row],[MOVIMIENTO]] = "RENOVACION"),Terminales[[#This Row],[TARIFA_BASICA]]*0.5,),)</f>
        <v>8.5150000000000006</v>
      </c>
      <c r="CD2" s="65">
        <f>IF('[1]Resumen TM'!$AW$20 &lt; 0.4,0,Terminales[[#This Row],[MONTO]]*0.02)</f>
        <v>7.8571428000000001</v>
      </c>
      <c r="CE2" s="66">
        <f>Terminales[[#This Row],[COMISIONES TERMINALES]]+Terminales[[#This Row],[COMISIONES RENOVACIONES]]+Terminales[[#This Row],[COMISIONES BONO]]</f>
        <v>39.943571200000001</v>
      </c>
      <c r="CF2" s="67">
        <f>(Terminales[[#This Row],[COMISIONES TERMINALES]]*VLOOKUP(Terminales[[#This Row],[LOCALES]],[1]!Calendario[#Data],3,0))/VLOOKUP(Terminales[[#This Row],[LOCALES]],[1]!Calendario[#Data],2,0)</f>
        <v>38.724489514285715</v>
      </c>
      <c r="CG2" s="67">
        <f>(Terminales[[#This Row],[COMISIONES RENOVACIONES]]*VLOOKUP(Terminales[[#This Row],[LOCALES]],[1]!Calendario[#Data],3,0))/VLOOKUP(Terminales[[#This Row],[LOCALES]],[1]!Calendario[#Data],2,0)</f>
        <v>13.988928571428573</v>
      </c>
      <c r="CH2" s="67">
        <f>(Terminales[[#This Row],[COMISIONES BONO]]*VLOOKUP(Terminales[[#This Row],[LOCALES]],[1]!Calendario[#Data],3,0))/VLOOKUP(Terminales[[#This Row],[LOCALES]],[1]!Calendario[#Data],2,0)</f>
        <v>12.908163171428571</v>
      </c>
      <c r="CI2" s="67">
        <f>Terminales[[#This Row],[PROY. COM. TERMINALES]]+Terminales[[#This Row],[PROY. COM. RENOV.]]+Terminales[[#This Row],[PROY. COM. 2%]]</f>
        <v>65.621581257142864</v>
      </c>
    </row>
    <row r="3" spans="1:87" x14ac:dyDescent="0.25">
      <c r="A3" s="68">
        <v>44926</v>
      </c>
      <c r="B3" s="68">
        <v>44896</v>
      </c>
      <c r="C3" s="18" t="s">
        <v>291</v>
      </c>
      <c r="D3" s="18" t="s">
        <v>78</v>
      </c>
      <c r="E3" s="18" t="s">
        <v>1378</v>
      </c>
      <c r="F3" s="18" t="s">
        <v>7991</v>
      </c>
      <c r="G3" s="18" t="s">
        <v>292</v>
      </c>
      <c r="H3" s="18" t="s">
        <v>494</v>
      </c>
      <c r="I3" s="18" t="s">
        <v>7992</v>
      </c>
      <c r="J3" s="18" t="s">
        <v>95</v>
      </c>
      <c r="K3" s="18" t="s">
        <v>7970</v>
      </c>
      <c r="L3" s="18" t="s">
        <v>3627</v>
      </c>
      <c r="M3" s="18" t="s">
        <v>3628</v>
      </c>
      <c r="N3" s="18" t="s">
        <v>3629</v>
      </c>
      <c r="O3" s="18" t="s">
        <v>4380</v>
      </c>
      <c r="P3" s="18" t="s">
        <v>7993</v>
      </c>
      <c r="Q3" s="18" t="s">
        <v>7975</v>
      </c>
      <c r="R3" s="18" t="s">
        <v>7976</v>
      </c>
      <c r="S3" s="18" t="s">
        <v>7994</v>
      </c>
      <c r="T3" s="18" t="s">
        <v>7995</v>
      </c>
      <c r="U3" s="18" t="s">
        <v>7996</v>
      </c>
      <c r="V3" s="18" t="s">
        <v>6963</v>
      </c>
      <c r="W3" s="18" t="s">
        <v>95</v>
      </c>
      <c r="X3" s="18" t="s">
        <v>95</v>
      </c>
      <c r="Y3" s="18" t="s">
        <v>7980</v>
      </c>
      <c r="Z3" s="18" t="s">
        <v>6996</v>
      </c>
      <c r="AA3" s="69">
        <v>1</v>
      </c>
      <c r="AB3" s="18">
        <v>125</v>
      </c>
      <c r="AC3" s="18" t="s">
        <v>7997</v>
      </c>
      <c r="AD3" s="18" t="s">
        <v>7982</v>
      </c>
      <c r="AE3" s="18">
        <v>102</v>
      </c>
      <c r="AF3" s="18" t="s">
        <v>7983</v>
      </c>
      <c r="AG3" s="18">
        <v>102</v>
      </c>
      <c r="AH3" s="18" t="s">
        <v>95</v>
      </c>
      <c r="AI3" s="18" t="s">
        <v>160</v>
      </c>
      <c r="AJ3" s="18" t="s">
        <v>161</v>
      </c>
      <c r="AK3" s="18">
        <v>14.28</v>
      </c>
      <c r="AL3" s="18" t="s">
        <v>95</v>
      </c>
      <c r="AM3" s="18" t="s">
        <v>95</v>
      </c>
      <c r="AN3" s="18" t="s">
        <v>7984</v>
      </c>
      <c r="AO3" s="18" t="s">
        <v>139</v>
      </c>
      <c r="AP3" s="20" t="s">
        <v>492</v>
      </c>
      <c r="AQ3" s="18" t="s">
        <v>493</v>
      </c>
      <c r="AR3" s="18" t="s">
        <v>496</v>
      </c>
      <c r="AS3" s="18">
        <v>1</v>
      </c>
      <c r="AT3" s="18" t="s">
        <v>177</v>
      </c>
      <c r="AU3" s="18" t="s">
        <v>90</v>
      </c>
      <c r="AV3" s="18" t="s">
        <v>7998</v>
      </c>
      <c r="AW3" s="18" t="s">
        <v>7999</v>
      </c>
      <c r="AX3" s="18" t="s">
        <v>83</v>
      </c>
      <c r="AY3" s="18" t="s">
        <v>95</v>
      </c>
      <c r="AZ3" s="18" t="s">
        <v>95</v>
      </c>
      <c r="BA3" s="18" t="s">
        <v>95</v>
      </c>
      <c r="BB3" s="18" t="s">
        <v>95</v>
      </c>
      <c r="BC3" s="18" t="s">
        <v>215</v>
      </c>
      <c r="BD3" s="18" t="s">
        <v>95</v>
      </c>
      <c r="BE3" s="18" t="s">
        <v>8000</v>
      </c>
      <c r="BF3" s="18" t="s">
        <v>8001</v>
      </c>
      <c r="BG3" s="18" t="s">
        <v>95</v>
      </c>
      <c r="BH3" s="18" t="s">
        <v>95</v>
      </c>
      <c r="BI3" s="18">
        <v>12</v>
      </c>
      <c r="BJ3" s="18">
        <v>2022</v>
      </c>
      <c r="BK3" s="18" t="s">
        <v>95</v>
      </c>
      <c r="BL3" s="18" t="s">
        <v>95</v>
      </c>
      <c r="BM3" s="18" t="s">
        <v>95</v>
      </c>
      <c r="BN3" s="18" t="s">
        <v>85</v>
      </c>
      <c r="BO3" s="18" t="s">
        <v>86</v>
      </c>
      <c r="BP3" s="18" t="s">
        <v>90</v>
      </c>
      <c r="BQ3" s="18" t="s">
        <v>8002</v>
      </c>
      <c r="BR3" s="18" t="s">
        <v>139</v>
      </c>
      <c r="BS3" s="18" t="s">
        <v>8003</v>
      </c>
      <c r="BT3" s="18" t="s">
        <v>7989</v>
      </c>
      <c r="BU3" s="18" t="s">
        <v>496</v>
      </c>
      <c r="BV3" s="18" t="str">
        <f>Terminales[[#This Row],[IMEI]]&amp;"SI"</f>
        <v>357321213159782SI</v>
      </c>
      <c r="BW3" s="18" t="str">
        <f>VLOOKUP(Terminales[[#This Row],[OFICINA_USUARIO]],[1]!Locales[#Data],3,0)</f>
        <v>TIENDA RECREO</v>
      </c>
      <c r="BX3" s="18" t="str">
        <f>VLOOKUP(Terminales[[#This Row],[USUARIO_FINAL]],'[1]Personal Ppto vs Real'!$A:$F,6,0)</f>
        <v>CONDO GARCIA NICOLAS MATIAS</v>
      </c>
      <c r="BY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" s="18">
        <f>DAY(Terminales[[#This Row],[FECHA_FACTURA]])</f>
        <v>1</v>
      </c>
      <c r="CB3" s="65">
        <f>IF(Terminales[[#This Row],[CANTIDAD]] = 1,INDEX([1]!Comisiones[#Data],MATCH("Terminales",[1]!Comisiones[Producto],0),MATCH(Terminales[[#This Row],[TIPO ALTA COMISIONES]],[1]!Comisiones[#Headers],0))*Terminales[[#This Row],[MONTO]],0)</f>
        <v>12.5</v>
      </c>
      <c r="CC3" s="65">
        <f>IFERROR(IF(AND(Terminales[[#This Row],[CANTIDAD]] = 1,Terminales[[#This Row],[MOVIMIENTO]] = "RENOVACION"),Terminales[[#This Row],[TARIFA_BASICA]]*0.5,),)</f>
        <v>7.14</v>
      </c>
      <c r="CD3" s="65">
        <f>IF('[1]Resumen TM'!$AW$20 &lt; 0.4,0,Terminales[[#This Row],[MONTO]]*0.02)</f>
        <v>2.5</v>
      </c>
      <c r="CE3" s="66">
        <f>Terminales[[#This Row],[COMISIONES TERMINALES]]+Terminales[[#This Row],[COMISIONES RENOVACIONES]]+Terminales[[#This Row],[COMISIONES BONO]]</f>
        <v>22.14</v>
      </c>
      <c r="CF3" s="67">
        <f>(Terminales[[#This Row],[COMISIONES TERMINALES]]*VLOOKUP(Terminales[[#This Row],[LOCALES]],[1]!Calendario[#Data],3,0))/VLOOKUP(Terminales[[#This Row],[LOCALES]],[1]!Calendario[#Data],2,0)</f>
        <v>20.56451612903226</v>
      </c>
      <c r="CG3" s="67">
        <f>(Terminales[[#This Row],[COMISIONES RENOVACIONES]]*VLOOKUP(Terminales[[#This Row],[LOCALES]],[1]!Calendario[#Data],3,0))/VLOOKUP(Terminales[[#This Row],[LOCALES]],[1]!Calendario[#Data],2,0)</f>
        <v>11.746451612903225</v>
      </c>
      <c r="CH3" s="67">
        <f>(Terminales[[#This Row],[COMISIONES BONO]]*VLOOKUP(Terminales[[#This Row],[LOCALES]],[1]!Calendario[#Data],3,0))/VLOOKUP(Terminales[[#This Row],[LOCALES]],[1]!Calendario[#Data],2,0)</f>
        <v>4.112903225806452</v>
      </c>
      <c r="CI3" s="67">
        <f>Terminales[[#This Row],[PROY. COM. TERMINALES]]+Terminales[[#This Row],[PROY. COM. RENOV.]]+Terminales[[#This Row],[PROY. COM. 2%]]</f>
        <v>36.423870967741934</v>
      </c>
    </row>
    <row r="4" spans="1:87" x14ac:dyDescent="0.25">
      <c r="A4" s="68">
        <v>44926</v>
      </c>
      <c r="B4" s="68">
        <v>44896</v>
      </c>
      <c r="C4" s="18" t="s">
        <v>291</v>
      </c>
      <c r="D4" s="18" t="s">
        <v>78</v>
      </c>
      <c r="E4" s="18" t="s">
        <v>1532</v>
      </c>
      <c r="F4" s="18" t="s">
        <v>8004</v>
      </c>
      <c r="G4" s="18" t="s">
        <v>292</v>
      </c>
      <c r="H4" s="18" t="s">
        <v>293</v>
      </c>
      <c r="I4" s="18" t="s">
        <v>8005</v>
      </c>
      <c r="J4" s="18" t="s">
        <v>95</v>
      </c>
      <c r="K4" s="18" t="s">
        <v>7970</v>
      </c>
      <c r="L4" s="18" t="s">
        <v>8006</v>
      </c>
      <c r="M4" s="18" t="s">
        <v>8007</v>
      </c>
      <c r="N4" s="18" t="s">
        <v>8008</v>
      </c>
      <c r="O4" s="18" t="s">
        <v>2260</v>
      </c>
      <c r="P4" s="18" t="s">
        <v>8009</v>
      </c>
      <c r="Q4" s="18" t="s">
        <v>7975</v>
      </c>
      <c r="R4" s="18" t="s">
        <v>7976</v>
      </c>
      <c r="S4" s="18" t="s">
        <v>8010</v>
      </c>
      <c r="T4" s="18" t="s">
        <v>8011</v>
      </c>
      <c r="U4" s="18" t="s">
        <v>8012</v>
      </c>
      <c r="V4" s="18" t="s">
        <v>6963</v>
      </c>
      <c r="W4" s="18" t="s">
        <v>95</v>
      </c>
      <c r="X4" s="18" t="s">
        <v>95</v>
      </c>
      <c r="Y4" s="18" t="s">
        <v>7980</v>
      </c>
      <c r="Z4" s="18" t="s">
        <v>6996</v>
      </c>
      <c r="AA4" s="69">
        <v>1</v>
      </c>
      <c r="AB4" s="18">
        <v>294.64285999999998</v>
      </c>
      <c r="AC4" s="18" t="s">
        <v>8013</v>
      </c>
      <c r="AD4" s="18" t="s">
        <v>7982</v>
      </c>
      <c r="AE4" s="18">
        <v>168.8</v>
      </c>
      <c r="AF4" s="18" t="s">
        <v>7983</v>
      </c>
      <c r="AG4" s="18">
        <v>168.8</v>
      </c>
      <c r="AH4" s="18" t="s">
        <v>95</v>
      </c>
      <c r="AI4" s="18" t="s">
        <v>7281</v>
      </c>
      <c r="AJ4" s="18" t="s">
        <v>7282</v>
      </c>
      <c r="AK4" s="18">
        <v>17.03</v>
      </c>
      <c r="AL4" s="18" t="s">
        <v>95</v>
      </c>
      <c r="AM4" s="18" t="s">
        <v>95</v>
      </c>
      <c r="AN4" s="18" t="s">
        <v>7984</v>
      </c>
      <c r="AO4" s="18" t="s">
        <v>139</v>
      </c>
      <c r="AP4" s="20" t="s">
        <v>443</v>
      </c>
      <c r="AQ4" s="18" t="s">
        <v>444</v>
      </c>
      <c r="AR4" s="18" t="s">
        <v>295</v>
      </c>
      <c r="AS4" s="18">
        <v>12</v>
      </c>
      <c r="AT4" s="18" t="s">
        <v>235</v>
      </c>
      <c r="AU4" s="18" t="s">
        <v>90</v>
      </c>
      <c r="AV4" s="18" t="s">
        <v>8014</v>
      </c>
      <c r="AW4" s="18" t="s">
        <v>8015</v>
      </c>
      <c r="AX4" s="18" t="s">
        <v>83</v>
      </c>
      <c r="AY4" s="18" t="s">
        <v>95</v>
      </c>
      <c r="AZ4" s="18" t="s">
        <v>95</v>
      </c>
      <c r="BA4" s="18" t="s">
        <v>95</v>
      </c>
      <c r="BB4" s="18" t="s">
        <v>95</v>
      </c>
      <c r="BC4" s="18" t="s">
        <v>118</v>
      </c>
      <c r="BD4" s="18">
        <v>59</v>
      </c>
      <c r="BE4" s="18" t="s">
        <v>95</v>
      </c>
      <c r="BF4" s="18" t="s">
        <v>95</v>
      </c>
      <c r="BG4" s="18" t="s">
        <v>95</v>
      </c>
      <c r="BH4" s="18" t="s">
        <v>95</v>
      </c>
      <c r="BI4" s="18">
        <v>12</v>
      </c>
      <c r="BJ4" s="18">
        <v>2022</v>
      </c>
      <c r="BK4" s="18" t="s">
        <v>95</v>
      </c>
      <c r="BL4" s="18" t="s">
        <v>95</v>
      </c>
      <c r="BM4" s="18" t="s">
        <v>95</v>
      </c>
      <c r="BN4" s="18" t="s">
        <v>85</v>
      </c>
      <c r="BO4" s="18" t="s">
        <v>86</v>
      </c>
      <c r="BP4" s="18" t="s">
        <v>90</v>
      </c>
      <c r="BQ4" s="18" t="s">
        <v>8016</v>
      </c>
      <c r="BR4" s="18" t="s">
        <v>139</v>
      </c>
      <c r="BS4" s="18" t="s">
        <v>7988</v>
      </c>
      <c r="BT4" s="18" t="s">
        <v>7989</v>
      </c>
      <c r="BU4" s="18" t="s">
        <v>7990</v>
      </c>
      <c r="BV4" s="18" t="str">
        <f>Terminales[[#This Row],[IMEI]]&amp;"SI"</f>
        <v>359694275282033SI</v>
      </c>
      <c r="BW4" s="18" t="str">
        <f>VLOOKUP(Terminales[[#This Row],[OFICINA_USUARIO]],[1]!Locales[#Data],3,0)</f>
        <v>TIENDA CONDADO</v>
      </c>
      <c r="BX4" s="18" t="str">
        <f>VLOOKUP(Terminales[[#This Row],[USUARIO_FINAL]],'[1]Personal Ppto vs Real'!$A:$F,6,0)</f>
        <v>JARAMILLO ESPINOZA KENIA KATRINA</v>
      </c>
      <c r="BY4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4" s="18">
        <f>DAY(Terminales[[#This Row],[FECHA_FACTURA]])</f>
        <v>1</v>
      </c>
      <c r="CB4" s="65">
        <f>IF(Terminales[[#This Row],[CANTIDAD]] = 1,INDEX([1]!Comisiones[#Data],MATCH("Terminales",[1]!Comisiones[Producto],0),MATCH(Terminales[[#This Row],[TIPO ALTA COMISIONES]],[1]!Comisiones[#Headers],0))*Terminales[[#This Row],[MONTO]],0)</f>
        <v>17.678571599999998</v>
      </c>
      <c r="CC4" s="65">
        <f>IFERROR(IF(AND(Terminales[[#This Row],[CANTIDAD]] = 1,Terminales[[#This Row],[MOVIMIENTO]] = "RENOVACION"),Terminales[[#This Row],[TARIFA_BASICA]]*0.5,),)</f>
        <v>8.5150000000000006</v>
      </c>
      <c r="CD4" s="65">
        <f>IF('[1]Resumen TM'!$AW$20 &lt; 0.4,0,Terminales[[#This Row],[MONTO]]*0.02)</f>
        <v>5.8928571999999999</v>
      </c>
      <c r="CE4" s="66">
        <f>Terminales[[#This Row],[COMISIONES TERMINALES]]+Terminales[[#This Row],[COMISIONES RENOVACIONES]]+Terminales[[#This Row],[COMISIONES BONO]]</f>
        <v>32.0864288</v>
      </c>
      <c r="CF4" s="67">
        <f>(Terminales[[#This Row],[COMISIONES TERMINALES]]*VLOOKUP(Terminales[[#This Row],[LOCALES]],[1]!Calendario[#Data],3,0))/VLOOKUP(Terminales[[#This Row],[LOCALES]],[1]!Calendario[#Data],2,0)</f>
        <v>29.084101664516126</v>
      </c>
      <c r="CG4" s="67">
        <f>(Terminales[[#This Row],[COMISIONES RENOVACIONES]]*VLOOKUP(Terminales[[#This Row],[LOCALES]],[1]!Calendario[#Data],3,0))/VLOOKUP(Terminales[[#This Row],[LOCALES]],[1]!Calendario[#Data],2,0)</f>
        <v>14.008548387096775</v>
      </c>
      <c r="CH4" s="67">
        <f>(Terminales[[#This Row],[COMISIONES BONO]]*VLOOKUP(Terminales[[#This Row],[LOCALES]],[1]!Calendario[#Data],3,0))/VLOOKUP(Terminales[[#This Row],[LOCALES]],[1]!Calendario[#Data],2,0)</f>
        <v>9.6947005548387111</v>
      </c>
      <c r="CI4" s="67">
        <f>Terminales[[#This Row],[PROY. COM. TERMINALES]]+Terminales[[#This Row],[PROY. COM. RENOV.]]+Terminales[[#This Row],[PROY. COM. 2%]]</f>
        <v>52.787350606451611</v>
      </c>
    </row>
    <row r="5" spans="1:87" x14ac:dyDescent="0.25">
      <c r="A5" s="68">
        <v>44926</v>
      </c>
      <c r="B5" s="68">
        <v>44896</v>
      </c>
      <c r="C5" s="18" t="s">
        <v>291</v>
      </c>
      <c r="D5" s="18" t="s">
        <v>521</v>
      </c>
      <c r="E5" s="18" t="s">
        <v>8017</v>
      </c>
      <c r="F5" s="18" t="s">
        <v>8018</v>
      </c>
      <c r="G5" s="18" t="s">
        <v>292</v>
      </c>
      <c r="H5" s="18" t="s">
        <v>293</v>
      </c>
      <c r="I5" s="18" t="s">
        <v>8019</v>
      </c>
      <c r="J5" s="18" t="s">
        <v>95</v>
      </c>
      <c r="K5" s="18" t="s">
        <v>7970</v>
      </c>
      <c r="L5" s="18" t="s">
        <v>8020</v>
      </c>
      <c r="M5" s="18" t="s">
        <v>8021</v>
      </c>
      <c r="N5" s="18" t="s">
        <v>8022</v>
      </c>
      <c r="O5" s="18" t="s">
        <v>338</v>
      </c>
      <c r="P5" s="18" t="s">
        <v>8023</v>
      </c>
      <c r="Q5" s="18" t="s">
        <v>7975</v>
      </c>
      <c r="R5" s="18" t="s">
        <v>7976</v>
      </c>
      <c r="S5" s="18" t="s">
        <v>7977</v>
      </c>
      <c r="T5" s="18" t="s">
        <v>7978</v>
      </c>
      <c r="U5" s="18" t="s">
        <v>7979</v>
      </c>
      <c r="V5" s="18" t="s">
        <v>6963</v>
      </c>
      <c r="W5" s="18" t="s">
        <v>95</v>
      </c>
      <c r="X5" s="18" t="s">
        <v>95</v>
      </c>
      <c r="Y5" s="18" t="s">
        <v>7980</v>
      </c>
      <c r="Z5" s="18" t="s">
        <v>6996</v>
      </c>
      <c r="AA5" s="69">
        <v>1</v>
      </c>
      <c r="AB5" s="18">
        <v>320.35714000000002</v>
      </c>
      <c r="AC5" s="18" t="s">
        <v>8024</v>
      </c>
      <c r="AD5" s="18" t="s">
        <v>7982</v>
      </c>
      <c r="AE5" s="18">
        <v>235</v>
      </c>
      <c r="AF5" s="18" t="s">
        <v>7983</v>
      </c>
      <c r="AG5" s="18">
        <v>235</v>
      </c>
      <c r="AH5" s="18" t="s">
        <v>95</v>
      </c>
      <c r="AI5" s="18" t="s">
        <v>8025</v>
      </c>
      <c r="AJ5" s="18" t="s">
        <v>8026</v>
      </c>
      <c r="AK5" s="18">
        <v>25</v>
      </c>
      <c r="AL5" s="18" t="s">
        <v>95</v>
      </c>
      <c r="AM5" s="18" t="s">
        <v>95</v>
      </c>
      <c r="AN5" s="18" t="s">
        <v>7984</v>
      </c>
      <c r="AO5" s="18" t="s">
        <v>139</v>
      </c>
      <c r="AP5" s="20" t="s">
        <v>369</v>
      </c>
      <c r="AQ5" s="18" t="s">
        <v>370</v>
      </c>
      <c r="AR5" s="18" t="s">
        <v>295</v>
      </c>
      <c r="AS5" s="18">
        <v>6</v>
      </c>
      <c r="AT5" s="18" t="s">
        <v>177</v>
      </c>
      <c r="AU5" s="18" t="s">
        <v>90</v>
      </c>
      <c r="AV5" s="18" t="s">
        <v>7985</v>
      </c>
      <c r="AW5" s="18" t="s">
        <v>7986</v>
      </c>
      <c r="AX5" s="18" t="s">
        <v>83</v>
      </c>
      <c r="AY5" s="18" t="s">
        <v>95</v>
      </c>
      <c r="AZ5" s="18" t="s">
        <v>95</v>
      </c>
      <c r="BA5" s="18" t="s">
        <v>95</v>
      </c>
      <c r="BB5" s="18" t="s">
        <v>95</v>
      </c>
      <c r="BC5" s="18" t="s">
        <v>84</v>
      </c>
      <c r="BD5" s="18">
        <v>69.64</v>
      </c>
      <c r="BE5" s="18" t="s">
        <v>95</v>
      </c>
      <c r="BF5" s="18" t="s">
        <v>95</v>
      </c>
      <c r="BG5" s="18" t="s">
        <v>95</v>
      </c>
      <c r="BH5" s="18" t="s">
        <v>95</v>
      </c>
      <c r="BI5" s="18">
        <v>12</v>
      </c>
      <c r="BJ5" s="18">
        <v>2022</v>
      </c>
      <c r="BK5" s="18" t="s">
        <v>95</v>
      </c>
      <c r="BL5" s="18" t="s">
        <v>95</v>
      </c>
      <c r="BM5" s="18" t="s">
        <v>95</v>
      </c>
      <c r="BN5" s="18" t="s">
        <v>85</v>
      </c>
      <c r="BO5" s="18" t="s">
        <v>86</v>
      </c>
      <c r="BP5" s="18" t="s">
        <v>90</v>
      </c>
      <c r="BQ5" s="18" t="s">
        <v>8002</v>
      </c>
      <c r="BR5" s="18" t="s">
        <v>139</v>
      </c>
      <c r="BS5" s="18" t="s">
        <v>8027</v>
      </c>
      <c r="BT5" s="18" t="s">
        <v>7989</v>
      </c>
      <c r="BU5" s="18" t="s">
        <v>7990</v>
      </c>
      <c r="BV5" s="18" t="str">
        <f>Terminales[[#This Row],[IMEI]]&amp;"SI"</f>
        <v>866184060681975SI</v>
      </c>
      <c r="BW5" s="18" t="str">
        <f>VLOOKUP(Terminales[[#This Row],[OFICINA_USUARIO]],[1]!Locales[#Data],3,0)</f>
        <v>TIENDA RECREO</v>
      </c>
      <c r="BX5" s="18" t="str">
        <f>VLOOKUP(Terminales[[#This Row],[USUARIO_FINAL]],'[1]Personal Ppto vs Real'!$A:$F,6,0)</f>
        <v>GUAIGUA REINOSO GENESIS CAROLINA</v>
      </c>
      <c r="BY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5" s="18">
        <f>DAY(Terminales[[#This Row],[FECHA_FACTURA]])</f>
        <v>1</v>
      </c>
      <c r="CB5" s="65">
        <f>IF(Terminales[[#This Row],[CANTIDAD]] = 1,INDEX([1]!Comisiones[#Data],MATCH("Terminales",[1]!Comisiones[Producto],0),MATCH(Terminales[[#This Row],[TIPO ALTA COMISIONES]],[1]!Comisiones[#Headers],0))*Terminales[[#This Row],[MONTO]],0)</f>
        <v>25.628571200000003</v>
      </c>
      <c r="CC5" s="65">
        <f>IFERROR(IF(AND(Terminales[[#This Row],[CANTIDAD]] = 1,Terminales[[#This Row],[MOVIMIENTO]] = "RENOVACION"),Terminales[[#This Row],[TARIFA_BASICA]]*0.5,),)</f>
        <v>12.5</v>
      </c>
      <c r="CD5" s="65">
        <f>IF('[1]Resumen TM'!$AW$20 &lt; 0.4,0,Terminales[[#This Row],[MONTO]]*0.02)</f>
        <v>6.4071428000000008</v>
      </c>
      <c r="CE5" s="66">
        <f>Terminales[[#This Row],[COMISIONES TERMINALES]]+Terminales[[#This Row],[COMISIONES RENOVACIONES]]+Terminales[[#This Row],[COMISIONES BONO]]</f>
        <v>44.535714000000006</v>
      </c>
      <c r="CF5" s="67">
        <f>(Terminales[[#This Row],[COMISIONES TERMINALES]]*VLOOKUP(Terminales[[#This Row],[LOCALES]],[1]!Calendario[#Data],3,0))/VLOOKUP(Terminales[[#This Row],[LOCALES]],[1]!Calendario[#Data],2,0)</f>
        <v>42.163133264516134</v>
      </c>
      <c r="CG5" s="67">
        <f>(Terminales[[#This Row],[COMISIONES RENOVACIONES]]*VLOOKUP(Terminales[[#This Row],[LOCALES]],[1]!Calendario[#Data],3,0))/VLOOKUP(Terminales[[#This Row],[LOCALES]],[1]!Calendario[#Data],2,0)</f>
        <v>20.56451612903226</v>
      </c>
      <c r="CH5" s="67">
        <f>(Terminales[[#This Row],[COMISIONES BONO]]*VLOOKUP(Terminales[[#This Row],[LOCALES]],[1]!Calendario[#Data],3,0))/VLOOKUP(Terminales[[#This Row],[LOCALES]],[1]!Calendario[#Data],2,0)</f>
        <v>10.540783316129033</v>
      </c>
      <c r="CI5" s="67">
        <f>Terminales[[#This Row],[PROY. COM. TERMINALES]]+Terminales[[#This Row],[PROY. COM. RENOV.]]+Terminales[[#This Row],[PROY. COM. 2%]]</f>
        <v>73.268432709677427</v>
      </c>
    </row>
    <row r="6" spans="1:87" x14ac:dyDescent="0.25">
      <c r="A6" s="68">
        <v>44926</v>
      </c>
      <c r="B6" s="68">
        <v>44896</v>
      </c>
      <c r="C6" s="18" t="s">
        <v>291</v>
      </c>
      <c r="D6" s="18" t="s">
        <v>78</v>
      </c>
      <c r="E6" s="18" t="s">
        <v>2241</v>
      </c>
      <c r="F6" s="18" t="s">
        <v>8028</v>
      </c>
      <c r="G6" s="18" t="s">
        <v>292</v>
      </c>
      <c r="H6" s="18" t="s">
        <v>293</v>
      </c>
      <c r="I6" s="18" t="s">
        <v>8029</v>
      </c>
      <c r="J6" s="18" t="s">
        <v>95</v>
      </c>
      <c r="K6" s="18" t="s">
        <v>7970</v>
      </c>
      <c r="L6" s="18" t="s">
        <v>8030</v>
      </c>
      <c r="M6" s="18" t="s">
        <v>8031</v>
      </c>
      <c r="N6" s="18" t="s">
        <v>8032</v>
      </c>
      <c r="O6" s="18" t="s">
        <v>8033</v>
      </c>
      <c r="P6" s="18" t="s">
        <v>8034</v>
      </c>
      <c r="Q6" s="18" t="s">
        <v>7975</v>
      </c>
      <c r="R6" s="18" t="s">
        <v>7976</v>
      </c>
      <c r="S6" s="18" t="s">
        <v>7977</v>
      </c>
      <c r="T6" s="18" t="s">
        <v>8035</v>
      </c>
      <c r="U6" s="18" t="s">
        <v>7996</v>
      </c>
      <c r="V6" s="18" t="s">
        <v>6963</v>
      </c>
      <c r="W6" s="18" t="s">
        <v>95</v>
      </c>
      <c r="X6" s="18" t="s">
        <v>95</v>
      </c>
      <c r="Y6" s="18" t="s">
        <v>7980</v>
      </c>
      <c r="Z6" s="18" t="s">
        <v>6996</v>
      </c>
      <c r="AA6" s="69">
        <v>1</v>
      </c>
      <c r="AB6" s="18">
        <v>236.60713999999999</v>
      </c>
      <c r="AC6" s="18" t="s">
        <v>8036</v>
      </c>
      <c r="AD6" s="18" t="s">
        <v>7982</v>
      </c>
      <c r="AE6" s="18">
        <v>147</v>
      </c>
      <c r="AF6" s="18" t="s">
        <v>7983</v>
      </c>
      <c r="AG6" s="18">
        <v>147</v>
      </c>
      <c r="AH6" s="18" t="s">
        <v>95</v>
      </c>
      <c r="AI6" s="18" t="s">
        <v>7184</v>
      </c>
      <c r="AJ6" s="18" t="s">
        <v>7185</v>
      </c>
      <c r="AK6" s="18">
        <v>10.54</v>
      </c>
      <c r="AL6" s="18" t="s">
        <v>95</v>
      </c>
      <c r="AM6" s="18" t="s">
        <v>95</v>
      </c>
      <c r="AN6" s="18" t="s">
        <v>7984</v>
      </c>
      <c r="AO6" s="18" t="s">
        <v>139</v>
      </c>
      <c r="AP6" s="20" t="s">
        <v>478</v>
      </c>
      <c r="AQ6" s="18" t="s">
        <v>479</v>
      </c>
      <c r="AR6" s="18" t="s">
        <v>3771</v>
      </c>
      <c r="AS6" s="18">
        <v>12</v>
      </c>
      <c r="AT6" s="18" t="s">
        <v>138</v>
      </c>
      <c r="AU6" s="18" t="s">
        <v>90</v>
      </c>
      <c r="AV6" s="18" t="s">
        <v>8037</v>
      </c>
      <c r="AW6" s="18" t="s">
        <v>8038</v>
      </c>
      <c r="AX6" s="18" t="s">
        <v>83</v>
      </c>
      <c r="AY6" s="18" t="s">
        <v>95</v>
      </c>
      <c r="AZ6" s="18" t="s">
        <v>95</v>
      </c>
      <c r="BA6" s="18" t="s">
        <v>95</v>
      </c>
      <c r="BB6" s="18" t="s">
        <v>95</v>
      </c>
      <c r="BC6" s="18" t="s">
        <v>215</v>
      </c>
      <c r="BD6" s="18" t="s">
        <v>95</v>
      </c>
      <c r="BE6" s="18" t="s">
        <v>95</v>
      </c>
      <c r="BF6" s="18" t="s">
        <v>95</v>
      </c>
      <c r="BG6" s="18" t="s">
        <v>95</v>
      </c>
      <c r="BH6" s="18" t="s">
        <v>95</v>
      </c>
      <c r="BI6" s="18">
        <v>12</v>
      </c>
      <c r="BJ6" s="18">
        <v>2022</v>
      </c>
      <c r="BK6" s="18" t="s">
        <v>95</v>
      </c>
      <c r="BL6" s="18" t="s">
        <v>95</v>
      </c>
      <c r="BM6" s="18" t="s">
        <v>95</v>
      </c>
      <c r="BN6" s="18" t="s">
        <v>85</v>
      </c>
      <c r="BO6" s="18" t="s">
        <v>86</v>
      </c>
      <c r="BP6" s="18" t="s">
        <v>90</v>
      </c>
      <c r="BQ6" s="18" t="s">
        <v>7987</v>
      </c>
      <c r="BR6" s="18" t="s">
        <v>139</v>
      </c>
      <c r="BS6" s="18" t="s">
        <v>7988</v>
      </c>
      <c r="BT6" s="18" t="s">
        <v>7989</v>
      </c>
      <c r="BU6" s="18" t="s">
        <v>7990</v>
      </c>
      <c r="BV6" s="18" t="str">
        <f>Terminales[[#This Row],[IMEI]]&amp;"SI"</f>
        <v>862800061010047SI</v>
      </c>
      <c r="BW6" s="18" t="str">
        <f>VLOOKUP(Terminales[[#This Row],[OFICINA_USUARIO]],[1]!Locales[#Data],3,0)</f>
        <v>TIENDA AMERICA</v>
      </c>
      <c r="BX6" s="18" t="str">
        <f>VLOOKUP(Terminales[[#This Row],[USUARIO_FINAL]],'[1]Personal Ppto vs Real'!$A:$F,6,0)</f>
        <v>REINO TUFINO PAULTEH KATHERINE</v>
      </c>
      <c r="BY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6" s="18">
        <f>DAY(Terminales[[#This Row],[FECHA_FACTURA]])</f>
        <v>1</v>
      </c>
      <c r="CB6" s="65">
        <f>IF(Terminales[[#This Row],[CANTIDAD]] = 1,INDEX([1]!Comisiones[#Data],MATCH("Terminales",[1]!Comisiones[Producto],0),MATCH(Terminales[[#This Row],[TIPO ALTA COMISIONES]],[1]!Comisiones[#Headers],0))*Terminales[[#This Row],[MONTO]],0)</f>
        <v>14.196428399999999</v>
      </c>
      <c r="CC6" s="65">
        <f>IFERROR(IF(AND(Terminales[[#This Row],[CANTIDAD]] = 1,Terminales[[#This Row],[MOVIMIENTO]] = "RENOVACION"),Terminales[[#This Row],[TARIFA_BASICA]]*0.5,),)</f>
        <v>5.27</v>
      </c>
      <c r="CD6" s="65">
        <f>IF('[1]Resumen TM'!$AW$20 &lt; 0.4,0,Terminales[[#This Row],[MONTO]]*0.02)</f>
        <v>4.7321428000000001</v>
      </c>
      <c r="CE6" s="66">
        <f>Terminales[[#This Row],[COMISIONES TERMINALES]]+Terminales[[#This Row],[COMISIONES RENOVACIONES]]+Terminales[[#This Row],[COMISIONES BONO]]</f>
        <v>24.198571199999996</v>
      </c>
      <c r="CF6" s="67">
        <f>(Terminales[[#This Row],[COMISIONES TERMINALES]]*VLOOKUP(Terminales[[#This Row],[LOCALES]],[1]!Calendario[#Data],3,0))/VLOOKUP(Terminales[[#This Row],[LOCALES]],[1]!Calendario[#Data],2,0)</f>
        <v>23.322703799999999</v>
      </c>
      <c r="CG6" s="67">
        <f>(Terminales[[#This Row],[COMISIONES RENOVACIONES]]*VLOOKUP(Terminales[[#This Row],[LOCALES]],[1]!Calendario[#Data],3,0))/VLOOKUP(Terminales[[#This Row],[LOCALES]],[1]!Calendario[#Data],2,0)</f>
        <v>8.6578571428571429</v>
      </c>
      <c r="CH6" s="67">
        <f>(Terminales[[#This Row],[COMISIONES BONO]]*VLOOKUP(Terminales[[#This Row],[LOCALES]],[1]!Calendario[#Data],3,0))/VLOOKUP(Terminales[[#This Row],[LOCALES]],[1]!Calendario[#Data],2,0)</f>
        <v>7.7742345999999998</v>
      </c>
      <c r="CI6" s="67">
        <f>Terminales[[#This Row],[PROY. COM. TERMINALES]]+Terminales[[#This Row],[PROY. COM. RENOV.]]+Terminales[[#This Row],[PROY. COM. 2%]]</f>
        <v>39.754795542857138</v>
      </c>
    </row>
    <row r="7" spans="1:87" x14ac:dyDescent="0.25">
      <c r="A7" s="68">
        <v>44926</v>
      </c>
      <c r="B7" s="68">
        <v>44896</v>
      </c>
      <c r="C7" s="18" t="s">
        <v>291</v>
      </c>
      <c r="D7" s="18" t="s">
        <v>78</v>
      </c>
      <c r="E7" s="18" t="s">
        <v>1036</v>
      </c>
      <c r="F7" s="18" t="s">
        <v>8039</v>
      </c>
      <c r="G7" s="18" t="s">
        <v>292</v>
      </c>
      <c r="H7" s="18" t="s">
        <v>293</v>
      </c>
      <c r="I7" s="18" t="s">
        <v>8040</v>
      </c>
      <c r="J7" s="18" t="s">
        <v>95</v>
      </c>
      <c r="K7" s="18" t="s">
        <v>7970</v>
      </c>
      <c r="L7" s="18" t="s">
        <v>8041</v>
      </c>
      <c r="M7" s="18" t="s">
        <v>8042</v>
      </c>
      <c r="N7" s="18" t="s">
        <v>8043</v>
      </c>
      <c r="O7" s="18" t="s">
        <v>3669</v>
      </c>
      <c r="P7" s="18" t="s">
        <v>8044</v>
      </c>
      <c r="Q7" s="18" t="s">
        <v>7975</v>
      </c>
      <c r="R7" s="18" t="s">
        <v>7976</v>
      </c>
      <c r="S7" s="18" t="s">
        <v>8045</v>
      </c>
      <c r="T7" s="18" t="s">
        <v>8046</v>
      </c>
      <c r="U7" s="18" t="s">
        <v>7996</v>
      </c>
      <c r="V7" s="18" t="s">
        <v>6963</v>
      </c>
      <c r="W7" s="18" t="s">
        <v>95</v>
      </c>
      <c r="X7" s="18" t="s">
        <v>95</v>
      </c>
      <c r="Y7" s="18" t="s">
        <v>7980</v>
      </c>
      <c r="Z7" s="18" t="s">
        <v>6996</v>
      </c>
      <c r="AA7" s="69">
        <v>1</v>
      </c>
      <c r="AB7" s="18">
        <v>174.10713999999999</v>
      </c>
      <c r="AC7" s="18" t="s">
        <v>8047</v>
      </c>
      <c r="AD7" s="18" t="s">
        <v>7982</v>
      </c>
      <c r="AE7" s="18">
        <v>124.5</v>
      </c>
      <c r="AF7" s="18" t="s">
        <v>7983</v>
      </c>
      <c r="AG7" s="18">
        <v>124.5</v>
      </c>
      <c r="AH7" s="18" t="s">
        <v>95</v>
      </c>
      <c r="AI7" s="18" t="s">
        <v>227</v>
      </c>
      <c r="AJ7" s="18" t="s">
        <v>426</v>
      </c>
      <c r="AK7" s="18">
        <v>21.42</v>
      </c>
      <c r="AL7" s="18" t="s">
        <v>95</v>
      </c>
      <c r="AM7" s="18" t="s">
        <v>95</v>
      </c>
      <c r="AN7" s="18" t="s">
        <v>7984</v>
      </c>
      <c r="AO7" s="18" t="s">
        <v>92</v>
      </c>
      <c r="AP7" s="20" t="s">
        <v>808</v>
      </c>
      <c r="AQ7" s="18" t="s">
        <v>809</v>
      </c>
      <c r="AR7" s="18" t="s">
        <v>295</v>
      </c>
      <c r="AS7" s="18">
        <v>6</v>
      </c>
      <c r="AT7" s="18" t="s">
        <v>122</v>
      </c>
      <c r="AU7" s="18" t="s">
        <v>90</v>
      </c>
      <c r="AV7" s="18" t="s">
        <v>8048</v>
      </c>
      <c r="AW7" s="18" t="s">
        <v>8049</v>
      </c>
      <c r="AX7" s="18" t="s">
        <v>83</v>
      </c>
      <c r="AY7" s="18" t="s">
        <v>95</v>
      </c>
      <c r="AZ7" s="18" t="s">
        <v>95</v>
      </c>
      <c r="BA7" s="18" t="s">
        <v>95</v>
      </c>
      <c r="BB7" s="18" t="s">
        <v>95</v>
      </c>
      <c r="BC7" s="18" t="s">
        <v>215</v>
      </c>
      <c r="BD7" s="18">
        <v>36</v>
      </c>
      <c r="BE7" s="18" t="s">
        <v>95</v>
      </c>
      <c r="BF7" s="18" t="s">
        <v>95</v>
      </c>
      <c r="BG7" s="18" t="s">
        <v>95</v>
      </c>
      <c r="BH7" s="18" t="s">
        <v>95</v>
      </c>
      <c r="BI7" s="18">
        <v>12</v>
      </c>
      <c r="BJ7" s="18">
        <v>2022</v>
      </c>
      <c r="BK7" s="18" t="s">
        <v>95</v>
      </c>
      <c r="BL7" s="18" t="s">
        <v>95</v>
      </c>
      <c r="BM7" s="18" t="s">
        <v>95</v>
      </c>
      <c r="BN7" s="18" t="s">
        <v>85</v>
      </c>
      <c r="BO7" s="18" t="s">
        <v>86</v>
      </c>
      <c r="BP7" s="18" t="s">
        <v>90</v>
      </c>
      <c r="BQ7" s="18" t="s">
        <v>8050</v>
      </c>
      <c r="BR7" s="18" t="s">
        <v>92</v>
      </c>
      <c r="BS7" s="18" t="s">
        <v>8027</v>
      </c>
      <c r="BT7" s="18" t="s">
        <v>7989</v>
      </c>
      <c r="BU7" s="18" t="s">
        <v>7990</v>
      </c>
      <c r="BV7" s="18" t="str">
        <f>Terminales[[#This Row],[IMEI]]&amp;"SI"</f>
        <v>351084952902129SI</v>
      </c>
      <c r="BW7" s="18" t="str">
        <f>VLOOKUP(Terminales[[#This Row],[OFICINA_USUARIO]],[1]!Locales[#Data],3,0)</f>
        <v>TIENDA MACHALA</v>
      </c>
      <c r="BX7" s="18" t="str">
        <f>VLOOKUP(Terminales[[#This Row],[USUARIO_FINAL]],'[1]Personal Ppto vs Real'!$A:$F,6,0)</f>
        <v>ALICIA ROMINA GONZALEZ SANDOYA</v>
      </c>
      <c r="BY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7" s="18">
        <f>DAY(Terminales[[#This Row],[FECHA_FACTURA]])</f>
        <v>1</v>
      </c>
      <c r="CB7" s="65">
        <f>IF(Terminales[[#This Row],[CANTIDAD]] = 1,INDEX([1]!Comisiones[#Data],MATCH("Terminales",[1]!Comisiones[Producto],0),MATCH(Terminales[[#This Row],[TIPO ALTA COMISIONES]],[1]!Comisiones[#Headers],0))*Terminales[[#This Row],[MONTO]],0)</f>
        <v>13.928571199999999</v>
      </c>
      <c r="CC7" s="65">
        <f>IFERROR(IF(AND(Terminales[[#This Row],[CANTIDAD]] = 1,Terminales[[#This Row],[MOVIMIENTO]] = "RENOVACION"),Terminales[[#This Row],[TARIFA_BASICA]]*0.5,),)</f>
        <v>10.71</v>
      </c>
      <c r="CD7" s="65">
        <f>IF('[1]Resumen TM'!$AW$20 &lt; 0.4,0,Terminales[[#This Row],[MONTO]]*0.02)</f>
        <v>3.4821427999999996</v>
      </c>
      <c r="CE7" s="66">
        <f>Terminales[[#This Row],[COMISIONES TERMINALES]]+Terminales[[#This Row],[COMISIONES RENOVACIONES]]+Terminales[[#This Row],[COMISIONES BONO]]</f>
        <v>28.120714</v>
      </c>
      <c r="CF7" s="67">
        <f>(Terminales[[#This Row],[COMISIONES TERMINALES]]*VLOOKUP(Terminales[[#This Row],[LOCALES]],[1]!Calendario[#Data],3,0))/VLOOKUP(Terminales[[#This Row],[LOCALES]],[1]!Calendario[#Data],2,0)</f>
        <v>22.573891255172413</v>
      </c>
      <c r="CG7" s="67">
        <f>(Terminales[[#This Row],[COMISIONES RENOVACIONES]]*VLOOKUP(Terminales[[#This Row],[LOCALES]],[1]!Calendario[#Data],3,0))/VLOOKUP(Terminales[[#This Row],[LOCALES]],[1]!Calendario[#Data],2,0)</f>
        <v>17.357586206896553</v>
      </c>
      <c r="CH7" s="67">
        <f>(Terminales[[#This Row],[COMISIONES BONO]]*VLOOKUP(Terminales[[#This Row],[LOCALES]],[1]!Calendario[#Data],3,0))/VLOOKUP(Terminales[[#This Row],[LOCALES]],[1]!Calendario[#Data],2,0)</f>
        <v>5.6434728137931032</v>
      </c>
      <c r="CI7" s="67">
        <f>Terminales[[#This Row],[PROY. COM. TERMINALES]]+Terminales[[#This Row],[PROY. COM. RENOV.]]+Terminales[[#This Row],[PROY. COM. 2%]]</f>
        <v>45.574950275862072</v>
      </c>
    </row>
    <row r="8" spans="1:87" x14ac:dyDescent="0.25">
      <c r="A8" s="68">
        <v>44926</v>
      </c>
      <c r="B8" s="68">
        <v>44896</v>
      </c>
      <c r="C8" s="18" t="s">
        <v>291</v>
      </c>
      <c r="D8" s="18" t="s">
        <v>78</v>
      </c>
      <c r="E8" s="18" t="s">
        <v>768</v>
      </c>
      <c r="F8" s="18" t="s">
        <v>8051</v>
      </c>
      <c r="G8" s="18" t="s">
        <v>292</v>
      </c>
      <c r="H8" s="18" t="s">
        <v>494</v>
      </c>
      <c r="I8" s="18" t="s">
        <v>8052</v>
      </c>
      <c r="J8" s="18" t="s">
        <v>95</v>
      </c>
      <c r="K8" s="18" t="s">
        <v>7970</v>
      </c>
      <c r="L8" s="18" t="s">
        <v>8053</v>
      </c>
      <c r="M8" s="18" t="s">
        <v>8054</v>
      </c>
      <c r="N8" s="18" t="s">
        <v>8055</v>
      </c>
      <c r="O8" s="18" t="s">
        <v>8056</v>
      </c>
      <c r="P8" s="18" t="s">
        <v>8057</v>
      </c>
      <c r="Q8" s="18" t="s">
        <v>7975</v>
      </c>
      <c r="R8" s="18" t="s">
        <v>7976</v>
      </c>
      <c r="S8" s="18" t="s">
        <v>8045</v>
      </c>
      <c r="T8" s="18" t="s">
        <v>8058</v>
      </c>
      <c r="U8" s="18" t="s">
        <v>8059</v>
      </c>
      <c r="V8" s="18" t="s">
        <v>6963</v>
      </c>
      <c r="W8" s="18" t="s">
        <v>95</v>
      </c>
      <c r="X8" s="18" t="s">
        <v>95</v>
      </c>
      <c r="Y8" s="18" t="s">
        <v>7980</v>
      </c>
      <c r="Z8" s="18" t="s">
        <v>6996</v>
      </c>
      <c r="AA8" s="69">
        <v>1</v>
      </c>
      <c r="AB8" s="18">
        <v>848.21429000000001</v>
      </c>
      <c r="AC8" s="18" t="s">
        <v>8060</v>
      </c>
      <c r="AD8" s="18" t="s">
        <v>7982</v>
      </c>
      <c r="AE8" s="18">
        <v>795</v>
      </c>
      <c r="AF8" s="18" t="s">
        <v>7983</v>
      </c>
      <c r="AG8" s="18">
        <v>795</v>
      </c>
      <c r="AH8" s="18" t="s">
        <v>95</v>
      </c>
      <c r="AI8" s="18" t="s">
        <v>3972</v>
      </c>
      <c r="AJ8" s="18" t="s">
        <v>3973</v>
      </c>
      <c r="AK8" s="18">
        <v>26.78</v>
      </c>
      <c r="AL8" s="18" t="s">
        <v>95</v>
      </c>
      <c r="AM8" s="18" t="s">
        <v>95</v>
      </c>
      <c r="AN8" s="18" t="s">
        <v>7984</v>
      </c>
      <c r="AO8" s="18" t="s">
        <v>139</v>
      </c>
      <c r="AP8" s="20" t="s">
        <v>187</v>
      </c>
      <c r="AQ8" s="18" t="s">
        <v>188</v>
      </c>
      <c r="AR8" s="18" t="s">
        <v>496</v>
      </c>
      <c r="AS8" s="18">
        <v>1</v>
      </c>
      <c r="AT8" s="18" t="s">
        <v>177</v>
      </c>
      <c r="AU8" s="18" t="s">
        <v>90</v>
      </c>
      <c r="AV8" s="18" t="s">
        <v>8061</v>
      </c>
      <c r="AW8" s="18" t="s">
        <v>8062</v>
      </c>
      <c r="AX8" s="18" t="s">
        <v>83</v>
      </c>
      <c r="AY8" s="18" t="s">
        <v>95</v>
      </c>
      <c r="AZ8" s="18" t="s">
        <v>95</v>
      </c>
      <c r="BA8" s="18" t="s">
        <v>95</v>
      </c>
      <c r="BB8" s="18" t="s">
        <v>95</v>
      </c>
      <c r="BC8" s="18" t="s">
        <v>84</v>
      </c>
      <c r="BD8" s="18" t="s">
        <v>95</v>
      </c>
      <c r="BE8" s="18" t="s">
        <v>8063</v>
      </c>
      <c r="BF8" s="18" t="s">
        <v>8064</v>
      </c>
      <c r="BG8" s="18" t="s">
        <v>95</v>
      </c>
      <c r="BH8" s="18" t="s">
        <v>95</v>
      </c>
      <c r="BI8" s="18">
        <v>12</v>
      </c>
      <c r="BJ8" s="18">
        <v>2022</v>
      </c>
      <c r="BK8" s="18" t="s">
        <v>95</v>
      </c>
      <c r="BL8" s="18" t="s">
        <v>95</v>
      </c>
      <c r="BM8" s="18" t="s">
        <v>95</v>
      </c>
      <c r="BN8" s="18" t="s">
        <v>85</v>
      </c>
      <c r="BO8" s="18" t="s">
        <v>86</v>
      </c>
      <c r="BP8" s="18" t="s">
        <v>90</v>
      </c>
      <c r="BQ8" s="18" t="s">
        <v>8002</v>
      </c>
      <c r="BR8" s="18" t="s">
        <v>139</v>
      </c>
      <c r="BS8" s="18" t="s">
        <v>8003</v>
      </c>
      <c r="BT8" s="18" t="s">
        <v>7989</v>
      </c>
      <c r="BU8" s="18" t="s">
        <v>496</v>
      </c>
      <c r="BV8" s="18" t="str">
        <f>Terminales[[#This Row],[IMEI]]&amp;"SI"</f>
        <v>358975993100354SI</v>
      </c>
      <c r="BW8" s="18" t="str">
        <f>VLOOKUP(Terminales[[#This Row],[OFICINA_USUARIO]],[1]!Locales[#Data],3,0)</f>
        <v>TIENDA RECREO</v>
      </c>
      <c r="BX8" s="18" t="str">
        <f>VLOOKUP(Terminales[[#This Row],[USUARIO_FINAL]],'[1]Personal Ppto vs Real'!$A:$F,6,0)</f>
        <v>ESPINOZA MARTINES LAURA XIOMARA</v>
      </c>
      <c r="BY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8" s="18">
        <f>DAY(Terminales[[#This Row],[FECHA_FACTURA]])</f>
        <v>1</v>
      </c>
      <c r="CB8" s="65">
        <f>IF(Terminales[[#This Row],[CANTIDAD]] = 1,INDEX([1]!Comisiones[#Data],MATCH("Terminales",[1]!Comisiones[Producto],0),MATCH(Terminales[[#This Row],[TIPO ALTA COMISIONES]],[1]!Comisiones[#Headers],0))*Terminales[[#This Row],[MONTO]],0)</f>
        <v>84.821429000000009</v>
      </c>
      <c r="CC8" s="65">
        <f>IFERROR(IF(AND(Terminales[[#This Row],[CANTIDAD]] = 1,Terminales[[#This Row],[MOVIMIENTO]] = "RENOVACION"),Terminales[[#This Row],[TARIFA_BASICA]]*0.5,),)</f>
        <v>13.39</v>
      </c>
      <c r="CD8" s="65">
        <f>IF('[1]Resumen TM'!$AW$20 &lt; 0.4,0,Terminales[[#This Row],[MONTO]]*0.02)</f>
        <v>16.964285799999999</v>
      </c>
      <c r="CE8" s="66">
        <f>Terminales[[#This Row],[COMISIONES TERMINALES]]+Terminales[[#This Row],[COMISIONES RENOVACIONES]]+Terminales[[#This Row],[COMISIONES BONO]]</f>
        <v>115.17571480000001</v>
      </c>
      <c r="CF8" s="67">
        <f>(Terminales[[#This Row],[COMISIONES TERMINALES]]*VLOOKUP(Terminales[[#This Row],[LOCALES]],[1]!Calendario[#Data],3,0))/VLOOKUP(Terminales[[#This Row],[LOCALES]],[1]!Calendario[#Data],2,0)</f>
        <v>139.5449315806452</v>
      </c>
      <c r="CG8" s="67">
        <f>(Terminales[[#This Row],[COMISIONES RENOVACIONES]]*VLOOKUP(Terminales[[#This Row],[LOCALES]],[1]!Calendario[#Data],3,0))/VLOOKUP(Terminales[[#This Row],[LOCALES]],[1]!Calendario[#Data],2,0)</f>
        <v>22.028709677419354</v>
      </c>
      <c r="CH8" s="67">
        <f>(Terminales[[#This Row],[COMISIONES BONO]]*VLOOKUP(Terminales[[#This Row],[LOCALES]],[1]!Calendario[#Data],3,0))/VLOOKUP(Terminales[[#This Row],[LOCALES]],[1]!Calendario[#Data],2,0)</f>
        <v>27.908986316129031</v>
      </c>
      <c r="CI8" s="67">
        <f>Terminales[[#This Row],[PROY. COM. TERMINALES]]+Terminales[[#This Row],[PROY. COM. RENOV.]]+Terminales[[#This Row],[PROY. COM. 2%]]</f>
        <v>189.4826275741936</v>
      </c>
    </row>
    <row r="9" spans="1:87" x14ac:dyDescent="0.25">
      <c r="A9" s="68">
        <v>44926</v>
      </c>
      <c r="B9" s="68">
        <v>44896</v>
      </c>
      <c r="C9" s="18" t="s">
        <v>96</v>
      </c>
      <c r="D9" s="18" t="s">
        <v>96</v>
      </c>
      <c r="E9" s="18" t="s">
        <v>96</v>
      </c>
      <c r="F9" s="18" t="s">
        <v>95</v>
      </c>
      <c r="G9" s="18" t="s">
        <v>292</v>
      </c>
      <c r="H9" s="18" t="s">
        <v>494</v>
      </c>
      <c r="I9" s="18" t="s">
        <v>8065</v>
      </c>
      <c r="J9" s="18" t="s">
        <v>95</v>
      </c>
      <c r="K9" s="18" t="s">
        <v>7970</v>
      </c>
      <c r="L9" s="18" t="s">
        <v>8066</v>
      </c>
      <c r="M9" s="18" t="s">
        <v>8067</v>
      </c>
      <c r="N9" s="18" t="s">
        <v>8068</v>
      </c>
      <c r="O9" s="18" t="s">
        <v>354</v>
      </c>
      <c r="P9" s="18" t="s">
        <v>8069</v>
      </c>
      <c r="Q9" s="18" t="s">
        <v>7975</v>
      </c>
      <c r="R9" s="18" t="s">
        <v>7976</v>
      </c>
      <c r="S9" s="18" t="s">
        <v>8070</v>
      </c>
      <c r="T9" s="18" t="s">
        <v>8071</v>
      </c>
      <c r="U9" s="18" t="s">
        <v>8012</v>
      </c>
      <c r="V9" s="18" t="s">
        <v>6963</v>
      </c>
      <c r="W9" s="18" t="s">
        <v>95</v>
      </c>
      <c r="X9" s="18" t="s">
        <v>95</v>
      </c>
      <c r="Y9" s="18" t="s">
        <v>7980</v>
      </c>
      <c r="Z9" s="18" t="s">
        <v>6996</v>
      </c>
      <c r="AA9" s="69">
        <v>1</v>
      </c>
      <c r="AB9" s="18">
        <v>205.35713999999999</v>
      </c>
      <c r="AC9" s="18" t="s">
        <v>95</v>
      </c>
      <c r="AD9" s="18" t="s">
        <v>96</v>
      </c>
      <c r="AE9" s="18">
        <v>201.33</v>
      </c>
      <c r="AF9" s="18" t="s">
        <v>7983</v>
      </c>
      <c r="AG9" s="18">
        <v>201.33</v>
      </c>
      <c r="AH9" s="18" t="s">
        <v>95</v>
      </c>
      <c r="AI9" s="18" t="s">
        <v>95</v>
      </c>
      <c r="AJ9" s="18" t="s">
        <v>95</v>
      </c>
      <c r="AK9" s="18" t="s">
        <v>95</v>
      </c>
      <c r="AL9" s="18" t="s">
        <v>95</v>
      </c>
      <c r="AM9" s="18" t="s">
        <v>95</v>
      </c>
      <c r="AN9" s="18" t="s">
        <v>7984</v>
      </c>
      <c r="AO9" s="18" t="s">
        <v>139</v>
      </c>
      <c r="AP9" s="20" t="s">
        <v>377</v>
      </c>
      <c r="AQ9" s="18" t="s">
        <v>378</v>
      </c>
      <c r="AR9" s="18" t="s">
        <v>496</v>
      </c>
      <c r="AS9" s="18">
        <v>1</v>
      </c>
      <c r="AT9" s="18" t="s">
        <v>235</v>
      </c>
      <c r="AU9" s="18" t="s">
        <v>90</v>
      </c>
      <c r="AV9" s="18" t="s">
        <v>8072</v>
      </c>
      <c r="AW9" s="18" t="s">
        <v>8073</v>
      </c>
      <c r="AX9" s="18" t="s">
        <v>83</v>
      </c>
      <c r="AY9" s="18" t="s">
        <v>95</v>
      </c>
      <c r="AZ9" s="18" t="s">
        <v>95</v>
      </c>
      <c r="BA9" s="18" t="s">
        <v>95</v>
      </c>
      <c r="BB9" s="18" t="s">
        <v>95</v>
      </c>
      <c r="BC9" s="18" t="s">
        <v>95</v>
      </c>
      <c r="BD9" s="18" t="s">
        <v>95</v>
      </c>
      <c r="BE9" s="18" t="s">
        <v>95</v>
      </c>
      <c r="BF9" s="18" t="s">
        <v>95</v>
      </c>
      <c r="BG9" s="18" t="s">
        <v>95</v>
      </c>
      <c r="BH9" s="18" t="s">
        <v>95</v>
      </c>
      <c r="BI9" s="18">
        <v>12</v>
      </c>
      <c r="BJ9" s="18">
        <v>2022</v>
      </c>
      <c r="BK9" s="18" t="s">
        <v>95</v>
      </c>
      <c r="BL9" s="18" t="s">
        <v>95</v>
      </c>
      <c r="BM9" s="18" t="s">
        <v>95</v>
      </c>
      <c r="BN9" s="18" t="s">
        <v>85</v>
      </c>
      <c r="BO9" s="18" t="s">
        <v>86</v>
      </c>
      <c r="BP9" s="18" t="s">
        <v>90</v>
      </c>
      <c r="BQ9" s="18" t="s">
        <v>8016</v>
      </c>
      <c r="BR9" s="18" t="s">
        <v>139</v>
      </c>
      <c r="BS9" s="18" t="s">
        <v>8074</v>
      </c>
      <c r="BT9" s="18" t="s">
        <v>7989</v>
      </c>
      <c r="BU9" s="18" t="s">
        <v>496</v>
      </c>
      <c r="BV9" s="18" t="str">
        <f>Terminales[[#This Row],[IMEI]]&amp;"SI"</f>
        <v>864048063379667SI</v>
      </c>
      <c r="BW9" s="18" t="str">
        <f>VLOOKUP(Terminales[[#This Row],[OFICINA_USUARIO]],[1]!Locales[#Data],3,0)</f>
        <v>TIENDA CONDADO</v>
      </c>
      <c r="BX9" s="18" t="str">
        <f>VLOOKUP(Terminales[[#This Row],[USUARIO_FINAL]],'[1]Personal Ppto vs Real'!$A:$F,6,0)</f>
        <v>MELCHIADE ISAAC VALMORE</v>
      </c>
      <c r="BY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9" s="18">
        <f>DAY(Terminales[[#This Row],[FECHA_FACTURA]])</f>
        <v>1</v>
      </c>
      <c r="CB9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9" s="65">
        <f>IFERROR(IF(AND(Terminales[[#This Row],[CANTIDAD]] = 1,Terminales[[#This Row],[MOVIMIENTO]] = "RENOVACION"),Terminales[[#This Row],[TARIFA_BASICA]]*0.5,),)</f>
        <v>0</v>
      </c>
      <c r="CD9" s="65">
        <f>IF('[1]Resumen TM'!$AW$20 &lt; 0.4,0,Terminales[[#This Row],[MONTO]]*0.02)</f>
        <v>4.1071428000000001</v>
      </c>
      <c r="CE9" s="66">
        <f>Terminales[[#This Row],[COMISIONES TERMINALES]]+Terminales[[#This Row],[COMISIONES RENOVACIONES]]+Terminales[[#This Row],[COMISIONES BONO]]</f>
        <v>24.642856799999997</v>
      </c>
      <c r="CF9" s="67">
        <f>(Terminales[[#This Row],[COMISIONES TERMINALES]]*VLOOKUP(Terminales[[#This Row],[LOCALES]],[1]!Calendario[#Data],3,0))/VLOOKUP(Terminales[[#This Row],[LOCALES]],[1]!Calendario[#Data],2,0)</f>
        <v>33.784561741935484</v>
      </c>
      <c r="CG9" s="67">
        <f>(Terminales[[#This Row],[COMISIONES RENOVACIONES]]*VLOOKUP(Terminales[[#This Row],[LOCALES]],[1]!Calendario[#Data],3,0))/VLOOKUP(Terminales[[#This Row],[LOCALES]],[1]!Calendario[#Data],2,0)</f>
        <v>0</v>
      </c>
      <c r="CH9" s="67">
        <f>(Terminales[[#This Row],[COMISIONES BONO]]*VLOOKUP(Terminales[[#This Row],[LOCALES]],[1]!Calendario[#Data],3,0))/VLOOKUP(Terminales[[#This Row],[LOCALES]],[1]!Calendario[#Data],2,0)</f>
        <v>6.7569123483870968</v>
      </c>
      <c r="CI9" s="67">
        <f>Terminales[[#This Row],[PROY. COM. TERMINALES]]+Terminales[[#This Row],[PROY. COM. RENOV.]]+Terminales[[#This Row],[PROY. COM. 2%]]</f>
        <v>40.541474090322581</v>
      </c>
    </row>
    <row r="10" spans="1:87" x14ac:dyDescent="0.25">
      <c r="A10" s="68">
        <v>44926</v>
      </c>
      <c r="B10" s="68">
        <v>44896</v>
      </c>
      <c r="C10" s="18" t="s">
        <v>291</v>
      </c>
      <c r="D10" s="18" t="s">
        <v>78</v>
      </c>
      <c r="E10" s="18" t="s">
        <v>2241</v>
      </c>
      <c r="F10" s="18" t="s">
        <v>8075</v>
      </c>
      <c r="G10" s="18" t="s">
        <v>292</v>
      </c>
      <c r="H10" s="18" t="s">
        <v>293</v>
      </c>
      <c r="I10" s="18" t="s">
        <v>8076</v>
      </c>
      <c r="J10" s="18" t="s">
        <v>95</v>
      </c>
      <c r="K10" s="18" t="s">
        <v>7970</v>
      </c>
      <c r="L10" s="18" t="s">
        <v>4442</v>
      </c>
      <c r="M10" s="18" t="s">
        <v>4443</v>
      </c>
      <c r="N10" s="18" t="s">
        <v>4444</v>
      </c>
      <c r="O10" s="18" t="s">
        <v>3669</v>
      </c>
      <c r="P10" s="18" t="s">
        <v>8077</v>
      </c>
      <c r="Q10" s="18" t="s">
        <v>7975</v>
      </c>
      <c r="R10" s="18" t="s">
        <v>7976</v>
      </c>
      <c r="S10" s="18" t="s">
        <v>8045</v>
      </c>
      <c r="T10" s="18" t="s">
        <v>8046</v>
      </c>
      <c r="U10" s="18" t="s">
        <v>7996</v>
      </c>
      <c r="V10" s="18" t="s">
        <v>6963</v>
      </c>
      <c r="W10" s="18" t="s">
        <v>95</v>
      </c>
      <c r="X10" s="18" t="s">
        <v>95</v>
      </c>
      <c r="Y10" s="18" t="s">
        <v>7980</v>
      </c>
      <c r="Z10" s="18" t="s">
        <v>6996</v>
      </c>
      <c r="AA10" s="69">
        <v>1</v>
      </c>
      <c r="AB10" s="18">
        <v>174.10713999999999</v>
      </c>
      <c r="AC10" s="18" t="s">
        <v>8078</v>
      </c>
      <c r="AD10" s="18" t="s">
        <v>7982</v>
      </c>
      <c r="AE10" s="18">
        <v>124.5</v>
      </c>
      <c r="AF10" s="18" t="s">
        <v>7983</v>
      </c>
      <c r="AG10" s="18">
        <v>124.5</v>
      </c>
      <c r="AH10" s="18" t="s">
        <v>95</v>
      </c>
      <c r="AI10" s="18" t="s">
        <v>7090</v>
      </c>
      <c r="AJ10" s="18" t="s">
        <v>7091</v>
      </c>
      <c r="AK10" s="18">
        <v>17.03</v>
      </c>
      <c r="AL10" s="18" t="s">
        <v>95</v>
      </c>
      <c r="AM10" s="18" t="s">
        <v>95</v>
      </c>
      <c r="AN10" s="18" t="s">
        <v>7984</v>
      </c>
      <c r="AO10" s="18" t="s">
        <v>92</v>
      </c>
      <c r="AP10" s="20" t="s">
        <v>352</v>
      </c>
      <c r="AQ10" s="18" t="s">
        <v>353</v>
      </c>
      <c r="AR10" s="18" t="s">
        <v>295</v>
      </c>
      <c r="AS10" s="18">
        <v>6</v>
      </c>
      <c r="AT10" s="18" t="s">
        <v>122</v>
      </c>
      <c r="AU10" s="18" t="s">
        <v>90</v>
      </c>
      <c r="AV10" s="18" t="s">
        <v>8048</v>
      </c>
      <c r="AW10" s="18" t="s">
        <v>8049</v>
      </c>
      <c r="AX10" s="18" t="s">
        <v>83</v>
      </c>
      <c r="AY10" s="18" t="s">
        <v>95</v>
      </c>
      <c r="AZ10" s="18" t="s">
        <v>95</v>
      </c>
      <c r="BA10" s="18" t="s">
        <v>95</v>
      </c>
      <c r="BB10" s="18" t="s">
        <v>95</v>
      </c>
      <c r="BC10" s="18" t="s">
        <v>84</v>
      </c>
      <c r="BD10" s="18">
        <v>34</v>
      </c>
      <c r="BE10" s="18" t="s">
        <v>95</v>
      </c>
      <c r="BF10" s="18" t="s">
        <v>95</v>
      </c>
      <c r="BG10" s="18" t="s">
        <v>95</v>
      </c>
      <c r="BH10" s="18" t="s">
        <v>95</v>
      </c>
      <c r="BI10" s="18">
        <v>12</v>
      </c>
      <c r="BJ10" s="18">
        <v>2022</v>
      </c>
      <c r="BK10" s="18" t="s">
        <v>95</v>
      </c>
      <c r="BL10" s="18" t="s">
        <v>95</v>
      </c>
      <c r="BM10" s="18" t="s">
        <v>95</v>
      </c>
      <c r="BN10" s="18" t="s">
        <v>85</v>
      </c>
      <c r="BO10" s="18" t="s">
        <v>86</v>
      </c>
      <c r="BP10" s="18" t="s">
        <v>90</v>
      </c>
      <c r="BQ10" s="18" t="s">
        <v>8050</v>
      </c>
      <c r="BR10" s="18" t="s">
        <v>92</v>
      </c>
      <c r="BS10" s="18" t="s">
        <v>8027</v>
      </c>
      <c r="BT10" s="18" t="s">
        <v>7989</v>
      </c>
      <c r="BU10" s="18" t="s">
        <v>7990</v>
      </c>
      <c r="BV10" s="18" t="str">
        <f>Terminales[[#This Row],[IMEI]]&amp;"SI"</f>
        <v>351084952902202SI</v>
      </c>
      <c r="BW10" s="18" t="str">
        <f>VLOOKUP(Terminales[[#This Row],[OFICINA_USUARIO]],[1]!Locales[#Data],3,0)</f>
        <v>TIENDA MACHALA</v>
      </c>
      <c r="BX10" s="18" t="str">
        <f>VLOOKUP(Terminales[[#This Row],[USUARIO_FINAL]],'[1]Personal Ppto vs Real'!$A:$F,6,0)</f>
        <v>TENORIO MARIA DEL PILAR</v>
      </c>
      <c r="BY1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0" s="18">
        <f>DAY(Terminales[[#This Row],[FECHA_FACTURA]])</f>
        <v>1</v>
      </c>
      <c r="CB10" s="65">
        <f>IF(Terminales[[#This Row],[CANTIDAD]] = 1,INDEX([1]!Comisiones[#Data],MATCH("Terminales",[1]!Comisiones[Producto],0),MATCH(Terminales[[#This Row],[TIPO ALTA COMISIONES]],[1]!Comisiones[#Headers],0))*Terminales[[#This Row],[MONTO]],0)</f>
        <v>13.928571199999999</v>
      </c>
      <c r="CC10" s="65">
        <f>IFERROR(IF(AND(Terminales[[#This Row],[CANTIDAD]] = 1,Terminales[[#This Row],[MOVIMIENTO]] = "RENOVACION"),Terminales[[#This Row],[TARIFA_BASICA]]*0.5,),)</f>
        <v>8.5150000000000006</v>
      </c>
      <c r="CD10" s="65">
        <f>IF('[1]Resumen TM'!$AW$20 &lt; 0.4,0,Terminales[[#This Row],[MONTO]]*0.02)</f>
        <v>3.4821427999999996</v>
      </c>
      <c r="CE10" s="66">
        <f>Terminales[[#This Row],[COMISIONES TERMINALES]]+Terminales[[#This Row],[COMISIONES RENOVACIONES]]+Terminales[[#This Row],[COMISIONES BONO]]</f>
        <v>25.925713999999999</v>
      </c>
      <c r="CF10" s="67">
        <f>(Terminales[[#This Row],[COMISIONES TERMINALES]]*VLOOKUP(Terminales[[#This Row],[LOCALES]],[1]!Calendario[#Data],3,0))/VLOOKUP(Terminales[[#This Row],[LOCALES]],[1]!Calendario[#Data],2,0)</f>
        <v>22.573891255172413</v>
      </c>
      <c r="CG10" s="67">
        <f>(Terminales[[#This Row],[COMISIONES RENOVACIONES]]*VLOOKUP(Terminales[[#This Row],[LOCALES]],[1]!Calendario[#Data],3,0))/VLOOKUP(Terminales[[#This Row],[LOCALES]],[1]!Calendario[#Data],2,0)</f>
        <v>13.800172413793105</v>
      </c>
      <c r="CH10" s="67">
        <f>(Terminales[[#This Row],[COMISIONES BONO]]*VLOOKUP(Terminales[[#This Row],[LOCALES]],[1]!Calendario[#Data],3,0))/VLOOKUP(Terminales[[#This Row],[LOCALES]],[1]!Calendario[#Data],2,0)</f>
        <v>5.6434728137931032</v>
      </c>
      <c r="CI10" s="67">
        <f>Terminales[[#This Row],[PROY. COM. TERMINALES]]+Terminales[[#This Row],[PROY. COM. RENOV.]]+Terminales[[#This Row],[PROY. COM. 2%]]</f>
        <v>42.017536482758622</v>
      </c>
    </row>
    <row r="11" spans="1:87" x14ac:dyDescent="0.25">
      <c r="A11" s="68">
        <v>44926</v>
      </c>
      <c r="B11" s="68">
        <v>44896</v>
      </c>
      <c r="C11" s="18" t="s">
        <v>291</v>
      </c>
      <c r="D11" s="18" t="s">
        <v>78</v>
      </c>
      <c r="E11" s="18" t="s">
        <v>231</v>
      </c>
      <c r="F11" s="18" t="s">
        <v>8079</v>
      </c>
      <c r="G11" s="18" t="s">
        <v>292</v>
      </c>
      <c r="H11" s="18" t="s">
        <v>494</v>
      </c>
      <c r="I11" s="18" t="s">
        <v>8080</v>
      </c>
      <c r="J11" s="18" t="s">
        <v>95</v>
      </c>
      <c r="K11" s="18" t="s">
        <v>7970</v>
      </c>
      <c r="L11" s="18" t="s">
        <v>8081</v>
      </c>
      <c r="M11" s="18" t="s">
        <v>8082</v>
      </c>
      <c r="N11" s="18" t="s">
        <v>8083</v>
      </c>
      <c r="O11" s="18" t="s">
        <v>338</v>
      </c>
      <c r="P11" s="18" t="s">
        <v>8084</v>
      </c>
      <c r="Q11" s="18" t="s">
        <v>7975</v>
      </c>
      <c r="R11" s="18" t="s">
        <v>7976</v>
      </c>
      <c r="S11" s="18" t="s">
        <v>7977</v>
      </c>
      <c r="T11" s="18" t="s">
        <v>7978</v>
      </c>
      <c r="U11" s="18" t="s">
        <v>7979</v>
      </c>
      <c r="V11" s="18" t="s">
        <v>6963</v>
      </c>
      <c r="W11" s="18" t="s">
        <v>95</v>
      </c>
      <c r="X11" s="18" t="s">
        <v>95</v>
      </c>
      <c r="Y11" s="18" t="s">
        <v>7980</v>
      </c>
      <c r="Z11" s="18" t="s">
        <v>6996</v>
      </c>
      <c r="AA11" s="69">
        <v>1</v>
      </c>
      <c r="AB11" s="18">
        <v>285.71429000000001</v>
      </c>
      <c r="AC11" s="18" t="s">
        <v>8085</v>
      </c>
      <c r="AD11" s="18" t="s">
        <v>7982</v>
      </c>
      <c r="AE11" s="18">
        <v>235</v>
      </c>
      <c r="AF11" s="18" t="s">
        <v>7983</v>
      </c>
      <c r="AG11" s="18">
        <v>235</v>
      </c>
      <c r="AH11" s="18" t="s">
        <v>95</v>
      </c>
      <c r="AI11" s="18" t="s">
        <v>7213</v>
      </c>
      <c r="AJ11" s="18" t="s">
        <v>7214</v>
      </c>
      <c r="AK11" s="18">
        <v>24.99</v>
      </c>
      <c r="AL11" s="18" t="s">
        <v>95</v>
      </c>
      <c r="AM11" s="18" t="s">
        <v>95</v>
      </c>
      <c r="AN11" s="18" t="s">
        <v>7984</v>
      </c>
      <c r="AO11" s="18" t="s">
        <v>139</v>
      </c>
      <c r="AP11" s="20" t="s">
        <v>271</v>
      </c>
      <c r="AQ11" s="18" t="s">
        <v>272</v>
      </c>
      <c r="AR11" s="18" t="s">
        <v>496</v>
      </c>
      <c r="AS11" s="18">
        <v>1</v>
      </c>
      <c r="AT11" s="18" t="s">
        <v>235</v>
      </c>
      <c r="AU11" s="18" t="s">
        <v>90</v>
      </c>
      <c r="AV11" s="18" t="s">
        <v>7985</v>
      </c>
      <c r="AW11" s="18" t="s">
        <v>7986</v>
      </c>
      <c r="AX11" s="18" t="s">
        <v>83</v>
      </c>
      <c r="AY11" s="18" t="s">
        <v>95</v>
      </c>
      <c r="AZ11" s="18" t="s">
        <v>95</v>
      </c>
      <c r="BA11" s="18" t="s">
        <v>95</v>
      </c>
      <c r="BB11" s="18" t="s">
        <v>95</v>
      </c>
      <c r="BC11" s="18" t="s">
        <v>84</v>
      </c>
      <c r="BD11" s="18" t="s">
        <v>95</v>
      </c>
      <c r="BE11" s="18" t="s">
        <v>95</v>
      </c>
      <c r="BF11" s="18" t="s">
        <v>95</v>
      </c>
      <c r="BG11" s="18" t="s">
        <v>95</v>
      </c>
      <c r="BH11" s="18" t="s">
        <v>95</v>
      </c>
      <c r="BI11" s="18">
        <v>12</v>
      </c>
      <c r="BJ11" s="18">
        <v>2022</v>
      </c>
      <c r="BK11" s="18" t="s">
        <v>95</v>
      </c>
      <c r="BL11" s="18" t="s">
        <v>95</v>
      </c>
      <c r="BM11" s="18" t="s">
        <v>95</v>
      </c>
      <c r="BN11" s="18" t="s">
        <v>85</v>
      </c>
      <c r="BO11" s="18" t="s">
        <v>86</v>
      </c>
      <c r="BP11" s="18" t="s">
        <v>90</v>
      </c>
      <c r="BQ11" s="18" t="s">
        <v>8016</v>
      </c>
      <c r="BR11" s="18" t="s">
        <v>139</v>
      </c>
      <c r="BS11" s="18" t="s">
        <v>8074</v>
      </c>
      <c r="BT11" s="18" t="s">
        <v>7989</v>
      </c>
      <c r="BU11" s="18" t="s">
        <v>496</v>
      </c>
      <c r="BV11" s="18" t="str">
        <f>Terminales[[#This Row],[IMEI]]&amp;"SI"</f>
        <v>866184060677270SI</v>
      </c>
      <c r="BW11" s="18" t="str">
        <f>VLOOKUP(Terminales[[#This Row],[OFICINA_USUARIO]],[1]!Locales[#Data],3,0)</f>
        <v>TIENDA CONDADO</v>
      </c>
      <c r="BX11" s="18" t="str">
        <f>VLOOKUP(Terminales[[#This Row],[USUARIO_FINAL]],'[1]Personal Ppto vs Real'!$A:$F,6,0)</f>
        <v>CASTILLO AGUIRRE EDWIN MODESTO</v>
      </c>
      <c r="BY1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1" s="18">
        <f>DAY(Terminales[[#This Row],[FECHA_FACTURA]])</f>
        <v>1</v>
      </c>
      <c r="CB11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11" s="65">
        <f>IFERROR(IF(AND(Terminales[[#This Row],[CANTIDAD]] = 1,Terminales[[#This Row],[MOVIMIENTO]] = "RENOVACION"),Terminales[[#This Row],[TARIFA_BASICA]]*0.5,),)</f>
        <v>12.494999999999999</v>
      </c>
      <c r="CD11" s="65">
        <f>IF('[1]Resumen TM'!$AW$20 &lt; 0.4,0,Terminales[[#This Row],[MONTO]]*0.02)</f>
        <v>5.7142857999999999</v>
      </c>
      <c r="CE11" s="66">
        <f>Terminales[[#This Row],[COMISIONES TERMINALES]]+Terminales[[#This Row],[COMISIONES RENOVACIONES]]+Terminales[[#This Row],[COMISIONES BONO]]</f>
        <v>46.780714799999998</v>
      </c>
      <c r="CF11" s="67">
        <f>(Terminales[[#This Row],[COMISIONES TERMINALES]]*VLOOKUP(Terminales[[#This Row],[LOCALES]],[1]!Calendario[#Data],3,0))/VLOOKUP(Terminales[[#This Row],[LOCALES]],[1]!Calendario[#Data],2,0)</f>
        <v>47.004609000000002</v>
      </c>
      <c r="CG11" s="67">
        <f>(Terminales[[#This Row],[COMISIONES RENOVACIONES]]*VLOOKUP(Terminales[[#This Row],[LOCALES]],[1]!Calendario[#Data],3,0))/VLOOKUP(Terminales[[#This Row],[LOCALES]],[1]!Calendario[#Data],2,0)</f>
        <v>20.556290322580644</v>
      </c>
      <c r="CH11" s="67">
        <f>(Terminales[[#This Row],[COMISIONES BONO]]*VLOOKUP(Terminales[[#This Row],[LOCALES]],[1]!Calendario[#Data],3,0))/VLOOKUP(Terminales[[#This Row],[LOCALES]],[1]!Calendario[#Data],2,0)</f>
        <v>9.400921799999999</v>
      </c>
      <c r="CI11" s="67">
        <f>Terminales[[#This Row],[PROY. COM. TERMINALES]]+Terminales[[#This Row],[PROY. COM. RENOV.]]+Terminales[[#This Row],[PROY. COM. 2%]]</f>
        <v>76.961821122580631</v>
      </c>
    </row>
    <row r="12" spans="1:87" x14ac:dyDescent="0.25">
      <c r="A12" s="68">
        <v>44926</v>
      </c>
      <c r="B12" s="68">
        <v>44896</v>
      </c>
      <c r="C12" s="18" t="s">
        <v>291</v>
      </c>
      <c r="D12" s="18" t="s">
        <v>78</v>
      </c>
      <c r="E12" s="18" t="s">
        <v>2241</v>
      </c>
      <c r="F12" s="18" t="s">
        <v>8086</v>
      </c>
      <c r="G12" s="18" t="s">
        <v>292</v>
      </c>
      <c r="H12" s="18" t="s">
        <v>494</v>
      </c>
      <c r="I12" s="18" t="s">
        <v>8087</v>
      </c>
      <c r="J12" s="18" t="s">
        <v>95</v>
      </c>
      <c r="K12" s="18" t="s">
        <v>7970</v>
      </c>
      <c r="L12" s="18" t="s">
        <v>8088</v>
      </c>
      <c r="M12" s="18" t="s">
        <v>8089</v>
      </c>
      <c r="N12" s="18" t="s">
        <v>8090</v>
      </c>
      <c r="O12" s="18" t="s">
        <v>2260</v>
      </c>
      <c r="P12" s="18" t="s">
        <v>8091</v>
      </c>
      <c r="Q12" s="18" t="s">
        <v>7975</v>
      </c>
      <c r="R12" s="18" t="s">
        <v>7976</v>
      </c>
      <c r="S12" s="18" t="s">
        <v>8010</v>
      </c>
      <c r="T12" s="18" t="s">
        <v>8011</v>
      </c>
      <c r="U12" s="18" t="s">
        <v>8012</v>
      </c>
      <c r="V12" s="18" t="s">
        <v>6963</v>
      </c>
      <c r="W12" s="18" t="s">
        <v>95</v>
      </c>
      <c r="X12" s="18" t="s">
        <v>95</v>
      </c>
      <c r="Y12" s="18" t="s">
        <v>7980</v>
      </c>
      <c r="Z12" s="18" t="s">
        <v>6996</v>
      </c>
      <c r="AA12" s="69">
        <v>1</v>
      </c>
      <c r="AB12" s="18">
        <v>196.42857000000001</v>
      </c>
      <c r="AC12" s="18" t="s">
        <v>8092</v>
      </c>
      <c r="AD12" s="18" t="s">
        <v>7982</v>
      </c>
      <c r="AE12" s="18">
        <v>168.8</v>
      </c>
      <c r="AF12" s="18" t="s">
        <v>7983</v>
      </c>
      <c r="AG12" s="18">
        <v>168.8</v>
      </c>
      <c r="AH12" s="18" t="s">
        <v>95</v>
      </c>
      <c r="AI12" s="18" t="s">
        <v>7074</v>
      </c>
      <c r="AJ12" s="18" t="s">
        <v>7075</v>
      </c>
      <c r="AK12" s="18">
        <v>12.99</v>
      </c>
      <c r="AL12" s="18" t="s">
        <v>95</v>
      </c>
      <c r="AM12" s="18" t="s">
        <v>95</v>
      </c>
      <c r="AN12" s="18" t="s">
        <v>7984</v>
      </c>
      <c r="AO12" s="18" t="s">
        <v>139</v>
      </c>
      <c r="AP12" s="20" t="s">
        <v>233</v>
      </c>
      <c r="AQ12" s="18" t="s">
        <v>234</v>
      </c>
      <c r="AR12" s="18" t="s">
        <v>496</v>
      </c>
      <c r="AS12" s="18">
        <v>1</v>
      </c>
      <c r="AT12" s="18" t="s">
        <v>235</v>
      </c>
      <c r="AU12" s="18" t="s">
        <v>90</v>
      </c>
      <c r="AV12" s="18" t="s">
        <v>8014</v>
      </c>
      <c r="AW12" s="18" t="s">
        <v>8015</v>
      </c>
      <c r="AX12" s="18" t="s">
        <v>83</v>
      </c>
      <c r="AY12" s="18" t="s">
        <v>95</v>
      </c>
      <c r="AZ12" s="18" t="s">
        <v>95</v>
      </c>
      <c r="BA12" s="18" t="s">
        <v>95</v>
      </c>
      <c r="BB12" s="18" t="s">
        <v>95</v>
      </c>
      <c r="BC12" s="18" t="s">
        <v>215</v>
      </c>
      <c r="BD12" s="18" t="s">
        <v>95</v>
      </c>
      <c r="BE12" s="18" t="s">
        <v>95</v>
      </c>
      <c r="BF12" s="18" t="s">
        <v>95</v>
      </c>
      <c r="BG12" s="18" t="s">
        <v>95</v>
      </c>
      <c r="BH12" s="18" t="s">
        <v>95</v>
      </c>
      <c r="BI12" s="18">
        <v>12</v>
      </c>
      <c r="BJ12" s="18">
        <v>2022</v>
      </c>
      <c r="BK12" s="18" t="s">
        <v>95</v>
      </c>
      <c r="BL12" s="18" t="s">
        <v>95</v>
      </c>
      <c r="BM12" s="18" t="s">
        <v>95</v>
      </c>
      <c r="BN12" s="18" t="s">
        <v>85</v>
      </c>
      <c r="BO12" s="18" t="s">
        <v>86</v>
      </c>
      <c r="BP12" s="18" t="s">
        <v>90</v>
      </c>
      <c r="BQ12" s="18" t="s">
        <v>8016</v>
      </c>
      <c r="BR12" s="18" t="s">
        <v>139</v>
      </c>
      <c r="BS12" s="18" t="s">
        <v>8074</v>
      </c>
      <c r="BT12" s="18" t="s">
        <v>7989</v>
      </c>
      <c r="BU12" s="18" t="s">
        <v>496</v>
      </c>
      <c r="BV12" s="18" t="str">
        <f>Terminales[[#This Row],[IMEI]]&amp;"SI"</f>
        <v>359694275284856SI</v>
      </c>
      <c r="BW12" s="18" t="str">
        <f>VLOOKUP(Terminales[[#This Row],[OFICINA_USUARIO]],[1]!Locales[#Data],3,0)</f>
        <v>TIENDA CONDADO</v>
      </c>
      <c r="BX12" s="18" t="str">
        <f>VLOOKUP(Terminales[[#This Row],[USUARIO_FINAL]],'[1]Personal Ppto vs Real'!$A:$F,6,0)</f>
        <v>ROSALES MALDONADO JESSICA GABRIELA</v>
      </c>
      <c r="BY1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2" s="18">
        <f>DAY(Terminales[[#This Row],[FECHA_FACTURA]])</f>
        <v>1</v>
      </c>
      <c r="CB12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12" s="65">
        <f>IFERROR(IF(AND(Terminales[[#This Row],[CANTIDAD]] = 1,Terminales[[#This Row],[MOVIMIENTO]] = "RENOVACION"),Terminales[[#This Row],[TARIFA_BASICA]]*0.5,),)</f>
        <v>6.4950000000000001</v>
      </c>
      <c r="CD12" s="65">
        <f>IF('[1]Resumen TM'!$AW$20 &lt; 0.4,0,Terminales[[#This Row],[MONTO]]*0.02)</f>
        <v>3.9285714</v>
      </c>
      <c r="CE12" s="66">
        <f>Terminales[[#This Row],[COMISIONES TERMINALES]]+Terminales[[#This Row],[COMISIONES RENOVACIONES]]+Terminales[[#This Row],[COMISIONES BONO]]</f>
        <v>30.066428400000003</v>
      </c>
      <c r="CF12" s="67">
        <f>(Terminales[[#This Row],[COMISIONES TERMINALES]]*VLOOKUP(Terminales[[#This Row],[LOCALES]],[1]!Calendario[#Data],3,0))/VLOOKUP(Terminales[[#This Row],[LOCALES]],[1]!Calendario[#Data],2,0)</f>
        <v>32.315667967741938</v>
      </c>
      <c r="CG12" s="67">
        <f>(Terminales[[#This Row],[COMISIONES RENOVACIONES]]*VLOOKUP(Terminales[[#This Row],[LOCALES]],[1]!Calendario[#Data],3,0))/VLOOKUP(Terminales[[#This Row],[LOCALES]],[1]!Calendario[#Data],2,0)</f>
        <v>10.685322580645161</v>
      </c>
      <c r="CH12" s="67">
        <f>(Terminales[[#This Row],[COMISIONES BONO]]*VLOOKUP(Terminales[[#This Row],[LOCALES]],[1]!Calendario[#Data],3,0))/VLOOKUP(Terminales[[#This Row],[LOCALES]],[1]!Calendario[#Data],2,0)</f>
        <v>6.4631335935483865</v>
      </c>
      <c r="CI12" s="67">
        <f>Terminales[[#This Row],[PROY. COM. TERMINALES]]+Terminales[[#This Row],[PROY. COM. RENOV.]]+Terminales[[#This Row],[PROY. COM. 2%]]</f>
        <v>49.464124141935486</v>
      </c>
    </row>
    <row r="13" spans="1:87" x14ac:dyDescent="0.25">
      <c r="A13" s="68">
        <v>44926</v>
      </c>
      <c r="B13" s="68">
        <v>44896</v>
      </c>
      <c r="C13" s="18" t="s">
        <v>96</v>
      </c>
      <c r="D13" s="18" t="s">
        <v>96</v>
      </c>
      <c r="E13" s="18" t="s">
        <v>96</v>
      </c>
      <c r="F13" s="18" t="s">
        <v>8093</v>
      </c>
      <c r="G13" s="18" t="s">
        <v>292</v>
      </c>
      <c r="H13" s="18" t="s">
        <v>494</v>
      </c>
      <c r="I13" s="18" t="s">
        <v>8094</v>
      </c>
      <c r="J13" s="18" t="s">
        <v>95</v>
      </c>
      <c r="K13" s="18" t="s">
        <v>7970</v>
      </c>
      <c r="L13" s="18" t="s">
        <v>8095</v>
      </c>
      <c r="M13" s="18" t="s">
        <v>8096</v>
      </c>
      <c r="N13" s="18" t="s">
        <v>8097</v>
      </c>
      <c r="O13" s="18" t="s">
        <v>3770</v>
      </c>
      <c r="P13" s="18" t="s">
        <v>8098</v>
      </c>
      <c r="Q13" s="18" t="s">
        <v>7975</v>
      </c>
      <c r="R13" s="18" t="s">
        <v>7976</v>
      </c>
      <c r="S13" s="18" t="s">
        <v>8045</v>
      </c>
      <c r="T13" s="18" t="s">
        <v>8099</v>
      </c>
      <c r="U13" s="18" t="s">
        <v>8100</v>
      </c>
      <c r="V13" s="18" t="s">
        <v>6963</v>
      </c>
      <c r="W13" s="18" t="s">
        <v>95</v>
      </c>
      <c r="X13" s="18" t="s">
        <v>95</v>
      </c>
      <c r="Y13" s="18" t="s">
        <v>7980</v>
      </c>
      <c r="Z13" s="18" t="s">
        <v>6996</v>
      </c>
      <c r="AA13" s="69">
        <v>1</v>
      </c>
      <c r="AB13" s="18">
        <v>406.25</v>
      </c>
      <c r="AC13" s="18" t="s">
        <v>8101</v>
      </c>
      <c r="AD13" s="18" t="s">
        <v>7982</v>
      </c>
      <c r="AE13" s="18">
        <v>397</v>
      </c>
      <c r="AF13" s="18" t="s">
        <v>7983</v>
      </c>
      <c r="AG13" s="18">
        <v>397</v>
      </c>
      <c r="AH13" s="18" t="s">
        <v>95</v>
      </c>
      <c r="AI13" s="18" t="s">
        <v>8102</v>
      </c>
      <c r="AJ13" s="18" t="s">
        <v>8103</v>
      </c>
      <c r="AK13" s="18" t="s">
        <v>95</v>
      </c>
      <c r="AL13" s="18" t="s">
        <v>95</v>
      </c>
      <c r="AM13" s="18" t="s">
        <v>95</v>
      </c>
      <c r="AN13" s="18" t="s">
        <v>7984</v>
      </c>
      <c r="AO13" s="18" t="s">
        <v>92</v>
      </c>
      <c r="AP13" s="20" t="s">
        <v>88</v>
      </c>
      <c r="AQ13" s="18" t="s">
        <v>89</v>
      </c>
      <c r="AR13" s="18" t="s">
        <v>496</v>
      </c>
      <c r="AS13" s="18">
        <v>1</v>
      </c>
      <c r="AT13" s="18" t="s">
        <v>91</v>
      </c>
      <c r="AU13" s="18" t="s">
        <v>90</v>
      </c>
      <c r="AV13" s="18" t="s">
        <v>8104</v>
      </c>
      <c r="AW13" s="18" t="s">
        <v>8105</v>
      </c>
      <c r="AX13" s="18" t="s">
        <v>83</v>
      </c>
      <c r="AY13" s="18" t="s">
        <v>95</v>
      </c>
      <c r="AZ13" s="18" t="s">
        <v>95</v>
      </c>
      <c r="BA13" s="18" t="s">
        <v>95</v>
      </c>
      <c r="BB13" s="18" t="s">
        <v>95</v>
      </c>
      <c r="BC13" s="18" t="s">
        <v>118</v>
      </c>
      <c r="BD13" s="18" t="s">
        <v>95</v>
      </c>
      <c r="BE13" s="18" t="s">
        <v>95</v>
      </c>
      <c r="BF13" s="18" t="s">
        <v>95</v>
      </c>
      <c r="BG13" s="18" t="s">
        <v>95</v>
      </c>
      <c r="BH13" s="18" t="s">
        <v>95</v>
      </c>
      <c r="BI13" s="18">
        <v>12</v>
      </c>
      <c r="BJ13" s="18">
        <v>2022</v>
      </c>
      <c r="BK13" s="18" t="s">
        <v>95</v>
      </c>
      <c r="BL13" s="18" t="s">
        <v>95</v>
      </c>
      <c r="BM13" s="18" t="s">
        <v>95</v>
      </c>
      <c r="BN13" s="18" t="s">
        <v>85</v>
      </c>
      <c r="BO13" s="18" t="s">
        <v>86</v>
      </c>
      <c r="BP13" s="18" t="s">
        <v>90</v>
      </c>
      <c r="BQ13" s="18" t="s">
        <v>8106</v>
      </c>
      <c r="BR13" s="18" t="s">
        <v>92</v>
      </c>
      <c r="BS13" s="18" t="s">
        <v>8074</v>
      </c>
      <c r="BT13" s="18" t="s">
        <v>7989</v>
      </c>
      <c r="BU13" s="18" t="s">
        <v>496</v>
      </c>
      <c r="BV13" s="18" t="str">
        <f>Terminales[[#This Row],[IMEI]]&amp;"SI"</f>
        <v>353842195019888SI</v>
      </c>
      <c r="BW13" s="18" t="str">
        <f>VLOOKUP(Terminales[[#This Row],[OFICINA_USUARIO]],[1]!Locales[#Data],3,0)</f>
        <v>TIENDA CUENCA CENTRO</v>
      </c>
      <c r="BX13" s="18" t="str">
        <f>VLOOKUP(Terminales[[#This Row],[USUARIO_FINAL]],'[1]Personal Ppto vs Real'!$A:$F,6,0)</f>
        <v>ANDRADE CONDO CHRISTIAN EDUARDO</v>
      </c>
      <c r="BY1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3" s="18">
        <f>DAY(Terminales[[#This Row],[FECHA_FACTURA]])</f>
        <v>1</v>
      </c>
      <c r="CB13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13" s="65">
        <f>IFERROR(IF(AND(Terminales[[#This Row],[CANTIDAD]] = 1,Terminales[[#This Row],[MOVIMIENTO]] = "RENOVACION"),Terminales[[#This Row],[TARIFA_BASICA]]*0.5,),)</f>
        <v>0</v>
      </c>
      <c r="CD13" s="65">
        <f>IF('[1]Resumen TM'!$AW$20 &lt; 0.4,0,Terminales[[#This Row],[MONTO]]*0.02)</f>
        <v>8.125</v>
      </c>
      <c r="CE13" s="66">
        <f>Terminales[[#This Row],[COMISIONES TERMINALES]]+Terminales[[#This Row],[COMISIONES RENOVACIONES]]+Terminales[[#This Row],[COMISIONES BONO]]</f>
        <v>48.75</v>
      </c>
      <c r="CF13" s="67">
        <f>(Terminales[[#This Row],[COMISIONES TERMINALES]]*VLOOKUP(Terminales[[#This Row],[LOCALES]],[1]!Calendario[#Data],3,0))/VLOOKUP(Terminales[[#This Row],[LOCALES]],[1]!Calendario[#Data],2,0)</f>
        <v>65.840517241379317</v>
      </c>
      <c r="CG13" s="67">
        <f>(Terminales[[#This Row],[COMISIONES RENOVACIONES]]*VLOOKUP(Terminales[[#This Row],[LOCALES]],[1]!Calendario[#Data],3,0))/VLOOKUP(Terminales[[#This Row],[LOCALES]],[1]!Calendario[#Data],2,0)</f>
        <v>0</v>
      </c>
      <c r="CH13" s="67">
        <f>(Terminales[[#This Row],[COMISIONES BONO]]*VLOOKUP(Terminales[[#This Row],[LOCALES]],[1]!Calendario[#Data],3,0))/VLOOKUP(Terminales[[#This Row],[LOCALES]],[1]!Calendario[#Data],2,0)</f>
        <v>13.168103448275861</v>
      </c>
      <c r="CI13" s="67">
        <f>Terminales[[#This Row],[PROY. COM. TERMINALES]]+Terminales[[#This Row],[PROY. COM. RENOV.]]+Terminales[[#This Row],[PROY. COM. 2%]]</f>
        <v>79.008620689655174</v>
      </c>
    </row>
    <row r="14" spans="1:87" x14ac:dyDescent="0.25">
      <c r="A14" s="68">
        <v>44926</v>
      </c>
      <c r="B14" s="68">
        <v>44896</v>
      </c>
      <c r="C14" s="18" t="s">
        <v>96</v>
      </c>
      <c r="D14" s="18" t="s">
        <v>96</v>
      </c>
      <c r="E14" s="18" t="s">
        <v>96</v>
      </c>
      <c r="F14" s="18" t="s">
        <v>8107</v>
      </c>
      <c r="G14" s="18" t="s">
        <v>292</v>
      </c>
      <c r="H14" s="18" t="s">
        <v>494</v>
      </c>
      <c r="I14" s="18" t="s">
        <v>8108</v>
      </c>
      <c r="J14" s="18" t="s">
        <v>95</v>
      </c>
      <c r="K14" s="18" t="s">
        <v>7970</v>
      </c>
      <c r="L14" s="18" t="s">
        <v>8109</v>
      </c>
      <c r="M14" s="18" t="s">
        <v>8110</v>
      </c>
      <c r="N14" s="18" t="s">
        <v>8111</v>
      </c>
      <c r="O14" s="18" t="s">
        <v>338</v>
      </c>
      <c r="P14" s="18" t="s">
        <v>8112</v>
      </c>
      <c r="Q14" s="18" t="s">
        <v>7975</v>
      </c>
      <c r="R14" s="18" t="s">
        <v>7976</v>
      </c>
      <c r="S14" s="18" t="s">
        <v>7977</v>
      </c>
      <c r="T14" s="18" t="s">
        <v>7978</v>
      </c>
      <c r="U14" s="18" t="s">
        <v>7979</v>
      </c>
      <c r="V14" s="18" t="s">
        <v>6963</v>
      </c>
      <c r="W14" s="18" t="s">
        <v>95</v>
      </c>
      <c r="X14" s="18" t="s">
        <v>95</v>
      </c>
      <c r="Y14" s="18" t="s">
        <v>7980</v>
      </c>
      <c r="Z14" s="18" t="s">
        <v>6996</v>
      </c>
      <c r="AA14" s="69">
        <v>1</v>
      </c>
      <c r="AB14" s="18">
        <v>285.71429000000001</v>
      </c>
      <c r="AC14" s="18" t="s">
        <v>8113</v>
      </c>
      <c r="AD14" s="18" t="s">
        <v>96</v>
      </c>
      <c r="AE14" s="18">
        <v>235</v>
      </c>
      <c r="AF14" s="18" t="s">
        <v>7983</v>
      </c>
      <c r="AG14" s="18">
        <v>235</v>
      </c>
      <c r="AH14" s="18" t="s">
        <v>95</v>
      </c>
      <c r="AI14" s="18" t="s">
        <v>8102</v>
      </c>
      <c r="AJ14" s="18" t="s">
        <v>8103</v>
      </c>
      <c r="AK14" s="18" t="s">
        <v>95</v>
      </c>
      <c r="AL14" s="18" t="s">
        <v>95</v>
      </c>
      <c r="AM14" s="18" t="s">
        <v>95</v>
      </c>
      <c r="AN14" s="18" t="s">
        <v>7984</v>
      </c>
      <c r="AO14" s="18" t="s">
        <v>139</v>
      </c>
      <c r="AP14" s="20" t="s">
        <v>271</v>
      </c>
      <c r="AQ14" s="18" t="s">
        <v>272</v>
      </c>
      <c r="AR14" s="18" t="s">
        <v>496</v>
      </c>
      <c r="AS14" s="18">
        <v>1</v>
      </c>
      <c r="AT14" s="18" t="s">
        <v>235</v>
      </c>
      <c r="AU14" s="18" t="s">
        <v>90</v>
      </c>
      <c r="AV14" s="18" t="s">
        <v>7985</v>
      </c>
      <c r="AW14" s="18" t="s">
        <v>7986</v>
      </c>
      <c r="AX14" s="18" t="s">
        <v>83</v>
      </c>
      <c r="AY14" s="18" t="s">
        <v>95</v>
      </c>
      <c r="AZ14" s="18" t="s">
        <v>95</v>
      </c>
      <c r="BA14" s="18" t="s">
        <v>95</v>
      </c>
      <c r="BB14" s="18" t="s">
        <v>95</v>
      </c>
      <c r="BC14" s="18" t="s">
        <v>118</v>
      </c>
      <c r="BD14" s="18" t="s">
        <v>95</v>
      </c>
      <c r="BE14" s="18" t="s">
        <v>95</v>
      </c>
      <c r="BF14" s="18" t="s">
        <v>95</v>
      </c>
      <c r="BG14" s="18" t="s">
        <v>95</v>
      </c>
      <c r="BH14" s="18" t="s">
        <v>95</v>
      </c>
      <c r="BI14" s="18">
        <v>12</v>
      </c>
      <c r="BJ14" s="18">
        <v>2022</v>
      </c>
      <c r="BK14" s="18" t="s">
        <v>95</v>
      </c>
      <c r="BL14" s="18" t="s">
        <v>95</v>
      </c>
      <c r="BM14" s="18" t="s">
        <v>95</v>
      </c>
      <c r="BN14" s="18" t="s">
        <v>85</v>
      </c>
      <c r="BO14" s="18" t="s">
        <v>86</v>
      </c>
      <c r="BP14" s="18" t="s">
        <v>90</v>
      </c>
      <c r="BQ14" s="18" t="s">
        <v>8016</v>
      </c>
      <c r="BR14" s="18" t="s">
        <v>139</v>
      </c>
      <c r="BS14" s="18" t="s">
        <v>8074</v>
      </c>
      <c r="BT14" s="18" t="s">
        <v>7989</v>
      </c>
      <c r="BU14" s="18" t="s">
        <v>496</v>
      </c>
      <c r="BV14" s="18" t="str">
        <f>Terminales[[#This Row],[IMEI]]&amp;"SI"</f>
        <v>866184060681421SI</v>
      </c>
      <c r="BW14" s="18" t="str">
        <f>VLOOKUP(Terminales[[#This Row],[OFICINA_USUARIO]],[1]!Locales[#Data],3,0)</f>
        <v>TIENDA CONDADO</v>
      </c>
      <c r="BX14" s="18" t="str">
        <f>VLOOKUP(Terminales[[#This Row],[USUARIO_FINAL]],'[1]Personal Ppto vs Real'!$A:$F,6,0)</f>
        <v>CASTILLO AGUIRRE EDWIN MODESTO</v>
      </c>
      <c r="BY1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4" s="18">
        <f>DAY(Terminales[[#This Row],[FECHA_FACTURA]])</f>
        <v>1</v>
      </c>
      <c r="CB14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14" s="65">
        <f>IFERROR(IF(AND(Terminales[[#This Row],[CANTIDAD]] = 1,Terminales[[#This Row],[MOVIMIENTO]] = "RENOVACION"),Terminales[[#This Row],[TARIFA_BASICA]]*0.5,),)</f>
        <v>0</v>
      </c>
      <c r="CD14" s="65">
        <f>IF('[1]Resumen TM'!$AW$20 &lt; 0.4,0,Terminales[[#This Row],[MONTO]]*0.02)</f>
        <v>5.7142857999999999</v>
      </c>
      <c r="CE14" s="66">
        <f>Terminales[[#This Row],[COMISIONES TERMINALES]]+Terminales[[#This Row],[COMISIONES RENOVACIONES]]+Terminales[[#This Row],[COMISIONES BONO]]</f>
        <v>34.285714800000001</v>
      </c>
      <c r="CF14" s="67">
        <f>(Terminales[[#This Row],[COMISIONES TERMINALES]]*VLOOKUP(Terminales[[#This Row],[LOCALES]],[1]!Calendario[#Data],3,0))/VLOOKUP(Terminales[[#This Row],[LOCALES]],[1]!Calendario[#Data],2,0)</f>
        <v>47.004609000000002</v>
      </c>
      <c r="CG14" s="67">
        <f>(Terminales[[#This Row],[COMISIONES RENOVACIONES]]*VLOOKUP(Terminales[[#This Row],[LOCALES]],[1]!Calendario[#Data],3,0))/VLOOKUP(Terminales[[#This Row],[LOCALES]],[1]!Calendario[#Data],2,0)</f>
        <v>0</v>
      </c>
      <c r="CH14" s="67">
        <f>(Terminales[[#This Row],[COMISIONES BONO]]*VLOOKUP(Terminales[[#This Row],[LOCALES]],[1]!Calendario[#Data],3,0))/VLOOKUP(Terminales[[#This Row],[LOCALES]],[1]!Calendario[#Data],2,0)</f>
        <v>9.400921799999999</v>
      </c>
      <c r="CI14" s="67">
        <f>Terminales[[#This Row],[PROY. COM. TERMINALES]]+Terminales[[#This Row],[PROY. COM. RENOV.]]+Terminales[[#This Row],[PROY. COM. 2%]]</f>
        <v>56.405530800000001</v>
      </c>
    </row>
    <row r="15" spans="1:87" x14ac:dyDescent="0.25">
      <c r="A15" s="68">
        <v>44926</v>
      </c>
      <c r="B15" s="68">
        <v>44896</v>
      </c>
      <c r="C15" s="18" t="s">
        <v>96</v>
      </c>
      <c r="D15" s="18" t="s">
        <v>96</v>
      </c>
      <c r="E15" s="18" t="s">
        <v>96</v>
      </c>
      <c r="F15" s="18" t="s">
        <v>8114</v>
      </c>
      <c r="G15" s="18" t="s">
        <v>292</v>
      </c>
      <c r="H15" s="18" t="s">
        <v>494</v>
      </c>
      <c r="I15" s="18" t="s">
        <v>8115</v>
      </c>
      <c r="J15" s="18" t="s">
        <v>95</v>
      </c>
      <c r="K15" s="18" t="s">
        <v>7970</v>
      </c>
      <c r="L15" s="18" t="s">
        <v>8116</v>
      </c>
      <c r="M15" s="18" t="s">
        <v>8117</v>
      </c>
      <c r="N15" s="18" t="s">
        <v>8118</v>
      </c>
      <c r="O15" s="18" t="s">
        <v>338</v>
      </c>
      <c r="P15" s="18" t="s">
        <v>8119</v>
      </c>
      <c r="Q15" s="18" t="s">
        <v>7975</v>
      </c>
      <c r="R15" s="18" t="s">
        <v>7976</v>
      </c>
      <c r="S15" s="18" t="s">
        <v>7977</v>
      </c>
      <c r="T15" s="18" t="s">
        <v>7978</v>
      </c>
      <c r="U15" s="18" t="s">
        <v>7979</v>
      </c>
      <c r="V15" s="18" t="s">
        <v>6963</v>
      </c>
      <c r="W15" s="18" t="s">
        <v>95</v>
      </c>
      <c r="X15" s="18" t="s">
        <v>95</v>
      </c>
      <c r="Y15" s="18" t="s">
        <v>7980</v>
      </c>
      <c r="Z15" s="18" t="s">
        <v>6996</v>
      </c>
      <c r="AA15" s="69">
        <v>1</v>
      </c>
      <c r="AB15" s="18">
        <v>285.71429000000001</v>
      </c>
      <c r="AC15" s="18" t="s">
        <v>8120</v>
      </c>
      <c r="AD15" s="18" t="s">
        <v>96</v>
      </c>
      <c r="AE15" s="18">
        <v>235</v>
      </c>
      <c r="AF15" s="18" t="s">
        <v>7983</v>
      </c>
      <c r="AG15" s="18">
        <v>235</v>
      </c>
      <c r="AH15" s="18" t="s">
        <v>95</v>
      </c>
      <c r="AI15" s="18" t="s">
        <v>8102</v>
      </c>
      <c r="AJ15" s="18" t="s">
        <v>8103</v>
      </c>
      <c r="AK15" s="18" t="s">
        <v>95</v>
      </c>
      <c r="AL15" s="18" t="s">
        <v>95</v>
      </c>
      <c r="AM15" s="18" t="s">
        <v>95</v>
      </c>
      <c r="AN15" s="18" t="s">
        <v>7984</v>
      </c>
      <c r="AO15" s="18" t="s">
        <v>8121</v>
      </c>
      <c r="AP15" s="20" t="s">
        <v>271</v>
      </c>
      <c r="AQ15" s="18" t="s">
        <v>272</v>
      </c>
      <c r="AR15" s="18" t="s">
        <v>496</v>
      </c>
      <c r="AS15" s="18">
        <v>1</v>
      </c>
      <c r="AT15" s="18" t="s">
        <v>235</v>
      </c>
      <c r="AU15" s="18" t="s">
        <v>90</v>
      </c>
      <c r="AV15" s="18" t="s">
        <v>7985</v>
      </c>
      <c r="AW15" s="18" t="s">
        <v>7986</v>
      </c>
      <c r="AX15" s="18" t="s">
        <v>83</v>
      </c>
      <c r="AY15" s="18" t="s">
        <v>95</v>
      </c>
      <c r="AZ15" s="18" t="s">
        <v>95</v>
      </c>
      <c r="BA15" s="18" t="s">
        <v>95</v>
      </c>
      <c r="BB15" s="18" t="s">
        <v>95</v>
      </c>
      <c r="BC15" s="18" t="s">
        <v>118</v>
      </c>
      <c r="BD15" s="18" t="s">
        <v>95</v>
      </c>
      <c r="BE15" s="18" t="s">
        <v>95</v>
      </c>
      <c r="BF15" s="18" t="s">
        <v>95</v>
      </c>
      <c r="BG15" s="18" t="s">
        <v>95</v>
      </c>
      <c r="BH15" s="18" t="s">
        <v>95</v>
      </c>
      <c r="BI15" s="18">
        <v>12</v>
      </c>
      <c r="BJ15" s="18">
        <v>2022</v>
      </c>
      <c r="BK15" s="18" t="s">
        <v>95</v>
      </c>
      <c r="BL15" s="18" t="s">
        <v>95</v>
      </c>
      <c r="BM15" s="18" t="s">
        <v>95</v>
      </c>
      <c r="BN15" s="18" t="s">
        <v>85</v>
      </c>
      <c r="BO15" s="18" t="s">
        <v>86</v>
      </c>
      <c r="BP15" s="18" t="s">
        <v>90</v>
      </c>
      <c r="BQ15" s="18" t="s">
        <v>8016</v>
      </c>
      <c r="BR15" s="18" t="s">
        <v>8121</v>
      </c>
      <c r="BS15" s="18" t="s">
        <v>8074</v>
      </c>
      <c r="BT15" s="18" t="s">
        <v>7989</v>
      </c>
      <c r="BU15" s="18" t="s">
        <v>496</v>
      </c>
      <c r="BV15" s="18" t="str">
        <f>Terminales[[#This Row],[IMEI]]&amp;"SI"</f>
        <v>866184060684169SI</v>
      </c>
      <c r="BW15" s="18" t="str">
        <f>VLOOKUP(Terminales[[#This Row],[OFICINA_USUARIO]],[1]!Locales[#Data],3,0)</f>
        <v>TIENDA CONDADO</v>
      </c>
      <c r="BX15" s="18" t="str">
        <f>VLOOKUP(Terminales[[#This Row],[USUARIO_FINAL]],'[1]Personal Ppto vs Real'!$A:$F,6,0)</f>
        <v>CASTILLO AGUIRRE EDWIN MODESTO</v>
      </c>
      <c r="BY1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5" s="18">
        <f>DAY(Terminales[[#This Row],[FECHA_FACTURA]])</f>
        <v>1</v>
      </c>
      <c r="CB15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15" s="65">
        <f>IFERROR(IF(AND(Terminales[[#This Row],[CANTIDAD]] = 1,Terminales[[#This Row],[MOVIMIENTO]] = "RENOVACION"),Terminales[[#This Row],[TARIFA_BASICA]]*0.5,),)</f>
        <v>0</v>
      </c>
      <c r="CD15" s="65">
        <f>IF('[1]Resumen TM'!$AW$20 &lt; 0.4,0,Terminales[[#This Row],[MONTO]]*0.02)</f>
        <v>5.7142857999999999</v>
      </c>
      <c r="CE15" s="66">
        <f>Terminales[[#This Row],[COMISIONES TERMINALES]]+Terminales[[#This Row],[COMISIONES RENOVACIONES]]+Terminales[[#This Row],[COMISIONES BONO]]</f>
        <v>34.285714800000001</v>
      </c>
      <c r="CF15" s="67">
        <f>(Terminales[[#This Row],[COMISIONES TERMINALES]]*VLOOKUP(Terminales[[#This Row],[LOCALES]],[1]!Calendario[#Data],3,0))/VLOOKUP(Terminales[[#This Row],[LOCALES]],[1]!Calendario[#Data],2,0)</f>
        <v>47.004609000000002</v>
      </c>
      <c r="CG15" s="67">
        <f>(Terminales[[#This Row],[COMISIONES RENOVACIONES]]*VLOOKUP(Terminales[[#This Row],[LOCALES]],[1]!Calendario[#Data],3,0))/VLOOKUP(Terminales[[#This Row],[LOCALES]],[1]!Calendario[#Data],2,0)</f>
        <v>0</v>
      </c>
      <c r="CH15" s="67">
        <f>(Terminales[[#This Row],[COMISIONES BONO]]*VLOOKUP(Terminales[[#This Row],[LOCALES]],[1]!Calendario[#Data],3,0))/VLOOKUP(Terminales[[#This Row],[LOCALES]],[1]!Calendario[#Data],2,0)</f>
        <v>9.400921799999999</v>
      </c>
      <c r="CI15" s="67">
        <f>Terminales[[#This Row],[PROY. COM. TERMINALES]]+Terminales[[#This Row],[PROY. COM. RENOV.]]+Terminales[[#This Row],[PROY. COM. 2%]]</f>
        <v>56.405530800000001</v>
      </c>
    </row>
    <row r="16" spans="1:87" x14ac:dyDescent="0.25">
      <c r="A16" s="68">
        <v>44926</v>
      </c>
      <c r="B16" s="68">
        <v>44897</v>
      </c>
      <c r="C16" s="18" t="s">
        <v>291</v>
      </c>
      <c r="D16" s="18" t="s">
        <v>78</v>
      </c>
      <c r="E16" s="18" t="s">
        <v>7125</v>
      </c>
      <c r="F16" s="18" t="s">
        <v>8122</v>
      </c>
      <c r="G16" s="18" t="s">
        <v>292</v>
      </c>
      <c r="H16" s="18" t="s">
        <v>293</v>
      </c>
      <c r="I16" s="18" t="s">
        <v>8123</v>
      </c>
      <c r="J16" s="18" t="s">
        <v>95</v>
      </c>
      <c r="K16" s="18" t="s">
        <v>7970</v>
      </c>
      <c r="L16" s="18" t="s">
        <v>8124</v>
      </c>
      <c r="M16" s="18" t="s">
        <v>8125</v>
      </c>
      <c r="N16" s="18" t="s">
        <v>8126</v>
      </c>
      <c r="O16" s="18" t="s">
        <v>8127</v>
      </c>
      <c r="P16" s="18" t="s">
        <v>8128</v>
      </c>
      <c r="Q16" s="18" t="s">
        <v>7975</v>
      </c>
      <c r="R16" s="18" t="s">
        <v>7976</v>
      </c>
      <c r="S16" s="18" t="s">
        <v>8045</v>
      </c>
      <c r="T16" s="18" t="s">
        <v>8129</v>
      </c>
      <c r="U16" s="18" t="s">
        <v>8012</v>
      </c>
      <c r="V16" s="18" t="s">
        <v>6963</v>
      </c>
      <c r="W16" s="18" t="s">
        <v>95</v>
      </c>
      <c r="X16" s="18" t="s">
        <v>95</v>
      </c>
      <c r="Y16" s="18" t="s">
        <v>7980</v>
      </c>
      <c r="Z16" s="18" t="s">
        <v>6996</v>
      </c>
      <c r="AA16" s="69">
        <v>1</v>
      </c>
      <c r="AB16" s="18">
        <v>321.42856999999998</v>
      </c>
      <c r="AC16" s="18" t="s">
        <v>8130</v>
      </c>
      <c r="AD16" s="18" t="s">
        <v>7982</v>
      </c>
      <c r="AE16" s="18">
        <v>199.5</v>
      </c>
      <c r="AF16" s="18" t="s">
        <v>7983</v>
      </c>
      <c r="AG16" s="18">
        <v>199.5</v>
      </c>
      <c r="AH16" s="18" t="s">
        <v>95</v>
      </c>
      <c r="AI16" s="18" t="s">
        <v>7487</v>
      </c>
      <c r="AJ16" s="18" t="s">
        <v>7504</v>
      </c>
      <c r="AK16" s="18">
        <v>16.989999999999998</v>
      </c>
      <c r="AL16" s="18" t="s">
        <v>95</v>
      </c>
      <c r="AM16" s="18" t="s">
        <v>95</v>
      </c>
      <c r="AN16" s="18" t="s">
        <v>7984</v>
      </c>
      <c r="AO16" s="18" t="s">
        <v>92</v>
      </c>
      <c r="AP16" s="20" t="s">
        <v>352</v>
      </c>
      <c r="AQ16" s="18" t="s">
        <v>353</v>
      </c>
      <c r="AR16" s="18" t="s">
        <v>295</v>
      </c>
      <c r="AS16" s="18">
        <v>12</v>
      </c>
      <c r="AT16" s="18" t="s">
        <v>122</v>
      </c>
      <c r="AU16" s="18" t="s">
        <v>90</v>
      </c>
      <c r="AV16" s="18" t="s">
        <v>8131</v>
      </c>
      <c r="AW16" s="18" t="s">
        <v>8132</v>
      </c>
      <c r="AX16" s="18" t="s">
        <v>83</v>
      </c>
      <c r="AY16" s="18" t="s">
        <v>95</v>
      </c>
      <c r="AZ16" s="18" t="s">
        <v>95</v>
      </c>
      <c r="BA16" s="18" t="s">
        <v>95</v>
      </c>
      <c r="BB16" s="18" t="s">
        <v>95</v>
      </c>
      <c r="BC16" s="18" t="s">
        <v>215</v>
      </c>
      <c r="BD16" s="18">
        <v>63</v>
      </c>
      <c r="BE16" s="18" t="s">
        <v>95</v>
      </c>
      <c r="BF16" s="18" t="s">
        <v>95</v>
      </c>
      <c r="BG16" s="18" t="s">
        <v>95</v>
      </c>
      <c r="BH16" s="18" t="s">
        <v>95</v>
      </c>
      <c r="BI16" s="18">
        <v>12</v>
      </c>
      <c r="BJ16" s="18">
        <v>2022</v>
      </c>
      <c r="BK16" s="18" t="s">
        <v>95</v>
      </c>
      <c r="BL16" s="18" t="s">
        <v>95</v>
      </c>
      <c r="BM16" s="18" t="s">
        <v>95</v>
      </c>
      <c r="BN16" s="18" t="s">
        <v>85</v>
      </c>
      <c r="BO16" s="18" t="s">
        <v>86</v>
      </c>
      <c r="BP16" s="18" t="s">
        <v>90</v>
      </c>
      <c r="BQ16" s="18" t="s">
        <v>8050</v>
      </c>
      <c r="BR16" s="18" t="s">
        <v>92</v>
      </c>
      <c r="BS16" s="18" t="s">
        <v>7988</v>
      </c>
      <c r="BT16" s="18" t="s">
        <v>7989</v>
      </c>
      <c r="BU16" s="18" t="s">
        <v>7990</v>
      </c>
      <c r="BV16" s="18" t="str">
        <f>Terminales[[#This Row],[IMEI]]&amp;"SI"</f>
        <v>352460882852833SI</v>
      </c>
      <c r="BW16" s="18" t="str">
        <f>VLOOKUP(Terminales[[#This Row],[OFICINA_USUARIO]],[1]!Locales[#Data],3,0)</f>
        <v>TIENDA MACHALA</v>
      </c>
      <c r="BX16" s="18" t="str">
        <f>VLOOKUP(Terminales[[#This Row],[USUARIO_FINAL]],'[1]Personal Ppto vs Real'!$A:$F,6,0)</f>
        <v>TENORIO MARIA DEL PILAR</v>
      </c>
      <c r="BY1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6" s="18">
        <f>DAY(Terminales[[#This Row],[FECHA_FACTURA]])</f>
        <v>2</v>
      </c>
      <c r="CB16" s="65">
        <f>IF(Terminales[[#This Row],[CANTIDAD]] = 1,INDEX([1]!Comisiones[#Data],MATCH("Terminales",[1]!Comisiones[Producto],0),MATCH(Terminales[[#This Row],[TIPO ALTA COMISIONES]],[1]!Comisiones[#Headers],0))*Terminales[[#This Row],[MONTO]],0)</f>
        <v>19.285714199999997</v>
      </c>
      <c r="CC16" s="65">
        <f>IFERROR(IF(AND(Terminales[[#This Row],[CANTIDAD]] = 1,Terminales[[#This Row],[MOVIMIENTO]] = "RENOVACION"),Terminales[[#This Row],[TARIFA_BASICA]]*0.5,),)</f>
        <v>8.4949999999999992</v>
      </c>
      <c r="CD16" s="65">
        <f>IF('[1]Resumen TM'!$AW$20 &lt; 0.4,0,Terminales[[#This Row],[MONTO]]*0.02)</f>
        <v>6.4285714</v>
      </c>
      <c r="CE16" s="66">
        <f>Terminales[[#This Row],[COMISIONES TERMINALES]]+Terminales[[#This Row],[COMISIONES RENOVACIONES]]+Terminales[[#This Row],[COMISIONES BONO]]</f>
        <v>34.209285600000001</v>
      </c>
      <c r="CF16" s="67">
        <f>(Terminales[[#This Row],[COMISIONES TERMINALES]]*VLOOKUP(Terminales[[#This Row],[LOCALES]],[1]!Calendario[#Data],3,0))/VLOOKUP(Terminales[[#This Row],[LOCALES]],[1]!Calendario[#Data],2,0)</f>
        <v>31.256157496551722</v>
      </c>
      <c r="CG16" s="67">
        <f>(Terminales[[#This Row],[COMISIONES RENOVACIONES]]*VLOOKUP(Terminales[[#This Row],[LOCALES]],[1]!Calendario[#Data],3,0))/VLOOKUP(Terminales[[#This Row],[LOCALES]],[1]!Calendario[#Data],2,0)</f>
        <v>13.767758620689655</v>
      </c>
      <c r="CH16" s="67">
        <f>(Terminales[[#This Row],[COMISIONES BONO]]*VLOOKUP(Terminales[[#This Row],[LOCALES]],[1]!Calendario[#Data],3,0))/VLOOKUP(Terminales[[#This Row],[LOCALES]],[1]!Calendario[#Data],2,0)</f>
        <v>10.418719165517242</v>
      </c>
      <c r="CI16" s="67">
        <f>Terminales[[#This Row],[PROY. COM. TERMINALES]]+Terminales[[#This Row],[PROY. COM. RENOV.]]+Terminales[[#This Row],[PROY. COM. 2%]]</f>
        <v>55.442635282758616</v>
      </c>
    </row>
    <row r="17" spans="1:87" x14ac:dyDescent="0.25">
      <c r="A17" s="68">
        <v>44926</v>
      </c>
      <c r="B17" s="68">
        <v>44897</v>
      </c>
      <c r="C17" s="18" t="s">
        <v>96</v>
      </c>
      <c r="D17" s="18" t="s">
        <v>96</v>
      </c>
      <c r="E17" s="18" t="s">
        <v>96</v>
      </c>
      <c r="F17" s="18" t="s">
        <v>8133</v>
      </c>
      <c r="G17" s="18" t="s">
        <v>292</v>
      </c>
      <c r="H17" s="18" t="s">
        <v>494</v>
      </c>
      <c r="I17" s="18" t="s">
        <v>8134</v>
      </c>
      <c r="J17" s="18" t="s">
        <v>95</v>
      </c>
      <c r="K17" s="18" t="s">
        <v>7970</v>
      </c>
      <c r="L17" s="18" t="s">
        <v>8135</v>
      </c>
      <c r="M17" s="18" t="s">
        <v>8136</v>
      </c>
      <c r="N17" s="18" t="s">
        <v>8137</v>
      </c>
      <c r="O17" s="18" t="s">
        <v>3770</v>
      </c>
      <c r="P17" s="18" t="s">
        <v>8138</v>
      </c>
      <c r="Q17" s="18" t="s">
        <v>7975</v>
      </c>
      <c r="R17" s="18" t="s">
        <v>7976</v>
      </c>
      <c r="S17" s="18" t="s">
        <v>8045</v>
      </c>
      <c r="T17" s="18" t="s">
        <v>8099</v>
      </c>
      <c r="U17" s="18" t="s">
        <v>8100</v>
      </c>
      <c r="V17" s="18" t="s">
        <v>6963</v>
      </c>
      <c r="W17" s="18" t="s">
        <v>95</v>
      </c>
      <c r="X17" s="18" t="s">
        <v>95</v>
      </c>
      <c r="Y17" s="18" t="s">
        <v>7980</v>
      </c>
      <c r="Z17" s="18" t="s">
        <v>6996</v>
      </c>
      <c r="AA17" s="69">
        <v>1</v>
      </c>
      <c r="AB17" s="18">
        <v>406.25</v>
      </c>
      <c r="AC17" s="18" t="s">
        <v>8139</v>
      </c>
      <c r="AD17" s="18" t="s">
        <v>7982</v>
      </c>
      <c r="AE17" s="18">
        <v>396.5</v>
      </c>
      <c r="AF17" s="18" t="s">
        <v>7983</v>
      </c>
      <c r="AG17" s="18">
        <v>396.5</v>
      </c>
      <c r="AH17" s="18" t="s">
        <v>95</v>
      </c>
      <c r="AI17" s="18" t="s">
        <v>8102</v>
      </c>
      <c r="AJ17" s="18" t="s">
        <v>8103</v>
      </c>
      <c r="AK17" s="18" t="s">
        <v>95</v>
      </c>
      <c r="AL17" s="18" t="s">
        <v>95</v>
      </c>
      <c r="AM17" s="18" t="s">
        <v>95</v>
      </c>
      <c r="AN17" s="18" t="s">
        <v>7984</v>
      </c>
      <c r="AO17" s="18" t="s">
        <v>92</v>
      </c>
      <c r="AP17" s="20" t="s">
        <v>385</v>
      </c>
      <c r="AQ17" s="18" t="s">
        <v>386</v>
      </c>
      <c r="AR17" s="18" t="s">
        <v>496</v>
      </c>
      <c r="AS17" s="18">
        <v>1</v>
      </c>
      <c r="AT17" s="18" t="s">
        <v>151</v>
      </c>
      <c r="AU17" s="18" t="s">
        <v>90</v>
      </c>
      <c r="AV17" s="18" t="s">
        <v>8104</v>
      </c>
      <c r="AW17" s="18" t="s">
        <v>8105</v>
      </c>
      <c r="AX17" s="18" t="s">
        <v>83</v>
      </c>
      <c r="AY17" s="18" t="s">
        <v>95</v>
      </c>
      <c r="AZ17" s="18" t="s">
        <v>95</v>
      </c>
      <c r="BA17" s="18" t="s">
        <v>95</v>
      </c>
      <c r="BB17" s="18" t="s">
        <v>95</v>
      </c>
      <c r="BC17" s="18" t="s">
        <v>118</v>
      </c>
      <c r="BD17" s="18" t="s">
        <v>95</v>
      </c>
      <c r="BE17" s="18" t="s">
        <v>8140</v>
      </c>
      <c r="BF17" s="18" t="s">
        <v>8064</v>
      </c>
      <c r="BG17" s="18" t="s">
        <v>95</v>
      </c>
      <c r="BH17" s="18" t="s">
        <v>95</v>
      </c>
      <c r="BI17" s="18">
        <v>12</v>
      </c>
      <c r="BJ17" s="18">
        <v>2022</v>
      </c>
      <c r="BK17" s="18" t="s">
        <v>95</v>
      </c>
      <c r="BL17" s="18" t="s">
        <v>95</v>
      </c>
      <c r="BM17" s="18" t="s">
        <v>95</v>
      </c>
      <c r="BN17" s="18" t="s">
        <v>85</v>
      </c>
      <c r="BO17" s="18" t="s">
        <v>86</v>
      </c>
      <c r="BP17" s="18" t="s">
        <v>90</v>
      </c>
      <c r="BQ17" s="18" t="s">
        <v>8141</v>
      </c>
      <c r="BR17" s="18" t="s">
        <v>92</v>
      </c>
      <c r="BS17" s="18" t="s">
        <v>8003</v>
      </c>
      <c r="BT17" s="18" t="s">
        <v>7989</v>
      </c>
      <c r="BU17" s="18" t="s">
        <v>496</v>
      </c>
      <c r="BV17" s="18" t="str">
        <f>Terminales[[#This Row],[IMEI]]&amp;"SI"</f>
        <v>353842195595416SI</v>
      </c>
      <c r="BW17" s="18" t="str">
        <f>VLOOKUP(Terminales[[#This Row],[OFICINA_USUARIO]],[1]!Locales[#Data],3,0)</f>
        <v>TIENDA CUENCA REMIGIO</v>
      </c>
      <c r="BX17" s="18" t="str">
        <f>VLOOKUP(Terminales[[#This Row],[USUARIO_FINAL]],'[1]Personal Ppto vs Real'!$A:$F,6,0)</f>
        <v>RAMIREZ RUBIO NELLY LILIANA</v>
      </c>
      <c r="BY1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7" s="18">
        <f>DAY(Terminales[[#This Row],[FECHA_FACTURA]])</f>
        <v>2</v>
      </c>
      <c r="CB17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17" s="65">
        <f>IFERROR(IF(AND(Terminales[[#This Row],[CANTIDAD]] = 1,Terminales[[#This Row],[MOVIMIENTO]] = "RENOVACION"),Terminales[[#This Row],[TARIFA_BASICA]]*0.5,),)</f>
        <v>0</v>
      </c>
      <c r="CD17" s="65">
        <f>IF('[1]Resumen TM'!$AW$20 &lt; 0.4,0,Terminales[[#This Row],[MONTO]]*0.02)</f>
        <v>8.125</v>
      </c>
      <c r="CE17" s="66">
        <f>Terminales[[#This Row],[COMISIONES TERMINALES]]+Terminales[[#This Row],[COMISIONES RENOVACIONES]]+Terminales[[#This Row],[COMISIONES BONO]]</f>
        <v>48.75</v>
      </c>
      <c r="CF17" s="67">
        <f>(Terminales[[#This Row],[COMISIONES TERMINALES]]*VLOOKUP(Terminales[[#This Row],[LOCALES]],[1]!Calendario[#Data],3,0))/VLOOKUP(Terminales[[#This Row],[LOCALES]],[1]!Calendario[#Data],2,0)</f>
        <v>65.840517241379317</v>
      </c>
      <c r="CG17" s="67">
        <f>(Terminales[[#This Row],[COMISIONES RENOVACIONES]]*VLOOKUP(Terminales[[#This Row],[LOCALES]],[1]!Calendario[#Data],3,0))/VLOOKUP(Terminales[[#This Row],[LOCALES]],[1]!Calendario[#Data],2,0)</f>
        <v>0</v>
      </c>
      <c r="CH17" s="67">
        <f>(Terminales[[#This Row],[COMISIONES BONO]]*VLOOKUP(Terminales[[#This Row],[LOCALES]],[1]!Calendario[#Data],3,0))/VLOOKUP(Terminales[[#This Row],[LOCALES]],[1]!Calendario[#Data],2,0)</f>
        <v>13.168103448275861</v>
      </c>
      <c r="CI17" s="67">
        <f>Terminales[[#This Row],[PROY. COM. TERMINALES]]+Terminales[[#This Row],[PROY. COM. RENOV.]]+Terminales[[#This Row],[PROY. COM. 2%]]</f>
        <v>79.008620689655174</v>
      </c>
    </row>
    <row r="18" spans="1:87" x14ac:dyDescent="0.25">
      <c r="A18" s="68">
        <v>44926</v>
      </c>
      <c r="B18" s="68">
        <v>44897</v>
      </c>
      <c r="C18" s="18" t="s">
        <v>291</v>
      </c>
      <c r="D18" s="18" t="s">
        <v>521</v>
      </c>
      <c r="E18" s="18" t="s">
        <v>8017</v>
      </c>
      <c r="F18" s="18" t="s">
        <v>8142</v>
      </c>
      <c r="G18" s="18" t="s">
        <v>292</v>
      </c>
      <c r="H18" s="18" t="s">
        <v>293</v>
      </c>
      <c r="I18" s="18" t="s">
        <v>8143</v>
      </c>
      <c r="J18" s="18" t="s">
        <v>95</v>
      </c>
      <c r="K18" s="18" t="s">
        <v>7970</v>
      </c>
      <c r="L18" s="18" t="s">
        <v>8144</v>
      </c>
      <c r="M18" s="18" t="s">
        <v>8145</v>
      </c>
      <c r="N18" s="18" t="s">
        <v>8146</v>
      </c>
      <c r="O18" s="18" t="s">
        <v>2260</v>
      </c>
      <c r="P18" s="18" t="s">
        <v>8147</v>
      </c>
      <c r="Q18" s="18" t="s">
        <v>7975</v>
      </c>
      <c r="R18" s="18" t="s">
        <v>7976</v>
      </c>
      <c r="S18" s="18" t="s">
        <v>8010</v>
      </c>
      <c r="T18" s="18" t="s">
        <v>8011</v>
      </c>
      <c r="U18" s="18" t="s">
        <v>8012</v>
      </c>
      <c r="V18" s="18" t="s">
        <v>6963</v>
      </c>
      <c r="W18" s="18" t="s">
        <v>95</v>
      </c>
      <c r="X18" s="18" t="s">
        <v>95</v>
      </c>
      <c r="Y18" s="18" t="s">
        <v>7980</v>
      </c>
      <c r="Z18" s="18" t="s">
        <v>6996</v>
      </c>
      <c r="AA18" s="69">
        <v>1</v>
      </c>
      <c r="AB18" s="18">
        <v>271.07143000000002</v>
      </c>
      <c r="AC18" s="18" t="s">
        <v>8148</v>
      </c>
      <c r="AD18" s="18" t="s">
        <v>7982</v>
      </c>
      <c r="AE18" s="18">
        <v>168.8</v>
      </c>
      <c r="AF18" s="18" t="s">
        <v>7983</v>
      </c>
      <c r="AG18" s="18">
        <v>168.8</v>
      </c>
      <c r="AH18" s="18" t="s">
        <v>95</v>
      </c>
      <c r="AI18" s="18" t="s">
        <v>7454</v>
      </c>
      <c r="AJ18" s="18" t="s">
        <v>7511</v>
      </c>
      <c r="AK18" s="18">
        <v>20</v>
      </c>
      <c r="AL18" s="18" t="s">
        <v>95</v>
      </c>
      <c r="AM18" s="18" t="s">
        <v>95</v>
      </c>
      <c r="AN18" s="18" t="s">
        <v>7984</v>
      </c>
      <c r="AO18" s="18" t="s">
        <v>139</v>
      </c>
      <c r="AP18" s="20" t="s">
        <v>630</v>
      </c>
      <c r="AQ18" s="18" t="s">
        <v>631</v>
      </c>
      <c r="AR18" s="18" t="s">
        <v>295</v>
      </c>
      <c r="AS18" s="18">
        <v>12</v>
      </c>
      <c r="AT18" s="18" t="s">
        <v>177</v>
      </c>
      <c r="AU18" s="18" t="s">
        <v>90</v>
      </c>
      <c r="AV18" s="18" t="s">
        <v>8014</v>
      </c>
      <c r="AW18" s="18" t="s">
        <v>8015</v>
      </c>
      <c r="AX18" s="18" t="s">
        <v>83</v>
      </c>
      <c r="AY18" s="18" t="s">
        <v>95</v>
      </c>
      <c r="AZ18" s="18" t="s">
        <v>95</v>
      </c>
      <c r="BA18" s="18" t="s">
        <v>95</v>
      </c>
      <c r="BB18" s="18" t="s">
        <v>95</v>
      </c>
      <c r="BC18" s="18" t="s">
        <v>84</v>
      </c>
      <c r="BD18" s="18">
        <v>55.5</v>
      </c>
      <c r="BE18" s="18" t="s">
        <v>95</v>
      </c>
      <c r="BF18" s="18" t="s">
        <v>95</v>
      </c>
      <c r="BG18" s="18" t="s">
        <v>95</v>
      </c>
      <c r="BH18" s="18" t="s">
        <v>95</v>
      </c>
      <c r="BI18" s="18">
        <v>12</v>
      </c>
      <c r="BJ18" s="18">
        <v>2022</v>
      </c>
      <c r="BK18" s="18" t="s">
        <v>95</v>
      </c>
      <c r="BL18" s="18" t="s">
        <v>95</v>
      </c>
      <c r="BM18" s="18" t="s">
        <v>95</v>
      </c>
      <c r="BN18" s="18" t="s">
        <v>85</v>
      </c>
      <c r="BO18" s="18" t="s">
        <v>86</v>
      </c>
      <c r="BP18" s="18" t="s">
        <v>90</v>
      </c>
      <c r="BQ18" s="18" t="s">
        <v>8002</v>
      </c>
      <c r="BR18" s="18" t="s">
        <v>139</v>
      </c>
      <c r="BS18" s="18" t="s">
        <v>7988</v>
      </c>
      <c r="BT18" s="18" t="s">
        <v>7989</v>
      </c>
      <c r="BU18" s="18" t="s">
        <v>7990</v>
      </c>
      <c r="BV18" s="18" t="str">
        <f>Terminales[[#This Row],[IMEI]]&amp;"SI"</f>
        <v>359694275281704SI</v>
      </c>
      <c r="BW18" s="18" t="str">
        <f>VLOOKUP(Terminales[[#This Row],[OFICINA_USUARIO]],[1]!Locales[#Data],3,0)</f>
        <v>TIENDA RECREO</v>
      </c>
      <c r="BX18" s="18" t="str">
        <f>VLOOKUP(Terminales[[#This Row],[USUARIO_FINAL]],'[1]Personal Ppto vs Real'!$A:$F,6,0)</f>
        <v>LOAYZA AGUILAR JONATHAN FABIAN</v>
      </c>
      <c r="BY1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8" s="18">
        <f>DAY(Terminales[[#This Row],[FECHA_FACTURA]])</f>
        <v>2</v>
      </c>
      <c r="CB18" s="65">
        <f>IF(Terminales[[#This Row],[CANTIDAD]] = 1,INDEX([1]!Comisiones[#Data],MATCH("Terminales",[1]!Comisiones[Producto],0),MATCH(Terminales[[#This Row],[TIPO ALTA COMISIONES]],[1]!Comisiones[#Headers],0))*Terminales[[#This Row],[MONTO]],0)</f>
        <v>16.2642858</v>
      </c>
      <c r="CC18" s="65">
        <f>IFERROR(IF(AND(Terminales[[#This Row],[CANTIDAD]] = 1,Terminales[[#This Row],[MOVIMIENTO]] = "RENOVACION"),Terminales[[#This Row],[TARIFA_BASICA]]*0.5,),)</f>
        <v>10</v>
      </c>
      <c r="CD18" s="65">
        <f>IF('[1]Resumen TM'!$AW$20 &lt; 0.4,0,Terminales[[#This Row],[MONTO]]*0.02)</f>
        <v>5.4214286000000005</v>
      </c>
      <c r="CE18" s="66">
        <f>Terminales[[#This Row],[COMISIONES TERMINALES]]+Terminales[[#This Row],[COMISIONES RENOVACIONES]]+Terminales[[#This Row],[COMISIONES BONO]]</f>
        <v>31.685714400000002</v>
      </c>
      <c r="CF18" s="67">
        <f>(Terminales[[#This Row],[COMISIONES TERMINALES]]*VLOOKUP(Terminales[[#This Row],[LOCALES]],[1]!Calendario[#Data],3,0))/VLOOKUP(Terminales[[#This Row],[LOCALES]],[1]!Calendario[#Data],2,0)</f>
        <v>26.757373412903224</v>
      </c>
      <c r="CG18" s="67">
        <f>(Terminales[[#This Row],[COMISIONES RENOVACIONES]]*VLOOKUP(Terminales[[#This Row],[LOCALES]],[1]!Calendario[#Data],3,0))/VLOOKUP(Terminales[[#This Row],[LOCALES]],[1]!Calendario[#Data],2,0)</f>
        <v>16.451612903225808</v>
      </c>
      <c r="CH18" s="67">
        <f>(Terminales[[#This Row],[COMISIONES BONO]]*VLOOKUP(Terminales[[#This Row],[LOCALES]],[1]!Calendario[#Data],3,0))/VLOOKUP(Terminales[[#This Row],[LOCALES]],[1]!Calendario[#Data],2,0)</f>
        <v>8.9191244709677431</v>
      </c>
      <c r="CI18" s="67">
        <f>Terminales[[#This Row],[PROY. COM. TERMINALES]]+Terminales[[#This Row],[PROY. COM. RENOV.]]+Terminales[[#This Row],[PROY. COM. 2%]]</f>
        <v>52.128110787096773</v>
      </c>
    </row>
    <row r="19" spans="1:87" x14ac:dyDescent="0.25">
      <c r="A19" s="68">
        <v>44926</v>
      </c>
      <c r="B19" s="68">
        <v>44897</v>
      </c>
      <c r="C19" s="18" t="s">
        <v>291</v>
      </c>
      <c r="D19" s="18" t="s">
        <v>78</v>
      </c>
      <c r="E19" s="18" t="s">
        <v>231</v>
      </c>
      <c r="F19" s="18" t="s">
        <v>4374</v>
      </c>
      <c r="G19" s="18" t="s">
        <v>292</v>
      </c>
      <c r="H19" s="18" t="s">
        <v>293</v>
      </c>
      <c r="I19" s="18" t="s">
        <v>8149</v>
      </c>
      <c r="J19" s="18" t="s">
        <v>95</v>
      </c>
      <c r="K19" s="18" t="s">
        <v>7970</v>
      </c>
      <c r="L19" s="18" t="s">
        <v>4375</v>
      </c>
      <c r="M19" s="18" t="s">
        <v>4376</v>
      </c>
      <c r="N19" s="18" t="s">
        <v>4377</v>
      </c>
      <c r="O19" s="18" t="s">
        <v>4380</v>
      </c>
      <c r="P19" s="18" t="s">
        <v>4378</v>
      </c>
      <c r="Q19" s="18" t="s">
        <v>7975</v>
      </c>
      <c r="R19" s="18" t="s">
        <v>7976</v>
      </c>
      <c r="S19" s="18" t="s">
        <v>7994</v>
      </c>
      <c r="T19" s="18" t="s">
        <v>7995</v>
      </c>
      <c r="U19" s="18" t="s">
        <v>7996</v>
      </c>
      <c r="V19" s="18" t="s">
        <v>6963</v>
      </c>
      <c r="W19" s="18" t="s">
        <v>95</v>
      </c>
      <c r="X19" s="18" t="s">
        <v>95</v>
      </c>
      <c r="Y19" s="18" t="s">
        <v>7980</v>
      </c>
      <c r="Z19" s="18" t="s">
        <v>6996</v>
      </c>
      <c r="AA19" s="69">
        <v>1</v>
      </c>
      <c r="AB19" s="18">
        <v>151.78570999999999</v>
      </c>
      <c r="AC19" s="18" t="s">
        <v>8150</v>
      </c>
      <c r="AD19" s="18" t="s">
        <v>8151</v>
      </c>
      <c r="AE19" s="18">
        <v>102</v>
      </c>
      <c r="AF19" s="18" t="s">
        <v>7983</v>
      </c>
      <c r="AG19" s="18">
        <v>102</v>
      </c>
      <c r="AH19" s="18" t="s">
        <v>95</v>
      </c>
      <c r="AI19" s="18" t="s">
        <v>183</v>
      </c>
      <c r="AJ19" s="18" t="s">
        <v>184</v>
      </c>
      <c r="AK19" s="18">
        <v>11.42</v>
      </c>
      <c r="AL19" s="18" t="s">
        <v>95</v>
      </c>
      <c r="AM19" s="18" t="s">
        <v>95</v>
      </c>
      <c r="AN19" s="18" t="s">
        <v>7984</v>
      </c>
      <c r="AO19" s="18" t="s">
        <v>139</v>
      </c>
      <c r="AP19" s="20" t="s">
        <v>271</v>
      </c>
      <c r="AQ19" s="18" t="s">
        <v>272</v>
      </c>
      <c r="AR19" s="18" t="s">
        <v>295</v>
      </c>
      <c r="AS19" s="18">
        <v>6</v>
      </c>
      <c r="AT19" s="18" t="s">
        <v>235</v>
      </c>
      <c r="AU19" s="18" t="s">
        <v>90</v>
      </c>
      <c r="AV19" s="18" t="s">
        <v>7998</v>
      </c>
      <c r="AW19" s="18" t="s">
        <v>7999</v>
      </c>
      <c r="AX19" s="18" t="s">
        <v>83</v>
      </c>
      <c r="AY19" s="18" t="s">
        <v>95</v>
      </c>
      <c r="AZ19" s="18" t="s">
        <v>95</v>
      </c>
      <c r="BA19" s="18" t="s">
        <v>95</v>
      </c>
      <c r="BB19" s="18" t="s">
        <v>95</v>
      </c>
      <c r="BC19" s="18" t="s">
        <v>84</v>
      </c>
      <c r="BD19" s="18">
        <v>31</v>
      </c>
      <c r="BE19" s="18" t="s">
        <v>95</v>
      </c>
      <c r="BF19" s="18" t="s">
        <v>95</v>
      </c>
      <c r="BG19" s="18" t="s">
        <v>95</v>
      </c>
      <c r="BH19" s="18" t="s">
        <v>95</v>
      </c>
      <c r="BI19" s="18">
        <v>12</v>
      </c>
      <c r="BJ19" s="18">
        <v>2022</v>
      </c>
      <c r="BK19" s="18" t="s">
        <v>95</v>
      </c>
      <c r="BL19" s="18" t="s">
        <v>95</v>
      </c>
      <c r="BM19" s="18" t="s">
        <v>95</v>
      </c>
      <c r="BN19" s="18" t="s">
        <v>85</v>
      </c>
      <c r="BO19" s="18" t="s">
        <v>86</v>
      </c>
      <c r="BP19" s="18" t="s">
        <v>90</v>
      </c>
      <c r="BQ19" s="18" t="s">
        <v>8016</v>
      </c>
      <c r="BR19" s="18" t="s">
        <v>139</v>
      </c>
      <c r="BS19" s="18" t="s">
        <v>8027</v>
      </c>
      <c r="BT19" s="18" t="s">
        <v>7989</v>
      </c>
      <c r="BU19" s="18" t="s">
        <v>7990</v>
      </c>
      <c r="BV19" s="18" t="str">
        <f>Terminales[[#This Row],[IMEI]]&amp;"SI"</f>
        <v>357321213142283SI</v>
      </c>
      <c r="BW19" s="18" t="str">
        <f>VLOOKUP(Terminales[[#This Row],[OFICINA_USUARIO]],[1]!Locales[#Data],3,0)</f>
        <v>TIENDA CONDADO</v>
      </c>
      <c r="BX19" s="18" t="str">
        <f>VLOOKUP(Terminales[[#This Row],[USUARIO_FINAL]],'[1]Personal Ppto vs Real'!$A:$F,6,0)</f>
        <v>CASTILLO AGUIRRE EDWIN MODESTO</v>
      </c>
      <c r="BY19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1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9" s="18">
        <f>DAY(Terminales[[#This Row],[FECHA_FACTURA]])</f>
        <v>2</v>
      </c>
      <c r="CB19" s="65">
        <f>IF(Terminales[[#This Row],[CANTIDAD]] = 1,INDEX([1]!Comisiones[#Data],MATCH("Terminales",[1]!Comisiones[Producto],0),MATCH(Terminales[[#This Row],[TIPO ALTA COMISIONES]],[1]!Comisiones[#Headers],0))*Terminales[[#This Row],[MONTO]],0)</f>
        <v>12.142856800000001</v>
      </c>
      <c r="CC19" s="65">
        <f>IFERROR(IF(AND(Terminales[[#This Row],[CANTIDAD]] = 1,Terminales[[#This Row],[MOVIMIENTO]] = "RENOVACION"),Terminales[[#This Row],[TARIFA_BASICA]]*0.5,),)</f>
        <v>0</v>
      </c>
      <c r="CD19" s="65">
        <f>IF('[1]Resumen TM'!$AW$20 &lt; 0.4,0,Terminales[[#This Row],[MONTO]]*0.02)</f>
        <v>3.0357142000000001</v>
      </c>
      <c r="CE19" s="66">
        <f>Terminales[[#This Row],[COMISIONES TERMINALES]]+Terminales[[#This Row],[COMISIONES RENOVACIONES]]+Terminales[[#This Row],[COMISIONES BONO]]</f>
        <v>15.178571000000002</v>
      </c>
      <c r="CF19" s="67">
        <f>(Terminales[[#This Row],[COMISIONES TERMINALES]]*VLOOKUP(Terminales[[#This Row],[LOCALES]],[1]!Calendario[#Data],3,0))/VLOOKUP(Terminales[[#This Row],[LOCALES]],[1]!Calendario[#Data],2,0)</f>
        <v>19.976957961290321</v>
      </c>
      <c r="CG19" s="67">
        <f>(Terminales[[#This Row],[COMISIONES RENOVACIONES]]*VLOOKUP(Terminales[[#This Row],[LOCALES]],[1]!Calendario[#Data],3,0))/VLOOKUP(Terminales[[#This Row],[LOCALES]],[1]!Calendario[#Data],2,0)</f>
        <v>0</v>
      </c>
      <c r="CH19" s="67">
        <f>(Terminales[[#This Row],[COMISIONES BONO]]*VLOOKUP(Terminales[[#This Row],[LOCALES]],[1]!Calendario[#Data],3,0))/VLOOKUP(Terminales[[#This Row],[LOCALES]],[1]!Calendario[#Data],2,0)</f>
        <v>4.9942394903225802</v>
      </c>
      <c r="CI19" s="67">
        <f>Terminales[[#This Row],[PROY. COM. TERMINALES]]+Terminales[[#This Row],[PROY. COM. RENOV.]]+Terminales[[#This Row],[PROY. COM. 2%]]</f>
        <v>24.971197451612902</v>
      </c>
    </row>
    <row r="20" spans="1:87" x14ac:dyDescent="0.25">
      <c r="A20" s="68">
        <v>44926</v>
      </c>
      <c r="B20" s="68">
        <v>44897</v>
      </c>
      <c r="C20" s="18" t="s">
        <v>291</v>
      </c>
      <c r="D20" s="18" t="s">
        <v>78</v>
      </c>
      <c r="E20" s="18" t="s">
        <v>231</v>
      </c>
      <c r="F20" s="18" t="s">
        <v>8152</v>
      </c>
      <c r="G20" s="18" t="s">
        <v>292</v>
      </c>
      <c r="H20" s="18" t="s">
        <v>293</v>
      </c>
      <c r="I20" s="18" t="s">
        <v>8153</v>
      </c>
      <c r="J20" s="18" t="s">
        <v>95</v>
      </c>
      <c r="K20" s="18" t="s">
        <v>7970</v>
      </c>
      <c r="L20" s="18" t="s">
        <v>4375</v>
      </c>
      <c r="M20" s="18" t="s">
        <v>4376</v>
      </c>
      <c r="N20" s="18" t="s">
        <v>4377</v>
      </c>
      <c r="O20" s="18" t="s">
        <v>2260</v>
      </c>
      <c r="P20" s="18" t="s">
        <v>8154</v>
      </c>
      <c r="Q20" s="18" t="s">
        <v>7975</v>
      </c>
      <c r="R20" s="18" t="s">
        <v>7976</v>
      </c>
      <c r="S20" s="18" t="s">
        <v>8010</v>
      </c>
      <c r="T20" s="18" t="s">
        <v>8011</v>
      </c>
      <c r="U20" s="18" t="s">
        <v>8012</v>
      </c>
      <c r="V20" s="18" t="s">
        <v>6963</v>
      </c>
      <c r="W20" s="18" t="s">
        <v>95</v>
      </c>
      <c r="X20" s="18" t="s">
        <v>95</v>
      </c>
      <c r="Y20" s="18" t="s">
        <v>7980</v>
      </c>
      <c r="Z20" s="18" t="s">
        <v>6996</v>
      </c>
      <c r="AA20" s="69">
        <v>1</v>
      </c>
      <c r="AB20" s="18">
        <v>294.64285999999998</v>
      </c>
      <c r="AC20" s="18" t="s">
        <v>8155</v>
      </c>
      <c r="AD20" s="18" t="s">
        <v>7982</v>
      </c>
      <c r="AE20" s="18">
        <v>168.8</v>
      </c>
      <c r="AF20" s="18" t="s">
        <v>7983</v>
      </c>
      <c r="AG20" s="18">
        <v>168.8</v>
      </c>
      <c r="AH20" s="18" t="s">
        <v>95</v>
      </c>
      <c r="AI20" s="18" t="s">
        <v>7281</v>
      </c>
      <c r="AJ20" s="18" t="s">
        <v>7282</v>
      </c>
      <c r="AK20" s="18">
        <v>17.03</v>
      </c>
      <c r="AL20" s="18" t="s">
        <v>95</v>
      </c>
      <c r="AM20" s="18" t="s">
        <v>95</v>
      </c>
      <c r="AN20" s="18" t="s">
        <v>7984</v>
      </c>
      <c r="AO20" s="18" t="s">
        <v>139</v>
      </c>
      <c r="AP20" s="20" t="s">
        <v>271</v>
      </c>
      <c r="AQ20" s="18" t="s">
        <v>272</v>
      </c>
      <c r="AR20" s="18" t="s">
        <v>295</v>
      </c>
      <c r="AS20" s="18">
        <v>12</v>
      </c>
      <c r="AT20" s="18" t="s">
        <v>235</v>
      </c>
      <c r="AU20" s="18" t="s">
        <v>90</v>
      </c>
      <c r="AV20" s="18" t="s">
        <v>8014</v>
      </c>
      <c r="AW20" s="18" t="s">
        <v>8015</v>
      </c>
      <c r="AX20" s="18" t="s">
        <v>83</v>
      </c>
      <c r="AY20" s="18" t="s">
        <v>95</v>
      </c>
      <c r="AZ20" s="18" t="s">
        <v>95</v>
      </c>
      <c r="BA20" s="18" t="s">
        <v>95</v>
      </c>
      <c r="BB20" s="18" t="s">
        <v>95</v>
      </c>
      <c r="BC20" s="18" t="s">
        <v>84</v>
      </c>
      <c r="BD20" s="18">
        <v>59</v>
      </c>
      <c r="BE20" s="18" t="s">
        <v>95</v>
      </c>
      <c r="BF20" s="18" t="s">
        <v>95</v>
      </c>
      <c r="BG20" s="18" t="s">
        <v>95</v>
      </c>
      <c r="BH20" s="18" t="s">
        <v>95</v>
      </c>
      <c r="BI20" s="18">
        <v>12</v>
      </c>
      <c r="BJ20" s="18">
        <v>2022</v>
      </c>
      <c r="BK20" s="18" t="s">
        <v>95</v>
      </c>
      <c r="BL20" s="18" t="s">
        <v>95</v>
      </c>
      <c r="BM20" s="18" t="s">
        <v>95</v>
      </c>
      <c r="BN20" s="18" t="s">
        <v>85</v>
      </c>
      <c r="BO20" s="18" t="s">
        <v>86</v>
      </c>
      <c r="BP20" s="18" t="s">
        <v>90</v>
      </c>
      <c r="BQ20" s="18" t="s">
        <v>8016</v>
      </c>
      <c r="BR20" s="18" t="s">
        <v>139</v>
      </c>
      <c r="BS20" s="18" t="s">
        <v>7988</v>
      </c>
      <c r="BT20" s="18" t="s">
        <v>7989</v>
      </c>
      <c r="BU20" s="18" t="s">
        <v>7990</v>
      </c>
      <c r="BV20" s="18" t="str">
        <f>Terminales[[#This Row],[IMEI]]&amp;"SI"</f>
        <v>359694275283940SI</v>
      </c>
      <c r="BW20" s="18" t="str">
        <f>VLOOKUP(Terminales[[#This Row],[OFICINA_USUARIO]],[1]!Locales[#Data],3,0)</f>
        <v>TIENDA CONDADO</v>
      </c>
      <c r="BX20" s="18" t="str">
        <f>VLOOKUP(Terminales[[#This Row],[USUARIO_FINAL]],'[1]Personal Ppto vs Real'!$A:$F,6,0)</f>
        <v>CASTILLO AGUIRRE EDWIN MODESTO</v>
      </c>
      <c r="BY2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20" s="18">
        <f>DAY(Terminales[[#This Row],[FECHA_FACTURA]])</f>
        <v>2</v>
      </c>
      <c r="CB20" s="65">
        <f>IF(Terminales[[#This Row],[CANTIDAD]] = 1,INDEX([1]!Comisiones[#Data],MATCH("Terminales",[1]!Comisiones[Producto],0),MATCH(Terminales[[#This Row],[TIPO ALTA COMISIONES]],[1]!Comisiones[#Headers],0))*Terminales[[#This Row],[MONTO]],0)</f>
        <v>17.678571599999998</v>
      </c>
      <c r="CC20" s="65">
        <f>IFERROR(IF(AND(Terminales[[#This Row],[CANTIDAD]] = 1,Terminales[[#This Row],[MOVIMIENTO]] = "RENOVACION"),Terminales[[#This Row],[TARIFA_BASICA]]*0.5,),)</f>
        <v>8.5150000000000006</v>
      </c>
      <c r="CD20" s="65">
        <f>IF('[1]Resumen TM'!$AW$20 &lt; 0.4,0,Terminales[[#This Row],[MONTO]]*0.02)</f>
        <v>5.8928571999999999</v>
      </c>
      <c r="CE20" s="66">
        <f>Terminales[[#This Row],[COMISIONES TERMINALES]]+Terminales[[#This Row],[COMISIONES RENOVACIONES]]+Terminales[[#This Row],[COMISIONES BONO]]</f>
        <v>32.0864288</v>
      </c>
      <c r="CF20" s="67">
        <f>(Terminales[[#This Row],[COMISIONES TERMINALES]]*VLOOKUP(Terminales[[#This Row],[LOCALES]],[1]!Calendario[#Data],3,0))/VLOOKUP(Terminales[[#This Row],[LOCALES]],[1]!Calendario[#Data],2,0)</f>
        <v>29.084101664516126</v>
      </c>
      <c r="CG20" s="67">
        <f>(Terminales[[#This Row],[COMISIONES RENOVACIONES]]*VLOOKUP(Terminales[[#This Row],[LOCALES]],[1]!Calendario[#Data],3,0))/VLOOKUP(Terminales[[#This Row],[LOCALES]],[1]!Calendario[#Data],2,0)</f>
        <v>14.008548387096775</v>
      </c>
      <c r="CH20" s="67">
        <f>(Terminales[[#This Row],[COMISIONES BONO]]*VLOOKUP(Terminales[[#This Row],[LOCALES]],[1]!Calendario[#Data],3,0))/VLOOKUP(Terminales[[#This Row],[LOCALES]],[1]!Calendario[#Data],2,0)</f>
        <v>9.6947005548387111</v>
      </c>
      <c r="CI20" s="67">
        <f>Terminales[[#This Row],[PROY. COM. TERMINALES]]+Terminales[[#This Row],[PROY. COM. RENOV.]]+Terminales[[#This Row],[PROY. COM. 2%]]</f>
        <v>52.787350606451611</v>
      </c>
    </row>
    <row r="21" spans="1:87" x14ac:dyDescent="0.25">
      <c r="A21" s="68">
        <v>44926</v>
      </c>
      <c r="B21" s="68">
        <v>44897</v>
      </c>
      <c r="C21" s="18" t="s">
        <v>291</v>
      </c>
      <c r="D21" s="18" t="s">
        <v>78</v>
      </c>
      <c r="E21" s="18" t="s">
        <v>2241</v>
      </c>
      <c r="F21" s="18" t="s">
        <v>8156</v>
      </c>
      <c r="G21" s="18" t="s">
        <v>292</v>
      </c>
      <c r="H21" s="18" t="s">
        <v>494</v>
      </c>
      <c r="I21" s="18" t="s">
        <v>8157</v>
      </c>
      <c r="J21" s="18" t="s">
        <v>95</v>
      </c>
      <c r="K21" s="18" t="s">
        <v>7970</v>
      </c>
      <c r="L21" s="18" t="s">
        <v>8158</v>
      </c>
      <c r="M21" s="18" t="s">
        <v>8159</v>
      </c>
      <c r="N21" s="18" t="s">
        <v>8160</v>
      </c>
      <c r="O21" s="18" t="s">
        <v>338</v>
      </c>
      <c r="P21" s="18" t="s">
        <v>8161</v>
      </c>
      <c r="Q21" s="18" t="s">
        <v>7975</v>
      </c>
      <c r="R21" s="18" t="s">
        <v>7976</v>
      </c>
      <c r="S21" s="18" t="s">
        <v>7977</v>
      </c>
      <c r="T21" s="18" t="s">
        <v>7978</v>
      </c>
      <c r="U21" s="18" t="s">
        <v>7979</v>
      </c>
      <c r="V21" s="18" t="s">
        <v>6963</v>
      </c>
      <c r="W21" s="18" t="s">
        <v>95</v>
      </c>
      <c r="X21" s="18" t="s">
        <v>95</v>
      </c>
      <c r="Y21" s="18" t="s">
        <v>7980</v>
      </c>
      <c r="Z21" s="18" t="s">
        <v>6996</v>
      </c>
      <c r="AA21" s="69">
        <v>1</v>
      </c>
      <c r="AB21" s="18">
        <v>285.71429000000001</v>
      </c>
      <c r="AC21" s="18" t="s">
        <v>8162</v>
      </c>
      <c r="AD21" s="18" t="s">
        <v>7982</v>
      </c>
      <c r="AE21" s="18">
        <v>235</v>
      </c>
      <c r="AF21" s="18" t="s">
        <v>7983</v>
      </c>
      <c r="AG21" s="18">
        <v>235</v>
      </c>
      <c r="AH21" s="18" t="s">
        <v>95</v>
      </c>
      <c r="AI21" s="18" t="s">
        <v>227</v>
      </c>
      <c r="AJ21" s="18" t="s">
        <v>426</v>
      </c>
      <c r="AK21" s="18">
        <v>21.42</v>
      </c>
      <c r="AL21" s="18" t="s">
        <v>95</v>
      </c>
      <c r="AM21" s="18" t="s">
        <v>95</v>
      </c>
      <c r="AN21" s="18" t="s">
        <v>7984</v>
      </c>
      <c r="AO21" s="18" t="s">
        <v>139</v>
      </c>
      <c r="AP21" s="20" t="s">
        <v>492</v>
      </c>
      <c r="AQ21" s="18" t="s">
        <v>493</v>
      </c>
      <c r="AR21" s="18" t="s">
        <v>496</v>
      </c>
      <c r="AS21" s="18">
        <v>1</v>
      </c>
      <c r="AT21" s="18" t="s">
        <v>177</v>
      </c>
      <c r="AU21" s="18" t="s">
        <v>90</v>
      </c>
      <c r="AV21" s="18" t="s">
        <v>7985</v>
      </c>
      <c r="AW21" s="18" t="s">
        <v>7986</v>
      </c>
      <c r="AX21" s="18" t="s">
        <v>83</v>
      </c>
      <c r="AY21" s="18" t="s">
        <v>95</v>
      </c>
      <c r="AZ21" s="18" t="s">
        <v>95</v>
      </c>
      <c r="BA21" s="18" t="s">
        <v>95</v>
      </c>
      <c r="BB21" s="18" t="s">
        <v>95</v>
      </c>
      <c r="BC21" s="18" t="s">
        <v>215</v>
      </c>
      <c r="BD21" s="18" t="s">
        <v>95</v>
      </c>
      <c r="BE21" s="18" t="s">
        <v>8063</v>
      </c>
      <c r="BF21" s="18" t="s">
        <v>8064</v>
      </c>
      <c r="BG21" s="18" t="s">
        <v>95</v>
      </c>
      <c r="BH21" s="18" t="s">
        <v>95</v>
      </c>
      <c r="BI21" s="18">
        <v>12</v>
      </c>
      <c r="BJ21" s="18">
        <v>2022</v>
      </c>
      <c r="BK21" s="18" t="s">
        <v>95</v>
      </c>
      <c r="BL21" s="18" t="s">
        <v>95</v>
      </c>
      <c r="BM21" s="18" t="s">
        <v>95</v>
      </c>
      <c r="BN21" s="18" t="s">
        <v>85</v>
      </c>
      <c r="BO21" s="18" t="s">
        <v>86</v>
      </c>
      <c r="BP21" s="18" t="s">
        <v>90</v>
      </c>
      <c r="BQ21" s="18" t="s">
        <v>8002</v>
      </c>
      <c r="BR21" s="18" t="s">
        <v>139</v>
      </c>
      <c r="BS21" s="18" t="s">
        <v>8003</v>
      </c>
      <c r="BT21" s="18" t="s">
        <v>7989</v>
      </c>
      <c r="BU21" s="18" t="s">
        <v>496</v>
      </c>
      <c r="BV21" s="18" t="str">
        <f>Terminales[[#This Row],[IMEI]]&amp;"SI"</f>
        <v>866184060682973SI</v>
      </c>
      <c r="BW21" s="18" t="str">
        <f>VLOOKUP(Terminales[[#This Row],[OFICINA_USUARIO]],[1]!Locales[#Data],3,0)</f>
        <v>TIENDA RECREO</v>
      </c>
      <c r="BX21" s="18" t="str">
        <f>VLOOKUP(Terminales[[#This Row],[USUARIO_FINAL]],'[1]Personal Ppto vs Real'!$A:$F,6,0)</f>
        <v>CONDO GARCIA NICOLAS MATIAS</v>
      </c>
      <c r="BY2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1" s="18">
        <f>DAY(Terminales[[#This Row],[FECHA_FACTURA]])</f>
        <v>2</v>
      </c>
      <c r="CB21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21" s="65">
        <f>IFERROR(IF(AND(Terminales[[#This Row],[CANTIDAD]] = 1,Terminales[[#This Row],[MOVIMIENTO]] = "RENOVACION"),Terminales[[#This Row],[TARIFA_BASICA]]*0.5,),)</f>
        <v>10.71</v>
      </c>
      <c r="CD21" s="65">
        <f>IF('[1]Resumen TM'!$AW$20 &lt; 0.4,0,Terminales[[#This Row],[MONTO]]*0.02)</f>
        <v>5.7142857999999999</v>
      </c>
      <c r="CE21" s="66">
        <f>Terminales[[#This Row],[COMISIONES TERMINALES]]+Terminales[[#This Row],[COMISIONES RENOVACIONES]]+Terminales[[#This Row],[COMISIONES BONO]]</f>
        <v>44.995714800000002</v>
      </c>
      <c r="CF21" s="67">
        <f>(Terminales[[#This Row],[COMISIONES TERMINALES]]*VLOOKUP(Terminales[[#This Row],[LOCALES]],[1]!Calendario[#Data],3,0))/VLOOKUP(Terminales[[#This Row],[LOCALES]],[1]!Calendario[#Data],2,0)</f>
        <v>47.004609000000002</v>
      </c>
      <c r="CG21" s="67">
        <f>(Terminales[[#This Row],[COMISIONES RENOVACIONES]]*VLOOKUP(Terminales[[#This Row],[LOCALES]],[1]!Calendario[#Data],3,0))/VLOOKUP(Terminales[[#This Row],[LOCALES]],[1]!Calendario[#Data],2,0)</f>
        <v>17.61967741935484</v>
      </c>
      <c r="CH21" s="67">
        <f>(Terminales[[#This Row],[COMISIONES BONO]]*VLOOKUP(Terminales[[#This Row],[LOCALES]],[1]!Calendario[#Data],3,0))/VLOOKUP(Terminales[[#This Row],[LOCALES]],[1]!Calendario[#Data],2,0)</f>
        <v>9.400921799999999</v>
      </c>
      <c r="CI21" s="67">
        <f>Terminales[[#This Row],[PROY. COM. TERMINALES]]+Terminales[[#This Row],[PROY. COM. RENOV.]]+Terminales[[#This Row],[PROY. COM. 2%]]</f>
        <v>74.025208219354852</v>
      </c>
    </row>
    <row r="22" spans="1:87" x14ac:dyDescent="0.25">
      <c r="A22" s="68">
        <v>44926</v>
      </c>
      <c r="B22" s="68">
        <v>44897</v>
      </c>
      <c r="C22" s="18" t="s">
        <v>291</v>
      </c>
      <c r="D22" s="18" t="s">
        <v>78</v>
      </c>
      <c r="E22" s="18" t="s">
        <v>2241</v>
      </c>
      <c r="F22" s="18" t="s">
        <v>8163</v>
      </c>
      <c r="G22" s="18" t="s">
        <v>292</v>
      </c>
      <c r="H22" s="18" t="s">
        <v>494</v>
      </c>
      <c r="I22" s="18" t="s">
        <v>8164</v>
      </c>
      <c r="J22" s="18" t="s">
        <v>95</v>
      </c>
      <c r="K22" s="18" t="s">
        <v>7970</v>
      </c>
      <c r="L22" s="18" t="s">
        <v>8165</v>
      </c>
      <c r="M22" s="18" t="s">
        <v>8166</v>
      </c>
      <c r="N22" s="18" t="s">
        <v>8167</v>
      </c>
      <c r="O22" s="18" t="s">
        <v>354</v>
      </c>
      <c r="P22" s="18" t="s">
        <v>8168</v>
      </c>
      <c r="Q22" s="18" t="s">
        <v>7975</v>
      </c>
      <c r="R22" s="18" t="s">
        <v>7976</v>
      </c>
      <c r="S22" s="18" t="s">
        <v>8070</v>
      </c>
      <c r="T22" s="18" t="s">
        <v>8071</v>
      </c>
      <c r="U22" s="18" t="s">
        <v>8012</v>
      </c>
      <c r="V22" s="18" t="s">
        <v>6963</v>
      </c>
      <c r="W22" s="18" t="s">
        <v>95</v>
      </c>
      <c r="X22" s="18" t="s">
        <v>95</v>
      </c>
      <c r="Y22" s="18" t="s">
        <v>7980</v>
      </c>
      <c r="Z22" s="18" t="s">
        <v>6996</v>
      </c>
      <c r="AA22" s="69">
        <v>1</v>
      </c>
      <c r="AB22" s="18">
        <v>205.35713999999999</v>
      </c>
      <c r="AC22" s="18" t="s">
        <v>8169</v>
      </c>
      <c r="AD22" s="18" t="s">
        <v>7982</v>
      </c>
      <c r="AE22" s="18">
        <v>201.33</v>
      </c>
      <c r="AF22" s="18" t="s">
        <v>7983</v>
      </c>
      <c r="AG22" s="18">
        <v>201.33</v>
      </c>
      <c r="AH22" s="18" t="s">
        <v>95</v>
      </c>
      <c r="AI22" s="18" t="s">
        <v>160</v>
      </c>
      <c r="AJ22" s="18" t="s">
        <v>161</v>
      </c>
      <c r="AK22" s="18">
        <v>14.28</v>
      </c>
      <c r="AL22" s="18" t="s">
        <v>95</v>
      </c>
      <c r="AM22" s="18" t="s">
        <v>95</v>
      </c>
      <c r="AN22" s="18" t="s">
        <v>7984</v>
      </c>
      <c r="AO22" s="18" t="s">
        <v>139</v>
      </c>
      <c r="AP22" s="20" t="s">
        <v>187</v>
      </c>
      <c r="AQ22" s="18" t="s">
        <v>188</v>
      </c>
      <c r="AR22" s="18" t="s">
        <v>496</v>
      </c>
      <c r="AS22" s="18">
        <v>1</v>
      </c>
      <c r="AT22" s="18" t="s">
        <v>177</v>
      </c>
      <c r="AU22" s="18" t="s">
        <v>90</v>
      </c>
      <c r="AV22" s="18" t="s">
        <v>8072</v>
      </c>
      <c r="AW22" s="18" t="s">
        <v>8073</v>
      </c>
      <c r="AX22" s="18" t="s">
        <v>83</v>
      </c>
      <c r="AY22" s="18" t="s">
        <v>95</v>
      </c>
      <c r="AZ22" s="18" t="s">
        <v>95</v>
      </c>
      <c r="BA22" s="18" t="s">
        <v>95</v>
      </c>
      <c r="BB22" s="18" t="s">
        <v>95</v>
      </c>
      <c r="BC22" s="18" t="s">
        <v>84</v>
      </c>
      <c r="BD22" s="18" t="s">
        <v>95</v>
      </c>
      <c r="BE22" s="18" t="s">
        <v>8170</v>
      </c>
      <c r="BF22" s="18" t="s">
        <v>8171</v>
      </c>
      <c r="BG22" s="18" t="s">
        <v>95</v>
      </c>
      <c r="BH22" s="18" t="s">
        <v>95</v>
      </c>
      <c r="BI22" s="18">
        <v>12</v>
      </c>
      <c r="BJ22" s="18">
        <v>2022</v>
      </c>
      <c r="BK22" s="18" t="s">
        <v>95</v>
      </c>
      <c r="BL22" s="18" t="s">
        <v>95</v>
      </c>
      <c r="BM22" s="18" t="s">
        <v>95</v>
      </c>
      <c r="BN22" s="18" t="s">
        <v>85</v>
      </c>
      <c r="BO22" s="18" t="s">
        <v>86</v>
      </c>
      <c r="BP22" s="18" t="s">
        <v>90</v>
      </c>
      <c r="BQ22" s="18" t="s">
        <v>8002</v>
      </c>
      <c r="BR22" s="18" t="s">
        <v>139</v>
      </c>
      <c r="BS22" s="18" t="s">
        <v>8003</v>
      </c>
      <c r="BT22" s="18" t="s">
        <v>7989</v>
      </c>
      <c r="BU22" s="18" t="s">
        <v>496</v>
      </c>
      <c r="BV22" s="18" t="str">
        <f>Terminales[[#This Row],[IMEI]]&amp;"SI"</f>
        <v>864469068301045SI</v>
      </c>
      <c r="BW22" s="18" t="str">
        <f>VLOOKUP(Terminales[[#This Row],[OFICINA_USUARIO]],[1]!Locales[#Data],3,0)</f>
        <v>TIENDA RECREO</v>
      </c>
      <c r="BX22" s="18" t="str">
        <f>VLOOKUP(Terminales[[#This Row],[USUARIO_FINAL]],'[1]Personal Ppto vs Real'!$A:$F,6,0)</f>
        <v>ESPINOZA MARTINES LAURA XIOMARA</v>
      </c>
      <c r="BY2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2" s="18">
        <f>DAY(Terminales[[#This Row],[FECHA_FACTURA]])</f>
        <v>2</v>
      </c>
      <c r="CB22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22" s="65">
        <f>IFERROR(IF(AND(Terminales[[#This Row],[CANTIDAD]] = 1,Terminales[[#This Row],[MOVIMIENTO]] = "RENOVACION"),Terminales[[#This Row],[TARIFA_BASICA]]*0.5,),)</f>
        <v>7.14</v>
      </c>
      <c r="CD22" s="65">
        <f>IF('[1]Resumen TM'!$AW$20 &lt; 0.4,0,Terminales[[#This Row],[MONTO]]*0.02)</f>
        <v>4.1071428000000001</v>
      </c>
      <c r="CE22" s="66">
        <f>Terminales[[#This Row],[COMISIONES TERMINALES]]+Terminales[[#This Row],[COMISIONES RENOVACIONES]]+Terminales[[#This Row],[COMISIONES BONO]]</f>
        <v>31.782856799999998</v>
      </c>
      <c r="CF22" s="67">
        <f>(Terminales[[#This Row],[COMISIONES TERMINALES]]*VLOOKUP(Terminales[[#This Row],[LOCALES]],[1]!Calendario[#Data],3,0))/VLOOKUP(Terminales[[#This Row],[LOCALES]],[1]!Calendario[#Data],2,0)</f>
        <v>33.784561741935484</v>
      </c>
      <c r="CG22" s="67">
        <f>(Terminales[[#This Row],[COMISIONES RENOVACIONES]]*VLOOKUP(Terminales[[#This Row],[LOCALES]],[1]!Calendario[#Data],3,0))/VLOOKUP(Terminales[[#This Row],[LOCALES]],[1]!Calendario[#Data],2,0)</f>
        <v>11.746451612903225</v>
      </c>
      <c r="CH22" s="67">
        <f>(Terminales[[#This Row],[COMISIONES BONO]]*VLOOKUP(Terminales[[#This Row],[LOCALES]],[1]!Calendario[#Data],3,0))/VLOOKUP(Terminales[[#This Row],[LOCALES]],[1]!Calendario[#Data],2,0)</f>
        <v>6.7569123483870968</v>
      </c>
      <c r="CI22" s="67">
        <f>Terminales[[#This Row],[PROY. COM. TERMINALES]]+Terminales[[#This Row],[PROY. COM. RENOV.]]+Terminales[[#This Row],[PROY. COM. 2%]]</f>
        <v>52.287925703225802</v>
      </c>
    </row>
    <row r="23" spans="1:87" x14ac:dyDescent="0.25">
      <c r="A23" s="68">
        <v>44926</v>
      </c>
      <c r="B23" s="68">
        <v>44897</v>
      </c>
      <c r="C23" s="18" t="s">
        <v>291</v>
      </c>
      <c r="D23" s="18" t="s">
        <v>78</v>
      </c>
      <c r="E23" s="18" t="s">
        <v>7125</v>
      </c>
      <c r="F23" s="18" t="s">
        <v>8172</v>
      </c>
      <c r="G23" s="18" t="s">
        <v>292</v>
      </c>
      <c r="H23" s="18" t="s">
        <v>494</v>
      </c>
      <c r="I23" s="18" t="s">
        <v>8173</v>
      </c>
      <c r="J23" s="18" t="s">
        <v>95</v>
      </c>
      <c r="K23" s="18" t="s">
        <v>7970</v>
      </c>
      <c r="L23" s="18" t="s">
        <v>8174</v>
      </c>
      <c r="M23" s="18" t="s">
        <v>8175</v>
      </c>
      <c r="N23" s="18" t="s">
        <v>8176</v>
      </c>
      <c r="O23" s="18" t="s">
        <v>8177</v>
      </c>
      <c r="P23" s="18" t="s">
        <v>8178</v>
      </c>
      <c r="Q23" s="18" t="s">
        <v>7975</v>
      </c>
      <c r="R23" s="18" t="s">
        <v>7976</v>
      </c>
      <c r="S23" s="18" t="s">
        <v>8070</v>
      </c>
      <c r="T23" s="18" t="s">
        <v>8179</v>
      </c>
      <c r="U23" s="18" t="s">
        <v>7996</v>
      </c>
      <c r="V23" s="18" t="s">
        <v>6963</v>
      </c>
      <c r="W23" s="18" t="s">
        <v>95</v>
      </c>
      <c r="X23" s="18" t="s">
        <v>95</v>
      </c>
      <c r="Y23" s="18" t="s">
        <v>7980</v>
      </c>
      <c r="Z23" s="18" t="s">
        <v>6996</v>
      </c>
      <c r="AA23" s="69">
        <v>1</v>
      </c>
      <c r="AB23" s="18">
        <v>160.71429000000001</v>
      </c>
      <c r="AC23" s="18" t="s">
        <v>8180</v>
      </c>
      <c r="AD23" s="18" t="s">
        <v>7982</v>
      </c>
      <c r="AE23" s="18">
        <v>138.04</v>
      </c>
      <c r="AF23" s="18" t="s">
        <v>7983</v>
      </c>
      <c r="AG23" s="18">
        <v>138.04</v>
      </c>
      <c r="AH23" s="18" t="s">
        <v>95</v>
      </c>
      <c r="AI23" s="18" t="s">
        <v>7184</v>
      </c>
      <c r="AJ23" s="18" t="s">
        <v>7185</v>
      </c>
      <c r="AK23" s="18">
        <v>10.54</v>
      </c>
      <c r="AL23" s="18" t="s">
        <v>95</v>
      </c>
      <c r="AM23" s="18" t="s">
        <v>95</v>
      </c>
      <c r="AN23" s="18" t="s">
        <v>7984</v>
      </c>
      <c r="AO23" s="18" t="s">
        <v>139</v>
      </c>
      <c r="AP23" s="20" t="s">
        <v>665</v>
      </c>
      <c r="AQ23" s="18" t="s">
        <v>666</v>
      </c>
      <c r="AR23" s="18" t="s">
        <v>496</v>
      </c>
      <c r="AS23" s="18">
        <v>1</v>
      </c>
      <c r="AT23" s="18" t="s">
        <v>138</v>
      </c>
      <c r="AU23" s="18" t="s">
        <v>90</v>
      </c>
      <c r="AV23" s="18" t="s">
        <v>8181</v>
      </c>
      <c r="AW23" s="18" t="s">
        <v>8182</v>
      </c>
      <c r="AX23" s="18" t="s">
        <v>83</v>
      </c>
      <c r="AY23" s="18" t="s">
        <v>95</v>
      </c>
      <c r="AZ23" s="18" t="s">
        <v>95</v>
      </c>
      <c r="BA23" s="18" t="s">
        <v>95</v>
      </c>
      <c r="BB23" s="18" t="s">
        <v>95</v>
      </c>
      <c r="BC23" s="18" t="s">
        <v>215</v>
      </c>
      <c r="BD23" s="18" t="s">
        <v>95</v>
      </c>
      <c r="BE23" s="18" t="s">
        <v>8000</v>
      </c>
      <c r="BF23" s="18" t="s">
        <v>8171</v>
      </c>
      <c r="BG23" s="18" t="s">
        <v>95</v>
      </c>
      <c r="BH23" s="18" t="s">
        <v>95</v>
      </c>
      <c r="BI23" s="18">
        <v>12</v>
      </c>
      <c r="BJ23" s="18">
        <v>2022</v>
      </c>
      <c r="BK23" s="18" t="s">
        <v>95</v>
      </c>
      <c r="BL23" s="18" t="s">
        <v>95</v>
      </c>
      <c r="BM23" s="18" t="s">
        <v>95</v>
      </c>
      <c r="BN23" s="18" t="s">
        <v>85</v>
      </c>
      <c r="BO23" s="18" t="s">
        <v>86</v>
      </c>
      <c r="BP23" s="18" t="s">
        <v>90</v>
      </c>
      <c r="BQ23" s="18" t="s">
        <v>7987</v>
      </c>
      <c r="BR23" s="18" t="s">
        <v>139</v>
      </c>
      <c r="BS23" s="18" t="s">
        <v>8003</v>
      </c>
      <c r="BT23" s="18" t="s">
        <v>7989</v>
      </c>
      <c r="BU23" s="18" t="s">
        <v>496</v>
      </c>
      <c r="BV23" s="18" t="str">
        <f>Terminales[[#This Row],[IMEI]]&amp;"SI"</f>
        <v>863696062672903SI</v>
      </c>
      <c r="BW23" s="18" t="str">
        <f>VLOOKUP(Terminales[[#This Row],[OFICINA_USUARIO]],[1]!Locales[#Data],3,0)</f>
        <v>TIENDA AMERICA</v>
      </c>
      <c r="BX23" s="18" t="str">
        <f>VLOOKUP(Terminales[[#This Row],[USUARIO_FINAL]],'[1]Personal Ppto vs Real'!$A:$F,6,0)</f>
        <v>ROSERO CAICEDO JAIRO STEFANO</v>
      </c>
      <c r="BY2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3" s="18">
        <f>DAY(Terminales[[#This Row],[FECHA_FACTURA]])</f>
        <v>2</v>
      </c>
      <c r="CB23" s="65">
        <f>IF(Terminales[[#This Row],[CANTIDAD]] = 1,INDEX([1]!Comisiones[#Data],MATCH("Terminales",[1]!Comisiones[Producto],0),MATCH(Terminales[[#This Row],[TIPO ALTA COMISIONES]],[1]!Comisiones[#Headers],0))*Terminales[[#This Row],[MONTO]],0)</f>
        <v>16.071429000000002</v>
      </c>
      <c r="CC23" s="65">
        <f>IFERROR(IF(AND(Terminales[[#This Row],[CANTIDAD]] = 1,Terminales[[#This Row],[MOVIMIENTO]] = "RENOVACION"),Terminales[[#This Row],[TARIFA_BASICA]]*0.5,),)</f>
        <v>5.27</v>
      </c>
      <c r="CD23" s="65">
        <f>IF('[1]Resumen TM'!$AW$20 &lt; 0.4,0,Terminales[[#This Row],[MONTO]]*0.02)</f>
        <v>3.2142858000000003</v>
      </c>
      <c r="CE23" s="66">
        <f>Terminales[[#This Row],[COMISIONES TERMINALES]]+Terminales[[#This Row],[COMISIONES RENOVACIONES]]+Terminales[[#This Row],[COMISIONES BONO]]</f>
        <v>24.555714800000001</v>
      </c>
      <c r="CF23" s="67">
        <f>(Terminales[[#This Row],[COMISIONES TERMINALES]]*VLOOKUP(Terminales[[#This Row],[LOCALES]],[1]!Calendario[#Data],3,0))/VLOOKUP(Terminales[[#This Row],[LOCALES]],[1]!Calendario[#Data],2,0)</f>
        <v>26.403061928571429</v>
      </c>
      <c r="CG23" s="67">
        <f>(Terminales[[#This Row],[COMISIONES RENOVACIONES]]*VLOOKUP(Terminales[[#This Row],[LOCALES]],[1]!Calendario[#Data],3,0))/VLOOKUP(Terminales[[#This Row],[LOCALES]],[1]!Calendario[#Data],2,0)</f>
        <v>8.6578571428571429</v>
      </c>
      <c r="CH23" s="67">
        <f>(Terminales[[#This Row],[COMISIONES BONO]]*VLOOKUP(Terminales[[#This Row],[LOCALES]],[1]!Calendario[#Data],3,0))/VLOOKUP(Terminales[[#This Row],[LOCALES]],[1]!Calendario[#Data],2,0)</f>
        <v>5.2806123857142859</v>
      </c>
      <c r="CI23" s="67">
        <f>Terminales[[#This Row],[PROY. COM. TERMINALES]]+Terminales[[#This Row],[PROY. COM. RENOV.]]+Terminales[[#This Row],[PROY. COM. 2%]]</f>
        <v>40.341531457142857</v>
      </c>
    </row>
    <row r="24" spans="1:87" x14ac:dyDescent="0.25">
      <c r="A24" s="68">
        <v>44926</v>
      </c>
      <c r="B24" s="68">
        <v>44897</v>
      </c>
      <c r="C24" s="18" t="s">
        <v>291</v>
      </c>
      <c r="D24" s="18" t="s">
        <v>78</v>
      </c>
      <c r="E24" s="18" t="s">
        <v>1036</v>
      </c>
      <c r="F24" s="18" t="s">
        <v>8183</v>
      </c>
      <c r="G24" s="18" t="s">
        <v>292</v>
      </c>
      <c r="H24" s="18" t="s">
        <v>293</v>
      </c>
      <c r="I24" s="18" t="s">
        <v>8184</v>
      </c>
      <c r="J24" s="18" t="s">
        <v>95</v>
      </c>
      <c r="K24" s="18" t="s">
        <v>7970</v>
      </c>
      <c r="L24" s="18" t="s">
        <v>8185</v>
      </c>
      <c r="M24" s="18" t="s">
        <v>8186</v>
      </c>
      <c r="N24" s="18" t="s">
        <v>8187</v>
      </c>
      <c r="O24" s="18" t="s">
        <v>3299</v>
      </c>
      <c r="P24" s="18" t="s">
        <v>8188</v>
      </c>
      <c r="Q24" s="18" t="s">
        <v>7975</v>
      </c>
      <c r="R24" s="18" t="s">
        <v>7976</v>
      </c>
      <c r="S24" s="18" t="s">
        <v>8070</v>
      </c>
      <c r="T24" s="18" t="s">
        <v>8189</v>
      </c>
      <c r="U24" s="18" t="s">
        <v>8100</v>
      </c>
      <c r="V24" s="18" t="s">
        <v>6963</v>
      </c>
      <c r="W24" s="18" t="s">
        <v>95</v>
      </c>
      <c r="X24" s="18" t="s">
        <v>95</v>
      </c>
      <c r="Y24" s="18" t="s">
        <v>7980</v>
      </c>
      <c r="Z24" s="18" t="s">
        <v>6996</v>
      </c>
      <c r="AA24" s="69">
        <v>1</v>
      </c>
      <c r="AB24" s="18">
        <v>602.67857000000004</v>
      </c>
      <c r="AC24" s="18" t="s">
        <v>8190</v>
      </c>
      <c r="AD24" s="18" t="s">
        <v>7982</v>
      </c>
      <c r="AE24" s="18">
        <v>399.99</v>
      </c>
      <c r="AF24" s="18" t="s">
        <v>7983</v>
      </c>
      <c r="AG24" s="18">
        <v>399.99</v>
      </c>
      <c r="AH24" s="18" t="s">
        <v>95</v>
      </c>
      <c r="AI24" s="18" t="s">
        <v>71</v>
      </c>
      <c r="AJ24" s="18" t="s">
        <v>258</v>
      </c>
      <c r="AK24" s="18">
        <v>11.42</v>
      </c>
      <c r="AL24" s="18" t="s">
        <v>95</v>
      </c>
      <c r="AM24" s="18" t="s">
        <v>95</v>
      </c>
      <c r="AN24" s="18" t="s">
        <v>7984</v>
      </c>
      <c r="AO24" s="18" t="s">
        <v>139</v>
      </c>
      <c r="AP24" s="20" t="s">
        <v>866</v>
      </c>
      <c r="AQ24" s="18" t="s">
        <v>867</v>
      </c>
      <c r="AR24" s="18" t="s">
        <v>295</v>
      </c>
      <c r="AS24" s="18">
        <v>12</v>
      </c>
      <c r="AT24" s="18" t="s">
        <v>138</v>
      </c>
      <c r="AU24" s="18" t="s">
        <v>90</v>
      </c>
      <c r="AV24" s="18" t="s">
        <v>8191</v>
      </c>
      <c r="AW24" s="18" t="s">
        <v>8192</v>
      </c>
      <c r="AX24" s="18" t="s">
        <v>83</v>
      </c>
      <c r="AY24" s="18" t="s">
        <v>95</v>
      </c>
      <c r="AZ24" s="18" t="s">
        <v>95</v>
      </c>
      <c r="BA24" s="18" t="s">
        <v>95</v>
      </c>
      <c r="BB24" s="18" t="s">
        <v>95</v>
      </c>
      <c r="BC24" s="18" t="s">
        <v>84</v>
      </c>
      <c r="BD24" s="18">
        <v>121</v>
      </c>
      <c r="BE24" s="18" t="s">
        <v>95</v>
      </c>
      <c r="BF24" s="18" t="s">
        <v>95</v>
      </c>
      <c r="BG24" s="18" t="s">
        <v>95</v>
      </c>
      <c r="BH24" s="18" t="s">
        <v>95</v>
      </c>
      <c r="BI24" s="18">
        <v>12</v>
      </c>
      <c r="BJ24" s="18">
        <v>2022</v>
      </c>
      <c r="BK24" s="18" t="s">
        <v>95</v>
      </c>
      <c r="BL24" s="18" t="s">
        <v>95</v>
      </c>
      <c r="BM24" s="18" t="s">
        <v>95</v>
      </c>
      <c r="BN24" s="18" t="s">
        <v>85</v>
      </c>
      <c r="BO24" s="18" t="s">
        <v>86</v>
      </c>
      <c r="BP24" s="18" t="s">
        <v>90</v>
      </c>
      <c r="BQ24" s="18" t="s">
        <v>7987</v>
      </c>
      <c r="BR24" s="18" t="s">
        <v>139</v>
      </c>
      <c r="BS24" s="18" t="s">
        <v>7988</v>
      </c>
      <c r="BT24" s="18" t="s">
        <v>7989</v>
      </c>
      <c r="BU24" s="18" t="s">
        <v>7990</v>
      </c>
      <c r="BV24" s="18" t="str">
        <f>Terminales[[#This Row],[IMEI]]&amp;"SI"</f>
        <v>868214061217020SI</v>
      </c>
      <c r="BW24" s="18" t="str">
        <f>VLOOKUP(Terminales[[#This Row],[OFICINA_USUARIO]],[1]!Locales[#Data],3,0)</f>
        <v>TIENDA AMERICA</v>
      </c>
      <c r="BX24" s="18" t="str">
        <f>VLOOKUP(Terminales[[#This Row],[USUARIO_FINAL]],'[1]Personal Ppto vs Real'!$A:$F,6,0)</f>
        <v>ORTEGA RUIZ GABRIEL ANTONIO</v>
      </c>
      <c r="BY24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24" s="18">
        <f>DAY(Terminales[[#This Row],[FECHA_FACTURA]])</f>
        <v>2</v>
      </c>
      <c r="CB24" s="65">
        <f>IF(Terminales[[#This Row],[CANTIDAD]] = 1,INDEX([1]!Comisiones[#Data],MATCH("Terminales",[1]!Comisiones[Producto],0),MATCH(Terminales[[#This Row],[TIPO ALTA COMISIONES]],[1]!Comisiones[#Headers],0))*Terminales[[#This Row],[MONTO]],0)</f>
        <v>36.160714200000001</v>
      </c>
      <c r="CC24" s="65">
        <f>IFERROR(IF(AND(Terminales[[#This Row],[CANTIDAD]] = 1,Terminales[[#This Row],[MOVIMIENTO]] = "RENOVACION"),Terminales[[#This Row],[TARIFA_BASICA]]*0.5,),)</f>
        <v>5.71</v>
      </c>
      <c r="CD24" s="65">
        <f>IF('[1]Resumen TM'!$AW$20 &lt; 0.4,0,Terminales[[#This Row],[MONTO]]*0.02)</f>
        <v>12.053571400000001</v>
      </c>
      <c r="CE24" s="66">
        <f>Terminales[[#This Row],[COMISIONES TERMINALES]]+Terminales[[#This Row],[COMISIONES RENOVACIONES]]+Terminales[[#This Row],[COMISIONES BONO]]</f>
        <v>53.924285600000005</v>
      </c>
      <c r="CF24" s="67">
        <f>(Terminales[[#This Row],[COMISIONES TERMINALES]]*VLOOKUP(Terminales[[#This Row],[LOCALES]],[1]!Calendario[#Data],3,0))/VLOOKUP(Terminales[[#This Row],[LOCALES]],[1]!Calendario[#Data],2,0)</f>
        <v>59.406887614285715</v>
      </c>
      <c r="CG24" s="67">
        <f>(Terminales[[#This Row],[COMISIONES RENOVACIONES]]*VLOOKUP(Terminales[[#This Row],[LOCALES]],[1]!Calendario[#Data],3,0))/VLOOKUP(Terminales[[#This Row],[LOCALES]],[1]!Calendario[#Data],2,0)</f>
        <v>9.3807142857142871</v>
      </c>
      <c r="CH24" s="67">
        <f>(Terminales[[#This Row],[COMISIONES BONO]]*VLOOKUP(Terminales[[#This Row],[LOCALES]],[1]!Calendario[#Data],3,0))/VLOOKUP(Terminales[[#This Row],[LOCALES]],[1]!Calendario[#Data],2,0)</f>
        <v>19.802295871428573</v>
      </c>
      <c r="CI24" s="67">
        <f>Terminales[[#This Row],[PROY. COM. TERMINALES]]+Terminales[[#This Row],[PROY. COM. RENOV.]]+Terminales[[#This Row],[PROY. COM. 2%]]</f>
        <v>88.589897771428568</v>
      </c>
    </row>
    <row r="25" spans="1:87" x14ac:dyDescent="0.25">
      <c r="A25" s="68">
        <v>44926</v>
      </c>
      <c r="B25" s="68">
        <v>44897</v>
      </c>
      <c r="C25" s="18" t="s">
        <v>291</v>
      </c>
      <c r="D25" s="18" t="s">
        <v>78</v>
      </c>
      <c r="E25" s="18" t="s">
        <v>1532</v>
      </c>
      <c r="F25" s="18" t="s">
        <v>7406</v>
      </c>
      <c r="G25" s="18" t="s">
        <v>292</v>
      </c>
      <c r="H25" s="18" t="s">
        <v>293</v>
      </c>
      <c r="I25" s="18" t="s">
        <v>8193</v>
      </c>
      <c r="J25" s="18" t="s">
        <v>95</v>
      </c>
      <c r="K25" s="18" t="s">
        <v>7970</v>
      </c>
      <c r="L25" s="18" t="s">
        <v>8194</v>
      </c>
      <c r="M25" s="18" t="s">
        <v>8195</v>
      </c>
      <c r="N25" s="18" t="s">
        <v>7408</v>
      </c>
      <c r="O25" s="18" t="s">
        <v>8196</v>
      </c>
      <c r="P25" s="18" t="s">
        <v>8197</v>
      </c>
      <c r="Q25" s="18" t="s">
        <v>7975</v>
      </c>
      <c r="R25" s="18" t="s">
        <v>7976</v>
      </c>
      <c r="S25" s="18" t="s">
        <v>8198</v>
      </c>
      <c r="T25" s="18" t="s">
        <v>8199</v>
      </c>
      <c r="U25" s="18" t="s">
        <v>8012</v>
      </c>
      <c r="V25" s="18" t="s">
        <v>6963</v>
      </c>
      <c r="W25" s="18" t="s">
        <v>95</v>
      </c>
      <c r="X25" s="18" t="s">
        <v>95</v>
      </c>
      <c r="Y25" s="18" t="s">
        <v>7980</v>
      </c>
      <c r="Z25" s="18" t="s">
        <v>6996</v>
      </c>
      <c r="AA25" s="69">
        <v>1</v>
      </c>
      <c r="AB25" s="18">
        <v>267.85714000000002</v>
      </c>
      <c r="AC25" s="18" t="s">
        <v>7407</v>
      </c>
      <c r="AD25" s="18" t="s">
        <v>7982</v>
      </c>
      <c r="AE25" s="18">
        <v>185</v>
      </c>
      <c r="AF25" s="18" t="s">
        <v>7983</v>
      </c>
      <c r="AG25" s="18">
        <v>185</v>
      </c>
      <c r="AH25" s="18" t="s">
        <v>95</v>
      </c>
      <c r="AI25" s="18" t="s">
        <v>359</v>
      </c>
      <c r="AJ25" s="18" t="s">
        <v>360</v>
      </c>
      <c r="AK25" s="18">
        <v>14.28</v>
      </c>
      <c r="AL25" s="18" t="s">
        <v>95</v>
      </c>
      <c r="AM25" s="18" t="s">
        <v>95</v>
      </c>
      <c r="AN25" s="18" t="s">
        <v>7984</v>
      </c>
      <c r="AO25" s="18" t="s">
        <v>92</v>
      </c>
      <c r="AP25" s="20" t="s">
        <v>880</v>
      </c>
      <c r="AQ25" s="18" t="s">
        <v>881</v>
      </c>
      <c r="AR25" s="18" t="s">
        <v>295</v>
      </c>
      <c r="AS25" s="18">
        <v>6</v>
      </c>
      <c r="AT25" s="18" t="s">
        <v>91</v>
      </c>
      <c r="AU25" s="18" t="s">
        <v>90</v>
      </c>
      <c r="AV25" s="18" t="s">
        <v>8200</v>
      </c>
      <c r="AW25" s="18" t="s">
        <v>8201</v>
      </c>
      <c r="AX25" s="18" t="s">
        <v>83</v>
      </c>
      <c r="AY25" s="18" t="s">
        <v>95</v>
      </c>
      <c r="AZ25" s="18" t="s">
        <v>95</v>
      </c>
      <c r="BA25" s="18" t="s">
        <v>95</v>
      </c>
      <c r="BB25" s="18" t="s">
        <v>95</v>
      </c>
      <c r="BC25" s="18" t="s">
        <v>118</v>
      </c>
      <c r="BD25" s="18">
        <v>54</v>
      </c>
      <c r="BE25" s="18" t="s">
        <v>95</v>
      </c>
      <c r="BF25" s="18" t="s">
        <v>95</v>
      </c>
      <c r="BG25" s="18" t="s">
        <v>95</v>
      </c>
      <c r="BH25" s="18" t="s">
        <v>95</v>
      </c>
      <c r="BI25" s="18">
        <v>12</v>
      </c>
      <c r="BJ25" s="18">
        <v>2022</v>
      </c>
      <c r="BK25" s="18" t="s">
        <v>95</v>
      </c>
      <c r="BL25" s="18" t="s">
        <v>95</v>
      </c>
      <c r="BM25" s="18" t="s">
        <v>95</v>
      </c>
      <c r="BN25" s="18" t="s">
        <v>85</v>
      </c>
      <c r="BO25" s="18" t="s">
        <v>86</v>
      </c>
      <c r="BP25" s="18" t="s">
        <v>90</v>
      </c>
      <c r="BQ25" s="18" t="s">
        <v>8106</v>
      </c>
      <c r="BR25" s="18" t="s">
        <v>92</v>
      </c>
      <c r="BS25" s="18" t="s">
        <v>8027</v>
      </c>
      <c r="BT25" s="18" t="s">
        <v>7989</v>
      </c>
      <c r="BU25" s="18" t="s">
        <v>7990</v>
      </c>
      <c r="BV25" s="18" t="str">
        <f>Terminales[[#This Row],[IMEI]]&amp;"SI"</f>
        <v>866887052406348SI</v>
      </c>
      <c r="BW25" s="18" t="str">
        <f>VLOOKUP(Terminales[[#This Row],[OFICINA_USUARIO]],[1]!Locales[#Data],3,0)</f>
        <v>TIENDA CUENCA CENTRO</v>
      </c>
      <c r="BX25" s="18" t="str">
        <f>VLOOKUP(Terminales[[#This Row],[USUARIO_FINAL]],'[1]Personal Ppto vs Real'!$A:$F,6,0)</f>
        <v>LUNA JACHO ANDREA GABRIELA</v>
      </c>
      <c r="BY2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5" s="18">
        <f>DAY(Terminales[[#This Row],[FECHA_FACTURA]])</f>
        <v>2</v>
      </c>
      <c r="CB25" s="65">
        <f>IF(Terminales[[#This Row],[CANTIDAD]] = 1,INDEX([1]!Comisiones[#Data],MATCH("Terminales",[1]!Comisiones[Producto],0),MATCH(Terminales[[#This Row],[TIPO ALTA COMISIONES]],[1]!Comisiones[#Headers],0))*Terminales[[#This Row],[MONTO]],0)</f>
        <v>21.4285712</v>
      </c>
      <c r="CC25" s="65">
        <f>IFERROR(IF(AND(Terminales[[#This Row],[CANTIDAD]] = 1,Terminales[[#This Row],[MOVIMIENTO]] = "RENOVACION"),Terminales[[#This Row],[TARIFA_BASICA]]*0.5,),)</f>
        <v>7.14</v>
      </c>
      <c r="CD25" s="65">
        <f>IF('[1]Resumen TM'!$AW$20 &lt; 0.4,0,Terminales[[#This Row],[MONTO]]*0.02)</f>
        <v>5.3571428000000001</v>
      </c>
      <c r="CE25" s="66">
        <f>Terminales[[#This Row],[COMISIONES TERMINALES]]+Terminales[[#This Row],[COMISIONES RENOVACIONES]]+Terminales[[#This Row],[COMISIONES BONO]]</f>
        <v>33.925713999999999</v>
      </c>
      <c r="CF25" s="67">
        <f>(Terminales[[#This Row],[COMISIONES TERMINALES]]*VLOOKUP(Terminales[[#This Row],[LOCALES]],[1]!Calendario[#Data],3,0))/VLOOKUP(Terminales[[#This Row],[LOCALES]],[1]!Calendario[#Data],2,0)</f>
        <v>34.729063668965516</v>
      </c>
      <c r="CG25" s="67">
        <f>(Terminales[[#This Row],[COMISIONES RENOVACIONES]]*VLOOKUP(Terminales[[#This Row],[LOCALES]],[1]!Calendario[#Data],3,0))/VLOOKUP(Terminales[[#This Row],[LOCALES]],[1]!Calendario[#Data],2,0)</f>
        <v>11.571724137931033</v>
      </c>
      <c r="CH25" s="67">
        <f>(Terminales[[#This Row],[COMISIONES BONO]]*VLOOKUP(Terminales[[#This Row],[LOCALES]],[1]!Calendario[#Data],3,0))/VLOOKUP(Terminales[[#This Row],[LOCALES]],[1]!Calendario[#Data],2,0)</f>
        <v>8.682265917241379</v>
      </c>
      <c r="CI25" s="67">
        <f>Terminales[[#This Row],[PROY. COM. TERMINALES]]+Terminales[[#This Row],[PROY. COM. RENOV.]]+Terminales[[#This Row],[PROY. COM. 2%]]</f>
        <v>54.983053724137932</v>
      </c>
    </row>
    <row r="26" spans="1:87" x14ac:dyDescent="0.25">
      <c r="A26" s="68">
        <v>44926</v>
      </c>
      <c r="B26" s="68">
        <v>44897</v>
      </c>
      <c r="C26" s="18" t="s">
        <v>291</v>
      </c>
      <c r="D26" s="18" t="s">
        <v>78</v>
      </c>
      <c r="E26" s="18" t="s">
        <v>164</v>
      </c>
      <c r="F26" s="18" t="s">
        <v>4696</v>
      </c>
      <c r="G26" s="18" t="s">
        <v>292</v>
      </c>
      <c r="H26" s="18" t="s">
        <v>293</v>
      </c>
      <c r="I26" s="18" t="s">
        <v>8202</v>
      </c>
      <c r="J26" s="18" t="s">
        <v>95</v>
      </c>
      <c r="K26" s="18" t="s">
        <v>7970</v>
      </c>
      <c r="L26" s="18" t="s">
        <v>4697</v>
      </c>
      <c r="M26" s="18" t="s">
        <v>4698</v>
      </c>
      <c r="N26" s="18" t="s">
        <v>4699</v>
      </c>
      <c r="O26" s="18" t="s">
        <v>4702</v>
      </c>
      <c r="P26" s="18" t="s">
        <v>4700</v>
      </c>
      <c r="Q26" s="18" t="s">
        <v>7975</v>
      </c>
      <c r="R26" s="18" t="s">
        <v>7976</v>
      </c>
      <c r="S26" s="18" t="s">
        <v>8198</v>
      </c>
      <c r="T26" s="18" t="s">
        <v>8203</v>
      </c>
      <c r="U26" s="18" t="s">
        <v>7979</v>
      </c>
      <c r="V26" s="18" t="s">
        <v>6963</v>
      </c>
      <c r="W26" s="18" t="s">
        <v>95</v>
      </c>
      <c r="X26" s="18" t="s">
        <v>95</v>
      </c>
      <c r="Y26" s="18" t="s">
        <v>7980</v>
      </c>
      <c r="Z26" s="18" t="s">
        <v>6996</v>
      </c>
      <c r="AA26" s="69">
        <v>1</v>
      </c>
      <c r="AB26" s="18">
        <v>379.46429000000001</v>
      </c>
      <c r="AC26" s="18" t="s">
        <v>8204</v>
      </c>
      <c r="AD26" s="18" t="s">
        <v>8151</v>
      </c>
      <c r="AE26" s="18">
        <v>285</v>
      </c>
      <c r="AF26" s="18" t="s">
        <v>7983</v>
      </c>
      <c r="AG26" s="18">
        <v>285</v>
      </c>
      <c r="AH26" s="18" t="s">
        <v>95</v>
      </c>
      <c r="AI26" s="18" t="s">
        <v>160</v>
      </c>
      <c r="AJ26" s="18" t="s">
        <v>161</v>
      </c>
      <c r="AK26" s="18">
        <v>14.28</v>
      </c>
      <c r="AL26" s="18" t="s">
        <v>95</v>
      </c>
      <c r="AM26" s="18" t="s">
        <v>95</v>
      </c>
      <c r="AN26" s="18" t="s">
        <v>7984</v>
      </c>
      <c r="AO26" s="18" t="s">
        <v>139</v>
      </c>
      <c r="AP26" s="20" t="s">
        <v>262</v>
      </c>
      <c r="AQ26" s="18" t="s">
        <v>263</v>
      </c>
      <c r="AR26" s="18" t="s">
        <v>295</v>
      </c>
      <c r="AS26" s="18">
        <v>6</v>
      </c>
      <c r="AT26" s="18" t="s">
        <v>177</v>
      </c>
      <c r="AU26" s="18" t="s">
        <v>90</v>
      </c>
      <c r="AV26" s="18" t="s">
        <v>8205</v>
      </c>
      <c r="AW26" s="18" t="s">
        <v>8206</v>
      </c>
      <c r="AX26" s="18" t="s">
        <v>83</v>
      </c>
      <c r="AY26" s="18" t="s">
        <v>95</v>
      </c>
      <c r="AZ26" s="18" t="s">
        <v>95</v>
      </c>
      <c r="BA26" s="18" t="s">
        <v>95</v>
      </c>
      <c r="BB26" s="18" t="s">
        <v>95</v>
      </c>
      <c r="BC26" s="18" t="s">
        <v>84</v>
      </c>
      <c r="BD26" s="18">
        <v>76</v>
      </c>
      <c r="BE26" s="18" t="s">
        <v>95</v>
      </c>
      <c r="BF26" s="18" t="s">
        <v>95</v>
      </c>
      <c r="BG26" s="18" t="s">
        <v>95</v>
      </c>
      <c r="BH26" s="18" t="s">
        <v>95</v>
      </c>
      <c r="BI26" s="18">
        <v>12</v>
      </c>
      <c r="BJ26" s="18">
        <v>2022</v>
      </c>
      <c r="BK26" s="18" t="s">
        <v>95</v>
      </c>
      <c r="BL26" s="18" t="s">
        <v>95</v>
      </c>
      <c r="BM26" s="18" t="s">
        <v>95</v>
      </c>
      <c r="BN26" s="18" t="s">
        <v>85</v>
      </c>
      <c r="BO26" s="18" t="s">
        <v>86</v>
      </c>
      <c r="BP26" s="18" t="s">
        <v>90</v>
      </c>
      <c r="BQ26" s="18" t="s">
        <v>8002</v>
      </c>
      <c r="BR26" s="18" t="s">
        <v>139</v>
      </c>
      <c r="BS26" s="18" t="s">
        <v>8027</v>
      </c>
      <c r="BT26" s="18" t="s">
        <v>7989</v>
      </c>
      <c r="BU26" s="18" t="s">
        <v>7990</v>
      </c>
      <c r="BV26" s="18" t="str">
        <f>Terminales[[#This Row],[IMEI]]&amp;"SI"</f>
        <v>861965051452896SI</v>
      </c>
      <c r="BW26" s="18" t="str">
        <f>VLOOKUP(Terminales[[#This Row],[OFICINA_USUARIO]],[1]!Locales[#Data],3,0)</f>
        <v>TIENDA RECREO</v>
      </c>
      <c r="BX26" s="18" t="str">
        <f>VLOOKUP(Terminales[[#This Row],[USUARIO_FINAL]],'[1]Personal Ppto vs Real'!$A:$F,6,0)</f>
        <v>CHICAIZA TOAPANTA ALEX DANILO</v>
      </c>
      <c r="BY26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2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6" s="18">
        <f>DAY(Terminales[[#This Row],[FECHA_FACTURA]])</f>
        <v>2</v>
      </c>
      <c r="CB26" s="65">
        <f>IF(Terminales[[#This Row],[CANTIDAD]] = 1,INDEX([1]!Comisiones[#Data],MATCH("Terminales",[1]!Comisiones[Producto],0),MATCH(Terminales[[#This Row],[TIPO ALTA COMISIONES]],[1]!Comisiones[#Headers],0))*Terminales[[#This Row],[MONTO]],0)</f>
        <v>30.357143199999999</v>
      </c>
      <c r="CC26" s="65">
        <f>IFERROR(IF(AND(Terminales[[#This Row],[CANTIDAD]] = 1,Terminales[[#This Row],[MOVIMIENTO]] = "RENOVACION"),Terminales[[#This Row],[TARIFA_BASICA]]*0.5,),)</f>
        <v>0</v>
      </c>
      <c r="CD26" s="65">
        <f>IF('[1]Resumen TM'!$AW$20 &lt; 0.4,0,Terminales[[#This Row],[MONTO]]*0.02)</f>
        <v>7.5892857999999999</v>
      </c>
      <c r="CE26" s="66">
        <f>Terminales[[#This Row],[COMISIONES TERMINALES]]+Terminales[[#This Row],[COMISIONES RENOVACIONES]]+Terminales[[#This Row],[COMISIONES BONO]]</f>
        <v>37.946429000000002</v>
      </c>
      <c r="CF26" s="67">
        <f>(Terminales[[#This Row],[COMISIONES TERMINALES]]*VLOOKUP(Terminales[[#This Row],[LOCALES]],[1]!Calendario[#Data],3,0))/VLOOKUP(Terminales[[#This Row],[LOCALES]],[1]!Calendario[#Data],2,0)</f>
        <v>49.942396877419348</v>
      </c>
      <c r="CG26" s="67">
        <f>(Terminales[[#This Row],[COMISIONES RENOVACIONES]]*VLOOKUP(Terminales[[#This Row],[LOCALES]],[1]!Calendario[#Data],3,0))/VLOOKUP(Terminales[[#This Row],[LOCALES]],[1]!Calendario[#Data],2,0)</f>
        <v>0</v>
      </c>
      <c r="CH26" s="67">
        <f>(Terminales[[#This Row],[COMISIONES BONO]]*VLOOKUP(Terminales[[#This Row],[LOCALES]],[1]!Calendario[#Data],3,0))/VLOOKUP(Terminales[[#This Row],[LOCALES]],[1]!Calendario[#Data],2,0)</f>
        <v>12.485599219354837</v>
      </c>
      <c r="CI26" s="67">
        <f>Terminales[[#This Row],[PROY. COM. TERMINALES]]+Terminales[[#This Row],[PROY. COM. RENOV.]]+Terminales[[#This Row],[PROY. COM. 2%]]</f>
        <v>62.427996096774187</v>
      </c>
    </row>
    <row r="27" spans="1:87" x14ac:dyDescent="0.25">
      <c r="A27" s="68">
        <v>44926</v>
      </c>
      <c r="B27" s="68">
        <v>44897</v>
      </c>
      <c r="C27" s="18" t="s">
        <v>96</v>
      </c>
      <c r="D27" s="18" t="s">
        <v>96</v>
      </c>
      <c r="E27" s="18" t="s">
        <v>96</v>
      </c>
      <c r="F27" s="18" t="s">
        <v>95</v>
      </c>
      <c r="G27" s="18" t="s">
        <v>292</v>
      </c>
      <c r="H27" s="18" t="s">
        <v>494</v>
      </c>
      <c r="I27" s="18" t="s">
        <v>8207</v>
      </c>
      <c r="J27" s="18" t="s">
        <v>95</v>
      </c>
      <c r="K27" s="18" t="s">
        <v>7970</v>
      </c>
      <c r="L27" s="18" t="s">
        <v>8208</v>
      </c>
      <c r="M27" s="18" t="s">
        <v>8209</v>
      </c>
      <c r="N27" s="18" t="s">
        <v>8210</v>
      </c>
      <c r="O27" s="18" t="s">
        <v>338</v>
      </c>
      <c r="P27" s="18" t="s">
        <v>8211</v>
      </c>
      <c r="Q27" s="18" t="s">
        <v>7975</v>
      </c>
      <c r="R27" s="18" t="s">
        <v>7976</v>
      </c>
      <c r="S27" s="18" t="s">
        <v>7977</v>
      </c>
      <c r="T27" s="18" t="s">
        <v>7978</v>
      </c>
      <c r="U27" s="18" t="s">
        <v>7979</v>
      </c>
      <c r="V27" s="18" t="s">
        <v>6963</v>
      </c>
      <c r="W27" s="18" t="s">
        <v>95</v>
      </c>
      <c r="X27" s="18" t="s">
        <v>95</v>
      </c>
      <c r="Y27" s="18" t="s">
        <v>7980</v>
      </c>
      <c r="Z27" s="18" t="s">
        <v>6996</v>
      </c>
      <c r="AA27" s="69">
        <v>1</v>
      </c>
      <c r="AB27" s="18">
        <v>285.71429000000001</v>
      </c>
      <c r="AC27" s="18" t="s">
        <v>95</v>
      </c>
      <c r="AD27" s="18" t="s">
        <v>96</v>
      </c>
      <c r="AE27" s="18">
        <v>235</v>
      </c>
      <c r="AF27" s="18" t="s">
        <v>7983</v>
      </c>
      <c r="AG27" s="18">
        <v>235</v>
      </c>
      <c r="AH27" s="18" t="s">
        <v>95</v>
      </c>
      <c r="AI27" s="18" t="s">
        <v>95</v>
      </c>
      <c r="AJ27" s="18" t="s">
        <v>95</v>
      </c>
      <c r="AK27" s="18" t="s">
        <v>95</v>
      </c>
      <c r="AL27" s="18" t="s">
        <v>95</v>
      </c>
      <c r="AM27" s="18" t="s">
        <v>95</v>
      </c>
      <c r="AN27" s="18" t="s">
        <v>7984</v>
      </c>
      <c r="AO27" s="18" t="s">
        <v>139</v>
      </c>
      <c r="AP27" s="20" t="s">
        <v>492</v>
      </c>
      <c r="AQ27" s="18" t="s">
        <v>493</v>
      </c>
      <c r="AR27" s="18" t="s">
        <v>496</v>
      </c>
      <c r="AS27" s="18">
        <v>1</v>
      </c>
      <c r="AT27" s="18" t="s">
        <v>177</v>
      </c>
      <c r="AU27" s="18" t="s">
        <v>90</v>
      </c>
      <c r="AV27" s="18" t="s">
        <v>7985</v>
      </c>
      <c r="AW27" s="18" t="s">
        <v>7986</v>
      </c>
      <c r="AX27" s="18" t="s">
        <v>83</v>
      </c>
      <c r="AY27" s="18" t="s">
        <v>95</v>
      </c>
      <c r="AZ27" s="18" t="s">
        <v>95</v>
      </c>
      <c r="BA27" s="18" t="s">
        <v>95</v>
      </c>
      <c r="BB27" s="18" t="s">
        <v>95</v>
      </c>
      <c r="BC27" s="18" t="s">
        <v>95</v>
      </c>
      <c r="BD27" s="18" t="s">
        <v>95</v>
      </c>
      <c r="BE27" s="18" t="s">
        <v>8212</v>
      </c>
      <c r="BF27" s="18" t="s">
        <v>8064</v>
      </c>
      <c r="BG27" s="18" t="s">
        <v>95</v>
      </c>
      <c r="BH27" s="18" t="s">
        <v>95</v>
      </c>
      <c r="BI27" s="18">
        <v>12</v>
      </c>
      <c r="BJ27" s="18">
        <v>2022</v>
      </c>
      <c r="BK27" s="18" t="s">
        <v>95</v>
      </c>
      <c r="BL27" s="18" t="s">
        <v>95</v>
      </c>
      <c r="BM27" s="18" t="s">
        <v>95</v>
      </c>
      <c r="BN27" s="18" t="s">
        <v>85</v>
      </c>
      <c r="BO27" s="18" t="s">
        <v>86</v>
      </c>
      <c r="BP27" s="18" t="s">
        <v>90</v>
      </c>
      <c r="BQ27" s="18" t="s">
        <v>8002</v>
      </c>
      <c r="BR27" s="18" t="s">
        <v>139</v>
      </c>
      <c r="BS27" s="18" t="s">
        <v>8003</v>
      </c>
      <c r="BT27" s="18" t="s">
        <v>7989</v>
      </c>
      <c r="BU27" s="18" t="s">
        <v>496</v>
      </c>
      <c r="BV27" s="18" t="str">
        <f>Terminales[[#This Row],[IMEI]]&amp;"SI"</f>
        <v>866184060672396SI</v>
      </c>
      <c r="BW27" s="18" t="str">
        <f>VLOOKUP(Terminales[[#This Row],[OFICINA_USUARIO]],[1]!Locales[#Data],3,0)</f>
        <v>TIENDA RECREO</v>
      </c>
      <c r="BX27" s="18" t="str">
        <f>VLOOKUP(Terminales[[#This Row],[USUARIO_FINAL]],'[1]Personal Ppto vs Real'!$A:$F,6,0)</f>
        <v>CONDO GARCIA NICOLAS MATIAS</v>
      </c>
      <c r="BY2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7" s="18">
        <f>DAY(Terminales[[#This Row],[FECHA_FACTURA]])</f>
        <v>2</v>
      </c>
      <c r="CB27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27" s="65">
        <f>IFERROR(IF(AND(Terminales[[#This Row],[CANTIDAD]] = 1,Terminales[[#This Row],[MOVIMIENTO]] = "RENOVACION"),Terminales[[#This Row],[TARIFA_BASICA]]*0.5,),)</f>
        <v>0</v>
      </c>
      <c r="CD27" s="65">
        <f>IF('[1]Resumen TM'!$AW$20 &lt; 0.4,0,Terminales[[#This Row],[MONTO]]*0.02)</f>
        <v>5.7142857999999999</v>
      </c>
      <c r="CE27" s="66">
        <f>Terminales[[#This Row],[COMISIONES TERMINALES]]+Terminales[[#This Row],[COMISIONES RENOVACIONES]]+Terminales[[#This Row],[COMISIONES BONO]]</f>
        <v>34.285714800000001</v>
      </c>
      <c r="CF27" s="67">
        <f>(Terminales[[#This Row],[COMISIONES TERMINALES]]*VLOOKUP(Terminales[[#This Row],[LOCALES]],[1]!Calendario[#Data],3,0))/VLOOKUP(Terminales[[#This Row],[LOCALES]],[1]!Calendario[#Data],2,0)</f>
        <v>47.004609000000002</v>
      </c>
      <c r="CG27" s="67">
        <f>(Terminales[[#This Row],[COMISIONES RENOVACIONES]]*VLOOKUP(Terminales[[#This Row],[LOCALES]],[1]!Calendario[#Data],3,0))/VLOOKUP(Terminales[[#This Row],[LOCALES]],[1]!Calendario[#Data],2,0)</f>
        <v>0</v>
      </c>
      <c r="CH27" s="67">
        <f>(Terminales[[#This Row],[COMISIONES BONO]]*VLOOKUP(Terminales[[#This Row],[LOCALES]],[1]!Calendario[#Data],3,0))/VLOOKUP(Terminales[[#This Row],[LOCALES]],[1]!Calendario[#Data],2,0)</f>
        <v>9.400921799999999</v>
      </c>
      <c r="CI27" s="67">
        <f>Terminales[[#This Row],[PROY. COM. TERMINALES]]+Terminales[[#This Row],[PROY. COM. RENOV.]]+Terminales[[#This Row],[PROY. COM. 2%]]</f>
        <v>56.405530800000001</v>
      </c>
    </row>
    <row r="28" spans="1:87" x14ac:dyDescent="0.25">
      <c r="A28" s="68">
        <v>44926</v>
      </c>
      <c r="B28" s="68">
        <v>44897</v>
      </c>
      <c r="C28" s="18" t="s">
        <v>291</v>
      </c>
      <c r="D28" s="18" t="s">
        <v>78</v>
      </c>
      <c r="E28" s="18" t="s">
        <v>1532</v>
      </c>
      <c r="F28" s="18" t="s">
        <v>8213</v>
      </c>
      <c r="G28" s="18" t="s">
        <v>292</v>
      </c>
      <c r="H28" s="18" t="s">
        <v>293</v>
      </c>
      <c r="I28" s="18" t="s">
        <v>8214</v>
      </c>
      <c r="J28" s="18" t="s">
        <v>95</v>
      </c>
      <c r="K28" s="18" t="s">
        <v>7970</v>
      </c>
      <c r="L28" s="18" t="s">
        <v>8215</v>
      </c>
      <c r="M28" s="18" t="s">
        <v>8216</v>
      </c>
      <c r="N28" s="18" t="s">
        <v>8217</v>
      </c>
      <c r="O28" s="18" t="s">
        <v>3669</v>
      </c>
      <c r="P28" s="18" t="s">
        <v>8218</v>
      </c>
      <c r="Q28" s="18" t="s">
        <v>7975</v>
      </c>
      <c r="R28" s="18" t="s">
        <v>7976</v>
      </c>
      <c r="S28" s="18" t="s">
        <v>8045</v>
      </c>
      <c r="T28" s="18" t="s">
        <v>8046</v>
      </c>
      <c r="U28" s="18" t="s">
        <v>7996</v>
      </c>
      <c r="V28" s="18" t="s">
        <v>6963</v>
      </c>
      <c r="W28" s="18" t="s">
        <v>95</v>
      </c>
      <c r="X28" s="18" t="s">
        <v>95</v>
      </c>
      <c r="Y28" s="18" t="s">
        <v>7980</v>
      </c>
      <c r="Z28" s="18" t="s">
        <v>6996</v>
      </c>
      <c r="AA28" s="69">
        <v>1</v>
      </c>
      <c r="AB28" s="18">
        <v>174.10713999999999</v>
      </c>
      <c r="AC28" s="18" t="s">
        <v>8219</v>
      </c>
      <c r="AD28" s="18" t="s">
        <v>7982</v>
      </c>
      <c r="AE28" s="18">
        <v>124.5</v>
      </c>
      <c r="AF28" s="18" t="s">
        <v>7983</v>
      </c>
      <c r="AG28" s="18">
        <v>124.5</v>
      </c>
      <c r="AH28" s="18" t="s">
        <v>95</v>
      </c>
      <c r="AI28" s="18" t="s">
        <v>7358</v>
      </c>
      <c r="AJ28" s="18" t="s">
        <v>7359</v>
      </c>
      <c r="AK28" s="18">
        <v>10.54</v>
      </c>
      <c r="AL28" s="18" t="s">
        <v>95</v>
      </c>
      <c r="AM28" s="18" t="s">
        <v>95</v>
      </c>
      <c r="AN28" s="18" t="s">
        <v>7984</v>
      </c>
      <c r="AO28" s="18" t="s">
        <v>92</v>
      </c>
      <c r="AP28" s="20" t="s">
        <v>420</v>
      </c>
      <c r="AQ28" s="18" t="s">
        <v>421</v>
      </c>
      <c r="AR28" s="18" t="s">
        <v>295</v>
      </c>
      <c r="AS28" s="18">
        <v>6</v>
      </c>
      <c r="AT28" s="18" t="s">
        <v>151</v>
      </c>
      <c r="AU28" s="18" t="s">
        <v>90</v>
      </c>
      <c r="AV28" s="18" t="s">
        <v>8048</v>
      </c>
      <c r="AW28" s="18" t="s">
        <v>8049</v>
      </c>
      <c r="AX28" s="18" t="s">
        <v>83</v>
      </c>
      <c r="AY28" s="18" t="s">
        <v>95</v>
      </c>
      <c r="AZ28" s="18" t="s">
        <v>95</v>
      </c>
      <c r="BA28" s="18" t="s">
        <v>95</v>
      </c>
      <c r="BB28" s="18" t="s">
        <v>95</v>
      </c>
      <c r="BC28" s="18" t="s">
        <v>84</v>
      </c>
      <c r="BD28" s="18">
        <v>34.82</v>
      </c>
      <c r="BE28" s="18" t="s">
        <v>95</v>
      </c>
      <c r="BF28" s="18" t="s">
        <v>95</v>
      </c>
      <c r="BG28" s="18" t="s">
        <v>95</v>
      </c>
      <c r="BH28" s="18" t="s">
        <v>95</v>
      </c>
      <c r="BI28" s="18">
        <v>12</v>
      </c>
      <c r="BJ28" s="18">
        <v>2022</v>
      </c>
      <c r="BK28" s="18" t="s">
        <v>95</v>
      </c>
      <c r="BL28" s="18" t="s">
        <v>95</v>
      </c>
      <c r="BM28" s="18" t="s">
        <v>95</v>
      </c>
      <c r="BN28" s="18" t="s">
        <v>85</v>
      </c>
      <c r="BO28" s="18" t="s">
        <v>86</v>
      </c>
      <c r="BP28" s="18" t="s">
        <v>90</v>
      </c>
      <c r="BQ28" s="18" t="s">
        <v>8141</v>
      </c>
      <c r="BR28" s="18" t="s">
        <v>92</v>
      </c>
      <c r="BS28" s="18" t="s">
        <v>8027</v>
      </c>
      <c r="BT28" s="18" t="s">
        <v>7989</v>
      </c>
      <c r="BU28" s="18" t="s">
        <v>7990</v>
      </c>
      <c r="BV28" s="18" t="str">
        <f>Terminales[[#This Row],[IMEI]]&amp;"SI"</f>
        <v>354379559470125SI</v>
      </c>
      <c r="BW28" s="18" t="str">
        <f>VLOOKUP(Terminales[[#This Row],[OFICINA_USUARIO]],[1]!Locales[#Data],3,0)</f>
        <v>TIENDA CUENCA REMIGIO</v>
      </c>
      <c r="BX28" s="18" t="str">
        <f>VLOOKUP(Terminales[[#This Row],[USUARIO_FINAL]],'[1]Personal Ppto vs Real'!$A:$F,6,0)</f>
        <v>YEPEZ PALOMEQUE DIANA PATRICIA</v>
      </c>
      <c r="BY2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8" s="18">
        <f>DAY(Terminales[[#This Row],[FECHA_FACTURA]])</f>
        <v>2</v>
      </c>
      <c r="CB28" s="65">
        <f>IF(Terminales[[#This Row],[CANTIDAD]] = 1,INDEX([1]!Comisiones[#Data],MATCH("Terminales",[1]!Comisiones[Producto],0),MATCH(Terminales[[#This Row],[TIPO ALTA COMISIONES]],[1]!Comisiones[#Headers],0))*Terminales[[#This Row],[MONTO]],0)</f>
        <v>13.928571199999999</v>
      </c>
      <c r="CC28" s="65">
        <f>IFERROR(IF(AND(Terminales[[#This Row],[CANTIDAD]] = 1,Terminales[[#This Row],[MOVIMIENTO]] = "RENOVACION"),Terminales[[#This Row],[TARIFA_BASICA]]*0.5,),)</f>
        <v>5.27</v>
      </c>
      <c r="CD28" s="65">
        <f>IF('[1]Resumen TM'!$AW$20 &lt; 0.4,0,Terminales[[#This Row],[MONTO]]*0.02)</f>
        <v>3.4821427999999996</v>
      </c>
      <c r="CE28" s="66">
        <f>Terminales[[#This Row],[COMISIONES TERMINALES]]+Terminales[[#This Row],[COMISIONES RENOVACIONES]]+Terminales[[#This Row],[COMISIONES BONO]]</f>
        <v>22.680713999999995</v>
      </c>
      <c r="CF28" s="67">
        <f>(Terminales[[#This Row],[COMISIONES TERMINALES]]*VLOOKUP(Terminales[[#This Row],[LOCALES]],[1]!Calendario[#Data],3,0))/VLOOKUP(Terminales[[#This Row],[LOCALES]],[1]!Calendario[#Data],2,0)</f>
        <v>22.573891255172413</v>
      </c>
      <c r="CG28" s="67">
        <f>(Terminales[[#This Row],[COMISIONES RENOVACIONES]]*VLOOKUP(Terminales[[#This Row],[LOCALES]],[1]!Calendario[#Data],3,0))/VLOOKUP(Terminales[[#This Row],[LOCALES]],[1]!Calendario[#Data],2,0)</f>
        <v>8.5410344827586204</v>
      </c>
      <c r="CH28" s="67">
        <f>(Terminales[[#This Row],[COMISIONES BONO]]*VLOOKUP(Terminales[[#This Row],[LOCALES]],[1]!Calendario[#Data],3,0))/VLOOKUP(Terminales[[#This Row],[LOCALES]],[1]!Calendario[#Data],2,0)</f>
        <v>5.6434728137931032</v>
      </c>
      <c r="CI28" s="67">
        <f>Terminales[[#This Row],[PROY. COM. TERMINALES]]+Terminales[[#This Row],[PROY. COM. RENOV.]]+Terminales[[#This Row],[PROY. COM. 2%]]</f>
        <v>36.758398551724135</v>
      </c>
    </row>
    <row r="29" spans="1:87" x14ac:dyDescent="0.25">
      <c r="A29" s="68">
        <v>44926</v>
      </c>
      <c r="B29" s="68">
        <v>44897</v>
      </c>
      <c r="C29" s="18" t="s">
        <v>291</v>
      </c>
      <c r="D29" s="18" t="s">
        <v>78</v>
      </c>
      <c r="E29" s="18" t="s">
        <v>95</v>
      </c>
      <c r="F29" s="18" t="s">
        <v>95</v>
      </c>
      <c r="G29" s="18" t="s">
        <v>292</v>
      </c>
      <c r="H29" s="18" t="s">
        <v>494</v>
      </c>
      <c r="I29" s="18" t="s">
        <v>8220</v>
      </c>
      <c r="J29" s="18" t="s">
        <v>95</v>
      </c>
      <c r="K29" s="18" t="s">
        <v>7970</v>
      </c>
      <c r="L29" s="18" t="s">
        <v>8221</v>
      </c>
      <c r="M29" s="18" t="s">
        <v>8222</v>
      </c>
      <c r="N29" s="18" t="s">
        <v>8223</v>
      </c>
      <c r="O29" s="18" t="s">
        <v>1691</v>
      </c>
      <c r="P29" s="18" t="s">
        <v>8224</v>
      </c>
      <c r="Q29" s="18" t="s">
        <v>7975</v>
      </c>
      <c r="R29" s="18" t="s">
        <v>7976</v>
      </c>
      <c r="S29" s="18" t="s">
        <v>8045</v>
      </c>
      <c r="T29" s="18" t="s">
        <v>8225</v>
      </c>
      <c r="U29" s="18" t="s">
        <v>8012</v>
      </c>
      <c r="V29" s="18" t="s">
        <v>6963</v>
      </c>
      <c r="W29" s="18" t="s">
        <v>95</v>
      </c>
      <c r="X29" s="18" t="s">
        <v>95</v>
      </c>
      <c r="Y29" s="18" t="s">
        <v>8226</v>
      </c>
      <c r="Z29" s="18" t="s">
        <v>8227</v>
      </c>
      <c r="AA29" s="69">
        <v>1</v>
      </c>
      <c r="AB29" s="18">
        <v>241.07142999999999</v>
      </c>
      <c r="AC29" s="18" t="s">
        <v>95</v>
      </c>
      <c r="AD29" s="18" t="s">
        <v>8151</v>
      </c>
      <c r="AE29" s="18">
        <v>232</v>
      </c>
      <c r="AF29" s="18" t="s">
        <v>7983</v>
      </c>
      <c r="AG29" s="18">
        <v>232</v>
      </c>
      <c r="AH29" s="18" t="s">
        <v>95</v>
      </c>
      <c r="AI29" s="18" t="s">
        <v>95</v>
      </c>
      <c r="AJ29" s="18" t="s">
        <v>95</v>
      </c>
      <c r="AK29" s="18" t="s">
        <v>95</v>
      </c>
      <c r="AL29" s="18" t="s">
        <v>95</v>
      </c>
      <c r="AM29" s="18" t="s">
        <v>95</v>
      </c>
      <c r="AN29" s="18" t="s">
        <v>7984</v>
      </c>
      <c r="AO29" s="18" t="s">
        <v>8121</v>
      </c>
      <c r="AP29" s="20" t="s">
        <v>760</v>
      </c>
      <c r="AQ29" s="18" t="s">
        <v>761</v>
      </c>
      <c r="AR29" s="18" t="s">
        <v>496</v>
      </c>
      <c r="AS29" s="18">
        <v>1</v>
      </c>
      <c r="AT29" s="18" t="s">
        <v>177</v>
      </c>
      <c r="AU29" s="18" t="s">
        <v>90</v>
      </c>
      <c r="AV29" s="18" t="s">
        <v>8228</v>
      </c>
      <c r="AW29" s="18" t="s">
        <v>8229</v>
      </c>
      <c r="AX29" s="18" t="s">
        <v>83</v>
      </c>
      <c r="AY29" s="18" t="s">
        <v>95</v>
      </c>
      <c r="AZ29" s="18" t="s">
        <v>95</v>
      </c>
      <c r="BA29" s="18" t="s">
        <v>95</v>
      </c>
      <c r="BB29" s="18" t="s">
        <v>95</v>
      </c>
      <c r="BC29" s="18" t="s">
        <v>95</v>
      </c>
      <c r="BD29" s="18" t="s">
        <v>95</v>
      </c>
      <c r="BE29" s="18" t="s">
        <v>8230</v>
      </c>
      <c r="BF29" s="18" t="s">
        <v>8001</v>
      </c>
      <c r="BG29" s="18" t="s">
        <v>95</v>
      </c>
      <c r="BH29" s="18" t="s">
        <v>95</v>
      </c>
      <c r="BI29" s="18">
        <v>12</v>
      </c>
      <c r="BJ29" s="18">
        <v>2022</v>
      </c>
      <c r="BK29" s="18" t="s">
        <v>95</v>
      </c>
      <c r="BL29" s="18" t="s">
        <v>95</v>
      </c>
      <c r="BM29" s="18" t="s">
        <v>95</v>
      </c>
      <c r="BN29" s="18" t="s">
        <v>8231</v>
      </c>
      <c r="BO29" s="18" t="s">
        <v>86</v>
      </c>
      <c r="BP29" s="18" t="s">
        <v>90</v>
      </c>
      <c r="BQ29" s="18" t="s">
        <v>8002</v>
      </c>
      <c r="BR29" s="18" t="s">
        <v>8232</v>
      </c>
      <c r="BS29" s="18" t="s">
        <v>8003</v>
      </c>
      <c r="BT29" s="18" t="s">
        <v>7989</v>
      </c>
      <c r="BU29" s="18" t="s">
        <v>496</v>
      </c>
      <c r="BV29" s="18" t="str">
        <f>Terminales[[#This Row],[IMEI]]&amp;"SI"</f>
        <v>356795951334510SI</v>
      </c>
      <c r="BW29" s="18" t="str">
        <f>VLOOKUP(Terminales[[#This Row],[OFICINA_USUARIO]],[1]!Locales[#Data],3,0)</f>
        <v>TIENDA RECREO</v>
      </c>
      <c r="BX29" s="18" t="str">
        <f>VLOOKUP(Terminales[[#This Row],[USUARIO_FINAL]],'[1]Personal Ppto vs Real'!$A:$F,6,0)</f>
        <v>VALBUENA SANCHEZ ALBERT ANTHONY</v>
      </c>
      <c r="BY29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2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9" s="18">
        <f>DAY(Terminales[[#This Row],[FECHA_FACTURA]])</f>
        <v>2</v>
      </c>
      <c r="CB29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9" s="65">
        <f>IFERROR(IF(AND(Terminales[[#This Row],[CANTIDAD]] = 1,Terminales[[#This Row],[MOVIMIENTO]] = "RENOVACION"),Terminales[[#This Row],[TARIFA_BASICA]]*0.5,),)</f>
        <v>0</v>
      </c>
      <c r="CD29" s="65">
        <f>IF('[1]Resumen TM'!$AW$20 &lt; 0.4,0,Terminales[[#This Row],[MONTO]]*0.02)</f>
        <v>4.8214286</v>
      </c>
      <c r="CE29" s="66">
        <f>Terminales[[#This Row],[COMISIONES TERMINALES]]+Terminales[[#This Row],[COMISIONES RENOVACIONES]]+Terminales[[#This Row],[COMISIONES BONO]]</f>
        <v>28.928571600000001</v>
      </c>
      <c r="CF29" s="67">
        <f>(Terminales[[#This Row],[COMISIONES TERMINALES]]*VLOOKUP(Terminales[[#This Row],[LOCALES]],[1]!Calendario[#Data],3,0))/VLOOKUP(Terminales[[#This Row],[LOCALES]],[1]!Calendario[#Data],2,0)</f>
        <v>39.660138483870966</v>
      </c>
      <c r="CG29" s="67">
        <f>(Terminales[[#This Row],[COMISIONES RENOVACIONES]]*VLOOKUP(Terminales[[#This Row],[LOCALES]],[1]!Calendario[#Data],3,0))/VLOOKUP(Terminales[[#This Row],[LOCALES]],[1]!Calendario[#Data],2,0)</f>
        <v>0</v>
      </c>
      <c r="CH29" s="67">
        <f>(Terminales[[#This Row],[COMISIONES BONO]]*VLOOKUP(Terminales[[#This Row],[LOCALES]],[1]!Calendario[#Data],3,0))/VLOOKUP(Terminales[[#This Row],[LOCALES]],[1]!Calendario[#Data],2,0)</f>
        <v>7.9320276967741936</v>
      </c>
      <c r="CI29" s="67">
        <f>Terminales[[#This Row],[PROY. COM. TERMINALES]]+Terminales[[#This Row],[PROY. COM. RENOV.]]+Terminales[[#This Row],[PROY. COM. 2%]]</f>
        <v>47.592166180645158</v>
      </c>
    </row>
    <row r="30" spans="1:87" x14ac:dyDescent="0.25">
      <c r="A30" s="68">
        <v>44926</v>
      </c>
      <c r="B30" s="68">
        <v>44897</v>
      </c>
      <c r="C30" s="18" t="s">
        <v>291</v>
      </c>
      <c r="D30" s="18" t="s">
        <v>78</v>
      </c>
      <c r="E30" s="18" t="s">
        <v>164</v>
      </c>
      <c r="F30" s="18" t="s">
        <v>3548</v>
      </c>
      <c r="G30" s="18" t="s">
        <v>292</v>
      </c>
      <c r="H30" s="18" t="s">
        <v>494</v>
      </c>
      <c r="I30" s="18" t="s">
        <v>8233</v>
      </c>
      <c r="J30" s="18" t="s">
        <v>95</v>
      </c>
      <c r="K30" s="18" t="s">
        <v>7970</v>
      </c>
      <c r="L30" s="18" t="s">
        <v>3549</v>
      </c>
      <c r="M30" s="18" t="s">
        <v>3550</v>
      </c>
      <c r="N30" s="18" t="s">
        <v>3551</v>
      </c>
      <c r="O30" s="18" t="s">
        <v>338</v>
      </c>
      <c r="P30" s="18" t="s">
        <v>3552</v>
      </c>
      <c r="Q30" s="18" t="s">
        <v>7975</v>
      </c>
      <c r="R30" s="18" t="s">
        <v>7976</v>
      </c>
      <c r="S30" s="18" t="s">
        <v>7977</v>
      </c>
      <c r="T30" s="18" t="s">
        <v>7978</v>
      </c>
      <c r="U30" s="18" t="s">
        <v>7979</v>
      </c>
      <c r="V30" s="18" t="s">
        <v>6963</v>
      </c>
      <c r="W30" s="18" t="s">
        <v>95</v>
      </c>
      <c r="X30" s="18" t="s">
        <v>95</v>
      </c>
      <c r="Y30" s="18" t="s">
        <v>7980</v>
      </c>
      <c r="Z30" s="18" t="s">
        <v>6996</v>
      </c>
      <c r="AA30" s="69">
        <v>1</v>
      </c>
      <c r="AB30" s="18">
        <v>285.71429000000001</v>
      </c>
      <c r="AC30" s="18" t="s">
        <v>8234</v>
      </c>
      <c r="AD30" s="18" t="s">
        <v>8151</v>
      </c>
      <c r="AE30" s="18">
        <v>235</v>
      </c>
      <c r="AF30" s="18" t="s">
        <v>7983</v>
      </c>
      <c r="AG30" s="18">
        <v>235</v>
      </c>
      <c r="AH30" s="18" t="s">
        <v>95</v>
      </c>
      <c r="AI30" s="18" t="s">
        <v>160</v>
      </c>
      <c r="AJ30" s="18" t="s">
        <v>161</v>
      </c>
      <c r="AK30" s="18">
        <v>14.28</v>
      </c>
      <c r="AL30" s="18" t="s">
        <v>95</v>
      </c>
      <c r="AM30" s="18" t="s">
        <v>95</v>
      </c>
      <c r="AN30" s="18" t="s">
        <v>7984</v>
      </c>
      <c r="AO30" s="18" t="s">
        <v>139</v>
      </c>
      <c r="AP30" s="20" t="s">
        <v>443</v>
      </c>
      <c r="AQ30" s="18" t="s">
        <v>444</v>
      </c>
      <c r="AR30" s="18" t="s">
        <v>496</v>
      </c>
      <c r="AS30" s="18">
        <v>1</v>
      </c>
      <c r="AT30" s="18" t="s">
        <v>235</v>
      </c>
      <c r="AU30" s="18" t="s">
        <v>90</v>
      </c>
      <c r="AV30" s="18" t="s">
        <v>7985</v>
      </c>
      <c r="AW30" s="18" t="s">
        <v>7986</v>
      </c>
      <c r="AX30" s="18" t="s">
        <v>83</v>
      </c>
      <c r="AY30" s="18" t="s">
        <v>95</v>
      </c>
      <c r="AZ30" s="18" t="s">
        <v>95</v>
      </c>
      <c r="BA30" s="18" t="s">
        <v>95</v>
      </c>
      <c r="BB30" s="18" t="s">
        <v>95</v>
      </c>
      <c r="BC30" s="18" t="s">
        <v>84</v>
      </c>
      <c r="BD30" s="18" t="s">
        <v>95</v>
      </c>
      <c r="BE30" s="18" t="s">
        <v>95</v>
      </c>
      <c r="BF30" s="18" t="s">
        <v>95</v>
      </c>
      <c r="BG30" s="18" t="s">
        <v>95</v>
      </c>
      <c r="BH30" s="18" t="s">
        <v>95</v>
      </c>
      <c r="BI30" s="18">
        <v>12</v>
      </c>
      <c r="BJ30" s="18">
        <v>2022</v>
      </c>
      <c r="BK30" s="18" t="s">
        <v>95</v>
      </c>
      <c r="BL30" s="18" t="s">
        <v>95</v>
      </c>
      <c r="BM30" s="18" t="s">
        <v>95</v>
      </c>
      <c r="BN30" s="18" t="s">
        <v>85</v>
      </c>
      <c r="BO30" s="18" t="s">
        <v>86</v>
      </c>
      <c r="BP30" s="18" t="s">
        <v>90</v>
      </c>
      <c r="BQ30" s="18" t="s">
        <v>8016</v>
      </c>
      <c r="BR30" s="18" t="s">
        <v>139</v>
      </c>
      <c r="BS30" s="18" t="s">
        <v>8074</v>
      </c>
      <c r="BT30" s="18" t="s">
        <v>7989</v>
      </c>
      <c r="BU30" s="18" t="s">
        <v>496</v>
      </c>
      <c r="BV30" s="18" t="str">
        <f>Terminales[[#This Row],[IMEI]]&amp;"SI"</f>
        <v>866184060681587SI</v>
      </c>
      <c r="BW30" s="18" t="str">
        <f>VLOOKUP(Terminales[[#This Row],[OFICINA_USUARIO]],[1]!Locales[#Data],3,0)</f>
        <v>TIENDA CONDADO</v>
      </c>
      <c r="BX30" s="18" t="str">
        <f>VLOOKUP(Terminales[[#This Row],[USUARIO_FINAL]],'[1]Personal Ppto vs Real'!$A:$F,6,0)</f>
        <v>JARAMILLO ESPINOZA KENIA KATRINA</v>
      </c>
      <c r="BY30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3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0" s="18">
        <f>DAY(Terminales[[#This Row],[FECHA_FACTURA]])</f>
        <v>2</v>
      </c>
      <c r="CB30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30" s="65">
        <f>IFERROR(IF(AND(Terminales[[#This Row],[CANTIDAD]] = 1,Terminales[[#This Row],[MOVIMIENTO]] = "RENOVACION"),Terminales[[#This Row],[TARIFA_BASICA]]*0.5,),)</f>
        <v>0</v>
      </c>
      <c r="CD30" s="65">
        <f>IF('[1]Resumen TM'!$AW$20 &lt; 0.4,0,Terminales[[#This Row],[MONTO]]*0.02)</f>
        <v>5.7142857999999999</v>
      </c>
      <c r="CE30" s="66">
        <f>Terminales[[#This Row],[COMISIONES TERMINALES]]+Terminales[[#This Row],[COMISIONES RENOVACIONES]]+Terminales[[#This Row],[COMISIONES BONO]]</f>
        <v>34.285714800000001</v>
      </c>
      <c r="CF30" s="67">
        <f>(Terminales[[#This Row],[COMISIONES TERMINALES]]*VLOOKUP(Terminales[[#This Row],[LOCALES]],[1]!Calendario[#Data],3,0))/VLOOKUP(Terminales[[#This Row],[LOCALES]],[1]!Calendario[#Data],2,0)</f>
        <v>47.004609000000002</v>
      </c>
      <c r="CG30" s="67">
        <f>(Terminales[[#This Row],[COMISIONES RENOVACIONES]]*VLOOKUP(Terminales[[#This Row],[LOCALES]],[1]!Calendario[#Data],3,0))/VLOOKUP(Terminales[[#This Row],[LOCALES]],[1]!Calendario[#Data],2,0)</f>
        <v>0</v>
      </c>
      <c r="CH30" s="67">
        <f>(Terminales[[#This Row],[COMISIONES BONO]]*VLOOKUP(Terminales[[#This Row],[LOCALES]],[1]!Calendario[#Data],3,0))/VLOOKUP(Terminales[[#This Row],[LOCALES]],[1]!Calendario[#Data],2,0)</f>
        <v>9.400921799999999</v>
      </c>
      <c r="CI30" s="67">
        <f>Terminales[[#This Row],[PROY. COM. TERMINALES]]+Terminales[[#This Row],[PROY. COM. RENOV.]]+Terminales[[#This Row],[PROY. COM. 2%]]</f>
        <v>56.405530800000001</v>
      </c>
    </row>
    <row r="31" spans="1:87" x14ac:dyDescent="0.25">
      <c r="A31" s="68">
        <v>44926</v>
      </c>
      <c r="B31" s="68">
        <v>44897</v>
      </c>
      <c r="C31" s="18" t="s">
        <v>96</v>
      </c>
      <c r="D31" s="18" t="s">
        <v>96</v>
      </c>
      <c r="E31" s="18" t="s">
        <v>96</v>
      </c>
      <c r="F31" s="18" t="s">
        <v>8235</v>
      </c>
      <c r="G31" s="18" t="s">
        <v>292</v>
      </c>
      <c r="H31" s="18" t="s">
        <v>494</v>
      </c>
      <c r="I31" s="18" t="s">
        <v>8236</v>
      </c>
      <c r="J31" s="18" t="s">
        <v>95</v>
      </c>
      <c r="K31" s="18" t="s">
        <v>7970</v>
      </c>
      <c r="L31" s="18" t="s">
        <v>8116</v>
      </c>
      <c r="M31" s="18" t="s">
        <v>8117</v>
      </c>
      <c r="N31" s="18" t="s">
        <v>8118</v>
      </c>
      <c r="O31" s="18" t="s">
        <v>338</v>
      </c>
      <c r="P31" s="18" t="s">
        <v>8237</v>
      </c>
      <c r="Q31" s="18" t="s">
        <v>7975</v>
      </c>
      <c r="R31" s="18" t="s">
        <v>7976</v>
      </c>
      <c r="S31" s="18" t="s">
        <v>7977</v>
      </c>
      <c r="T31" s="18" t="s">
        <v>7978</v>
      </c>
      <c r="U31" s="18" t="s">
        <v>7979</v>
      </c>
      <c r="V31" s="18" t="s">
        <v>6963</v>
      </c>
      <c r="W31" s="18" t="s">
        <v>95</v>
      </c>
      <c r="X31" s="18" t="s">
        <v>95</v>
      </c>
      <c r="Y31" s="18" t="s">
        <v>7980</v>
      </c>
      <c r="Z31" s="18" t="s">
        <v>6996</v>
      </c>
      <c r="AA31" s="69">
        <v>1</v>
      </c>
      <c r="AB31" s="18">
        <v>285.71429000000001</v>
      </c>
      <c r="AC31" s="18" t="s">
        <v>8238</v>
      </c>
      <c r="AD31" s="18" t="s">
        <v>96</v>
      </c>
      <c r="AE31" s="18">
        <v>235</v>
      </c>
      <c r="AF31" s="18" t="s">
        <v>7983</v>
      </c>
      <c r="AG31" s="18">
        <v>235</v>
      </c>
      <c r="AH31" s="18" t="s">
        <v>95</v>
      </c>
      <c r="AI31" s="18" t="s">
        <v>8102</v>
      </c>
      <c r="AJ31" s="18" t="s">
        <v>8103</v>
      </c>
      <c r="AK31" s="18" t="s">
        <v>95</v>
      </c>
      <c r="AL31" s="18" t="s">
        <v>95</v>
      </c>
      <c r="AM31" s="18" t="s">
        <v>95</v>
      </c>
      <c r="AN31" s="18" t="s">
        <v>7984</v>
      </c>
      <c r="AO31" s="18" t="s">
        <v>8121</v>
      </c>
      <c r="AP31" s="20" t="s">
        <v>443</v>
      </c>
      <c r="AQ31" s="18" t="s">
        <v>444</v>
      </c>
      <c r="AR31" s="18" t="s">
        <v>496</v>
      </c>
      <c r="AS31" s="18">
        <v>1</v>
      </c>
      <c r="AT31" s="18" t="s">
        <v>235</v>
      </c>
      <c r="AU31" s="18" t="s">
        <v>90</v>
      </c>
      <c r="AV31" s="18" t="s">
        <v>7985</v>
      </c>
      <c r="AW31" s="18" t="s">
        <v>7986</v>
      </c>
      <c r="AX31" s="18" t="s">
        <v>83</v>
      </c>
      <c r="AY31" s="18" t="s">
        <v>95</v>
      </c>
      <c r="AZ31" s="18" t="s">
        <v>95</v>
      </c>
      <c r="BA31" s="18" t="s">
        <v>95</v>
      </c>
      <c r="BB31" s="18" t="s">
        <v>95</v>
      </c>
      <c r="BC31" s="18" t="s">
        <v>118</v>
      </c>
      <c r="BD31" s="18" t="s">
        <v>95</v>
      </c>
      <c r="BE31" s="18" t="s">
        <v>95</v>
      </c>
      <c r="BF31" s="18" t="s">
        <v>95</v>
      </c>
      <c r="BG31" s="18" t="s">
        <v>95</v>
      </c>
      <c r="BH31" s="18" t="s">
        <v>95</v>
      </c>
      <c r="BI31" s="18">
        <v>12</v>
      </c>
      <c r="BJ31" s="18">
        <v>2022</v>
      </c>
      <c r="BK31" s="18" t="s">
        <v>95</v>
      </c>
      <c r="BL31" s="18" t="s">
        <v>95</v>
      </c>
      <c r="BM31" s="18" t="s">
        <v>95</v>
      </c>
      <c r="BN31" s="18" t="s">
        <v>85</v>
      </c>
      <c r="BO31" s="18" t="s">
        <v>86</v>
      </c>
      <c r="BP31" s="18" t="s">
        <v>90</v>
      </c>
      <c r="BQ31" s="18" t="s">
        <v>8016</v>
      </c>
      <c r="BR31" s="18" t="s">
        <v>8121</v>
      </c>
      <c r="BS31" s="18" t="s">
        <v>8074</v>
      </c>
      <c r="BT31" s="18" t="s">
        <v>7989</v>
      </c>
      <c r="BU31" s="18" t="s">
        <v>496</v>
      </c>
      <c r="BV31" s="18" t="str">
        <f>Terminales[[#This Row],[IMEI]]&amp;"SI"</f>
        <v>866184060682916SI</v>
      </c>
      <c r="BW31" s="18" t="str">
        <f>VLOOKUP(Terminales[[#This Row],[OFICINA_USUARIO]],[1]!Locales[#Data],3,0)</f>
        <v>TIENDA CONDADO</v>
      </c>
      <c r="BX31" s="18" t="str">
        <f>VLOOKUP(Terminales[[#This Row],[USUARIO_FINAL]],'[1]Personal Ppto vs Real'!$A:$F,6,0)</f>
        <v>JARAMILLO ESPINOZA KENIA KATRINA</v>
      </c>
      <c r="BY3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1" s="18">
        <f>DAY(Terminales[[#This Row],[FECHA_FACTURA]])</f>
        <v>2</v>
      </c>
      <c r="CB31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31" s="65">
        <f>IFERROR(IF(AND(Terminales[[#This Row],[CANTIDAD]] = 1,Terminales[[#This Row],[MOVIMIENTO]] = "RENOVACION"),Terminales[[#This Row],[TARIFA_BASICA]]*0.5,),)</f>
        <v>0</v>
      </c>
      <c r="CD31" s="65">
        <f>IF('[1]Resumen TM'!$AW$20 &lt; 0.4,0,Terminales[[#This Row],[MONTO]]*0.02)</f>
        <v>5.7142857999999999</v>
      </c>
      <c r="CE31" s="66">
        <f>Terminales[[#This Row],[COMISIONES TERMINALES]]+Terminales[[#This Row],[COMISIONES RENOVACIONES]]+Terminales[[#This Row],[COMISIONES BONO]]</f>
        <v>34.285714800000001</v>
      </c>
      <c r="CF31" s="67">
        <f>(Terminales[[#This Row],[COMISIONES TERMINALES]]*VLOOKUP(Terminales[[#This Row],[LOCALES]],[1]!Calendario[#Data],3,0))/VLOOKUP(Terminales[[#This Row],[LOCALES]],[1]!Calendario[#Data],2,0)</f>
        <v>47.004609000000002</v>
      </c>
      <c r="CG31" s="67">
        <f>(Terminales[[#This Row],[COMISIONES RENOVACIONES]]*VLOOKUP(Terminales[[#This Row],[LOCALES]],[1]!Calendario[#Data],3,0))/VLOOKUP(Terminales[[#This Row],[LOCALES]],[1]!Calendario[#Data],2,0)</f>
        <v>0</v>
      </c>
      <c r="CH31" s="67">
        <f>(Terminales[[#This Row],[COMISIONES BONO]]*VLOOKUP(Terminales[[#This Row],[LOCALES]],[1]!Calendario[#Data],3,0))/VLOOKUP(Terminales[[#This Row],[LOCALES]],[1]!Calendario[#Data],2,0)</f>
        <v>9.400921799999999</v>
      </c>
      <c r="CI31" s="67">
        <f>Terminales[[#This Row],[PROY. COM. TERMINALES]]+Terminales[[#This Row],[PROY. COM. RENOV.]]+Terminales[[#This Row],[PROY. COM. 2%]]</f>
        <v>56.405530800000001</v>
      </c>
    </row>
    <row r="32" spans="1:87" x14ac:dyDescent="0.25">
      <c r="A32" s="68">
        <v>44926</v>
      </c>
      <c r="B32" s="68">
        <v>44898</v>
      </c>
      <c r="C32" s="18" t="s">
        <v>96</v>
      </c>
      <c r="D32" s="18" t="s">
        <v>96</v>
      </c>
      <c r="E32" s="18" t="s">
        <v>96</v>
      </c>
      <c r="F32" s="18" t="s">
        <v>8239</v>
      </c>
      <c r="G32" s="18" t="s">
        <v>292</v>
      </c>
      <c r="H32" s="18" t="s">
        <v>494</v>
      </c>
      <c r="I32" s="18" t="s">
        <v>8240</v>
      </c>
      <c r="J32" s="18" t="s">
        <v>95</v>
      </c>
      <c r="K32" s="18" t="s">
        <v>7970</v>
      </c>
      <c r="L32" s="18" t="s">
        <v>8241</v>
      </c>
      <c r="M32" s="18" t="s">
        <v>8242</v>
      </c>
      <c r="N32" s="18" t="s">
        <v>8243</v>
      </c>
      <c r="O32" s="18" t="s">
        <v>543</v>
      </c>
      <c r="P32" s="18" t="s">
        <v>8244</v>
      </c>
      <c r="Q32" s="18" t="s">
        <v>7975</v>
      </c>
      <c r="R32" s="18" t="s">
        <v>7976</v>
      </c>
      <c r="S32" s="18" t="s">
        <v>7994</v>
      </c>
      <c r="T32" s="18" t="s">
        <v>8245</v>
      </c>
      <c r="U32" s="18" t="s">
        <v>8012</v>
      </c>
      <c r="V32" s="18" t="s">
        <v>6963</v>
      </c>
      <c r="W32" s="18" t="s">
        <v>95</v>
      </c>
      <c r="X32" s="18" t="s">
        <v>95</v>
      </c>
      <c r="Y32" s="18" t="s">
        <v>7980</v>
      </c>
      <c r="Z32" s="18" t="s">
        <v>6996</v>
      </c>
      <c r="AA32" s="69">
        <v>1</v>
      </c>
      <c r="AB32" s="18">
        <v>156.25</v>
      </c>
      <c r="AC32" s="18" t="s">
        <v>8246</v>
      </c>
      <c r="AD32" s="18" t="s">
        <v>7982</v>
      </c>
      <c r="AE32" s="18">
        <v>156</v>
      </c>
      <c r="AF32" s="18" t="s">
        <v>7983</v>
      </c>
      <c r="AG32" s="18">
        <v>156</v>
      </c>
      <c r="AH32" s="18" t="s">
        <v>95</v>
      </c>
      <c r="AI32" s="18" t="s">
        <v>8102</v>
      </c>
      <c r="AJ32" s="18" t="s">
        <v>8103</v>
      </c>
      <c r="AK32" s="18" t="s">
        <v>95</v>
      </c>
      <c r="AL32" s="18" t="s">
        <v>95</v>
      </c>
      <c r="AM32" s="18" t="s">
        <v>95</v>
      </c>
      <c r="AN32" s="18" t="s">
        <v>7984</v>
      </c>
      <c r="AO32" s="18" t="s">
        <v>92</v>
      </c>
      <c r="AP32" s="20" t="s">
        <v>88</v>
      </c>
      <c r="AQ32" s="18" t="s">
        <v>89</v>
      </c>
      <c r="AR32" s="18" t="s">
        <v>496</v>
      </c>
      <c r="AS32" s="18">
        <v>1</v>
      </c>
      <c r="AT32" s="18" t="s">
        <v>91</v>
      </c>
      <c r="AU32" s="18" t="s">
        <v>90</v>
      </c>
      <c r="AV32" s="18" t="s">
        <v>8247</v>
      </c>
      <c r="AW32" s="18" t="s">
        <v>8248</v>
      </c>
      <c r="AX32" s="18" t="s">
        <v>83</v>
      </c>
      <c r="AY32" s="18" t="s">
        <v>95</v>
      </c>
      <c r="AZ32" s="18" t="s">
        <v>95</v>
      </c>
      <c r="BA32" s="18" t="s">
        <v>95</v>
      </c>
      <c r="BB32" s="18" t="s">
        <v>95</v>
      </c>
      <c r="BC32" s="18" t="s">
        <v>118</v>
      </c>
      <c r="BD32" s="18" t="s">
        <v>95</v>
      </c>
      <c r="BE32" s="18" t="s">
        <v>95</v>
      </c>
      <c r="BF32" s="18" t="s">
        <v>95</v>
      </c>
      <c r="BG32" s="18" t="s">
        <v>95</v>
      </c>
      <c r="BH32" s="18" t="s">
        <v>95</v>
      </c>
      <c r="BI32" s="18">
        <v>12</v>
      </c>
      <c r="BJ32" s="18">
        <v>2022</v>
      </c>
      <c r="BK32" s="18" t="s">
        <v>95</v>
      </c>
      <c r="BL32" s="18" t="s">
        <v>95</v>
      </c>
      <c r="BM32" s="18" t="s">
        <v>95</v>
      </c>
      <c r="BN32" s="18" t="s">
        <v>85</v>
      </c>
      <c r="BO32" s="18" t="s">
        <v>86</v>
      </c>
      <c r="BP32" s="18" t="s">
        <v>90</v>
      </c>
      <c r="BQ32" s="18" t="s">
        <v>8106</v>
      </c>
      <c r="BR32" s="18" t="s">
        <v>92</v>
      </c>
      <c r="BS32" s="18" t="s">
        <v>8074</v>
      </c>
      <c r="BT32" s="18" t="s">
        <v>7989</v>
      </c>
      <c r="BU32" s="18" t="s">
        <v>496</v>
      </c>
      <c r="BV32" s="18" t="str">
        <f>Terminales[[#This Row],[IMEI]]&amp;"SI"</f>
        <v>355108340300567SI</v>
      </c>
      <c r="BW32" s="18" t="str">
        <f>VLOOKUP(Terminales[[#This Row],[OFICINA_USUARIO]],[1]!Locales[#Data],3,0)</f>
        <v>TIENDA CUENCA CENTRO</v>
      </c>
      <c r="BX32" s="18" t="str">
        <f>VLOOKUP(Terminales[[#This Row],[USUARIO_FINAL]],'[1]Personal Ppto vs Real'!$A:$F,6,0)</f>
        <v>ANDRADE CONDO CHRISTIAN EDUARDO</v>
      </c>
      <c r="BY3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2" s="18">
        <f>DAY(Terminales[[#This Row],[FECHA_FACTURA]])</f>
        <v>3</v>
      </c>
      <c r="CB32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2" s="65">
        <f>IFERROR(IF(AND(Terminales[[#This Row],[CANTIDAD]] = 1,Terminales[[#This Row],[MOVIMIENTO]] = "RENOVACION"),Terminales[[#This Row],[TARIFA_BASICA]]*0.5,),)</f>
        <v>0</v>
      </c>
      <c r="CD32" s="65">
        <f>IF('[1]Resumen TM'!$AW$20 &lt; 0.4,0,Terminales[[#This Row],[MONTO]]*0.02)</f>
        <v>3.125</v>
      </c>
      <c r="CE32" s="66">
        <f>Terminales[[#This Row],[COMISIONES TERMINALES]]+Terminales[[#This Row],[COMISIONES RENOVACIONES]]+Terminales[[#This Row],[COMISIONES BONO]]</f>
        <v>18.75</v>
      </c>
      <c r="CF32" s="67">
        <f>(Terminales[[#This Row],[COMISIONES TERMINALES]]*VLOOKUP(Terminales[[#This Row],[LOCALES]],[1]!Calendario[#Data],3,0))/VLOOKUP(Terminales[[#This Row],[LOCALES]],[1]!Calendario[#Data],2,0)</f>
        <v>25.323275862068964</v>
      </c>
      <c r="CG32" s="67">
        <f>(Terminales[[#This Row],[COMISIONES RENOVACIONES]]*VLOOKUP(Terminales[[#This Row],[LOCALES]],[1]!Calendario[#Data],3,0))/VLOOKUP(Terminales[[#This Row],[LOCALES]],[1]!Calendario[#Data],2,0)</f>
        <v>0</v>
      </c>
      <c r="CH32" s="67">
        <f>(Terminales[[#This Row],[COMISIONES BONO]]*VLOOKUP(Terminales[[#This Row],[LOCALES]],[1]!Calendario[#Data],3,0))/VLOOKUP(Terminales[[#This Row],[LOCALES]],[1]!Calendario[#Data],2,0)</f>
        <v>5.0646551724137927</v>
      </c>
      <c r="CI32" s="67">
        <f>Terminales[[#This Row],[PROY. COM. TERMINALES]]+Terminales[[#This Row],[PROY. COM. RENOV.]]+Terminales[[#This Row],[PROY. COM. 2%]]</f>
        <v>30.387931034482758</v>
      </c>
    </row>
    <row r="33" spans="1:87" x14ac:dyDescent="0.25">
      <c r="A33" s="68">
        <v>44926</v>
      </c>
      <c r="B33" s="68">
        <v>44898</v>
      </c>
      <c r="C33" s="18" t="s">
        <v>291</v>
      </c>
      <c r="D33" s="18" t="s">
        <v>78</v>
      </c>
      <c r="E33" s="18" t="s">
        <v>2241</v>
      </c>
      <c r="F33" s="18" t="s">
        <v>4343</v>
      </c>
      <c r="G33" s="18" t="s">
        <v>292</v>
      </c>
      <c r="H33" s="18" t="s">
        <v>494</v>
      </c>
      <c r="I33" s="18" t="s">
        <v>8249</v>
      </c>
      <c r="J33" s="18" t="s">
        <v>95</v>
      </c>
      <c r="K33" s="18" t="s">
        <v>7970</v>
      </c>
      <c r="L33" s="18" t="s">
        <v>2740</v>
      </c>
      <c r="M33" s="18" t="s">
        <v>2741</v>
      </c>
      <c r="N33" s="18" t="s">
        <v>2742</v>
      </c>
      <c r="O33" s="18" t="s">
        <v>4346</v>
      </c>
      <c r="P33" s="18" t="s">
        <v>4344</v>
      </c>
      <c r="Q33" s="18" t="s">
        <v>7975</v>
      </c>
      <c r="R33" s="18" t="s">
        <v>7976</v>
      </c>
      <c r="S33" s="18" t="s">
        <v>8250</v>
      </c>
      <c r="T33" s="18" t="s">
        <v>8251</v>
      </c>
      <c r="U33" s="18" t="s">
        <v>8059</v>
      </c>
      <c r="V33" s="18" t="s">
        <v>6963</v>
      </c>
      <c r="W33" s="18" t="s">
        <v>95</v>
      </c>
      <c r="X33" s="18" t="s">
        <v>95</v>
      </c>
      <c r="Y33" s="18" t="s">
        <v>7980</v>
      </c>
      <c r="Z33" s="18" t="s">
        <v>6996</v>
      </c>
      <c r="AA33" s="69">
        <v>1</v>
      </c>
      <c r="AB33" s="18">
        <v>1151.7857100000001</v>
      </c>
      <c r="AC33" s="18" t="s">
        <v>8252</v>
      </c>
      <c r="AD33" s="18" t="s">
        <v>8151</v>
      </c>
      <c r="AE33" s="18">
        <v>1017.37</v>
      </c>
      <c r="AF33" s="18" t="s">
        <v>7983</v>
      </c>
      <c r="AG33" s="18">
        <v>1017.37</v>
      </c>
      <c r="AH33" s="18" t="s">
        <v>95</v>
      </c>
      <c r="AI33" s="18" t="s">
        <v>71</v>
      </c>
      <c r="AJ33" s="18" t="s">
        <v>258</v>
      </c>
      <c r="AK33" s="18">
        <v>11.42</v>
      </c>
      <c r="AL33" s="18" t="s">
        <v>95</v>
      </c>
      <c r="AM33" s="18" t="s">
        <v>95</v>
      </c>
      <c r="AN33" s="18" t="s">
        <v>7984</v>
      </c>
      <c r="AO33" s="18" t="s">
        <v>92</v>
      </c>
      <c r="AP33" s="20" t="s">
        <v>289</v>
      </c>
      <c r="AQ33" s="18" t="s">
        <v>290</v>
      </c>
      <c r="AR33" s="18" t="s">
        <v>496</v>
      </c>
      <c r="AS33" s="18">
        <v>1</v>
      </c>
      <c r="AT33" s="18" t="s">
        <v>91</v>
      </c>
      <c r="AU33" s="18" t="s">
        <v>90</v>
      </c>
      <c r="AV33" s="18" t="s">
        <v>8253</v>
      </c>
      <c r="AW33" s="18" t="s">
        <v>8254</v>
      </c>
      <c r="AX33" s="18" t="s">
        <v>83</v>
      </c>
      <c r="AY33" s="18" t="s">
        <v>95</v>
      </c>
      <c r="AZ33" s="18" t="s">
        <v>95</v>
      </c>
      <c r="BA33" s="18" t="s">
        <v>95</v>
      </c>
      <c r="BB33" s="18" t="s">
        <v>95</v>
      </c>
      <c r="BC33" s="18" t="s">
        <v>215</v>
      </c>
      <c r="BD33" s="18" t="s">
        <v>95</v>
      </c>
      <c r="BE33" s="18" t="s">
        <v>95</v>
      </c>
      <c r="BF33" s="18" t="s">
        <v>95</v>
      </c>
      <c r="BG33" s="18" t="s">
        <v>95</v>
      </c>
      <c r="BH33" s="18" t="s">
        <v>95</v>
      </c>
      <c r="BI33" s="18">
        <v>12</v>
      </c>
      <c r="BJ33" s="18">
        <v>2022</v>
      </c>
      <c r="BK33" s="18" t="s">
        <v>95</v>
      </c>
      <c r="BL33" s="18" t="s">
        <v>95</v>
      </c>
      <c r="BM33" s="18" t="s">
        <v>95</v>
      </c>
      <c r="BN33" s="18" t="s">
        <v>85</v>
      </c>
      <c r="BO33" s="18" t="s">
        <v>86</v>
      </c>
      <c r="BP33" s="18" t="s">
        <v>90</v>
      </c>
      <c r="BQ33" s="18" t="s">
        <v>8106</v>
      </c>
      <c r="BR33" s="18" t="s">
        <v>92</v>
      </c>
      <c r="BS33" s="18" t="s">
        <v>8074</v>
      </c>
      <c r="BT33" s="18" t="s">
        <v>7989</v>
      </c>
      <c r="BU33" s="18" t="s">
        <v>496</v>
      </c>
      <c r="BV33" s="18" t="str">
        <f>Terminales[[#This Row],[IMEI]]&amp;"SI"</f>
        <v>353981764964874SI</v>
      </c>
      <c r="BW33" s="18" t="str">
        <f>VLOOKUP(Terminales[[#This Row],[OFICINA_USUARIO]],[1]!Locales[#Data],3,0)</f>
        <v>TIENDA CUENCA CENTRO</v>
      </c>
      <c r="BX33" s="18" t="str">
        <f>VLOOKUP(Terminales[[#This Row],[USUARIO_FINAL]],'[1]Personal Ppto vs Real'!$A:$F,6,0)</f>
        <v>CALLE CHACA JORGE VINICIO</v>
      </c>
      <c r="BY33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3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3" s="18">
        <f>DAY(Terminales[[#This Row],[FECHA_FACTURA]])</f>
        <v>3</v>
      </c>
      <c r="CB33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33" s="65">
        <f>IFERROR(IF(AND(Terminales[[#This Row],[CANTIDAD]] = 1,Terminales[[#This Row],[MOVIMIENTO]] = "RENOVACION"),Terminales[[#This Row],[TARIFA_BASICA]]*0.5,),)</f>
        <v>0</v>
      </c>
      <c r="CD33" s="65">
        <f>IF('[1]Resumen TM'!$AW$20 &lt; 0.4,0,Terminales[[#This Row],[MONTO]]*0.02)</f>
        <v>23.035714200000001</v>
      </c>
      <c r="CE33" s="66">
        <f>Terminales[[#This Row],[COMISIONES TERMINALES]]+Terminales[[#This Row],[COMISIONES RENOVACIONES]]+Terminales[[#This Row],[COMISIONES BONO]]</f>
        <v>138.21428520000001</v>
      </c>
      <c r="CF33" s="67">
        <f>(Terminales[[#This Row],[COMISIONES TERMINALES]]*VLOOKUP(Terminales[[#This Row],[LOCALES]],[1]!Calendario[#Data],3,0))/VLOOKUP(Terminales[[#This Row],[LOCALES]],[1]!Calendario[#Data],2,0)</f>
        <v>186.66871851724142</v>
      </c>
      <c r="CG33" s="67">
        <f>(Terminales[[#This Row],[COMISIONES RENOVACIONES]]*VLOOKUP(Terminales[[#This Row],[LOCALES]],[1]!Calendario[#Data],3,0))/VLOOKUP(Terminales[[#This Row],[LOCALES]],[1]!Calendario[#Data],2,0)</f>
        <v>0</v>
      </c>
      <c r="CH33" s="67">
        <f>(Terminales[[#This Row],[COMISIONES BONO]]*VLOOKUP(Terminales[[#This Row],[LOCALES]],[1]!Calendario[#Data],3,0))/VLOOKUP(Terminales[[#This Row],[LOCALES]],[1]!Calendario[#Data],2,0)</f>
        <v>37.333743703448278</v>
      </c>
      <c r="CI33" s="67">
        <f>Terminales[[#This Row],[PROY. COM. TERMINALES]]+Terminales[[#This Row],[PROY. COM. RENOV.]]+Terminales[[#This Row],[PROY. COM. 2%]]</f>
        <v>224.00246222068969</v>
      </c>
    </row>
    <row r="34" spans="1:87" x14ac:dyDescent="0.25">
      <c r="A34" s="68">
        <v>44926</v>
      </c>
      <c r="B34" s="68">
        <v>44898</v>
      </c>
      <c r="C34" s="18" t="s">
        <v>291</v>
      </c>
      <c r="D34" s="18" t="s">
        <v>78</v>
      </c>
      <c r="E34" s="18" t="s">
        <v>311</v>
      </c>
      <c r="F34" s="18" t="s">
        <v>7505</v>
      </c>
      <c r="G34" s="18" t="s">
        <v>292</v>
      </c>
      <c r="H34" s="18" t="s">
        <v>293</v>
      </c>
      <c r="I34" s="18" t="s">
        <v>8255</v>
      </c>
      <c r="J34" s="18" t="s">
        <v>95</v>
      </c>
      <c r="K34" s="18" t="s">
        <v>7970</v>
      </c>
      <c r="L34" s="18" t="s">
        <v>8256</v>
      </c>
      <c r="M34" s="18" t="s">
        <v>8257</v>
      </c>
      <c r="N34" s="18" t="s">
        <v>7507</v>
      </c>
      <c r="O34" s="18" t="s">
        <v>1691</v>
      </c>
      <c r="P34" s="18" t="s">
        <v>8258</v>
      </c>
      <c r="Q34" s="18" t="s">
        <v>7975</v>
      </c>
      <c r="R34" s="18" t="s">
        <v>7976</v>
      </c>
      <c r="S34" s="18" t="s">
        <v>8045</v>
      </c>
      <c r="T34" s="18" t="s">
        <v>8225</v>
      </c>
      <c r="U34" s="18" t="s">
        <v>8012</v>
      </c>
      <c r="V34" s="18" t="s">
        <v>6963</v>
      </c>
      <c r="W34" s="18" t="s">
        <v>95</v>
      </c>
      <c r="X34" s="18" t="s">
        <v>95</v>
      </c>
      <c r="Y34" s="18" t="s">
        <v>7980</v>
      </c>
      <c r="Z34" s="18" t="s">
        <v>6996</v>
      </c>
      <c r="AA34" s="69">
        <v>1</v>
      </c>
      <c r="AB34" s="18">
        <v>375</v>
      </c>
      <c r="AC34" s="18" t="s">
        <v>7506</v>
      </c>
      <c r="AD34" s="18" t="s">
        <v>7982</v>
      </c>
      <c r="AE34" s="18">
        <v>232</v>
      </c>
      <c r="AF34" s="18" t="s">
        <v>7983</v>
      </c>
      <c r="AG34" s="18">
        <v>232</v>
      </c>
      <c r="AH34" s="18" t="s">
        <v>95</v>
      </c>
      <c r="AI34" s="18" t="s">
        <v>3972</v>
      </c>
      <c r="AJ34" s="18" t="s">
        <v>3973</v>
      </c>
      <c r="AK34" s="18">
        <v>26.78</v>
      </c>
      <c r="AL34" s="18" t="s">
        <v>95</v>
      </c>
      <c r="AM34" s="18" t="s">
        <v>95</v>
      </c>
      <c r="AN34" s="18" t="s">
        <v>7984</v>
      </c>
      <c r="AO34" s="18" t="s">
        <v>139</v>
      </c>
      <c r="AP34" s="20" t="s">
        <v>396</v>
      </c>
      <c r="AQ34" s="18" t="s">
        <v>397</v>
      </c>
      <c r="AR34" s="18" t="s">
        <v>295</v>
      </c>
      <c r="AS34" s="18">
        <v>12</v>
      </c>
      <c r="AT34" s="18" t="s">
        <v>177</v>
      </c>
      <c r="AU34" s="18" t="s">
        <v>90</v>
      </c>
      <c r="AV34" s="18" t="s">
        <v>8228</v>
      </c>
      <c r="AW34" s="18" t="s">
        <v>8229</v>
      </c>
      <c r="AX34" s="18" t="s">
        <v>83</v>
      </c>
      <c r="AY34" s="18" t="s">
        <v>95</v>
      </c>
      <c r="AZ34" s="18" t="s">
        <v>95</v>
      </c>
      <c r="BA34" s="18" t="s">
        <v>95</v>
      </c>
      <c r="BB34" s="18" t="s">
        <v>95</v>
      </c>
      <c r="BC34" s="18" t="s">
        <v>84</v>
      </c>
      <c r="BD34" s="18">
        <v>75</v>
      </c>
      <c r="BE34" s="18" t="s">
        <v>95</v>
      </c>
      <c r="BF34" s="18" t="s">
        <v>95</v>
      </c>
      <c r="BG34" s="18" t="s">
        <v>95</v>
      </c>
      <c r="BH34" s="18" t="s">
        <v>95</v>
      </c>
      <c r="BI34" s="18">
        <v>12</v>
      </c>
      <c r="BJ34" s="18">
        <v>2022</v>
      </c>
      <c r="BK34" s="18" t="s">
        <v>95</v>
      </c>
      <c r="BL34" s="18" t="s">
        <v>95</v>
      </c>
      <c r="BM34" s="18" t="s">
        <v>95</v>
      </c>
      <c r="BN34" s="18" t="s">
        <v>85</v>
      </c>
      <c r="BO34" s="18" t="s">
        <v>86</v>
      </c>
      <c r="BP34" s="18" t="s">
        <v>90</v>
      </c>
      <c r="BQ34" s="18" t="s">
        <v>8002</v>
      </c>
      <c r="BR34" s="18" t="s">
        <v>139</v>
      </c>
      <c r="BS34" s="18" t="s">
        <v>7988</v>
      </c>
      <c r="BT34" s="18" t="s">
        <v>7989</v>
      </c>
      <c r="BU34" s="18" t="s">
        <v>7990</v>
      </c>
      <c r="BV34" s="18" t="str">
        <f>Terminales[[#This Row],[IMEI]]&amp;"SI"</f>
        <v>356795951175590SI</v>
      </c>
      <c r="BW34" s="18" t="str">
        <f>VLOOKUP(Terminales[[#This Row],[OFICINA_USUARIO]],[1]!Locales[#Data],3,0)</f>
        <v>TIENDA RECREO</v>
      </c>
      <c r="BX34" s="18" t="str">
        <f>VLOOKUP(Terminales[[#This Row],[USUARIO_FINAL]],'[1]Personal Ppto vs Real'!$A:$F,6,0)</f>
        <v>VINUEZA VELASCO ANGY DAYANA</v>
      </c>
      <c r="BY34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34" s="18">
        <f>DAY(Terminales[[#This Row],[FECHA_FACTURA]])</f>
        <v>3</v>
      </c>
      <c r="CB34" s="65">
        <f>IF(Terminales[[#This Row],[CANTIDAD]] = 1,INDEX([1]!Comisiones[#Data],MATCH("Terminales",[1]!Comisiones[Producto],0),MATCH(Terminales[[#This Row],[TIPO ALTA COMISIONES]],[1]!Comisiones[#Headers],0))*Terminales[[#This Row],[MONTO]],0)</f>
        <v>22.5</v>
      </c>
      <c r="CC34" s="65">
        <f>IFERROR(IF(AND(Terminales[[#This Row],[CANTIDAD]] = 1,Terminales[[#This Row],[MOVIMIENTO]] = "RENOVACION"),Terminales[[#This Row],[TARIFA_BASICA]]*0.5,),)</f>
        <v>13.39</v>
      </c>
      <c r="CD34" s="65">
        <f>IF('[1]Resumen TM'!$AW$20 &lt; 0.4,0,Terminales[[#This Row],[MONTO]]*0.02)</f>
        <v>7.5</v>
      </c>
      <c r="CE34" s="66">
        <f>Terminales[[#This Row],[COMISIONES TERMINALES]]+Terminales[[#This Row],[COMISIONES RENOVACIONES]]+Terminales[[#This Row],[COMISIONES BONO]]</f>
        <v>43.39</v>
      </c>
      <c r="CF34" s="67">
        <f>(Terminales[[#This Row],[COMISIONES TERMINALES]]*VLOOKUP(Terminales[[#This Row],[LOCALES]],[1]!Calendario[#Data],3,0))/VLOOKUP(Terminales[[#This Row],[LOCALES]],[1]!Calendario[#Data],2,0)</f>
        <v>37.016129032258064</v>
      </c>
      <c r="CG34" s="67">
        <f>(Terminales[[#This Row],[COMISIONES RENOVACIONES]]*VLOOKUP(Terminales[[#This Row],[LOCALES]],[1]!Calendario[#Data],3,0))/VLOOKUP(Terminales[[#This Row],[LOCALES]],[1]!Calendario[#Data],2,0)</f>
        <v>22.028709677419354</v>
      </c>
      <c r="CH34" s="67">
        <f>(Terminales[[#This Row],[COMISIONES BONO]]*VLOOKUP(Terminales[[#This Row],[LOCALES]],[1]!Calendario[#Data],3,0))/VLOOKUP(Terminales[[#This Row],[LOCALES]],[1]!Calendario[#Data],2,0)</f>
        <v>12.338709677419354</v>
      </c>
      <c r="CI34" s="67">
        <f>Terminales[[#This Row],[PROY. COM. TERMINALES]]+Terminales[[#This Row],[PROY. COM. RENOV.]]+Terminales[[#This Row],[PROY. COM. 2%]]</f>
        <v>71.383548387096781</v>
      </c>
    </row>
    <row r="35" spans="1:87" x14ac:dyDescent="0.25">
      <c r="A35" s="68">
        <v>44926</v>
      </c>
      <c r="B35" s="68">
        <v>44898</v>
      </c>
      <c r="C35" s="18" t="s">
        <v>291</v>
      </c>
      <c r="D35" s="18" t="s">
        <v>78</v>
      </c>
      <c r="E35" s="18" t="s">
        <v>768</v>
      </c>
      <c r="F35" s="18" t="s">
        <v>8259</v>
      </c>
      <c r="G35" s="18" t="s">
        <v>292</v>
      </c>
      <c r="H35" s="18" t="s">
        <v>293</v>
      </c>
      <c r="I35" s="18" t="s">
        <v>8260</v>
      </c>
      <c r="J35" s="18" t="s">
        <v>95</v>
      </c>
      <c r="K35" s="18" t="s">
        <v>7970</v>
      </c>
      <c r="L35" s="18" t="s">
        <v>8261</v>
      </c>
      <c r="M35" s="18" t="s">
        <v>8262</v>
      </c>
      <c r="N35" s="18" t="s">
        <v>8263</v>
      </c>
      <c r="O35" s="18" t="s">
        <v>8127</v>
      </c>
      <c r="P35" s="18" t="s">
        <v>8264</v>
      </c>
      <c r="Q35" s="18" t="s">
        <v>7975</v>
      </c>
      <c r="R35" s="18" t="s">
        <v>7976</v>
      </c>
      <c r="S35" s="18" t="s">
        <v>8045</v>
      </c>
      <c r="T35" s="18" t="s">
        <v>8129</v>
      </c>
      <c r="U35" s="18" t="s">
        <v>8012</v>
      </c>
      <c r="V35" s="18" t="s">
        <v>6963</v>
      </c>
      <c r="W35" s="18" t="s">
        <v>95</v>
      </c>
      <c r="X35" s="18" t="s">
        <v>95</v>
      </c>
      <c r="Y35" s="18" t="s">
        <v>7980</v>
      </c>
      <c r="Z35" s="18" t="s">
        <v>6996</v>
      </c>
      <c r="AA35" s="69">
        <v>1</v>
      </c>
      <c r="AB35" s="18">
        <v>321.42856999999998</v>
      </c>
      <c r="AC35" s="18" t="s">
        <v>8265</v>
      </c>
      <c r="AD35" s="18" t="s">
        <v>7982</v>
      </c>
      <c r="AE35" s="18">
        <v>194.5</v>
      </c>
      <c r="AF35" s="18" t="s">
        <v>7983</v>
      </c>
      <c r="AG35" s="18">
        <v>194.5</v>
      </c>
      <c r="AH35" s="18" t="s">
        <v>95</v>
      </c>
      <c r="AI35" s="18" t="s">
        <v>7176</v>
      </c>
      <c r="AJ35" s="18" t="s">
        <v>7177</v>
      </c>
      <c r="AK35" s="18">
        <v>16.989999999999998</v>
      </c>
      <c r="AL35" s="18" t="s">
        <v>95</v>
      </c>
      <c r="AM35" s="18" t="s">
        <v>95</v>
      </c>
      <c r="AN35" s="18" t="s">
        <v>7984</v>
      </c>
      <c r="AO35" s="18" t="s">
        <v>139</v>
      </c>
      <c r="AP35" s="20" t="s">
        <v>303</v>
      </c>
      <c r="AQ35" s="18" t="s">
        <v>304</v>
      </c>
      <c r="AR35" s="18" t="s">
        <v>295</v>
      </c>
      <c r="AS35" s="18">
        <v>12</v>
      </c>
      <c r="AT35" s="18" t="s">
        <v>177</v>
      </c>
      <c r="AU35" s="18" t="s">
        <v>90</v>
      </c>
      <c r="AV35" s="18" t="s">
        <v>8131</v>
      </c>
      <c r="AW35" s="18" t="s">
        <v>8132</v>
      </c>
      <c r="AX35" s="18" t="s">
        <v>83</v>
      </c>
      <c r="AY35" s="18" t="s">
        <v>95</v>
      </c>
      <c r="AZ35" s="18" t="s">
        <v>95</v>
      </c>
      <c r="BA35" s="18" t="s">
        <v>95</v>
      </c>
      <c r="BB35" s="18" t="s">
        <v>95</v>
      </c>
      <c r="BC35" s="18" t="s">
        <v>84</v>
      </c>
      <c r="BD35" s="18">
        <v>64.290000000000006</v>
      </c>
      <c r="BE35" s="18" t="s">
        <v>95</v>
      </c>
      <c r="BF35" s="18" t="s">
        <v>95</v>
      </c>
      <c r="BG35" s="18" t="s">
        <v>95</v>
      </c>
      <c r="BH35" s="18" t="s">
        <v>95</v>
      </c>
      <c r="BI35" s="18">
        <v>12</v>
      </c>
      <c r="BJ35" s="18">
        <v>2022</v>
      </c>
      <c r="BK35" s="18" t="s">
        <v>95</v>
      </c>
      <c r="BL35" s="18" t="s">
        <v>95</v>
      </c>
      <c r="BM35" s="18" t="s">
        <v>95</v>
      </c>
      <c r="BN35" s="18" t="s">
        <v>85</v>
      </c>
      <c r="BO35" s="18" t="s">
        <v>86</v>
      </c>
      <c r="BP35" s="18" t="s">
        <v>90</v>
      </c>
      <c r="BQ35" s="18" t="s">
        <v>8002</v>
      </c>
      <c r="BR35" s="18" t="s">
        <v>139</v>
      </c>
      <c r="BS35" s="18" t="s">
        <v>7988</v>
      </c>
      <c r="BT35" s="18" t="s">
        <v>7989</v>
      </c>
      <c r="BU35" s="18" t="s">
        <v>7990</v>
      </c>
      <c r="BV35" s="18" t="str">
        <f>Terminales[[#This Row],[IMEI]]&amp;"SI"</f>
        <v>350068480082968SI</v>
      </c>
      <c r="BW35" s="18" t="str">
        <f>VLOOKUP(Terminales[[#This Row],[OFICINA_USUARIO]],[1]!Locales[#Data],3,0)</f>
        <v>TIENDA RECREO</v>
      </c>
      <c r="BX35" s="18" t="str">
        <f>VLOOKUP(Terminales[[#This Row],[USUARIO_FINAL]],'[1]Personal Ppto vs Real'!$A:$F,6,0)</f>
        <v>CORDOVA GAIBOR JONATHAN HERNAN</v>
      </c>
      <c r="BY3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35" s="18">
        <f>DAY(Terminales[[#This Row],[FECHA_FACTURA]])</f>
        <v>3</v>
      </c>
      <c r="CB35" s="65">
        <f>IF(Terminales[[#This Row],[CANTIDAD]] = 1,INDEX([1]!Comisiones[#Data],MATCH("Terminales",[1]!Comisiones[Producto],0),MATCH(Terminales[[#This Row],[TIPO ALTA COMISIONES]],[1]!Comisiones[#Headers],0))*Terminales[[#This Row],[MONTO]],0)</f>
        <v>19.285714199999997</v>
      </c>
      <c r="CC35" s="65">
        <f>IFERROR(IF(AND(Terminales[[#This Row],[CANTIDAD]] = 1,Terminales[[#This Row],[MOVIMIENTO]] = "RENOVACION"),Terminales[[#This Row],[TARIFA_BASICA]]*0.5,),)</f>
        <v>8.4949999999999992</v>
      </c>
      <c r="CD35" s="65">
        <f>IF('[1]Resumen TM'!$AW$20 &lt; 0.4,0,Terminales[[#This Row],[MONTO]]*0.02)</f>
        <v>6.4285714</v>
      </c>
      <c r="CE35" s="66">
        <f>Terminales[[#This Row],[COMISIONES TERMINALES]]+Terminales[[#This Row],[COMISIONES RENOVACIONES]]+Terminales[[#This Row],[COMISIONES BONO]]</f>
        <v>34.209285600000001</v>
      </c>
      <c r="CF35" s="67">
        <f>(Terminales[[#This Row],[COMISIONES TERMINALES]]*VLOOKUP(Terminales[[#This Row],[LOCALES]],[1]!Calendario[#Data],3,0))/VLOOKUP(Terminales[[#This Row],[LOCALES]],[1]!Calendario[#Data],2,0)</f>
        <v>31.728110458064513</v>
      </c>
      <c r="CG35" s="67">
        <f>(Terminales[[#This Row],[COMISIONES RENOVACIONES]]*VLOOKUP(Terminales[[#This Row],[LOCALES]],[1]!Calendario[#Data],3,0))/VLOOKUP(Terminales[[#This Row],[LOCALES]],[1]!Calendario[#Data],2,0)</f>
        <v>13.975645161290322</v>
      </c>
      <c r="CH35" s="67">
        <f>(Terminales[[#This Row],[COMISIONES BONO]]*VLOOKUP(Terminales[[#This Row],[LOCALES]],[1]!Calendario[#Data],3,0))/VLOOKUP(Terminales[[#This Row],[LOCALES]],[1]!Calendario[#Data],2,0)</f>
        <v>10.576036819354838</v>
      </c>
      <c r="CI35" s="67">
        <f>Terminales[[#This Row],[PROY. COM. TERMINALES]]+Terminales[[#This Row],[PROY. COM. RENOV.]]+Terminales[[#This Row],[PROY. COM. 2%]]</f>
        <v>56.279792438709677</v>
      </c>
    </row>
    <row r="36" spans="1:87" x14ac:dyDescent="0.25">
      <c r="A36" s="68">
        <v>44926</v>
      </c>
      <c r="B36" s="68">
        <v>44898</v>
      </c>
      <c r="C36" s="18" t="s">
        <v>291</v>
      </c>
      <c r="D36" s="18" t="s">
        <v>78</v>
      </c>
      <c r="E36" s="18" t="s">
        <v>164</v>
      </c>
      <c r="F36" s="18" t="s">
        <v>3887</v>
      </c>
      <c r="G36" s="18" t="s">
        <v>292</v>
      </c>
      <c r="H36" s="18" t="s">
        <v>494</v>
      </c>
      <c r="I36" s="18" t="s">
        <v>8266</v>
      </c>
      <c r="J36" s="18" t="s">
        <v>95</v>
      </c>
      <c r="K36" s="18" t="s">
        <v>7970</v>
      </c>
      <c r="L36" s="18" t="s">
        <v>3888</v>
      </c>
      <c r="M36" s="18" t="s">
        <v>3889</v>
      </c>
      <c r="N36" s="18" t="s">
        <v>3890</v>
      </c>
      <c r="O36" s="18" t="s">
        <v>294</v>
      </c>
      <c r="P36" s="18" t="s">
        <v>3891</v>
      </c>
      <c r="Q36" s="18" t="s">
        <v>7975</v>
      </c>
      <c r="R36" s="18" t="s">
        <v>7976</v>
      </c>
      <c r="S36" s="18" t="s">
        <v>7994</v>
      </c>
      <c r="T36" s="18" t="s">
        <v>8267</v>
      </c>
      <c r="U36" s="18" t="s">
        <v>7996</v>
      </c>
      <c r="V36" s="18" t="s">
        <v>6963</v>
      </c>
      <c r="W36" s="18" t="s">
        <v>95</v>
      </c>
      <c r="X36" s="18" t="s">
        <v>95</v>
      </c>
      <c r="Y36" s="18" t="s">
        <v>7980</v>
      </c>
      <c r="Z36" s="18" t="s">
        <v>6996</v>
      </c>
      <c r="AA36" s="69">
        <v>1</v>
      </c>
      <c r="AB36" s="18">
        <v>102.67856999999999</v>
      </c>
      <c r="AC36" s="18" t="s">
        <v>8268</v>
      </c>
      <c r="AD36" s="18" t="s">
        <v>8151</v>
      </c>
      <c r="AE36" s="18">
        <v>82.97</v>
      </c>
      <c r="AF36" s="18" t="s">
        <v>7983</v>
      </c>
      <c r="AG36" s="18">
        <v>82.97</v>
      </c>
      <c r="AH36" s="18" t="s">
        <v>95</v>
      </c>
      <c r="AI36" s="18" t="s">
        <v>392</v>
      </c>
      <c r="AJ36" s="18" t="s">
        <v>393</v>
      </c>
      <c r="AK36" s="18">
        <v>15</v>
      </c>
      <c r="AL36" s="18" t="s">
        <v>95</v>
      </c>
      <c r="AM36" s="18" t="s">
        <v>95</v>
      </c>
      <c r="AN36" s="18" t="s">
        <v>7984</v>
      </c>
      <c r="AO36" s="18" t="s">
        <v>139</v>
      </c>
      <c r="AP36" s="20" t="s">
        <v>233</v>
      </c>
      <c r="AQ36" s="18" t="s">
        <v>234</v>
      </c>
      <c r="AR36" s="18" t="s">
        <v>496</v>
      </c>
      <c r="AS36" s="18">
        <v>1</v>
      </c>
      <c r="AT36" s="18" t="s">
        <v>235</v>
      </c>
      <c r="AU36" s="18" t="s">
        <v>90</v>
      </c>
      <c r="AV36" s="18" t="s">
        <v>8269</v>
      </c>
      <c r="AW36" s="18" t="s">
        <v>8270</v>
      </c>
      <c r="AX36" s="18" t="s">
        <v>83</v>
      </c>
      <c r="AY36" s="18" t="s">
        <v>95</v>
      </c>
      <c r="AZ36" s="18" t="s">
        <v>95</v>
      </c>
      <c r="BA36" s="18" t="s">
        <v>95</v>
      </c>
      <c r="BB36" s="18" t="s">
        <v>95</v>
      </c>
      <c r="BC36" s="18" t="s">
        <v>118</v>
      </c>
      <c r="BD36" s="18" t="s">
        <v>95</v>
      </c>
      <c r="BE36" s="18" t="s">
        <v>95</v>
      </c>
      <c r="BF36" s="18" t="s">
        <v>95</v>
      </c>
      <c r="BG36" s="18" t="s">
        <v>95</v>
      </c>
      <c r="BH36" s="18" t="s">
        <v>95</v>
      </c>
      <c r="BI36" s="18">
        <v>12</v>
      </c>
      <c r="BJ36" s="18">
        <v>2022</v>
      </c>
      <c r="BK36" s="18" t="s">
        <v>95</v>
      </c>
      <c r="BL36" s="18" t="s">
        <v>95</v>
      </c>
      <c r="BM36" s="18" t="s">
        <v>95</v>
      </c>
      <c r="BN36" s="18" t="s">
        <v>85</v>
      </c>
      <c r="BO36" s="18" t="s">
        <v>86</v>
      </c>
      <c r="BP36" s="18" t="s">
        <v>90</v>
      </c>
      <c r="BQ36" s="18" t="s">
        <v>8016</v>
      </c>
      <c r="BR36" s="18" t="s">
        <v>139</v>
      </c>
      <c r="BS36" s="18" t="s">
        <v>8074</v>
      </c>
      <c r="BT36" s="18" t="s">
        <v>7989</v>
      </c>
      <c r="BU36" s="18" t="s">
        <v>496</v>
      </c>
      <c r="BV36" s="18" t="str">
        <f>Terminales[[#This Row],[IMEI]]&amp;"SI"</f>
        <v>353906800009285SI</v>
      </c>
      <c r="BW36" s="18" t="str">
        <f>VLOOKUP(Terminales[[#This Row],[OFICINA_USUARIO]],[1]!Locales[#Data],3,0)</f>
        <v>TIENDA CONDADO</v>
      </c>
      <c r="BX36" s="18" t="str">
        <f>VLOOKUP(Terminales[[#This Row],[USUARIO_FINAL]],'[1]Personal Ppto vs Real'!$A:$F,6,0)</f>
        <v>ROSALES MALDONADO JESSICA GABRIELA</v>
      </c>
      <c r="BY36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3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6" s="18">
        <f>DAY(Terminales[[#This Row],[FECHA_FACTURA]])</f>
        <v>3</v>
      </c>
      <c r="CB36" s="65">
        <f>IF(Terminales[[#This Row],[CANTIDAD]] = 1,INDEX([1]!Comisiones[#Data],MATCH("Terminales",[1]!Comisiones[Producto],0),MATCH(Terminales[[#This Row],[TIPO ALTA COMISIONES]],[1]!Comisiones[#Headers],0))*Terminales[[#This Row],[MONTO]],0)</f>
        <v>10.267856999999999</v>
      </c>
      <c r="CC36" s="65">
        <f>IFERROR(IF(AND(Terminales[[#This Row],[CANTIDAD]] = 1,Terminales[[#This Row],[MOVIMIENTO]] = "RENOVACION"),Terminales[[#This Row],[TARIFA_BASICA]]*0.5,),)</f>
        <v>0</v>
      </c>
      <c r="CD36" s="65">
        <f>IF('[1]Resumen TM'!$AW$20 &lt; 0.4,0,Terminales[[#This Row],[MONTO]]*0.02)</f>
        <v>2.0535714</v>
      </c>
      <c r="CE36" s="66">
        <f>Terminales[[#This Row],[COMISIONES TERMINALES]]+Terminales[[#This Row],[COMISIONES RENOVACIONES]]+Terminales[[#This Row],[COMISIONES BONO]]</f>
        <v>12.321428399999999</v>
      </c>
      <c r="CF36" s="67">
        <f>(Terminales[[#This Row],[COMISIONES TERMINALES]]*VLOOKUP(Terminales[[#This Row],[LOCALES]],[1]!Calendario[#Data],3,0))/VLOOKUP(Terminales[[#This Row],[LOCALES]],[1]!Calendario[#Data],2,0)</f>
        <v>16.892280870967742</v>
      </c>
      <c r="CG36" s="67">
        <f>(Terminales[[#This Row],[COMISIONES RENOVACIONES]]*VLOOKUP(Terminales[[#This Row],[LOCALES]],[1]!Calendario[#Data],3,0))/VLOOKUP(Terminales[[#This Row],[LOCALES]],[1]!Calendario[#Data],2,0)</f>
        <v>0</v>
      </c>
      <c r="CH36" s="67">
        <f>(Terminales[[#This Row],[COMISIONES BONO]]*VLOOKUP(Terminales[[#This Row],[LOCALES]],[1]!Calendario[#Data],3,0))/VLOOKUP(Terminales[[#This Row],[LOCALES]],[1]!Calendario[#Data],2,0)</f>
        <v>3.3784561741935484</v>
      </c>
      <c r="CI36" s="67">
        <f>Terminales[[#This Row],[PROY. COM. TERMINALES]]+Terminales[[#This Row],[PROY. COM. RENOV.]]+Terminales[[#This Row],[PROY. COM. 2%]]</f>
        <v>20.27073704516129</v>
      </c>
    </row>
    <row r="37" spans="1:87" x14ac:dyDescent="0.25">
      <c r="A37" s="68">
        <v>44926</v>
      </c>
      <c r="B37" s="68">
        <v>44898</v>
      </c>
      <c r="C37" s="18" t="s">
        <v>96</v>
      </c>
      <c r="D37" s="18" t="s">
        <v>96</v>
      </c>
      <c r="E37" s="18" t="s">
        <v>96</v>
      </c>
      <c r="F37" s="18" t="s">
        <v>8271</v>
      </c>
      <c r="G37" s="18" t="s">
        <v>292</v>
      </c>
      <c r="H37" s="18" t="s">
        <v>494</v>
      </c>
      <c r="I37" s="18" t="s">
        <v>8272</v>
      </c>
      <c r="J37" s="18" t="s">
        <v>95</v>
      </c>
      <c r="K37" s="18" t="s">
        <v>7970</v>
      </c>
      <c r="L37" s="18" t="s">
        <v>8273</v>
      </c>
      <c r="M37" s="18" t="s">
        <v>8274</v>
      </c>
      <c r="N37" s="18" t="s">
        <v>8275</v>
      </c>
      <c r="O37" s="18" t="s">
        <v>8056</v>
      </c>
      <c r="P37" s="18" t="s">
        <v>8276</v>
      </c>
      <c r="Q37" s="18" t="s">
        <v>7975</v>
      </c>
      <c r="R37" s="18" t="s">
        <v>7976</v>
      </c>
      <c r="S37" s="18" t="s">
        <v>8045</v>
      </c>
      <c r="T37" s="18" t="s">
        <v>8058</v>
      </c>
      <c r="U37" s="18" t="s">
        <v>8059</v>
      </c>
      <c r="V37" s="18" t="s">
        <v>6963</v>
      </c>
      <c r="W37" s="18" t="s">
        <v>95</v>
      </c>
      <c r="X37" s="18" t="s">
        <v>95</v>
      </c>
      <c r="Y37" s="18" t="s">
        <v>7980</v>
      </c>
      <c r="Z37" s="18" t="s">
        <v>6996</v>
      </c>
      <c r="AA37" s="69">
        <v>1</v>
      </c>
      <c r="AB37" s="18">
        <v>848.21429000000001</v>
      </c>
      <c r="AC37" s="18" t="s">
        <v>8277</v>
      </c>
      <c r="AD37" s="18" t="s">
        <v>96</v>
      </c>
      <c r="AE37" s="18">
        <v>795</v>
      </c>
      <c r="AF37" s="18" t="s">
        <v>7983</v>
      </c>
      <c r="AG37" s="18">
        <v>795</v>
      </c>
      <c r="AH37" s="18" t="s">
        <v>95</v>
      </c>
      <c r="AI37" s="18" t="s">
        <v>8102</v>
      </c>
      <c r="AJ37" s="18" t="s">
        <v>8103</v>
      </c>
      <c r="AK37" s="18" t="s">
        <v>95</v>
      </c>
      <c r="AL37" s="18" t="s">
        <v>95</v>
      </c>
      <c r="AM37" s="18" t="s">
        <v>95</v>
      </c>
      <c r="AN37" s="18" t="s">
        <v>7984</v>
      </c>
      <c r="AO37" s="18" t="s">
        <v>139</v>
      </c>
      <c r="AP37" s="20" t="s">
        <v>136</v>
      </c>
      <c r="AQ37" s="18" t="s">
        <v>137</v>
      </c>
      <c r="AR37" s="18" t="s">
        <v>496</v>
      </c>
      <c r="AS37" s="18">
        <v>1</v>
      </c>
      <c r="AT37" s="18" t="s">
        <v>138</v>
      </c>
      <c r="AU37" s="18" t="s">
        <v>90</v>
      </c>
      <c r="AV37" s="18" t="s">
        <v>8061</v>
      </c>
      <c r="AW37" s="18" t="s">
        <v>8062</v>
      </c>
      <c r="AX37" s="18" t="s">
        <v>83</v>
      </c>
      <c r="AY37" s="18" t="s">
        <v>95</v>
      </c>
      <c r="AZ37" s="18" t="s">
        <v>95</v>
      </c>
      <c r="BA37" s="18" t="s">
        <v>95</v>
      </c>
      <c r="BB37" s="18" t="s">
        <v>95</v>
      </c>
      <c r="BC37" s="18" t="s">
        <v>118</v>
      </c>
      <c r="BD37" s="18" t="s">
        <v>95</v>
      </c>
      <c r="BE37" s="18" t="s">
        <v>8278</v>
      </c>
      <c r="BF37" s="18" t="s">
        <v>8279</v>
      </c>
      <c r="BG37" s="18" t="s">
        <v>95</v>
      </c>
      <c r="BH37" s="18" t="s">
        <v>95</v>
      </c>
      <c r="BI37" s="18">
        <v>12</v>
      </c>
      <c r="BJ37" s="18">
        <v>2022</v>
      </c>
      <c r="BK37" s="18" t="s">
        <v>95</v>
      </c>
      <c r="BL37" s="18" t="s">
        <v>95</v>
      </c>
      <c r="BM37" s="18" t="s">
        <v>95</v>
      </c>
      <c r="BN37" s="18" t="s">
        <v>85</v>
      </c>
      <c r="BO37" s="18" t="s">
        <v>86</v>
      </c>
      <c r="BP37" s="18" t="s">
        <v>90</v>
      </c>
      <c r="BQ37" s="18" t="s">
        <v>7987</v>
      </c>
      <c r="BR37" s="18" t="s">
        <v>139</v>
      </c>
      <c r="BS37" s="18" t="s">
        <v>8003</v>
      </c>
      <c r="BT37" s="18" t="s">
        <v>7989</v>
      </c>
      <c r="BU37" s="18" t="s">
        <v>496</v>
      </c>
      <c r="BV37" s="18" t="str">
        <f>Terminales[[#This Row],[IMEI]]&amp;"SI"</f>
        <v>358975993399006SI</v>
      </c>
      <c r="BW37" s="18" t="str">
        <f>VLOOKUP(Terminales[[#This Row],[OFICINA_USUARIO]],[1]!Locales[#Data],3,0)</f>
        <v>TIENDA AMERICA</v>
      </c>
      <c r="BX37" s="18" t="str">
        <f>VLOOKUP(Terminales[[#This Row],[USUARIO_FINAL]],'[1]Personal Ppto vs Real'!$A:$F,6,0)</f>
        <v>SALVATIERRA GUERRA JULIAN ENRIQUE</v>
      </c>
      <c r="BY3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7" s="18">
        <f>DAY(Terminales[[#This Row],[FECHA_FACTURA]])</f>
        <v>3</v>
      </c>
      <c r="CB37" s="65">
        <f>IF(Terminales[[#This Row],[CANTIDAD]] = 1,INDEX([1]!Comisiones[#Data],MATCH("Terminales",[1]!Comisiones[Producto],0),MATCH(Terminales[[#This Row],[TIPO ALTA COMISIONES]],[1]!Comisiones[#Headers],0))*Terminales[[#This Row],[MONTO]],0)</f>
        <v>84.821429000000009</v>
      </c>
      <c r="CC37" s="65">
        <f>IFERROR(IF(AND(Terminales[[#This Row],[CANTIDAD]] = 1,Terminales[[#This Row],[MOVIMIENTO]] = "RENOVACION"),Terminales[[#This Row],[TARIFA_BASICA]]*0.5,),)</f>
        <v>0</v>
      </c>
      <c r="CD37" s="65">
        <f>IF('[1]Resumen TM'!$AW$20 &lt; 0.4,0,Terminales[[#This Row],[MONTO]]*0.02)</f>
        <v>16.964285799999999</v>
      </c>
      <c r="CE37" s="66">
        <f>Terminales[[#This Row],[COMISIONES TERMINALES]]+Terminales[[#This Row],[COMISIONES RENOVACIONES]]+Terminales[[#This Row],[COMISIONES BONO]]</f>
        <v>101.78571480000001</v>
      </c>
      <c r="CF37" s="67">
        <f>(Terminales[[#This Row],[COMISIONES TERMINALES]]*VLOOKUP(Terminales[[#This Row],[LOCALES]],[1]!Calendario[#Data],3,0))/VLOOKUP(Terminales[[#This Row],[LOCALES]],[1]!Calendario[#Data],2,0)</f>
        <v>139.34949050000003</v>
      </c>
      <c r="CG37" s="67">
        <f>(Terminales[[#This Row],[COMISIONES RENOVACIONES]]*VLOOKUP(Terminales[[#This Row],[LOCALES]],[1]!Calendario[#Data],3,0))/VLOOKUP(Terminales[[#This Row],[LOCALES]],[1]!Calendario[#Data],2,0)</f>
        <v>0</v>
      </c>
      <c r="CH37" s="67">
        <f>(Terminales[[#This Row],[COMISIONES BONO]]*VLOOKUP(Terminales[[#This Row],[LOCALES]],[1]!Calendario[#Data],3,0))/VLOOKUP(Terminales[[#This Row],[LOCALES]],[1]!Calendario[#Data],2,0)</f>
        <v>27.8698981</v>
      </c>
      <c r="CI37" s="67">
        <f>Terminales[[#This Row],[PROY. COM. TERMINALES]]+Terminales[[#This Row],[PROY. COM. RENOV.]]+Terminales[[#This Row],[PROY. COM. 2%]]</f>
        <v>167.21938860000003</v>
      </c>
    </row>
    <row r="38" spans="1:87" x14ac:dyDescent="0.25">
      <c r="A38" s="68">
        <v>44926</v>
      </c>
      <c r="B38" s="68">
        <v>44898</v>
      </c>
      <c r="C38" s="18" t="s">
        <v>291</v>
      </c>
      <c r="D38" s="18" t="s">
        <v>78</v>
      </c>
      <c r="E38" s="18" t="s">
        <v>1036</v>
      </c>
      <c r="F38" s="18" t="s">
        <v>8280</v>
      </c>
      <c r="G38" s="18" t="s">
        <v>292</v>
      </c>
      <c r="H38" s="18" t="s">
        <v>293</v>
      </c>
      <c r="I38" s="18" t="s">
        <v>8281</v>
      </c>
      <c r="J38" s="18" t="s">
        <v>95</v>
      </c>
      <c r="K38" s="18" t="s">
        <v>7970</v>
      </c>
      <c r="L38" s="18" t="s">
        <v>8282</v>
      </c>
      <c r="M38" s="18" t="s">
        <v>8283</v>
      </c>
      <c r="N38" s="18" t="s">
        <v>8284</v>
      </c>
      <c r="O38" s="18" t="s">
        <v>354</v>
      </c>
      <c r="P38" s="18" t="s">
        <v>8285</v>
      </c>
      <c r="Q38" s="18" t="s">
        <v>7975</v>
      </c>
      <c r="R38" s="18" t="s">
        <v>7976</v>
      </c>
      <c r="S38" s="18" t="s">
        <v>8070</v>
      </c>
      <c r="T38" s="18" t="s">
        <v>8071</v>
      </c>
      <c r="U38" s="18" t="s">
        <v>8012</v>
      </c>
      <c r="V38" s="18" t="s">
        <v>6963</v>
      </c>
      <c r="W38" s="18" t="s">
        <v>95</v>
      </c>
      <c r="X38" s="18" t="s">
        <v>95</v>
      </c>
      <c r="Y38" s="18" t="s">
        <v>7980</v>
      </c>
      <c r="Z38" s="18" t="s">
        <v>6996</v>
      </c>
      <c r="AA38" s="69">
        <v>1</v>
      </c>
      <c r="AB38" s="18">
        <v>285.71429000000001</v>
      </c>
      <c r="AC38" s="18" t="s">
        <v>8286</v>
      </c>
      <c r="AD38" s="18" t="s">
        <v>7982</v>
      </c>
      <c r="AE38" s="18">
        <v>199.79</v>
      </c>
      <c r="AF38" s="18" t="s">
        <v>7983</v>
      </c>
      <c r="AG38" s="18">
        <v>199.79</v>
      </c>
      <c r="AH38" s="18" t="s">
        <v>95</v>
      </c>
      <c r="AI38" s="18" t="s">
        <v>71</v>
      </c>
      <c r="AJ38" s="18" t="s">
        <v>258</v>
      </c>
      <c r="AK38" s="18">
        <v>11.42</v>
      </c>
      <c r="AL38" s="18" t="s">
        <v>95</v>
      </c>
      <c r="AM38" s="18" t="s">
        <v>95</v>
      </c>
      <c r="AN38" s="18" t="s">
        <v>7984</v>
      </c>
      <c r="AO38" s="18" t="s">
        <v>139</v>
      </c>
      <c r="AP38" s="20" t="s">
        <v>1545</v>
      </c>
      <c r="AQ38" s="18" t="s">
        <v>1546</v>
      </c>
      <c r="AR38" s="18" t="s">
        <v>295</v>
      </c>
      <c r="AS38" s="18">
        <v>6</v>
      </c>
      <c r="AT38" s="18" t="s">
        <v>138</v>
      </c>
      <c r="AU38" s="18" t="s">
        <v>90</v>
      </c>
      <c r="AV38" s="18" t="s">
        <v>8072</v>
      </c>
      <c r="AW38" s="18" t="s">
        <v>8073</v>
      </c>
      <c r="AX38" s="18" t="s">
        <v>83</v>
      </c>
      <c r="AY38" s="18" t="s">
        <v>95</v>
      </c>
      <c r="AZ38" s="18" t="s">
        <v>95</v>
      </c>
      <c r="BA38" s="18" t="s">
        <v>95</v>
      </c>
      <c r="BB38" s="18" t="s">
        <v>95</v>
      </c>
      <c r="BC38" s="18" t="s">
        <v>84</v>
      </c>
      <c r="BD38" s="18">
        <v>57.14</v>
      </c>
      <c r="BE38" s="18" t="s">
        <v>95</v>
      </c>
      <c r="BF38" s="18" t="s">
        <v>95</v>
      </c>
      <c r="BG38" s="18" t="s">
        <v>95</v>
      </c>
      <c r="BH38" s="18" t="s">
        <v>95</v>
      </c>
      <c r="BI38" s="18">
        <v>12</v>
      </c>
      <c r="BJ38" s="18">
        <v>2022</v>
      </c>
      <c r="BK38" s="18" t="s">
        <v>95</v>
      </c>
      <c r="BL38" s="18" t="s">
        <v>95</v>
      </c>
      <c r="BM38" s="18" t="s">
        <v>95</v>
      </c>
      <c r="BN38" s="18" t="s">
        <v>85</v>
      </c>
      <c r="BO38" s="18" t="s">
        <v>86</v>
      </c>
      <c r="BP38" s="18" t="s">
        <v>90</v>
      </c>
      <c r="BQ38" s="18" t="s">
        <v>7987</v>
      </c>
      <c r="BR38" s="18" t="s">
        <v>139</v>
      </c>
      <c r="BS38" s="18" t="s">
        <v>8027</v>
      </c>
      <c r="BT38" s="18" t="s">
        <v>7989</v>
      </c>
      <c r="BU38" s="18" t="s">
        <v>7990</v>
      </c>
      <c r="BV38" s="18" t="str">
        <f>Terminales[[#This Row],[IMEI]]&amp;"SI"</f>
        <v>869113065768245SI</v>
      </c>
      <c r="BW38" s="18" t="str">
        <f>VLOOKUP(Terminales[[#This Row],[OFICINA_USUARIO]],[1]!Locales[#Data],3,0)</f>
        <v>TIENDA AMERICA</v>
      </c>
      <c r="BX38" s="18" t="str">
        <f>VLOOKUP(Terminales[[#This Row],[USUARIO_FINAL]],'[1]Personal Ppto vs Real'!$A:$F,6,0)</f>
        <v>GRANDA ESPINOZA ANDRES SEBASTIAN</v>
      </c>
      <c r="BY3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38" s="18">
        <f>DAY(Terminales[[#This Row],[FECHA_FACTURA]])</f>
        <v>3</v>
      </c>
      <c r="CB38" s="65">
        <f>IF(Terminales[[#This Row],[CANTIDAD]] = 1,INDEX([1]!Comisiones[#Data],MATCH("Terminales",[1]!Comisiones[Producto],0),MATCH(Terminales[[#This Row],[TIPO ALTA COMISIONES]],[1]!Comisiones[#Headers],0))*Terminales[[#This Row],[MONTO]],0)</f>
        <v>22.857143199999999</v>
      </c>
      <c r="CC38" s="65">
        <f>IFERROR(IF(AND(Terminales[[#This Row],[CANTIDAD]] = 1,Terminales[[#This Row],[MOVIMIENTO]] = "RENOVACION"),Terminales[[#This Row],[TARIFA_BASICA]]*0.5,),)</f>
        <v>5.71</v>
      </c>
      <c r="CD38" s="65">
        <f>IF('[1]Resumen TM'!$AW$20 &lt; 0.4,0,Terminales[[#This Row],[MONTO]]*0.02)</f>
        <v>5.7142857999999999</v>
      </c>
      <c r="CE38" s="66">
        <f>Terminales[[#This Row],[COMISIONES TERMINALES]]+Terminales[[#This Row],[COMISIONES RENOVACIONES]]+Terminales[[#This Row],[COMISIONES BONO]]</f>
        <v>34.281429000000003</v>
      </c>
      <c r="CF38" s="67">
        <f>(Terminales[[#This Row],[COMISIONES TERMINALES]]*VLOOKUP(Terminales[[#This Row],[LOCALES]],[1]!Calendario[#Data],3,0))/VLOOKUP(Terminales[[#This Row],[LOCALES]],[1]!Calendario[#Data],2,0)</f>
        <v>37.551020971428571</v>
      </c>
      <c r="CG38" s="67">
        <f>(Terminales[[#This Row],[COMISIONES RENOVACIONES]]*VLOOKUP(Terminales[[#This Row],[LOCALES]],[1]!Calendario[#Data],3,0))/VLOOKUP(Terminales[[#This Row],[LOCALES]],[1]!Calendario[#Data],2,0)</f>
        <v>9.3807142857142871</v>
      </c>
      <c r="CH38" s="67">
        <f>(Terminales[[#This Row],[COMISIONES BONO]]*VLOOKUP(Terminales[[#This Row],[LOCALES]],[1]!Calendario[#Data],3,0))/VLOOKUP(Terminales[[#This Row],[LOCALES]],[1]!Calendario[#Data],2,0)</f>
        <v>9.3877552428571427</v>
      </c>
      <c r="CI38" s="67">
        <f>Terminales[[#This Row],[PROY. COM. TERMINALES]]+Terminales[[#This Row],[PROY. COM. RENOV.]]+Terminales[[#This Row],[PROY. COM. 2%]]</f>
        <v>56.319490500000001</v>
      </c>
    </row>
    <row r="39" spans="1:87" x14ac:dyDescent="0.25">
      <c r="A39" s="68">
        <v>44926</v>
      </c>
      <c r="B39" s="68">
        <v>44898</v>
      </c>
      <c r="C39" s="18" t="s">
        <v>291</v>
      </c>
      <c r="D39" s="18" t="s">
        <v>78</v>
      </c>
      <c r="E39" s="18" t="s">
        <v>7125</v>
      </c>
      <c r="F39" s="18" t="s">
        <v>8287</v>
      </c>
      <c r="G39" s="18" t="s">
        <v>292</v>
      </c>
      <c r="H39" s="18" t="s">
        <v>494</v>
      </c>
      <c r="I39" s="18" t="s">
        <v>8288</v>
      </c>
      <c r="J39" s="18" t="s">
        <v>95</v>
      </c>
      <c r="K39" s="18" t="s">
        <v>7970</v>
      </c>
      <c r="L39" s="18" t="s">
        <v>8289</v>
      </c>
      <c r="M39" s="18" t="s">
        <v>8290</v>
      </c>
      <c r="N39" s="18" t="s">
        <v>8291</v>
      </c>
      <c r="O39" s="18" t="s">
        <v>8292</v>
      </c>
      <c r="P39" s="18" t="s">
        <v>8293</v>
      </c>
      <c r="Q39" s="18" t="s">
        <v>7975</v>
      </c>
      <c r="R39" s="18" t="s">
        <v>7976</v>
      </c>
      <c r="S39" s="18" t="s">
        <v>8250</v>
      </c>
      <c r="T39" s="18" t="s">
        <v>8294</v>
      </c>
      <c r="U39" s="18" t="s">
        <v>8059</v>
      </c>
      <c r="V39" s="18" t="s">
        <v>6963</v>
      </c>
      <c r="W39" s="18" t="s">
        <v>95</v>
      </c>
      <c r="X39" s="18" t="s">
        <v>95</v>
      </c>
      <c r="Y39" s="18" t="s">
        <v>7980</v>
      </c>
      <c r="Z39" s="18" t="s">
        <v>6996</v>
      </c>
      <c r="AA39" s="69">
        <v>1</v>
      </c>
      <c r="AB39" s="18">
        <v>1053.57143</v>
      </c>
      <c r="AC39" s="18" t="s">
        <v>8295</v>
      </c>
      <c r="AD39" s="18" t="s">
        <v>7982</v>
      </c>
      <c r="AE39" s="18">
        <v>849.67</v>
      </c>
      <c r="AF39" s="18" t="s">
        <v>7983</v>
      </c>
      <c r="AG39" s="18">
        <v>849.67</v>
      </c>
      <c r="AH39" s="18" t="s">
        <v>95</v>
      </c>
      <c r="AI39" s="18" t="s">
        <v>8296</v>
      </c>
      <c r="AJ39" s="18" t="s">
        <v>8297</v>
      </c>
      <c r="AK39" s="18">
        <v>30.02</v>
      </c>
      <c r="AL39" s="18" t="s">
        <v>95</v>
      </c>
      <c r="AM39" s="18" t="s">
        <v>95</v>
      </c>
      <c r="AN39" s="18" t="s">
        <v>7984</v>
      </c>
      <c r="AO39" s="18" t="s">
        <v>139</v>
      </c>
      <c r="AP39" s="20" t="s">
        <v>866</v>
      </c>
      <c r="AQ39" s="18" t="s">
        <v>867</v>
      </c>
      <c r="AR39" s="18" t="s">
        <v>496</v>
      </c>
      <c r="AS39" s="18">
        <v>1</v>
      </c>
      <c r="AT39" s="18" t="s">
        <v>138</v>
      </c>
      <c r="AU39" s="18" t="s">
        <v>90</v>
      </c>
      <c r="AV39" s="18" t="s">
        <v>8298</v>
      </c>
      <c r="AW39" s="18" t="s">
        <v>8299</v>
      </c>
      <c r="AX39" s="18" t="s">
        <v>83</v>
      </c>
      <c r="AY39" s="18" t="s">
        <v>95</v>
      </c>
      <c r="AZ39" s="18" t="s">
        <v>95</v>
      </c>
      <c r="BA39" s="18" t="s">
        <v>95</v>
      </c>
      <c r="BB39" s="18" t="s">
        <v>95</v>
      </c>
      <c r="BC39" s="18" t="s">
        <v>215</v>
      </c>
      <c r="BD39" s="18" t="s">
        <v>95</v>
      </c>
      <c r="BE39" s="18" t="s">
        <v>8300</v>
      </c>
      <c r="BF39" s="18" t="s">
        <v>8171</v>
      </c>
      <c r="BG39" s="18" t="s">
        <v>95</v>
      </c>
      <c r="BH39" s="18" t="s">
        <v>95</v>
      </c>
      <c r="BI39" s="18">
        <v>12</v>
      </c>
      <c r="BJ39" s="18">
        <v>2022</v>
      </c>
      <c r="BK39" s="18" t="s">
        <v>95</v>
      </c>
      <c r="BL39" s="18" t="s">
        <v>95</v>
      </c>
      <c r="BM39" s="18" t="s">
        <v>95</v>
      </c>
      <c r="BN39" s="18" t="s">
        <v>85</v>
      </c>
      <c r="BO39" s="18" t="s">
        <v>86</v>
      </c>
      <c r="BP39" s="18" t="s">
        <v>90</v>
      </c>
      <c r="BQ39" s="18" t="s">
        <v>7987</v>
      </c>
      <c r="BR39" s="18" t="s">
        <v>139</v>
      </c>
      <c r="BS39" s="18" t="s">
        <v>8003</v>
      </c>
      <c r="BT39" s="18" t="s">
        <v>7989</v>
      </c>
      <c r="BU39" s="18" t="s">
        <v>496</v>
      </c>
      <c r="BV39" s="18" t="str">
        <f>Terminales[[#This Row],[IMEI]]&amp;"SI"</f>
        <v>353514356290786SI</v>
      </c>
      <c r="BW39" s="18" t="str">
        <f>VLOOKUP(Terminales[[#This Row],[OFICINA_USUARIO]],[1]!Locales[#Data],3,0)</f>
        <v>TIENDA AMERICA</v>
      </c>
      <c r="BX39" s="18" t="str">
        <f>VLOOKUP(Terminales[[#This Row],[USUARIO_FINAL]],'[1]Personal Ppto vs Real'!$A:$F,6,0)</f>
        <v>ORTEGA RUIZ GABRIEL ANTONIO</v>
      </c>
      <c r="BY3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9" s="18">
        <f>DAY(Terminales[[#This Row],[FECHA_FACTURA]])</f>
        <v>3</v>
      </c>
      <c r="CB39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39" s="65">
        <f>IFERROR(IF(AND(Terminales[[#This Row],[CANTIDAD]] = 1,Terminales[[#This Row],[MOVIMIENTO]] = "RENOVACION"),Terminales[[#This Row],[TARIFA_BASICA]]*0.5,),)</f>
        <v>15.01</v>
      </c>
      <c r="CD39" s="65">
        <f>IF('[1]Resumen TM'!$AW$20 &lt; 0.4,0,Terminales[[#This Row],[MONTO]]*0.02)</f>
        <v>21.071428600000001</v>
      </c>
      <c r="CE39" s="66">
        <f>Terminales[[#This Row],[COMISIONES TERMINALES]]+Terminales[[#This Row],[COMISIONES RENOVACIONES]]+Terminales[[#This Row],[COMISIONES BONO]]</f>
        <v>141.43857160000002</v>
      </c>
      <c r="CF39" s="67">
        <f>(Terminales[[#This Row],[COMISIONES TERMINALES]]*VLOOKUP(Terminales[[#This Row],[LOCALES]],[1]!Calendario[#Data],3,0))/VLOOKUP(Terminales[[#This Row],[LOCALES]],[1]!Calendario[#Data],2,0)</f>
        <v>173.08673492857142</v>
      </c>
      <c r="CG39" s="67">
        <f>(Terminales[[#This Row],[COMISIONES RENOVACIONES]]*VLOOKUP(Terminales[[#This Row],[LOCALES]],[1]!Calendario[#Data],3,0))/VLOOKUP(Terminales[[#This Row],[LOCALES]],[1]!Calendario[#Data],2,0)</f>
        <v>24.659285714285716</v>
      </c>
      <c r="CH39" s="67">
        <f>(Terminales[[#This Row],[COMISIONES BONO]]*VLOOKUP(Terminales[[#This Row],[LOCALES]],[1]!Calendario[#Data],3,0))/VLOOKUP(Terminales[[#This Row],[LOCALES]],[1]!Calendario[#Data],2,0)</f>
        <v>34.617346985714285</v>
      </c>
      <c r="CI39" s="67">
        <f>Terminales[[#This Row],[PROY. COM. TERMINALES]]+Terminales[[#This Row],[PROY. COM. RENOV.]]+Terminales[[#This Row],[PROY. COM. 2%]]</f>
        <v>232.36336762857141</v>
      </c>
    </row>
    <row r="40" spans="1:87" x14ac:dyDescent="0.25">
      <c r="A40" s="68">
        <v>44926</v>
      </c>
      <c r="B40" s="68">
        <v>44898</v>
      </c>
      <c r="C40" s="18" t="s">
        <v>291</v>
      </c>
      <c r="D40" s="18" t="s">
        <v>78</v>
      </c>
      <c r="E40" s="18" t="s">
        <v>231</v>
      </c>
      <c r="F40" s="18" t="s">
        <v>7873</v>
      </c>
      <c r="G40" s="18" t="s">
        <v>292</v>
      </c>
      <c r="H40" s="18" t="s">
        <v>494</v>
      </c>
      <c r="I40" s="18" t="s">
        <v>8301</v>
      </c>
      <c r="J40" s="18" t="s">
        <v>95</v>
      </c>
      <c r="K40" s="18" t="s">
        <v>7970</v>
      </c>
      <c r="L40" s="18" t="s">
        <v>8302</v>
      </c>
      <c r="M40" s="18" t="s">
        <v>8303</v>
      </c>
      <c r="N40" s="18" t="s">
        <v>7875</v>
      </c>
      <c r="O40" s="18" t="s">
        <v>8056</v>
      </c>
      <c r="P40" s="18" t="s">
        <v>8304</v>
      </c>
      <c r="Q40" s="18" t="s">
        <v>7975</v>
      </c>
      <c r="R40" s="18" t="s">
        <v>7976</v>
      </c>
      <c r="S40" s="18" t="s">
        <v>8045</v>
      </c>
      <c r="T40" s="18" t="s">
        <v>8058</v>
      </c>
      <c r="U40" s="18" t="s">
        <v>8059</v>
      </c>
      <c r="V40" s="18" t="s">
        <v>6963</v>
      </c>
      <c r="W40" s="18" t="s">
        <v>95</v>
      </c>
      <c r="X40" s="18" t="s">
        <v>95</v>
      </c>
      <c r="Y40" s="18" t="s">
        <v>7980</v>
      </c>
      <c r="Z40" s="18" t="s">
        <v>6996</v>
      </c>
      <c r="AA40" s="69">
        <v>1</v>
      </c>
      <c r="AB40" s="18">
        <v>848.21429000000001</v>
      </c>
      <c r="AC40" s="18" t="s">
        <v>7874</v>
      </c>
      <c r="AD40" s="18" t="s">
        <v>7982</v>
      </c>
      <c r="AE40" s="18">
        <v>795</v>
      </c>
      <c r="AF40" s="18" t="s">
        <v>7983</v>
      </c>
      <c r="AG40" s="18">
        <v>795</v>
      </c>
      <c r="AH40" s="18" t="s">
        <v>95</v>
      </c>
      <c r="AI40" s="18" t="s">
        <v>7069</v>
      </c>
      <c r="AJ40" s="18" t="s">
        <v>7070</v>
      </c>
      <c r="AK40" s="18">
        <v>21.42</v>
      </c>
      <c r="AL40" s="18" t="s">
        <v>95</v>
      </c>
      <c r="AM40" s="18" t="s">
        <v>95</v>
      </c>
      <c r="AN40" s="18" t="s">
        <v>7984</v>
      </c>
      <c r="AO40" s="18" t="s">
        <v>139</v>
      </c>
      <c r="AP40" s="20" t="s">
        <v>1545</v>
      </c>
      <c r="AQ40" s="18" t="s">
        <v>1546</v>
      </c>
      <c r="AR40" s="18" t="s">
        <v>496</v>
      </c>
      <c r="AS40" s="18">
        <v>1</v>
      </c>
      <c r="AT40" s="18" t="s">
        <v>138</v>
      </c>
      <c r="AU40" s="18" t="s">
        <v>90</v>
      </c>
      <c r="AV40" s="18" t="s">
        <v>8061</v>
      </c>
      <c r="AW40" s="18" t="s">
        <v>8062</v>
      </c>
      <c r="AX40" s="18" t="s">
        <v>83</v>
      </c>
      <c r="AY40" s="18" t="s">
        <v>95</v>
      </c>
      <c r="AZ40" s="18" t="s">
        <v>95</v>
      </c>
      <c r="BA40" s="18" t="s">
        <v>95</v>
      </c>
      <c r="BB40" s="18" t="s">
        <v>95</v>
      </c>
      <c r="BC40" s="18" t="s">
        <v>84</v>
      </c>
      <c r="BD40" s="18" t="s">
        <v>95</v>
      </c>
      <c r="BE40" s="18" t="s">
        <v>95</v>
      </c>
      <c r="BF40" s="18" t="s">
        <v>95</v>
      </c>
      <c r="BG40" s="18" t="s">
        <v>95</v>
      </c>
      <c r="BH40" s="18" t="s">
        <v>95</v>
      </c>
      <c r="BI40" s="18">
        <v>12</v>
      </c>
      <c r="BJ40" s="18">
        <v>2022</v>
      </c>
      <c r="BK40" s="18" t="s">
        <v>95</v>
      </c>
      <c r="BL40" s="18" t="s">
        <v>95</v>
      </c>
      <c r="BM40" s="18" t="s">
        <v>95</v>
      </c>
      <c r="BN40" s="18" t="s">
        <v>85</v>
      </c>
      <c r="BO40" s="18" t="s">
        <v>86</v>
      </c>
      <c r="BP40" s="18" t="s">
        <v>90</v>
      </c>
      <c r="BQ40" s="18" t="s">
        <v>7987</v>
      </c>
      <c r="BR40" s="18" t="s">
        <v>139</v>
      </c>
      <c r="BS40" s="18" t="s">
        <v>8074</v>
      </c>
      <c r="BT40" s="18" t="s">
        <v>7989</v>
      </c>
      <c r="BU40" s="18" t="s">
        <v>496</v>
      </c>
      <c r="BV40" s="18" t="str">
        <f>Terminales[[#This Row],[IMEI]]&amp;"SI"</f>
        <v>358975993098780SI</v>
      </c>
      <c r="BW40" s="18" t="str">
        <f>VLOOKUP(Terminales[[#This Row],[OFICINA_USUARIO]],[1]!Locales[#Data],3,0)</f>
        <v>TIENDA AMERICA</v>
      </c>
      <c r="BX40" s="18" t="str">
        <f>VLOOKUP(Terminales[[#This Row],[USUARIO_FINAL]],'[1]Personal Ppto vs Real'!$A:$F,6,0)</f>
        <v>GRANDA ESPINOZA ANDRES SEBASTIAN</v>
      </c>
      <c r="BY4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4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" s="18">
        <f>DAY(Terminales[[#This Row],[FECHA_FACTURA]])</f>
        <v>3</v>
      </c>
      <c r="CB40" s="65">
        <f>IF(Terminales[[#This Row],[CANTIDAD]] = 1,INDEX([1]!Comisiones[#Data],MATCH("Terminales",[1]!Comisiones[Producto],0),MATCH(Terminales[[#This Row],[TIPO ALTA COMISIONES]],[1]!Comisiones[#Headers],0))*Terminales[[#This Row],[MONTO]],0)</f>
        <v>84.821429000000009</v>
      </c>
      <c r="CC40" s="65">
        <f>IFERROR(IF(AND(Terminales[[#This Row],[CANTIDAD]] = 1,Terminales[[#This Row],[MOVIMIENTO]] = "RENOVACION"),Terminales[[#This Row],[TARIFA_BASICA]]*0.5,),)</f>
        <v>10.71</v>
      </c>
      <c r="CD40" s="65">
        <f>IF('[1]Resumen TM'!$AW$20 &lt; 0.4,0,Terminales[[#This Row],[MONTO]]*0.02)</f>
        <v>16.964285799999999</v>
      </c>
      <c r="CE40" s="66">
        <f>Terminales[[#This Row],[COMISIONES TERMINALES]]+Terminales[[#This Row],[COMISIONES RENOVACIONES]]+Terminales[[#This Row],[COMISIONES BONO]]</f>
        <v>112.4957148</v>
      </c>
      <c r="CF40" s="67">
        <f>(Terminales[[#This Row],[COMISIONES TERMINALES]]*VLOOKUP(Terminales[[#This Row],[LOCALES]],[1]!Calendario[#Data],3,0))/VLOOKUP(Terminales[[#This Row],[LOCALES]],[1]!Calendario[#Data],2,0)</f>
        <v>139.34949050000003</v>
      </c>
      <c r="CG40" s="67">
        <f>(Terminales[[#This Row],[COMISIONES RENOVACIONES]]*VLOOKUP(Terminales[[#This Row],[LOCALES]],[1]!Calendario[#Data],3,0))/VLOOKUP(Terminales[[#This Row],[LOCALES]],[1]!Calendario[#Data],2,0)</f>
        <v>17.595000000000002</v>
      </c>
      <c r="CH40" s="67">
        <f>(Terminales[[#This Row],[COMISIONES BONO]]*VLOOKUP(Terminales[[#This Row],[LOCALES]],[1]!Calendario[#Data],3,0))/VLOOKUP(Terminales[[#This Row],[LOCALES]],[1]!Calendario[#Data],2,0)</f>
        <v>27.8698981</v>
      </c>
      <c r="CI40" s="67">
        <f>Terminales[[#This Row],[PROY. COM. TERMINALES]]+Terminales[[#This Row],[PROY. COM. RENOV.]]+Terminales[[#This Row],[PROY. COM. 2%]]</f>
        <v>184.81438860000003</v>
      </c>
    </row>
    <row r="41" spans="1:87" x14ac:dyDescent="0.25">
      <c r="A41" s="68">
        <v>44926</v>
      </c>
      <c r="B41" s="68">
        <v>44898</v>
      </c>
      <c r="C41" s="18" t="s">
        <v>291</v>
      </c>
      <c r="D41" s="18" t="s">
        <v>78</v>
      </c>
      <c r="E41" s="18" t="s">
        <v>164</v>
      </c>
      <c r="F41" s="18" t="s">
        <v>8305</v>
      </c>
      <c r="G41" s="18" t="s">
        <v>292</v>
      </c>
      <c r="H41" s="18" t="s">
        <v>293</v>
      </c>
      <c r="I41" s="18" t="s">
        <v>8306</v>
      </c>
      <c r="J41" s="18" t="s">
        <v>95</v>
      </c>
      <c r="K41" s="18" t="s">
        <v>7970</v>
      </c>
      <c r="L41" s="18" t="s">
        <v>8307</v>
      </c>
      <c r="M41" s="18" t="s">
        <v>8308</v>
      </c>
      <c r="N41" s="18" t="s">
        <v>8309</v>
      </c>
      <c r="O41" s="18" t="s">
        <v>3299</v>
      </c>
      <c r="P41" s="18" t="s">
        <v>8310</v>
      </c>
      <c r="Q41" s="18" t="s">
        <v>7975</v>
      </c>
      <c r="R41" s="18" t="s">
        <v>7976</v>
      </c>
      <c r="S41" s="18" t="s">
        <v>8070</v>
      </c>
      <c r="T41" s="18" t="s">
        <v>8189</v>
      </c>
      <c r="U41" s="18" t="s">
        <v>8100</v>
      </c>
      <c r="V41" s="18" t="s">
        <v>6963</v>
      </c>
      <c r="W41" s="18" t="s">
        <v>95</v>
      </c>
      <c r="X41" s="18" t="s">
        <v>95</v>
      </c>
      <c r="Y41" s="18" t="s">
        <v>7980</v>
      </c>
      <c r="Z41" s="18" t="s">
        <v>6996</v>
      </c>
      <c r="AA41" s="69">
        <v>1</v>
      </c>
      <c r="AB41" s="18">
        <v>549.10713999999996</v>
      </c>
      <c r="AC41" s="18" t="s">
        <v>8311</v>
      </c>
      <c r="AD41" s="18" t="s">
        <v>7982</v>
      </c>
      <c r="AE41" s="18">
        <v>399.99</v>
      </c>
      <c r="AF41" s="18" t="s">
        <v>7983</v>
      </c>
      <c r="AG41" s="18">
        <v>399.99</v>
      </c>
      <c r="AH41" s="18" t="s">
        <v>95</v>
      </c>
      <c r="AI41" s="18" t="s">
        <v>160</v>
      </c>
      <c r="AJ41" s="18" t="s">
        <v>161</v>
      </c>
      <c r="AK41" s="18">
        <v>14.28</v>
      </c>
      <c r="AL41" s="18" t="s">
        <v>95</v>
      </c>
      <c r="AM41" s="18" t="s">
        <v>95</v>
      </c>
      <c r="AN41" s="18" t="s">
        <v>7984</v>
      </c>
      <c r="AO41" s="18" t="s">
        <v>139</v>
      </c>
      <c r="AP41" s="20" t="s">
        <v>630</v>
      </c>
      <c r="AQ41" s="18" t="s">
        <v>631</v>
      </c>
      <c r="AR41" s="18" t="s">
        <v>295</v>
      </c>
      <c r="AS41" s="18">
        <v>6</v>
      </c>
      <c r="AT41" s="18" t="s">
        <v>177</v>
      </c>
      <c r="AU41" s="18" t="s">
        <v>90</v>
      </c>
      <c r="AV41" s="18" t="s">
        <v>8191</v>
      </c>
      <c r="AW41" s="18" t="s">
        <v>8192</v>
      </c>
      <c r="AX41" s="18" t="s">
        <v>83</v>
      </c>
      <c r="AY41" s="18" t="s">
        <v>95</v>
      </c>
      <c r="AZ41" s="18" t="s">
        <v>95</v>
      </c>
      <c r="BA41" s="18" t="s">
        <v>95</v>
      </c>
      <c r="BB41" s="18" t="s">
        <v>95</v>
      </c>
      <c r="BC41" s="18" t="s">
        <v>84</v>
      </c>
      <c r="BD41" s="18">
        <v>110</v>
      </c>
      <c r="BE41" s="18" t="s">
        <v>95</v>
      </c>
      <c r="BF41" s="18" t="s">
        <v>95</v>
      </c>
      <c r="BG41" s="18" t="s">
        <v>95</v>
      </c>
      <c r="BH41" s="18" t="s">
        <v>95</v>
      </c>
      <c r="BI41" s="18">
        <v>12</v>
      </c>
      <c r="BJ41" s="18">
        <v>2022</v>
      </c>
      <c r="BK41" s="18" t="s">
        <v>95</v>
      </c>
      <c r="BL41" s="18" t="s">
        <v>95</v>
      </c>
      <c r="BM41" s="18" t="s">
        <v>95</v>
      </c>
      <c r="BN41" s="18" t="s">
        <v>85</v>
      </c>
      <c r="BO41" s="18" t="s">
        <v>86</v>
      </c>
      <c r="BP41" s="18" t="s">
        <v>90</v>
      </c>
      <c r="BQ41" s="18" t="s">
        <v>8002</v>
      </c>
      <c r="BR41" s="18" t="s">
        <v>139</v>
      </c>
      <c r="BS41" s="18" t="s">
        <v>8027</v>
      </c>
      <c r="BT41" s="18" t="s">
        <v>7989</v>
      </c>
      <c r="BU41" s="18" t="s">
        <v>7990</v>
      </c>
      <c r="BV41" s="18" t="str">
        <f>Terminales[[#This Row],[IMEI]]&amp;"SI"</f>
        <v>868214060806328SI</v>
      </c>
      <c r="BW41" s="18" t="str">
        <f>VLOOKUP(Terminales[[#This Row],[OFICINA_USUARIO]],[1]!Locales[#Data],3,0)</f>
        <v>TIENDA RECREO</v>
      </c>
      <c r="BX41" s="18" t="str">
        <f>VLOOKUP(Terminales[[#This Row],[USUARIO_FINAL]],'[1]Personal Ppto vs Real'!$A:$F,6,0)</f>
        <v>LOAYZA AGUILAR JONATHAN FABIAN</v>
      </c>
      <c r="BY41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4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41" s="18">
        <f>DAY(Terminales[[#This Row],[FECHA_FACTURA]])</f>
        <v>3</v>
      </c>
      <c r="CB41" s="65">
        <f>IF(Terminales[[#This Row],[CANTIDAD]] = 1,INDEX([1]!Comisiones[#Data],MATCH("Terminales",[1]!Comisiones[Producto],0),MATCH(Terminales[[#This Row],[TIPO ALTA COMISIONES]],[1]!Comisiones[#Headers],0))*Terminales[[#This Row],[MONTO]],0)</f>
        <v>43.9285712</v>
      </c>
      <c r="CC41" s="65">
        <f>IFERROR(IF(AND(Terminales[[#This Row],[CANTIDAD]] = 1,Terminales[[#This Row],[MOVIMIENTO]] = "RENOVACION"),Terminales[[#This Row],[TARIFA_BASICA]]*0.5,),)</f>
        <v>7.14</v>
      </c>
      <c r="CD41" s="65">
        <f>IF('[1]Resumen TM'!$AW$20 &lt; 0.4,0,Terminales[[#This Row],[MONTO]]*0.02)</f>
        <v>10.9821428</v>
      </c>
      <c r="CE41" s="66">
        <f>Terminales[[#This Row],[COMISIONES TERMINALES]]+Terminales[[#This Row],[COMISIONES RENOVACIONES]]+Terminales[[#This Row],[COMISIONES BONO]]</f>
        <v>62.050713999999999</v>
      </c>
      <c r="CF41" s="67">
        <f>(Terminales[[#This Row],[COMISIONES TERMINALES]]*VLOOKUP(Terminales[[#This Row],[LOCALES]],[1]!Calendario[#Data],3,0))/VLOOKUP(Terminales[[#This Row],[LOCALES]],[1]!Calendario[#Data],2,0)</f>
        <v>72.269584877419348</v>
      </c>
      <c r="CG41" s="67">
        <f>(Terminales[[#This Row],[COMISIONES RENOVACIONES]]*VLOOKUP(Terminales[[#This Row],[LOCALES]],[1]!Calendario[#Data],3,0))/VLOOKUP(Terminales[[#This Row],[LOCALES]],[1]!Calendario[#Data],2,0)</f>
        <v>11.746451612903225</v>
      </c>
      <c r="CH41" s="67">
        <f>(Terminales[[#This Row],[COMISIONES BONO]]*VLOOKUP(Terminales[[#This Row],[LOCALES]],[1]!Calendario[#Data],3,0))/VLOOKUP(Terminales[[#This Row],[LOCALES]],[1]!Calendario[#Data],2,0)</f>
        <v>18.067396219354837</v>
      </c>
      <c r="CI41" s="67">
        <f>Terminales[[#This Row],[PROY. COM. TERMINALES]]+Terminales[[#This Row],[PROY. COM. RENOV.]]+Terminales[[#This Row],[PROY. COM. 2%]]</f>
        <v>102.08343270967741</v>
      </c>
    </row>
    <row r="42" spans="1:87" x14ac:dyDescent="0.25">
      <c r="A42" s="68">
        <v>44926</v>
      </c>
      <c r="B42" s="68">
        <v>44898</v>
      </c>
      <c r="C42" s="18" t="s">
        <v>96</v>
      </c>
      <c r="D42" s="18" t="s">
        <v>96</v>
      </c>
      <c r="E42" s="18" t="s">
        <v>96</v>
      </c>
      <c r="F42" s="18" t="s">
        <v>95</v>
      </c>
      <c r="G42" s="18" t="s">
        <v>292</v>
      </c>
      <c r="H42" s="18" t="s">
        <v>494</v>
      </c>
      <c r="I42" s="18" t="s">
        <v>8312</v>
      </c>
      <c r="J42" s="18" t="s">
        <v>95</v>
      </c>
      <c r="K42" s="18" t="s">
        <v>7970</v>
      </c>
      <c r="L42" s="18" t="s">
        <v>8313</v>
      </c>
      <c r="M42" s="18" t="s">
        <v>8314</v>
      </c>
      <c r="N42" s="18" t="s">
        <v>8315</v>
      </c>
      <c r="O42" s="18" t="s">
        <v>8316</v>
      </c>
      <c r="P42" s="18" t="s">
        <v>8317</v>
      </c>
      <c r="Q42" s="18" t="s">
        <v>7975</v>
      </c>
      <c r="R42" s="18" t="s">
        <v>7976</v>
      </c>
      <c r="S42" s="18" t="s">
        <v>8250</v>
      </c>
      <c r="T42" s="18" t="s">
        <v>8318</v>
      </c>
      <c r="U42" s="18" t="s">
        <v>8059</v>
      </c>
      <c r="V42" s="18" t="s">
        <v>6963</v>
      </c>
      <c r="W42" s="18" t="s">
        <v>95</v>
      </c>
      <c r="X42" s="18" t="s">
        <v>95</v>
      </c>
      <c r="Y42" s="18" t="s">
        <v>7980</v>
      </c>
      <c r="Z42" s="18" t="s">
        <v>6996</v>
      </c>
      <c r="AA42" s="69">
        <v>1</v>
      </c>
      <c r="AB42" s="18">
        <v>1151.7857100000001</v>
      </c>
      <c r="AC42" s="18" t="s">
        <v>95</v>
      </c>
      <c r="AD42" s="18" t="s">
        <v>96</v>
      </c>
      <c r="AE42" s="18">
        <v>956.01</v>
      </c>
      <c r="AF42" s="18" t="s">
        <v>7983</v>
      </c>
      <c r="AG42" s="18">
        <v>956.01</v>
      </c>
      <c r="AH42" s="18" t="s">
        <v>95</v>
      </c>
      <c r="AI42" s="18" t="s">
        <v>95</v>
      </c>
      <c r="AJ42" s="18" t="s">
        <v>95</v>
      </c>
      <c r="AK42" s="18" t="s">
        <v>95</v>
      </c>
      <c r="AL42" s="18" t="s">
        <v>95</v>
      </c>
      <c r="AM42" s="18" t="s">
        <v>95</v>
      </c>
      <c r="AN42" s="18" t="s">
        <v>7984</v>
      </c>
      <c r="AO42" s="18" t="s">
        <v>139</v>
      </c>
      <c r="AP42" s="20" t="s">
        <v>822</v>
      </c>
      <c r="AQ42" s="18" t="s">
        <v>823</v>
      </c>
      <c r="AR42" s="18" t="s">
        <v>496</v>
      </c>
      <c r="AS42" s="18">
        <v>1</v>
      </c>
      <c r="AT42" s="18" t="s">
        <v>177</v>
      </c>
      <c r="AU42" s="18" t="s">
        <v>90</v>
      </c>
      <c r="AV42" s="18" t="s">
        <v>8319</v>
      </c>
      <c r="AW42" s="18" t="s">
        <v>8320</v>
      </c>
      <c r="AX42" s="18" t="s">
        <v>83</v>
      </c>
      <c r="AY42" s="18" t="s">
        <v>95</v>
      </c>
      <c r="AZ42" s="18" t="s">
        <v>95</v>
      </c>
      <c r="BA42" s="18" t="s">
        <v>95</v>
      </c>
      <c r="BB42" s="18" t="s">
        <v>95</v>
      </c>
      <c r="BC42" s="18" t="s">
        <v>95</v>
      </c>
      <c r="BD42" s="18" t="s">
        <v>95</v>
      </c>
      <c r="BE42" s="18" t="s">
        <v>8321</v>
      </c>
      <c r="BF42" s="18" t="s">
        <v>8001</v>
      </c>
      <c r="BG42" s="18" t="s">
        <v>95</v>
      </c>
      <c r="BH42" s="18" t="s">
        <v>95</v>
      </c>
      <c r="BI42" s="18">
        <v>12</v>
      </c>
      <c r="BJ42" s="18">
        <v>2022</v>
      </c>
      <c r="BK42" s="18" t="s">
        <v>95</v>
      </c>
      <c r="BL42" s="18" t="s">
        <v>95</v>
      </c>
      <c r="BM42" s="18" t="s">
        <v>95</v>
      </c>
      <c r="BN42" s="18" t="s">
        <v>85</v>
      </c>
      <c r="BO42" s="18" t="s">
        <v>86</v>
      </c>
      <c r="BP42" s="18" t="s">
        <v>90</v>
      </c>
      <c r="BQ42" s="18" t="s">
        <v>8002</v>
      </c>
      <c r="BR42" s="18" t="s">
        <v>139</v>
      </c>
      <c r="BS42" s="18" t="s">
        <v>8003</v>
      </c>
      <c r="BT42" s="18" t="s">
        <v>7989</v>
      </c>
      <c r="BU42" s="18" t="s">
        <v>496</v>
      </c>
      <c r="BV42" s="18" t="str">
        <f>Terminales[[#This Row],[IMEI]]&amp;"SI"</f>
        <v>353514357421935SI</v>
      </c>
      <c r="BW42" s="18" t="str">
        <f>VLOOKUP(Terminales[[#This Row],[OFICINA_USUARIO]],[1]!Locales[#Data],3,0)</f>
        <v>TIENDA RECREO</v>
      </c>
      <c r="BX42" s="18" t="str">
        <f>VLOOKUP(Terminales[[#This Row],[USUARIO_FINAL]],'[1]Personal Ppto vs Real'!$A:$F,6,0)</f>
        <v>SALAS PARRA MARIA JOSE</v>
      </c>
      <c r="BY4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42" s="18">
        <f>DAY(Terminales[[#This Row],[FECHA_FACTURA]])</f>
        <v>3</v>
      </c>
      <c r="CB42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42" s="65">
        <f>IFERROR(IF(AND(Terminales[[#This Row],[CANTIDAD]] = 1,Terminales[[#This Row],[MOVIMIENTO]] = "RENOVACION"),Terminales[[#This Row],[TARIFA_BASICA]]*0.5,),)</f>
        <v>0</v>
      </c>
      <c r="CD42" s="65">
        <f>IF('[1]Resumen TM'!$AW$20 &lt; 0.4,0,Terminales[[#This Row],[MONTO]]*0.02)</f>
        <v>23.035714200000001</v>
      </c>
      <c r="CE42" s="66">
        <f>Terminales[[#This Row],[COMISIONES TERMINALES]]+Terminales[[#This Row],[COMISIONES RENOVACIONES]]+Terminales[[#This Row],[COMISIONES BONO]]</f>
        <v>138.21428520000001</v>
      </c>
      <c r="CF42" s="67">
        <f>(Terminales[[#This Row],[COMISIONES TERMINALES]]*VLOOKUP(Terminales[[#This Row],[LOCALES]],[1]!Calendario[#Data],3,0))/VLOOKUP(Terminales[[#This Row],[LOCALES]],[1]!Calendario[#Data],2,0)</f>
        <v>189.48732648387099</v>
      </c>
      <c r="CG42" s="67">
        <f>(Terminales[[#This Row],[COMISIONES RENOVACIONES]]*VLOOKUP(Terminales[[#This Row],[LOCALES]],[1]!Calendario[#Data],3,0))/VLOOKUP(Terminales[[#This Row],[LOCALES]],[1]!Calendario[#Data],2,0)</f>
        <v>0</v>
      </c>
      <c r="CH42" s="67">
        <f>(Terminales[[#This Row],[COMISIONES BONO]]*VLOOKUP(Terminales[[#This Row],[LOCALES]],[1]!Calendario[#Data],3,0))/VLOOKUP(Terminales[[#This Row],[LOCALES]],[1]!Calendario[#Data],2,0)</f>
        <v>37.8974652967742</v>
      </c>
      <c r="CI42" s="67">
        <f>Terminales[[#This Row],[PROY. COM. TERMINALES]]+Terminales[[#This Row],[PROY. COM. RENOV.]]+Terminales[[#This Row],[PROY. COM. 2%]]</f>
        <v>227.38479178064517</v>
      </c>
    </row>
    <row r="43" spans="1:87" x14ac:dyDescent="0.25">
      <c r="A43" s="68">
        <v>44926</v>
      </c>
      <c r="B43" s="68">
        <v>44898</v>
      </c>
      <c r="C43" s="18" t="s">
        <v>291</v>
      </c>
      <c r="D43" s="18" t="s">
        <v>78</v>
      </c>
      <c r="E43" s="18" t="s">
        <v>2241</v>
      </c>
      <c r="F43" s="18" t="s">
        <v>8322</v>
      </c>
      <c r="G43" s="18" t="s">
        <v>292</v>
      </c>
      <c r="H43" s="18" t="s">
        <v>293</v>
      </c>
      <c r="I43" s="18" t="s">
        <v>8323</v>
      </c>
      <c r="J43" s="18" t="s">
        <v>95</v>
      </c>
      <c r="K43" s="18" t="s">
        <v>7970</v>
      </c>
      <c r="L43" s="18" t="s">
        <v>8324</v>
      </c>
      <c r="M43" s="18" t="s">
        <v>8325</v>
      </c>
      <c r="N43" s="18" t="s">
        <v>8326</v>
      </c>
      <c r="O43" s="18" t="s">
        <v>543</v>
      </c>
      <c r="P43" s="18" t="s">
        <v>8327</v>
      </c>
      <c r="Q43" s="18" t="s">
        <v>7975</v>
      </c>
      <c r="R43" s="18" t="s">
        <v>7976</v>
      </c>
      <c r="S43" s="18" t="s">
        <v>7994</v>
      </c>
      <c r="T43" s="18" t="s">
        <v>8245</v>
      </c>
      <c r="U43" s="18" t="s">
        <v>8012</v>
      </c>
      <c r="V43" s="18" t="s">
        <v>6963</v>
      </c>
      <c r="W43" s="18" t="s">
        <v>95</v>
      </c>
      <c r="X43" s="18" t="s">
        <v>95</v>
      </c>
      <c r="Y43" s="18" t="s">
        <v>7980</v>
      </c>
      <c r="Z43" s="18" t="s">
        <v>6996</v>
      </c>
      <c r="AA43" s="69">
        <v>1</v>
      </c>
      <c r="AB43" s="18">
        <v>285.71429000000001</v>
      </c>
      <c r="AC43" s="18" t="s">
        <v>8328</v>
      </c>
      <c r="AD43" s="18" t="s">
        <v>7982</v>
      </c>
      <c r="AE43" s="18">
        <v>156</v>
      </c>
      <c r="AF43" s="18" t="s">
        <v>7983</v>
      </c>
      <c r="AG43" s="18">
        <v>156</v>
      </c>
      <c r="AH43" s="18" t="s">
        <v>95</v>
      </c>
      <c r="AI43" s="18" t="s">
        <v>71</v>
      </c>
      <c r="AJ43" s="18" t="s">
        <v>258</v>
      </c>
      <c r="AK43" s="18">
        <v>11.42</v>
      </c>
      <c r="AL43" s="18" t="s">
        <v>95</v>
      </c>
      <c r="AM43" s="18" t="s">
        <v>95</v>
      </c>
      <c r="AN43" s="18" t="s">
        <v>7984</v>
      </c>
      <c r="AO43" s="18" t="s">
        <v>139</v>
      </c>
      <c r="AP43" s="20" t="s">
        <v>251</v>
      </c>
      <c r="AQ43" s="18" t="s">
        <v>252</v>
      </c>
      <c r="AR43" s="18" t="s">
        <v>3771</v>
      </c>
      <c r="AS43" s="18">
        <v>18</v>
      </c>
      <c r="AT43" s="18" t="s">
        <v>177</v>
      </c>
      <c r="AU43" s="18" t="s">
        <v>90</v>
      </c>
      <c r="AV43" s="18" t="s">
        <v>8247</v>
      </c>
      <c r="AW43" s="18" t="s">
        <v>8248</v>
      </c>
      <c r="AX43" s="18" t="s">
        <v>83</v>
      </c>
      <c r="AY43" s="18" t="s">
        <v>95</v>
      </c>
      <c r="AZ43" s="18" t="s">
        <v>95</v>
      </c>
      <c r="BA43" s="18" t="s">
        <v>95</v>
      </c>
      <c r="BB43" s="18" t="s">
        <v>95</v>
      </c>
      <c r="BC43" s="18" t="s">
        <v>215</v>
      </c>
      <c r="BD43" s="18" t="s">
        <v>95</v>
      </c>
      <c r="BE43" s="18" t="s">
        <v>95</v>
      </c>
      <c r="BF43" s="18" t="s">
        <v>95</v>
      </c>
      <c r="BG43" s="18" t="s">
        <v>95</v>
      </c>
      <c r="BH43" s="18" t="s">
        <v>95</v>
      </c>
      <c r="BI43" s="18">
        <v>12</v>
      </c>
      <c r="BJ43" s="18">
        <v>2022</v>
      </c>
      <c r="BK43" s="18" t="s">
        <v>95</v>
      </c>
      <c r="BL43" s="18" t="s">
        <v>95</v>
      </c>
      <c r="BM43" s="18" t="s">
        <v>95</v>
      </c>
      <c r="BN43" s="18" t="s">
        <v>85</v>
      </c>
      <c r="BO43" s="18" t="s">
        <v>86</v>
      </c>
      <c r="BP43" s="18" t="s">
        <v>90</v>
      </c>
      <c r="BQ43" s="18" t="s">
        <v>8002</v>
      </c>
      <c r="BR43" s="18" t="s">
        <v>139</v>
      </c>
      <c r="BS43" s="18" t="s">
        <v>8329</v>
      </c>
      <c r="BT43" s="18" t="s">
        <v>7989</v>
      </c>
      <c r="BU43" s="18" t="s">
        <v>7990</v>
      </c>
      <c r="BV43" s="18" t="str">
        <f>Terminales[[#This Row],[IMEI]]&amp;"SI"</f>
        <v>355108340304056SI</v>
      </c>
      <c r="BW43" s="18" t="str">
        <f>VLOOKUP(Terminales[[#This Row],[OFICINA_USUARIO]],[1]!Locales[#Data],3,0)</f>
        <v>TIENDA RECREO</v>
      </c>
      <c r="BX43" s="18" t="str">
        <f>VLOOKUP(Terminales[[#This Row],[USUARIO_FINAL]],'[1]Personal Ppto vs Real'!$A:$F,6,0)</f>
        <v>CRUZ MONTUFAR KATHERINE ALEJANDRA</v>
      </c>
      <c r="BY43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4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18</v>
      </c>
      <c r="CA43" s="18">
        <f>DAY(Terminales[[#This Row],[FECHA_FACTURA]])</f>
        <v>3</v>
      </c>
      <c r="CB43" s="65">
        <f>IF(Terminales[[#This Row],[CANTIDAD]] = 1,INDEX([1]!Comisiones[#Data],MATCH("Terminales",[1]!Comisiones[Producto],0),MATCH(Terminales[[#This Row],[TIPO ALTA COMISIONES]],[1]!Comisiones[#Headers],0))*Terminales[[#This Row],[MONTO]],0)</f>
        <v>8.5714287000000002</v>
      </c>
      <c r="CC43" s="65">
        <f>IFERROR(IF(AND(Terminales[[#This Row],[CANTIDAD]] = 1,Terminales[[#This Row],[MOVIMIENTO]] = "RENOVACION"),Terminales[[#This Row],[TARIFA_BASICA]]*0.5,),)</f>
        <v>5.71</v>
      </c>
      <c r="CD43" s="65">
        <f>IF('[1]Resumen TM'!$AW$20 &lt; 0.4,0,Terminales[[#This Row],[MONTO]]*0.02)</f>
        <v>5.7142857999999999</v>
      </c>
      <c r="CE43" s="66">
        <f>Terminales[[#This Row],[COMISIONES TERMINALES]]+Terminales[[#This Row],[COMISIONES RENOVACIONES]]+Terminales[[#This Row],[COMISIONES BONO]]</f>
        <v>19.995714499999998</v>
      </c>
      <c r="CF43" s="67">
        <f>(Terminales[[#This Row],[COMISIONES TERMINALES]]*VLOOKUP(Terminales[[#This Row],[LOCALES]],[1]!Calendario[#Data],3,0))/VLOOKUP(Terminales[[#This Row],[LOCALES]],[1]!Calendario[#Data],2,0)</f>
        <v>14.1013827</v>
      </c>
      <c r="CG43" s="67">
        <f>(Terminales[[#This Row],[COMISIONES RENOVACIONES]]*VLOOKUP(Terminales[[#This Row],[LOCALES]],[1]!Calendario[#Data],3,0))/VLOOKUP(Terminales[[#This Row],[LOCALES]],[1]!Calendario[#Data],2,0)</f>
        <v>9.3938709677419343</v>
      </c>
      <c r="CH43" s="67">
        <f>(Terminales[[#This Row],[COMISIONES BONO]]*VLOOKUP(Terminales[[#This Row],[LOCALES]],[1]!Calendario[#Data],3,0))/VLOOKUP(Terminales[[#This Row],[LOCALES]],[1]!Calendario[#Data],2,0)</f>
        <v>9.400921799999999</v>
      </c>
      <c r="CI43" s="67">
        <f>Terminales[[#This Row],[PROY. COM. TERMINALES]]+Terminales[[#This Row],[PROY. COM. RENOV.]]+Terminales[[#This Row],[PROY. COM. 2%]]</f>
        <v>32.896175467741934</v>
      </c>
    </row>
    <row r="44" spans="1:87" x14ac:dyDescent="0.25">
      <c r="A44" s="68">
        <v>44926</v>
      </c>
      <c r="B44" s="68">
        <v>44898</v>
      </c>
      <c r="C44" s="18" t="s">
        <v>291</v>
      </c>
      <c r="D44" s="18" t="s">
        <v>78</v>
      </c>
      <c r="E44" s="18" t="s">
        <v>164</v>
      </c>
      <c r="F44" s="18" t="s">
        <v>6461</v>
      </c>
      <c r="G44" s="18" t="s">
        <v>292</v>
      </c>
      <c r="H44" s="18" t="s">
        <v>293</v>
      </c>
      <c r="I44" s="18" t="s">
        <v>8330</v>
      </c>
      <c r="J44" s="18" t="s">
        <v>95</v>
      </c>
      <c r="K44" s="18" t="s">
        <v>7970</v>
      </c>
      <c r="L44" s="18" t="s">
        <v>6462</v>
      </c>
      <c r="M44" s="18" t="s">
        <v>6463</v>
      </c>
      <c r="N44" s="18" t="s">
        <v>6464</v>
      </c>
      <c r="O44" s="18" t="s">
        <v>6467</v>
      </c>
      <c r="P44" s="18" t="s">
        <v>6465</v>
      </c>
      <c r="Q44" s="18" t="s">
        <v>7975</v>
      </c>
      <c r="R44" s="18" t="s">
        <v>7976</v>
      </c>
      <c r="S44" s="18" t="s">
        <v>8045</v>
      </c>
      <c r="T44" s="18" t="s">
        <v>8331</v>
      </c>
      <c r="U44" s="18" t="s">
        <v>7996</v>
      </c>
      <c r="V44" s="18" t="s">
        <v>6963</v>
      </c>
      <c r="W44" s="18" t="s">
        <v>95</v>
      </c>
      <c r="X44" s="18" t="s">
        <v>95</v>
      </c>
      <c r="Y44" s="18" t="s">
        <v>7980</v>
      </c>
      <c r="Z44" s="18" t="s">
        <v>6996</v>
      </c>
      <c r="AA44" s="69">
        <v>1</v>
      </c>
      <c r="AB44" s="18">
        <v>138.39286000000001</v>
      </c>
      <c r="AC44" s="18" t="s">
        <v>8332</v>
      </c>
      <c r="AD44" s="18" t="s">
        <v>8151</v>
      </c>
      <c r="AE44" s="18">
        <v>91</v>
      </c>
      <c r="AF44" s="18" t="s">
        <v>7983</v>
      </c>
      <c r="AG44" s="18">
        <v>91</v>
      </c>
      <c r="AH44" s="18" t="s">
        <v>95</v>
      </c>
      <c r="AI44" s="18" t="s">
        <v>160</v>
      </c>
      <c r="AJ44" s="18" t="s">
        <v>161</v>
      </c>
      <c r="AK44" s="18">
        <v>14.28</v>
      </c>
      <c r="AL44" s="18" t="s">
        <v>95</v>
      </c>
      <c r="AM44" s="18" t="s">
        <v>95</v>
      </c>
      <c r="AN44" s="18" t="s">
        <v>7984</v>
      </c>
      <c r="AO44" s="18" t="s">
        <v>139</v>
      </c>
      <c r="AP44" s="20" t="s">
        <v>251</v>
      </c>
      <c r="AQ44" s="18" t="s">
        <v>252</v>
      </c>
      <c r="AR44" s="18" t="s">
        <v>3771</v>
      </c>
      <c r="AS44" s="18">
        <v>6</v>
      </c>
      <c r="AT44" s="18" t="s">
        <v>177</v>
      </c>
      <c r="AU44" s="18" t="s">
        <v>90</v>
      </c>
      <c r="AV44" s="18" t="s">
        <v>8333</v>
      </c>
      <c r="AW44" s="18" t="s">
        <v>8334</v>
      </c>
      <c r="AX44" s="18" t="s">
        <v>83</v>
      </c>
      <c r="AY44" s="18" t="s">
        <v>95</v>
      </c>
      <c r="AZ44" s="18" t="s">
        <v>95</v>
      </c>
      <c r="BA44" s="18" t="s">
        <v>95</v>
      </c>
      <c r="BB44" s="18" t="s">
        <v>95</v>
      </c>
      <c r="BC44" s="18" t="s">
        <v>84</v>
      </c>
      <c r="BD44" s="18" t="s">
        <v>95</v>
      </c>
      <c r="BE44" s="18" t="s">
        <v>95</v>
      </c>
      <c r="BF44" s="18" t="s">
        <v>95</v>
      </c>
      <c r="BG44" s="18" t="s">
        <v>95</v>
      </c>
      <c r="BH44" s="18" t="s">
        <v>95</v>
      </c>
      <c r="BI44" s="18">
        <v>12</v>
      </c>
      <c r="BJ44" s="18">
        <v>2022</v>
      </c>
      <c r="BK44" s="18" t="s">
        <v>95</v>
      </c>
      <c r="BL44" s="18" t="s">
        <v>95</v>
      </c>
      <c r="BM44" s="18" t="s">
        <v>95</v>
      </c>
      <c r="BN44" s="18" t="s">
        <v>85</v>
      </c>
      <c r="BO44" s="18" t="s">
        <v>86</v>
      </c>
      <c r="BP44" s="18" t="s">
        <v>90</v>
      </c>
      <c r="BQ44" s="18" t="s">
        <v>8002</v>
      </c>
      <c r="BR44" s="18" t="s">
        <v>139</v>
      </c>
      <c r="BS44" s="18" t="s">
        <v>8027</v>
      </c>
      <c r="BT44" s="18" t="s">
        <v>7989</v>
      </c>
      <c r="BU44" s="18" t="s">
        <v>7990</v>
      </c>
      <c r="BV44" s="18" t="str">
        <f>Terminales[[#This Row],[IMEI]]&amp;"SI"</f>
        <v>352286990938366SI</v>
      </c>
      <c r="BW44" s="18" t="str">
        <f>VLOOKUP(Terminales[[#This Row],[OFICINA_USUARIO]],[1]!Locales[#Data],3,0)</f>
        <v>TIENDA RECREO</v>
      </c>
      <c r="BX44" s="18" t="str">
        <f>VLOOKUP(Terminales[[#This Row],[USUARIO_FINAL]],'[1]Personal Ppto vs Real'!$A:$F,6,0)</f>
        <v>CRUZ MONTUFAR KATHERINE ALEJANDRA</v>
      </c>
      <c r="BY44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4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44" s="18">
        <f>DAY(Terminales[[#This Row],[FECHA_FACTURA]])</f>
        <v>3</v>
      </c>
      <c r="CB44" s="65">
        <f>IF(Terminales[[#This Row],[CANTIDAD]] = 1,INDEX([1]!Comisiones[#Data],MATCH("Terminales",[1]!Comisiones[Producto],0),MATCH(Terminales[[#This Row],[TIPO ALTA COMISIONES]],[1]!Comisiones[#Headers],0))*Terminales[[#This Row],[MONTO]],0)</f>
        <v>11.071428800000001</v>
      </c>
      <c r="CC44" s="65">
        <f>IFERROR(IF(AND(Terminales[[#This Row],[CANTIDAD]] = 1,Terminales[[#This Row],[MOVIMIENTO]] = "RENOVACION"),Terminales[[#This Row],[TARIFA_BASICA]]*0.5,),)</f>
        <v>0</v>
      </c>
      <c r="CD44" s="65">
        <f>IF('[1]Resumen TM'!$AW$20 &lt; 0.4,0,Terminales[[#This Row],[MONTO]]*0.02)</f>
        <v>2.7678572000000004</v>
      </c>
      <c r="CE44" s="66">
        <f>Terminales[[#This Row],[COMISIONES TERMINALES]]+Terminales[[#This Row],[COMISIONES RENOVACIONES]]+Terminales[[#This Row],[COMISIONES BONO]]</f>
        <v>13.839286000000001</v>
      </c>
      <c r="CF44" s="67">
        <f>(Terminales[[#This Row],[COMISIONES TERMINALES]]*VLOOKUP(Terminales[[#This Row],[LOCALES]],[1]!Calendario[#Data],3,0))/VLOOKUP(Terminales[[#This Row],[LOCALES]],[1]!Calendario[#Data],2,0)</f>
        <v>18.214286090322584</v>
      </c>
      <c r="CG44" s="67">
        <f>(Terminales[[#This Row],[COMISIONES RENOVACIONES]]*VLOOKUP(Terminales[[#This Row],[LOCALES]],[1]!Calendario[#Data],3,0))/VLOOKUP(Terminales[[#This Row],[LOCALES]],[1]!Calendario[#Data],2,0)</f>
        <v>0</v>
      </c>
      <c r="CH44" s="67">
        <f>(Terminales[[#This Row],[COMISIONES BONO]]*VLOOKUP(Terminales[[#This Row],[LOCALES]],[1]!Calendario[#Data],3,0))/VLOOKUP(Terminales[[#This Row],[LOCALES]],[1]!Calendario[#Data],2,0)</f>
        <v>4.5535715225806461</v>
      </c>
      <c r="CI44" s="67">
        <f>Terminales[[#This Row],[PROY. COM. TERMINALES]]+Terminales[[#This Row],[PROY. COM. RENOV.]]+Terminales[[#This Row],[PROY. COM. 2%]]</f>
        <v>22.767857612903232</v>
      </c>
    </row>
    <row r="45" spans="1:87" x14ac:dyDescent="0.25">
      <c r="A45" s="68">
        <v>44926</v>
      </c>
      <c r="B45" s="68">
        <v>44898</v>
      </c>
      <c r="C45" s="18" t="s">
        <v>96</v>
      </c>
      <c r="D45" s="18" t="s">
        <v>96</v>
      </c>
      <c r="E45" s="18" t="s">
        <v>96</v>
      </c>
      <c r="F45" s="18" t="s">
        <v>8335</v>
      </c>
      <c r="G45" s="18" t="s">
        <v>292</v>
      </c>
      <c r="H45" s="18" t="s">
        <v>494</v>
      </c>
      <c r="I45" s="18" t="s">
        <v>8336</v>
      </c>
      <c r="J45" s="18" t="s">
        <v>95</v>
      </c>
      <c r="K45" s="18" t="s">
        <v>7970</v>
      </c>
      <c r="L45" s="18" t="s">
        <v>8337</v>
      </c>
      <c r="M45" s="18" t="s">
        <v>8338</v>
      </c>
      <c r="N45" s="18" t="s">
        <v>8339</v>
      </c>
      <c r="O45" s="18" t="s">
        <v>1691</v>
      </c>
      <c r="P45" s="18" t="s">
        <v>8340</v>
      </c>
      <c r="Q45" s="18" t="s">
        <v>7975</v>
      </c>
      <c r="R45" s="18" t="s">
        <v>7976</v>
      </c>
      <c r="S45" s="18" t="s">
        <v>8045</v>
      </c>
      <c r="T45" s="18" t="s">
        <v>8225</v>
      </c>
      <c r="U45" s="18" t="s">
        <v>8012</v>
      </c>
      <c r="V45" s="18" t="s">
        <v>6963</v>
      </c>
      <c r="W45" s="18" t="s">
        <v>95</v>
      </c>
      <c r="X45" s="18" t="s">
        <v>95</v>
      </c>
      <c r="Y45" s="18" t="s">
        <v>7980</v>
      </c>
      <c r="Z45" s="18" t="s">
        <v>6996</v>
      </c>
      <c r="AA45" s="69">
        <v>1</v>
      </c>
      <c r="AB45" s="18">
        <v>241.07142999999999</v>
      </c>
      <c r="AC45" s="18" t="s">
        <v>8341</v>
      </c>
      <c r="AD45" s="18" t="s">
        <v>7982</v>
      </c>
      <c r="AE45" s="18">
        <v>232</v>
      </c>
      <c r="AF45" s="18" t="s">
        <v>7983</v>
      </c>
      <c r="AG45" s="18">
        <v>232</v>
      </c>
      <c r="AH45" s="18" t="s">
        <v>95</v>
      </c>
      <c r="AI45" s="18" t="s">
        <v>8102</v>
      </c>
      <c r="AJ45" s="18" t="s">
        <v>8103</v>
      </c>
      <c r="AK45" s="18" t="s">
        <v>95</v>
      </c>
      <c r="AL45" s="18" t="s">
        <v>95</v>
      </c>
      <c r="AM45" s="18" t="s">
        <v>95</v>
      </c>
      <c r="AN45" s="18" t="s">
        <v>7984</v>
      </c>
      <c r="AO45" s="18" t="s">
        <v>139</v>
      </c>
      <c r="AP45" s="20" t="s">
        <v>630</v>
      </c>
      <c r="AQ45" s="18" t="s">
        <v>631</v>
      </c>
      <c r="AR45" s="18" t="s">
        <v>496</v>
      </c>
      <c r="AS45" s="18">
        <v>1</v>
      </c>
      <c r="AT45" s="18" t="s">
        <v>177</v>
      </c>
      <c r="AU45" s="18" t="s">
        <v>90</v>
      </c>
      <c r="AV45" s="18" t="s">
        <v>8228</v>
      </c>
      <c r="AW45" s="18" t="s">
        <v>8229</v>
      </c>
      <c r="AX45" s="18" t="s">
        <v>83</v>
      </c>
      <c r="AY45" s="18" t="s">
        <v>95</v>
      </c>
      <c r="AZ45" s="18" t="s">
        <v>95</v>
      </c>
      <c r="BA45" s="18" t="s">
        <v>95</v>
      </c>
      <c r="BB45" s="18" t="s">
        <v>95</v>
      </c>
      <c r="BC45" s="18" t="s">
        <v>118</v>
      </c>
      <c r="BD45" s="18" t="s">
        <v>95</v>
      </c>
      <c r="BE45" s="18" t="s">
        <v>8000</v>
      </c>
      <c r="BF45" s="18" t="s">
        <v>8064</v>
      </c>
      <c r="BG45" s="18" t="s">
        <v>95</v>
      </c>
      <c r="BH45" s="18" t="s">
        <v>95</v>
      </c>
      <c r="BI45" s="18">
        <v>12</v>
      </c>
      <c r="BJ45" s="18">
        <v>2022</v>
      </c>
      <c r="BK45" s="18" t="s">
        <v>95</v>
      </c>
      <c r="BL45" s="18" t="s">
        <v>95</v>
      </c>
      <c r="BM45" s="18" t="s">
        <v>95</v>
      </c>
      <c r="BN45" s="18" t="s">
        <v>85</v>
      </c>
      <c r="BO45" s="18" t="s">
        <v>86</v>
      </c>
      <c r="BP45" s="18" t="s">
        <v>90</v>
      </c>
      <c r="BQ45" s="18" t="s">
        <v>8002</v>
      </c>
      <c r="BR45" s="18" t="s">
        <v>139</v>
      </c>
      <c r="BS45" s="18" t="s">
        <v>8003</v>
      </c>
      <c r="BT45" s="18" t="s">
        <v>7989</v>
      </c>
      <c r="BU45" s="18" t="s">
        <v>496</v>
      </c>
      <c r="BV45" s="18" t="str">
        <f>Terminales[[#This Row],[IMEI]]&amp;"SI"</f>
        <v>356795951374441SI</v>
      </c>
      <c r="BW45" s="18" t="str">
        <f>VLOOKUP(Terminales[[#This Row],[OFICINA_USUARIO]],[1]!Locales[#Data],3,0)</f>
        <v>TIENDA RECREO</v>
      </c>
      <c r="BX45" s="18" t="str">
        <f>VLOOKUP(Terminales[[#This Row],[USUARIO_FINAL]],'[1]Personal Ppto vs Real'!$A:$F,6,0)</f>
        <v>LOAYZA AGUILAR JONATHAN FABIAN</v>
      </c>
      <c r="BY4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4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45" s="18">
        <f>DAY(Terminales[[#This Row],[FECHA_FACTURA]])</f>
        <v>3</v>
      </c>
      <c r="CB45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45" s="65">
        <f>IFERROR(IF(AND(Terminales[[#This Row],[CANTIDAD]] = 1,Terminales[[#This Row],[MOVIMIENTO]] = "RENOVACION"),Terminales[[#This Row],[TARIFA_BASICA]]*0.5,),)</f>
        <v>0</v>
      </c>
      <c r="CD45" s="65">
        <f>IF('[1]Resumen TM'!$AW$20 &lt; 0.4,0,Terminales[[#This Row],[MONTO]]*0.02)</f>
        <v>4.8214286</v>
      </c>
      <c r="CE45" s="66">
        <f>Terminales[[#This Row],[COMISIONES TERMINALES]]+Terminales[[#This Row],[COMISIONES RENOVACIONES]]+Terminales[[#This Row],[COMISIONES BONO]]</f>
        <v>28.928571600000001</v>
      </c>
      <c r="CF45" s="67">
        <f>(Terminales[[#This Row],[COMISIONES TERMINALES]]*VLOOKUP(Terminales[[#This Row],[LOCALES]],[1]!Calendario[#Data],3,0))/VLOOKUP(Terminales[[#This Row],[LOCALES]],[1]!Calendario[#Data],2,0)</f>
        <v>39.660138483870966</v>
      </c>
      <c r="CG45" s="67">
        <f>(Terminales[[#This Row],[COMISIONES RENOVACIONES]]*VLOOKUP(Terminales[[#This Row],[LOCALES]],[1]!Calendario[#Data],3,0))/VLOOKUP(Terminales[[#This Row],[LOCALES]],[1]!Calendario[#Data],2,0)</f>
        <v>0</v>
      </c>
      <c r="CH45" s="67">
        <f>(Terminales[[#This Row],[COMISIONES BONO]]*VLOOKUP(Terminales[[#This Row],[LOCALES]],[1]!Calendario[#Data],3,0))/VLOOKUP(Terminales[[#This Row],[LOCALES]],[1]!Calendario[#Data],2,0)</f>
        <v>7.9320276967741936</v>
      </c>
      <c r="CI45" s="67">
        <f>Terminales[[#This Row],[PROY. COM. TERMINALES]]+Terminales[[#This Row],[PROY. COM. RENOV.]]+Terminales[[#This Row],[PROY. COM. 2%]]</f>
        <v>47.592166180645158</v>
      </c>
    </row>
    <row r="46" spans="1:87" x14ac:dyDescent="0.25">
      <c r="A46" s="68">
        <v>44926</v>
      </c>
      <c r="B46" s="68">
        <v>44898</v>
      </c>
      <c r="C46" s="18" t="s">
        <v>291</v>
      </c>
      <c r="D46" s="18" t="s">
        <v>78</v>
      </c>
      <c r="E46" s="18" t="s">
        <v>2241</v>
      </c>
      <c r="F46" s="18" t="s">
        <v>8342</v>
      </c>
      <c r="G46" s="18" t="s">
        <v>292</v>
      </c>
      <c r="H46" s="18" t="s">
        <v>494</v>
      </c>
      <c r="I46" s="18" t="s">
        <v>8343</v>
      </c>
      <c r="J46" s="18" t="s">
        <v>95</v>
      </c>
      <c r="K46" s="18" t="s">
        <v>7970</v>
      </c>
      <c r="L46" s="18" t="s">
        <v>8344</v>
      </c>
      <c r="M46" s="18" t="s">
        <v>8345</v>
      </c>
      <c r="N46" s="18" t="s">
        <v>8346</v>
      </c>
      <c r="O46" s="18" t="s">
        <v>294</v>
      </c>
      <c r="P46" s="18" t="s">
        <v>8347</v>
      </c>
      <c r="Q46" s="18" t="s">
        <v>7975</v>
      </c>
      <c r="R46" s="18" t="s">
        <v>7976</v>
      </c>
      <c r="S46" s="18" t="s">
        <v>7994</v>
      </c>
      <c r="T46" s="18" t="s">
        <v>8267</v>
      </c>
      <c r="U46" s="18" t="s">
        <v>7996</v>
      </c>
      <c r="V46" s="18" t="s">
        <v>6963</v>
      </c>
      <c r="W46" s="18" t="s">
        <v>95</v>
      </c>
      <c r="X46" s="18" t="s">
        <v>95</v>
      </c>
      <c r="Y46" s="18" t="s">
        <v>7980</v>
      </c>
      <c r="Z46" s="18" t="s">
        <v>6996</v>
      </c>
      <c r="AA46" s="69">
        <v>1</v>
      </c>
      <c r="AB46" s="18">
        <v>102.67856999999999</v>
      </c>
      <c r="AC46" s="18" t="s">
        <v>8348</v>
      </c>
      <c r="AD46" s="18" t="s">
        <v>7982</v>
      </c>
      <c r="AE46" s="18">
        <v>82.97</v>
      </c>
      <c r="AF46" s="18" t="s">
        <v>7983</v>
      </c>
      <c r="AG46" s="18">
        <v>82.97</v>
      </c>
      <c r="AH46" s="18" t="s">
        <v>95</v>
      </c>
      <c r="AI46" s="18" t="s">
        <v>130</v>
      </c>
      <c r="AJ46" s="18" t="s">
        <v>433</v>
      </c>
      <c r="AK46" s="18">
        <v>15</v>
      </c>
      <c r="AL46" s="18" t="s">
        <v>95</v>
      </c>
      <c r="AM46" s="18" t="s">
        <v>95</v>
      </c>
      <c r="AN46" s="18" t="s">
        <v>7984</v>
      </c>
      <c r="AO46" s="18" t="s">
        <v>139</v>
      </c>
      <c r="AP46" s="20" t="s">
        <v>396</v>
      </c>
      <c r="AQ46" s="18" t="s">
        <v>397</v>
      </c>
      <c r="AR46" s="18" t="s">
        <v>496</v>
      </c>
      <c r="AS46" s="18">
        <v>1</v>
      </c>
      <c r="AT46" s="18" t="s">
        <v>177</v>
      </c>
      <c r="AU46" s="18" t="s">
        <v>90</v>
      </c>
      <c r="AV46" s="18" t="s">
        <v>8269</v>
      </c>
      <c r="AW46" s="18" t="s">
        <v>8270</v>
      </c>
      <c r="AX46" s="18" t="s">
        <v>83</v>
      </c>
      <c r="AY46" s="18" t="s">
        <v>95</v>
      </c>
      <c r="AZ46" s="18" t="s">
        <v>95</v>
      </c>
      <c r="BA46" s="18" t="s">
        <v>95</v>
      </c>
      <c r="BB46" s="18" t="s">
        <v>95</v>
      </c>
      <c r="BC46" s="18" t="s">
        <v>84</v>
      </c>
      <c r="BD46" s="18" t="s">
        <v>95</v>
      </c>
      <c r="BE46" s="18" t="s">
        <v>8170</v>
      </c>
      <c r="BF46" s="18" t="s">
        <v>8279</v>
      </c>
      <c r="BG46" s="18" t="s">
        <v>95</v>
      </c>
      <c r="BH46" s="18" t="s">
        <v>95</v>
      </c>
      <c r="BI46" s="18">
        <v>12</v>
      </c>
      <c r="BJ46" s="18">
        <v>2022</v>
      </c>
      <c r="BK46" s="18" t="s">
        <v>95</v>
      </c>
      <c r="BL46" s="18" t="s">
        <v>95</v>
      </c>
      <c r="BM46" s="18" t="s">
        <v>95</v>
      </c>
      <c r="BN46" s="18" t="s">
        <v>85</v>
      </c>
      <c r="BO46" s="18" t="s">
        <v>86</v>
      </c>
      <c r="BP46" s="18" t="s">
        <v>90</v>
      </c>
      <c r="BQ46" s="18" t="s">
        <v>8002</v>
      </c>
      <c r="BR46" s="18" t="s">
        <v>139</v>
      </c>
      <c r="BS46" s="18" t="s">
        <v>8003</v>
      </c>
      <c r="BT46" s="18" t="s">
        <v>7989</v>
      </c>
      <c r="BU46" s="18" t="s">
        <v>496</v>
      </c>
      <c r="BV46" s="18" t="str">
        <f>Terminales[[#This Row],[IMEI]]&amp;"SI"</f>
        <v>353906800017924SI</v>
      </c>
      <c r="BW46" s="18" t="str">
        <f>VLOOKUP(Terminales[[#This Row],[OFICINA_USUARIO]],[1]!Locales[#Data],3,0)</f>
        <v>TIENDA RECREO</v>
      </c>
      <c r="BX46" s="18" t="str">
        <f>VLOOKUP(Terminales[[#This Row],[USUARIO_FINAL]],'[1]Personal Ppto vs Real'!$A:$F,6,0)</f>
        <v>VINUEZA VELASCO ANGY DAYANA</v>
      </c>
      <c r="BY4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4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46" s="18">
        <f>DAY(Terminales[[#This Row],[FECHA_FACTURA]])</f>
        <v>3</v>
      </c>
      <c r="CB46" s="65">
        <f>IF(Terminales[[#This Row],[CANTIDAD]] = 1,INDEX([1]!Comisiones[#Data],MATCH("Terminales",[1]!Comisiones[Producto],0),MATCH(Terminales[[#This Row],[TIPO ALTA COMISIONES]],[1]!Comisiones[#Headers],0))*Terminales[[#This Row],[MONTO]],0)</f>
        <v>10.267856999999999</v>
      </c>
      <c r="CC46" s="65">
        <f>IFERROR(IF(AND(Terminales[[#This Row],[CANTIDAD]] = 1,Terminales[[#This Row],[MOVIMIENTO]] = "RENOVACION"),Terminales[[#This Row],[TARIFA_BASICA]]*0.5,),)</f>
        <v>7.5</v>
      </c>
      <c r="CD46" s="65">
        <f>IF('[1]Resumen TM'!$AW$20 &lt; 0.4,0,Terminales[[#This Row],[MONTO]]*0.02)</f>
        <v>2.0535714</v>
      </c>
      <c r="CE46" s="66">
        <f>Terminales[[#This Row],[COMISIONES TERMINALES]]+Terminales[[#This Row],[COMISIONES RENOVACIONES]]+Terminales[[#This Row],[COMISIONES BONO]]</f>
        <v>19.821428399999999</v>
      </c>
      <c r="CF46" s="67">
        <f>(Terminales[[#This Row],[COMISIONES TERMINALES]]*VLOOKUP(Terminales[[#This Row],[LOCALES]],[1]!Calendario[#Data],3,0))/VLOOKUP(Terminales[[#This Row],[LOCALES]],[1]!Calendario[#Data],2,0)</f>
        <v>16.892280870967742</v>
      </c>
      <c r="CG46" s="67">
        <f>(Terminales[[#This Row],[COMISIONES RENOVACIONES]]*VLOOKUP(Terminales[[#This Row],[LOCALES]],[1]!Calendario[#Data],3,0))/VLOOKUP(Terminales[[#This Row],[LOCALES]],[1]!Calendario[#Data],2,0)</f>
        <v>12.338709677419354</v>
      </c>
      <c r="CH46" s="67">
        <f>(Terminales[[#This Row],[COMISIONES BONO]]*VLOOKUP(Terminales[[#This Row],[LOCALES]],[1]!Calendario[#Data],3,0))/VLOOKUP(Terminales[[#This Row],[LOCALES]],[1]!Calendario[#Data],2,0)</f>
        <v>3.3784561741935484</v>
      </c>
      <c r="CI46" s="67">
        <f>Terminales[[#This Row],[PROY. COM. TERMINALES]]+Terminales[[#This Row],[PROY. COM. RENOV.]]+Terminales[[#This Row],[PROY. COM. 2%]]</f>
        <v>32.609446722580643</v>
      </c>
    </row>
    <row r="47" spans="1:87" x14ac:dyDescent="0.25">
      <c r="A47" s="68">
        <v>44926</v>
      </c>
      <c r="B47" s="68">
        <v>44898</v>
      </c>
      <c r="C47" s="18" t="s">
        <v>96</v>
      </c>
      <c r="D47" s="18" t="s">
        <v>96</v>
      </c>
      <c r="E47" s="18" t="s">
        <v>96</v>
      </c>
      <c r="F47" s="18" t="s">
        <v>8349</v>
      </c>
      <c r="G47" s="18" t="s">
        <v>292</v>
      </c>
      <c r="H47" s="18" t="s">
        <v>494</v>
      </c>
      <c r="I47" s="18" t="s">
        <v>8350</v>
      </c>
      <c r="J47" s="18" t="s">
        <v>95</v>
      </c>
      <c r="K47" s="18" t="s">
        <v>7970</v>
      </c>
      <c r="L47" s="18" t="s">
        <v>8351</v>
      </c>
      <c r="M47" s="18" t="s">
        <v>8352</v>
      </c>
      <c r="N47" s="18" t="s">
        <v>8353</v>
      </c>
      <c r="O47" s="18" t="s">
        <v>543</v>
      </c>
      <c r="P47" s="18" t="s">
        <v>8354</v>
      </c>
      <c r="Q47" s="18" t="s">
        <v>7975</v>
      </c>
      <c r="R47" s="18" t="s">
        <v>7976</v>
      </c>
      <c r="S47" s="18" t="s">
        <v>7994</v>
      </c>
      <c r="T47" s="18" t="s">
        <v>8245</v>
      </c>
      <c r="U47" s="18" t="s">
        <v>8012</v>
      </c>
      <c r="V47" s="18" t="s">
        <v>6963</v>
      </c>
      <c r="W47" s="18" t="s">
        <v>95</v>
      </c>
      <c r="X47" s="18" t="s">
        <v>95</v>
      </c>
      <c r="Y47" s="18" t="s">
        <v>7980</v>
      </c>
      <c r="Z47" s="18" t="s">
        <v>6996</v>
      </c>
      <c r="AA47" s="69">
        <v>1</v>
      </c>
      <c r="AB47" s="18">
        <v>156.25</v>
      </c>
      <c r="AC47" s="18" t="s">
        <v>8355</v>
      </c>
      <c r="AD47" s="18" t="s">
        <v>7982</v>
      </c>
      <c r="AE47" s="18">
        <v>156</v>
      </c>
      <c r="AF47" s="18" t="s">
        <v>7983</v>
      </c>
      <c r="AG47" s="18">
        <v>156</v>
      </c>
      <c r="AH47" s="18" t="s">
        <v>95</v>
      </c>
      <c r="AI47" s="18" t="s">
        <v>8102</v>
      </c>
      <c r="AJ47" s="18" t="s">
        <v>8103</v>
      </c>
      <c r="AK47" s="18" t="s">
        <v>95</v>
      </c>
      <c r="AL47" s="18" t="s">
        <v>95</v>
      </c>
      <c r="AM47" s="18" t="s">
        <v>95</v>
      </c>
      <c r="AN47" s="18" t="s">
        <v>7984</v>
      </c>
      <c r="AO47" s="18" t="s">
        <v>139</v>
      </c>
      <c r="AP47" s="20" t="s">
        <v>630</v>
      </c>
      <c r="AQ47" s="18" t="s">
        <v>631</v>
      </c>
      <c r="AR47" s="18" t="s">
        <v>496</v>
      </c>
      <c r="AS47" s="18">
        <v>1</v>
      </c>
      <c r="AT47" s="18" t="s">
        <v>177</v>
      </c>
      <c r="AU47" s="18" t="s">
        <v>90</v>
      </c>
      <c r="AV47" s="18" t="s">
        <v>8247</v>
      </c>
      <c r="AW47" s="18" t="s">
        <v>8248</v>
      </c>
      <c r="AX47" s="18" t="s">
        <v>83</v>
      </c>
      <c r="AY47" s="18" t="s">
        <v>95</v>
      </c>
      <c r="AZ47" s="18" t="s">
        <v>95</v>
      </c>
      <c r="BA47" s="18" t="s">
        <v>95</v>
      </c>
      <c r="BB47" s="18" t="s">
        <v>95</v>
      </c>
      <c r="BC47" s="18" t="s">
        <v>118</v>
      </c>
      <c r="BD47" s="18" t="s">
        <v>95</v>
      </c>
      <c r="BE47" s="18" t="s">
        <v>8140</v>
      </c>
      <c r="BF47" s="18" t="s">
        <v>8064</v>
      </c>
      <c r="BG47" s="18" t="s">
        <v>95</v>
      </c>
      <c r="BH47" s="18" t="s">
        <v>95</v>
      </c>
      <c r="BI47" s="18">
        <v>12</v>
      </c>
      <c r="BJ47" s="18">
        <v>2022</v>
      </c>
      <c r="BK47" s="18" t="s">
        <v>95</v>
      </c>
      <c r="BL47" s="18" t="s">
        <v>95</v>
      </c>
      <c r="BM47" s="18" t="s">
        <v>95</v>
      </c>
      <c r="BN47" s="18" t="s">
        <v>85</v>
      </c>
      <c r="BO47" s="18" t="s">
        <v>86</v>
      </c>
      <c r="BP47" s="18" t="s">
        <v>90</v>
      </c>
      <c r="BQ47" s="18" t="s">
        <v>8002</v>
      </c>
      <c r="BR47" s="18" t="s">
        <v>139</v>
      </c>
      <c r="BS47" s="18" t="s">
        <v>8003</v>
      </c>
      <c r="BT47" s="18" t="s">
        <v>7989</v>
      </c>
      <c r="BU47" s="18" t="s">
        <v>496</v>
      </c>
      <c r="BV47" s="18" t="str">
        <f>Terminales[[#This Row],[IMEI]]&amp;"SI"</f>
        <v>355108340301912SI</v>
      </c>
      <c r="BW47" s="18" t="str">
        <f>VLOOKUP(Terminales[[#This Row],[OFICINA_USUARIO]],[1]!Locales[#Data],3,0)</f>
        <v>TIENDA RECREO</v>
      </c>
      <c r="BX47" s="18" t="str">
        <f>VLOOKUP(Terminales[[#This Row],[USUARIO_FINAL]],'[1]Personal Ppto vs Real'!$A:$F,6,0)</f>
        <v>LOAYZA AGUILAR JONATHAN FABIAN</v>
      </c>
      <c r="BY4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4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47" s="18">
        <f>DAY(Terminales[[#This Row],[FECHA_FACTURA]])</f>
        <v>3</v>
      </c>
      <c r="CB47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47" s="65">
        <f>IFERROR(IF(AND(Terminales[[#This Row],[CANTIDAD]] = 1,Terminales[[#This Row],[MOVIMIENTO]] = "RENOVACION"),Terminales[[#This Row],[TARIFA_BASICA]]*0.5,),)</f>
        <v>0</v>
      </c>
      <c r="CD47" s="65">
        <f>IF('[1]Resumen TM'!$AW$20 &lt; 0.4,0,Terminales[[#This Row],[MONTO]]*0.02)</f>
        <v>3.125</v>
      </c>
      <c r="CE47" s="66">
        <f>Terminales[[#This Row],[COMISIONES TERMINALES]]+Terminales[[#This Row],[COMISIONES RENOVACIONES]]+Terminales[[#This Row],[COMISIONES BONO]]</f>
        <v>18.75</v>
      </c>
      <c r="CF47" s="67">
        <f>(Terminales[[#This Row],[COMISIONES TERMINALES]]*VLOOKUP(Terminales[[#This Row],[LOCALES]],[1]!Calendario[#Data],3,0))/VLOOKUP(Terminales[[#This Row],[LOCALES]],[1]!Calendario[#Data],2,0)</f>
        <v>25.705645161290324</v>
      </c>
      <c r="CG47" s="67">
        <f>(Terminales[[#This Row],[COMISIONES RENOVACIONES]]*VLOOKUP(Terminales[[#This Row],[LOCALES]],[1]!Calendario[#Data],3,0))/VLOOKUP(Terminales[[#This Row],[LOCALES]],[1]!Calendario[#Data],2,0)</f>
        <v>0</v>
      </c>
      <c r="CH47" s="67">
        <f>(Terminales[[#This Row],[COMISIONES BONO]]*VLOOKUP(Terminales[[#This Row],[LOCALES]],[1]!Calendario[#Data],3,0))/VLOOKUP(Terminales[[#This Row],[LOCALES]],[1]!Calendario[#Data],2,0)</f>
        <v>5.1411290322580649</v>
      </c>
      <c r="CI47" s="67">
        <f>Terminales[[#This Row],[PROY. COM. TERMINALES]]+Terminales[[#This Row],[PROY. COM. RENOV.]]+Terminales[[#This Row],[PROY. COM. 2%]]</f>
        <v>30.846774193548388</v>
      </c>
    </row>
    <row r="48" spans="1:87" x14ac:dyDescent="0.25">
      <c r="A48" s="68">
        <v>44926</v>
      </c>
      <c r="B48" s="68">
        <v>44898</v>
      </c>
      <c r="C48" s="18" t="s">
        <v>291</v>
      </c>
      <c r="D48" s="18" t="s">
        <v>78</v>
      </c>
      <c r="E48" s="18" t="s">
        <v>1378</v>
      </c>
      <c r="F48" s="18" t="s">
        <v>4259</v>
      </c>
      <c r="G48" s="18" t="s">
        <v>292</v>
      </c>
      <c r="H48" s="18" t="s">
        <v>293</v>
      </c>
      <c r="I48" s="18" t="s">
        <v>8356</v>
      </c>
      <c r="J48" s="18" t="s">
        <v>95</v>
      </c>
      <c r="K48" s="18" t="s">
        <v>7970</v>
      </c>
      <c r="L48" s="18" t="s">
        <v>4260</v>
      </c>
      <c r="M48" s="18" t="s">
        <v>4261</v>
      </c>
      <c r="N48" s="18" t="s">
        <v>4262</v>
      </c>
      <c r="O48" s="18" t="s">
        <v>543</v>
      </c>
      <c r="P48" s="18" t="s">
        <v>4263</v>
      </c>
      <c r="Q48" s="18" t="s">
        <v>7975</v>
      </c>
      <c r="R48" s="18" t="s">
        <v>7976</v>
      </c>
      <c r="S48" s="18" t="s">
        <v>7994</v>
      </c>
      <c r="T48" s="18" t="s">
        <v>8245</v>
      </c>
      <c r="U48" s="18" t="s">
        <v>8012</v>
      </c>
      <c r="V48" s="18" t="s">
        <v>6963</v>
      </c>
      <c r="W48" s="18" t="s">
        <v>95</v>
      </c>
      <c r="X48" s="18" t="s">
        <v>95</v>
      </c>
      <c r="Y48" s="18" t="s">
        <v>7980</v>
      </c>
      <c r="Z48" s="18" t="s">
        <v>6996</v>
      </c>
      <c r="AA48" s="69">
        <v>1</v>
      </c>
      <c r="AB48" s="18">
        <v>205.35713999999999</v>
      </c>
      <c r="AC48" s="18" t="s">
        <v>8357</v>
      </c>
      <c r="AD48" s="18" t="s">
        <v>8151</v>
      </c>
      <c r="AE48" s="18">
        <v>156</v>
      </c>
      <c r="AF48" s="18" t="s">
        <v>7983</v>
      </c>
      <c r="AG48" s="18">
        <v>156</v>
      </c>
      <c r="AH48" s="18" t="s">
        <v>95</v>
      </c>
      <c r="AI48" s="18" t="s">
        <v>160</v>
      </c>
      <c r="AJ48" s="18" t="s">
        <v>161</v>
      </c>
      <c r="AK48" s="18">
        <v>14.28</v>
      </c>
      <c r="AL48" s="18" t="s">
        <v>95</v>
      </c>
      <c r="AM48" s="18" t="s">
        <v>95</v>
      </c>
      <c r="AN48" s="18" t="s">
        <v>7984</v>
      </c>
      <c r="AO48" s="18" t="s">
        <v>139</v>
      </c>
      <c r="AP48" s="20" t="s">
        <v>280</v>
      </c>
      <c r="AQ48" s="18" t="s">
        <v>281</v>
      </c>
      <c r="AR48" s="18" t="s">
        <v>295</v>
      </c>
      <c r="AS48" s="18">
        <v>6</v>
      </c>
      <c r="AT48" s="18" t="s">
        <v>235</v>
      </c>
      <c r="AU48" s="18" t="s">
        <v>90</v>
      </c>
      <c r="AV48" s="18" t="s">
        <v>8247</v>
      </c>
      <c r="AW48" s="18" t="s">
        <v>8248</v>
      </c>
      <c r="AX48" s="18" t="s">
        <v>83</v>
      </c>
      <c r="AY48" s="18" t="s">
        <v>95</v>
      </c>
      <c r="AZ48" s="18" t="s">
        <v>95</v>
      </c>
      <c r="BA48" s="18" t="s">
        <v>95</v>
      </c>
      <c r="BB48" s="18" t="s">
        <v>95</v>
      </c>
      <c r="BC48" s="18" t="s">
        <v>84</v>
      </c>
      <c r="BD48" s="18">
        <v>42</v>
      </c>
      <c r="BE48" s="18" t="s">
        <v>95</v>
      </c>
      <c r="BF48" s="18" t="s">
        <v>95</v>
      </c>
      <c r="BG48" s="18" t="s">
        <v>95</v>
      </c>
      <c r="BH48" s="18" t="s">
        <v>95</v>
      </c>
      <c r="BI48" s="18">
        <v>12</v>
      </c>
      <c r="BJ48" s="18">
        <v>2022</v>
      </c>
      <c r="BK48" s="18" t="s">
        <v>95</v>
      </c>
      <c r="BL48" s="18" t="s">
        <v>95</v>
      </c>
      <c r="BM48" s="18" t="s">
        <v>95</v>
      </c>
      <c r="BN48" s="18" t="s">
        <v>85</v>
      </c>
      <c r="BO48" s="18" t="s">
        <v>86</v>
      </c>
      <c r="BP48" s="18" t="s">
        <v>90</v>
      </c>
      <c r="BQ48" s="18" t="s">
        <v>8016</v>
      </c>
      <c r="BR48" s="18" t="s">
        <v>139</v>
      </c>
      <c r="BS48" s="18" t="s">
        <v>8027</v>
      </c>
      <c r="BT48" s="18" t="s">
        <v>7989</v>
      </c>
      <c r="BU48" s="18" t="s">
        <v>7990</v>
      </c>
      <c r="BV48" s="18" t="str">
        <f>Terminales[[#This Row],[IMEI]]&amp;"SI"</f>
        <v>355108340297045SI</v>
      </c>
      <c r="BW48" s="18" t="str">
        <f>VLOOKUP(Terminales[[#This Row],[OFICINA_USUARIO]],[1]!Locales[#Data],3,0)</f>
        <v>TIENDA CONDADO</v>
      </c>
      <c r="BX48" s="18" t="str">
        <f>VLOOKUP(Terminales[[#This Row],[USUARIO_FINAL]],'[1]Personal Ppto vs Real'!$A:$F,6,0)</f>
        <v>GUACHAMIN CAZA HUGO ADRIAN</v>
      </c>
      <c r="BY48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4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48" s="18">
        <f>DAY(Terminales[[#This Row],[FECHA_FACTURA]])</f>
        <v>3</v>
      </c>
      <c r="CB48" s="65">
        <f>IF(Terminales[[#This Row],[CANTIDAD]] = 1,INDEX([1]!Comisiones[#Data],MATCH("Terminales",[1]!Comisiones[Producto],0),MATCH(Terminales[[#This Row],[TIPO ALTA COMISIONES]],[1]!Comisiones[#Headers],0))*Terminales[[#This Row],[MONTO]],0)</f>
        <v>16.4285712</v>
      </c>
      <c r="CC48" s="65">
        <f>IFERROR(IF(AND(Terminales[[#This Row],[CANTIDAD]] = 1,Terminales[[#This Row],[MOVIMIENTO]] = "RENOVACION"),Terminales[[#This Row],[TARIFA_BASICA]]*0.5,),)</f>
        <v>0</v>
      </c>
      <c r="CD48" s="65">
        <f>IF('[1]Resumen TM'!$AW$20 &lt; 0.4,0,Terminales[[#This Row],[MONTO]]*0.02)</f>
        <v>4.1071428000000001</v>
      </c>
      <c r="CE48" s="66">
        <f>Terminales[[#This Row],[COMISIONES TERMINALES]]+Terminales[[#This Row],[COMISIONES RENOVACIONES]]+Terminales[[#This Row],[COMISIONES BONO]]</f>
        <v>20.535713999999999</v>
      </c>
      <c r="CF48" s="67">
        <f>(Terminales[[#This Row],[COMISIONES TERMINALES]]*VLOOKUP(Terminales[[#This Row],[LOCALES]],[1]!Calendario[#Data],3,0))/VLOOKUP(Terminales[[#This Row],[LOCALES]],[1]!Calendario[#Data],2,0)</f>
        <v>27.027649393548387</v>
      </c>
      <c r="CG48" s="67">
        <f>(Terminales[[#This Row],[COMISIONES RENOVACIONES]]*VLOOKUP(Terminales[[#This Row],[LOCALES]],[1]!Calendario[#Data],3,0))/VLOOKUP(Terminales[[#This Row],[LOCALES]],[1]!Calendario[#Data],2,0)</f>
        <v>0</v>
      </c>
      <c r="CH48" s="67">
        <f>(Terminales[[#This Row],[COMISIONES BONO]]*VLOOKUP(Terminales[[#This Row],[LOCALES]],[1]!Calendario[#Data],3,0))/VLOOKUP(Terminales[[#This Row],[LOCALES]],[1]!Calendario[#Data],2,0)</f>
        <v>6.7569123483870968</v>
      </c>
      <c r="CI48" s="67">
        <f>Terminales[[#This Row],[PROY. COM. TERMINALES]]+Terminales[[#This Row],[PROY. COM. RENOV.]]+Terminales[[#This Row],[PROY. COM. 2%]]</f>
        <v>33.784561741935484</v>
      </c>
    </row>
    <row r="49" spans="1:87" x14ac:dyDescent="0.25">
      <c r="A49" s="68">
        <v>44926</v>
      </c>
      <c r="B49" s="68">
        <v>44898</v>
      </c>
      <c r="C49" s="18" t="s">
        <v>291</v>
      </c>
      <c r="D49" s="18" t="s">
        <v>78</v>
      </c>
      <c r="E49" s="18" t="s">
        <v>1532</v>
      </c>
      <c r="F49" s="18" t="s">
        <v>8358</v>
      </c>
      <c r="G49" s="18" t="s">
        <v>292</v>
      </c>
      <c r="H49" s="18" t="s">
        <v>293</v>
      </c>
      <c r="I49" s="18" t="s">
        <v>8359</v>
      </c>
      <c r="J49" s="18" t="s">
        <v>95</v>
      </c>
      <c r="K49" s="18" t="s">
        <v>7970</v>
      </c>
      <c r="L49" s="18" t="s">
        <v>8360</v>
      </c>
      <c r="M49" s="18" t="s">
        <v>8361</v>
      </c>
      <c r="N49" s="18" t="s">
        <v>8362</v>
      </c>
      <c r="O49" s="18" t="s">
        <v>6241</v>
      </c>
      <c r="P49" s="18" t="s">
        <v>8363</v>
      </c>
      <c r="Q49" s="18" t="s">
        <v>7975</v>
      </c>
      <c r="R49" s="18" t="s">
        <v>7976</v>
      </c>
      <c r="S49" s="18" t="s">
        <v>8070</v>
      </c>
      <c r="T49" s="18" t="s">
        <v>8364</v>
      </c>
      <c r="U49" s="18" t="s">
        <v>8012</v>
      </c>
      <c r="V49" s="18" t="s">
        <v>6963</v>
      </c>
      <c r="W49" s="18" t="s">
        <v>95</v>
      </c>
      <c r="X49" s="18" t="s">
        <v>95</v>
      </c>
      <c r="Y49" s="18" t="s">
        <v>7980</v>
      </c>
      <c r="Z49" s="18" t="s">
        <v>6996</v>
      </c>
      <c r="AA49" s="69">
        <v>1</v>
      </c>
      <c r="AB49" s="18">
        <v>428.57143000000002</v>
      </c>
      <c r="AC49" s="18" t="s">
        <v>8365</v>
      </c>
      <c r="AD49" s="18" t="s">
        <v>7982</v>
      </c>
      <c r="AE49" s="18">
        <v>269.92</v>
      </c>
      <c r="AF49" s="18" t="s">
        <v>7983</v>
      </c>
      <c r="AG49" s="18">
        <v>269.92</v>
      </c>
      <c r="AH49" s="18" t="s">
        <v>95</v>
      </c>
      <c r="AI49" s="18" t="s">
        <v>7358</v>
      </c>
      <c r="AJ49" s="18" t="s">
        <v>7359</v>
      </c>
      <c r="AK49" s="18">
        <v>10.54</v>
      </c>
      <c r="AL49" s="18" t="s">
        <v>95</v>
      </c>
      <c r="AM49" s="18" t="s">
        <v>95</v>
      </c>
      <c r="AN49" s="18" t="s">
        <v>7984</v>
      </c>
      <c r="AO49" s="18" t="s">
        <v>139</v>
      </c>
      <c r="AP49" s="20" t="s">
        <v>630</v>
      </c>
      <c r="AQ49" s="18" t="s">
        <v>631</v>
      </c>
      <c r="AR49" s="18" t="s">
        <v>295</v>
      </c>
      <c r="AS49" s="18">
        <v>12</v>
      </c>
      <c r="AT49" s="18" t="s">
        <v>177</v>
      </c>
      <c r="AU49" s="18" t="s">
        <v>90</v>
      </c>
      <c r="AV49" s="18" t="s">
        <v>8366</v>
      </c>
      <c r="AW49" s="18" t="s">
        <v>8367</v>
      </c>
      <c r="AX49" s="18" t="s">
        <v>83</v>
      </c>
      <c r="AY49" s="18" t="s">
        <v>95</v>
      </c>
      <c r="AZ49" s="18" t="s">
        <v>95</v>
      </c>
      <c r="BA49" s="18" t="s">
        <v>95</v>
      </c>
      <c r="BB49" s="18" t="s">
        <v>95</v>
      </c>
      <c r="BC49" s="18" t="s">
        <v>118</v>
      </c>
      <c r="BD49" s="18">
        <v>86</v>
      </c>
      <c r="BE49" s="18" t="s">
        <v>95</v>
      </c>
      <c r="BF49" s="18" t="s">
        <v>95</v>
      </c>
      <c r="BG49" s="18" t="s">
        <v>95</v>
      </c>
      <c r="BH49" s="18" t="s">
        <v>95</v>
      </c>
      <c r="BI49" s="18">
        <v>12</v>
      </c>
      <c r="BJ49" s="18">
        <v>2022</v>
      </c>
      <c r="BK49" s="18" t="s">
        <v>95</v>
      </c>
      <c r="BL49" s="18" t="s">
        <v>95</v>
      </c>
      <c r="BM49" s="18" t="s">
        <v>95</v>
      </c>
      <c r="BN49" s="18" t="s">
        <v>85</v>
      </c>
      <c r="BO49" s="18" t="s">
        <v>86</v>
      </c>
      <c r="BP49" s="18" t="s">
        <v>90</v>
      </c>
      <c r="BQ49" s="18" t="s">
        <v>8002</v>
      </c>
      <c r="BR49" s="18" t="s">
        <v>139</v>
      </c>
      <c r="BS49" s="18" t="s">
        <v>7988</v>
      </c>
      <c r="BT49" s="18" t="s">
        <v>7989</v>
      </c>
      <c r="BU49" s="18" t="s">
        <v>7990</v>
      </c>
      <c r="BV49" s="18" t="str">
        <f>Terminales[[#This Row],[IMEI]]&amp;"SI"</f>
        <v>863837059714924SI</v>
      </c>
      <c r="BW49" s="18" t="str">
        <f>VLOOKUP(Terminales[[#This Row],[OFICINA_USUARIO]],[1]!Locales[#Data],3,0)</f>
        <v>TIENDA RECREO</v>
      </c>
      <c r="BX49" s="18" t="str">
        <f>VLOOKUP(Terminales[[#This Row],[USUARIO_FINAL]],'[1]Personal Ppto vs Real'!$A:$F,6,0)</f>
        <v>LOAYZA AGUILAR JONATHAN FABIAN</v>
      </c>
      <c r="BY49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4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49" s="18">
        <f>DAY(Terminales[[#This Row],[FECHA_FACTURA]])</f>
        <v>3</v>
      </c>
      <c r="CB49" s="65">
        <f>IF(Terminales[[#This Row],[CANTIDAD]] = 1,INDEX([1]!Comisiones[#Data],MATCH("Terminales",[1]!Comisiones[Producto],0),MATCH(Terminales[[#This Row],[TIPO ALTA COMISIONES]],[1]!Comisiones[#Headers],0))*Terminales[[#This Row],[MONTO]],0)</f>
        <v>25.714285799999999</v>
      </c>
      <c r="CC49" s="65">
        <f>IFERROR(IF(AND(Terminales[[#This Row],[CANTIDAD]] = 1,Terminales[[#This Row],[MOVIMIENTO]] = "RENOVACION"),Terminales[[#This Row],[TARIFA_BASICA]]*0.5,),)</f>
        <v>5.27</v>
      </c>
      <c r="CD49" s="65">
        <f>IF('[1]Resumen TM'!$AW$20 &lt; 0.4,0,Terminales[[#This Row],[MONTO]]*0.02)</f>
        <v>8.5714286000000008</v>
      </c>
      <c r="CE49" s="66">
        <f>Terminales[[#This Row],[COMISIONES TERMINALES]]+Terminales[[#This Row],[COMISIONES RENOVACIONES]]+Terminales[[#This Row],[COMISIONES BONO]]</f>
        <v>39.555714399999999</v>
      </c>
      <c r="CF49" s="67">
        <f>(Terminales[[#This Row],[COMISIONES TERMINALES]]*VLOOKUP(Terminales[[#This Row],[LOCALES]],[1]!Calendario[#Data],3,0))/VLOOKUP(Terminales[[#This Row],[LOCALES]],[1]!Calendario[#Data],2,0)</f>
        <v>42.304147606451608</v>
      </c>
      <c r="CG49" s="67">
        <f>(Terminales[[#This Row],[COMISIONES RENOVACIONES]]*VLOOKUP(Terminales[[#This Row],[LOCALES]],[1]!Calendario[#Data],3,0))/VLOOKUP(Terminales[[#This Row],[LOCALES]],[1]!Calendario[#Data],2,0)</f>
        <v>8.67</v>
      </c>
      <c r="CH49" s="67">
        <f>(Terminales[[#This Row],[COMISIONES BONO]]*VLOOKUP(Terminales[[#This Row],[LOCALES]],[1]!Calendario[#Data],3,0))/VLOOKUP(Terminales[[#This Row],[LOCALES]],[1]!Calendario[#Data],2,0)</f>
        <v>14.101382535483873</v>
      </c>
      <c r="CI49" s="67">
        <f>Terminales[[#This Row],[PROY. COM. TERMINALES]]+Terminales[[#This Row],[PROY. COM. RENOV.]]+Terminales[[#This Row],[PROY. COM. 2%]]</f>
        <v>65.075530141935488</v>
      </c>
    </row>
    <row r="50" spans="1:87" x14ac:dyDescent="0.25">
      <c r="A50" s="68">
        <v>44926</v>
      </c>
      <c r="B50" s="68">
        <v>44898</v>
      </c>
      <c r="C50" s="18" t="s">
        <v>96</v>
      </c>
      <c r="D50" s="18" t="s">
        <v>96</v>
      </c>
      <c r="E50" s="18" t="s">
        <v>96</v>
      </c>
      <c r="F50" s="18" t="s">
        <v>95</v>
      </c>
      <c r="G50" s="18" t="s">
        <v>292</v>
      </c>
      <c r="H50" s="18" t="s">
        <v>494</v>
      </c>
      <c r="I50" s="18" t="s">
        <v>8368</v>
      </c>
      <c r="J50" s="18" t="s">
        <v>95</v>
      </c>
      <c r="K50" s="18" t="s">
        <v>7970</v>
      </c>
      <c r="L50" s="18" t="s">
        <v>8369</v>
      </c>
      <c r="M50" s="18" t="s">
        <v>8370</v>
      </c>
      <c r="N50" s="18" t="s">
        <v>8371</v>
      </c>
      <c r="O50" s="18" t="s">
        <v>543</v>
      </c>
      <c r="P50" s="18" t="s">
        <v>8372</v>
      </c>
      <c r="Q50" s="18" t="s">
        <v>7975</v>
      </c>
      <c r="R50" s="18" t="s">
        <v>7976</v>
      </c>
      <c r="S50" s="18" t="s">
        <v>7994</v>
      </c>
      <c r="T50" s="18" t="s">
        <v>8245</v>
      </c>
      <c r="U50" s="18" t="s">
        <v>8012</v>
      </c>
      <c r="V50" s="18" t="s">
        <v>6963</v>
      </c>
      <c r="W50" s="18" t="s">
        <v>95</v>
      </c>
      <c r="X50" s="18" t="s">
        <v>95</v>
      </c>
      <c r="Y50" s="18" t="s">
        <v>7980</v>
      </c>
      <c r="Z50" s="18" t="s">
        <v>6996</v>
      </c>
      <c r="AA50" s="69">
        <v>1</v>
      </c>
      <c r="AB50" s="18">
        <v>156.25</v>
      </c>
      <c r="AC50" s="18" t="s">
        <v>95</v>
      </c>
      <c r="AD50" s="18" t="s">
        <v>96</v>
      </c>
      <c r="AE50" s="18">
        <v>156</v>
      </c>
      <c r="AF50" s="18" t="s">
        <v>7983</v>
      </c>
      <c r="AG50" s="18">
        <v>156</v>
      </c>
      <c r="AH50" s="18" t="s">
        <v>95</v>
      </c>
      <c r="AI50" s="18" t="s">
        <v>95</v>
      </c>
      <c r="AJ50" s="18" t="s">
        <v>95</v>
      </c>
      <c r="AK50" s="18" t="s">
        <v>95</v>
      </c>
      <c r="AL50" s="18" t="s">
        <v>95</v>
      </c>
      <c r="AM50" s="18" t="s">
        <v>95</v>
      </c>
      <c r="AN50" s="18" t="s">
        <v>7984</v>
      </c>
      <c r="AO50" s="18" t="s">
        <v>139</v>
      </c>
      <c r="AP50" s="20" t="s">
        <v>630</v>
      </c>
      <c r="AQ50" s="18" t="s">
        <v>631</v>
      </c>
      <c r="AR50" s="18" t="s">
        <v>496</v>
      </c>
      <c r="AS50" s="18">
        <v>1</v>
      </c>
      <c r="AT50" s="18" t="s">
        <v>177</v>
      </c>
      <c r="AU50" s="18" t="s">
        <v>90</v>
      </c>
      <c r="AV50" s="18" t="s">
        <v>8247</v>
      </c>
      <c r="AW50" s="18" t="s">
        <v>8248</v>
      </c>
      <c r="AX50" s="18" t="s">
        <v>83</v>
      </c>
      <c r="AY50" s="18" t="s">
        <v>95</v>
      </c>
      <c r="AZ50" s="18" t="s">
        <v>95</v>
      </c>
      <c r="BA50" s="18" t="s">
        <v>95</v>
      </c>
      <c r="BB50" s="18" t="s">
        <v>95</v>
      </c>
      <c r="BC50" s="18" t="s">
        <v>95</v>
      </c>
      <c r="BD50" s="18" t="s">
        <v>95</v>
      </c>
      <c r="BE50" s="18" t="s">
        <v>8373</v>
      </c>
      <c r="BF50" s="18" t="s">
        <v>8001</v>
      </c>
      <c r="BG50" s="18" t="s">
        <v>95</v>
      </c>
      <c r="BH50" s="18" t="s">
        <v>95</v>
      </c>
      <c r="BI50" s="18">
        <v>12</v>
      </c>
      <c r="BJ50" s="18">
        <v>2022</v>
      </c>
      <c r="BK50" s="18" t="s">
        <v>95</v>
      </c>
      <c r="BL50" s="18" t="s">
        <v>95</v>
      </c>
      <c r="BM50" s="18" t="s">
        <v>95</v>
      </c>
      <c r="BN50" s="18" t="s">
        <v>85</v>
      </c>
      <c r="BO50" s="18" t="s">
        <v>86</v>
      </c>
      <c r="BP50" s="18" t="s">
        <v>90</v>
      </c>
      <c r="BQ50" s="18" t="s">
        <v>8002</v>
      </c>
      <c r="BR50" s="18" t="s">
        <v>139</v>
      </c>
      <c r="BS50" s="18" t="s">
        <v>8003</v>
      </c>
      <c r="BT50" s="18" t="s">
        <v>7989</v>
      </c>
      <c r="BU50" s="18" t="s">
        <v>496</v>
      </c>
      <c r="BV50" s="18" t="str">
        <f>Terminales[[#This Row],[IMEI]]&amp;"SI"</f>
        <v>355108340301813SI</v>
      </c>
      <c r="BW50" s="18" t="str">
        <f>VLOOKUP(Terminales[[#This Row],[OFICINA_USUARIO]],[1]!Locales[#Data],3,0)</f>
        <v>TIENDA RECREO</v>
      </c>
      <c r="BX50" s="18" t="str">
        <f>VLOOKUP(Terminales[[#This Row],[USUARIO_FINAL]],'[1]Personal Ppto vs Real'!$A:$F,6,0)</f>
        <v>LOAYZA AGUILAR JONATHAN FABIAN</v>
      </c>
      <c r="BY5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5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50" s="18">
        <f>DAY(Terminales[[#This Row],[FECHA_FACTURA]])</f>
        <v>3</v>
      </c>
      <c r="CB50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50" s="65">
        <f>IFERROR(IF(AND(Terminales[[#This Row],[CANTIDAD]] = 1,Terminales[[#This Row],[MOVIMIENTO]] = "RENOVACION"),Terminales[[#This Row],[TARIFA_BASICA]]*0.5,),)</f>
        <v>0</v>
      </c>
      <c r="CD50" s="65">
        <f>IF('[1]Resumen TM'!$AW$20 &lt; 0.4,0,Terminales[[#This Row],[MONTO]]*0.02)</f>
        <v>3.125</v>
      </c>
      <c r="CE50" s="66">
        <f>Terminales[[#This Row],[COMISIONES TERMINALES]]+Terminales[[#This Row],[COMISIONES RENOVACIONES]]+Terminales[[#This Row],[COMISIONES BONO]]</f>
        <v>18.75</v>
      </c>
      <c r="CF50" s="67">
        <f>(Terminales[[#This Row],[COMISIONES TERMINALES]]*VLOOKUP(Terminales[[#This Row],[LOCALES]],[1]!Calendario[#Data],3,0))/VLOOKUP(Terminales[[#This Row],[LOCALES]],[1]!Calendario[#Data],2,0)</f>
        <v>25.705645161290324</v>
      </c>
      <c r="CG50" s="67">
        <f>(Terminales[[#This Row],[COMISIONES RENOVACIONES]]*VLOOKUP(Terminales[[#This Row],[LOCALES]],[1]!Calendario[#Data],3,0))/VLOOKUP(Terminales[[#This Row],[LOCALES]],[1]!Calendario[#Data],2,0)</f>
        <v>0</v>
      </c>
      <c r="CH50" s="67">
        <f>(Terminales[[#This Row],[COMISIONES BONO]]*VLOOKUP(Terminales[[#This Row],[LOCALES]],[1]!Calendario[#Data],3,0))/VLOOKUP(Terminales[[#This Row],[LOCALES]],[1]!Calendario[#Data],2,0)</f>
        <v>5.1411290322580649</v>
      </c>
      <c r="CI50" s="67">
        <f>Terminales[[#This Row],[PROY. COM. TERMINALES]]+Terminales[[#This Row],[PROY. COM. RENOV.]]+Terminales[[#This Row],[PROY. COM. 2%]]</f>
        <v>30.846774193548388</v>
      </c>
    </row>
    <row r="51" spans="1:87" x14ac:dyDescent="0.25">
      <c r="A51" s="68">
        <v>44926</v>
      </c>
      <c r="B51" s="68">
        <v>44899</v>
      </c>
      <c r="C51" s="18" t="s">
        <v>96</v>
      </c>
      <c r="D51" s="18" t="s">
        <v>96</v>
      </c>
      <c r="E51" s="18" t="s">
        <v>96</v>
      </c>
      <c r="F51" s="18" t="s">
        <v>8374</v>
      </c>
      <c r="G51" s="18" t="s">
        <v>292</v>
      </c>
      <c r="H51" s="18" t="s">
        <v>494</v>
      </c>
      <c r="I51" s="18" t="s">
        <v>8375</v>
      </c>
      <c r="J51" s="18" t="s">
        <v>95</v>
      </c>
      <c r="K51" s="18" t="s">
        <v>7970</v>
      </c>
      <c r="L51" s="18" t="s">
        <v>8376</v>
      </c>
      <c r="M51" s="18" t="s">
        <v>8377</v>
      </c>
      <c r="N51" s="18" t="s">
        <v>8378</v>
      </c>
      <c r="O51" s="18" t="s">
        <v>8379</v>
      </c>
      <c r="P51" s="18" t="s">
        <v>8380</v>
      </c>
      <c r="Q51" s="18" t="s">
        <v>7975</v>
      </c>
      <c r="R51" s="18" t="s">
        <v>7976</v>
      </c>
      <c r="S51" s="18" t="s">
        <v>8010</v>
      </c>
      <c r="T51" s="18" t="s">
        <v>8381</v>
      </c>
      <c r="U51" s="18" t="s">
        <v>7979</v>
      </c>
      <c r="V51" s="18" t="s">
        <v>6963</v>
      </c>
      <c r="W51" s="18" t="s">
        <v>95</v>
      </c>
      <c r="X51" s="18" t="s">
        <v>95</v>
      </c>
      <c r="Y51" s="18" t="s">
        <v>7980</v>
      </c>
      <c r="Z51" s="18" t="s">
        <v>6996</v>
      </c>
      <c r="AA51" s="69">
        <v>1</v>
      </c>
      <c r="AB51" s="18">
        <v>267.85714000000002</v>
      </c>
      <c r="AC51" s="18" t="s">
        <v>8382</v>
      </c>
      <c r="AD51" s="18" t="s">
        <v>96</v>
      </c>
      <c r="AE51" s="18">
        <v>291.2</v>
      </c>
      <c r="AF51" s="18" t="s">
        <v>7983</v>
      </c>
      <c r="AG51" s="18">
        <v>291.2</v>
      </c>
      <c r="AH51" s="18" t="s">
        <v>95</v>
      </c>
      <c r="AI51" s="18" t="s">
        <v>8102</v>
      </c>
      <c r="AJ51" s="18" t="s">
        <v>8103</v>
      </c>
      <c r="AK51" s="18" t="s">
        <v>95</v>
      </c>
      <c r="AL51" s="18" t="s">
        <v>95</v>
      </c>
      <c r="AM51" s="18" t="s">
        <v>95</v>
      </c>
      <c r="AN51" s="18" t="s">
        <v>7984</v>
      </c>
      <c r="AO51" s="18" t="s">
        <v>139</v>
      </c>
      <c r="AP51" s="20" t="s">
        <v>280</v>
      </c>
      <c r="AQ51" s="18" t="s">
        <v>281</v>
      </c>
      <c r="AR51" s="18" t="s">
        <v>496</v>
      </c>
      <c r="AS51" s="18">
        <v>1</v>
      </c>
      <c r="AT51" s="18" t="s">
        <v>235</v>
      </c>
      <c r="AU51" s="18" t="s">
        <v>90</v>
      </c>
      <c r="AV51" s="18" t="s">
        <v>8383</v>
      </c>
      <c r="AW51" s="18" t="s">
        <v>8384</v>
      </c>
      <c r="AX51" s="18" t="s">
        <v>83</v>
      </c>
      <c r="AY51" s="18" t="s">
        <v>95</v>
      </c>
      <c r="AZ51" s="18" t="s">
        <v>95</v>
      </c>
      <c r="BA51" s="18" t="s">
        <v>95</v>
      </c>
      <c r="BB51" s="18" t="s">
        <v>95</v>
      </c>
      <c r="BC51" s="18" t="s">
        <v>118</v>
      </c>
      <c r="BD51" s="18" t="s">
        <v>95</v>
      </c>
      <c r="BE51" s="18" t="s">
        <v>95</v>
      </c>
      <c r="BF51" s="18" t="s">
        <v>95</v>
      </c>
      <c r="BG51" s="18" t="s">
        <v>95</v>
      </c>
      <c r="BH51" s="18" t="s">
        <v>95</v>
      </c>
      <c r="BI51" s="18">
        <v>12</v>
      </c>
      <c r="BJ51" s="18">
        <v>2022</v>
      </c>
      <c r="BK51" s="18" t="s">
        <v>95</v>
      </c>
      <c r="BL51" s="18" t="s">
        <v>95</v>
      </c>
      <c r="BM51" s="18" t="s">
        <v>95</v>
      </c>
      <c r="BN51" s="18" t="s">
        <v>85</v>
      </c>
      <c r="BO51" s="18" t="s">
        <v>86</v>
      </c>
      <c r="BP51" s="18" t="s">
        <v>90</v>
      </c>
      <c r="BQ51" s="18" t="s">
        <v>8016</v>
      </c>
      <c r="BR51" s="18" t="s">
        <v>139</v>
      </c>
      <c r="BS51" s="18" t="s">
        <v>8074</v>
      </c>
      <c r="BT51" s="18" t="s">
        <v>7989</v>
      </c>
      <c r="BU51" s="18" t="s">
        <v>496</v>
      </c>
      <c r="BV51" s="18" t="str">
        <f>Terminales[[#This Row],[IMEI]]&amp;"SI"</f>
        <v>354911551819139SI</v>
      </c>
      <c r="BW51" s="18" t="str">
        <f>VLOOKUP(Terminales[[#This Row],[OFICINA_USUARIO]],[1]!Locales[#Data],3,0)</f>
        <v>TIENDA CONDADO</v>
      </c>
      <c r="BX51" s="18" t="str">
        <f>VLOOKUP(Terminales[[#This Row],[USUARIO_FINAL]],'[1]Personal Ppto vs Real'!$A:$F,6,0)</f>
        <v>GUACHAMIN CAZA HUGO ADRIAN</v>
      </c>
      <c r="BY5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5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51" s="18">
        <f>DAY(Terminales[[#This Row],[FECHA_FACTURA]])</f>
        <v>4</v>
      </c>
      <c r="CB51" s="65">
        <f>IF(Terminales[[#This Row],[CANTIDAD]] = 1,INDEX([1]!Comisiones[#Data],MATCH("Terminales",[1]!Comisiones[Producto],0),MATCH(Terminales[[#This Row],[TIPO ALTA COMISIONES]],[1]!Comisiones[#Headers],0))*Terminales[[#This Row],[MONTO]],0)</f>
        <v>26.785714000000002</v>
      </c>
      <c r="CC51" s="65">
        <f>IFERROR(IF(AND(Terminales[[#This Row],[CANTIDAD]] = 1,Terminales[[#This Row],[MOVIMIENTO]] = "RENOVACION"),Terminales[[#This Row],[TARIFA_BASICA]]*0.5,),)</f>
        <v>0</v>
      </c>
      <c r="CD51" s="65">
        <f>IF('[1]Resumen TM'!$AW$20 &lt; 0.4,0,Terminales[[#This Row],[MONTO]]*0.02)</f>
        <v>5.3571428000000001</v>
      </c>
      <c r="CE51" s="66">
        <f>Terminales[[#This Row],[COMISIONES TERMINALES]]+Terminales[[#This Row],[COMISIONES RENOVACIONES]]+Terminales[[#This Row],[COMISIONES BONO]]</f>
        <v>32.142856800000004</v>
      </c>
      <c r="CF51" s="67">
        <f>(Terminales[[#This Row],[COMISIONES TERMINALES]]*VLOOKUP(Terminales[[#This Row],[LOCALES]],[1]!Calendario[#Data],3,0))/VLOOKUP(Terminales[[#This Row],[LOCALES]],[1]!Calendario[#Data],2,0)</f>
        <v>44.066819806451612</v>
      </c>
      <c r="CG51" s="67">
        <f>(Terminales[[#This Row],[COMISIONES RENOVACIONES]]*VLOOKUP(Terminales[[#This Row],[LOCALES]],[1]!Calendario[#Data],3,0))/VLOOKUP(Terminales[[#This Row],[LOCALES]],[1]!Calendario[#Data],2,0)</f>
        <v>0</v>
      </c>
      <c r="CH51" s="67">
        <f>(Terminales[[#This Row],[COMISIONES BONO]]*VLOOKUP(Terminales[[#This Row],[LOCALES]],[1]!Calendario[#Data],3,0))/VLOOKUP(Terminales[[#This Row],[LOCALES]],[1]!Calendario[#Data],2,0)</f>
        <v>8.8133639612903227</v>
      </c>
      <c r="CI51" s="67">
        <f>Terminales[[#This Row],[PROY. COM. TERMINALES]]+Terminales[[#This Row],[PROY. COM. RENOV.]]+Terminales[[#This Row],[PROY. COM. 2%]]</f>
        <v>52.880183767741933</v>
      </c>
    </row>
    <row r="52" spans="1:87" x14ac:dyDescent="0.25">
      <c r="A52" s="68">
        <v>44926</v>
      </c>
      <c r="B52" s="68">
        <v>44899</v>
      </c>
      <c r="C52" s="18" t="s">
        <v>291</v>
      </c>
      <c r="D52" s="18" t="s">
        <v>78</v>
      </c>
      <c r="E52" s="18" t="s">
        <v>1378</v>
      </c>
      <c r="F52" s="18" t="s">
        <v>8385</v>
      </c>
      <c r="G52" s="18" t="s">
        <v>292</v>
      </c>
      <c r="H52" s="18" t="s">
        <v>293</v>
      </c>
      <c r="I52" s="18" t="s">
        <v>8386</v>
      </c>
      <c r="J52" s="18" t="s">
        <v>95</v>
      </c>
      <c r="K52" s="18" t="s">
        <v>7970</v>
      </c>
      <c r="L52" s="18" t="s">
        <v>8387</v>
      </c>
      <c r="M52" s="18" t="s">
        <v>8388</v>
      </c>
      <c r="N52" s="18" t="s">
        <v>8389</v>
      </c>
      <c r="O52" s="18" t="s">
        <v>1022</v>
      </c>
      <c r="P52" s="18" t="s">
        <v>8390</v>
      </c>
      <c r="Q52" s="18" t="s">
        <v>7975</v>
      </c>
      <c r="R52" s="18" t="s">
        <v>7976</v>
      </c>
      <c r="S52" s="18" t="s">
        <v>8045</v>
      </c>
      <c r="T52" s="18" t="s">
        <v>8225</v>
      </c>
      <c r="U52" s="18" t="s">
        <v>8012</v>
      </c>
      <c r="V52" s="18" t="s">
        <v>6963</v>
      </c>
      <c r="W52" s="18" t="s">
        <v>95</v>
      </c>
      <c r="X52" s="18" t="s">
        <v>95</v>
      </c>
      <c r="Y52" s="18" t="s">
        <v>7980</v>
      </c>
      <c r="Z52" s="18" t="s">
        <v>6996</v>
      </c>
      <c r="AA52" s="69">
        <v>1</v>
      </c>
      <c r="AB52" s="18">
        <v>375</v>
      </c>
      <c r="AC52" s="18" t="s">
        <v>8391</v>
      </c>
      <c r="AD52" s="18" t="s">
        <v>7982</v>
      </c>
      <c r="AE52" s="18">
        <v>234</v>
      </c>
      <c r="AF52" s="18" t="s">
        <v>7983</v>
      </c>
      <c r="AG52" s="18">
        <v>234</v>
      </c>
      <c r="AH52" s="18" t="s">
        <v>95</v>
      </c>
      <c r="AI52" s="18" t="s">
        <v>4157</v>
      </c>
      <c r="AJ52" s="18" t="s">
        <v>7138</v>
      </c>
      <c r="AK52" s="18">
        <v>32.130000000000003</v>
      </c>
      <c r="AL52" s="18" t="s">
        <v>95</v>
      </c>
      <c r="AM52" s="18" t="s">
        <v>95</v>
      </c>
      <c r="AN52" s="18" t="s">
        <v>7984</v>
      </c>
      <c r="AO52" s="18" t="s">
        <v>139</v>
      </c>
      <c r="AP52" s="20" t="s">
        <v>822</v>
      </c>
      <c r="AQ52" s="18" t="s">
        <v>823</v>
      </c>
      <c r="AR52" s="18" t="s">
        <v>295</v>
      </c>
      <c r="AS52" s="18">
        <v>12</v>
      </c>
      <c r="AT52" s="18" t="s">
        <v>177</v>
      </c>
      <c r="AU52" s="18" t="s">
        <v>90</v>
      </c>
      <c r="AV52" s="18" t="s">
        <v>8392</v>
      </c>
      <c r="AW52" s="18" t="s">
        <v>8393</v>
      </c>
      <c r="AX52" s="18" t="s">
        <v>83</v>
      </c>
      <c r="AY52" s="18" t="s">
        <v>95</v>
      </c>
      <c r="AZ52" s="18" t="s">
        <v>95</v>
      </c>
      <c r="BA52" s="18" t="s">
        <v>95</v>
      </c>
      <c r="BB52" s="18" t="s">
        <v>95</v>
      </c>
      <c r="BC52" s="18" t="s">
        <v>84</v>
      </c>
      <c r="BD52" s="18">
        <v>75</v>
      </c>
      <c r="BE52" s="18" t="s">
        <v>95</v>
      </c>
      <c r="BF52" s="18" t="s">
        <v>95</v>
      </c>
      <c r="BG52" s="18" t="s">
        <v>95</v>
      </c>
      <c r="BH52" s="18" t="s">
        <v>95</v>
      </c>
      <c r="BI52" s="18">
        <v>12</v>
      </c>
      <c r="BJ52" s="18">
        <v>2022</v>
      </c>
      <c r="BK52" s="18" t="s">
        <v>95</v>
      </c>
      <c r="BL52" s="18" t="s">
        <v>95</v>
      </c>
      <c r="BM52" s="18" t="s">
        <v>95</v>
      </c>
      <c r="BN52" s="18" t="s">
        <v>85</v>
      </c>
      <c r="BO52" s="18" t="s">
        <v>86</v>
      </c>
      <c r="BP52" s="18" t="s">
        <v>90</v>
      </c>
      <c r="BQ52" s="18" t="s">
        <v>8002</v>
      </c>
      <c r="BR52" s="18" t="s">
        <v>139</v>
      </c>
      <c r="BS52" s="18" t="s">
        <v>7988</v>
      </c>
      <c r="BT52" s="18" t="s">
        <v>7989</v>
      </c>
      <c r="BU52" s="18" t="s">
        <v>7990</v>
      </c>
      <c r="BV52" s="18" t="str">
        <f>Terminales[[#This Row],[IMEI]]&amp;"SI"</f>
        <v>353568691451685SI</v>
      </c>
      <c r="BW52" s="18" t="str">
        <f>VLOOKUP(Terminales[[#This Row],[OFICINA_USUARIO]],[1]!Locales[#Data],3,0)</f>
        <v>TIENDA RECREO</v>
      </c>
      <c r="BX52" s="18" t="str">
        <f>VLOOKUP(Terminales[[#This Row],[USUARIO_FINAL]],'[1]Personal Ppto vs Real'!$A:$F,6,0)</f>
        <v>SALAS PARRA MARIA JOSE</v>
      </c>
      <c r="BY5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5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52" s="18">
        <f>DAY(Terminales[[#This Row],[FECHA_FACTURA]])</f>
        <v>4</v>
      </c>
      <c r="CB52" s="65">
        <f>IF(Terminales[[#This Row],[CANTIDAD]] = 1,INDEX([1]!Comisiones[#Data],MATCH("Terminales",[1]!Comisiones[Producto],0),MATCH(Terminales[[#This Row],[TIPO ALTA COMISIONES]],[1]!Comisiones[#Headers],0))*Terminales[[#This Row],[MONTO]],0)</f>
        <v>22.5</v>
      </c>
      <c r="CC52" s="65">
        <f>IFERROR(IF(AND(Terminales[[#This Row],[CANTIDAD]] = 1,Terminales[[#This Row],[MOVIMIENTO]] = "RENOVACION"),Terminales[[#This Row],[TARIFA_BASICA]]*0.5,),)</f>
        <v>16.065000000000001</v>
      </c>
      <c r="CD52" s="65">
        <f>IF('[1]Resumen TM'!$AW$20 &lt; 0.4,0,Terminales[[#This Row],[MONTO]]*0.02)</f>
        <v>7.5</v>
      </c>
      <c r="CE52" s="66">
        <f>Terminales[[#This Row],[COMISIONES TERMINALES]]+Terminales[[#This Row],[COMISIONES RENOVACIONES]]+Terminales[[#This Row],[COMISIONES BONO]]</f>
        <v>46.064999999999998</v>
      </c>
      <c r="CF52" s="67">
        <f>(Terminales[[#This Row],[COMISIONES TERMINALES]]*VLOOKUP(Terminales[[#This Row],[LOCALES]],[1]!Calendario[#Data],3,0))/VLOOKUP(Terminales[[#This Row],[LOCALES]],[1]!Calendario[#Data],2,0)</f>
        <v>37.016129032258064</v>
      </c>
      <c r="CG52" s="67">
        <f>(Terminales[[#This Row],[COMISIONES RENOVACIONES]]*VLOOKUP(Terminales[[#This Row],[LOCALES]],[1]!Calendario[#Data],3,0))/VLOOKUP(Terminales[[#This Row],[LOCALES]],[1]!Calendario[#Data],2,0)</f>
        <v>26.429516129032258</v>
      </c>
      <c r="CH52" s="67">
        <f>(Terminales[[#This Row],[COMISIONES BONO]]*VLOOKUP(Terminales[[#This Row],[LOCALES]],[1]!Calendario[#Data],3,0))/VLOOKUP(Terminales[[#This Row],[LOCALES]],[1]!Calendario[#Data],2,0)</f>
        <v>12.338709677419354</v>
      </c>
      <c r="CI52" s="67">
        <f>Terminales[[#This Row],[PROY. COM. TERMINALES]]+Terminales[[#This Row],[PROY. COM. RENOV.]]+Terminales[[#This Row],[PROY. COM. 2%]]</f>
        <v>75.784354838709675</v>
      </c>
    </row>
    <row r="53" spans="1:87" x14ac:dyDescent="0.25">
      <c r="A53" s="68">
        <v>44926</v>
      </c>
      <c r="B53" s="68">
        <v>44899</v>
      </c>
      <c r="C53" s="18" t="s">
        <v>291</v>
      </c>
      <c r="D53" s="18" t="s">
        <v>78</v>
      </c>
      <c r="E53" s="18" t="s">
        <v>768</v>
      </c>
      <c r="F53" s="18" t="s">
        <v>8394</v>
      </c>
      <c r="G53" s="18" t="s">
        <v>292</v>
      </c>
      <c r="H53" s="18" t="s">
        <v>494</v>
      </c>
      <c r="I53" s="18" t="s">
        <v>8395</v>
      </c>
      <c r="J53" s="18" t="s">
        <v>95</v>
      </c>
      <c r="K53" s="18" t="s">
        <v>7970</v>
      </c>
      <c r="L53" s="18" t="s">
        <v>2665</v>
      </c>
      <c r="M53" s="18" t="s">
        <v>2666</v>
      </c>
      <c r="N53" s="18" t="s">
        <v>2667</v>
      </c>
      <c r="O53" s="18" t="s">
        <v>1881</v>
      </c>
      <c r="P53" s="18" t="s">
        <v>8396</v>
      </c>
      <c r="Q53" s="18" t="s">
        <v>7975</v>
      </c>
      <c r="R53" s="18" t="s">
        <v>7976</v>
      </c>
      <c r="S53" s="18" t="s">
        <v>8070</v>
      </c>
      <c r="T53" s="18" t="s">
        <v>8397</v>
      </c>
      <c r="U53" s="18" t="s">
        <v>8012</v>
      </c>
      <c r="V53" s="18" t="s">
        <v>6963</v>
      </c>
      <c r="W53" s="18" t="s">
        <v>95</v>
      </c>
      <c r="X53" s="18" t="s">
        <v>95</v>
      </c>
      <c r="Y53" s="18" t="s">
        <v>7980</v>
      </c>
      <c r="Z53" s="18" t="s">
        <v>6996</v>
      </c>
      <c r="AA53" s="69">
        <v>1</v>
      </c>
      <c r="AB53" s="18">
        <v>200.89286000000001</v>
      </c>
      <c r="AC53" s="18" t="s">
        <v>8398</v>
      </c>
      <c r="AD53" s="18" t="s">
        <v>7982</v>
      </c>
      <c r="AE53" s="18">
        <v>173.7</v>
      </c>
      <c r="AF53" s="18" t="s">
        <v>7983</v>
      </c>
      <c r="AG53" s="18">
        <v>173.7</v>
      </c>
      <c r="AH53" s="18" t="s">
        <v>95</v>
      </c>
      <c r="AI53" s="18" t="s">
        <v>7227</v>
      </c>
      <c r="AJ53" s="18" t="s">
        <v>7277</v>
      </c>
      <c r="AK53" s="18">
        <v>9.99</v>
      </c>
      <c r="AL53" s="18" t="s">
        <v>95</v>
      </c>
      <c r="AM53" s="18" t="s">
        <v>95</v>
      </c>
      <c r="AN53" s="18" t="s">
        <v>7984</v>
      </c>
      <c r="AO53" s="18" t="s">
        <v>139</v>
      </c>
      <c r="AP53" s="20" t="s">
        <v>233</v>
      </c>
      <c r="AQ53" s="18" t="s">
        <v>234</v>
      </c>
      <c r="AR53" s="18" t="s">
        <v>496</v>
      </c>
      <c r="AS53" s="18">
        <v>1</v>
      </c>
      <c r="AT53" s="18" t="s">
        <v>235</v>
      </c>
      <c r="AU53" s="18" t="s">
        <v>90</v>
      </c>
      <c r="AV53" s="18" t="s">
        <v>8399</v>
      </c>
      <c r="AW53" s="18" t="s">
        <v>8400</v>
      </c>
      <c r="AX53" s="18" t="s">
        <v>83</v>
      </c>
      <c r="AY53" s="18" t="s">
        <v>95</v>
      </c>
      <c r="AZ53" s="18" t="s">
        <v>95</v>
      </c>
      <c r="BA53" s="18" t="s">
        <v>95</v>
      </c>
      <c r="BB53" s="18" t="s">
        <v>95</v>
      </c>
      <c r="BC53" s="18" t="s">
        <v>84</v>
      </c>
      <c r="BD53" s="18" t="s">
        <v>95</v>
      </c>
      <c r="BE53" s="18" t="s">
        <v>8321</v>
      </c>
      <c r="BF53" s="18" t="s">
        <v>8171</v>
      </c>
      <c r="BG53" s="18" t="s">
        <v>95</v>
      </c>
      <c r="BH53" s="18" t="s">
        <v>95</v>
      </c>
      <c r="BI53" s="18">
        <v>12</v>
      </c>
      <c r="BJ53" s="18">
        <v>2022</v>
      </c>
      <c r="BK53" s="18" t="s">
        <v>95</v>
      </c>
      <c r="BL53" s="18" t="s">
        <v>95</v>
      </c>
      <c r="BM53" s="18" t="s">
        <v>95</v>
      </c>
      <c r="BN53" s="18" t="s">
        <v>85</v>
      </c>
      <c r="BO53" s="18" t="s">
        <v>86</v>
      </c>
      <c r="BP53" s="18" t="s">
        <v>90</v>
      </c>
      <c r="BQ53" s="18" t="s">
        <v>8016</v>
      </c>
      <c r="BR53" s="18" t="s">
        <v>139</v>
      </c>
      <c r="BS53" s="18" t="s">
        <v>8003</v>
      </c>
      <c r="BT53" s="18" t="s">
        <v>7989</v>
      </c>
      <c r="BU53" s="18" t="s">
        <v>496</v>
      </c>
      <c r="BV53" s="18" t="str">
        <f>Terminales[[#This Row],[IMEI]]&amp;"SI"</f>
        <v>864050068830827SI</v>
      </c>
      <c r="BW53" s="18" t="str">
        <f>VLOOKUP(Terminales[[#This Row],[OFICINA_USUARIO]],[1]!Locales[#Data],3,0)</f>
        <v>TIENDA CONDADO</v>
      </c>
      <c r="BX53" s="18" t="str">
        <f>VLOOKUP(Terminales[[#This Row],[USUARIO_FINAL]],'[1]Personal Ppto vs Real'!$A:$F,6,0)</f>
        <v>ROSALES MALDONADO JESSICA GABRIELA</v>
      </c>
      <c r="BY5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5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53" s="18">
        <f>DAY(Terminales[[#This Row],[FECHA_FACTURA]])</f>
        <v>4</v>
      </c>
      <c r="CB53" s="65">
        <f>IF(Terminales[[#This Row],[CANTIDAD]] = 1,INDEX([1]!Comisiones[#Data],MATCH("Terminales",[1]!Comisiones[Producto],0),MATCH(Terminales[[#This Row],[TIPO ALTA COMISIONES]],[1]!Comisiones[#Headers],0))*Terminales[[#This Row],[MONTO]],0)</f>
        <v>20.089286000000001</v>
      </c>
      <c r="CC53" s="65">
        <f>IFERROR(IF(AND(Terminales[[#This Row],[CANTIDAD]] = 1,Terminales[[#This Row],[MOVIMIENTO]] = "RENOVACION"),Terminales[[#This Row],[TARIFA_BASICA]]*0.5,),)</f>
        <v>4.9950000000000001</v>
      </c>
      <c r="CD53" s="65">
        <f>IF('[1]Resumen TM'!$AW$20 &lt; 0.4,0,Terminales[[#This Row],[MONTO]]*0.02)</f>
        <v>4.0178571999999999</v>
      </c>
      <c r="CE53" s="66">
        <f>Terminales[[#This Row],[COMISIONES TERMINALES]]+Terminales[[#This Row],[COMISIONES RENOVACIONES]]+Terminales[[#This Row],[COMISIONES BONO]]</f>
        <v>29.1021432</v>
      </c>
      <c r="CF53" s="67">
        <f>(Terminales[[#This Row],[COMISIONES TERMINALES]]*VLOOKUP(Terminales[[#This Row],[LOCALES]],[1]!Calendario[#Data],3,0))/VLOOKUP(Terminales[[#This Row],[LOCALES]],[1]!Calendario[#Data],2,0)</f>
        <v>33.050115677419356</v>
      </c>
      <c r="CG53" s="67">
        <f>(Terminales[[#This Row],[COMISIONES RENOVACIONES]]*VLOOKUP(Terminales[[#This Row],[LOCALES]],[1]!Calendario[#Data],3,0))/VLOOKUP(Terminales[[#This Row],[LOCALES]],[1]!Calendario[#Data],2,0)</f>
        <v>8.2175806451612896</v>
      </c>
      <c r="CH53" s="67">
        <f>(Terminales[[#This Row],[COMISIONES BONO]]*VLOOKUP(Terminales[[#This Row],[LOCALES]],[1]!Calendario[#Data],3,0))/VLOOKUP(Terminales[[#This Row],[LOCALES]],[1]!Calendario[#Data],2,0)</f>
        <v>6.6100231354838703</v>
      </c>
      <c r="CI53" s="67">
        <f>Terminales[[#This Row],[PROY. COM. TERMINALES]]+Terminales[[#This Row],[PROY. COM. RENOV.]]+Terminales[[#This Row],[PROY. COM. 2%]]</f>
        <v>47.877719458064519</v>
      </c>
    </row>
    <row r="54" spans="1:87" x14ac:dyDescent="0.25">
      <c r="A54" s="68">
        <v>44926</v>
      </c>
      <c r="B54" s="68">
        <v>44899</v>
      </c>
      <c r="C54" s="18" t="s">
        <v>96</v>
      </c>
      <c r="D54" s="18" t="s">
        <v>96</v>
      </c>
      <c r="E54" s="18" t="s">
        <v>96</v>
      </c>
      <c r="F54" s="18" t="s">
        <v>8401</v>
      </c>
      <c r="G54" s="18" t="s">
        <v>292</v>
      </c>
      <c r="H54" s="18" t="s">
        <v>494</v>
      </c>
      <c r="I54" s="18" t="s">
        <v>8402</v>
      </c>
      <c r="J54" s="18" t="s">
        <v>95</v>
      </c>
      <c r="K54" s="18" t="s">
        <v>7970</v>
      </c>
      <c r="L54" s="18" t="s">
        <v>8403</v>
      </c>
      <c r="M54" s="18" t="s">
        <v>8404</v>
      </c>
      <c r="N54" s="18" t="s">
        <v>8405</v>
      </c>
      <c r="O54" s="18" t="s">
        <v>543</v>
      </c>
      <c r="P54" s="18" t="s">
        <v>8406</v>
      </c>
      <c r="Q54" s="18" t="s">
        <v>7975</v>
      </c>
      <c r="R54" s="18" t="s">
        <v>7976</v>
      </c>
      <c r="S54" s="18" t="s">
        <v>7994</v>
      </c>
      <c r="T54" s="18" t="s">
        <v>8245</v>
      </c>
      <c r="U54" s="18" t="s">
        <v>8012</v>
      </c>
      <c r="V54" s="18" t="s">
        <v>6963</v>
      </c>
      <c r="W54" s="18" t="s">
        <v>95</v>
      </c>
      <c r="X54" s="18" t="s">
        <v>95</v>
      </c>
      <c r="Y54" s="18" t="s">
        <v>7980</v>
      </c>
      <c r="Z54" s="18" t="s">
        <v>6996</v>
      </c>
      <c r="AA54" s="69">
        <v>1</v>
      </c>
      <c r="AB54" s="18">
        <v>156.25</v>
      </c>
      <c r="AC54" s="18" t="s">
        <v>8407</v>
      </c>
      <c r="AD54" s="18" t="s">
        <v>96</v>
      </c>
      <c r="AE54" s="18">
        <v>156</v>
      </c>
      <c r="AF54" s="18" t="s">
        <v>7983</v>
      </c>
      <c r="AG54" s="18">
        <v>156</v>
      </c>
      <c r="AH54" s="18" t="s">
        <v>95</v>
      </c>
      <c r="AI54" s="18" t="s">
        <v>8102</v>
      </c>
      <c r="AJ54" s="18" t="s">
        <v>8103</v>
      </c>
      <c r="AK54" s="18" t="s">
        <v>95</v>
      </c>
      <c r="AL54" s="18" t="s">
        <v>95</v>
      </c>
      <c r="AM54" s="18" t="s">
        <v>95</v>
      </c>
      <c r="AN54" s="18" t="s">
        <v>7984</v>
      </c>
      <c r="AO54" s="18" t="s">
        <v>139</v>
      </c>
      <c r="AP54" s="20" t="s">
        <v>280</v>
      </c>
      <c r="AQ54" s="18" t="s">
        <v>281</v>
      </c>
      <c r="AR54" s="18" t="s">
        <v>496</v>
      </c>
      <c r="AS54" s="18">
        <v>1</v>
      </c>
      <c r="AT54" s="18" t="s">
        <v>235</v>
      </c>
      <c r="AU54" s="18" t="s">
        <v>90</v>
      </c>
      <c r="AV54" s="18" t="s">
        <v>8247</v>
      </c>
      <c r="AW54" s="18" t="s">
        <v>8248</v>
      </c>
      <c r="AX54" s="18" t="s">
        <v>83</v>
      </c>
      <c r="AY54" s="18" t="s">
        <v>95</v>
      </c>
      <c r="AZ54" s="18" t="s">
        <v>95</v>
      </c>
      <c r="BA54" s="18" t="s">
        <v>95</v>
      </c>
      <c r="BB54" s="18" t="s">
        <v>95</v>
      </c>
      <c r="BC54" s="18" t="s">
        <v>118</v>
      </c>
      <c r="BD54" s="18" t="s">
        <v>95</v>
      </c>
      <c r="BE54" s="18" t="s">
        <v>95</v>
      </c>
      <c r="BF54" s="18" t="s">
        <v>95</v>
      </c>
      <c r="BG54" s="18" t="s">
        <v>95</v>
      </c>
      <c r="BH54" s="18" t="s">
        <v>95</v>
      </c>
      <c r="BI54" s="18">
        <v>12</v>
      </c>
      <c r="BJ54" s="18">
        <v>2022</v>
      </c>
      <c r="BK54" s="18" t="s">
        <v>95</v>
      </c>
      <c r="BL54" s="18" t="s">
        <v>95</v>
      </c>
      <c r="BM54" s="18" t="s">
        <v>95</v>
      </c>
      <c r="BN54" s="18" t="s">
        <v>85</v>
      </c>
      <c r="BO54" s="18" t="s">
        <v>86</v>
      </c>
      <c r="BP54" s="18" t="s">
        <v>90</v>
      </c>
      <c r="BQ54" s="18" t="s">
        <v>8016</v>
      </c>
      <c r="BR54" s="18" t="s">
        <v>139</v>
      </c>
      <c r="BS54" s="18" t="s">
        <v>8074</v>
      </c>
      <c r="BT54" s="18" t="s">
        <v>7989</v>
      </c>
      <c r="BU54" s="18" t="s">
        <v>496</v>
      </c>
      <c r="BV54" s="18" t="str">
        <f>Terminales[[#This Row],[IMEI]]&amp;"SI"</f>
        <v>355108340319575SI</v>
      </c>
      <c r="BW54" s="18" t="str">
        <f>VLOOKUP(Terminales[[#This Row],[OFICINA_USUARIO]],[1]!Locales[#Data],3,0)</f>
        <v>TIENDA CONDADO</v>
      </c>
      <c r="BX54" s="18" t="str">
        <f>VLOOKUP(Terminales[[#This Row],[USUARIO_FINAL]],'[1]Personal Ppto vs Real'!$A:$F,6,0)</f>
        <v>GUACHAMIN CAZA HUGO ADRIAN</v>
      </c>
      <c r="BY5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5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54" s="18">
        <f>DAY(Terminales[[#This Row],[FECHA_FACTURA]])</f>
        <v>4</v>
      </c>
      <c r="CB54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54" s="65">
        <f>IFERROR(IF(AND(Terminales[[#This Row],[CANTIDAD]] = 1,Terminales[[#This Row],[MOVIMIENTO]] = "RENOVACION"),Terminales[[#This Row],[TARIFA_BASICA]]*0.5,),)</f>
        <v>0</v>
      </c>
      <c r="CD54" s="65">
        <f>IF('[1]Resumen TM'!$AW$20 &lt; 0.4,0,Terminales[[#This Row],[MONTO]]*0.02)</f>
        <v>3.125</v>
      </c>
      <c r="CE54" s="66">
        <f>Terminales[[#This Row],[COMISIONES TERMINALES]]+Terminales[[#This Row],[COMISIONES RENOVACIONES]]+Terminales[[#This Row],[COMISIONES BONO]]</f>
        <v>18.75</v>
      </c>
      <c r="CF54" s="67">
        <f>(Terminales[[#This Row],[COMISIONES TERMINALES]]*VLOOKUP(Terminales[[#This Row],[LOCALES]],[1]!Calendario[#Data],3,0))/VLOOKUP(Terminales[[#This Row],[LOCALES]],[1]!Calendario[#Data],2,0)</f>
        <v>25.705645161290324</v>
      </c>
      <c r="CG54" s="67">
        <f>(Terminales[[#This Row],[COMISIONES RENOVACIONES]]*VLOOKUP(Terminales[[#This Row],[LOCALES]],[1]!Calendario[#Data],3,0))/VLOOKUP(Terminales[[#This Row],[LOCALES]],[1]!Calendario[#Data],2,0)</f>
        <v>0</v>
      </c>
      <c r="CH54" s="67">
        <f>(Terminales[[#This Row],[COMISIONES BONO]]*VLOOKUP(Terminales[[#This Row],[LOCALES]],[1]!Calendario[#Data],3,0))/VLOOKUP(Terminales[[#This Row],[LOCALES]],[1]!Calendario[#Data],2,0)</f>
        <v>5.1411290322580649</v>
      </c>
      <c r="CI54" s="67">
        <f>Terminales[[#This Row],[PROY. COM. TERMINALES]]+Terminales[[#This Row],[PROY. COM. RENOV.]]+Terminales[[#This Row],[PROY. COM. 2%]]</f>
        <v>30.846774193548388</v>
      </c>
    </row>
    <row r="55" spans="1:87" x14ac:dyDescent="0.25">
      <c r="A55" s="68">
        <v>44926</v>
      </c>
      <c r="B55" s="68">
        <v>44899</v>
      </c>
      <c r="C55" s="18" t="s">
        <v>291</v>
      </c>
      <c r="D55" s="18" t="s">
        <v>78</v>
      </c>
      <c r="E55" s="18" t="s">
        <v>1532</v>
      </c>
      <c r="F55" s="18" t="s">
        <v>8408</v>
      </c>
      <c r="G55" s="18" t="s">
        <v>292</v>
      </c>
      <c r="H55" s="18" t="s">
        <v>494</v>
      </c>
      <c r="I55" s="18" t="s">
        <v>8409</v>
      </c>
      <c r="J55" s="18" t="s">
        <v>95</v>
      </c>
      <c r="K55" s="18" t="s">
        <v>7970</v>
      </c>
      <c r="L55" s="18" t="s">
        <v>8410</v>
      </c>
      <c r="M55" s="18" t="s">
        <v>8411</v>
      </c>
      <c r="N55" s="18" t="s">
        <v>8412</v>
      </c>
      <c r="O55" s="18" t="s">
        <v>1691</v>
      </c>
      <c r="P55" s="18" t="s">
        <v>8413</v>
      </c>
      <c r="Q55" s="18" t="s">
        <v>7975</v>
      </c>
      <c r="R55" s="18" t="s">
        <v>7976</v>
      </c>
      <c r="S55" s="18" t="s">
        <v>8045</v>
      </c>
      <c r="T55" s="18" t="s">
        <v>8225</v>
      </c>
      <c r="U55" s="18" t="s">
        <v>8012</v>
      </c>
      <c r="V55" s="18" t="s">
        <v>6963</v>
      </c>
      <c r="W55" s="18" t="s">
        <v>95</v>
      </c>
      <c r="X55" s="18" t="s">
        <v>95</v>
      </c>
      <c r="Y55" s="18" t="s">
        <v>7980</v>
      </c>
      <c r="Z55" s="18" t="s">
        <v>6996</v>
      </c>
      <c r="AA55" s="69">
        <v>1</v>
      </c>
      <c r="AB55" s="18">
        <v>241.07142999999999</v>
      </c>
      <c r="AC55" s="18" t="s">
        <v>8414</v>
      </c>
      <c r="AD55" s="18" t="s">
        <v>7982</v>
      </c>
      <c r="AE55" s="18">
        <v>232</v>
      </c>
      <c r="AF55" s="18" t="s">
        <v>7983</v>
      </c>
      <c r="AG55" s="18">
        <v>232</v>
      </c>
      <c r="AH55" s="18" t="s">
        <v>95</v>
      </c>
      <c r="AI55" s="18" t="s">
        <v>7679</v>
      </c>
      <c r="AJ55" s="18" t="s">
        <v>7680</v>
      </c>
      <c r="AK55" s="18">
        <v>25.15</v>
      </c>
      <c r="AL55" s="18" t="s">
        <v>95</v>
      </c>
      <c r="AM55" s="18" t="s">
        <v>95</v>
      </c>
      <c r="AN55" s="18" t="s">
        <v>7984</v>
      </c>
      <c r="AO55" s="18" t="s">
        <v>139</v>
      </c>
      <c r="AP55" s="20" t="s">
        <v>2159</v>
      </c>
      <c r="AQ55" s="18" t="s">
        <v>2160</v>
      </c>
      <c r="AR55" s="18" t="s">
        <v>496</v>
      </c>
      <c r="AS55" s="18">
        <v>1</v>
      </c>
      <c r="AT55" s="18" t="s">
        <v>177</v>
      </c>
      <c r="AU55" s="18" t="s">
        <v>90</v>
      </c>
      <c r="AV55" s="18" t="s">
        <v>8228</v>
      </c>
      <c r="AW55" s="18" t="s">
        <v>8229</v>
      </c>
      <c r="AX55" s="18" t="s">
        <v>83</v>
      </c>
      <c r="AY55" s="18" t="s">
        <v>95</v>
      </c>
      <c r="AZ55" s="18" t="s">
        <v>95</v>
      </c>
      <c r="BA55" s="18" t="s">
        <v>95</v>
      </c>
      <c r="BB55" s="18" t="s">
        <v>95</v>
      </c>
      <c r="BC55" s="18" t="s">
        <v>215</v>
      </c>
      <c r="BD55" s="18" t="s">
        <v>95</v>
      </c>
      <c r="BE55" s="18" t="s">
        <v>8140</v>
      </c>
      <c r="BF55" s="18" t="s">
        <v>8064</v>
      </c>
      <c r="BG55" s="18" t="s">
        <v>95</v>
      </c>
      <c r="BH55" s="18" t="s">
        <v>95</v>
      </c>
      <c r="BI55" s="18">
        <v>12</v>
      </c>
      <c r="BJ55" s="18">
        <v>2022</v>
      </c>
      <c r="BK55" s="18" t="s">
        <v>95</v>
      </c>
      <c r="BL55" s="18" t="s">
        <v>95</v>
      </c>
      <c r="BM55" s="18" t="s">
        <v>95</v>
      </c>
      <c r="BN55" s="18" t="s">
        <v>85</v>
      </c>
      <c r="BO55" s="18" t="s">
        <v>86</v>
      </c>
      <c r="BP55" s="18" t="s">
        <v>90</v>
      </c>
      <c r="BQ55" s="18" t="s">
        <v>8002</v>
      </c>
      <c r="BR55" s="18" t="s">
        <v>139</v>
      </c>
      <c r="BS55" s="18" t="s">
        <v>8003</v>
      </c>
      <c r="BT55" s="18" t="s">
        <v>7989</v>
      </c>
      <c r="BU55" s="18" t="s">
        <v>496</v>
      </c>
      <c r="BV55" s="18" t="str">
        <f>Terminales[[#This Row],[IMEI]]&amp;"SI"</f>
        <v>356795951172092SI</v>
      </c>
      <c r="BW55" s="18" t="str">
        <f>VLOOKUP(Terminales[[#This Row],[OFICINA_USUARIO]],[1]!Locales[#Data],3,0)</f>
        <v>TIENDA RECREO</v>
      </c>
      <c r="BX55" s="18" t="str">
        <f>VLOOKUP(Terminales[[#This Row],[USUARIO_FINAL]],'[1]Personal Ppto vs Real'!$A:$F,6,0)</f>
        <v>GUEVARA MAZA CRISTIAN FABIAN</v>
      </c>
      <c r="BY5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5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55" s="18">
        <f>DAY(Terminales[[#This Row],[FECHA_FACTURA]])</f>
        <v>4</v>
      </c>
      <c r="CB55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55" s="65">
        <f>IFERROR(IF(AND(Terminales[[#This Row],[CANTIDAD]] = 1,Terminales[[#This Row],[MOVIMIENTO]] = "RENOVACION"),Terminales[[#This Row],[TARIFA_BASICA]]*0.5,),)</f>
        <v>12.574999999999999</v>
      </c>
      <c r="CD55" s="65">
        <f>IF('[1]Resumen TM'!$AW$20 &lt; 0.4,0,Terminales[[#This Row],[MONTO]]*0.02)</f>
        <v>4.8214286</v>
      </c>
      <c r="CE55" s="66">
        <f>Terminales[[#This Row],[COMISIONES TERMINALES]]+Terminales[[#This Row],[COMISIONES RENOVACIONES]]+Terminales[[#This Row],[COMISIONES BONO]]</f>
        <v>41.503571599999994</v>
      </c>
      <c r="CF55" s="67">
        <f>(Terminales[[#This Row],[COMISIONES TERMINALES]]*VLOOKUP(Terminales[[#This Row],[LOCALES]],[1]!Calendario[#Data],3,0))/VLOOKUP(Terminales[[#This Row],[LOCALES]],[1]!Calendario[#Data],2,0)</f>
        <v>39.660138483870966</v>
      </c>
      <c r="CG55" s="67">
        <f>(Terminales[[#This Row],[COMISIONES RENOVACIONES]]*VLOOKUP(Terminales[[#This Row],[LOCALES]],[1]!Calendario[#Data],3,0))/VLOOKUP(Terminales[[#This Row],[LOCALES]],[1]!Calendario[#Data],2,0)</f>
        <v>20.687903225806448</v>
      </c>
      <c r="CH55" s="67">
        <f>(Terminales[[#This Row],[COMISIONES BONO]]*VLOOKUP(Terminales[[#This Row],[LOCALES]],[1]!Calendario[#Data],3,0))/VLOOKUP(Terminales[[#This Row],[LOCALES]],[1]!Calendario[#Data],2,0)</f>
        <v>7.9320276967741936</v>
      </c>
      <c r="CI55" s="67">
        <f>Terminales[[#This Row],[PROY. COM. TERMINALES]]+Terminales[[#This Row],[PROY. COM. RENOV.]]+Terminales[[#This Row],[PROY. COM. 2%]]</f>
        <v>68.280069406451616</v>
      </c>
    </row>
    <row r="56" spans="1:87" x14ac:dyDescent="0.25">
      <c r="A56" s="68">
        <v>44926</v>
      </c>
      <c r="B56" s="68">
        <v>44899</v>
      </c>
      <c r="C56" s="18" t="s">
        <v>291</v>
      </c>
      <c r="D56" s="18" t="s">
        <v>78</v>
      </c>
      <c r="E56" s="18" t="s">
        <v>1532</v>
      </c>
      <c r="F56" s="18" t="s">
        <v>8415</v>
      </c>
      <c r="G56" s="18" t="s">
        <v>292</v>
      </c>
      <c r="H56" s="18" t="s">
        <v>494</v>
      </c>
      <c r="I56" s="18" t="s">
        <v>8416</v>
      </c>
      <c r="J56" s="18" t="s">
        <v>95</v>
      </c>
      <c r="K56" s="18" t="s">
        <v>7970</v>
      </c>
      <c r="L56" s="18" t="s">
        <v>8417</v>
      </c>
      <c r="M56" s="18" t="s">
        <v>8418</v>
      </c>
      <c r="N56" s="18" t="s">
        <v>8419</v>
      </c>
      <c r="O56" s="18" t="s">
        <v>543</v>
      </c>
      <c r="P56" s="18" t="s">
        <v>8420</v>
      </c>
      <c r="Q56" s="18" t="s">
        <v>7975</v>
      </c>
      <c r="R56" s="18" t="s">
        <v>7976</v>
      </c>
      <c r="S56" s="18" t="s">
        <v>7994</v>
      </c>
      <c r="T56" s="18" t="s">
        <v>8245</v>
      </c>
      <c r="U56" s="18" t="s">
        <v>8012</v>
      </c>
      <c r="V56" s="18" t="s">
        <v>6963</v>
      </c>
      <c r="W56" s="18" t="s">
        <v>95</v>
      </c>
      <c r="X56" s="18" t="s">
        <v>95</v>
      </c>
      <c r="Y56" s="18" t="s">
        <v>7980</v>
      </c>
      <c r="Z56" s="18" t="s">
        <v>6996</v>
      </c>
      <c r="AA56" s="69">
        <v>1</v>
      </c>
      <c r="AB56" s="18">
        <v>156.25</v>
      </c>
      <c r="AC56" s="18" t="s">
        <v>8421</v>
      </c>
      <c r="AD56" s="18" t="s">
        <v>7982</v>
      </c>
      <c r="AE56" s="18">
        <v>156</v>
      </c>
      <c r="AF56" s="18" t="s">
        <v>7983</v>
      </c>
      <c r="AG56" s="18">
        <v>156</v>
      </c>
      <c r="AH56" s="18" t="s">
        <v>95</v>
      </c>
      <c r="AI56" s="18" t="s">
        <v>7203</v>
      </c>
      <c r="AJ56" s="18" t="s">
        <v>7204</v>
      </c>
      <c r="AK56" s="18">
        <v>15</v>
      </c>
      <c r="AL56" s="18" t="s">
        <v>95</v>
      </c>
      <c r="AM56" s="18" t="s">
        <v>95</v>
      </c>
      <c r="AN56" s="18" t="s">
        <v>7984</v>
      </c>
      <c r="AO56" s="18" t="s">
        <v>139</v>
      </c>
      <c r="AP56" s="20" t="s">
        <v>369</v>
      </c>
      <c r="AQ56" s="18" t="s">
        <v>370</v>
      </c>
      <c r="AR56" s="18" t="s">
        <v>496</v>
      </c>
      <c r="AS56" s="18">
        <v>1</v>
      </c>
      <c r="AT56" s="18" t="s">
        <v>177</v>
      </c>
      <c r="AU56" s="18" t="s">
        <v>90</v>
      </c>
      <c r="AV56" s="18" t="s">
        <v>8247</v>
      </c>
      <c r="AW56" s="18" t="s">
        <v>8248</v>
      </c>
      <c r="AX56" s="18" t="s">
        <v>83</v>
      </c>
      <c r="AY56" s="18" t="s">
        <v>95</v>
      </c>
      <c r="AZ56" s="18" t="s">
        <v>95</v>
      </c>
      <c r="BA56" s="18" t="s">
        <v>95</v>
      </c>
      <c r="BB56" s="18" t="s">
        <v>95</v>
      </c>
      <c r="BC56" s="18" t="s">
        <v>118</v>
      </c>
      <c r="BD56" s="18" t="s">
        <v>95</v>
      </c>
      <c r="BE56" s="18" t="s">
        <v>8278</v>
      </c>
      <c r="BF56" s="18" t="s">
        <v>8279</v>
      </c>
      <c r="BG56" s="18" t="s">
        <v>95</v>
      </c>
      <c r="BH56" s="18" t="s">
        <v>95</v>
      </c>
      <c r="BI56" s="18">
        <v>12</v>
      </c>
      <c r="BJ56" s="18">
        <v>2022</v>
      </c>
      <c r="BK56" s="18" t="s">
        <v>95</v>
      </c>
      <c r="BL56" s="18" t="s">
        <v>95</v>
      </c>
      <c r="BM56" s="18" t="s">
        <v>95</v>
      </c>
      <c r="BN56" s="18" t="s">
        <v>85</v>
      </c>
      <c r="BO56" s="18" t="s">
        <v>86</v>
      </c>
      <c r="BP56" s="18" t="s">
        <v>90</v>
      </c>
      <c r="BQ56" s="18" t="s">
        <v>8002</v>
      </c>
      <c r="BR56" s="18" t="s">
        <v>139</v>
      </c>
      <c r="BS56" s="18" t="s">
        <v>8003</v>
      </c>
      <c r="BT56" s="18" t="s">
        <v>7989</v>
      </c>
      <c r="BU56" s="18" t="s">
        <v>496</v>
      </c>
      <c r="BV56" s="18" t="str">
        <f>Terminales[[#This Row],[IMEI]]&amp;"SI"</f>
        <v>355108340305970SI</v>
      </c>
      <c r="BW56" s="18" t="str">
        <f>VLOOKUP(Terminales[[#This Row],[OFICINA_USUARIO]],[1]!Locales[#Data],3,0)</f>
        <v>TIENDA RECREO</v>
      </c>
      <c r="BX56" s="18" t="str">
        <f>VLOOKUP(Terminales[[#This Row],[USUARIO_FINAL]],'[1]Personal Ppto vs Real'!$A:$F,6,0)</f>
        <v>GUAIGUA REINOSO GENESIS CAROLINA</v>
      </c>
      <c r="BY5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5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56" s="18">
        <f>DAY(Terminales[[#This Row],[FECHA_FACTURA]])</f>
        <v>4</v>
      </c>
      <c r="CB56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56" s="65">
        <f>IFERROR(IF(AND(Terminales[[#This Row],[CANTIDAD]] = 1,Terminales[[#This Row],[MOVIMIENTO]] = "RENOVACION"),Terminales[[#This Row],[TARIFA_BASICA]]*0.5,),)</f>
        <v>7.5</v>
      </c>
      <c r="CD56" s="65">
        <f>IF('[1]Resumen TM'!$AW$20 &lt; 0.4,0,Terminales[[#This Row],[MONTO]]*0.02)</f>
        <v>3.125</v>
      </c>
      <c r="CE56" s="66">
        <f>Terminales[[#This Row],[COMISIONES TERMINALES]]+Terminales[[#This Row],[COMISIONES RENOVACIONES]]+Terminales[[#This Row],[COMISIONES BONO]]</f>
        <v>26.25</v>
      </c>
      <c r="CF56" s="67">
        <f>(Terminales[[#This Row],[COMISIONES TERMINALES]]*VLOOKUP(Terminales[[#This Row],[LOCALES]],[1]!Calendario[#Data],3,0))/VLOOKUP(Terminales[[#This Row],[LOCALES]],[1]!Calendario[#Data],2,0)</f>
        <v>25.705645161290324</v>
      </c>
      <c r="CG56" s="67">
        <f>(Terminales[[#This Row],[COMISIONES RENOVACIONES]]*VLOOKUP(Terminales[[#This Row],[LOCALES]],[1]!Calendario[#Data],3,0))/VLOOKUP(Terminales[[#This Row],[LOCALES]],[1]!Calendario[#Data],2,0)</f>
        <v>12.338709677419354</v>
      </c>
      <c r="CH56" s="67">
        <f>(Terminales[[#This Row],[COMISIONES BONO]]*VLOOKUP(Terminales[[#This Row],[LOCALES]],[1]!Calendario[#Data],3,0))/VLOOKUP(Terminales[[#This Row],[LOCALES]],[1]!Calendario[#Data],2,0)</f>
        <v>5.1411290322580649</v>
      </c>
      <c r="CI56" s="67">
        <f>Terminales[[#This Row],[PROY. COM. TERMINALES]]+Terminales[[#This Row],[PROY. COM. RENOV.]]+Terminales[[#This Row],[PROY. COM. 2%]]</f>
        <v>43.185483870967744</v>
      </c>
    </row>
    <row r="57" spans="1:87" x14ac:dyDescent="0.25">
      <c r="A57" s="68">
        <v>44926</v>
      </c>
      <c r="B57" s="68">
        <v>44899</v>
      </c>
      <c r="C57" s="18" t="s">
        <v>291</v>
      </c>
      <c r="D57" s="18" t="s">
        <v>78</v>
      </c>
      <c r="E57" s="18" t="s">
        <v>164</v>
      </c>
      <c r="F57" s="18" t="s">
        <v>5740</v>
      </c>
      <c r="G57" s="18" t="s">
        <v>292</v>
      </c>
      <c r="H57" s="18" t="s">
        <v>494</v>
      </c>
      <c r="I57" s="18" t="s">
        <v>8422</v>
      </c>
      <c r="J57" s="18" t="s">
        <v>95</v>
      </c>
      <c r="K57" s="18" t="s">
        <v>7970</v>
      </c>
      <c r="L57" s="18" t="s">
        <v>5741</v>
      </c>
      <c r="M57" s="18" t="s">
        <v>5742</v>
      </c>
      <c r="N57" s="18" t="s">
        <v>5743</v>
      </c>
      <c r="O57" s="18" t="s">
        <v>543</v>
      </c>
      <c r="P57" s="18" t="s">
        <v>5744</v>
      </c>
      <c r="Q57" s="18" t="s">
        <v>7975</v>
      </c>
      <c r="R57" s="18" t="s">
        <v>7976</v>
      </c>
      <c r="S57" s="18" t="s">
        <v>7994</v>
      </c>
      <c r="T57" s="18" t="s">
        <v>8245</v>
      </c>
      <c r="U57" s="18" t="s">
        <v>8012</v>
      </c>
      <c r="V57" s="18" t="s">
        <v>6963</v>
      </c>
      <c r="W57" s="18" t="s">
        <v>95</v>
      </c>
      <c r="X57" s="18" t="s">
        <v>95</v>
      </c>
      <c r="Y57" s="18" t="s">
        <v>7980</v>
      </c>
      <c r="Z57" s="18" t="s">
        <v>6996</v>
      </c>
      <c r="AA57" s="69">
        <v>1</v>
      </c>
      <c r="AB57" s="18">
        <v>156.25</v>
      </c>
      <c r="AC57" s="18" t="s">
        <v>8423</v>
      </c>
      <c r="AD57" s="18" t="s">
        <v>8151</v>
      </c>
      <c r="AE57" s="18">
        <v>156</v>
      </c>
      <c r="AF57" s="18" t="s">
        <v>7983</v>
      </c>
      <c r="AG57" s="18">
        <v>156</v>
      </c>
      <c r="AH57" s="18" t="s">
        <v>95</v>
      </c>
      <c r="AI57" s="18" t="s">
        <v>71</v>
      </c>
      <c r="AJ57" s="18" t="s">
        <v>258</v>
      </c>
      <c r="AK57" s="18">
        <v>11.42</v>
      </c>
      <c r="AL57" s="18" t="s">
        <v>95</v>
      </c>
      <c r="AM57" s="18" t="s">
        <v>95</v>
      </c>
      <c r="AN57" s="18" t="s">
        <v>7984</v>
      </c>
      <c r="AO57" s="18" t="s">
        <v>139</v>
      </c>
      <c r="AP57" s="20" t="s">
        <v>175</v>
      </c>
      <c r="AQ57" s="18" t="s">
        <v>176</v>
      </c>
      <c r="AR57" s="18" t="s">
        <v>496</v>
      </c>
      <c r="AS57" s="18">
        <v>1</v>
      </c>
      <c r="AT57" s="18" t="s">
        <v>177</v>
      </c>
      <c r="AU57" s="18" t="s">
        <v>90</v>
      </c>
      <c r="AV57" s="18" t="s">
        <v>8247</v>
      </c>
      <c r="AW57" s="18" t="s">
        <v>8248</v>
      </c>
      <c r="AX57" s="18" t="s">
        <v>83</v>
      </c>
      <c r="AY57" s="18" t="s">
        <v>95</v>
      </c>
      <c r="AZ57" s="18" t="s">
        <v>95</v>
      </c>
      <c r="BA57" s="18" t="s">
        <v>95</v>
      </c>
      <c r="BB57" s="18" t="s">
        <v>95</v>
      </c>
      <c r="BC57" s="18" t="s">
        <v>215</v>
      </c>
      <c r="BD57" s="18" t="s">
        <v>95</v>
      </c>
      <c r="BE57" s="18" t="s">
        <v>8000</v>
      </c>
      <c r="BF57" s="18" t="s">
        <v>8171</v>
      </c>
      <c r="BG57" s="18" t="s">
        <v>95</v>
      </c>
      <c r="BH57" s="18" t="s">
        <v>95</v>
      </c>
      <c r="BI57" s="18">
        <v>12</v>
      </c>
      <c r="BJ57" s="18">
        <v>2022</v>
      </c>
      <c r="BK57" s="18" t="s">
        <v>95</v>
      </c>
      <c r="BL57" s="18" t="s">
        <v>95</v>
      </c>
      <c r="BM57" s="18" t="s">
        <v>95</v>
      </c>
      <c r="BN57" s="18" t="s">
        <v>85</v>
      </c>
      <c r="BO57" s="18" t="s">
        <v>86</v>
      </c>
      <c r="BP57" s="18" t="s">
        <v>90</v>
      </c>
      <c r="BQ57" s="18" t="s">
        <v>8002</v>
      </c>
      <c r="BR57" s="18" t="s">
        <v>139</v>
      </c>
      <c r="BS57" s="18" t="s">
        <v>8003</v>
      </c>
      <c r="BT57" s="18" t="s">
        <v>7989</v>
      </c>
      <c r="BU57" s="18" t="s">
        <v>496</v>
      </c>
      <c r="BV57" s="18" t="str">
        <f>Terminales[[#This Row],[IMEI]]&amp;"SI"</f>
        <v>355108340318833SI</v>
      </c>
      <c r="BW57" s="18" t="str">
        <f>VLOOKUP(Terminales[[#This Row],[OFICINA_USUARIO]],[1]!Locales[#Data],3,0)</f>
        <v>TIENDA RECREO</v>
      </c>
      <c r="BX57" s="18" t="str">
        <f>VLOOKUP(Terminales[[#This Row],[USUARIO_FINAL]],'[1]Personal Ppto vs Real'!$A:$F,6,0)</f>
        <v>VARGAS REYES LUIS EDUARDO</v>
      </c>
      <c r="BY57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5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57" s="18">
        <f>DAY(Terminales[[#This Row],[FECHA_FACTURA]])</f>
        <v>4</v>
      </c>
      <c r="CB57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57" s="65">
        <f>IFERROR(IF(AND(Terminales[[#This Row],[CANTIDAD]] = 1,Terminales[[#This Row],[MOVIMIENTO]] = "RENOVACION"),Terminales[[#This Row],[TARIFA_BASICA]]*0.5,),)</f>
        <v>0</v>
      </c>
      <c r="CD57" s="65">
        <f>IF('[1]Resumen TM'!$AW$20 &lt; 0.4,0,Terminales[[#This Row],[MONTO]]*0.02)</f>
        <v>3.125</v>
      </c>
      <c r="CE57" s="66">
        <f>Terminales[[#This Row],[COMISIONES TERMINALES]]+Terminales[[#This Row],[COMISIONES RENOVACIONES]]+Terminales[[#This Row],[COMISIONES BONO]]</f>
        <v>18.75</v>
      </c>
      <c r="CF57" s="67">
        <f>(Terminales[[#This Row],[COMISIONES TERMINALES]]*VLOOKUP(Terminales[[#This Row],[LOCALES]],[1]!Calendario[#Data],3,0))/VLOOKUP(Terminales[[#This Row],[LOCALES]],[1]!Calendario[#Data],2,0)</f>
        <v>25.705645161290324</v>
      </c>
      <c r="CG57" s="67">
        <f>(Terminales[[#This Row],[COMISIONES RENOVACIONES]]*VLOOKUP(Terminales[[#This Row],[LOCALES]],[1]!Calendario[#Data],3,0))/VLOOKUP(Terminales[[#This Row],[LOCALES]],[1]!Calendario[#Data],2,0)</f>
        <v>0</v>
      </c>
      <c r="CH57" s="67">
        <f>(Terminales[[#This Row],[COMISIONES BONO]]*VLOOKUP(Terminales[[#This Row],[LOCALES]],[1]!Calendario[#Data],3,0))/VLOOKUP(Terminales[[#This Row],[LOCALES]],[1]!Calendario[#Data],2,0)</f>
        <v>5.1411290322580649</v>
      </c>
      <c r="CI57" s="67">
        <f>Terminales[[#This Row],[PROY. COM. TERMINALES]]+Terminales[[#This Row],[PROY. COM. RENOV.]]+Terminales[[#This Row],[PROY. COM. 2%]]</f>
        <v>30.846774193548388</v>
      </c>
    </row>
    <row r="58" spans="1:87" x14ac:dyDescent="0.25">
      <c r="A58" s="68">
        <v>44926</v>
      </c>
      <c r="B58" s="68">
        <v>44899</v>
      </c>
      <c r="C58" s="18" t="s">
        <v>96</v>
      </c>
      <c r="D58" s="18" t="s">
        <v>96</v>
      </c>
      <c r="E58" s="18" t="s">
        <v>96</v>
      </c>
      <c r="F58" s="18" t="s">
        <v>8424</v>
      </c>
      <c r="G58" s="18" t="s">
        <v>292</v>
      </c>
      <c r="H58" s="18" t="s">
        <v>494</v>
      </c>
      <c r="I58" s="18" t="s">
        <v>8425</v>
      </c>
      <c r="J58" s="18" t="s">
        <v>95</v>
      </c>
      <c r="K58" s="18" t="s">
        <v>7970</v>
      </c>
      <c r="L58" s="18" t="s">
        <v>8426</v>
      </c>
      <c r="M58" s="18" t="s">
        <v>8427</v>
      </c>
      <c r="N58" s="18" t="s">
        <v>8428</v>
      </c>
      <c r="O58" s="18" t="s">
        <v>543</v>
      </c>
      <c r="P58" s="18" t="s">
        <v>8429</v>
      </c>
      <c r="Q58" s="18" t="s">
        <v>7975</v>
      </c>
      <c r="R58" s="18" t="s">
        <v>7976</v>
      </c>
      <c r="S58" s="18" t="s">
        <v>7994</v>
      </c>
      <c r="T58" s="18" t="s">
        <v>8245</v>
      </c>
      <c r="U58" s="18" t="s">
        <v>8012</v>
      </c>
      <c r="V58" s="18" t="s">
        <v>6963</v>
      </c>
      <c r="W58" s="18" t="s">
        <v>95</v>
      </c>
      <c r="X58" s="18" t="s">
        <v>95</v>
      </c>
      <c r="Y58" s="18" t="s">
        <v>7980</v>
      </c>
      <c r="Z58" s="18" t="s">
        <v>6996</v>
      </c>
      <c r="AA58" s="69">
        <v>1</v>
      </c>
      <c r="AB58" s="18">
        <v>156.25</v>
      </c>
      <c r="AC58" s="18" t="s">
        <v>8430</v>
      </c>
      <c r="AD58" s="18" t="s">
        <v>96</v>
      </c>
      <c r="AE58" s="18">
        <v>156</v>
      </c>
      <c r="AF58" s="18" t="s">
        <v>7983</v>
      </c>
      <c r="AG58" s="18">
        <v>156</v>
      </c>
      <c r="AH58" s="18" t="s">
        <v>95</v>
      </c>
      <c r="AI58" s="18" t="s">
        <v>8102</v>
      </c>
      <c r="AJ58" s="18" t="s">
        <v>8103</v>
      </c>
      <c r="AK58" s="18" t="s">
        <v>95</v>
      </c>
      <c r="AL58" s="18" t="s">
        <v>95</v>
      </c>
      <c r="AM58" s="18" t="s">
        <v>95</v>
      </c>
      <c r="AN58" s="18" t="s">
        <v>7984</v>
      </c>
      <c r="AO58" s="18" t="s">
        <v>139</v>
      </c>
      <c r="AP58" s="20" t="s">
        <v>769</v>
      </c>
      <c r="AQ58" s="18" t="s">
        <v>770</v>
      </c>
      <c r="AR58" s="18" t="s">
        <v>496</v>
      </c>
      <c r="AS58" s="18">
        <v>1</v>
      </c>
      <c r="AT58" s="18" t="s">
        <v>235</v>
      </c>
      <c r="AU58" s="18" t="s">
        <v>90</v>
      </c>
      <c r="AV58" s="18" t="s">
        <v>8247</v>
      </c>
      <c r="AW58" s="18" t="s">
        <v>8248</v>
      </c>
      <c r="AX58" s="18" t="s">
        <v>83</v>
      </c>
      <c r="AY58" s="18" t="s">
        <v>95</v>
      </c>
      <c r="AZ58" s="18" t="s">
        <v>95</v>
      </c>
      <c r="BA58" s="18" t="s">
        <v>95</v>
      </c>
      <c r="BB58" s="18" t="s">
        <v>95</v>
      </c>
      <c r="BC58" s="18" t="s">
        <v>118</v>
      </c>
      <c r="BD58" s="18" t="s">
        <v>95</v>
      </c>
      <c r="BE58" s="18" t="s">
        <v>95</v>
      </c>
      <c r="BF58" s="18" t="s">
        <v>95</v>
      </c>
      <c r="BG58" s="18" t="s">
        <v>95</v>
      </c>
      <c r="BH58" s="18" t="s">
        <v>95</v>
      </c>
      <c r="BI58" s="18">
        <v>12</v>
      </c>
      <c r="BJ58" s="18">
        <v>2022</v>
      </c>
      <c r="BK58" s="18" t="s">
        <v>95</v>
      </c>
      <c r="BL58" s="18" t="s">
        <v>95</v>
      </c>
      <c r="BM58" s="18" t="s">
        <v>95</v>
      </c>
      <c r="BN58" s="18" t="s">
        <v>85</v>
      </c>
      <c r="BO58" s="18" t="s">
        <v>86</v>
      </c>
      <c r="BP58" s="18" t="s">
        <v>90</v>
      </c>
      <c r="BQ58" s="18" t="s">
        <v>8016</v>
      </c>
      <c r="BR58" s="18" t="s">
        <v>139</v>
      </c>
      <c r="BS58" s="18" t="s">
        <v>8074</v>
      </c>
      <c r="BT58" s="18" t="s">
        <v>7989</v>
      </c>
      <c r="BU58" s="18" t="s">
        <v>496</v>
      </c>
      <c r="BV58" s="18" t="str">
        <f>Terminales[[#This Row],[IMEI]]&amp;"SI"</f>
        <v>355108340319831SI</v>
      </c>
      <c r="BW58" s="18" t="str">
        <f>VLOOKUP(Terminales[[#This Row],[OFICINA_USUARIO]],[1]!Locales[#Data],3,0)</f>
        <v>TIENDA CONDADO</v>
      </c>
      <c r="BX58" s="18" t="str">
        <f>VLOOKUP(Terminales[[#This Row],[USUARIO_FINAL]],'[1]Personal Ppto vs Real'!$A:$F,6,0)</f>
        <v>ROJAS VEGA JHOSMERY MICHELE</v>
      </c>
      <c r="BY58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5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58" s="18">
        <f>DAY(Terminales[[#This Row],[FECHA_FACTURA]])</f>
        <v>4</v>
      </c>
      <c r="CB58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58" s="65">
        <f>IFERROR(IF(AND(Terminales[[#This Row],[CANTIDAD]] = 1,Terminales[[#This Row],[MOVIMIENTO]] = "RENOVACION"),Terminales[[#This Row],[TARIFA_BASICA]]*0.5,),)</f>
        <v>0</v>
      </c>
      <c r="CD58" s="65">
        <f>IF('[1]Resumen TM'!$AW$20 &lt; 0.4,0,Terminales[[#This Row],[MONTO]]*0.02)</f>
        <v>3.125</v>
      </c>
      <c r="CE58" s="66">
        <f>Terminales[[#This Row],[COMISIONES TERMINALES]]+Terminales[[#This Row],[COMISIONES RENOVACIONES]]+Terminales[[#This Row],[COMISIONES BONO]]</f>
        <v>18.75</v>
      </c>
      <c r="CF58" s="67">
        <f>(Terminales[[#This Row],[COMISIONES TERMINALES]]*VLOOKUP(Terminales[[#This Row],[LOCALES]],[1]!Calendario[#Data],3,0))/VLOOKUP(Terminales[[#This Row],[LOCALES]],[1]!Calendario[#Data],2,0)</f>
        <v>25.705645161290324</v>
      </c>
      <c r="CG58" s="67">
        <f>(Terminales[[#This Row],[COMISIONES RENOVACIONES]]*VLOOKUP(Terminales[[#This Row],[LOCALES]],[1]!Calendario[#Data],3,0))/VLOOKUP(Terminales[[#This Row],[LOCALES]],[1]!Calendario[#Data],2,0)</f>
        <v>0</v>
      </c>
      <c r="CH58" s="67">
        <f>(Terminales[[#This Row],[COMISIONES BONO]]*VLOOKUP(Terminales[[#This Row],[LOCALES]],[1]!Calendario[#Data],3,0))/VLOOKUP(Terminales[[#This Row],[LOCALES]],[1]!Calendario[#Data],2,0)</f>
        <v>5.1411290322580649</v>
      </c>
      <c r="CI58" s="67">
        <f>Terminales[[#This Row],[PROY. COM. TERMINALES]]+Terminales[[#This Row],[PROY. COM. RENOV.]]+Terminales[[#This Row],[PROY. COM. 2%]]</f>
        <v>30.846774193548388</v>
      </c>
    </row>
    <row r="59" spans="1:87" x14ac:dyDescent="0.25">
      <c r="A59" s="68">
        <v>44926</v>
      </c>
      <c r="B59" s="68">
        <v>44899</v>
      </c>
      <c r="C59" s="18" t="s">
        <v>291</v>
      </c>
      <c r="D59" s="18" t="s">
        <v>78</v>
      </c>
      <c r="E59" s="18" t="s">
        <v>164</v>
      </c>
      <c r="F59" s="18" t="s">
        <v>3293</v>
      </c>
      <c r="G59" s="18" t="s">
        <v>292</v>
      </c>
      <c r="H59" s="18" t="s">
        <v>293</v>
      </c>
      <c r="I59" s="18" t="s">
        <v>8431</v>
      </c>
      <c r="J59" s="18" t="s">
        <v>95</v>
      </c>
      <c r="K59" s="18" t="s">
        <v>7970</v>
      </c>
      <c r="L59" s="18" t="s">
        <v>3294</v>
      </c>
      <c r="M59" s="18" t="s">
        <v>3295</v>
      </c>
      <c r="N59" s="18" t="s">
        <v>3296</v>
      </c>
      <c r="O59" s="18" t="s">
        <v>3299</v>
      </c>
      <c r="P59" s="18" t="s">
        <v>3297</v>
      </c>
      <c r="Q59" s="18" t="s">
        <v>7975</v>
      </c>
      <c r="R59" s="18" t="s">
        <v>7976</v>
      </c>
      <c r="S59" s="18" t="s">
        <v>8070</v>
      </c>
      <c r="T59" s="18" t="s">
        <v>8189</v>
      </c>
      <c r="U59" s="18" t="s">
        <v>8100</v>
      </c>
      <c r="V59" s="18" t="s">
        <v>6963</v>
      </c>
      <c r="W59" s="18" t="s">
        <v>95</v>
      </c>
      <c r="X59" s="18" t="s">
        <v>95</v>
      </c>
      <c r="Y59" s="18" t="s">
        <v>7980</v>
      </c>
      <c r="Z59" s="18" t="s">
        <v>6996</v>
      </c>
      <c r="AA59" s="69">
        <v>1</v>
      </c>
      <c r="AB59" s="18">
        <v>549.10713999999996</v>
      </c>
      <c r="AC59" s="18" t="s">
        <v>8432</v>
      </c>
      <c r="AD59" s="18" t="s">
        <v>8151</v>
      </c>
      <c r="AE59" s="18">
        <v>399.99</v>
      </c>
      <c r="AF59" s="18" t="s">
        <v>7983</v>
      </c>
      <c r="AG59" s="18">
        <v>399.99</v>
      </c>
      <c r="AH59" s="18" t="s">
        <v>95</v>
      </c>
      <c r="AI59" s="18" t="s">
        <v>112</v>
      </c>
      <c r="AJ59" s="18" t="s">
        <v>781</v>
      </c>
      <c r="AK59" s="18">
        <v>17.850000000000001</v>
      </c>
      <c r="AL59" s="18" t="s">
        <v>95</v>
      </c>
      <c r="AM59" s="18" t="s">
        <v>95</v>
      </c>
      <c r="AN59" s="18" t="s">
        <v>7984</v>
      </c>
      <c r="AO59" s="18" t="s">
        <v>139</v>
      </c>
      <c r="AP59" s="20" t="s">
        <v>280</v>
      </c>
      <c r="AQ59" s="18" t="s">
        <v>281</v>
      </c>
      <c r="AR59" s="18" t="s">
        <v>295</v>
      </c>
      <c r="AS59" s="18">
        <v>6</v>
      </c>
      <c r="AT59" s="18" t="s">
        <v>235</v>
      </c>
      <c r="AU59" s="18" t="s">
        <v>90</v>
      </c>
      <c r="AV59" s="18" t="s">
        <v>8191</v>
      </c>
      <c r="AW59" s="18" t="s">
        <v>8192</v>
      </c>
      <c r="AX59" s="18" t="s">
        <v>83</v>
      </c>
      <c r="AY59" s="18" t="s">
        <v>95</v>
      </c>
      <c r="AZ59" s="18" t="s">
        <v>95</v>
      </c>
      <c r="BA59" s="18" t="s">
        <v>95</v>
      </c>
      <c r="BB59" s="18" t="s">
        <v>95</v>
      </c>
      <c r="BC59" s="18" t="s">
        <v>84</v>
      </c>
      <c r="BD59" s="18">
        <v>110</v>
      </c>
      <c r="BE59" s="18" t="s">
        <v>95</v>
      </c>
      <c r="BF59" s="18" t="s">
        <v>95</v>
      </c>
      <c r="BG59" s="18" t="s">
        <v>95</v>
      </c>
      <c r="BH59" s="18" t="s">
        <v>95</v>
      </c>
      <c r="BI59" s="18">
        <v>12</v>
      </c>
      <c r="BJ59" s="18">
        <v>2022</v>
      </c>
      <c r="BK59" s="18" t="s">
        <v>95</v>
      </c>
      <c r="BL59" s="18" t="s">
        <v>95</v>
      </c>
      <c r="BM59" s="18" t="s">
        <v>95</v>
      </c>
      <c r="BN59" s="18" t="s">
        <v>85</v>
      </c>
      <c r="BO59" s="18" t="s">
        <v>86</v>
      </c>
      <c r="BP59" s="18" t="s">
        <v>90</v>
      </c>
      <c r="BQ59" s="18" t="s">
        <v>8016</v>
      </c>
      <c r="BR59" s="18" t="s">
        <v>139</v>
      </c>
      <c r="BS59" s="18" t="s">
        <v>8027</v>
      </c>
      <c r="BT59" s="18" t="s">
        <v>7989</v>
      </c>
      <c r="BU59" s="18" t="s">
        <v>7990</v>
      </c>
      <c r="BV59" s="18" t="str">
        <f>Terminales[[#This Row],[IMEI]]&amp;"SI"</f>
        <v>868214060751144SI</v>
      </c>
      <c r="BW59" s="18" t="str">
        <f>VLOOKUP(Terminales[[#This Row],[OFICINA_USUARIO]],[1]!Locales[#Data],3,0)</f>
        <v>TIENDA CONDADO</v>
      </c>
      <c r="BX59" s="18" t="str">
        <f>VLOOKUP(Terminales[[#This Row],[USUARIO_FINAL]],'[1]Personal Ppto vs Real'!$A:$F,6,0)</f>
        <v>GUACHAMIN CAZA HUGO ADRIAN</v>
      </c>
      <c r="BY59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5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59" s="18">
        <f>DAY(Terminales[[#This Row],[FECHA_FACTURA]])</f>
        <v>4</v>
      </c>
      <c r="CB59" s="65">
        <f>IF(Terminales[[#This Row],[CANTIDAD]] = 1,INDEX([1]!Comisiones[#Data],MATCH("Terminales",[1]!Comisiones[Producto],0),MATCH(Terminales[[#This Row],[TIPO ALTA COMISIONES]],[1]!Comisiones[#Headers],0))*Terminales[[#This Row],[MONTO]],0)</f>
        <v>43.9285712</v>
      </c>
      <c r="CC59" s="65">
        <f>IFERROR(IF(AND(Terminales[[#This Row],[CANTIDAD]] = 1,Terminales[[#This Row],[MOVIMIENTO]] = "RENOVACION"),Terminales[[#This Row],[TARIFA_BASICA]]*0.5,),)</f>
        <v>0</v>
      </c>
      <c r="CD59" s="65">
        <f>IF('[1]Resumen TM'!$AW$20 &lt; 0.4,0,Terminales[[#This Row],[MONTO]]*0.02)</f>
        <v>10.9821428</v>
      </c>
      <c r="CE59" s="66">
        <f>Terminales[[#This Row],[COMISIONES TERMINALES]]+Terminales[[#This Row],[COMISIONES RENOVACIONES]]+Terminales[[#This Row],[COMISIONES BONO]]</f>
        <v>54.910713999999999</v>
      </c>
      <c r="CF59" s="67">
        <f>(Terminales[[#This Row],[COMISIONES TERMINALES]]*VLOOKUP(Terminales[[#This Row],[LOCALES]],[1]!Calendario[#Data],3,0))/VLOOKUP(Terminales[[#This Row],[LOCALES]],[1]!Calendario[#Data],2,0)</f>
        <v>72.269584877419348</v>
      </c>
      <c r="CG59" s="67">
        <f>(Terminales[[#This Row],[COMISIONES RENOVACIONES]]*VLOOKUP(Terminales[[#This Row],[LOCALES]],[1]!Calendario[#Data],3,0))/VLOOKUP(Terminales[[#This Row],[LOCALES]],[1]!Calendario[#Data],2,0)</f>
        <v>0</v>
      </c>
      <c r="CH59" s="67">
        <f>(Terminales[[#This Row],[COMISIONES BONO]]*VLOOKUP(Terminales[[#This Row],[LOCALES]],[1]!Calendario[#Data],3,0))/VLOOKUP(Terminales[[#This Row],[LOCALES]],[1]!Calendario[#Data],2,0)</f>
        <v>18.067396219354837</v>
      </c>
      <c r="CI59" s="67">
        <f>Terminales[[#This Row],[PROY. COM. TERMINALES]]+Terminales[[#This Row],[PROY. COM. RENOV.]]+Terminales[[#This Row],[PROY. COM. 2%]]</f>
        <v>90.336981096774181</v>
      </c>
    </row>
    <row r="60" spans="1:87" x14ac:dyDescent="0.25">
      <c r="A60" s="68">
        <v>44926</v>
      </c>
      <c r="B60" s="68">
        <v>44899</v>
      </c>
      <c r="C60" s="18" t="s">
        <v>291</v>
      </c>
      <c r="D60" s="18" t="s">
        <v>78</v>
      </c>
      <c r="E60" s="18" t="s">
        <v>2241</v>
      </c>
      <c r="F60" s="18" t="s">
        <v>8433</v>
      </c>
      <c r="G60" s="18" t="s">
        <v>292</v>
      </c>
      <c r="H60" s="18" t="s">
        <v>494</v>
      </c>
      <c r="I60" s="18" t="s">
        <v>8434</v>
      </c>
      <c r="J60" s="18" t="s">
        <v>95</v>
      </c>
      <c r="K60" s="18" t="s">
        <v>7970</v>
      </c>
      <c r="L60" s="18" t="s">
        <v>8435</v>
      </c>
      <c r="M60" s="18" t="s">
        <v>8436</v>
      </c>
      <c r="N60" s="18" t="s">
        <v>8437</v>
      </c>
      <c r="O60" s="18" t="s">
        <v>8438</v>
      </c>
      <c r="P60" s="18" t="s">
        <v>8439</v>
      </c>
      <c r="Q60" s="18" t="s">
        <v>7975</v>
      </c>
      <c r="R60" s="18" t="s">
        <v>7976</v>
      </c>
      <c r="S60" s="18" t="s">
        <v>8070</v>
      </c>
      <c r="T60" s="18" t="s">
        <v>8364</v>
      </c>
      <c r="U60" s="18" t="s">
        <v>8012</v>
      </c>
      <c r="V60" s="18" t="s">
        <v>6963</v>
      </c>
      <c r="W60" s="18" t="s">
        <v>95</v>
      </c>
      <c r="X60" s="18" t="s">
        <v>95</v>
      </c>
      <c r="Y60" s="18" t="s">
        <v>7980</v>
      </c>
      <c r="Z60" s="18" t="s">
        <v>6996</v>
      </c>
      <c r="AA60" s="69">
        <v>1</v>
      </c>
      <c r="AB60" s="18">
        <v>281.25</v>
      </c>
      <c r="AC60" s="18" t="s">
        <v>8440</v>
      </c>
      <c r="AD60" s="18" t="s">
        <v>7982</v>
      </c>
      <c r="AE60" s="18">
        <v>259.99</v>
      </c>
      <c r="AF60" s="18" t="s">
        <v>7983</v>
      </c>
      <c r="AG60" s="18">
        <v>259.99</v>
      </c>
      <c r="AH60" s="18" t="s">
        <v>95</v>
      </c>
      <c r="AI60" s="18" t="s">
        <v>71</v>
      </c>
      <c r="AJ60" s="18" t="s">
        <v>258</v>
      </c>
      <c r="AK60" s="18">
        <v>11.42</v>
      </c>
      <c r="AL60" s="18" t="s">
        <v>95</v>
      </c>
      <c r="AM60" s="18" t="s">
        <v>95</v>
      </c>
      <c r="AN60" s="18" t="s">
        <v>7984</v>
      </c>
      <c r="AO60" s="18" t="s">
        <v>139</v>
      </c>
      <c r="AP60" s="20" t="s">
        <v>369</v>
      </c>
      <c r="AQ60" s="18" t="s">
        <v>370</v>
      </c>
      <c r="AR60" s="18" t="s">
        <v>496</v>
      </c>
      <c r="AS60" s="18">
        <v>1</v>
      </c>
      <c r="AT60" s="18" t="s">
        <v>177</v>
      </c>
      <c r="AU60" s="18" t="s">
        <v>90</v>
      </c>
      <c r="AV60" s="18" t="s">
        <v>8441</v>
      </c>
      <c r="AW60" s="18" t="s">
        <v>8442</v>
      </c>
      <c r="AX60" s="18" t="s">
        <v>83</v>
      </c>
      <c r="AY60" s="18" t="s">
        <v>95</v>
      </c>
      <c r="AZ60" s="18" t="s">
        <v>95</v>
      </c>
      <c r="BA60" s="18" t="s">
        <v>95</v>
      </c>
      <c r="BB60" s="18" t="s">
        <v>95</v>
      </c>
      <c r="BC60" s="18" t="s">
        <v>118</v>
      </c>
      <c r="BD60" s="18" t="s">
        <v>95</v>
      </c>
      <c r="BE60" s="18" t="s">
        <v>8140</v>
      </c>
      <c r="BF60" s="18" t="s">
        <v>8064</v>
      </c>
      <c r="BG60" s="18" t="s">
        <v>95</v>
      </c>
      <c r="BH60" s="18" t="s">
        <v>95</v>
      </c>
      <c r="BI60" s="18">
        <v>12</v>
      </c>
      <c r="BJ60" s="18">
        <v>2022</v>
      </c>
      <c r="BK60" s="18" t="s">
        <v>95</v>
      </c>
      <c r="BL60" s="18" t="s">
        <v>95</v>
      </c>
      <c r="BM60" s="18" t="s">
        <v>95</v>
      </c>
      <c r="BN60" s="18" t="s">
        <v>85</v>
      </c>
      <c r="BO60" s="18" t="s">
        <v>86</v>
      </c>
      <c r="BP60" s="18" t="s">
        <v>90</v>
      </c>
      <c r="BQ60" s="18" t="s">
        <v>8002</v>
      </c>
      <c r="BR60" s="18" t="s">
        <v>139</v>
      </c>
      <c r="BS60" s="18" t="s">
        <v>8003</v>
      </c>
      <c r="BT60" s="18" t="s">
        <v>7989</v>
      </c>
      <c r="BU60" s="18" t="s">
        <v>496</v>
      </c>
      <c r="BV60" s="18" t="str">
        <f>Terminales[[#This Row],[IMEI]]&amp;"SI"</f>
        <v>865954062608841SI</v>
      </c>
      <c r="BW60" s="18" t="str">
        <f>VLOOKUP(Terminales[[#This Row],[OFICINA_USUARIO]],[1]!Locales[#Data],3,0)</f>
        <v>TIENDA RECREO</v>
      </c>
      <c r="BX60" s="18" t="str">
        <f>VLOOKUP(Terminales[[#This Row],[USUARIO_FINAL]],'[1]Personal Ppto vs Real'!$A:$F,6,0)</f>
        <v>GUAIGUA REINOSO GENESIS CAROLINA</v>
      </c>
      <c r="BY6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6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60" s="18">
        <f>DAY(Terminales[[#This Row],[FECHA_FACTURA]])</f>
        <v>4</v>
      </c>
      <c r="CB60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60" s="65">
        <f>IFERROR(IF(AND(Terminales[[#This Row],[CANTIDAD]] = 1,Terminales[[#This Row],[MOVIMIENTO]] = "RENOVACION"),Terminales[[#This Row],[TARIFA_BASICA]]*0.5,),)</f>
        <v>5.71</v>
      </c>
      <c r="CD60" s="65">
        <f>IF('[1]Resumen TM'!$AW$20 &lt; 0.4,0,Terminales[[#This Row],[MONTO]]*0.02)</f>
        <v>5.625</v>
      </c>
      <c r="CE60" s="66">
        <f>Terminales[[#This Row],[COMISIONES TERMINALES]]+Terminales[[#This Row],[COMISIONES RENOVACIONES]]+Terminales[[#This Row],[COMISIONES BONO]]</f>
        <v>39.46</v>
      </c>
      <c r="CF60" s="67">
        <f>(Terminales[[#This Row],[COMISIONES TERMINALES]]*VLOOKUP(Terminales[[#This Row],[LOCALES]],[1]!Calendario[#Data],3,0))/VLOOKUP(Terminales[[#This Row],[LOCALES]],[1]!Calendario[#Data],2,0)</f>
        <v>46.270161290322584</v>
      </c>
      <c r="CG60" s="67">
        <f>(Terminales[[#This Row],[COMISIONES RENOVACIONES]]*VLOOKUP(Terminales[[#This Row],[LOCALES]],[1]!Calendario[#Data],3,0))/VLOOKUP(Terminales[[#This Row],[LOCALES]],[1]!Calendario[#Data],2,0)</f>
        <v>9.3938709677419343</v>
      </c>
      <c r="CH60" s="67">
        <f>(Terminales[[#This Row],[COMISIONES BONO]]*VLOOKUP(Terminales[[#This Row],[LOCALES]],[1]!Calendario[#Data],3,0))/VLOOKUP(Terminales[[#This Row],[LOCALES]],[1]!Calendario[#Data],2,0)</f>
        <v>9.254032258064516</v>
      </c>
      <c r="CI60" s="67">
        <f>Terminales[[#This Row],[PROY. COM. TERMINALES]]+Terminales[[#This Row],[PROY. COM. RENOV.]]+Terminales[[#This Row],[PROY. COM. 2%]]</f>
        <v>64.918064516129036</v>
      </c>
    </row>
    <row r="61" spans="1:87" x14ac:dyDescent="0.25">
      <c r="A61" s="68">
        <v>44926</v>
      </c>
      <c r="B61" s="68">
        <v>44899</v>
      </c>
      <c r="C61" s="18" t="s">
        <v>291</v>
      </c>
      <c r="D61" s="18" t="s">
        <v>78</v>
      </c>
      <c r="E61" s="18" t="s">
        <v>768</v>
      </c>
      <c r="F61" s="18" t="s">
        <v>8443</v>
      </c>
      <c r="G61" s="18" t="s">
        <v>292</v>
      </c>
      <c r="H61" s="18" t="s">
        <v>494</v>
      </c>
      <c r="I61" s="18" t="s">
        <v>8444</v>
      </c>
      <c r="J61" s="18" t="s">
        <v>95</v>
      </c>
      <c r="K61" s="18" t="s">
        <v>7970</v>
      </c>
      <c r="L61" s="18" t="s">
        <v>8445</v>
      </c>
      <c r="M61" s="18" t="s">
        <v>8446</v>
      </c>
      <c r="N61" s="18" t="s">
        <v>7683</v>
      </c>
      <c r="O61" s="18" t="s">
        <v>1691</v>
      </c>
      <c r="P61" s="18" t="s">
        <v>8447</v>
      </c>
      <c r="Q61" s="18" t="s">
        <v>7975</v>
      </c>
      <c r="R61" s="18" t="s">
        <v>7976</v>
      </c>
      <c r="S61" s="18" t="s">
        <v>8045</v>
      </c>
      <c r="T61" s="18" t="s">
        <v>8225</v>
      </c>
      <c r="U61" s="18" t="s">
        <v>8012</v>
      </c>
      <c r="V61" s="18" t="s">
        <v>6963</v>
      </c>
      <c r="W61" s="18" t="s">
        <v>95</v>
      </c>
      <c r="X61" s="18" t="s">
        <v>95</v>
      </c>
      <c r="Y61" s="18" t="s">
        <v>7980</v>
      </c>
      <c r="Z61" s="18" t="s">
        <v>6996</v>
      </c>
      <c r="AA61" s="69">
        <v>1</v>
      </c>
      <c r="AB61" s="18">
        <v>241.07142999999999</v>
      </c>
      <c r="AC61" s="18" t="s">
        <v>8448</v>
      </c>
      <c r="AD61" s="18" t="s">
        <v>7982</v>
      </c>
      <c r="AE61" s="18">
        <v>232</v>
      </c>
      <c r="AF61" s="18" t="s">
        <v>7983</v>
      </c>
      <c r="AG61" s="18">
        <v>232</v>
      </c>
      <c r="AH61" s="18" t="s">
        <v>95</v>
      </c>
      <c r="AI61" s="18" t="s">
        <v>7648</v>
      </c>
      <c r="AJ61" s="18" t="s">
        <v>7649</v>
      </c>
      <c r="AK61" s="18">
        <v>12.99</v>
      </c>
      <c r="AL61" s="18" t="s">
        <v>95</v>
      </c>
      <c r="AM61" s="18" t="s">
        <v>95</v>
      </c>
      <c r="AN61" s="18" t="s">
        <v>7984</v>
      </c>
      <c r="AO61" s="18" t="s">
        <v>139</v>
      </c>
      <c r="AP61" s="20" t="s">
        <v>2159</v>
      </c>
      <c r="AQ61" s="18" t="s">
        <v>2160</v>
      </c>
      <c r="AR61" s="18" t="s">
        <v>496</v>
      </c>
      <c r="AS61" s="18">
        <v>1</v>
      </c>
      <c r="AT61" s="18" t="s">
        <v>177</v>
      </c>
      <c r="AU61" s="18" t="s">
        <v>90</v>
      </c>
      <c r="AV61" s="18" t="s">
        <v>8228</v>
      </c>
      <c r="AW61" s="18" t="s">
        <v>8229</v>
      </c>
      <c r="AX61" s="18" t="s">
        <v>83</v>
      </c>
      <c r="AY61" s="18" t="s">
        <v>95</v>
      </c>
      <c r="AZ61" s="18" t="s">
        <v>95</v>
      </c>
      <c r="BA61" s="18" t="s">
        <v>95</v>
      </c>
      <c r="BB61" s="18" t="s">
        <v>95</v>
      </c>
      <c r="BC61" s="18" t="s">
        <v>84</v>
      </c>
      <c r="BD61" s="18" t="s">
        <v>95</v>
      </c>
      <c r="BE61" s="18" t="s">
        <v>8449</v>
      </c>
      <c r="BF61" s="18" t="s">
        <v>8064</v>
      </c>
      <c r="BG61" s="18" t="s">
        <v>95</v>
      </c>
      <c r="BH61" s="18" t="s">
        <v>95</v>
      </c>
      <c r="BI61" s="18">
        <v>12</v>
      </c>
      <c r="BJ61" s="18">
        <v>2022</v>
      </c>
      <c r="BK61" s="18" t="s">
        <v>95</v>
      </c>
      <c r="BL61" s="18" t="s">
        <v>95</v>
      </c>
      <c r="BM61" s="18" t="s">
        <v>95</v>
      </c>
      <c r="BN61" s="18" t="s">
        <v>85</v>
      </c>
      <c r="BO61" s="18" t="s">
        <v>86</v>
      </c>
      <c r="BP61" s="18" t="s">
        <v>90</v>
      </c>
      <c r="BQ61" s="18" t="s">
        <v>8002</v>
      </c>
      <c r="BR61" s="18" t="s">
        <v>139</v>
      </c>
      <c r="BS61" s="18" t="s">
        <v>8003</v>
      </c>
      <c r="BT61" s="18" t="s">
        <v>7989</v>
      </c>
      <c r="BU61" s="18" t="s">
        <v>496</v>
      </c>
      <c r="BV61" s="18" t="str">
        <f>Terminales[[#This Row],[IMEI]]&amp;"SI"</f>
        <v>356795951214555SI</v>
      </c>
      <c r="BW61" s="18" t="str">
        <f>VLOOKUP(Terminales[[#This Row],[OFICINA_USUARIO]],[1]!Locales[#Data],3,0)</f>
        <v>TIENDA RECREO</v>
      </c>
      <c r="BX61" s="18" t="str">
        <f>VLOOKUP(Terminales[[#This Row],[USUARIO_FINAL]],'[1]Personal Ppto vs Real'!$A:$F,6,0)</f>
        <v>GUEVARA MAZA CRISTIAN FABIAN</v>
      </c>
      <c r="BY6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6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61" s="18">
        <f>DAY(Terminales[[#This Row],[FECHA_FACTURA]])</f>
        <v>4</v>
      </c>
      <c r="CB61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61" s="65">
        <f>IFERROR(IF(AND(Terminales[[#This Row],[CANTIDAD]] = 1,Terminales[[#This Row],[MOVIMIENTO]] = "RENOVACION"),Terminales[[#This Row],[TARIFA_BASICA]]*0.5,),)</f>
        <v>6.4950000000000001</v>
      </c>
      <c r="CD61" s="65">
        <f>IF('[1]Resumen TM'!$AW$20 &lt; 0.4,0,Terminales[[#This Row],[MONTO]]*0.02)</f>
        <v>4.8214286</v>
      </c>
      <c r="CE61" s="66">
        <f>Terminales[[#This Row],[COMISIONES TERMINALES]]+Terminales[[#This Row],[COMISIONES RENOVACIONES]]+Terminales[[#This Row],[COMISIONES BONO]]</f>
        <v>35.423571600000002</v>
      </c>
      <c r="CF61" s="67">
        <f>(Terminales[[#This Row],[COMISIONES TERMINALES]]*VLOOKUP(Terminales[[#This Row],[LOCALES]],[1]!Calendario[#Data],3,0))/VLOOKUP(Terminales[[#This Row],[LOCALES]],[1]!Calendario[#Data],2,0)</f>
        <v>39.660138483870966</v>
      </c>
      <c r="CG61" s="67">
        <f>(Terminales[[#This Row],[COMISIONES RENOVACIONES]]*VLOOKUP(Terminales[[#This Row],[LOCALES]],[1]!Calendario[#Data],3,0))/VLOOKUP(Terminales[[#This Row],[LOCALES]],[1]!Calendario[#Data],2,0)</f>
        <v>10.685322580645161</v>
      </c>
      <c r="CH61" s="67">
        <f>(Terminales[[#This Row],[COMISIONES BONO]]*VLOOKUP(Terminales[[#This Row],[LOCALES]],[1]!Calendario[#Data],3,0))/VLOOKUP(Terminales[[#This Row],[LOCALES]],[1]!Calendario[#Data],2,0)</f>
        <v>7.9320276967741936</v>
      </c>
      <c r="CI61" s="67">
        <f>Terminales[[#This Row],[PROY. COM. TERMINALES]]+Terminales[[#This Row],[PROY. COM. RENOV.]]+Terminales[[#This Row],[PROY. COM. 2%]]</f>
        <v>58.277488761290321</v>
      </c>
    </row>
    <row r="62" spans="1:87" x14ac:dyDescent="0.25">
      <c r="A62" s="68">
        <v>44926</v>
      </c>
      <c r="B62" s="68">
        <v>44899</v>
      </c>
      <c r="C62" s="18" t="s">
        <v>96</v>
      </c>
      <c r="D62" s="18" t="s">
        <v>96</v>
      </c>
      <c r="E62" s="18" t="s">
        <v>96</v>
      </c>
      <c r="F62" s="18" t="s">
        <v>8450</v>
      </c>
      <c r="G62" s="18" t="s">
        <v>292</v>
      </c>
      <c r="H62" s="18" t="s">
        <v>494</v>
      </c>
      <c r="I62" s="18" t="s">
        <v>8451</v>
      </c>
      <c r="J62" s="18" t="s">
        <v>95</v>
      </c>
      <c r="K62" s="18" t="s">
        <v>7970</v>
      </c>
      <c r="L62" s="18" t="s">
        <v>8452</v>
      </c>
      <c r="M62" s="18" t="s">
        <v>8453</v>
      </c>
      <c r="N62" s="18" t="s">
        <v>8454</v>
      </c>
      <c r="O62" s="18" t="s">
        <v>8455</v>
      </c>
      <c r="P62" s="18" t="s">
        <v>8456</v>
      </c>
      <c r="Q62" s="18" t="s">
        <v>7975</v>
      </c>
      <c r="R62" s="18" t="s">
        <v>7976</v>
      </c>
      <c r="S62" s="18" t="s">
        <v>8045</v>
      </c>
      <c r="T62" s="18" t="s">
        <v>8457</v>
      </c>
      <c r="U62" s="18" t="s">
        <v>8100</v>
      </c>
      <c r="V62" s="18" t="s">
        <v>6963</v>
      </c>
      <c r="W62" s="18" t="s">
        <v>95</v>
      </c>
      <c r="X62" s="18" t="s">
        <v>95</v>
      </c>
      <c r="Y62" s="18" t="s">
        <v>7980</v>
      </c>
      <c r="Z62" s="18" t="s">
        <v>6996</v>
      </c>
      <c r="AA62" s="69">
        <v>1</v>
      </c>
      <c r="AB62" s="18">
        <v>558.03570999999999</v>
      </c>
      <c r="AC62" s="18" t="s">
        <v>8458</v>
      </c>
      <c r="AD62" s="18" t="s">
        <v>96</v>
      </c>
      <c r="AE62" s="18">
        <v>550</v>
      </c>
      <c r="AF62" s="18" t="s">
        <v>7983</v>
      </c>
      <c r="AG62" s="18">
        <v>550</v>
      </c>
      <c r="AH62" s="18" t="s">
        <v>95</v>
      </c>
      <c r="AI62" s="18" t="s">
        <v>8102</v>
      </c>
      <c r="AJ62" s="18" t="s">
        <v>8103</v>
      </c>
      <c r="AK62" s="18" t="s">
        <v>95</v>
      </c>
      <c r="AL62" s="18" t="s">
        <v>95</v>
      </c>
      <c r="AM62" s="18" t="s">
        <v>95</v>
      </c>
      <c r="AN62" s="18" t="s">
        <v>7984</v>
      </c>
      <c r="AO62" s="18" t="s">
        <v>139</v>
      </c>
      <c r="AP62" s="20" t="s">
        <v>280</v>
      </c>
      <c r="AQ62" s="18" t="s">
        <v>281</v>
      </c>
      <c r="AR62" s="18" t="s">
        <v>496</v>
      </c>
      <c r="AS62" s="18">
        <v>1</v>
      </c>
      <c r="AT62" s="18" t="s">
        <v>235</v>
      </c>
      <c r="AU62" s="18" t="s">
        <v>90</v>
      </c>
      <c r="AV62" s="18" t="s">
        <v>8459</v>
      </c>
      <c r="AW62" s="18" t="s">
        <v>8460</v>
      </c>
      <c r="AX62" s="18" t="s">
        <v>83</v>
      </c>
      <c r="AY62" s="18" t="s">
        <v>95</v>
      </c>
      <c r="AZ62" s="18" t="s">
        <v>95</v>
      </c>
      <c r="BA62" s="18" t="s">
        <v>95</v>
      </c>
      <c r="BB62" s="18" t="s">
        <v>95</v>
      </c>
      <c r="BC62" s="18" t="s">
        <v>118</v>
      </c>
      <c r="BD62" s="18" t="s">
        <v>95</v>
      </c>
      <c r="BE62" s="18" t="s">
        <v>95</v>
      </c>
      <c r="BF62" s="18" t="s">
        <v>95</v>
      </c>
      <c r="BG62" s="18" t="s">
        <v>95</v>
      </c>
      <c r="BH62" s="18" t="s">
        <v>95</v>
      </c>
      <c r="BI62" s="18">
        <v>12</v>
      </c>
      <c r="BJ62" s="18">
        <v>2022</v>
      </c>
      <c r="BK62" s="18" t="s">
        <v>95</v>
      </c>
      <c r="BL62" s="18" t="s">
        <v>95</v>
      </c>
      <c r="BM62" s="18" t="s">
        <v>95</v>
      </c>
      <c r="BN62" s="18" t="s">
        <v>85</v>
      </c>
      <c r="BO62" s="18" t="s">
        <v>86</v>
      </c>
      <c r="BP62" s="18" t="s">
        <v>90</v>
      </c>
      <c r="BQ62" s="18" t="s">
        <v>8016</v>
      </c>
      <c r="BR62" s="18" t="s">
        <v>139</v>
      </c>
      <c r="BS62" s="18" t="s">
        <v>8074</v>
      </c>
      <c r="BT62" s="18" t="s">
        <v>7989</v>
      </c>
      <c r="BU62" s="18" t="s">
        <v>496</v>
      </c>
      <c r="BV62" s="18" t="str">
        <f>Terminales[[#This Row],[IMEI]]&amp;"SI"</f>
        <v>355180120678074SI</v>
      </c>
      <c r="BW62" s="18" t="str">
        <f>VLOOKUP(Terminales[[#This Row],[OFICINA_USUARIO]],[1]!Locales[#Data],3,0)</f>
        <v>TIENDA CONDADO</v>
      </c>
      <c r="BX62" s="18" t="str">
        <f>VLOOKUP(Terminales[[#This Row],[USUARIO_FINAL]],'[1]Personal Ppto vs Real'!$A:$F,6,0)</f>
        <v>GUACHAMIN CAZA HUGO ADRIAN</v>
      </c>
      <c r="BY6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6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62" s="18">
        <f>DAY(Terminales[[#This Row],[FECHA_FACTURA]])</f>
        <v>4</v>
      </c>
      <c r="CB62" s="65">
        <f>IF(Terminales[[#This Row],[CANTIDAD]] = 1,INDEX([1]!Comisiones[#Data],MATCH("Terminales",[1]!Comisiones[Producto],0),MATCH(Terminales[[#This Row],[TIPO ALTA COMISIONES]],[1]!Comisiones[#Headers],0))*Terminales[[#This Row],[MONTO]],0)</f>
        <v>55.803571000000005</v>
      </c>
      <c r="CC62" s="65">
        <f>IFERROR(IF(AND(Terminales[[#This Row],[CANTIDAD]] = 1,Terminales[[#This Row],[MOVIMIENTO]] = "RENOVACION"),Terminales[[#This Row],[TARIFA_BASICA]]*0.5,),)</f>
        <v>0</v>
      </c>
      <c r="CD62" s="65">
        <f>IF('[1]Resumen TM'!$AW$20 &lt; 0.4,0,Terminales[[#This Row],[MONTO]]*0.02)</f>
        <v>11.160714199999999</v>
      </c>
      <c r="CE62" s="66">
        <f>Terminales[[#This Row],[COMISIONES TERMINALES]]+Terminales[[#This Row],[COMISIONES RENOVACIONES]]+Terminales[[#This Row],[COMISIONES BONO]]</f>
        <v>66.964285200000006</v>
      </c>
      <c r="CF62" s="67">
        <f>(Terminales[[#This Row],[COMISIONES TERMINALES]]*VLOOKUP(Terminales[[#This Row],[LOCALES]],[1]!Calendario[#Data],3,0))/VLOOKUP(Terminales[[#This Row],[LOCALES]],[1]!Calendario[#Data],2,0)</f>
        <v>91.805874870967756</v>
      </c>
      <c r="CG62" s="67">
        <f>(Terminales[[#This Row],[COMISIONES RENOVACIONES]]*VLOOKUP(Terminales[[#This Row],[LOCALES]],[1]!Calendario[#Data],3,0))/VLOOKUP(Terminales[[#This Row],[LOCALES]],[1]!Calendario[#Data],2,0)</f>
        <v>0</v>
      </c>
      <c r="CH62" s="67">
        <f>(Terminales[[#This Row],[COMISIONES BONO]]*VLOOKUP(Terminales[[#This Row],[LOCALES]],[1]!Calendario[#Data],3,0))/VLOOKUP(Terminales[[#This Row],[LOCALES]],[1]!Calendario[#Data],2,0)</f>
        <v>18.361174974193545</v>
      </c>
      <c r="CI62" s="67">
        <f>Terminales[[#This Row],[PROY. COM. TERMINALES]]+Terminales[[#This Row],[PROY. COM. RENOV.]]+Terminales[[#This Row],[PROY. COM. 2%]]</f>
        <v>110.1670498451613</v>
      </c>
    </row>
    <row r="63" spans="1:87" x14ac:dyDescent="0.25">
      <c r="A63" s="68">
        <v>44926</v>
      </c>
      <c r="B63" s="68">
        <v>44899</v>
      </c>
      <c r="C63" s="18" t="s">
        <v>291</v>
      </c>
      <c r="D63" s="18" t="s">
        <v>78</v>
      </c>
      <c r="E63" s="18" t="s">
        <v>164</v>
      </c>
      <c r="F63" s="18" t="s">
        <v>8461</v>
      </c>
      <c r="G63" s="18" t="s">
        <v>292</v>
      </c>
      <c r="H63" s="18" t="s">
        <v>293</v>
      </c>
      <c r="I63" s="18" t="s">
        <v>8462</v>
      </c>
      <c r="J63" s="18" t="s">
        <v>95</v>
      </c>
      <c r="K63" s="18" t="s">
        <v>7970</v>
      </c>
      <c r="L63" s="18" t="s">
        <v>8463</v>
      </c>
      <c r="M63" s="18" t="s">
        <v>8464</v>
      </c>
      <c r="N63" s="18" t="s">
        <v>8465</v>
      </c>
      <c r="O63" s="18" t="s">
        <v>8466</v>
      </c>
      <c r="P63" s="18" t="s">
        <v>8467</v>
      </c>
      <c r="Q63" s="18" t="s">
        <v>7975</v>
      </c>
      <c r="R63" s="18" t="s">
        <v>7976</v>
      </c>
      <c r="S63" s="18" t="s">
        <v>8045</v>
      </c>
      <c r="T63" s="18" t="s">
        <v>8457</v>
      </c>
      <c r="U63" s="18" t="s">
        <v>8100</v>
      </c>
      <c r="V63" s="18" t="s">
        <v>6963</v>
      </c>
      <c r="W63" s="18" t="s">
        <v>95</v>
      </c>
      <c r="X63" s="18" t="s">
        <v>95</v>
      </c>
      <c r="Y63" s="18" t="s">
        <v>7980</v>
      </c>
      <c r="Z63" s="18" t="s">
        <v>6996</v>
      </c>
      <c r="AA63" s="69">
        <v>1</v>
      </c>
      <c r="AB63" s="18">
        <v>767.85713999999996</v>
      </c>
      <c r="AC63" s="18" t="s">
        <v>8468</v>
      </c>
      <c r="AD63" s="18" t="s">
        <v>8151</v>
      </c>
      <c r="AE63" s="18">
        <v>550</v>
      </c>
      <c r="AF63" s="18" t="s">
        <v>7983</v>
      </c>
      <c r="AG63" s="18">
        <v>550</v>
      </c>
      <c r="AH63" s="18" t="s">
        <v>95</v>
      </c>
      <c r="AI63" s="18" t="s">
        <v>160</v>
      </c>
      <c r="AJ63" s="18" t="s">
        <v>161</v>
      </c>
      <c r="AK63" s="18">
        <v>14.28</v>
      </c>
      <c r="AL63" s="18" t="s">
        <v>95</v>
      </c>
      <c r="AM63" s="18" t="s">
        <v>95</v>
      </c>
      <c r="AN63" s="18" t="s">
        <v>7984</v>
      </c>
      <c r="AO63" s="18" t="s">
        <v>139</v>
      </c>
      <c r="AP63" s="20" t="s">
        <v>2159</v>
      </c>
      <c r="AQ63" s="18" t="s">
        <v>2160</v>
      </c>
      <c r="AR63" s="18" t="s">
        <v>295</v>
      </c>
      <c r="AS63" s="18">
        <v>6</v>
      </c>
      <c r="AT63" s="18" t="s">
        <v>177</v>
      </c>
      <c r="AU63" s="18" t="s">
        <v>90</v>
      </c>
      <c r="AV63" s="18" t="s">
        <v>8469</v>
      </c>
      <c r="AW63" s="18" t="s">
        <v>8470</v>
      </c>
      <c r="AX63" s="18" t="s">
        <v>83</v>
      </c>
      <c r="AY63" s="18" t="s">
        <v>95</v>
      </c>
      <c r="AZ63" s="18" t="s">
        <v>95</v>
      </c>
      <c r="BA63" s="18" t="s">
        <v>95</v>
      </c>
      <c r="BB63" s="18" t="s">
        <v>95</v>
      </c>
      <c r="BC63" s="18" t="s">
        <v>84</v>
      </c>
      <c r="BD63" s="18">
        <v>140.19</v>
      </c>
      <c r="BE63" s="18" t="s">
        <v>95</v>
      </c>
      <c r="BF63" s="18" t="s">
        <v>95</v>
      </c>
      <c r="BG63" s="18" t="s">
        <v>95</v>
      </c>
      <c r="BH63" s="18" t="s">
        <v>95</v>
      </c>
      <c r="BI63" s="18">
        <v>12</v>
      </c>
      <c r="BJ63" s="18">
        <v>2022</v>
      </c>
      <c r="BK63" s="18" t="s">
        <v>95</v>
      </c>
      <c r="BL63" s="18" t="s">
        <v>95</v>
      </c>
      <c r="BM63" s="18" t="s">
        <v>95</v>
      </c>
      <c r="BN63" s="18" t="s">
        <v>85</v>
      </c>
      <c r="BO63" s="18" t="s">
        <v>86</v>
      </c>
      <c r="BP63" s="18" t="s">
        <v>90</v>
      </c>
      <c r="BQ63" s="18" t="s">
        <v>8002</v>
      </c>
      <c r="BR63" s="18" t="s">
        <v>139</v>
      </c>
      <c r="BS63" s="18" t="s">
        <v>8027</v>
      </c>
      <c r="BT63" s="18" t="s">
        <v>7989</v>
      </c>
      <c r="BU63" s="18" t="s">
        <v>7990</v>
      </c>
      <c r="BV63" s="18" t="str">
        <f>Terminales[[#This Row],[IMEI]]&amp;"SI"</f>
        <v>355180120244646SI</v>
      </c>
      <c r="BW63" s="18" t="str">
        <f>VLOOKUP(Terminales[[#This Row],[OFICINA_USUARIO]],[1]!Locales[#Data],3,0)</f>
        <v>TIENDA RECREO</v>
      </c>
      <c r="BX63" s="18" t="str">
        <f>VLOOKUP(Terminales[[#This Row],[USUARIO_FINAL]],'[1]Personal Ppto vs Real'!$A:$F,6,0)</f>
        <v>GUEVARA MAZA CRISTIAN FABIAN</v>
      </c>
      <c r="BY63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6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63" s="18">
        <f>DAY(Terminales[[#This Row],[FECHA_FACTURA]])</f>
        <v>4</v>
      </c>
      <c r="CB63" s="65">
        <f>IF(Terminales[[#This Row],[CANTIDAD]] = 1,INDEX([1]!Comisiones[#Data],MATCH("Terminales",[1]!Comisiones[Producto],0),MATCH(Terminales[[#This Row],[TIPO ALTA COMISIONES]],[1]!Comisiones[#Headers],0))*Terminales[[#This Row],[MONTO]],0)</f>
        <v>61.4285712</v>
      </c>
      <c r="CC63" s="65">
        <f>IFERROR(IF(AND(Terminales[[#This Row],[CANTIDAD]] = 1,Terminales[[#This Row],[MOVIMIENTO]] = "RENOVACION"),Terminales[[#This Row],[TARIFA_BASICA]]*0.5,),)</f>
        <v>0</v>
      </c>
      <c r="CD63" s="65">
        <f>IF('[1]Resumen TM'!$AW$20 &lt; 0.4,0,Terminales[[#This Row],[MONTO]]*0.02)</f>
        <v>15.3571428</v>
      </c>
      <c r="CE63" s="66">
        <f>Terminales[[#This Row],[COMISIONES TERMINALES]]+Terminales[[#This Row],[COMISIONES RENOVACIONES]]+Terminales[[#This Row],[COMISIONES BONO]]</f>
        <v>76.785713999999999</v>
      </c>
      <c r="CF63" s="67">
        <f>(Terminales[[#This Row],[COMISIONES TERMINALES]]*VLOOKUP(Terminales[[#This Row],[LOCALES]],[1]!Calendario[#Data],3,0))/VLOOKUP(Terminales[[#This Row],[LOCALES]],[1]!Calendario[#Data],2,0)</f>
        <v>101.05990745806452</v>
      </c>
      <c r="CG63" s="67">
        <f>(Terminales[[#This Row],[COMISIONES RENOVACIONES]]*VLOOKUP(Terminales[[#This Row],[LOCALES]],[1]!Calendario[#Data],3,0))/VLOOKUP(Terminales[[#This Row],[LOCALES]],[1]!Calendario[#Data],2,0)</f>
        <v>0</v>
      </c>
      <c r="CH63" s="67">
        <f>(Terminales[[#This Row],[COMISIONES BONO]]*VLOOKUP(Terminales[[#This Row],[LOCALES]],[1]!Calendario[#Data],3,0))/VLOOKUP(Terminales[[#This Row],[LOCALES]],[1]!Calendario[#Data],2,0)</f>
        <v>25.264976864516129</v>
      </c>
      <c r="CI63" s="67">
        <f>Terminales[[#This Row],[PROY. COM. TERMINALES]]+Terminales[[#This Row],[PROY. COM. RENOV.]]+Terminales[[#This Row],[PROY. COM. 2%]]</f>
        <v>126.32488432258064</v>
      </c>
    </row>
    <row r="64" spans="1:87" x14ac:dyDescent="0.25">
      <c r="A64" s="68">
        <v>44926</v>
      </c>
      <c r="B64" s="68">
        <v>44899</v>
      </c>
      <c r="C64" s="18" t="s">
        <v>96</v>
      </c>
      <c r="D64" s="18" t="s">
        <v>96</v>
      </c>
      <c r="E64" s="18" t="s">
        <v>96</v>
      </c>
      <c r="F64" s="18" t="s">
        <v>95</v>
      </c>
      <c r="G64" s="18" t="s">
        <v>292</v>
      </c>
      <c r="H64" s="18" t="s">
        <v>494</v>
      </c>
      <c r="I64" s="18" t="s">
        <v>8471</v>
      </c>
      <c r="J64" s="18" t="s">
        <v>95</v>
      </c>
      <c r="K64" s="18" t="s">
        <v>7970</v>
      </c>
      <c r="L64" s="18" t="s">
        <v>8472</v>
      </c>
      <c r="M64" s="18" t="s">
        <v>8473</v>
      </c>
      <c r="N64" s="18" t="s">
        <v>8474</v>
      </c>
      <c r="O64" s="18" t="s">
        <v>8438</v>
      </c>
      <c r="P64" s="18" t="s">
        <v>8475</v>
      </c>
      <c r="Q64" s="18" t="s">
        <v>7975</v>
      </c>
      <c r="R64" s="18" t="s">
        <v>7976</v>
      </c>
      <c r="S64" s="18" t="s">
        <v>8070</v>
      </c>
      <c r="T64" s="18" t="s">
        <v>8364</v>
      </c>
      <c r="U64" s="18" t="s">
        <v>8012</v>
      </c>
      <c r="V64" s="18" t="s">
        <v>6963</v>
      </c>
      <c r="W64" s="18" t="s">
        <v>95</v>
      </c>
      <c r="X64" s="18" t="s">
        <v>95</v>
      </c>
      <c r="Y64" s="18" t="s">
        <v>7980</v>
      </c>
      <c r="Z64" s="18" t="s">
        <v>6996</v>
      </c>
      <c r="AA64" s="69">
        <v>1</v>
      </c>
      <c r="AB64" s="18">
        <v>281.25</v>
      </c>
      <c r="AC64" s="18" t="s">
        <v>95</v>
      </c>
      <c r="AD64" s="18" t="s">
        <v>96</v>
      </c>
      <c r="AE64" s="18">
        <v>269.92</v>
      </c>
      <c r="AF64" s="18" t="s">
        <v>7983</v>
      </c>
      <c r="AG64" s="18">
        <v>269.92</v>
      </c>
      <c r="AH64" s="18" t="s">
        <v>95</v>
      </c>
      <c r="AI64" s="18" t="s">
        <v>95</v>
      </c>
      <c r="AJ64" s="18" t="s">
        <v>95</v>
      </c>
      <c r="AK64" s="18" t="s">
        <v>95</v>
      </c>
      <c r="AL64" s="18" t="s">
        <v>95</v>
      </c>
      <c r="AM64" s="18" t="s">
        <v>95</v>
      </c>
      <c r="AN64" s="18" t="s">
        <v>7984</v>
      </c>
      <c r="AO64" s="18" t="s">
        <v>139</v>
      </c>
      <c r="AP64" s="20" t="s">
        <v>822</v>
      </c>
      <c r="AQ64" s="18" t="s">
        <v>823</v>
      </c>
      <c r="AR64" s="18" t="s">
        <v>496</v>
      </c>
      <c r="AS64" s="18">
        <v>1</v>
      </c>
      <c r="AT64" s="18" t="s">
        <v>177</v>
      </c>
      <c r="AU64" s="18" t="s">
        <v>90</v>
      </c>
      <c r="AV64" s="18" t="s">
        <v>8441</v>
      </c>
      <c r="AW64" s="18" t="s">
        <v>8442</v>
      </c>
      <c r="AX64" s="18" t="s">
        <v>83</v>
      </c>
      <c r="AY64" s="18" t="s">
        <v>95</v>
      </c>
      <c r="AZ64" s="18" t="s">
        <v>95</v>
      </c>
      <c r="BA64" s="18" t="s">
        <v>95</v>
      </c>
      <c r="BB64" s="18" t="s">
        <v>95</v>
      </c>
      <c r="BC64" s="18" t="s">
        <v>95</v>
      </c>
      <c r="BD64" s="18" t="s">
        <v>95</v>
      </c>
      <c r="BE64" s="18" t="s">
        <v>8476</v>
      </c>
      <c r="BF64" s="18" t="s">
        <v>8064</v>
      </c>
      <c r="BG64" s="18" t="s">
        <v>95</v>
      </c>
      <c r="BH64" s="18" t="s">
        <v>95</v>
      </c>
      <c r="BI64" s="18">
        <v>12</v>
      </c>
      <c r="BJ64" s="18">
        <v>2022</v>
      </c>
      <c r="BK64" s="18" t="s">
        <v>95</v>
      </c>
      <c r="BL64" s="18" t="s">
        <v>95</v>
      </c>
      <c r="BM64" s="18" t="s">
        <v>95</v>
      </c>
      <c r="BN64" s="18" t="s">
        <v>85</v>
      </c>
      <c r="BO64" s="18" t="s">
        <v>86</v>
      </c>
      <c r="BP64" s="18" t="s">
        <v>90</v>
      </c>
      <c r="BQ64" s="18" t="s">
        <v>8002</v>
      </c>
      <c r="BR64" s="18" t="s">
        <v>139</v>
      </c>
      <c r="BS64" s="18" t="s">
        <v>8003</v>
      </c>
      <c r="BT64" s="18" t="s">
        <v>7989</v>
      </c>
      <c r="BU64" s="18" t="s">
        <v>496</v>
      </c>
      <c r="BV64" s="18" t="str">
        <f>Terminales[[#This Row],[IMEI]]&amp;"SI"</f>
        <v>863837054626586SI</v>
      </c>
      <c r="BW64" s="18" t="str">
        <f>VLOOKUP(Terminales[[#This Row],[OFICINA_USUARIO]],[1]!Locales[#Data],3,0)</f>
        <v>TIENDA RECREO</v>
      </c>
      <c r="BX64" s="18" t="str">
        <f>VLOOKUP(Terminales[[#This Row],[USUARIO_FINAL]],'[1]Personal Ppto vs Real'!$A:$F,6,0)</f>
        <v>SALAS PARRA MARIA JOSE</v>
      </c>
      <c r="BY6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6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64" s="18">
        <f>DAY(Terminales[[#This Row],[FECHA_FACTURA]])</f>
        <v>4</v>
      </c>
      <c r="CB64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64" s="65">
        <f>IFERROR(IF(AND(Terminales[[#This Row],[CANTIDAD]] = 1,Terminales[[#This Row],[MOVIMIENTO]] = "RENOVACION"),Terminales[[#This Row],[TARIFA_BASICA]]*0.5,),)</f>
        <v>0</v>
      </c>
      <c r="CD64" s="65">
        <f>IF('[1]Resumen TM'!$AW$20 &lt; 0.4,0,Terminales[[#This Row],[MONTO]]*0.02)</f>
        <v>5.625</v>
      </c>
      <c r="CE64" s="66">
        <f>Terminales[[#This Row],[COMISIONES TERMINALES]]+Terminales[[#This Row],[COMISIONES RENOVACIONES]]+Terminales[[#This Row],[COMISIONES BONO]]</f>
        <v>33.75</v>
      </c>
      <c r="CF64" s="67">
        <f>(Terminales[[#This Row],[COMISIONES TERMINALES]]*VLOOKUP(Terminales[[#This Row],[LOCALES]],[1]!Calendario[#Data],3,0))/VLOOKUP(Terminales[[#This Row],[LOCALES]],[1]!Calendario[#Data],2,0)</f>
        <v>46.270161290322584</v>
      </c>
      <c r="CG64" s="67">
        <f>(Terminales[[#This Row],[COMISIONES RENOVACIONES]]*VLOOKUP(Terminales[[#This Row],[LOCALES]],[1]!Calendario[#Data],3,0))/VLOOKUP(Terminales[[#This Row],[LOCALES]],[1]!Calendario[#Data],2,0)</f>
        <v>0</v>
      </c>
      <c r="CH64" s="67">
        <f>(Terminales[[#This Row],[COMISIONES BONO]]*VLOOKUP(Terminales[[#This Row],[LOCALES]],[1]!Calendario[#Data],3,0))/VLOOKUP(Terminales[[#This Row],[LOCALES]],[1]!Calendario[#Data],2,0)</f>
        <v>9.254032258064516</v>
      </c>
      <c r="CI64" s="67">
        <f>Terminales[[#This Row],[PROY. COM. TERMINALES]]+Terminales[[#This Row],[PROY. COM. RENOV.]]+Terminales[[#This Row],[PROY. COM. 2%]]</f>
        <v>55.524193548387103</v>
      </c>
    </row>
    <row r="65" spans="1:87" x14ac:dyDescent="0.25">
      <c r="A65" s="68">
        <v>44926</v>
      </c>
      <c r="B65" s="68">
        <v>44900</v>
      </c>
      <c r="C65" s="18" t="s">
        <v>291</v>
      </c>
      <c r="D65" s="18" t="s">
        <v>78</v>
      </c>
      <c r="E65" s="18" t="s">
        <v>2241</v>
      </c>
      <c r="F65" s="18" t="s">
        <v>8477</v>
      </c>
      <c r="G65" s="18" t="s">
        <v>292</v>
      </c>
      <c r="H65" s="18" t="s">
        <v>494</v>
      </c>
      <c r="I65" s="18" t="s">
        <v>8478</v>
      </c>
      <c r="J65" s="18" t="s">
        <v>95</v>
      </c>
      <c r="K65" s="18" t="s">
        <v>7970</v>
      </c>
      <c r="L65" s="18" t="s">
        <v>8479</v>
      </c>
      <c r="M65" s="18" t="s">
        <v>8480</v>
      </c>
      <c r="N65" s="18" t="s">
        <v>8481</v>
      </c>
      <c r="O65" s="18" t="s">
        <v>354</v>
      </c>
      <c r="P65" s="18" t="s">
        <v>8482</v>
      </c>
      <c r="Q65" s="18" t="s">
        <v>7975</v>
      </c>
      <c r="R65" s="18" t="s">
        <v>7976</v>
      </c>
      <c r="S65" s="18" t="s">
        <v>8070</v>
      </c>
      <c r="T65" s="18" t="s">
        <v>8071</v>
      </c>
      <c r="U65" s="18" t="s">
        <v>8012</v>
      </c>
      <c r="V65" s="18" t="s">
        <v>6963</v>
      </c>
      <c r="W65" s="18" t="s">
        <v>95</v>
      </c>
      <c r="X65" s="18" t="s">
        <v>95</v>
      </c>
      <c r="Y65" s="18" t="s">
        <v>7980</v>
      </c>
      <c r="Z65" s="18" t="s">
        <v>6996</v>
      </c>
      <c r="AA65" s="69">
        <v>1</v>
      </c>
      <c r="AB65" s="18">
        <v>205.35713999999999</v>
      </c>
      <c r="AC65" s="18" t="s">
        <v>8483</v>
      </c>
      <c r="AD65" s="18" t="s">
        <v>7982</v>
      </c>
      <c r="AE65" s="18">
        <v>201.33</v>
      </c>
      <c r="AF65" s="18" t="s">
        <v>7983</v>
      </c>
      <c r="AG65" s="18">
        <v>201.33</v>
      </c>
      <c r="AH65" s="18" t="s">
        <v>95</v>
      </c>
      <c r="AI65" s="18" t="s">
        <v>7189</v>
      </c>
      <c r="AJ65" s="18" t="s">
        <v>7190</v>
      </c>
      <c r="AK65" s="18">
        <v>10.54</v>
      </c>
      <c r="AL65" s="18" t="s">
        <v>95</v>
      </c>
      <c r="AM65" s="18" t="s">
        <v>95</v>
      </c>
      <c r="AN65" s="18" t="s">
        <v>7984</v>
      </c>
      <c r="AO65" s="18" t="s">
        <v>92</v>
      </c>
      <c r="AP65" s="20" t="s">
        <v>149</v>
      </c>
      <c r="AQ65" s="18" t="s">
        <v>150</v>
      </c>
      <c r="AR65" s="18" t="s">
        <v>496</v>
      </c>
      <c r="AS65" s="18">
        <v>1</v>
      </c>
      <c r="AT65" s="18" t="s">
        <v>151</v>
      </c>
      <c r="AU65" s="18" t="s">
        <v>90</v>
      </c>
      <c r="AV65" s="18" t="s">
        <v>8072</v>
      </c>
      <c r="AW65" s="18" t="s">
        <v>8073</v>
      </c>
      <c r="AX65" s="18" t="s">
        <v>83</v>
      </c>
      <c r="AY65" s="18" t="s">
        <v>95</v>
      </c>
      <c r="AZ65" s="18" t="s">
        <v>95</v>
      </c>
      <c r="BA65" s="18" t="s">
        <v>95</v>
      </c>
      <c r="BB65" s="18" t="s">
        <v>95</v>
      </c>
      <c r="BC65" s="18" t="s">
        <v>215</v>
      </c>
      <c r="BD65" s="18" t="s">
        <v>95</v>
      </c>
      <c r="BE65" s="18" t="s">
        <v>8476</v>
      </c>
      <c r="BF65" s="18" t="s">
        <v>8064</v>
      </c>
      <c r="BG65" s="18" t="s">
        <v>95</v>
      </c>
      <c r="BH65" s="18" t="s">
        <v>95</v>
      </c>
      <c r="BI65" s="18">
        <v>12</v>
      </c>
      <c r="BJ65" s="18">
        <v>2022</v>
      </c>
      <c r="BK65" s="18" t="s">
        <v>95</v>
      </c>
      <c r="BL65" s="18" t="s">
        <v>95</v>
      </c>
      <c r="BM65" s="18" t="s">
        <v>95</v>
      </c>
      <c r="BN65" s="18" t="s">
        <v>85</v>
      </c>
      <c r="BO65" s="18" t="s">
        <v>86</v>
      </c>
      <c r="BP65" s="18" t="s">
        <v>90</v>
      </c>
      <c r="BQ65" s="18" t="s">
        <v>8141</v>
      </c>
      <c r="BR65" s="18" t="s">
        <v>92</v>
      </c>
      <c r="BS65" s="18" t="s">
        <v>8003</v>
      </c>
      <c r="BT65" s="18" t="s">
        <v>7989</v>
      </c>
      <c r="BU65" s="18" t="s">
        <v>496</v>
      </c>
      <c r="BV65" s="18" t="str">
        <f>Terminales[[#This Row],[IMEI]]&amp;"SI"</f>
        <v>864048069863904SI</v>
      </c>
      <c r="BW65" s="18" t="str">
        <f>VLOOKUP(Terminales[[#This Row],[OFICINA_USUARIO]],[1]!Locales[#Data],3,0)</f>
        <v>TIENDA CUENCA REMIGIO</v>
      </c>
      <c r="BX65" s="18" t="str">
        <f>VLOOKUP(Terminales[[#This Row],[USUARIO_FINAL]],'[1]Personal Ppto vs Real'!$A:$F,6,0)</f>
        <v>OSORIO TEJADA ANA ESTEFANIA</v>
      </c>
      <c r="BY6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6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65" s="18">
        <f>DAY(Terminales[[#This Row],[FECHA_FACTURA]])</f>
        <v>5</v>
      </c>
      <c r="CB65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65" s="65">
        <f>IFERROR(IF(AND(Terminales[[#This Row],[CANTIDAD]] = 1,Terminales[[#This Row],[MOVIMIENTO]] = "RENOVACION"),Terminales[[#This Row],[TARIFA_BASICA]]*0.5,),)</f>
        <v>5.27</v>
      </c>
      <c r="CD65" s="65">
        <f>IF('[1]Resumen TM'!$AW$20 &lt; 0.4,0,Terminales[[#This Row],[MONTO]]*0.02)</f>
        <v>4.1071428000000001</v>
      </c>
      <c r="CE65" s="66">
        <f>Terminales[[#This Row],[COMISIONES TERMINALES]]+Terminales[[#This Row],[COMISIONES RENOVACIONES]]+Terminales[[#This Row],[COMISIONES BONO]]</f>
        <v>29.9128568</v>
      </c>
      <c r="CF65" s="67">
        <f>(Terminales[[#This Row],[COMISIONES TERMINALES]]*VLOOKUP(Terminales[[#This Row],[LOCALES]],[1]!Calendario[#Data],3,0))/VLOOKUP(Terminales[[#This Row],[LOCALES]],[1]!Calendario[#Data],2,0)</f>
        <v>33.282019241379309</v>
      </c>
      <c r="CG65" s="67">
        <f>(Terminales[[#This Row],[COMISIONES RENOVACIONES]]*VLOOKUP(Terminales[[#This Row],[LOCALES]],[1]!Calendario[#Data],3,0))/VLOOKUP(Terminales[[#This Row],[LOCALES]],[1]!Calendario[#Data],2,0)</f>
        <v>8.5410344827586204</v>
      </c>
      <c r="CH65" s="67">
        <f>(Terminales[[#This Row],[COMISIONES BONO]]*VLOOKUP(Terminales[[#This Row],[LOCALES]],[1]!Calendario[#Data],3,0))/VLOOKUP(Terminales[[#This Row],[LOCALES]],[1]!Calendario[#Data],2,0)</f>
        <v>6.656403848275863</v>
      </c>
      <c r="CI65" s="67">
        <f>Terminales[[#This Row],[PROY. COM. TERMINALES]]+Terminales[[#This Row],[PROY. COM. RENOV.]]+Terminales[[#This Row],[PROY. COM. 2%]]</f>
        <v>48.479457572413793</v>
      </c>
    </row>
    <row r="66" spans="1:87" x14ac:dyDescent="0.25">
      <c r="A66" s="68">
        <v>44926</v>
      </c>
      <c r="B66" s="68">
        <v>44900</v>
      </c>
      <c r="C66" s="18" t="s">
        <v>291</v>
      </c>
      <c r="D66" s="18" t="s">
        <v>78</v>
      </c>
      <c r="E66" s="18" t="s">
        <v>1532</v>
      </c>
      <c r="F66" s="18" t="s">
        <v>8484</v>
      </c>
      <c r="G66" s="18" t="s">
        <v>292</v>
      </c>
      <c r="H66" s="18" t="s">
        <v>293</v>
      </c>
      <c r="I66" s="18" t="s">
        <v>8485</v>
      </c>
      <c r="J66" s="18" t="s">
        <v>95</v>
      </c>
      <c r="K66" s="18" t="s">
        <v>7970</v>
      </c>
      <c r="L66" s="18" t="s">
        <v>8486</v>
      </c>
      <c r="M66" s="18" t="s">
        <v>8487</v>
      </c>
      <c r="N66" s="18" t="s">
        <v>8488</v>
      </c>
      <c r="O66" s="18" t="s">
        <v>354</v>
      </c>
      <c r="P66" s="18" t="s">
        <v>8489</v>
      </c>
      <c r="Q66" s="18" t="s">
        <v>7975</v>
      </c>
      <c r="R66" s="18" t="s">
        <v>7976</v>
      </c>
      <c r="S66" s="18" t="s">
        <v>8070</v>
      </c>
      <c r="T66" s="18" t="s">
        <v>8071</v>
      </c>
      <c r="U66" s="18" t="s">
        <v>8012</v>
      </c>
      <c r="V66" s="18" t="s">
        <v>6963</v>
      </c>
      <c r="W66" s="18" t="s">
        <v>95</v>
      </c>
      <c r="X66" s="18" t="s">
        <v>95</v>
      </c>
      <c r="Y66" s="18" t="s">
        <v>7980</v>
      </c>
      <c r="Z66" s="18" t="s">
        <v>6996</v>
      </c>
      <c r="AA66" s="69">
        <v>1</v>
      </c>
      <c r="AB66" s="18">
        <v>321.42856999999998</v>
      </c>
      <c r="AC66" s="18" t="s">
        <v>8490</v>
      </c>
      <c r="AD66" s="18" t="s">
        <v>7982</v>
      </c>
      <c r="AE66" s="18">
        <v>199.79</v>
      </c>
      <c r="AF66" s="18" t="s">
        <v>7983</v>
      </c>
      <c r="AG66" s="18">
        <v>199.79</v>
      </c>
      <c r="AH66" s="18" t="s">
        <v>95</v>
      </c>
      <c r="AI66" s="18" t="s">
        <v>183</v>
      </c>
      <c r="AJ66" s="18" t="s">
        <v>184</v>
      </c>
      <c r="AK66" s="18">
        <v>11.42</v>
      </c>
      <c r="AL66" s="18" t="s">
        <v>95</v>
      </c>
      <c r="AM66" s="18" t="s">
        <v>95</v>
      </c>
      <c r="AN66" s="18" t="s">
        <v>7984</v>
      </c>
      <c r="AO66" s="18" t="s">
        <v>92</v>
      </c>
      <c r="AP66" s="20" t="s">
        <v>651</v>
      </c>
      <c r="AQ66" s="18" t="s">
        <v>652</v>
      </c>
      <c r="AR66" s="18" t="s">
        <v>295</v>
      </c>
      <c r="AS66" s="18">
        <v>12</v>
      </c>
      <c r="AT66" s="18" t="s">
        <v>122</v>
      </c>
      <c r="AU66" s="18" t="s">
        <v>90</v>
      </c>
      <c r="AV66" s="18" t="s">
        <v>8072</v>
      </c>
      <c r="AW66" s="18" t="s">
        <v>8073</v>
      </c>
      <c r="AX66" s="18" t="s">
        <v>83</v>
      </c>
      <c r="AY66" s="18" t="s">
        <v>95</v>
      </c>
      <c r="AZ66" s="18" t="s">
        <v>95</v>
      </c>
      <c r="BA66" s="18" t="s">
        <v>95</v>
      </c>
      <c r="BB66" s="18" t="s">
        <v>95</v>
      </c>
      <c r="BC66" s="18" t="s">
        <v>118</v>
      </c>
      <c r="BD66" s="18">
        <v>65</v>
      </c>
      <c r="BE66" s="18" t="s">
        <v>95</v>
      </c>
      <c r="BF66" s="18" t="s">
        <v>95</v>
      </c>
      <c r="BG66" s="18" t="s">
        <v>95</v>
      </c>
      <c r="BH66" s="18" t="s">
        <v>95</v>
      </c>
      <c r="BI66" s="18">
        <v>12</v>
      </c>
      <c r="BJ66" s="18">
        <v>2022</v>
      </c>
      <c r="BK66" s="18" t="s">
        <v>95</v>
      </c>
      <c r="BL66" s="18" t="s">
        <v>95</v>
      </c>
      <c r="BM66" s="18" t="s">
        <v>95</v>
      </c>
      <c r="BN66" s="18" t="s">
        <v>85</v>
      </c>
      <c r="BO66" s="18" t="s">
        <v>86</v>
      </c>
      <c r="BP66" s="18" t="s">
        <v>90</v>
      </c>
      <c r="BQ66" s="18" t="s">
        <v>8050</v>
      </c>
      <c r="BR66" s="18" t="s">
        <v>92</v>
      </c>
      <c r="BS66" s="18" t="s">
        <v>7988</v>
      </c>
      <c r="BT66" s="18" t="s">
        <v>7989</v>
      </c>
      <c r="BU66" s="18" t="s">
        <v>7990</v>
      </c>
      <c r="BV66" s="18" t="str">
        <f>Terminales[[#This Row],[IMEI]]&amp;"SI"</f>
        <v>869113065757024SI</v>
      </c>
      <c r="BW66" s="18" t="str">
        <f>VLOOKUP(Terminales[[#This Row],[OFICINA_USUARIO]],[1]!Locales[#Data],3,0)</f>
        <v>TIENDA MACHALA</v>
      </c>
      <c r="BX66" s="18" t="str">
        <f>VLOOKUP(Terminales[[#This Row],[USUARIO_FINAL]],'[1]Personal Ppto vs Real'!$A:$F,6,0)</f>
        <v>SANCHEZ SARITAMA JOEL LUIS</v>
      </c>
      <c r="BY6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6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66" s="18">
        <f>DAY(Terminales[[#This Row],[FECHA_FACTURA]])</f>
        <v>5</v>
      </c>
      <c r="CB66" s="65">
        <f>IF(Terminales[[#This Row],[CANTIDAD]] = 1,INDEX([1]!Comisiones[#Data],MATCH("Terminales",[1]!Comisiones[Producto],0),MATCH(Terminales[[#This Row],[TIPO ALTA COMISIONES]],[1]!Comisiones[#Headers],0))*Terminales[[#This Row],[MONTO]],0)</f>
        <v>19.285714199999997</v>
      </c>
      <c r="CC66" s="65">
        <f>IFERROR(IF(AND(Terminales[[#This Row],[CANTIDAD]] = 1,Terminales[[#This Row],[MOVIMIENTO]] = "RENOVACION"),Terminales[[#This Row],[TARIFA_BASICA]]*0.5,),)</f>
        <v>5.71</v>
      </c>
      <c r="CD66" s="65">
        <f>IF('[1]Resumen TM'!$AW$20 &lt; 0.4,0,Terminales[[#This Row],[MONTO]]*0.02)</f>
        <v>6.4285714</v>
      </c>
      <c r="CE66" s="66">
        <f>Terminales[[#This Row],[COMISIONES TERMINALES]]+Terminales[[#This Row],[COMISIONES RENOVACIONES]]+Terminales[[#This Row],[COMISIONES BONO]]</f>
        <v>31.424285599999997</v>
      </c>
      <c r="CF66" s="67">
        <f>(Terminales[[#This Row],[COMISIONES TERMINALES]]*VLOOKUP(Terminales[[#This Row],[LOCALES]],[1]!Calendario[#Data],3,0))/VLOOKUP(Terminales[[#This Row],[LOCALES]],[1]!Calendario[#Data],2,0)</f>
        <v>31.256157496551722</v>
      </c>
      <c r="CG66" s="67">
        <f>(Terminales[[#This Row],[COMISIONES RENOVACIONES]]*VLOOKUP(Terminales[[#This Row],[LOCALES]],[1]!Calendario[#Data],3,0))/VLOOKUP(Terminales[[#This Row],[LOCALES]],[1]!Calendario[#Data],2,0)</f>
        <v>9.2541379310344833</v>
      </c>
      <c r="CH66" s="67">
        <f>(Terminales[[#This Row],[COMISIONES BONO]]*VLOOKUP(Terminales[[#This Row],[LOCALES]],[1]!Calendario[#Data],3,0))/VLOOKUP(Terminales[[#This Row],[LOCALES]],[1]!Calendario[#Data],2,0)</f>
        <v>10.418719165517242</v>
      </c>
      <c r="CI66" s="67">
        <f>Terminales[[#This Row],[PROY. COM. TERMINALES]]+Terminales[[#This Row],[PROY. COM. RENOV.]]+Terminales[[#This Row],[PROY. COM. 2%]]</f>
        <v>50.929014593103446</v>
      </c>
    </row>
    <row r="67" spans="1:87" x14ac:dyDescent="0.25">
      <c r="A67" s="68">
        <v>44926</v>
      </c>
      <c r="B67" s="68">
        <v>44900</v>
      </c>
      <c r="C67" s="18" t="s">
        <v>291</v>
      </c>
      <c r="D67" s="18" t="s">
        <v>78</v>
      </c>
      <c r="E67" s="18" t="s">
        <v>311</v>
      </c>
      <c r="F67" s="18" t="s">
        <v>8491</v>
      </c>
      <c r="G67" s="18" t="s">
        <v>292</v>
      </c>
      <c r="H67" s="18" t="s">
        <v>494</v>
      </c>
      <c r="I67" s="18" t="s">
        <v>8492</v>
      </c>
      <c r="J67" s="18" t="s">
        <v>95</v>
      </c>
      <c r="K67" s="18" t="s">
        <v>7970</v>
      </c>
      <c r="L67" s="18" t="s">
        <v>8493</v>
      </c>
      <c r="M67" s="18" t="s">
        <v>8494</v>
      </c>
      <c r="N67" s="18" t="s">
        <v>8495</v>
      </c>
      <c r="O67" s="18" t="s">
        <v>1691</v>
      </c>
      <c r="P67" s="18" t="s">
        <v>8496</v>
      </c>
      <c r="Q67" s="18" t="s">
        <v>7975</v>
      </c>
      <c r="R67" s="18" t="s">
        <v>7976</v>
      </c>
      <c r="S67" s="18" t="s">
        <v>8045</v>
      </c>
      <c r="T67" s="18" t="s">
        <v>8225</v>
      </c>
      <c r="U67" s="18" t="s">
        <v>8012</v>
      </c>
      <c r="V67" s="18" t="s">
        <v>6963</v>
      </c>
      <c r="W67" s="18" t="s">
        <v>95</v>
      </c>
      <c r="X67" s="18" t="s">
        <v>95</v>
      </c>
      <c r="Y67" s="18" t="s">
        <v>7980</v>
      </c>
      <c r="Z67" s="18" t="s">
        <v>6996</v>
      </c>
      <c r="AA67" s="69">
        <v>1</v>
      </c>
      <c r="AB67" s="18">
        <v>241.07142999999999</v>
      </c>
      <c r="AC67" s="18" t="s">
        <v>8497</v>
      </c>
      <c r="AD67" s="18" t="s">
        <v>7982</v>
      </c>
      <c r="AE67" s="18">
        <v>232</v>
      </c>
      <c r="AF67" s="18" t="s">
        <v>7983</v>
      </c>
      <c r="AG67" s="18">
        <v>232</v>
      </c>
      <c r="AH67" s="18" t="s">
        <v>95</v>
      </c>
      <c r="AI67" s="18" t="s">
        <v>7404</v>
      </c>
      <c r="AJ67" s="18" t="s">
        <v>7405</v>
      </c>
      <c r="AK67" s="18">
        <v>29.99</v>
      </c>
      <c r="AL67" s="18" t="s">
        <v>95</v>
      </c>
      <c r="AM67" s="18" t="s">
        <v>95</v>
      </c>
      <c r="AN67" s="18" t="s">
        <v>7984</v>
      </c>
      <c r="AO67" s="18" t="s">
        <v>92</v>
      </c>
      <c r="AP67" s="20" t="s">
        <v>149</v>
      </c>
      <c r="AQ67" s="18" t="s">
        <v>150</v>
      </c>
      <c r="AR67" s="18" t="s">
        <v>496</v>
      </c>
      <c r="AS67" s="18">
        <v>1</v>
      </c>
      <c r="AT67" s="18" t="s">
        <v>151</v>
      </c>
      <c r="AU67" s="18" t="s">
        <v>90</v>
      </c>
      <c r="AV67" s="18" t="s">
        <v>8228</v>
      </c>
      <c r="AW67" s="18" t="s">
        <v>8229</v>
      </c>
      <c r="AX67" s="18" t="s">
        <v>83</v>
      </c>
      <c r="AY67" s="18" t="s">
        <v>95</v>
      </c>
      <c r="AZ67" s="18" t="s">
        <v>95</v>
      </c>
      <c r="BA67" s="18" t="s">
        <v>95</v>
      </c>
      <c r="BB67" s="18" t="s">
        <v>95</v>
      </c>
      <c r="BC67" s="18" t="s">
        <v>215</v>
      </c>
      <c r="BD67" s="18" t="s">
        <v>95</v>
      </c>
      <c r="BE67" s="18" t="s">
        <v>8170</v>
      </c>
      <c r="BF67" s="18" t="s">
        <v>8064</v>
      </c>
      <c r="BG67" s="18" t="s">
        <v>95</v>
      </c>
      <c r="BH67" s="18" t="s">
        <v>95</v>
      </c>
      <c r="BI67" s="18">
        <v>12</v>
      </c>
      <c r="BJ67" s="18">
        <v>2022</v>
      </c>
      <c r="BK67" s="18" t="s">
        <v>95</v>
      </c>
      <c r="BL67" s="18" t="s">
        <v>95</v>
      </c>
      <c r="BM67" s="18" t="s">
        <v>95</v>
      </c>
      <c r="BN67" s="18" t="s">
        <v>85</v>
      </c>
      <c r="BO67" s="18" t="s">
        <v>86</v>
      </c>
      <c r="BP67" s="18" t="s">
        <v>90</v>
      </c>
      <c r="BQ67" s="18" t="s">
        <v>8141</v>
      </c>
      <c r="BR67" s="18" t="s">
        <v>92</v>
      </c>
      <c r="BS67" s="18" t="s">
        <v>8003</v>
      </c>
      <c r="BT67" s="18" t="s">
        <v>7989</v>
      </c>
      <c r="BU67" s="18" t="s">
        <v>496</v>
      </c>
      <c r="BV67" s="18" t="str">
        <f>Terminales[[#This Row],[IMEI]]&amp;"SI"</f>
        <v>356795950946900SI</v>
      </c>
      <c r="BW67" s="18" t="str">
        <f>VLOOKUP(Terminales[[#This Row],[OFICINA_USUARIO]],[1]!Locales[#Data],3,0)</f>
        <v>TIENDA CUENCA REMIGIO</v>
      </c>
      <c r="BX67" s="18" t="str">
        <f>VLOOKUP(Terminales[[#This Row],[USUARIO_FINAL]],'[1]Personal Ppto vs Real'!$A:$F,6,0)</f>
        <v>OSORIO TEJADA ANA ESTEFANIA</v>
      </c>
      <c r="BY6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6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67" s="18">
        <f>DAY(Terminales[[#This Row],[FECHA_FACTURA]])</f>
        <v>5</v>
      </c>
      <c r="CB67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67" s="65">
        <f>IFERROR(IF(AND(Terminales[[#This Row],[CANTIDAD]] = 1,Terminales[[#This Row],[MOVIMIENTO]] = "RENOVACION"),Terminales[[#This Row],[TARIFA_BASICA]]*0.5,),)</f>
        <v>14.994999999999999</v>
      </c>
      <c r="CD67" s="65">
        <f>IF('[1]Resumen TM'!$AW$20 &lt; 0.4,0,Terminales[[#This Row],[MONTO]]*0.02)</f>
        <v>4.8214286</v>
      </c>
      <c r="CE67" s="66">
        <f>Terminales[[#This Row],[COMISIONES TERMINALES]]+Terminales[[#This Row],[COMISIONES RENOVACIONES]]+Terminales[[#This Row],[COMISIONES BONO]]</f>
        <v>43.923571599999995</v>
      </c>
      <c r="CF67" s="67">
        <f>(Terminales[[#This Row],[COMISIONES TERMINALES]]*VLOOKUP(Terminales[[#This Row],[LOCALES]],[1]!Calendario[#Data],3,0))/VLOOKUP(Terminales[[#This Row],[LOCALES]],[1]!Calendario[#Data],2,0)</f>
        <v>39.070197275862071</v>
      </c>
      <c r="CG67" s="67">
        <f>(Terminales[[#This Row],[COMISIONES RENOVACIONES]]*VLOOKUP(Terminales[[#This Row],[LOCALES]],[1]!Calendario[#Data],3,0))/VLOOKUP(Terminales[[#This Row],[LOCALES]],[1]!Calendario[#Data],2,0)</f>
        <v>24.302241379310345</v>
      </c>
      <c r="CH67" s="67">
        <f>(Terminales[[#This Row],[COMISIONES BONO]]*VLOOKUP(Terminales[[#This Row],[LOCALES]],[1]!Calendario[#Data],3,0))/VLOOKUP(Terminales[[#This Row],[LOCALES]],[1]!Calendario[#Data],2,0)</f>
        <v>7.8140394551724137</v>
      </c>
      <c r="CI67" s="67">
        <f>Terminales[[#This Row],[PROY. COM. TERMINALES]]+Terminales[[#This Row],[PROY. COM. RENOV.]]+Terminales[[#This Row],[PROY. COM. 2%]]</f>
        <v>71.186478110344837</v>
      </c>
    </row>
    <row r="68" spans="1:87" x14ac:dyDescent="0.25">
      <c r="A68" s="68">
        <v>44926</v>
      </c>
      <c r="B68" s="68">
        <v>44900</v>
      </c>
      <c r="C68" s="18" t="s">
        <v>96</v>
      </c>
      <c r="D68" s="18" t="s">
        <v>96</v>
      </c>
      <c r="E68" s="18" t="s">
        <v>96</v>
      </c>
      <c r="F68" s="18" t="s">
        <v>95</v>
      </c>
      <c r="G68" s="18" t="s">
        <v>292</v>
      </c>
      <c r="H68" s="18" t="s">
        <v>494</v>
      </c>
      <c r="I68" s="18" t="s">
        <v>8498</v>
      </c>
      <c r="J68" s="18" t="s">
        <v>95</v>
      </c>
      <c r="K68" s="18" t="s">
        <v>7970</v>
      </c>
      <c r="L68" s="18" t="s">
        <v>8499</v>
      </c>
      <c r="M68" s="18" t="s">
        <v>8500</v>
      </c>
      <c r="N68" s="18" t="s">
        <v>8501</v>
      </c>
      <c r="O68" s="18" t="s">
        <v>543</v>
      </c>
      <c r="P68" s="18" t="s">
        <v>8502</v>
      </c>
      <c r="Q68" s="18" t="s">
        <v>7975</v>
      </c>
      <c r="R68" s="18" t="s">
        <v>7976</v>
      </c>
      <c r="S68" s="18" t="s">
        <v>7994</v>
      </c>
      <c r="T68" s="18" t="s">
        <v>8245</v>
      </c>
      <c r="U68" s="18" t="s">
        <v>8012</v>
      </c>
      <c r="V68" s="18" t="s">
        <v>6963</v>
      </c>
      <c r="W68" s="18" t="s">
        <v>95</v>
      </c>
      <c r="X68" s="18" t="s">
        <v>95</v>
      </c>
      <c r="Y68" s="18" t="s">
        <v>7980</v>
      </c>
      <c r="Z68" s="18" t="s">
        <v>6996</v>
      </c>
      <c r="AA68" s="69">
        <v>1</v>
      </c>
      <c r="AB68" s="18">
        <v>156.25</v>
      </c>
      <c r="AC68" s="18" t="s">
        <v>95</v>
      </c>
      <c r="AD68" s="18" t="s">
        <v>96</v>
      </c>
      <c r="AE68" s="18">
        <v>156</v>
      </c>
      <c r="AF68" s="18" t="s">
        <v>7983</v>
      </c>
      <c r="AG68" s="18">
        <v>156</v>
      </c>
      <c r="AH68" s="18" t="s">
        <v>95</v>
      </c>
      <c r="AI68" s="18" t="s">
        <v>95</v>
      </c>
      <c r="AJ68" s="18" t="s">
        <v>95</v>
      </c>
      <c r="AK68" s="18" t="s">
        <v>95</v>
      </c>
      <c r="AL68" s="18" t="s">
        <v>95</v>
      </c>
      <c r="AM68" s="18" t="s">
        <v>95</v>
      </c>
      <c r="AN68" s="18" t="s">
        <v>7984</v>
      </c>
      <c r="AO68" s="18" t="s">
        <v>139</v>
      </c>
      <c r="AP68" s="20" t="s">
        <v>630</v>
      </c>
      <c r="AQ68" s="18" t="s">
        <v>631</v>
      </c>
      <c r="AR68" s="18" t="s">
        <v>496</v>
      </c>
      <c r="AS68" s="18">
        <v>1</v>
      </c>
      <c r="AT68" s="18" t="s">
        <v>177</v>
      </c>
      <c r="AU68" s="18" t="s">
        <v>90</v>
      </c>
      <c r="AV68" s="18" t="s">
        <v>8247</v>
      </c>
      <c r="AW68" s="18" t="s">
        <v>8248</v>
      </c>
      <c r="AX68" s="18" t="s">
        <v>83</v>
      </c>
      <c r="AY68" s="18" t="s">
        <v>95</v>
      </c>
      <c r="AZ68" s="18" t="s">
        <v>95</v>
      </c>
      <c r="BA68" s="18" t="s">
        <v>95</v>
      </c>
      <c r="BB68" s="18" t="s">
        <v>95</v>
      </c>
      <c r="BC68" s="18" t="s">
        <v>95</v>
      </c>
      <c r="BD68" s="18" t="s">
        <v>95</v>
      </c>
      <c r="BE68" s="18" t="s">
        <v>8170</v>
      </c>
      <c r="BF68" s="18" t="s">
        <v>8064</v>
      </c>
      <c r="BG68" s="18" t="s">
        <v>95</v>
      </c>
      <c r="BH68" s="18" t="s">
        <v>95</v>
      </c>
      <c r="BI68" s="18">
        <v>12</v>
      </c>
      <c r="BJ68" s="18">
        <v>2022</v>
      </c>
      <c r="BK68" s="18" t="s">
        <v>95</v>
      </c>
      <c r="BL68" s="18" t="s">
        <v>95</v>
      </c>
      <c r="BM68" s="18" t="s">
        <v>95</v>
      </c>
      <c r="BN68" s="18" t="s">
        <v>85</v>
      </c>
      <c r="BO68" s="18" t="s">
        <v>86</v>
      </c>
      <c r="BP68" s="18" t="s">
        <v>90</v>
      </c>
      <c r="BQ68" s="18" t="s">
        <v>8002</v>
      </c>
      <c r="BR68" s="18" t="s">
        <v>139</v>
      </c>
      <c r="BS68" s="18" t="s">
        <v>8003</v>
      </c>
      <c r="BT68" s="18" t="s">
        <v>7989</v>
      </c>
      <c r="BU68" s="18" t="s">
        <v>496</v>
      </c>
      <c r="BV68" s="18" t="str">
        <f>Terminales[[#This Row],[IMEI]]&amp;"SI"</f>
        <v>355108340320151SI</v>
      </c>
      <c r="BW68" s="18" t="str">
        <f>VLOOKUP(Terminales[[#This Row],[OFICINA_USUARIO]],[1]!Locales[#Data],3,0)</f>
        <v>TIENDA RECREO</v>
      </c>
      <c r="BX68" s="18" t="str">
        <f>VLOOKUP(Terminales[[#This Row],[USUARIO_FINAL]],'[1]Personal Ppto vs Real'!$A:$F,6,0)</f>
        <v>LOAYZA AGUILAR JONATHAN FABIAN</v>
      </c>
      <c r="BY68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6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68" s="18">
        <f>DAY(Terminales[[#This Row],[FECHA_FACTURA]])</f>
        <v>5</v>
      </c>
      <c r="CB68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68" s="65">
        <f>IFERROR(IF(AND(Terminales[[#This Row],[CANTIDAD]] = 1,Terminales[[#This Row],[MOVIMIENTO]] = "RENOVACION"),Terminales[[#This Row],[TARIFA_BASICA]]*0.5,),)</f>
        <v>0</v>
      </c>
      <c r="CD68" s="65">
        <f>IF('[1]Resumen TM'!$AW$20 &lt; 0.4,0,Terminales[[#This Row],[MONTO]]*0.02)</f>
        <v>3.125</v>
      </c>
      <c r="CE68" s="66">
        <f>Terminales[[#This Row],[COMISIONES TERMINALES]]+Terminales[[#This Row],[COMISIONES RENOVACIONES]]+Terminales[[#This Row],[COMISIONES BONO]]</f>
        <v>18.75</v>
      </c>
      <c r="CF68" s="67">
        <f>(Terminales[[#This Row],[COMISIONES TERMINALES]]*VLOOKUP(Terminales[[#This Row],[LOCALES]],[1]!Calendario[#Data],3,0))/VLOOKUP(Terminales[[#This Row],[LOCALES]],[1]!Calendario[#Data],2,0)</f>
        <v>25.705645161290324</v>
      </c>
      <c r="CG68" s="67">
        <f>(Terminales[[#This Row],[COMISIONES RENOVACIONES]]*VLOOKUP(Terminales[[#This Row],[LOCALES]],[1]!Calendario[#Data],3,0))/VLOOKUP(Terminales[[#This Row],[LOCALES]],[1]!Calendario[#Data],2,0)</f>
        <v>0</v>
      </c>
      <c r="CH68" s="67">
        <f>(Terminales[[#This Row],[COMISIONES BONO]]*VLOOKUP(Terminales[[#This Row],[LOCALES]],[1]!Calendario[#Data],3,0))/VLOOKUP(Terminales[[#This Row],[LOCALES]],[1]!Calendario[#Data],2,0)</f>
        <v>5.1411290322580649</v>
      </c>
      <c r="CI68" s="67">
        <f>Terminales[[#This Row],[PROY. COM. TERMINALES]]+Terminales[[#This Row],[PROY. COM. RENOV.]]+Terminales[[#This Row],[PROY. COM. 2%]]</f>
        <v>30.846774193548388</v>
      </c>
    </row>
    <row r="69" spans="1:87" x14ac:dyDescent="0.25">
      <c r="A69" s="68">
        <v>44926</v>
      </c>
      <c r="B69" s="68">
        <v>44900</v>
      </c>
      <c r="C69" s="18" t="s">
        <v>291</v>
      </c>
      <c r="D69" s="18" t="s">
        <v>78</v>
      </c>
      <c r="E69" s="18" t="s">
        <v>2241</v>
      </c>
      <c r="F69" s="18" t="s">
        <v>7093</v>
      </c>
      <c r="G69" s="18" t="s">
        <v>292</v>
      </c>
      <c r="H69" s="18" t="s">
        <v>494</v>
      </c>
      <c r="I69" s="18" t="s">
        <v>8503</v>
      </c>
      <c r="J69" s="18" t="s">
        <v>95</v>
      </c>
      <c r="K69" s="18" t="s">
        <v>7970</v>
      </c>
      <c r="L69" s="18" t="s">
        <v>8504</v>
      </c>
      <c r="M69" s="18" t="s">
        <v>8505</v>
      </c>
      <c r="N69" s="18" t="s">
        <v>7095</v>
      </c>
      <c r="O69" s="18" t="s">
        <v>8455</v>
      </c>
      <c r="P69" s="18" t="s">
        <v>8506</v>
      </c>
      <c r="Q69" s="18" t="s">
        <v>7975</v>
      </c>
      <c r="R69" s="18" t="s">
        <v>7976</v>
      </c>
      <c r="S69" s="18" t="s">
        <v>8045</v>
      </c>
      <c r="T69" s="18" t="s">
        <v>8457</v>
      </c>
      <c r="U69" s="18" t="s">
        <v>8100</v>
      </c>
      <c r="V69" s="18" t="s">
        <v>6963</v>
      </c>
      <c r="W69" s="18" t="s">
        <v>95</v>
      </c>
      <c r="X69" s="18" t="s">
        <v>95</v>
      </c>
      <c r="Y69" s="18" t="s">
        <v>7980</v>
      </c>
      <c r="Z69" s="18" t="s">
        <v>6996</v>
      </c>
      <c r="AA69" s="69">
        <v>1</v>
      </c>
      <c r="AB69" s="18">
        <v>558.03570999999999</v>
      </c>
      <c r="AC69" s="18" t="s">
        <v>7094</v>
      </c>
      <c r="AD69" s="18" t="s">
        <v>7982</v>
      </c>
      <c r="AE69" s="18">
        <v>550</v>
      </c>
      <c r="AF69" s="18" t="s">
        <v>7983</v>
      </c>
      <c r="AG69" s="18">
        <v>550</v>
      </c>
      <c r="AH69" s="18" t="s">
        <v>95</v>
      </c>
      <c r="AI69" s="18" t="s">
        <v>227</v>
      </c>
      <c r="AJ69" s="18" t="s">
        <v>426</v>
      </c>
      <c r="AK69" s="18">
        <v>21.42</v>
      </c>
      <c r="AL69" s="18" t="s">
        <v>95</v>
      </c>
      <c r="AM69" s="18" t="s">
        <v>95</v>
      </c>
      <c r="AN69" s="18" t="s">
        <v>7984</v>
      </c>
      <c r="AO69" s="18" t="s">
        <v>92</v>
      </c>
      <c r="AP69" s="20" t="s">
        <v>242</v>
      </c>
      <c r="AQ69" s="18" t="s">
        <v>243</v>
      </c>
      <c r="AR69" s="18" t="s">
        <v>496</v>
      </c>
      <c r="AS69" s="18">
        <v>1</v>
      </c>
      <c r="AT69" s="18" t="s">
        <v>91</v>
      </c>
      <c r="AU69" s="18" t="s">
        <v>90</v>
      </c>
      <c r="AV69" s="18" t="s">
        <v>8459</v>
      </c>
      <c r="AW69" s="18" t="s">
        <v>8460</v>
      </c>
      <c r="AX69" s="18" t="s">
        <v>83</v>
      </c>
      <c r="AY69" s="18" t="s">
        <v>95</v>
      </c>
      <c r="AZ69" s="18" t="s">
        <v>95</v>
      </c>
      <c r="BA69" s="18" t="s">
        <v>95</v>
      </c>
      <c r="BB69" s="18" t="s">
        <v>95</v>
      </c>
      <c r="BC69" s="18" t="s">
        <v>118</v>
      </c>
      <c r="BD69" s="18" t="s">
        <v>95</v>
      </c>
      <c r="BE69" s="18" t="s">
        <v>95</v>
      </c>
      <c r="BF69" s="18" t="s">
        <v>95</v>
      </c>
      <c r="BG69" s="18" t="s">
        <v>95</v>
      </c>
      <c r="BH69" s="18" t="s">
        <v>95</v>
      </c>
      <c r="BI69" s="18">
        <v>12</v>
      </c>
      <c r="BJ69" s="18">
        <v>2022</v>
      </c>
      <c r="BK69" s="18" t="s">
        <v>95</v>
      </c>
      <c r="BL69" s="18" t="s">
        <v>95</v>
      </c>
      <c r="BM69" s="18" t="s">
        <v>95</v>
      </c>
      <c r="BN69" s="18" t="s">
        <v>85</v>
      </c>
      <c r="BO69" s="18" t="s">
        <v>86</v>
      </c>
      <c r="BP69" s="18" t="s">
        <v>90</v>
      </c>
      <c r="BQ69" s="18" t="s">
        <v>8106</v>
      </c>
      <c r="BR69" s="18" t="s">
        <v>92</v>
      </c>
      <c r="BS69" s="18" t="s">
        <v>8074</v>
      </c>
      <c r="BT69" s="18" t="s">
        <v>7989</v>
      </c>
      <c r="BU69" s="18" t="s">
        <v>496</v>
      </c>
      <c r="BV69" s="18" t="str">
        <f>Terminales[[#This Row],[IMEI]]&amp;"SI"</f>
        <v>355180120681870SI</v>
      </c>
      <c r="BW69" s="18" t="str">
        <f>VLOOKUP(Terminales[[#This Row],[OFICINA_USUARIO]],[1]!Locales[#Data],3,0)</f>
        <v>TIENDA CUENCA CENTRO</v>
      </c>
      <c r="BX69" s="18" t="str">
        <f>VLOOKUP(Terminales[[#This Row],[USUARIO_FINAL]],'[1]Personal Ppto vs Real'!$A:$F,6,0)</f>
        <v>VALLEJO DELEG ROMAN NICOLAS</v>
      </c>
      <c r="BY6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6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69" s="18">
        <f>DAY(Terminales[[#This Row],[FECHA_FACTURA]])</f>
        <v>5</v>
      </c>
      <c r="CB69" s="65">
        <f>IF(Terminales[[#This Row],[CANTIDAD]] = 1,INDEX([1]!Comisiones[#Data],MATCH("Terminales",[1]!Comisiones[Producto],0),MATCH(Terminales[[#This Row],[TIPO ALTA COMISIONES]],[1]!Comisiones[#Headers],0))*Terminales[[#This Row],[MONTO]],0)</f>
        <v>55.803571000000005</v>
      </c>
      <c r="CC69" s="65">
        <f>IFERROR(IF(AND(Terminales[[#This Row],[CANTIDAD]] = 1,Terminales[[#This Row],[MOVIMIENTO]] = "RENOVACION"),Terminales[[#This Row],[TARIFA_BASICA]]*0.5,),)</f>
        <v>10.71</v>
      </c>
      <c r="CD69" s="65">
        <f>IF('[1]Resumen TM'!$AW$20 &lt; 0.4,0,Terminales[[#This Row],[MONTO]]*0.02)</f>
        <v>11.160714199999999</v>
      </c>
      <c r="CE69" s="66">
        <f>Terminales[[#This Row],[COMISIONES TERMINALES]]+Terminales[[#This Row],[COMISIONES RENOVACIONES]]+Terminales[[#This Row],[COMISIONES BONO]]</f>
        <v>77.674285200000014</v>
      </c>
      <c r="CF69" s="67">
        <f>(Terminales[[#This Row],[COMISIONES TERMINALES]]*VLOOKUP(Terminales[[#This Row],[LOCALES]],[1]!Calendario[#Data],3,0))/VLOOKUP(Terminales[[#This Row],[LOCALES]],[1]!Calendario[#Data],2,0)</f>
        <v>90.440270241379324</v>
      </c>
      <c r="CG69" s="67">
        <f>(Terminales[[#This Row],[COMISIONES RENOVACIONES]]*VLOOKUP(Terminales[[#This Row],[LOCALES]],[1]!Calendario[#Data],3,0))/VLOOKUP(Terminales[[#This Row],[LOCALES]],[1]!Calendario[#Data],2,0)</f>
        <v>17.357586206896553</v>
      </c>
      <c r="CH69" s="67">
        <f>(Terminales[[#This Row],[COMISIONES BONO]]*VLOOKUP(Terminales[[#This Row],[LOCALES]],[1]!Calendario[#Data],3,0))/VLOOKUP(Terminales[[#This Row],[LOCALES]],[1]!Calendario[#Data],2,0)</f>
        <v>18.088054048275861</v>
      </c>
      <c r="CI69" s="67">
        <f>Terminales[[#This Row],[PROY. COM. TERMINALES]]+Terminales[[#This Row],[PROY. COM. RENOV.]]+Terminales[[#This Row],[PROY. COM. 2%]]</f>
        <v>125.88591049655174</v>
      </c>
    </row>
    <row r="70" spans="1:87" x14ac:dyDescent="0.25">
      <c r="A70" s="68">
        <v>44926</v>
      </c>
      <c r="B70" s="68">
        <v>44900</v>
      </c>
      <c r="C70" s="18" t="s">
        <v>291</v>
      </c>
      <c r="D70" s="18" t="s">
        <v>78</v>
      </c>
      <c r="E70" s="18" t="s">
        <v>1036</v>
      </c>
      <c r="F70" s="18" t="s">
        <v>8507</v>
      </c>
      <c r="G70" s="18" t="s">
        <v>292</v>
      </c>
      <c r="H70" s="18" t="s">
        <v>293</v>
      </c>
      <c r="I70" s="18" t="s">
        <v>8508</v>
      </c>
      <c r="J70" s="18" t="s">
        <v>95</v>
      </c>
      <c r="K70" s="18" t="s">
        <v>7970</v>
      </c>
      <c r="L70" s="18" t="s">
        <v>6218</v>
      </c>
      <c r="M70" s="18" t="s">
        <v>6219</v>
      </c>
      <c r="N70" s="18" t="s">
        <v>6220</v>
      </c>
      <c r="O70" s="18" t="s">
        <v>6467</v>
      </c>
      <c r="P70" s="18" t="s">
        <v>8509</v>
      </c>
      <c r="Q70" s="18" t="s">
        <v>7975</v>
      </c>
      <c r="R70" s="18" t="s">
        <v>7976</v>
      </c>
      <c r="S70" s="18" t="s">
        <v>8045</v>
      </c>
      <c r="T70" s="18" t="s">
        <v>8331</v>
      </c>
      <c r="U70" s="18" t="s">
        <v>7996</v>
      </c>
      <c r="V70" s="18" t="s">
        <v>6963</v>
      </c>
      <c r="W70" s="18" t="s">
        <v>95</v>
      </c>
      <c r="X70" s="18" t="s">
        <v>95</v>
      </c>
      <c r="Y70" s="18" t="s">
        <v>7980</v>
      </c>
      <c r="Z70" s="18" t="s">
        <v>6996</v>
      </c>
      <c r="AA70" s="69">
        <v>1</v>
      </c>
      <c r="AB70" s="18">
        <v>138.39286000000001</v>
      </c>
      <c r="AC70" s="18" t="s">
        <v>8510</v>
      </c>
      <c r="AD70" s="18" t="s">
        <v>7982</v>
      </c>
      <c r="AE70" s="18">
        <v>91</v>
      </c>
      <c r="AF70" s="18" t="s">
        <v>7983</v>
      </c>
      <c r="AG70" s="18">
        <v>91</v>
      </c>
      <c r="AH70" s="18" t="s">
        <v>95</v>
      </c>
      <c r="AI70" s="18" t="s">
        <v>112</v>
      </c>
      <c r="AJ70" s="18" t="s">
        <v>781</v>
      </c>
      <c r="AK70" s="18">
        <v>17.850000000000001</v>
      </c>
      <c r="AL70" s="18" t="s">
        <v>95</v>
      </c>
      <c r="AM70" s="18" t="s">
        <v>95</v>
      </c>
      <c r="AN70" s="18" t="s">
        <v>7984</v>
      </c>
      <c r="AO70" s="18" t="s">
        <v>92</v>
      </c>
      <c r="AP70" s="20" t="s">
        <v>352</v>
      </c>
      <c r="AQ70" s="18" t="s">
        <v>353</v>
      </c>
      <c r="AR70" s="18" t="s">
        <v>295</v>
      </c>
      <c r="AS70" s="18">
        <v>6</v>
      </c>
      <c r="AT70" s="18" t="s">
        <v>122</v>
      </c>
      <c r="AU70" s="18" t="s">
        <v>90</v>
      </c>
      <c r="AV70" s="18" t="s">
        <v>8333</v>
      </c>
      <c r="AW70" s="18" t="s">
        <v>8334</v>
      </c>
      <c r="AX70" s="18" t="s">
        <v>83</v>
      </c>
      <c r="AY70" s="18" t="s">
        <v>95</v>
      </c>
      <c r="AZ70" s="18" t="s">
        <v>95</v>
      </c>
      <c r="BA70" s="18" t="s">
        <v>95</v>
      </c>
      <c r="BB70" s="18" t="s">
        <v>95</v>
      </c>
      <c r="BC70" s="18" t="s">
        <v>84</v>
      </c>
      <c r="BD70" s="18">
        <v>30</v>
      </c>
      <c r="BE70" s="18" t="s">
        <v>95</v>
      </c>
      <c r="BF70" s="18" t="s">
        <v>95</v>
      </c>
      <c r="BG70" s="18" t="s">
        <v>95</v>
      </c>
      <c r="BH70" s="18" t="s">
        <v>95</v>
      </c>
      <c r="BI70" s="18">
        <v>12</v>
      </c>
      <c r="BJ70" s="18">
        <v>2022</v>
      </c>
      <c r="BK70" s="18" t="s">
        <v>95</v>
      </c>
      <c r="BL70" s="18" t="s">
        <v>95</v>
      </c>
      <c r="BM70" s="18" t="s">
        <v>95</v>
      </c>
      <c r="BN70" s="18" t="s">
        <v>85</v>
      </c>
      <c r="BO70" s="18" t="s">
        <v>86</v>
      </c>
      <c r="BP70" s="18" t="s">
        <v>90</v>
      </c>
      <c r="BQ70" s="18" t="s">
        <v>8050</v>
      </c>
      <c r="BR70" s="18" t="s">
        <v>92</v>
      </c>
      <c r="BS70" s="18" t="s">
        <v>8027</v>
      </c>
      <c r="BT70" s="18" t="s">
        <v>7989</v>
      </c>
      <c r="BU70" s="18" t="s">
        <v>7990</v>
      </c>
      <c r="BV70" s="18" t="str">
        <f>Terminales[[#This Row],[IMEI]]&amp;"SI"</f>
        <v>352286990939844SI</v>
      </c>
      <c r="BW70" s="18" t="str">
        <f>VLOOKUP(Terminales[[#This Row],[OFICINA_USUARIO]],[1]!Locales[#Data],3,0)</f>
        <v>TIENDA MACHALA</v>
      </c>
      <c r="BX70" s="18" t="str">
        <f>VLOOKUP(Terminales[[#This Row],[USUARIO_FINAL]],'[1]Personal Ppto vs Real'!$A:$F,6,0)</f>
        <v>TENORIO MARIA DEL PILAR</v>
      </c>
      <c r="BY7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7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70" s="18">
        <f>DAY(Terminales[[#This Row],[FECHA_FACTURA]])</f>
        <v>5</v>
      </c>
      <c r="CB70" s="65">
        <f>IF(Terminales[[#This Row],[CANTIDAD]] = 1,INDEX([1]!Comisiones[#Data],MATCH("Terminales",[1]!Comisiones[Producto],0),MATCH(Terminales[[#This Row],[TIPO ALTA COMISIONES]],[1]!Comisiones[#Headers],0))*Terminales[[#This Row],[MONTO]],0)</f>
        <v>11.071428800000001</v>
      </c>
      <c r="CC70" s="65">
        <f>IFERROR(IF(AND(Terminales[[#This Row],[CANTIDAD]] = 1,Terminales[[#This Row],[MOVIMIENTO]] = "RENOVACION"),Terminales[[#This Row],[TARIFA_BASICA]]*0.5,),)</f>
        <v>8.9250000000000007</v>
      </c>
      <c r="CD70" s="65">
        <f>IF('[1]Resumen TM'!$AW$20 &lt; 0.4,0,Terminales[[#This Row],[MONTO]]*0.02)</f>
        <v>2.7678572000000004</v>
      </c>
      <c r="CE70" s="66">
        <f>Terminales[[#This Row],[COMISIONES TERMINALES]]+Terminales[[#This Row],[COMISIONES RENOVACIONES]]+Terminales[[#This Row],[COMISIONES BONO]]</f>
        <v>22.764286000000006</v>
      </c>
      <c r="CF70" s="67">
        <f>(Terminales[[#This Row],[COMISIONES TERMINALES]]*VLOOKUP(Terminales[[#This Row],[LOCALES]],[1]!Calendario[#Data],3,0))/VLOOKUP(Terminales[[#This Row],[LOCALES]],[1]!Calendario[#Data],2,0)</f>
        <v>17.943350124137933</v>
      </c>
      <c r="CG70" s="67">
        <f>(Terminales[[#This Row],[COMISIONES RENOVACIONES]]*VLOOKUP(Terminales[[#This Row],[LOCALES]],[1]!Calendario[#Data],3,0))/VLOOKUP(Terminales[[#This Row],[LOCALES]],[1]!Calendario[#Data],2,0)</f>
        <v>14.464655172413794</v>
      </c>
      <c r="CH70" s="67">
        <f>(Terminales[[#This Row],[COMISIONES BONO]]*VLOOKUP(Terminales[[#This Row],[LOCALES]],[1]!Calendario[#Data],3,0))/VLOOKUP(Terminales[[#This Row],[LOCALES]],[1]!Calendario[#Data],2,0)</f>
        <v>4.4858375310344831</v>
      </c>
      <c r="CI70" s="67">
        <f>Terminales[[#This Row],[PROY. COM. TERMINALES]]+Terminales[[#This Row],[PROY. COM. RENOV.]]+Terminales[[#This Row],[PROY. COM. 2%]]</f>
        <v>36.893842827586212</v>
      </c>
    </row>
    <row r="71" spans="1:87" x14ac:dyDescent="0.25">
      <c r="A71" s="68">
        <v>44926</v>
      </c>
      <c r="B71" s="68">
        <v>44900</v>
      </c>
      <c r="C71" s="18" t="s">
        <v>96</v>
      </c>
      <c r="D71" s="18" t="s">
        <v>96</v>
      </c>
      <c r="E71" s="18" t="s">
        <v>96</v>
      </c>
      <c r="F71" s="18" t="s">
        <v>8511</v>
      </c>
      <c r="G71" s="18" t="s">
        <v>292</v>
      </c>
      <c r="H71" s="18" t="s">
        <v>494</v>
      </c>
      <c r="I71" s="18" t="s">
        <v>8512</v>
      </c>
      <c r="J71" s="18" t="s">
        <v>95</v>
      </c>
      <c r="K71" s="18" t="s">
        <v>7970</v>
      </c>
      <c r="L71" s="18" t="s">
        <v>8513</v>
      </c>
      <c r="M71" s="18" t="s">
        <v>8514</v>
      </c>
      <c r="N71" s="18" t="s">
        <v>8515</v>
      </c>
      <c r="O71" s="18" t="s">
        <v>8379</v>
      </c>
      <c r="P71" s="18" t="s">
        <v>8516</v>
      </c>
      <c r="Q71" s="18" t="s">
        <v>7975</v>
      </c>
      <c r="R71" s="18" t="s">
        <v>7976</v>
      </c>
      <c r="S71" s="18" t="s">
        <v>8010</v>
      </c>
      <c r="T71" s="18" t="s">
        <v>8381</v>
      </c>
      <c r="U71" s="18" t="s">
        <v>7979</v>
      </c>
      <c r="V71" s="18" t="s">
        <v>6963</v>
      </c>
      <c r="W71" s="18" t="s">
        <v>95</v>
      </c>
      <c r="X71" s="18" t="s">
        <v>95</v>
      </c>
      <c r="Y71" s="18" t="s">
        <v>7980</v>
      </c>
      <c r="Z71" s="18" t="s">
        <v>6996</v>
      </c>
      <c r="AA71" s="69">
        <v>1</v>
      </c>
      <c r="AB71" s="18">
        <v>267.85714000000002</v>
      </c>
      <c r="AC71" s="18" t="s">
        <v>8517</v>
      </c>
      <c r="AD71" s="18" t="s">
        <v>96</v>
      </c>
      <c r="AE71" s="18">
        <v>291.2</v>
      </c>
      <c r="AF71" s="18" t="s">
        <v>7983</v>
      </c>
      <c r="AG71" s="18">
        <v>291.2</v>
      </c>
      <c r="AH71" s="18" t="s">
        <v>95</v>
      </c>
      <c r="AI71" s="18" t="s">
        <v>8102</v>
      </c>
      <c r="AJ71" s="18" t="s">
        <v>8103</v>
      </c>
      <c r="AK71" s="18" t="s">
        <v>95</v>
      </c>
      <c r="AL71" s="18" t="s">
        <v>95</v>
      </c>
      <c r="AM71" s="18" t="s">
        <v>95</v>
      </c>
      <c r="AN71" s="18" t="s">
        <v>7984</v>
      </c>
      <c r="AO71" s="18" t="s">
        <v>139</v>
      </c>
      <c r="AP71" s="20" t="s">
        <v>369</v>
      </c>
      <c r="AQ71" s="18" t="s">
        <v>370</v>
      </c>
      <c r="AR71" s="18" t="s">
        <v>496</v>
      </c>
      <c r="AS71" s="18">
        <v>1</v>
      </c>
      <c r="AT71" s="18" t="s">
        <v>177</v>
      </c>
      <c r="AU71" s="18" t="s">
        <v>90</v>
      </c>
      <c r="AV71" s="18" t="s">
        <v>8383</v>
      </c>
      <c r="AW71" s="18" t="s">
        <v>8384</v>
      </c>
      <c r="AX71" s="18" t="s">
        <v>83</v>
      </c>
      <c r="AY71" s="18" t="s">
        <v>95</v>
      </c>
      <c r="AZ71" s="18" t="s">
        <v>95</v>
      </c>
      <c r="BA71" s="18" t="s">
        <v>95</v>
      </c>
      <c r="BB71" s="18" t="s">
        <v>95</v>
      </c>
      <c r="BC71" s="18" t="s">
        <v>118</v>
      </c>
      <c r="BD71" s="18" t="s">
        <v>95</v>
      </c>
      <c r="BE71" s="18" t="s">
        <v>8278</v>
      </c>
      <c r="BF71" s="18" t="s">
        <v>8064</v>
      </c>
      <c r="BG71" s="18" t="s">
        <v>95</v>
      </c>
      <c r="BH71" s="18" t="s">
        <v>95</v>
      </c>
      <c r="BI71" s="18">
        <v>12</v>
      </c>
      <c r="BJ71" s="18">
        <v>2022</v>
      </c>
      <c r="BK71" s="18" t="s">
        <v>95</v>
      </c>
      <c r="BL71" s="18" t="s">
        <v>95</v>
      </c>
      <c r="BM71" s="18" t="s">
        <v>95</v>
      </c>
      <c r="BN71" s="18" t="s">
        <v>85</v>
      </c>
      <c r="BO71" s="18" t="s">
        <v>86</v>
      </c>
      <c r="BP71" s="18" t="s">
        <v>90</v>
      </c>
      <c r="BQ71" s="18" t="s">
        <v>8002</v>
      </c>
      <c r="BR71" s="18" t="s">
        <v>139</v>
      </c>
      <c r="BS71" s="18" t="s">
        <v>8003</v>
      </c>
      <c r="BT71" s="18" t="s">
        <v>7989</v>
      </c>
      <c r="BU71" s="18" t="s">
        <v>496</v>
      </c>
      <c r="BV71" s="18" t="str">
        <f>Terminales[[#This Row],[IMEI]]&amp;"SI"</f>
        <v>354911551774417SI</v>
      </c>
      <c r="BW71" s="18" t="str">
        <f>VLOOKUP(Terminales[[#This Row],[OFICINA_USUARIO]],[1]!Locales[#Data],3,0)</f>
        <v>TIENDA RECREO</v>
      </c>
      <c r="BX71" s="18" t="str">
        <f>VLOOKUP(Terminales[[#This Row],[USUARIO_FINAL]],'[1]Personal Ppto vs Real'!$A:$F,6,0)</f>
        <v>GUAIGUA REINOSO GENESIS CAROLINA</v>
      </c>
      <c r="BY7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7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71" s="18">
        <f>DAY(Terminales[[#This Row],[FECHA_FACTURA]])</f>
        <v>5</v>
      </c>
      <c r="CB71" s="65">
        <f>IF(Terminales[[#This Row],[CANTIDAD]] = 1,INDEX([1]!Comisiones[#Data],MATCH("Terminales",[1]!Comisiones[Producto],0),MATCH(Terminales[[#This Row],[TIPO ALTA COMISIONES]],[1]!Comisiones[#Headers],0))*Terminales[[#This Row],[MONTO]],0)</f>
        <v>26.785714000000002</v>
      </c>
      <c r="CC71" s="65">
        <f>IFERROR(IF(AND(Terminales[[#This Row],[CANTIDAD]] = 1,Terminales[[#This Row],[MOVIMIENTO]] = "RENOVACION"),Terminales[[#This Row],[TARIFA_BASICA]]*0.5,),)</f>
        <v>0</v>
      </c>
      <c r="CD71" s="65">
        <f>IF('[1]Resumen TM'!$AW$20 &lt; 0.4,0,Terminales[[#This Row],[MONTO]]*0.02)</f>
        <v>5.3571428000000001</v>
      </c>
      <c r="CE71" s="66">
        <f>Terminales[[#This Row],[COMISIONES TERMINALES]]+Terminales[[#This Row],[COMISIONES RENOVACIONES]]+Terminales[[#This Row],[COMISIONES BONO]]</f>
        <v>32.142856800000004</v>
      </c>
      <c r="CF71" s="67">
        <f>(Terminales[[#This Row],[COMISIONES TERMINALES]]*VLOOKUP(Terminales[[#This Row],[LOCALES]],[1]!Calendario[#Data],3,0))/VLOOKUP(Terminales[[#This Row],[LOCALES]],[1]!Calendario[#Data],2,0)</f>
        <v>44.066819806451612</v>
      </c>
      <c r="CG71" s="67">
        <f>(Terminales[[#This Row],[COMISIONES RENOVACIONES]]*VLOOKUP(Terminales[[#This Row],[LOCALES]],[1]!Calendario[#Data],3,0))/VLOOKUP(Terminales[[#This Row],[LOCALES]],[1]!Calendario[#Data],2,0)</f>
        <v>0</v>
      </c>
      <c r="CH71" s="67">
        <f>(Terminales[[#This Row],[COMISIONES BONO]]*VLOOKUP(Terminales[[#This Row],[LOCALES]],[1]!Calendario[#Data],3,0))/VLOOKUP(Terminales[[#This Row],[LOCALES]],[1]!Calendario[#Data],2,0)</f>
        <v>8.8133639612903227</v>
      </c>
      <c r="CI71" s="67">
        <f>Terminales[[#This Row],[PROY. COM. TERMINALES]]+Terminales[[#This Row],[PROY. COM. RENOV.]]+Terminales[[#This Row],[PROY. COM. 2%]]</f>
        <v>52.880183767741933</v>
      </c>
    </row>
    <row r="72" spans="1:87" x14ac:dyDescent="0.25">
      <c r="A72" s="68">
        <v>44926</v>
      </c>
      <c r="B72" s="68">
        <v>44900</v>
      </c>
      <c r="C72" s="18" t="s">
        <v>96</v>
      </c>
      <c r="D72" s="18" t="s">
        <v>96</v>
      </c>
      <c r="E72" s="18" t="s">
        <v>96</v>
      </c>
      <c r="F72" s="18" t="s">
        <v>8518</v>
      </c>
      <c r="G72" s="18" t="s">
        <v>292</v>
      </c>
      <c r="H72" s="18" t="s">
        <v>494</v>
      </c>
      <c r="I72" s="18" t="s">
        <v>8519</v>
      </c>
      <c r="J72" s="18" t="s">
        <v>95</v>
      </c>
      <c r="K72" s="18" t="s">
        <v>7970</v>
      </c>
      <c r="L72" s="18" t="s">
        <v>8520</v>
      </c>
      <c r="M72" s="18" t="s">
        <v>8521</v>
      </c>
      <c r="N72" s="18" t="s">
        <v>8522</v>
      </c>
      <c r="O72" s="18" t="s">
        <v>543</v>
      </c>
      <c r="P72" s="18" t="s">
        <v>8523</v>
      </c>
      <c r="Q72" s="18" t="s">
        <v>7975</v>
      </c>
      <c r="R72" s="18" t="s">
        <v>7976</v>
      </c>
      <c r="S72" s="18" t="s">
        <v>7994</v>
      </c>
      <c r="T72" s="18" t="s">
        <v>8245</v>
      </c>
      <c r="U72" s="18" t="s">
        <v>8012</v>
      </c>
      <c r="V72" s="18" t="s">
        <v>6963</v>
      </c>
      <c r="W72" s="18" t="s">
        <v>95</v>
      </c>
      <c r="X72" s="18" t="s">
        <v>95</v>
      </c>
      <c r="Y72" s="18" t="s">
        <v>7980</v>
      </c>
      <c r="Z72" s="18" t="s">
        <v>6996</v>
      </c>
      <c r="AA72" s="69">
        <v>1</v>
      </c>
      <c r="AB72" s="18">
        <v>156.25</v>
      </c>
      <c r="AC72" s="18" t="s">
        <v>8524</v>
      </c>
      <c r="AD72" s="18" t="s">
        <v>96</v>
      </c>
      <c r="AE72" s="18">
        <v>156</v>
      </c>
      <c r="AF72" s="18" t="s">
        <v>7983</v>
      </c>
      <c r="AG72" s="18">
        <v>156</v>
      </c>
      <c r="AH72" s="18" t="s">
        <v>95</v>
      </c>
      <c r="AI72" s="18" t="s">
        <v>8102</v>
      </c>
      <c r="AJ72" s="18" t="s">
        <v>8103</v>
      </c>
      <c r="AK72" s="18" t="s">
        <v>95</v>
      </c>
      <c r="AL72" s="18" t="s">
        <v>95</v>
      </c>
      <c r="AM72" s="18" t="s">
        <v>95</v>
      </c>
      <c r="AN72" s="18" t="s">
        <v>7984</v>
      </c>
      <c r="AO72" s="18" t="s">
        <v>139</v>
      </c>
      <c r="AP72" s="20" t="s">
        <v>271</v>
      </c>
      <c r="AQ72" s="18" t="s">
        <v>272</v>
      </c>
      <c r="AR72" s="18" t="s">
        <v>496</v>
      </c>
      <c r="AS72" s="18">
        <v>1</v>
      </c>
      <c r="AT72" s="18" t="s">
        <v>235</v>
      </c>
      <c r="AU72" s="18" t="s">
        <v>90</v>
      </c>
      <c r="AV72" s="18" t="s">
        <v>8247</v>
      </c>
      <c r="AW72" s="18" t="s">
        <v>8248</v>
      </c>
      <c r="AX72" s="18" t="s">
        <v>83</v>
      </c>
      <c r="AY72" s="18" t="s">
        <v>95</v>
      </c>
      <c r="AZ72" s="18" t="s">
        <v>95</v>
      </c>
      <c r="BA72" s="18" t="s">
        <v>95</v>
      </c>
      <c r="BB72" s="18" t="s">
        <v>95</v>
      </c>
      <c r="BC72" s="18" t="s">
        <v>118</v>
      </c>
      <c r="BD72" s="18" t="s">
        <v>95</v>
      </c>
      <c r="BE72" s="18" t="s">
        <v>95</v>
      </c>
      <c r="BF72" s="18" t="s">
        <v>95</v>
      </c>
      <c r="BG72" s="18" t="s">
        <v>95</v>
      </c>
      <c r="BH72" s="18" t="s">
        <v>95</v>
      </c>
      <c r="BI72" s="18">
        <v>12</v>
      </c>
      <c r="BJ72" s="18">
        <v>2022</v>
      </c>
      <c r="BK72" s="18" t="s">
        <v>95</v>
      </c>
      <c r="BL72" s="18" t="s">
        <v>95</v>
      </c>
      <c r="BM72" s="18" t="s">
        <v>95</v>
      </c>
      <c r="BN72" s="18" t="s">
        <v>85</v>
      </c>
      <c r="BO72" s="18" t="s">
        <v>86</v>
      </c>
      <c r="BP72" s="18" t="s">
        <v>90</v>
      </c>
      <c r="BQ72" s="18" t="s">
        <v>8016</v>
      </c>
      <c r="BR72" s="18" t="s">
        <v>139</v>
      </c>
      <c r="BS72" s="18" t="s">
        <v>8074</v>
      </c>
      <c r="BT72" s="18" t="s">
        <v>7989</v>
      </c>
      <c r="BU72" s="18" t="s">
        <v>496</v>
      </c>
      <c r="BV72" s="18" t="str">
        <f>Terminales[[#This Row],[IMEI]]&amp;"SI"</f>
        <v>355108340306879SI</v>
      </c>
      <c r="BW72" s="18" t="str">
        <f>VLOOKUP(Terminales[[#This Row],[OFICINA_USUARIO]],[1]!Locales[#Data],3,0)</f>
        <v>TIENDA CONDADO</v>
      </c>
      <c r="BX72" s="18" t="str">
        <f>VLOOKUP(Terminales[[#This Row],[USUARIO_FINAL]],'[1]Personal Ppto vs Real'!$A:$F,6,0)</f>
        <v>CASTILLO AGUIRRE EDWIN MODESTO</v>
      </c>
      <c r="BY7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7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72" s="18">
        <f>DAY(Terminales[[#This Row],[FECHA_FACTURA]])</f>
        <v>5</v>
      </c>
      <c r="CB72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72" s="65">
        <f>IFERROR(IF(AND(Terminales[[#This Row],[CANTIDAD]] = 1,Terminales[[#This Row],[MOVIMIENTO]] = "RENOVACION"),Terminales[[#This Row],[TARIFA_BASICA]]*0.5,),)</f>
        <v>0</v>
      </c>
      <c r="CD72" s="65">
        <f>IF('[1]Resumen TM'!$AW$20 &lt; 0.4,0,Terminales[[#This Row],[MONTO]]*0.02)</f>
        <v>3.125</v>
      </c>
      <c r="CE72" s="66">
        <f>Terminales[[#This Row],[COMISIONES TERMINALES]]+Terminales[[#This Row],[COMISIONES RENOVACIONES]]+Terminales[[#This Row],[COMISIONES BONO]]</f>
        <v>18.75</v>
      </c>
      <c r="CF72" s="67">
        <f>(Terminales[[#This Row],[COMISIONES TERMINALES]]*VLOOKUP(Terminales[[#This Row],[LOCALES]],[1]!Calendario[#Data],3,0))/VLOOKUP(Terminales[[#This Row],[LOCALES]],[1]!Calendario[#Data],2,0)</f>
        <v>25.705645161290324</v>
      </c>
      <c r="CG72" s="67">
        <f>(Terminales[[#This Row],[COMISIONES RENOVACIONES]]*VLOOKUP(Terminales[[#This Row],[LOCALES]],[1]!Calendario[#Data],3,0))/VLOOKUP(Terminales[[#This Row],[LOCALES]],[1]!Calendario[#Data],2,0)</f>
        <v>0</v>
      </c>
      <c r="CH72" s="67">
        <f>(Terminales[[#This Row],[COMISIONES BONO]]*VLOOKUP(Terminales[[#This Row],[LOCALES]],[1]!Calendario[#Data],3,0))/VLOOKUP(Terminales[[#This Row],[LOCALES]],[1]!Calendario[#Data],2,0)</f>
        <v>5.1411290322580649</v>
      </c>
      <c r="CI72" s="67">
        <f>Terminales[[#This Row],[PROY. COM. TERMINALES]]+Terminales[[#This Row],[PROY. COM. RENOV.]]+Terminales[[#This Row],[PROY. COM. 2%]]</f>
        <v>30.846774193548388</v>
      </c>
    </row>
    <row r="73" spans="1:87" x14ac:dyDescent="0.25">
      <c r="A73" s="68">
        <v>44926</v>
      </c>
      <c r="B73" s="68">
        <v>44900</v>
      </c>
      <c r="C73" s="18" t="s">
        <v>291</v>
      </c>
      <c r="D73" s="18" t="s">
        <v>78</v>
      </c>
      <c r="E73" s="18" t="s">
        <v>164</v>
      </c>
      <c r="F73" s="18" t="s">
        <v>5013</v>
      </c>
      <c r="G73" s="18" t="s">
        <v>292</v>
      </c>
      <c r="H73" s="18" t="s">
        <v>494</v>
      </c>
      <c r="I73" s="18" t="s">
        <v>8525</v>
      </c>
      <c r="J73" s="18" t="s">
        <v>95</v>
      </c>
      <c r="K73" s="18" t="s">
        <v>7970</v>
      </c>
      <c r="L73" s="18" t="s">
        <v>5014</v>
      </c>
      <c r="M73" s="18" t="s">
        <v>5015</v>
      </c>
      <c r="N73" s="18" t="s">
        <v>5016</v>
      </c>
      <c r="O73" s="18" t="s">
        <v>3770</v>
      </c>
      <c r="P73" s="18" t="s">
        <v>5017</v>
      </c>
      <c r="Q73" s="18" t="s">
        <v>7975</v>
      </c>
      <c r="R73" s="18" t="s">
        <v>7976</v>
      </c>
      <c r="S73" s="18" t="s">
        <v>8045</v>
      </c>
      <c r="T73" s="18" t="s">
        <v>8099</v>
      </c>
      <c r="U73" s="18" t="s">
        <v>8100</v>
      </c>
      <c r="V73" s="18" t="s">
        <v>6963</v>
      </c>
      <c r="W73" s="18" t="s">
        <v>95</v>
      </c>
      <c r="X73" s="18" t="s">
        <v>95</v>
      </c>
      <c r="Y73" s="18" t="s">
        <v>7980</v>
      </c>
      <c r="Z73" s="18" t="s">
        <v>6996</v>
      </c>
      <c r="AA73" s="69">
        <v>1</v>
      </c>
      <c r="AB73" s="18">
        <v>406.25</v>
      </c>
      <c r="AC73" s="18" t="s">
        <v>8526</v>
      </c>
      <c r="AD73" s="18" t="s">
        <v>8151</v>
      </c>
      <c r="AE73" s="18">
        <v>397</v>
      </c>
      <c r="AF73" s="18" t="s">
        <v>7983</v>
      </c>
      <c r="AG73" s="18">
        <v>397</v>
      </c>
      <c r="AH73" s="18" t="s">
        <v>95</v>
      </c>
      <c r="AI73" s="18" t="s">
        <v>71</v>
      </c>
      <c r="AJ73" s="18" t="s">
        <v>258</v>
      </c>
      <c r="AK73" s="18">
        <v>11.42</v>
      </c>
      <c r="AL73" s="18" t="s">
        <v>95</v>
      </c>
      <c r="AM73" s="18" t="s">
        <v>95</v>
      </c>
      <c r="AN73" s="18" t="s">
        <v>7984</v>
      </c>
      <c r="AO73" s="18" t="s">
        <v>92</v>
      </c>
      <c r="AP73" s="20" t="s">
        <v>651</v>
      </c>
      <c r="AQ73" s="18" t="s">
        <v>652</v>
      </c>
      <c r="AR73" s="18" t="s">
        <v>496</v>
      </c>
      <c r="AS73" s="18">
        <v>1</v>
      </c>
      <c r="AT73" s="18" t="s">
        <v>122</v>
      </c>
      <c r="AU73" s="18" t="s">
        <v>90</v>
      </c>
      <c r="AV73" s="18" t="s">
        <v>8104</v>
      </c>
      <c r="AW73" s="18" t="s">
        <v>8105</v>
      </c>
      <c r="AX73" s="18" t="s">
        <v>83</v>
      </c>
      <c r="AY73" s="18" t="s">
        <v>95</v>
      </c>
      <c r="AZ73" s="18" t="s">
        <v>95</v>
      </c>
      <c r="BA73" s="18" t="s">
        <v>95</v>
      </c>
      <c r="BB73" s="18" t="s">
        <v>95</v>
      </c>
      <c r="BC73" s="18" t="s">
        <v>118</v>
      </c>
      <c r="BD73" s="18" t="s">
        <v>95</v>
      </c>
      <c r="BE73" s="18" t="s">
        <v>8527</v>
      </c>
      <c r="BF73" s="18" t="s">
        <v>8064</v>
      </c>
      <c r="BG73" s="18" t="s">
        <v>95</v>
      </c>
      <c r="BH73" s="18" t="s">
        <v>95</v>
      </c>
      <c r="BI73" s="18">
        <v>12</v>
      </c>
      <c r="BJ73" s="18">
        <v>2022</v>
      </c>
      <c r="BK73" s="18" t="s">
        <v>95</v>
      </c>
      <c r="BL73" s="18" t="s">
        <v>95</v>
      </c>
      <c r="BM73" s="18" t="s">
        <v>95</v>
      </c>
      <c r="BN73" s="18" t="s">
        <v>85</v>
      </c>
      <c r="BO73" s="18" t="s">
        <v>86</v>
      </c>
      <c r="BP73" s="18" t="s">
        <v>90</v>
      </c>
      <c r="BQ73" s="18" t="s">
        <v>8050</v>
      </c>
      <c r="BR73" s="18" t="s">
        <v>92</v>
      </c>
      <c r="BS73" s="18" t="s">
        <v>8003</v>
      </c>
      <c r="BT73" s="18" t="s">
        <v>7989</v>
      </c>
      <c r="BU73" s="18" t="s">
        <v>496</v>
      </c>
      <c r="BV73" s="18" t="str">
        <f>Terminales[[#This Row],[IMEI]]&amp;"SI"</f>
        <v>353842194946651SI</v>
      </c>
      <c r="BW73" s="18" t="str">
        <f>VLOOKUP(Terminales[[#This Row],[OFICINA_USUARIO]],[1]!Locales[#Data],3,0)</f>
        <v>TIENDA MACHALA</v>
      </c>
      <c r="BX73" s="18" t="str">
        <f>VLOOKUP(Terminales[[#This Row],[USUARIO_FINAL]],'[1]Personal Ppto vs Real'!$A:$F,6,0)</f>
        <v>SANCHEZ SARITAMA JOEL LUIS</v>
      </c>
      <c r="BY73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7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73" s="18">
        <f>DAY(Terminales[[#This Row],[FECHA_FACTURA]])</f>
        <v>5</v>
      </c>
      <c r="CB73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73" s="65">
        <f>IFERROR(IF(AND(Terminales[[#This Row],[CANTIDAD]] = 1,Terminales[[#This Row],[MOVIMIENTO]] = "RENOVACION"),Terminales[[#This Row],[TARIFA_BASICA]]*0.5,),)</f>
        <v>0</v>
      </c>
      <c r="CD73" s="65">
        <f>IF('[1]Resumen TM'!$AW$20 &lt; 0.4,0,Terminales[[#This Row],[MONTO]]*0.02)</f>
        <v>8.125</v>
      </c>
      <c r="CE73" s="66">
        <f>Terminales[[#This Row],[COMISIONES TERMINALES]]+Terminales[[#This Row],[COMISIONES RENOVACIONES]]+Terminales[[#This Row],[COMISIONES BONO]]</f>
        <v>48.75</v>
      </c>
      <c r="CF73" s="67">
        <f>(Terminales[[#This Row],[COMISIONES TERMINALES]]*VLOOKUP(Terminales[[#This Row],[LOCALES]],[1]!Calendario[#Data],3,0))/VLOOKUP(Terminales[[#This Row],[LOCALES]],[1]!Calendario[#Data],2,0)</f>
        <v>65.840517241379317</v>
      </c>
      <c r="CG73" s="67">
        <f>(Terminales[[#This Row],[COMISIONES RENOVACIONES]]*VLOOKUP(Terminales[[#This Row],[LOCALES]],[1]!Calendario[#Data],3,0))/VLOOKUP(Terminales[[#This Row],[LOCALES]],[1]!Calendario[#Data],2,0)</f>
        <v>0</v>
      </c>
      <c r="CH73" s="67">
        <f>(Terminales[[#This Row],[COMISIONES BONO]]*VLOOKUP(Terminales[[#This Row],[LOCALES]],[1]!Calendario[#Data],3,0))/VLOOKUP(Terminales[[#This Row],[LOCALES]],[1]!Calendario[#Data],2,0)</f>
        <v>13.168103448275861</v>
      </c>
      <c r="CI73" s="67">
        <f>Terminales[[#This Row],[PROY. COM. TERMINALES]]+Terminales[[#This Row],[PROY. COM. RENOV.]]+Terminales[[#This Row],[PROY. COM. 2%]]</f>
        <v>79.008620689655174</v>
      </c>
    </row>
    <row r="74" spans="1:87" x14ac:dyDescent="0.25">
      <c r="A74" s="68">
        <v>44926</v>
      </c>
      <c r="B74" s="68">
        <v>44900</v>
      </c>
      <c r="C74" s="18" t="s">
        <v>96</v>
      </c>
      <c r="D74" s="18" t="s">
        <v>96</v>
      </c>
      <c r="E74" s="18" t="s">
        <v>96</v>
      </c>
      <c r="F74" s="18" t="s">
        <v>8528</v>
      </c>
      <c r="G74" s="18" t="s">
        <v>292</v>
      </c>
      <c r="H74" s="18" t="s">
        <v>494</v>
      </c>
      <c r="I74" s="18" t="s">
        <v>8529</v>
      </c>
      <c r="J74" s="18" t="s">
        <v>95</v>
      </c>
      <c r="K74" s="18" t="s">
        <v>7970</v>
      </c>
      <c r="L74" s="18" t="s">
        <v>8530</v>
      </c>
      <c r="M74" s="18" t="s">
        <v>8531</v>
      </c>
      <c r="N74" s="18" t="s">
        <v>8532</v>
      </c>
      <c r="O74" s="18" t="s">
        <v>8056</v>
      </c>
      <c r="P74" s="18" t="s">
        <v>8533</v>
      </c>
      <c r="Q74" s="18" t="s">
        <v>7975</v>
      </c>
      <c r="R74" s="18" t="s">
        <v>7976</v>
      </c>
      <c r="S74" s="18" t="s">
        <v>8045</v>
      </c>
      <c r="T74" s="18" t="s">
        <v>8058</v>
      </c>
      <c r="U74" s="18" t="s">
        <v>8059</v>
      </c>
      <c r="V74" s="18" t="s">
        <v>6963</v>
      </c>
      <c r="W74" s="18" t="s">
        <v>95</v>
      </c>
      <c r="X74" s="18" t="s">
        <v>95</v>
      </c>
      <c r="Y74" s="18" t="s">
        <v>7980</v>
      </c>
      <c r="Z74" s="18" t="s">
        <v>6996</v>
      </c>
      <c r="AA74" s="69">
        <v>1</v>
      </c>
      <c r="AB74" s="18">
        <v>848.21429000000001</v>
      </c>
      <c r="AC74" s="18" t="s">
        <v>8534</v>
      </c>
      <c r="AD74" s="18" t="s">
        <v>7982</v>
      </c>
      <c r="AE74" s="18">
        <v>795</v>
      </c>
      <c r="AF74" s="18" t="s">
        <v>7983</v>
      </c>
      <c r="AG74" s="18">
        <v>795</v>
      </c>
      <c r="AH74" s="18" t="s">
        <v>95</v>
      </c>
      <c r="AI74" s="18" t="s">
        <v>8102</v>
      </c>
      <c r="AJ74" s="18" t="s">
        <v>8103</v>
      </c>
      <c r="AK74" s="18" t="s">
        <v>95</v>
      </c>
      <c r="AL74" s="18" t="s">
        <v>95</v>
      </c>
      <c r="AM74" s="18" t="s">
        <v>95</v>
      </c>
      <c r="AN74" s="18" t="s">
        <v>7984</v>
      </c>
      <c r="AO74" s="18" t="s">
        <v>139</v>
      </c>
      <c r="AP74" s="20" t="s">
        <v>303</v>
      </c>
      <c r="AQ74" s="18" t="s">
        <v>304</v>
      </c>
      <c r="AR74" s="18" t="s">
        <v>496</v>
      </c>
      <c r="AS74" s="18">
        <v>1</v>
      </c>
      <c r="AT74" s="18" t="s">
        <v>177</v>
      </c>
      <c r="AU74" s="18" t="s">
        <v>90</v>
      </c>
      <c r="AV74" s="18" t="s">
        <v>8061</v>
      </c>
      <c r="AW74" s="18" t="s">
        <v>8062</v>
      </c>
      <c r="AX74" s="18" t="s">
        <v>83</v>
      </c>
      <c r="AY74" s="18" t="s">
        <v>95</v>
      </c>
      <c r="AZ74" s="18" t="s">
        <v>95</v>
      </c>
      <c r="BA74" s="18" t="s">
        <v>95</v>
      </c>
      <c r="BB74" s="18" t="s">
        <v>95</v>
      </c>
      <c r="BC74" s="18" t="s">
        <v>118</v>
      </c>
      <c r="BD74" s="18" t="s">
        <v>95</v>
      </c>
      <c r="BE74" s="18" t="s">
        <v>8170</v>
      </c>
      <c r="BF74" s="18" t="s">
        <v>8064</v>
      </c>
      <c r="BG74" s="18" t="s">
        <v>95</v>
      </c>
      <c r="BH74" s="18" t="s">
        <v>95</v>
      </c>
      <c r="BI74" s="18">
        <v>12</v>
      </c>
      <c r="BJ74" s="18">
        <v>2022</v>
      </c>
      <c r="BK74" s="18" t="s">
        <v>95</v>
      </c>
      <c r="BL74" s="18" t="s">
        <v>95</v>
      </c>
      <c r="BM74" s="18" t="s">
        <v>95</v>
      </c>
      <c r="BN74" s="18" t="s">
        <v>85</v>
      </c>
      <c r="BO74" s="18" t="s">
        <v>86</v>
      </c>
      <c r="BP74" s="18" t="s">
        <v>90</v>
      </c>
      <c r="BQ74" s="18" t="s">
        <v>8002</v>
      </c>
      <c r="BR74" s="18" t="s">
        <v>139</v>
      </c>
      <c r="BS74" s="18" t="s">
        <v>8003</v>
      </c>
      <c r="BT74" s="18" t="s">
        <v>7989</v>
      </c>
      <c r="BU74" s="18" t="s">
        <v>496</v>
      </c>
      <c r="BV74" s="18" t="str">
        <f>Terminales[[#This Row],[IMEI]]&amp;"SI"</f>
        <v>358975993100339SI</v>
      </c>
      <c r="BW74" s="18" t="str">
        <f>VLOOKUP(Terminales[[#This Row],[OFICINA_USUARIO]],[1]!Locales[#Data],3,0)</f>
        <v>TIENDA RECREO</v>
      </c>
      <c r="BX74" s="18" t="str">
        <f>VLOOKUP(Terminales[[#This Row],[USUARIO_FINAL]],'[1]Personal Ppto vs Real'!$A:$F,6,0)</f>
        <v>CORDOVA GAIBOR JONATHAN HERNAN</v>
      </c>
      <c r="BY7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7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74" s="18">
        <f>DAY(Terminales[[#This Row],[FECHA_FACTURA]])</f>
        <v>5</v>
      </c>
      <c r="CB74" s="65">
        <f>IF(Terminales[[#This Row],[CANTIDAD]] = 1,INDEX([1]!Comisiones[#Data],MATCH("Terminales",[1]!Comisiones[Producto],0),MATCH(Terminales[[#This Row],[TIPO ALTA COMISIONES]],[1]!Comisiones[#Headers],0))*Terminales[[#This Row],[MONTO]],0)</f>
        <v>84.821429000000009</v>
      </c>
      <c r="CC74" s="65">
        <f>IFERROR(IF(AND(Terminales[[#This Row],[CANTIDAD]] = 1,Terminales[[#This Row],[MOVIMIENTO]] = "RENOVACION"),Terminales[[#This Row],[TARIFA_BASICA]]*0.5,),)</f>
        <v>0</v>
      </c>
      <c r="CD74" s="65">
        <f>IF('[1]Resumen TM'!$AW$20 &lt; 0.4,0,Terminales[[#This Row],[MONTO]]*0.02)</f>
        <v>16.964285799999999</v>
      </c>
      <c r="CE74" s="66">
        <f>Terminales[[#This Row],[COMISIONES TERMINALES]]+Terminales[[#This Row],[COMISIONES RENOVACIONES]]+Terminales[[#This Row],[COMISIONES BONO]]</f>
        <v>101.78571480000001</v>
      </c>
      <c r="CF74" s="67">
        <f>(Terminales[[#This Row],[COMISIONES TERMINALES]]*VLOOKUP(Terminales[[#This Row],[LOCALES]],[1]!Calendario[#Data],3,0))/VLOOKUP(Terminales[[#This Row],[LOCALES]],[1]!Calendario[#Data],2,0)</f>
        <v>139.5449315806452</v>
      </c>
      <c r="CG74" s="67">
        <f>(Terminales[[#This Row],[COMISIONES RENOVACIONES]]*VLOOKUP(Terminales[[#This Row],[LOCALES]],[1]!Calendario[#Data],3,0))/VLOOKUP(Terminales[[#This Row],[LOCALES]],[1]!Calendario[#Data],2,0)</f>
        <v>0</v>
      </c>
      <c r="CH74" s="67">
        <f>(Terminales[[#This Row],[COMISIONES BONO]]*VLOOKUP(Terminales[[#This Row],[LOCALES]],[1]!Calendario[#Data],3,0))/VLOOKUP(Terminales[[#This Row],[LOCALES]],[1]!Calendario[#Data],2,0)</f>
        <v>27.908986316129031</v>
      </c>
      <c r="CI74" s="67">
        <f>Terminales[[#This Row],[PROY. COM. TERMINALES]]+Terminales[[#This Row],[PROY. COM. RENOV.]]+Terminales[[#This Row],[PROY. COM. 2%]]</f>
        <v>167.45391789677421</v>
      </c>
    </row>
    <row r="75" spans="1:87" x14ac:dyDescent="0.25">
      <c r="A75" s="68">
        <v>44926</v>
      </c>
      <c r="B75" s="68">
        <v>44900</v>
      </c>
      <c r="C75" s="18" t="s">
        <v>96</v>
      </c>
      <c r="D75" s="18" t="s">
        <v>96</v>
      </c>
      <c r="E75" s="18" t="s">
        <v>96</v>
      </c>
      <c r="F75" s="18" t="s">
        <v>8535</v>
      </c>
      <c r="G75" s="18" t="s">
        <v>292</v>
      </c>
      <c r="H75" s="18" t="s">
        <v>494</v>
      </c>
      <c r="I75" s="18" t="s">
        <v>8536</v>
      </c>
      <c r="J75" s="18" t="s">
        <v>95</v>
      </c>
      <c r="K75" s="18" t="s">
        <v>7970</v>
      </c>
      <c r="L75" s="18" t="s">
        <v>8537</v>
      </c>
      <c r="M75" s="18" t="s">
        <v>8538</v>
      </c>
      <c r="N75" s="18" t="s">
        <v>8539</v>
      </c>
      <c r="O75" s="18" t="s">
        <v>354</v>
      </c>
      <c r="P75" s="18" t="s">
        <v>8540</v>
      </c>
      <c r="Q75" s="18" t="s">
        <v>7975</v>
      </c>
      <c r="R75" s="18" t="s">
        <v>7976</v>
      </c>
      <c r="S75" s="18" t="s">
        <v>8070</v>
      </c>
      <c r="T75" s="18" t="s">
        <v>8071</v>
      </c>
      <c r="U75" s="18" t="s">
        <v>8012</v>
      </c>
      <c r="V75" s="18" t="s">
        <v>6963</v>
      </c>
      <c r="W75" s="18" t="s">
        <v>95</v>
      </c>
      <c r="X75" s="18" t="s">
        <v>95</v>
      </c>
      <c r="Y75" s="18" t="s">
        <v>7980</v>
      </c>
      <c r="Z75" s="18" t="s">
        <v>6996</v>
      </c>
      <c r="AA75" s="69">
        <v>1</v>
      </c>
      <c r="AB75" s="18">
        <v>205.35713999999999</v>
      </c>
      <c r="AC75" s="18" t="s">
        <v>8541</v>
      </c>
      <c r="AD75" s="18" t="s">
        <v>7982</v>
      </c>
      <c r="AE75" s="18">
        <v>199.79</v>
      </c>
      <c r="AF75" s="18" t="s">
        <v>7983</v>
      </c>
      <c r="AG75" s="18">
        <v>199.79</v>
      </c>
      <c r="AH75" s="18" t="s">
        <v>95</v>
      </c>
      <c r="AI75" s="18" t="s">
        <v>8102</v>
      </c>
      <c r="AJ75" s="18" t="s">
        <v>8103</v>
      </c>
      <c r="AK75" s="18" t="s">
        <v>95</v>
      </c>
      <c r="AL75" s="18" t="s">
        <v>95</v>
      </c>
      <c r="AM75" s="18" t="s">
        <v>95</v>
      </c>
      <c r="AN75" s="18" t="s">
        <v>7984</v>
      </c>
      <c r="AO75" s="18" t="s">
        <v>139</v>
      </c>
      <c r="AP75" s="20" t="s">
        <v>760</v>
      </c>
      <c r="AQ75" s="18" t="s">
        <v>761</v>
      </c>
      <c r="AR75" s="18" t="s">
        <v>496</v>
      </c>
      <c r="AS75" s="18">
        <v>1</v>
      </c>
      <c r="AT75" s="18" t="s">
        <v>177</v>
      </c>
      <c r="AU75" s="18" t="s">
        <v>90</v>
      </c>
      <c r="AV75" s="18" t="s">
        <v>8072</v>
      </c>
      <c r="AW75" s="18" t="s">
        <v>8073</v>
      </c>
      <c r="AX75" s="18" t="s">
        <v>83</v>
      </c>
      <c r="AY75" s="18" t="s">
        <v>95</v>
      </c>
      <c r="AZ75" s="18" t="s">
        <v>95</v>
      </c>
      <c r="BA75" s="18" t="s">
        <v>95</v>
      </c>
      <c r="BB75" s="18" t="s">
        <v>95</v>
      </c>
      <c r="BC75" s="18" t="s">
        <v>118</v>
      </c>
      <c r="BD75" s="18" t="s">
        <v>95</v>
      </c>
      <c r="BE75" s="18" t="s">
        <v>8300</v>
      </c>
      <c r="BF75" s="18" t="s">
        <v>8064</v>
      </c>
      <c r="BG75" s="18" t="s">
        <v>95</v>
      </c>
      <c r="BH75" s="18" t="s">
        <v>95</v>
      </c>
      <c r="BI75" s="18">
        <v>12</v>
      </c>
      <c r="BJ75" s="18">
        <v>2022</v>
      </c>
      <c r="BK75" s="18" t="s">
        <v>95</v>
      </c>
      <c r="BL75" s="18" t="s">
        <v>95</v>
      </c>
      <c r="BM75" s="18" t="s">
        <v>95</v>
      </c>
      <c r="BN75" s="18" t="s">
        <v>85</v>
      </c>
      <c r="BO75" s="18" t="s">
        <v>86</v>
      </c>
      <c r="BP75" s="18" t="s">
        <v>90</v>
      </c>
      <c r="BQ75" s="18" t="s">
        <v>8002</v>
      </c>
      <c r="BR75" s="18" t="s">
        <v>139</v>
      </c>
      <c r="BS75" s="18" t="s">
        <v>8003</v>
      </c>
      <c r="BT75" s="18" t="s">
        <v>7989</v>
      </c>
      <c r="BU75" s="18" t="s">
        <v>496</v>
      </c>
      <c r="BV75" s="18" t="str">
        <f>Terminales[[#This Row],[IMEI]]&amp;"SI"</f>
        <v>869113065918824SI</v>
      </c>
      <c r="BW75" s="18" t="str">
        <f>VLOOKUP(Terminales[[#This Row],[OFICINA_USUARIO]],[1]!Locales[#Data],3,0)</f>
        <v>TIENDA RECREO</v>
      </c>
      <c r="BX75" s="18" t="str">
        <f>VLOOKUP(Terminales[[#This Row],[USUARIO_FINAL]],'[1]Personal Ppto vs Real'!$A:$F,6,0)</f>
        <v>VALBUENA SANCHEZ ALBERT ANTHONY</v>
      </c>
      <c r="BY7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7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75" s="18">
        <f>DAY(Terminales[[#This Row],[FECHA_FACTURA]])</f>
        <v>5</v>
      </c>
      <c r="CB75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75" s="65">
        <f>IFERROR(IF(AND(Terminales[[#This Row],[CANTIDAD]] = 1,Terminales[[#This Row],[MOVIMIENTO]] = "RENOVACION"),Terminales[[#This Row],[TARIFA_BASICA]]*0.5,),)</f>
        <v>0</v>
      </c>
      <c r="CD75" s="65">
        <f>IF('[1]Resumen TM'!$AW$20 &lt; 0.4,0,Terminales[[#This Row],[MONTO]]*0.02)</f>
        <v>4.1071428000000001</v>
      </c>
      <c r="CE75" s="66">
        <f>Terminales[[#This Row],[COMISIONES TERMINALES]]+Terminales[[#This Row],[COMISIONES RENOVACIONES]]+Terminales[[#This Row],[COMISIONES BONO]]</f>
        <v>24.642856799999997</v>
      </c>
      <c r="CF75" s="67">
        <f>(Terminales[[#This Row],[COMISIONES TERMINALES]]*VLOOKUP(Terminales[[#This Row],[LOCALES]],[1]!Calendario[#Data],3,0))/VLOOKUP(Terminales[[#This Row],[LOCALES]],[1]!Calendario[#Data],2,0)</f>
        <v>33.784561741935484</v>
      </c>
      <c r="CG75" s="67">
        <f>(Terminales[[#This Row],[COMISIONES RENOVACIONES]]*VLOOKUP(Terminales[[#This Row],[LOCALES]],[1]!Calendario[#Data],3,0))/VLOOKUP(Terminales[[#This Row],[LOCALES]],[1]!Calendario[#Data],2,0)</f>
        <v>0</v>
      </c>
      <c r="CH75" s="67">
        <f>(Terminales[[#This Row],[COMISIONES BONO]]*VLOOKUP(Terminales[[#This Row],[LOCALES]],[1]!Calendario[#Data],3,0))/VLOOKUP(Terminales[[#This Row],[LOCALES]],[1]!Calendario[#Data],2,0)</f>
        <v>6.7569123483870968</v>
      </c>
      <c r="CI75" s="67">
        <f>Terminales[[#This Row],[PROY. COM. TERMINALES]]+Terminales[[#This Row],[PROY. COM. RENOV.]]+Terminales[[#This Row],[PROY. COM. 2%]]</f>
        <v>40.541474090322581</v>
      </c>
    </row>
    <row r="76" spans="1:87" x14ac:dyDescent="0.25">
      <c r="A76" s="68">
        <v>44926</v>
      </c>
      <c r="B76" s="68">
        <v>44900</v>
      </c>
      <c r="C76" s="18" t="s">
        <v>96</v>
      </c>
      <c r="D76" s="18" t="s">
        <v>96</v>
      </c>
      <c r="E76" s="18" t="s">
        <v>96</v>
      </c>
      <c r="F76" s="18" t="s">
        <v>8542</v>
      </c>
      <c r="G76" s="18" t="s">
        <v>292</v>
      </c>
      <c r="H76" s="18" t="s">
        <v>494</v>
      </c>
      <c r="I76" s="18" t="s">
        <v>8543</v>
      </c>
      <c r="J76" s="18" t="s">
        <v>95</v>
      </c>
      <c r="K76" s="18" t="s">
        <v>7970</v>
      </c>
      <c r="L76" s="18" t="s">
        <v>8544</v>
      </c>
      <c r="M76" s="18" t="s">
        <v>8545</v>
      </c>
      <c r="N76" s="18" t="s">
        <v>8546</v>
      </c>
      <c r="O76" s="18" t="s">
        <v>1022</v>
      </c>
      <c r="P76" s="18" t="s">
        <v>8547</v>
      </c>
      <c r="Q76" s="18" t="s">
        <v>7975</v>
      </c>
      <c r="R76" s="18" t="s">
        <v>7976</v>
      </c>
      <c r="S76" s="18" t="s">
        <v>8045</v>
      </c>
      <c r="T76" s="18" t="s">
        <v>8225</v>
      </c>
      <c r="U76" s="18" t="s">
        <v>8012</v>
      </c>
      <c r="V76" s="18" t="s">
        <v>6963</v>
      </c>
      <c r="W76" s="18" t="s">
        <v>95</v>
      </c>
      <c r="X76" s="18" t="s">
        <v>95</v>
      </c>
      <c r="Y76" s="18" t="s">
        <v>7980</v>
      </c>
      <c r="Z76" s="18" t="s">
        <v>6996</v>
      </c>
      <c r="AA76" s="69">
        <v>1</v>
      </c>
      <c r="AB76" s="18">
        <v>241.07142999999999</v>
      </c>
      <c r="AC76" s="18" t="s">
        <v>8548</v>
      </c>
      <c r="AD76" s="18" t="s">
        <v>96</v>
      </c>
      <c r="AE76" s="18">
        <v>232</v>
      </c>
      <c r="AF76" s="18" t="s">
        <v>7983</v>
      </c>
      <c r="AG76" s="18">
        <v>232</v>
      </c>
      <c r="AH76" s="18" t="s">
        <v>95</v>
      </c>
      <c r="AI76" s="18" t="s">
        <v>8102</v>
      </c>
      <c r="AJ76" s="18" t="s">
        <v>8103</v>
      </c>
      <c r="AK76" s="18" t="s">
        <v>95</v>
      </c>
      <c r="AL76" s="18" t="s">
        <v>95</v>
      </c>
      <c r="AM76" s="18" t="s">
        <v>95</v>
      </c>
      <c r="AN76" s="18" t="s">
        <v>7984</v>
      </c>
      <c r="AO76" s="18" t="s">
        <v>139</v>
      </c>
      <c r="AP76" s="20" t="s">
        <v>769</v>
      </c>
      <c r="AQ76" s="18" t="s">
        <v>770</v>
      </c>
      <c r="AR76" s="18" t="s">
        <v>496</v>
      </c>
      <c r="AS76" s="18">
        <v>1</v>
      </c>
      <c r="AT76" s="18" t="s">
        <v>235</v>
      </c>
      <c r="AU76" s="18" t="s">
        <v>90</v>
      </c>
      <c r="AV76" s="18" t="s">
        <v>8392</v>
      </c>
      <c r="AW76" s="18" t="s">
        <v>8393</v>
      </c>
      <c r="AX76" s="18" t="s">
        <v>83</v>
      </c>
      <c r="AY76" s="18" t="s">
        <v>95</v>
      </c>
      <c r="AZ76" s="18" t="s">
        <v>95</v>
      </c>
      <c r="BA76" s="18" t="s">
        <v>95</v>
      </c>
      <c r="BB76" s="18" t="s">
        <v>95</v>
      </c>
      <c r="BC76" s="18" t="s">
        <v>118</v>
      </c>
      <c r="BD76" s="18" t="s">
        <v>95</v>
      </c>
      <c r="BE76" s="18" t="s">
        <v>95</v>
      </c>
      <c r="BF76" s="18" t="s">
        <v>95</v>
      </c>
      <c r="BG76" s="18" t="s">
        <v>95</v>
      </c>
      <c r="BH76" s="18" t="s">
        <v>95</v>
      </c>
      <c r="BI76" s="18">
        <v>12</v>
      </c>
      <c r="BJ76" s="18">
        <v>2022</v>
      </c>
      <c r="BK76" s="18" t="s">
        <v>95</v>
      </c>
      <c r="BL76" s="18" t="s">
        <v>95</v>
      </c>
      <c r="BM76" s="18" t="s">
        <v>95</v>
      </c>
      <c r="BN76" s="18" t="s">
        <v>85</v>
      </c>
      <c r="BO76" s="18" t="s">
        <v>86</v>
      </c>
      <c r="BP76" s="18" t="s">
        <v>90</v>
      </c>
      <c r="BQ76" s="18" t="s">
        <v>8016</v>
      </c>
      <c r="BR76" s="18" t="s">
        <v>139</v>
      </c>
      <c r="BS76" s="18" t="s">
        <v>8074</v>
      </c>
      <c r="BT76" s="18" t="s">
        <v>7989</v>
      </c>
      <c r="BU76" s="18" t="s">
        <v>496</v>
      </c>
      <c r="BV76" s="18" t="str">
        <f>Terminales[[#This Row],[IMEI]]&amp;"SI"</f>
        <v>356795951154140SI</v>
      </c>
      <c r="BW76" s="18" t="str">
        <f>VLOOKUP(Terminales[[#This Row],[OFICINA_USUARIO]],[1]!Locales[#Data],3,0)</f>
        <v>TIENDA CONDADO</v>
      </c>
      <c r="BX76" s="18" t="str">
        <f>VLOOKUP(Terminales[[#This Row],[USUARIO_FINAL]],'[1]Personal Ppto vs Real'!$A:$F,6,0)</f>
        <v>ROJAS VEGA JHOSMERY MICHELE</v>
      </c>
      <c r="BY7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7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76" s="18">
        <f>DAY(Terminales[[#This Row],[FECHA_FACTURA]])</f>
        <v>5</v>
      </c>
      <c r="CB76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76" s="65">
        <f>IFERROR(IF(AND(Terminales[[#This Row],[CANTIDAD]] = 1,Terminales[[#This Row],[MOVIMIENTO]] = "RENOVACION"),Terminales[[#This Row],[TARIFA_BASICA]]*0.5,),)</f>
        <v>0</v>
      </c>
      <c r="CD76" s="65">
        <f>IF('[1]Resumen TM'!$AW$20 &lt; 0.4,0,Terminales[[#This Row],[MONTO]]*0.02)</f>
        <v>4.8214286</v>
      </c>
      <c r="CE76" s="66">
        <f>Terminales[[#This Row],[COMISIONES TERMINALES]]+Terminales[[#This Row],[COMISIONES RENOVACIONES]]+Terminales[[#This Row],[COMISIONES BONO]]</f>
        <v>28.928571600000001</v>
      </c>
      <c r="CF76" s="67">
        <f>(Terminales[[#This Row],[COMISIONES TERMINALES]]*VLOOKUP(Terminales[[#This Row],[LOCALES]],[1]!Calendario[#Data],3,0))/VLOOKUP(Terminales[[#This Row],[LOCALES]],[1]!Calendario[#Data],2,0)</f>
        <v>39.660138483870966</v>
      </c>
      <c r="CG76" s="67">
        <f>(Terminales[[#This Row],[COMISIONES RENOVACIONES]]*VLOOKUP(Terminales[[#This Row],[LOCALES]],[1]!Calendario[#Data],3,0))/VLOOKUP(Terminales[[#This Row],[LOCALES]],[1]!Calendario[#Data],2,0)</f>
        <v>0</v>
      </c>
      <c r="CH76" s="67">
        <f>(Terminales[[#This Row],[COMISIONES BONO]]*VLOOKUP(Terminales[[#This Row],[LOCALES]],[1]!Calendario[#Data],3,0))/VLOOKUP(Terminales[[#This Row],[LOCALES]],[1]!Calendario[#Data],2,0)</f>
        <v>7.9320276967741936</v>
      </c>
      <c r="CI76" s="67">
        <f>Terminales[[#This Row],[PROY. COM. TERMINALES]]+Terminales[[#This Row],[PROY. COM. RENOV.]]+Terminales[[#This Row],[PROY. COM. 2%]]</f>
        <v>47.592166180645158</v>
      </c>
    </row>
    <row r="77" spans="1:87" x14ac:dyDescent="0.25">
      <c r="A77" s="68">
        <v>44926</v>
      </c>
      <c r="B77" s="68">
        <v>44900</v>
      </c>
      <c r="C77" s="18" t="s">
        <v>291</v>
      </c>
      <c r="D77" s="18" t="s">
        <v>78</v>
      </c>
      <c r="E77" s="18" t="s">
        <v>768</v>
      </c>
      <c r="F77" s="18" t="s">
        <v>8549</v>
      </c>
      <c r="G77" s="18" t="s">
        <v>292</v>
      </c>
      <c r="H77" s="18" t="s">
        <v>494</v>
      </c>
      <c r="I77" s="18" t="s">
        <v>8550</v>
      </c>
      <c r="J77" s="18" t="s">
        <v>95</v>
      </c>
      <c r="K77" s="18" t="s">
        <v>7970</v>
      </c>
      <c r="L77" s="18" t="s">
        <v>8551</v>
      </c>
      <c r="M77" s="18" t="s">
        <v>8552</v>
      </c>
      <c r="N77" s="18" t="s">
        <v>8553</v>
      </c>
      <c r="O77" s="18" t="s">
        <v>1691</v>
      </c>
      <c r="P77" s="18" t="s">
        <v>8554</v>
      </c>
      <c r="Q77" s="18" t="s">
        <v>7975</v>
      </c>
      <c r="R77" s="18" t="s">
        <v>7976</v>
      </c>
      <c r="S77" s="18" t="s">
        <v>8045</v>
      </c>
      <c r="T77" s="18" t="s">
        <v>8225</v>
      </c>
      <c r="U77" s="18" t="s">
        <v>8012</v>
      </c>
      <c r="V77" s="18" t="s">
        <v>6963</v>
      </c>
      <c r="W77" s="18" t="s">
        <v>95</v>
      </c>
      <c r="X77" s="18" t="s">
        <v>95</v>
      </c>
      <c r="Y77" s="18" t="s">
        <v>7980</v>
      </c>
      <c r="Z77" s="18" t="s">
        <v>6996</v>
      </c>
      <c r="AA77" s="69">
        <v>1</v>
      </c>
      <c r="AB77" s="18">
        <v>241.07142999999999</v>
      </c>
      <c r="AC77" s="18" t="s">
        <v>8555</v>
      </c>
      <c r="AD77" s="18" t="s">
        <v>7982</v>
      </c>
      <c r="AE77" s="18">
        <v>232</v>
      </c>
      <c r="AF77" s="18" t="s">
        <v>7983</v>
      </c>
      <c r="AG77" s="18">
        <v>232</v>
      </c>
      <c r="AH77" s="18" t="s">
        <v>95</v>
      </c>
      <c r="AI77" s="18" t="s">
        <v>7147</v>
      </c>
      <c r="AJ77" s="18" t="s">
        <v>7148</v>
      </c>
      <c r="AK77" s="18">
        <v>13.79</v>
      </c>
      <c r="AL77" s="18" t="s">
        <v>95</v>
      </c>
      <c r="AM77" s="18" t="s">
        <v>95</v>
      </c>
      <c r="AN77" s="18" t="s">
        <v>7984</v>
      </c>
      <c r="AO77" s="18" t="s">
        <v>92</v>
      </c>
      <c r="AP77" s="20" t="s">
        <v>420</v>
      </c>
      <c r="AQ77" s="18" t="s">
        <v>421</v>
      </c>
      <c r="AR77" s="18" t="s">
        <v>496</v>
      </c>
      <c r="AS77" s="18">
        <v>1</v>
      </c>
      <c r="AT77" s="18" t="s">
        <v>151</v>
      </c>
      <c r="AU77" s="18" t="s">
        <v>90</v>
      </c>
      <c r="AV77" s="18" t="s">
        <v>8228</v>
      </c>
      <c r="AW77" s="18" t="s">
        <v>8229</v>
      </c>
      <c r="AX77" s="18" t="s">
        <v>83</v>
      </c>
      <c r="AY77" s="18" t="s">
        <v>95</v>
      </c>
      <c r="AZ77" s="18" t="s">
        <v>95</v>
      </c>
      <c r="BA77" s="18" t="s">
        <v>95</v>
      </c>
      <c r="BB77" s="18" t="s">
        <v>95</v>
      </c>
      <c r="BC77" s="18" t="s">
        <v>215</v>
      </c>
      <c r="BD77" s="18" t="s">
        <v>95</v>
      </c>
      <c r="BE77" s="18" t="s">
        <v>8278</v>
      </c>
      <c r="BF77" s="18" t="s">
        <v>8171</v>
      </c>
      <c r="BG77" s="18" t="s">
        <v>95</v>
      </c>
      <c r="BH77" s="18" t="s">
        <v>95</v>
      </c>
      <c r="BI77" s="18">
        <v>12</v>
      </c>
      <c r="BJ77" s="18">
        <v>2022</v>
      </c>
      <c r="BK77" s="18" t="s">
        <v>95</v>
      </c>
      <c r="BL77" s="18" t="s">
        <v>95</v>
      </c>
      <c r="BM77" s="18" t="s">
        <v>95</v>
      </c>
      <c r="BN77" s="18" t="s">
        <v>85</v>
      </c>
      <c r="BO77" s="18" t="s">
        <v>86</v>
      </c>
      <c r="BP77" s="18" t="s">
        <v>90</v>
      </c>
      <c r="BQ77" s="18" t="s">
        <v>8141</v>
      </c>
      <c r="BR77" s="18" t="s">
        <v>92</v>
      </c>
      <c r="BS77" s="18" t="s">
        <v>8003</v>
      </c>
      <c r="BT77" s="18" t="s">
        <v>7989</v>
      </c>
      <c r="BU77" s="18" t="s">
        <v>496</v>
      </c>
      <c r="BV77" s="18" t="str">
        <f>Terminales[[#This Row],[IMEI]]&amp;"SI"</f>
        <v>356795950865613SI</v>
      </c>
      <c r="BW77" s="18" t="str">
        <f>VLOOKUP(Terminales[[#This Row],[OFICINA_USUARIO]],[1]!Locales[#Data],3,0)</f>
        <v>TIENDA CUENCA REMIGIO</v>
      </c>
      <c r="BX77" s="18" t="str">
        <f>VLOOKUP(Terminales[[#This Row],[USUARIO_FINAL]],'[1]Personal Ppto vs Real'!$A:$F,6,0)</f>
        <v>YEPEZ PALOMEQUE DIANA PATRICIA</v>
      </c>
      <c r="BY7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7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77" s="18">
        <f>DAY(Terminales[[#This Row],[FECHA_FACTURA]])</f>
        <v>5</v>
      </c>
      <c r="CB77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77" s="65">
        <f>IFERROR(IF(AND(Terminales[[#This Row],[CANTIDAD]] = 1,Terminales[[#This Row],[MOVIMIENTO]] = "RENOVACION"),Terminales[[#This Row],[TARIFA_BASICA]]*0.5,),)</f>
        <v>6.8949999999999996</v>
      </c>
      <c r="CD77" s="65">
        <f>IF('[1]Resumen TM'!$AW$20 &lt; 0.4,0,Terminales[[#This Row],[MONTO]]*0.02)</f>
        <v>4.8214286</v>
      </c>
      <c r="CE77" s="66">
        <f>Terminales[[#This Row],[COMISIONES TERMINALES]]+Terminales[[#This Row],[COMISIONES RENOVACIONES]]+Terminales[[#This Row],[COMISIONES BONO]]</f>
        <v>35.823571600000001</v>
      </c>
      <c r="CF77" s="67">
        <f>(Terminales[[#This Row],[COMISIONES TERMINALES]]*VLOOKUP(Terminales[[#This Row],[LOCALES]],[1]!Calendario[#Data],3,0))/VLOOKUP(Terminales[[#This Row],[LOCALES]],[1]!Calendario[#Data],2,0)</f>
        <v>39.070197275862071</v>
      </c>
      <c r="CG77" s="67">
        <f>(Terminales[[#This Row],[COMISIONES RENOVACIONES]]*VLOOKUP(Terminales[[#This Row],[LOCALES]],[1]!Calendario[#Data],3,0))/VLOOKUP(Terminales[[#This Row],[LOCALES]],[1]!Calendario[#Data],2,0)</f>
        <v>11.174655172413793</v>
      </c>
      <c r="CH77" s="67">
        <f>(Terminales[[#This Row],[COMISIONES BONO]]*VLOOKUP(Terminales[[#This Row],[LOCALES]],[1]!Calendario[#Data],3,0))/VLOOKUP(Terminales[[#This Row],[LOCALES]],[1]!Calendario[#Data],2,0)</f>
        <v>7.8140394551724137</v>
      </c>
      <c r="CI77" s="67">
        <f>Terminales[[#This Row],[PROY. COM. TERMINALES]]+Terminales[[#This Row],[PROY. COM. RENOV.]]+Terminales[[#This Row],[PROY. COM. 2%]]</f>
        <v>58.058891903448277</v>
      </c>
    </row>
    <row r="78" spans="1:87" x14ac:dyDescent="0.25">
      <c r="A78" s="68">
        <v>44926</v>
      </c>
      <c r="B78" s="68">
        <v>44900</v>
      </c>
      <c r="C78" s="18" t="s">
        <v>291</v>
      </c>
      <c r="D78" s="18" t="s">
        <v>78</v>
      </c>
      <c r="E78" s="18" t="s">
        <v>311</v>
      </c>
      <c r="F78" s="18" t="s">
        <v>7820</v>
      </c>
      <c r="G78" s="18" t="s">
        <v>292</v>
      </c>
      <c r="H78" s="18" t="s">
        <v>293</v>
      </c>
      <c r="I78" s="18" t="s">
        <v>8556</v>
      </c>
      <c r="J78" s="18" t="s">
        <v>95</v>
      </c>
      <c r="K78" s="18" t="s">
        <v>7970</v>
      </c>
      <c r="L78" s="18" t="s">
        <v>8557</v>
      </c>
      <c r="M78" s="18" t="s">
        <v>8558</v>
      </c>
      <c r="N78" s="18" t="s">
        <v>7822</v>
      </c>
      <c r="O78" s="18" t="s">
        <v>354</v>
      </c>
      <c r="P78" s="18" t="s">
        <v>8559</v>
      </c>
      <c r="Q78" s="18" t="s">
        <v>7975</v>
      </c>
      <c r="R78" s="18" t="s">
        <v>7976</v>
      </c>
      <c r="S78" s="18" t="s">
        <v>8070</v>
      </c>
      <c r="T78" s="18" t="s">
        <v>8071</v>
      </c>
      <c r="U78" s="18" t="s">
        <v>8012</v>
      </c>
      <c r="V78" s="18" t="s">
        <v>6963</v>
      </c>
      <c r="W78" s="18" t="s">
        <v>95</v>
      </c>
      <c r="X78" s="18" t="s">
        <v>95</v>
      </c>
      <c r="Y78" s="18" t="s">
        <v>7980</v>
      </c>
      <c r="Z78" s="18" t="s">
        <v>6996</v>
      </c>
      <c r="AA78" s="69">
        <v>1</v>
      </c>
      <c r="AB78" s="18">
        <v>285.71429000000001</v>
      </c>
      <c r="AC78" s="18" t="s">
        <v>7821</v>
      </c>
      <c r="AD78" s="18" t="s">
        <v>7982</v>
      </c>
      <c r="AE78" s="18">
        <v>199.79</v>
      </c>
      <c r="AF78" s="18" t="s">
        <v>7983</v>
      </c>
      <c r="AG78" s="18">
        <v>199.79</v>
      </c>
      <c r="AH78" s="18" t="s">
        <v>95</v>
      </c>
      <c r="AI78" s="18" t="s">
        <v>3972</v>
      </c>
      <c r="AJ78" s="18" t="s">
        <v>3973</v>
      </c>
      <c r="AK78" s="18">
        <v>26.78</v>
      </c>
      <c r="AL78" s="18" t="s">
        <v>95</v>
      </c>
      <c r="AM78" s="18" t="s">
        <v>95</v>
      </c>
      <c r="AN78" s="18" t="s">
        <v>7984</v>
      </c>
      <c r="AO78" s="18" t="s">
        <v>139</v>
      </c>
      <c r="AP78" s="20" t="s">
        <v>369</v>
      </c>
      <c r="AQ78" s="18" t="s">
        <v>370</v>
      </c>
      <c r="AR78" s="18" t="s">
        <v>295</v>
      </c>
      <c r="AS78" s="18">
        <v>6</v>
      </c>
      <c r="AT78" s="18" t="s">
        <v>177</v>
      </c>
      <c r="AU78" s="18" t="s">
        <v>90</v>
      </c>
      <c r="AV78" s="18" t="s">
        <v>8072</v>
      </c>
      <c r="AW78" s="18" t="s">
        <v>8073</v>
      </c>
      <c r="AX78" s="18" t="s">
        <v>83</v>
      </c>
      <c r="AY78" s="18" t="s">
        <v>95</v>
      </c>
      <c r="AZ78" s="18" t="s">
        <v>95</v>
      </c>
      <c r="BA78" s="18" t="s">
        <v>95</v>
      </c>
      <c r="BB78" s="18" t="s">
        <v>95</v>
      </c>
      <c r="BC78" s="18" t="s">
        <v>84</v>
      </c>
      <c r="BD78" s="18">
        <v>57.2</v>
      </c>
      <c r="BE78" s="18" t="s">
        <v>8560</v>
      </c>
      <c r="BF78" s="18" t="s">
        <v>8171</v>
      </c>
      <c r="BG78" s="18" t="s">
        <v>95</v>
      </c>
      <c r="BH78" s="18" t="s">
        <v>95</v>
      </c>
      <c r="BI78" s="18">
        <v>12</v>
      </c>
      <c r="BJ78" s="18">
        <v>2022</v>
      </c>
      <c r="BK78" s="18" t="s">
        <v>95</v>
      </c>
      <c r="BL78" s="18" t="s">
        <v>95</v>
      </c>
      <c r="BM78" s="18" t="s">
        <v>95</v>
      </c>
      <c r="BN78" s="18" t="s">
        <v>85</v>
      </c>
      <c r="BO78" s="18" t="s">
        <v>86</v>
      </c>
      <c r="BP78" s="18" t="s">
        <v>90</v>
      </c>
      <c r="BQ78" s="18" t="s">
        <v>8002</v>
      </c>
      <c r="BR78" s="18" t="s">
        <v>139</v>
      </c>
      <c r="BS78" s="18" t="s">
        <v>8027</v>
      </c>
      <c r="BT78" s="18" t="s">
        <v>7989</v>
      </c>
      <c r="BU78" s="18" t="s">
        <v>7990</v>
      </c>
      <c r="BV78" s="18" t="str">
        <f>Terminales[[#This Row],[IMEI]]&amp;"SI"</f>
        <v>869113065789589SI</v>
      </c>
      <c r="BW78" s="18" t="str">
        <f>VLOOKUP(Terminales[[#This Row],[OFICINA_USUARIO]],[1]!Locales[#Data],3,0)</f>
        <v>TIENDA RECREO</v>
      </c>
      <c r="BX78" s="18" t="str">
        <f>VLOOKUP(Terminales[[#This Row],[USUARIO_FINAL]],'[1]Personal Ppto vs Real'!$A:$F,6,0)</f>
        <v>GUAIGUA REINOSO GENESIS CAROLINA</v>
      </c>
      <c r="BY7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7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78" s="18">
        <f>DAY(Terminales[[#This Row],[FECHA_FACTURA]])</f>
        <v>5</v>
      </c>
      <c r="CB78" s="65">
        <f>IF(Terminales[[#This Row],[CANTIDAD]] = 1,INDEX([1]!Comisiones[#Data],MATCH("Terminales",[1]!Comisiones[Producto],0),MATCH(Terminales[[#This Row],[TIPO ALTA COMISIONES]],[1]!Comisiones[#Headers],0))*Terminales[[#This Row],[MONTO]],0)</f>
        <v>22.857143199999999</v>
      </c>
      <c r="CC78" s="65">
        <f>IFERROR(IF(AND(Terminales[[#This Row],[CANTIDAD]] = 1,Terminales[[#This Row],[MOVIMIENTO]] = "RENOVACION"),Terminales[[#This Row],[TARIFA_BASICA]]*0.5,),)</f>
        <v>13.39</v>
      </c>
      <c r="CD78" s="65">
        <f>IF('[1]Resumen TM'!$AW$20 &lt; 0.4,0,Terminales[[#This Row],[MONTO]]*0.02)</f>
        <v>5.7142857999999999</v>
      </c>
      <c r="CE78" s="66">
        <f>Terminales[[#This Row],[COMISIONES TERMINALES]]+Terminales[[#This Row],[COMISIONES RENOVACIONES]]+Terminales[[#This Row],[COMISIONES BONO]]</f>
        <v>41.961428999999995</v>
      </c>
      <c r="CF78" s="67">
        <f>(Terminales[[#This Row],[COMISIONES TERMINALES]]*VLOOKUP(Terminales[[#This Row],[LOCALES]],[1]!Calendario[#Data],3,0))/VLOOKUP(Terminales[[#This Row],[LOCALES]],[1]!Calendario[#Data],2,0)</f>
        <v>37.603687199999996</v>
      </c>
      <c r="CG78" s="67">
        <f>(Terminales[[#This Row],[COMISIONES RENOVACIONES]]*VLOOKUP(Terminales[[#This Row],[LOCALES]],[1]!Calendario[#Data],3,0))/VLOOKUP(Terminales[[#This Row],[LOCALES]],[1]!Calendario[#Data],2,0)</f>
        <v>22.028709677419354</v>
      </c>
      <c r="CH78" s="67">
        <f>(Terminales[[#This Row],[COMISIONES BONO]]*VLOOKUP(Terminales[[#This Row],[LOCALES]],[1]!Calendario[#Data],3,0))/VLOOKUP(Terminales[[#This Row],[LOCALES]],[1]!Calendario[#Data],2,0)</f>
        <v>9.400921799999999</v>
      </c>
      <c r="CI78" s="67">
        <f>Terminales[[#This Row],[PROY. COM. TERMINALES]]+Terminales[[#This Row],[PROY. COM. RENOV.]]+Terminales[[#This Row],[PROY. COM. 2%]]</f>
        <v>69.033318677419345</v>
      </c>
    </row>
    <row r="79" spans="1:87" x14ac:dyDescent="0.25">
      <c r="A79" s="68">
        <v>44926</v>
      </c>
      <c r="B79" s="68">
        <v>44900</v>
      </c>
      <c r="C79" s="18" t="s">
        <v>96</v>
      </c>
      <c r="D79" s="18" t="s">
        <v>96</v>
      </c>
      <c r="E79" s="18" t="s">
        <v>96</v>
      </c>
      <c r="F79" s="18" t="s">
        <v>8561</v>
      </c>
      <c r="G79" s="18" t="s">
        <v>292</v>
      </c>
      <c r="H79" s="18" t="s">
        <v>494</v>
      </c>
      <c r="I79" s="18" t="s">
        <v>8562</v>
      </c>
      <c r="J79" s="18" t="s">
        <v>95</v>
      </c>
      <c r="K79" s="18" t="s">
        <v>7970</v>
      </c>
      <c r="L79" s="18" t="s">
        <v>8563</v>
      </c>
      <c r="M79" s="18" t="s">
        <v>8564</v>
      </c>
      <c r="N79" s="18" t="s">
        <v>8565</v>
      </c>
      <c r="O79" s="18" t="s">
        <v>1691</v>
      </c>
      <c r="P79" s="18" t="s">
        <v>8566</v>
      </c>
      <c r="Q79" s="18" t="s">
        <v>7975</v>
      </c>
      <c r="R79" s="18" t="s">
        <v>7976</v>
      </c>
      <c r="S79" s="18" t="s">
        <v>8045</v>
      </c>
      <c r="T79" s="18" t="s">
        <v>8225</v>
      </c>
      <c r="U79" s="18" t="s">
        <v>8012</v>
      </c>
      <c r="V79" s="18" t="s">
        <v>6963</v>
      </c>
      <c r="W79" s="18" t="s">
        <v>95</v>
      </c>
      <c r="X79" s="18" t="s">
        <v>95</v>
      </c>
      <c r="Y79" s="18" t="s">
        <v>7980</v>
      </c>
      <c r="Z79" s="18" t="s">
        <v>6996</v>
      </c>
      <c r="AA79" s="69">
        <v>1</v>
      </c>
      <c r="AB79" s="18">
        <v>241.07142999999999</v>
      </c>
      <c r="AC79" s="18" t="s">
        <v>8567</v>
      </c>
      <c r="AD79" s="18" t="s">
        <v>96</v>
      </c>
      <c r="AE79" s="18">
        <v>232</v>
      </c>
      <c r="AF79" s="18" t="s">
        <v>7983</v>
      </c>
      <c r="AG79" s="18">
        <v>232</v>
      </c>
      <c r="AH79" s="18" t="s">
        <v>95</v>
      </c>
      <c r="AI79" s="18" t="s">
        <v>8102</v>
      </c>
      <c r="AJ79" s="18" t="s">
        <v>8103</v>
      </c>
      <c r="AK79" s="18" t="s">
        <v>95</v>
      </c>
      <c r="AL79" s="18" t="s">
        <v>95</v>
      </c>
      <c r="AM79" s="18" t="s">
        <v>95</v>
      </c>
      <c r="AN79" s="18" t="s">
        <v>7984</v>
      </c>
      <c r="AO79" s="18" t="s">
        <v>139</v>
      </c>
      <c r="AP79" s="20" t="s">
        <v>175</v>
      </c>
      <c r="AQ79" s="18" t="s">
        <v>176</v>
      </c>
      <c r="AR79" s="18" t="s">
        <v>496</v>
      </c>
      <c r="AS79" s="18">
        <v>1</v>
      </c>
      <c r="AT79" s="18" t="s">
        <v>177</v>
      </c>
      <c r="AU79" s="18" t="s">
        <v>90</v>
      </c>
      <c r="AV79" s="18" t="s">
        <v>8228</v>
      </c>
      <c r="AW79" s="18" t="s">
        <v>8229</v>
      </c>
      <c r="AX79" s="18" t="s">
        <v>83</v>
      </c>
      <c r="AY79" s="18" t="s">
        <v>95</v>
      </c>
      <c r="AZ79" s="18" t="s">
        <v>95</v>
      </c>
      <c r="BA79" s="18" t="s">
        <v>95</v>
      </c>
      <c r="BB79" s="18" t="s">
        <v>95</v>
      </c>
      <c r="BC79" s="18" t="s">
        <v>118</v>
      </c>
      <c r="BD79" s="18" t="s">
        <v>95</v>
      </c>
      <c r="BE79" s="18" t="s">
        <v>8300</v>
      </c>
      <c r="BF79" s="18" t="s">
        <v>8064</v>
      </c>
      <c r="BG79" s="18" t="s">
        <v>95</v>
      </c>
      <c r="BH79" s="18" t="s">
        <v>95</v>
      </c>
      <c r="BI79" s="18">
        <v>12</v>
      </c>
      <c r="BJ79" s="18">
        <v>2022</v>
      </c>
      <c r="BK79" s="18" t="s">
        <v>95</v>
      </c>
      <c r="BL79" s="18" t="s">
        <v>95</v>
      </c>
      <c r="BM79" s="18" t="s">
        <v>95</v>
      </c>
      <c r="BN79" s="18" t="s">
        <v>85</v>
      </c>
      <c r="BO79" s="18" t="s">
        <v>86</v>
      </c>
      <c r="BP79" s="18" t="s">
        <v>90</v>
      </c>
      <c r="BQ79" s="18" t="s">
        <v>8002</v>
      </c>
      <c r="BR79" s="18" t="s">
        <v>139</v>
      </c>
      <c r="BS79" s="18" t="s">
        <v>8003</v>
      </c>
      <c r="BT79" s="18" t="s">
        <v>7989</v>
      </c>
      <c r="BU79" s="18" t="s">
        <v>496</v>
      </c>
      <c r="BV79" s="18" t="str">
        <f>Terminales[[#This Row],[IMEI]]&amp;"SI"</f>
        <v>356795951296313SI</v>
      </c>
      <c r="BW79" s="18" t="str">
        <f>VLOOKUP(Terminales[[#This Row],[OFICINA_USUARIO]],[1]!Locales[#Data],3,0)</f>
        <v>TIENDA RECREO</v>
      </c>
      <c r="BX79" s="18" t="str">
        <f>VLOOKUP(Terminales[[#This Row],[USUARIO_FINAL]],'[1]Personal Ppto vs Real'!$A:$F,6,0)</f>
        <v>VARGAS REYES LUIS EDUARDO</v>
      </c>
      <c r="BY7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7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79" s="18">
        <f>DAY(Terminales[[#This Row],[FECHA_FACTURA]])</f>
        <v>5</v>
      </c>
      <c r="CB79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79" s="65">
        <f>IFERROR(IF(AND(Terminales[[#This Row],[CANTIDAD]] = 1,Terminales[[#This Row],[MOVIMIENTO]] = "RENOVACION"),Terminales[[#This Row],[TARIFA_BASICA]]*0.5,),)</f>
        <v>0</v>
      </c>
      <c r="CD79" s="65">
        <f>IF('[1]Resumen TM'!$AW$20 &lt; 0.4,0,Terminales[[#This Row],[MONTO]]*0.02)</f>
        <v>4.8214286</v>
      </c>
      <c r="CE79" s="66">
        <f>Terminales[[#This Row],[COMISIONES TERMINALES]]+Terminales[[#This Row],[COMISIONES RENOVACIONES]]+Terminales[[#This Row],[COMISIONES BONO]]</f>
        <v>28.928571600000001</v>
      </c>
      <c r="CF79" s="67">
        <f>(Terminales[[#This Row],[COMISIONES TERMINALES]]*VLOOKUP(Terminales[[#This Row],[LOCALES]],[1]!Calendario[#Data],3,0))/VLOOKUP(Terminales[[#This Row],[LOCALES]],[1]!Calendario[#Data],2,0)</f>
        <v>39.660138483870966</v>
      </c>
      <c r="CG79" s="67">
        <f>(Terminales[[#This Row],[COMISIONES RENOVACIONES]]*VLOOKUP(Terminales[[#This Row],[LOCALES]],[1]!Calendario[#Data],3,0))/VLOOKUP(Terminales[[#This Row],[LOCALES]],[1]!Calendario[#Data],2,0)</f>
        <v>0</v>
      </c>
      <c r="CH79" s="67">
        <f>(Terminales[[#This Row],[COMISIONES BONO]]*VLOOKUP(Terminales[[#This Row],[LOCALES]],[1]!Calendario[#Data],3,0))/VLOOKUP(Terminales[[#This Row],[LOCALES]],[1]!Calendario[#Data],2,0)</f>
        <v>7.9320276967741936</v>
      </c>
      <c r="CI79" s="67">
        <f>Terminales[[#This Row],[PROY. COM. TERMINALES]]+Terminales[[#This Row],[PROY. COM. RENOV.]]+Terminales[[#This Row],[PROY. COM. 2%]]</f>
        <v>47.592166180645158</v>
      </c>
    </row>
    <row r="80" spans="1:87" x14ac:dyDescent="0.25">
      <c r="A80" s="68">
        <v>44926</v>
      </c>
      <c r="B80" s="68">
        <v>44900</v>
      </c>
      <c r="C80" s="18" t="s">
        <v>96</v>
      </c>
      <c r="D80" s="18" t="s">
        <v>96</v>
      </c>
      <c r="E80" s="18" t="s">
        <v>96</v>
      </c>
      <c r="F80" s="18" t="s">
        <v>8568</v>
      </c>
      <c r="G80" s="18" t="s">
        <v>292</v>
      </c>
      <c r="H80" s="18" t="s">
        <v>494</v>
      </c>
      <c r="I80" s="18" t="s">
        <v>8569</v>
      </c>
      <c r="J80" s="18" t="s">
        <v>95</v>
      </c>
      <c r="K80" s="18" t="s">
        <v>7970</v>
      </c>
      <c r="L80" s="18" t="s">
        <v>8570</v>
      </c>
      <c r="M80" s="18" t="s">
        <v>8571</v>
      </c>
      <c r="N80" s="18" t="s">
        <v>8572</v>
      </c>
      <c r="O80" s="18" t="s">
        <v>543</v>
      </c>
      <c r="P80" s="18" t="s">
        <v>8573</v>
      </c>
      <c r="Q80" s="18" t="s">
        <v>7975</v>
      </c>
      <c r="R80" s="18" t="s">
        <v>7976</v>
      </c>
      <c r="S80" s="18" t="s">
        <v>7994</v>
      </c>
      <c r="T80" s="18" t="s">
        <v>8245</v>
      </c>
      <c r="U80" s="18" t="s">
        <v>8012</v>
      </c>
      <c r="V80" s="18" t="s">
        <v>6963</v>
      </c>
      <c r="W80" s="18" t="s">
        <v>95</v>
      </c>
      <c r="X80" s="18" t="s">
        <v>95</v>
      </c>
      <c r="Y80" s="18" t="s">
        <v>7980</v>
      </c>
      <c r="Z80" s="18" t="s">
        <v>6996</v>
      </c>
      <c r="AA80" s="69">
        <v>1</v>
      </c>
      <c r="AB80" s="18">
        <v>156.25</v>
      </c>
      <c r="AC80" s="18" t="s">
        <v>8574</v>
      </c>
      <c r="AD80" s="18" t="s">
        <v>7982</v>
      </c>
      <c r="AE80" s="18">
        <v>156</v>
      </c>
      <c r="AF80" s="18" t="s">
        <v>7983</v>
      </c>
      <c r="AG80" s="18">
        <v>156</v>
      </c>
      <c r="AH80" s="18" t="s">
        <v>95</v>
      </c>
      <c r="AI80" s="18" t="s">
        <v>8102</v>
      </c>
      <c r="AJ80" s="18" t="s">
        <v>8103</v>
      </c>
      <c r="AK80" s="18" t="s">
        <v>95</v>
      </c>
      <c r="AL80" s="18" t="s">
        <v>95</v>
      </c>
      <c r="AM80" s="18" t="s">
        <v>95</v>
      </c>
      <c r="AN80" s="18" t="s">
        <v>7984</v>
      </c>
      <c r="AO80" s="18" t="s">
        <v>139</v>
      </c>
      <c r="AP80" s="20" t="s">
        <v>187</v>
      </c>
      <c r="AQ80" s="18" t="s">
        <v>188</v>
      </c>
      <c r="AR80" s="18" t="s">
        <v>496</v>
      </c>
      <c r="AS80" s="18">
        <v>1</v>
      </c>
      <c r="AT80" s="18" t="s">
        <v>177</v>
      </c>
      <c r="AU80" s="18" t="s">
        <v>90</v>
      </c>
      <c r="AV80" s="18" t="s">
        <v>8247</v>
      </c>
      <c r="AW80" s="18" t="s">
        <v>8248</v>
      </c>
      <c r="AX80" s="18" t="s">
        <v>83</v>
      </c>
      <c r="AY80" s="18" t="s">
        <v>95</v>
      </c>
      <c r="AZ80" s="18" t="s">
        <v>95</v>
      </c>
      <c r="BA80" s="18" t="s">
        <v>95</v>
      </c>
      <c r="BB80" s="18" t="s">
        <v>95</v>
      </c>
      <c r="BC80" s="18" t="s">
        <v>118</v>
      </c>
      <c r="BD80" s="18" t="s">
        <v>95</v>
      </c>
      <c r="BE80" s="18" t="s">
        <v>8321</v>
      </c>
      <c r="BF80" s="18" t="s">
        <v>8001</v>
      </c>
      <c r="BG80" s="18" t="s">
        <v>95</v>
      </c>
      <c r="BH80" s="18" t="s">
        <v>95</v>
      </c>
      <c r="BI80" s="18">
        <v>12</v>
      </c>
      <c r="BJ80" s="18">
        <v>2022</v>
      </c>
      <c r="BK80" s="18" t="s">
        <v>95</v>
      </c>
      <c r="BL80" s="18" t="s">
        <v>95</v>
      </c>
      <c r="BM80" s="18" t="s">
        <v>95</v>
      </c>
      <c r="BN80" s="18" t="s">
        <v>85</v>
      </c>
      <c r="BO80" s="18" t="s">
        <v>86</v>
      </c>
      <c r="BP80" s="18" t="s">
        <v>90</v>
      </c>
      <c r="BQ80" s="18" t="s">
        <v>8002</v>
      </c>
      <c r="BR80" s="18" t="s">
        <v>139</v>
      </c>
      <c r="BS80" s="18" t="s">
        <v>8003</v>
      </c>
      <c r="BT80" s="18" t="s">
        <v>7989</v>
      </c>
      <c r="BU80" s="18" t="s">
        <v>496</v>
      </c>
      <c r="BV80" s="18" t="str">
        <f>Terminales[[#This Row],[IMEI]]&amp;"SI"</f>
        <v>355108340320144SI</v>
      </c>
      <c r="BW80" s="18" t="str">
        <f>VLOOKUP(Terminales[[#This Row],[OFICINA_USUARIO]],[1]!Locales[#Data],3,0)</f>
        <v>TIENDA RECREO</v>
      </c>
      <c r="BX80" s="18" t="str">
        <f>VLOOKUP(Terminales[[#This Row],[USUARIO_FINAL]],'[1]Personal Ppto vs Real'!$A:$F,6,0)</f>
        <v>ESPINOZA MARTINES LAURA XIOMARA</v>
      </c>
      <c r="BY8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8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80" s="18">
        <f>DAY(Terminales[[#This Row],[FECHA_FACTURA]])</f>
        <v>5</v>
      </c>
      <c r="CB80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80" s="65">
        <f>IFERROR(IF(AND(Terminales[[#This Row],[CANTIDAD]] = 1,Terminales[[#This Row],[MOVIMIENTO]] = "RENOVACION"),Terminales[[#This Row],[TARIFA_BASICA]]*0.5,),)</f>
        <v>0</v>
      </c>
      <c r="CD80" s="65">
        <f>IF('[1]Resumen TM'!$AW$20 &lt; 0.4,0,Terminales[[#This Row],[MONTO]]*0.02)</f>
        <v>3.125</v>
      </c>
      <c r="CE80" s="66">
        <f>Terminales[[#This Row],[COMISIONES TERMINALES]]+Terminales[[#This Row],[COMISIONES RENOVACIONES]]+Terminales[[#This Row],[COMISIONES BONO]]</f>
        <v>18.75</v>
      </c>
      <c r="CF80" s="67">
        <f>(Terminales[[#This Row],[COMISIONES TERMINALES]]*VLOOKUP(Terminales[[#This Row],[LOCALES]],[1]!Calendario[#Data],3,0))/VLOOKUP(Terminales[[#This Row],[LOCALES]],[1]!Calendario[#Data],2,0)</f>
        <v>25.705645161290324</v>
      </c>
      <c r="CG80" s="67">
        <f>(Terminales[[#This Row],[COMISIONES RENOVACIONES]]*VLOOKUP(Terminales[[#This Row],[LOCALES]],[1]!Calendario[#Data],3,0))/VLOOKUP(Terminales[[#This Row],[LOCALES]],[1]!Calendario[#Data],2,0)</f>
        <v>0</v>
      </c>
      <c r="CH80" s="67">
        <f>(Terminales[[#This Row],[COMISIONES BONO]]*VLOOKUP(Terminales[[#This Row],[LOCALES]],[1]!Calendario[#Data],3,0))/VLOOKUP(Terminales[[#This Row],[LOCALES]],[1]!Calendario[#Data],2,0)</f>
        <v>5.1411290322580649</v>
      </c>
      <c r="CI80" s="67">
        <f>Terminales[[#This Row],[PROY. COM. TERMINALES]]+Terminales[[#This Row],[PROY. COM. RENOV.]]+Terminales[[#This Row],[PROY. COM. 2%]]</f>
        <v>30.846774193548388</v>
      </c>
    </row>
    <row r="81" spans="1:87" x14ac:dyDescent="0.25">
      <c r="A81" s="68">
        <v>44926</v>
      </c>
      <c r="B81" s="68">
        <v>44900</v>
      </c>
      <c r="C81" s="18" t="s">
        <v>96</v>
      </c>
      <c r="D81" s="18" t="s">
        <v>96</v>
      </c>
      <c r="E81" s="18" t="s">
        <v>96</v>
      </c>
      <c r="F81" s="18" t="s">
        <v>95</v>
      </c>
      <c r="G81" s="18" t="s">
        <v>292</v>
      </c>
      <c r="H81" s="18" t="s">
        <v>494</v>
      </c>
      <c r="I81" s="18" t="s">
        <v>8575</v>
      </c>
      <c r="J81" s="18" t="s">
        <v>95</v>
      </c>
      <c r="K81" s="18" t="s">
        <v>7970</v>
      </c>
      <c r="L81" s="18" t="s">
        <v>8576</v>
      </c>
      <c r="M81" s="18" t="s">
        <v>8577</v>
      </c>
      <c r="N81" s="18" t="s">
        <v>5443</v>
      </c>
      <c r="O81" s="18" t="s">
        <v>2260</v>
      </c>
      <c r="P81" s="18" t="s">
        <v>8578</v>
      </c>
      <c r="Q81" s="18" t="s">
        <v>7975</v>
      </c>
      <c r="R81" s="18" t="s">
        <v>7976</v>
      </c>
      <c r="S81" s="18" t="s">
        <v>8010</v>
      </c>
      <c r="T81" s="18" t="s">
        <v>8011</v>
      </c>
      <c r="U81" s="18" t="s">
        <v>8012</v>
      </c>
      <c r="V81" s="18" t="s">
        <v>6963</v>
      </c>
      <c r="W81" s="18" t="s">
        <v>95</v>
      </c>
      <c r="X81" s="18" t="s">
        <v>95</v>
      </c>
      <c r="Y81" s="18" t="s">
        <v>7980</v>
      </c>
      <c r="Z81" s="18" t="s">
        <v>6996</v>
      </c>
      <c r="AA81" s="69">
        <v>1</v>
      </c>
      <c r="AB81" s="18">
        <v>196.42857000000001</v>
      </c>
      <c r="AC81" s="18" t="s">
        <v>95</v>
      </c>
      <c r="AD81" s="18" t="s">
        <v>96</v>
      </c>
      <c r="AE81" s="18">
        <v>168.8</v>
      </c>
      <c r="AF81" s="18" t="s">
        <v>7983</v>
      </c>
      <c r="AG81" s="18">
        <v>168.8</v>
      </c>
      <c r="AH81" s="18" t="s">
        <v>95</v>
      </c>
      <c r="AI81" s="18" t="s">
        <v>95</v>
      </c>
      <c r="AJ81" s="18" t="s">
        <v>95</v>
      </c>
      <c r="AK81" s="18" t="s">
        <v>95</v>
      </c>
      <c r="AL81" s="18" t="s">
        <v>95</v>
      </c>
      <c r="AM81" s="18" t="s">
        <v>95</v>
      </c>
      <c r="AN81" s="18" t="s">
        <v>7984</v>
      </c>
      <c r="AO81" s="18" t="s">
        <v>92</v>
      </c>
      <c r="AP81" s="20" t="s">
        <v>385</v>
      </c>
      <c r="AQ81" s="18" t="s">
        <v>386</v>
      </c>
      <c r="AR81" s="18" t="s">
        <v>496</v>
      </c>
      <c r="AS81" s="18">
        <v>1</v>
      </c>
      <c r="AT81" s="18" t="s">
        <v>151</v>
      </c>
      <c r="AU81" s="18" t="s">
        <v>90</v>
      </c>
      <c r="AV81" s="18" t="s">
        <v>8014</v>
      </c>
      <c r="AW81" s="18" t="s">
        <v>8015</v>
      </c>
      <c r="AX81" s="18" t="s">
        <v>83</v>
      </c>
      <c r="AY81" s="18" t="s">
        <v>95</v>
      </c>
      <c r="AZ81" s="18" t="s">
        <v>95</v>
      </c>
      <c r="BA81" s="18" t="s">
        <v>95</v>
      </c>
      <c r="BB81" s="18" t="s">
        <v>95</v>
      </c>
      <c r="BC81" s="18" t="s">
        <v>95</v>
      </c>
      <c r="BD81" s="18" t="s">
        <v>95</v>
      </c>
      <c r="BE81" s="18" t="s">
        <v>95</v>
      </c>
      <c r="BF81" s="18" t="s">
        <v>95</v>
      </c>
      <c r="BG81" s="18" t="s">
        <v>95</v>
      </c>
      <c r="BH81" s="18" t="s">
        <v>95</v>
      </c>
      <c r="BI81" s="18">
        <v>12</v>
      </c>
      <c r="BJ81" s="18">
        <v>2022</v>
      </c>
      <c r="BK81" s="18" t="s">
        <v>95</v>
      </c>
      <c r="BL81" s="18" t="s">
        <v>95</v>
      </c>
      <c r="BM81" s="18" t="s">
        <v>95</v>
      </c>
      <c r="BN81" s="18" t="s">
        <v>85</v>
      </c>
      <c r="BO81" s="18" t="s">
        <v>86</v>
      </c>
      <c r="BP81" s="18" t="s">
        <v>90</v>
      </c>
      <c r="BQ81" s="18" t="s">
        <v>8141</v>
      </c>
      <c r="BR81" s="18" t="s">
        <v>92</v>
      </c>
      <c r="BS81" s="18" t="s">
        <v>8074</v>
      </c>
      <c r="BT81" s="18" t="s">
        <v>7989</v>
      </c>
      <c r="BU81" s="18" t="s">
        <v>496</v>
      </c>
      <c r="BV81" s="18" t="str">
        <f>Terminales[[#This Row],[IMEI]]&amp;"SI"</f>
        <v>359694275282371SI</v>
      </c>
      <c r="BW81" s="18" t="str">
        <f>VLOOKUP(Terminales[[#This Row],[OFICINA_USUARIO]],[1]!Locales[#Data],3,0)</f>
        <v>TIENDA CUENCA REMIGIO</v>
      </c>
      <c r="BX81" s="18" t="str">
        <f>VLOOKUP(Terminales[[#This Row],[USUARIO_FINAL]],'[1]Personal Ppto vs Real'!$A:$F,6,0)</f>
        <v>RAMIREZ RUBIO NELLY LILIANA</v>
      </c>
      <c r="BY8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8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81" s="18">
        <f>DAY(Terminales[[#This Row],[FECHA_FACTURA]])</f>
        <v>5</v>
      </c>
      <c r="CB81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81" s="65">
        <f>IFERROR(IF(AND(Terminales[[#This Row],[CANTIDAD]] = 1,Terminales[[#This Row],[MOVIMIENTO]] = "RENOVACION"),Terminales[[#This Row],[TARIFA_BASICA]]*0.5,),)</f>
        <v>0</v>
      </c>
      <c r="CD81" s="65">
        <f>IF('[1]Resumen TM'!$AW$20 &lt; 0.4,0,Terminales[[#This Row],[MONTO]]*0.02)</f>
        <v>3.9285714</v>
      </c>
      <c r="CE81" s="66">
        <f>Terminales[[#This Row],[COMISIONES TERMINALES]]+Terminales[[#This Row],[COMISIONES RENOVACIONES]]+Terminales[[#This Row],[COMISIONES BONO]]</f>
        <v>23.571428400000002</v>
      </c>
      <c r="CF81" s="67">
        <f>(Terminales[[#This Row],[COMISIONES TERMINALES]]*VLOOKUP(Terminales[[#This Row],[LOCALES]],[1]!Calendario[#Data],3,0))/VLOOKUP(Terminales[[#This Row],[LOCALES]],[1]!Calendario[#Data],2,0)</f>
        <v>31.834975137931039</v>
      </c>
      <c r="CG81" s="67">
        <f>(Terminales[[#This Row],[COMISIONES RENOVACIONES]]*VLOOKUP(Terminales[[#This Row],[LOCALES]],[1]!Calendario[#Data],3,0))/VLOOKUP(Terminales[[#This Row],[LOCALES]],[1]!Calendario[#Data],2,0)</f>
        <v>0</v>
      </c>
      <c r="CH81" s="67">
        <f>(Terminales[[#This Row],[COMISIONES BONO]]*VLOOKUP(Terminales[[#This Row],[LOCALES]],[1]!Calendario[#Data],3,0))/VLOOKUP(Terminales[[#This Row],[LOCALES]],[1]!Calendario[#Data],2,0)</f>
        <v>6.3669950275862073</v>
      </c>
      <c r="CI81" s="67">
        <f>Terminales[[#This Row],[PROY. COM. TERMINALES]]+Terminales[[#This Row],[PROY. COM. RENOV.]]+Terminales[[#This Row],[PROY. COM. 2%]]</f>
        <v>38.201970165517245</v>
      </c>
    </row>
    <row r="82" spans="1:87" x14ac:dyDescent="0.25">
      <c r="A82" s="68">
        <v>44926</v>
      </c>
      <c r="B82" s="68">
        <v>44900</v>
      </c>
      <c r="C82" s="18" t="s">
        <v>291</v>
      </c>
      <c r="D82" s="18" t="s">
        <v>78</v>
      </c>
      <c r="E82" s="18" t="s">
        <v>2241</v>
      </c>
      <c r="F82" s="18" t="s">
        <v>8579</v>
      </c>
      <c r="G82" s="18" t="s">
        <v>292</v>
      </c>
      <c r="H82" s="18" t="s">
        <v>293</v>
      </c>
      <c r="I82" s="18" t="s">
        <v>8580</v>
      </c>
      <c r="J82" s="18" t="s">
        <v>95</v>
      </c>
      <c r="K82" s="18" t="s">
        <v>7970</v>
      </c>
      <c r="L82" s="18" t="s">
        <v>8581</v>
      </c>
      <c r="M82" s="18" t="s">
        <v>8582</v>
      </c>
      <c r="N82" s="18" t="s">
        <v>8583</v>
      </c>
      <c r="O82" s="18" t="s">
        <v>8584</v>
      </c>
      <c r="P82" s="18" t="s">
        <v>8585</v>
      </c>
      <c r="Q82" s="18" t="s">
        <v>7975</v>
      </c>
      <c r="R82" s="18" t="s">
        <v>7976</v>
      </c>
      <c r="S82" s="18" t="s">
        <v>8045</v>
      </c>
      <c r="T82" s="18" t="s">
        <v>8586</v>
      </c>
      <c r="U82" s="18" t="s">
        <v>8059</v>
      </c>
      <c r="V82" s="18" t="s">
        <v>6963</v>
      </c>
      <c r="W82" s="18" t="s">
        <v>95</v>
      </c>
      <c r="X82" s="18" t="s">
        <v>95</v>
      </c>
      <c r="Y82" s="18" t="s">
        <v>7980</v>
      </c>
      <c r="Z82" s="18" t="s">
        <v>6996</v>
      </c>
      <c r="AA82" s="69">
        <v>1</v>
      </c>
      <c r="AB82" s="18">
        <v>891.96429000000001</v>
      </c>
      <c r="AC82" s="18" t="s">
        <v>8587</v>
      </c>
      <c r="AD82" s="18" t="s">
        <v>7982</v>
      </c>
      <c r="AE82" s="18">
        <v>656.5</v>
      </c>
      <c r="AF82" s="18" t="s">
        <v>7983</v>
      </c>
      <c r="AG82" s="18">
        <v>656.5</v>
      </c>
      <c r="AH82" s="18" t="s">
        <v>95</v>
      </c>
      <c r="AI82" s="18" t="s">
        <v>7074</v>
      </c>
      <c r="AJ82" s="18" t="s">
        <v>7557</v>
      </c>
      <c r="AK82" s="18">
        <v>12.99</v>
      </c>
      <c r="AL82" s="18" t="s">
        <v>95</v>
      </c>
      <c r="AM82" s="18" t="s">
        <v>95</v>
      </c>
      <c r="AN82" s="18" t="s">
        <v>7984</v>
      </c>
      <c r="AO82" s="18" t="s">
        <v>92</v>
      </c>
      <c r="AP82" s="20" t="s">
        <v>289</v>
      </c>
      <c r="AQ82" s="18" t="s">
        <v>290</v>
      </c>
      <c r="AR82" s="18" t="s">
        <v>295</v>
      </c>
      <c r="AS82" s="18">
        <v>6</v>
      </c>
      <c r="AT82" s="18" t="s">
        <v>91</v>
      </c>
      <c r="AU82" s="18" t="s">
        <v>90</v>
      </c>
      <c r="AV82" s="18" t="s">
        <v>8588</v>
      </c>
      <c r="AW82" s="18" t="s">
        <v>8589</v>
      </c>
      <c r="AX82" s="18" t="s">
        <v>83</v>
      </c>
      <c r="AY82" s="18" t="s">
        <v>95</v>
      </c>
      <c r="AZ82" s="18" t="s">
        <v>95</v>
      </c>
      <c r="BA82" s="18" t="s">
        <v>95</v>
      </c>
      <c r="BB82" s="18" t="s">
        <v>95</v>
      </c>
      <c r="BC82" s="18" t="s">
        <v>84</v>
      </c>
      <c r="BD82" s="18">
        <v>180</v>
      </c>
      <c r="BE82" s="18" t="s">
        <v>95</v>
      </c>
      <c r="BF82" s="18" t="s">
        <v>95</v>
      </c>
      <c r="BG82" s="18" t="s">
        <v>95</v>
      </c>
      <c r="BH82" s="18" t="s">
        <v>95</v>
      </c>
      <c r="BI82" s="18">
        <v>12</v>
      </c>
      <c r="BJ82" s="18">
        <v>2022</v>
      </c>
      <c r="BK82" s="18" t="s">
        <v>95</v>
      </c>
      <c r="BL82" s="18" t="s">
        <v>95</v>
      </c>
      <c r="BM82" s="18" t="s">
        <v>95</v>
      </c>
      <c r="BN82" s="18" t="s">
        <v>85</v>
      </c>
      <c r="BO82" s="18" t="s">
        <v>86</v>
      </c>
      <c r="BP82" s="18" t="s">
        <v>90</v>
      </c>
      <c r="BQ82" s="18" t="s">
        <v>8106</v>
      </c>
      <c r="BR82" s="18" t="s">
        <v>92</v>
      </c>
      <c r="BS82" s="18" t="s">
        <v>8027</v>
      </c>
      <c r="BT82" s="18" t="s">
        <v>7989</v>
      </c>
      <c r="BU82" s="18" t="s">
        <v>7990</v>
      </c>
      <c r="BV82" s="18" t="str">
        <f>Terminales[[#This Row],[IMEI]]&amp;"SI"</f>
        <v>352755852507857SI</v>
      </c>
      <c r="BW82" s="18" t="str">
        <f>VLOOKUP(Terminales[[#This Row],[OFICINA_USUARIO]],[1]!Locales[#Data],3,0)</f>
        <v>TIENDA CUENCA CENTRO</v>
      </c>
      <c r="BX82" s="18" t="str">
        <f>VLOOKUP(Terminales[[#This Row],[USUARIO_FINAL]],'[1]Personal Ppto vs Real'!$A:$F,6,0)</f>
        <v>CALLE CHACA JORGE VINICIO</v>
      </c>
      <c r="BY8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8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82" s="18">
        <f>DAY(Terminales[[#This Row],[FECHA_FACTURA]])</f>
        <v>5</v>
      </c>
      <c r="CB82" s="65">
        <f>IF(Terminales[[#This Row],[CANTIDAD]] = 1,INDEX([1]!Comisiones[#Data],MATCH("Terminales",[1]!Comisiones[Producto],0),MATCH(Terminales[[#This Row],[TIPO ALTA COMISIONES]],[1]!Comisiones[#Headers],0))*Terminales[[#This Row],[MONTO]],0)</f>
        <v>71.357143199999996</v>
      </c>
      <c r="CC82" s="65">
        <f>IFERROR(IF(AND(Terminales[[#This Row],[CANTIDAD]] = 1,Terminales[[#This Row],[MOVIMIENTO]] = "RENOVACION"),Terminales[[#This Row],[TARIFA_BASICA]]*0.5,),)</f>
        <v>6.4950000000000001</v>
      </c>
      <c r="CD82" s="65">
        <f>IF('[1]Resumen TM'!$AW$20 &lt; 0.4,0,Terminales[[#This Row],[MONTO]]*0.02)</f>
        <v>17.839285799999999</v>
      </c>
      <c r="CE82" s="66">
        <f>Terminales[[#This Row],[COMISIONES TERMINALES]]+Terminales[[#This Row],[COMISIONES RENOVACIONES]]+Terminales[[#This Row],[COMISIONES BONO]]</f>
        <v>95.691428999999999</v>
      </c>
      <c r="CF82" s="67">
        <f>(Terminales[[#This Row],[COMISIONES TERMINALES]]*VLOOKUP(Terminales[[#This Row],[LOCALES]],[1]!Calendario[#Data],3,0))/VLOOKUP(Terminales[[#This Row],[LOCALES]],[1]!Calendario[#Data],2,0)</f>
        <v>115.64778380689656</v>
      </c>
      <c r="CG82" s="67">
        <f>(Terminales[[#This Row],[COMISIONES RENOVACIONES]]*VLOOKUP(Terminales[[#This Row],[LOCALES]],[1]!Calendario[#Data],3,0))/VLOOKUP(Terminales[[#This Row],[LOCALES]],[1]!Calendario[#Data],2,0)</f>
        <v>10.526379310344828</v>
      </c>
      <c r="CH82" s="67">
        <f>(Terminales[[#This Row],[COMISIONES BONO]]*VLOOKUP(Terminales[[#This Row],[LOCALES]],[1]!Calendario[#Data],3,0))/VLOOKUP(Terminales[[#This Row],[LOCALES]],[1]!Calendario[#Data],2,0)</f>
        <v>28.911945951724139</v>
      </c>
      <c r="CI82" s="67">
        <f>Terminales[[#This Row],[PROY. COM. TERMINALES]]+Terminales[[#This Row],[PROY. COM. RENOV.]]+Terminales[[#This Row],[PROY. COM. 2%]]</f>
        <v>155.08610906896553</v>
      </c>
    </row>
    <row r="83" spans="1:87" x14ac:dyDescent="0.25">
      <c r="A83" s="68">
        <v>44926</v>
      </c>
      <c r="B83" s="68">
        <v>44900</v>
      </c>
      <c r="C83" s="18" t="s">
        <v>291</v>
      </c>
      <c r="D83" s="18" t="s">
        <v>521</v>
      </c>
      <c r="E83" s="18" t="s">
        <v>8017</v>
      </c>
      <c r="F83" s="18" t="s">
        <v>8590</v>
      </c>
      <c r="G83" s="18" t="s">
        <v>292</v>
      </c>
      <c r="H83" s="18" t="s">
        <v>494</v>
      </c>
      <c r="I83" s="18" t="s">
        <v>8591</v>
      </c>
      <c r="J83" s="18" t="s">
        <v>95</v>
      </c>
      <c r="K83" s="18" t="s">
        <v>7970</v>
      </c>
      <c r="L83" s="18" t="s">
        <v>8592</v>
      </c>
      <c r="M83" s="18" t="s">
        <v>8593</v>
      </c>
      <c r="N83" s="18" t="s">
        <v>8594</v>
      </c>
      <c r="O83" s="18" t="s">
        <v>354</v>
      </c>
      <c r="P83" s="18" t="s">
        <v>8595</v>
      </c>
      <c r="Q83" s="18" t="s">
        <v>7975</v>
      </c>
      <c r="R83" s="18" t="s">
        <v>7976</v>
      </c>
      <c r="S83" s="18" t="s">
        <v>8070</v>
      </c>
      <c r="T83" s="18" t="s">
        <v>8071</v>
      </c>
      <c r="U83" s="18" t="s">
        <v>8012</v>
      </c>
      <c r="V83" s="18" t="s">
        <v>6963</v>
      </c>
      <c r="W83" s="18" t="s">
        <v>95</v>
      </c>
      <c r="X83" s="18" t="s">
        <v>95</v>
      </c>
      <c r="Y83" s="18" t="s">
        <v>7980</v>
      </c>
      <c r="Z83" s="18" t="s">
        <v>6996</v>
      </c>
      <c r="AA83" s="69">
        <v>1</v>
      </c>
      <c r="AB83" s="18">
        <v>201.25</v>
      </c>
      <c r="AC83" s="18" t="s">
        <v>8596</v>
      </c>
      <c r="AD83" s="18" t="s">
        <v>7982</v>
      </c>
      <c r="AE83" s="18">
        <v>199.79</v>
      </c>
      <c r="AF83" s="18" t="s">
        <v>7983</v>
      </c>
      <c r="AG83" s="18">
        <v>199.79</v>
      </c>
      <c r="AH83" s="18" t="s">
        <v>95</v>
      </c>
      <c r="AI83" s="18" t="s">
        <v>8597</v>
      </c>
      <c r="AJ83" s="18" t="s">
        <v>8598</v>
      </c>
      <c r="AK83" s="18">
        <v>25</v>
      </c>
      <c r="AL83" s="18" t="s">
        <v>95</v>
      </c>
      <c r="AM83" s="18" t="s">
        <v>95</v>
      </c>
      <c r="AN83" s="18" t="s">
        <v>7984</v>
      </c>
      <c r="AO83" s="18" t="s">
        <v>8121</v>
      </c>
      <c r="AP83" s="20" t="s">
        <v>369</v>
      </c>
      <c r="AQ83" s="18" t="s">
        <v>370</v>
      </c>
      <c r="AR83" s="18" t="s">
        <v>496</v>
      </c>
      <c r="AS83" s="18">
        <v>1</v>
      </c>
      <c r="AT83" s="18" t="s">
        <v>177</v>
      </c>
      <c r="AU83" s="18" t="s">
        <v>90</v>
      </c>
      <c r="AV83" s="18" t="s">
        <v>8072</v>
      </c>
      <c r="AW83" s="18" t="s">
        <v>8073</v>
      </c>
      <c r="AX83" s="18" t="s">
        <v>83</v>
      </c>
      <c r="AY83" s="18" t="s">
        <v>95</v>
      </c>
      <c r="AZ83" s="18" t="s">
        <v>95</v>
      </c>
      <c r="BA83" s="18" t="s">
        <v>95</v>
      </c>
      <c r="BB83" s="18" t="s">
        <v>95</v>
      </c>
      <c r="BC83" s="18" t="s">
        <v>84</v>
      </c>
      <c r="BD83" s="18" t="s">
        <v>95</v>
      </c>
      <c r="BE83" s="18" t="s">
        <v>95</v>
      </c>
      <c r="BF83" s="18" t="s">
        <v>95</v>
      </c>
      <c r="BG83" s="18" t="s">
        <v>95</v>
      </c>
      <c r="BH83" s="18" t="s">
        <v>95</v>
      </c>
      <c r="BI83" s="18">
        <v>12</v>
      </c>
      <c r="BJ83" s="18">
        <v>2022</v>
      </c>
      <c r="BK83" s="18" t="s">
        <v>95</v>
      </c>
      <c r="BL83" s="18" t="s">
        <v>95</v>
      </c>
      <c r="BM83" s="18" t="s">
        <v>95</v>
      </c>
      <c r="BN83" s="18" t="s">
        <v>85</v>
      </c>
      <c r="BO83" s="18" t="s">
        <v>86</v>
      </c>
      <c r="BP83" s="18" t="s">
        <v>90</v>
      </c>
      <c r="BQ83" s="18" t="s">
        <v>8002</v>
      </c>
      <c r="BR83" s="18" t="s">
        <v>8121</v>
      </c>
      <c r="BS83" s="18" t="s">
        <v>8074</v>
      </c>
      <c r="BT83" s="18" t="s">
        <v>7989</v>
      </c>
      <c r="BU83" s="18" t="s">
        <v>496</v>
      </c>
      <c r="BV83" s="18" t="str">
        <f>Terminales[[#This Row],[IMEI]]&amp;"SI"</f>
        <v>869113065696347SI</v>
      </c>
      <c r="BW83" s="18" t="str">
        <f>VLOOKUP(Terminales[[#This Row],[OFICINA_USUARIO]],[1]!Locales[#Data],3,0)</f>
        <v>TIENDA RECREO</v>
      </c>
      <c r="BX83" s="18" t="str">
        <f>VLOOKUP(Terminales[[#This Row],[USUARIO_FINAL]],'[1]Personal Ppto vs Real'!$A:$F,6,0)</f>
        <v>GUAIGUA REINOSO GENESIS CAROLINA</v>
      </c>
      <c r="BY8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8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83" s="18">
        <f>DAY(Terminales[[#This Row],[FECHA_FACTURA]])</f>
        <v>5</v>
      </c>
      <c r="CB83" s="65">
        <f>IF(Terminales[[#This Row],[CANTIDAD]] = 1,INDEX([1]!Comisiones[#Data],MATCH("Terminales",[1]!Comisiones[Producto],0),MATCH(Terminales[[#This Row],[TIPO ALTA COMISIONES]],[1]!Comisiones[#Headers],0))*Terminales[[#This Row],[MONTO]],0)</f>
        <v>20.125</v>
      </c>
      <c r="CC83" s="65">
        <f>IFERROR(IF(AND(Terminales[[#This Row],[CANTIDAD]] = 1,Terminales[[#This Row],[MOVIMIENTO]] = "RENOVACION"),Terminales[[#This Row],[TARIFA_BASICA]]*0.5,),)</f>
        <v>12.5</v>
      </c>
      <c r="CD83" s="65">
        <f>IF('[1]Resumen TM'!$AW$20 &lt; 0.4,0,Terminales[[#This Row],[MONTO]]*0.02)</f>
        <v>4.0250000000000004</v>
      </c>
      <c r="CE83" s="66">
        <f>Terminales[[#This Row],[COMISIONES TERMINALES]]+Terminales[[#This Row],[COMISIONES RENOVACIONES]]+Terminales[[#This Row],[COMISIONES BONO]]</f>
        <v>36.65</v>
      </c>
      <c r="CF83" s="67">
        <f>(Terminales[[#This Row],[COMISIONES TERMINALES]]*VLOOKUP(Terminales[[#This Row],[LOCALES]],[1]!Calendario[#Data],3,0))/VLOOKUP(Terminales[[#This Row],[LOCALES]],[1]!Calendario[#Data],2,0)</f>
        <v>33.108870967741936</v>
      </c>
      <c r="CG83" s="67">
        <f>(Terminales[[#This Row],[COMISIONES RENOVACIONES]]*VLOOKUP(Terminales[[#This Row],[LOCALES]],[1]!Calendario[#Data],3,0))/VLOOKUP(Terminales[[#This Row],[LOCALES]],[1]!Calendario[#Data],2,0)</f>
        <v>20.56451612903226</v>
      </c>
      <c r="CH83" s="67">
        <f>(Terminales[[#This Row],[COMISIONES BONO]]*VLOOKUP(Terminales[[#This Row],[LOCALES]],[1]!Calendario[#Data],3,0))/VLOOKUP(Terminales[[#This Row],[LOCALES]],[1]!Calendario[#Data],2,0)</f>
        <v>6.6217741935483874</v>
      </c>
      <c r="CI83" s="67">
        <f>Terminales[[#This Row],[PROY. COM. TERMINALES]]+Terminales[[#This Row],[PROY. COM. RENOV.]]+Terminales[[#This Row],[PROY. COM. 2%]]</f>
        <v>60.295161290322582</v>
      </c>
    </row>
    <row r="84" spans="1:87" x14ac:dyDescent="0.25">
      <c r="A84" s="68">
        <v>44926</v>
      </c>
      <c r="B84" s="68">
        <v>44900</v>
      </c>
      <c r="C84" s="18" t="s">
        <v>96</v>
      </c>
      <c r="D84" s="18" t="s">
        <v>96</v>
      </c>
      <c r="E84" s="18" t="s">
        <v>96</v>
      </c>
      <c r="F84" s="18" t="s">
        <v>8599</v>
      </c>
      <c r="G84" s="18" t="s">
        <v>292</v>
      </c>
      <c r="H84" s="18" t="s">
        <v>494</v>
      </c>
      <c r="I84" s="18" t="s">
        <v>8600</v>
      </c>
      <c r="J84" s="18" t="s">
        <v>95</v>
      </c>
      <c r="K84" s="18" t="s">
        <v>7970</v>
      </c>
      <c r="L84" s="18" t="s">
        <v>8601</v>
      </c>
      <c r="M84" s="18" t="s">
        <v>8602</v>
      </c>
      <c r="N84" s="18" t="s">
        <v>8603</v>
      </c>
      <c r="O84" s="18" t="s">
        <v>1022</v>
      </c>
      <c r="P84" s="18" t="s">
        <v>8604</v>
      </c>
      <c r="Q84" s="18" t="s">
        <v>7975</v>
      </c>
      <c r="R84" s="18" t="s">
        <v>7976</v>
      </c>
      <c r="S84" s="18" t="s">
        <v>8045</v>
      </c>
      <c r="T84" s="18" t="s">
        <v>8225</v>
      </c>
      <c r="U84" s="18" t="s">
        <v>8012</v>
      </c>
      <c r="V84" s="18" t="s">
        <v>6963</v>
      </c>
      <c r="W84" s="18" t="s">
        <v>95</v>
      </c>
      <c r="X84" s="18" t="s">
        <v>95</v>
      </c>
      <c r="Y84" s="18" t="s">
        <v>7980</v>
      </c>
      <c r="Z84" s="18" t="s">
        <v>6996</v>
      </c>
      <c r="AA84" s="69">
        <v>1</v>
      </c>
      <c r="AB84" s="18">
        <v>241.07142999999999</v>
      </c>
      <c r="AC84" s="18" t="s">
        <v>8605</v>
      </c>
      <c r="AD84" s="18" t="s">
        <v>96</v>
      </c>
      <c r="AE84" s="18">
        <v>234</v>
      </c>
      <c r="AF84" s="18" t="s">
        <v>7983</v>
      </c>
      <c r="AG84" s="18">
        <v>234</v>
      </c>
      <c r="AH84" s="18" t="s">
        <v>95</v>
      </c>
      <c r="AI84" s="18" t="s">
        <v>8102</v>
      </c>
      <c r="AJ84" s="18" t="s">
        <v>8103</v>
      </c>
      <c r="AK84" s="18" t="s">
        <v>95</v>
      </c>
      <c r="AL84" s="18" t="s">
        <v>95</v>
      </c>
      <c r="AM84" s="18" t="s">
        <v>95</v>
      </c>
      <c r="AN84" s="18" t="s">
        <v>7984</v>
      </c>
      <c r="AO84" s="18" t="s">
        <v>92</v>
      </c>
      <c r="AP84" s="20" t="s">
        <v>149</v>
      </c>
      <c r="AQ84" s="18" t="s">
        <v>150</v>
      </c>
      <c r="AR84" s="18" t="s">
        <v>496</v>
      </c>
      <c r="AS84" s="18">
        <v>1</v>
      </c>
      <c r="AT84" s="18" t="s">
        <v>151</v>
      </c>
      <c r="AU84" s="18" t="s">
        <v>90</v>
      </c>
      <c r="AV84" s="18" t="s">
        <v>8392</v>
      </c>
      <c r="AW84" s="18" t="s">
        <v>8393</v>
      </c>
      <c r="AX84" s="18" t="s">
        <v>83</v>
      </c>
      <c r="AY84" s="18" t="s">
        <v>95</v>
      </c>
      <c r="AZ84" s="18" t="s">
        <v>95</v>
      </c>
      <c r="BA84" s="18" t="s">
        <v>95</v>
      </c>
      <c r="BB84" s="18" t="s">
        <v>95</v>
      </c>
      <c r="BC84" s="18" t="s">
        <v>118</v>
      </c>
      <c r="BD84" s="18" t="s">
        <v>95</v>
      </c>
      <c r="BE84" s="18" t="s">
        <v>8606</v>
      </c>
      <c r="BF84" s="18" t="s">
        <v>8279</v>
      </c>
      <c r="BG84" s="18" t="s">
        <v>95</v>
      </c>
      <c r="BH84" s="18" t="s">
        <v>95</v>
      </c>
      <c r="BI84" s="18">
        <v>12</v>
      </c>
      <c r="BJ84" s="18">
        <v>2022</v>
      </c>
      <c r="BK84" s="18" t="s">
        <v>95</v>
      </c>
      <c r="BL84" s="18" t="s">
        <v>95</v>
      </c>
      <c r="BM84" s="18" t="s">
        <v>95</v>
      </c>
      <c r="BN84" s="18" t="s">
        <v>85</v>
      </c>
      <c r="BO84" s="18" t="s">
        <v>86</v>
      </c>
      <c r="BP84" s="18" t="s">
        <v>90</v>
      </c>
      <c r="BQ84" s="18" t="s">
        <v>8141</v>
      </c>
      <c r="BR84" s="18" t="s">
        <v>92</v>
      </c>
      <c r="BS84" s="18" t="s">
        <v>8003</v>
      </c>
      <c r="BT84" s="18" t="s">
        <v>7989</v>
      </c>
      <c r="BU84" s="18" t="s">
        <v>496</v>
      </c>
      <c r="BV84" s="18" t="str">
        <f>Terminales[[#This Row],[IMEI]]&amp;"SI"</f>
        <v>353568693030131SI</v>
      </c>
      <c r="BW84" s="18" t="str">
        <f>VLOOKUP(Terminales[[#This Row],[OFICINA_USUARIO]],[1]!Locales[#Data],3,0)</f>
        <v>TIENDA CUENCA REMIGIO</v>
      </c>
      <c r="BX84" s="18" t="str">
        <f>VLOOKUP(Terminales[[#This Row],[USUARIO_FINAL]],'[1]Personal Ppto vs Real'!$A:$F,6,0)</f>
        <v>OSORIO TEJADA ANA ESTEFANIA</v>
      </c>
      <c r="BY8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8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84" s="18">
        <f>DAY(Terminales[[#This Row],[FECHA_FACTURA]])</f>
        <v>5</v>
      </c>
      <c r="CB84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84" s="65">
        <f>IFERROR(IF(AND(Terminales[[#This Row],[CANTIDAD]] = 1,Terminales[[#This Row],[MOVIMIENTO]] = "RENOVACION"),Terminales[[#This Row],[TARIFA_BASICA]]*0.5,),)</f>
        <v>0</v>
      </c>
      <c r="CD84" s="65">
        <f>IF('[1]Resumen TM'!$AW$20 &lt; 0.4,0,Terminales[[#This Row],[MONTO]]*0.02)</f>
        <v>4.8214286</v>
      </c>
      <c r="CE84" s="66">
        <f>Terminales[[#This Row],[COMISIONES TERMINALES]]+Terminales[[#This Row],[COMISIONES RENOVACIONES]]+Terminales[[#This Row],[COMISIONES BONO]]</f>
        <v>28.928571600000001</v>
      </c>
      <c r="CF84" s="67">
        <f>(Terminales[[#This Row],[COMISIONES TERMINALES]]*VLOOKUP(Terminales[[#This Row],[LOCALES]],[1]!Calendario[#Data],3,0))/VLOOKUP(Terminales[[#This Row],[LOCALES]],[1]!Calendario[#Data],2,0)</f>
        <v>39.070197275862071</v>
      </c>
      <c r="CG84" s="67">
        <f>(Terminales[[#This Row],[COMISIONES RENOVACIONES]]*VLOOKUP(Terminales[[#This Row],[LOCALES]],[1]!Calendario[#Data],3,0))/VLOOKUP(Terminales[[#This Row],[LOCALES]],[1]!Calendario[#Data],2,0)</f>
        <v>0</v>
      </c>
      <c r="CH84" s="67">
        <f>(Terminales[[#This Row],[COMISIONES BONO]]*VLOOKUP(Terminales[[#This Row],[LOCALES]],[1]!Calendario[#Data],3,0))/VLOOKUP(Terminales[[#This Row],[LOCALES]],[1]!Calendario[#Data],2,0)</f>
        <v>7.8140394551724137</v>
      </c>
      <c r="CI84" s="67">
        <f>Terminales[[#This Row],[PROY. COM. TERMINALES]]+Terminales[[#This Row],[PROY. COM. RENOV.]]+Terminales[[#This Row],[PROY. COM. 2%]]</f>
        <v>46.884236731034484</v>
      </c>
    </row>
    <row r="85" spans="1:87" x14ac:dyDescent="0.25">
      <c r="A85" s="68">
        <v>44926</v>
      </c>
      <c r="B85" s="68">
        <v>44900</v>
      </c>
      <c r="C85" s="18" t="s">
        <v>291</v>
      </c>
      <c r="D85" s="18" t="s">
        <v>78</v>
      </c>
      <c r="E85" s="18" t="s">
        <v>164</v>
      </c>
      <c r="F85" s="18" t="s">
        <v>4620</v>
      </c>
      <c r="G85" s="18" t="s">
        <v>292</v>
      </c>
      <c r="H85" s="18" t="s">
        <v>494</v>
      </c>
      <c r="I85" s="18" t="s">
        <v>8607</v>
      </c>
      <c r="J85" s="18" t="s">
        <v>95</v>
      </c>
      <c r="K85" s="18" t="s">
        <v>7970</v>
      </c>
      <c r="L85" s="18" t="s">
        <v>4621</v>
      </c>
      <c r="M85" s="18" t="s">
        <v>4622</v>
      </c>
      <c r="N85" s="18" t="s">
        <v>4623</v>
      </c>
      <c r="O85" s="18" t="s">
        <v>4380</v>
      </c>
      <c r="P85" s="18" t="s">
        <v>4624</v>
      </c>
      <c r="Q85" s="18" t="s">
        <v>7975</v>
      </c>
      <c r="R85" s="18" t="s">
        <v>7976</v>
      </c>
      <c r="S85" s="18" t="s">
        <v>7994</v>
      </c>
      <c r="T85" s="18" t="s">
        <v>7995</v>
      </c>
      <c r="U85" s="18" t="s">
        <v>7996</v>
      </c>
      <c r="V85" s="18" t="s">
        <v>6963</v>
      </c>
      <c r="W85" s="18" t="s">
        <v>95</v>
      </c>
      <c r="X85" s="18" t="s">
        <v>95</v>
      </c>
      <c r="Y85" s="18" t="s">
        <v>7980</v>
      </c>
      <c r="Z85" s="18" t="s">
        <v>6996</v>
      </c>
      <c r="AA85" s="69">
        <v>1</v>
      </c>
      <c r="AB85" s="18">
        <v>125</v>
      </c>
      <c r="AC85" s="18" t="s">
        <v>8608</v>
      </c>
      <c r="AD85" s="18" t="s">
        <v>8151</v>
      </c>
      <c r="AE85" s="18">
        <v>102</v>
      </c>
      <c r="AF85" s="18" t="s">
        <v>7983</v>
      </c>
      <c r="AG85" s="18">
        <v>102</v>
      </c>
      <c r="AH85" s="18" t="s">
        <v>95</v>
      </c>
      <c r="AI85" s="18" t="s">
        <v>160</v>
      </c>
      <c r="AJ85" s="18" t="s">
        <v>161</v>
      </c>
      <c r="AK85" s="18">
        <v>14.28</v>
      </c>
      <c r="AL85" s="18" t="s">
        <v>95</v>
      </c>
      <c r="AM85" s="18" t="s">
        <v>95</v>
      </c>
      <c r="AN85" s="18" t="s">
        <v>7984</v>
      </c>
      <c r="AO85" s="18" t="s">
        <v>139</v>
      </c>
      <c r="AP85" s="20" t="s">
        <v>280</v>
      </c>
      <c r="AQ85" s="18" t="s">
        <v>281</v>
      </c>
      <c r="AR85" s="18" t="s">
        <v>496</v>
      </c>
      <c r="AS85" s="18">
        <v>1</v>
      </c>
      <c r="AT85" s="18" t="s">
        <v>235</v>
      </c>
      <c r="AU85" s="18" t="s">
        <v>90</v>
      </c>
      <c r="AV85" s="18" t="s">
        <v>7998</v>
      </c>
      <c r="AW85" s="18" t="s">
        <v>7999</v>
      </c>
      <c r="AX85" s="18" t="s">
        <v>83</v>
      </c>
      <c r="AY85" s="18" t="s">
        <v>95</v>
      </c>
      <c r="AZ85" s="18" t="s">
        <v>95</v>
      </c>
      <c r="BA85" s="18" t="s">
        <v>95</v>
      </c>
      <c r="BB85" s="18" t="s">
        <v>95</v>
      </c>
      <c r="BC85" s="18" t="s">
        <v>118</v>
      </c>
      <c r="BD85" s="18" t="s">
        <v>95</v>
      </c>
      <c r="BE85" s="18" t="s">
        <v>95</v>
      </c>
      <c r="BF85" s="18" t="s">
        <v>95</v>
      </c>
      <c r="BG85" s="18" t="s">
        <v>95</v>
      </c>
      <c r="BH85" s="18" t="s">
        <v>95</v>
      </c>
      <c r="BI85" s="18">
        <v>12</v>
      </c>
      <c r="BJ85" s="18">
        <v>2022</v>
      </c>
      <c r="BK85" s="18" t="s">
        <v>95</v>
      </c>
      <c r="BL85" s="18" t="s">
        <v>95</v>
      </c>
      <c r="BM85" s="18" t="s">
        <v>95</v>
      </c>
      <c r="BN85" s="18" t="s">
        <v>85</v>
      </c>
      <c r="BO85" s="18" t="s">
        <v>86</v>
      </c>
      <c r="BP85" s="18" t="s">
        <v>90</v>
      </c>
      <c r="BQ85" s="18" t="s">
        <v>8016</v>
      </c>
      <c r="BR85" s="18" t="s">
        <v>139</v>
      </c>
      <c r="BS85" s="18" t="s">
        <v>8074</v>
      </c>
      <c r="BT85" s="18" t="s">
        <v>7989</v>
      </c>
      <c r="BU85" s="18" t="s">
        <v>496</v>
      </c>
      <c r="BV85" s="18" t="str">
        <f>Terminales[[#This Row],[IMEI]]&amp;"SI"</f>
        <v>357321213143943SI</v>
      </c>
      <c r="BW85" s="18" t="str">
        <f>VLOOKUP(Terminales[[#This Row],[OFICINA_USUARIO]],[1]!Locales[#Data],3,0)</f>
        <v>TIENDA CONDADO</v>
      </c>
      <c r="BX85" s="18" t="str">
        <f>VLOOKUP(Terminales[[#This Row],[USUARIO_FINAL]],'[1]Personal Ppto vs Real'!$A:$F,6,0)</f>
        <v>GUACHAMIN CAZA HUGO ADRIAN</v>
      </c>
      <c r="BY85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8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85" s="18">
        <f>DAY(Terminales[[#This Row],[FECHA_FACTURA]])</f>
        <v>5</v>
      </c>
      <c r="CB85" s="65">
        <f>IF(Terminales[[#This Row],[CANTIDAD]] = 1,INDEX([1]!Comisiones[#Data],MATCH("Terminales",[1]!Comisiones[Producto],0),MATCH(Terminales[[#This Row],[TIPO ALTA COMISIONES]],[1]!Comisiones[#Headers],0))*Terminales[[#This Row],[MONTO]],0)</f>
        <v>12.5</v>
      </c>
      <c r="CC85" s="65">
        <f>IFERROR(IF(AND(Terminales[[#This Row],[CANTIDAD]] = 1,Terminales[[#This Row],[MOVIMIENTO]] = "RENOVACION"),Terminales[[#This Row],[TARIFA_BASICA]]*0.5,),)</f>
        <v>0</v>
      </c>
      <c r="CD85" s="65">
        <f>IF('[1]Resumen TM'!$AW$20 &lt; 0.4,0,Terminales[[#This Row],[MONTO]]*0.02)</f>
        <v>2.5</v>
      </c>
      <c r="CE85" s="66">
        <f>Terminales[[#This Row],[COMISIONES TERMINALES]]+Terminales[[#This Row],[COMISIONES RENOVACIONES]]+Terminales[[#This Row],[COMISIONES BONO]]</f>
        <v>15</v>
      </c>
      <c r="CF85" s="67">
        <f>(Terminales[[#This Row],[COMISIONES TERMINALES]]*VLOOKUP(Terminales[[#This Row],[LOCALES]],[1]!Calendario[#Data],3,0))/VLOOKUP(Terminales[[#This Row],[LOCALES]],[1]!Calendario[#Data],2,0)</f>
        <v>20.56451612903226</v>
      </c>
      <c r="CG85" s="67">
        <f>(Terminales[[#This Row],[COMISIONES RENOVACIONES]]*VLOOKUP(Terminales[[#This Row],[LOCALES]],[1]!Calendario[#Data],3,0))/VLOOKUP(Terminales[[#This Row],[LOCALES]],[1]!Calendario[#Data],2,0)</f>
        <v>0</v>
      </c>
      <c r="CH85" s="67">
        <f>(Terminales[[#This Row],[COMISIONES BONO]]*VLOOKUP(Terminales[[#This Row],[LOCALES]],[1]!Calendario[#Data],3,0))/VLOOKUP(Terminales[[#This Row],[LOCALES]],[1]!Calendario[#Data],2,0)</f>
        <v>4.112903225806452</v>
      </c>
      <c r="CI85" s="67">
        <f>Terminales[[#This Row],[PROY. COM. TERMINALES]]+Terminales[[#This Row],[PROY. COM. RENOV.]]+Terminales[[#This Row],[PROY. COM. 2%]]</f>
        <v>24.677419354838712</v>
      </c>
    </row>
    <row r="86" spans="1:87" x14ac:dyDescent="0.25">
      <c r="A86" s="68">
        <v>44926</v>
      </c>
      <c r="B86" s="68">
        <v>44900</v>
      </c>
      <c r="C86" s="18" t="s">
        <v>291</v>
      </c>
      <c r="D86" s="18" t="s">
        <v>78</v>
      </c>
      <c r="E86" s="18" t="s">
        <v>231</v>
      </c>
      <c r="F86" s="18" t="s">
        <v>8609</v>
      </c>
      <c r="G86" s="18" t="s">
        <v>292</v>
      </c>
      <c r="H86" s="18" t="s">
        <v>494</v>
      </c>
      <c r="I86" s="18" t="s">
        <v>8610</v>
      </c>
      <c r="J86" s="18" t="s">
        <v>95</v>
      </c>
      <c r="K86" s="18" t="s">
        <v>7970</v>
      </c>
      <c r="L86" s="18" t="s">
        <v>8611</v>
      </c>
      <c r="M86" s="18" t="s">
        <v>8612</v>
      </c>
      <c r="N86" s="18" t="s">
        <v>8613</v>
      </c>
      <c r="O86" s="18" t="s">
        <v>6241</v>
      </c>
      <c r="P86" s="18" t="s">
        <v>8614</v>
      </c>
      <c r="Q86" s="18" t="s">
        <v>7975</v>
      </c>
      <c r="R86" s="18" t="s">
        <v>7976</v>
      </c>
      <c r="S86" s="18" t="s">
        <v>8070</v>
      </c>
      <c r="T86" s="18" t="s">
        <v>8364</v>
      </c>
      <c r="U86" s="18" t="s">
        <v>8012</v>
      </c>
      <c r="V86" s="18" t="s">
        <v>6963</v>
      </c>
      <c r="W86" s="18" t="s">
        <v>95</v>
      </c>
      <c r="X86" s="18" t="s">
        <v>95</v>
      </c>
      <c r="Y86" s="18" t="s">
        <v>7980</v>
      </c>
      <c r="Z86" s="18" t="s">
        <v>6996</v>
      </c>
      <c r="AA86" s="69">
        <v>1</v>
      </c>
      <c r="AB86" s="18">
        <v>281.25</v>
      </c>
      <c r="AC86" s="18" t="s">
        <v>8615</v>
      </c>
      <c r="AD86" s="18" t="s">
        <v>7982</v>
      </c>
      <c r="AE86" s="18">
        <v>269.93</v>
      </c>
      <c r="AF86" s="18" t="s">
        <v>7983</v>
      </c>
      <c r="AG86" s="18">
        <v>269.93</v>
      </c>
      <c r="AH86" s="18" t="s">
        <v>95</v>
      </c>
      <c r="AI86" s="18" t="s">
        <v>7454</v>
      </c>
      <c r="AJ86" s="18" t="s">
        <v>7455</v>
      </c>
      <c r="AK86" s="18">
        <v>20</v>
      </c>
      <c r="AL86" s="18" t="s">
        <v>95</v>
      </c>
      <c r="AM86" s="18" t="s">
        <v>95</v>
      </c>
      <c r="AN86" s="18" t="s">
        <v>7984</v>
      </c>
      <c r="AO86" s="18" t="s">
        <v>139</v>
      </c>
      <c r="AP86" s="20" t="s">
        <v>271</v>
      </c>
      <c r="AQ86" s="18" t="s">
        <v>272</v>
      </c>
      <c r="AR86" s="18" t="s">
        <v>496</v>
      </c>
      <c r="AS86" s="18">
        <v>1</v>
      </c>
      <c r="AT86" s="18" t="s">
        <v>235</v>
      </c>
      <c r="AU86" s="18" t="s">
        <v>90</v>
      </c>
      <c r="AV86" s="18" t="s">
        <v>8366</v>
      </c>
      <c r="AW86" s="18" t="s">
        <v>8367</v>
      </c>
      <c r="AX86" s="18" t="s">
        <v>83</v>
      </c>
      <c r="AY86" s="18" t="s">
        <v>95</v>
      </c>
      <c r="AZ86" s="18" t="s">
        <v>95</v>
      </c>
      <c r="BA86" s="18" t="s">
        <v>95</v>
      </c>
      <c r="BB86" s="18" t="s">
        <v>95</v>
      </c>
      <c r="BC86" s="18" t="s">
        <v>84</v>
      </c>
      <c r="BD86" s="18" t="s">
        <v>95</v>
      </c>
      <c r="BE86" s="18" t="s">
        <v>95</v>
      </c>
      <c r="BF86" s="18" t="s">
        <v>95</v>
      </c>
      <c r="BG86" s="18" t="s">
        <v>95</v>
      </c>
      <c r="BH86" s="18" t="s">
        <v>95</v>
      </c>
      <c r="BI86" s="18">
        <v>12</v>
      </c>
      <c r="BJ86" s="18">
        <v>2022</v>
      </c>
      <c r="BK86" s="18" t="s">
        <v>95</v>
      </c>
      <c r="BL86" s="18" t="s">
        <v>95</v>
      </c>
      <c r="BM86" s="18" t="s">
        <v>95</v>
      </c>
      <c r="BN86" s="18" t="s">
        <v>85</v>
      </c>
      <c r="BO86" s="18" t="s">
        <v>86</v>
      </c>
      <c r="BP86" s="18" t="s">
        <v>90</v>
      </c>
      <c r="BQ86" s="18" t="s">
        <v>8016</v>
      </c>
      <c r="BR86" s="18" t="s">
        <v>139</v>
      </c>
      <c r="BS86" s="18" t="s">
        <v>8074</v>
      </c>
      <c r="BT86" s="18" t="s">
        <v>7989</v>
      </c>
      <c r="BU86" s="18" t="s">
        <v>496</v>
      </c>
      <c r="BV86" s="18" t="str">
        <f>Terminales[[#This Row],[IMEI]]&amp;"SI"</f>
        <v>865954063548681SI</v>
      </c>
      <c r="BW86" s="18" t="str">
        <f>VLOOKUP(Terminales[[#This Row],[OFICINA_USUARIO]],[1]!Locales[#Data],3,0)</f>
        <v>TIENDA CONDADO</v>
      </c>
      <c r="BX86" s="18" t="str">
        <f>VLOOKUP(Terminales[[#This Row],[USUARIO_FINAL]],'[1]Personal Ppto vs Real'!$A:$F,6,0)</f>
        <v>CASTILLO AGUIRRE EDWIN MODESTO</v>
      </c>
      <c r="BY8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8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86" s="18">
        <f>DAY(Terminales[[#This Row],[FECHA_FACTURA]])</f>
        <v>5</v>
      </c>
      <c r="CB86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86" s="65">
        <f>IFERROR(IF(AND(Terminales[[#This Row],[CANTIDAD]] = 1,Terminales[[#This Row],[MOVIMIENTO]] = "RENOVACION"),Terminales[[#This Row],[TARIFA_BASICA]]*0.5,),)</f>
        <v>10</v>
      </c>
      <c r="CD86" s="65">
        <f>IF('[1]Resumen TM'!$AW$20 &lt; 0.4,0,Terminales[[#This Row],[MONTO]]*0.02)</f>
        <v>5.625</v>
      </c>
      <c r="CE86" s="66">
        <f>Terminales[[#This Row],[COMISIONES TERMINALES]]+Terminales[[#This Row],[COMISIONES RENOVACIONES]]+Terminales[[#This Row],[COMISIONES BONO]]</f>
        <v>43.75</v>
      </c>
      <c r="CF86" s="67">
        <f>(Terminales[[#This Row],[COMISIONES TERMINALES]]*VLOOKUP(Terminales[[#This Row],[LOCALES]],[1]!Calendario[#Data],3,0))/VLOOKUP(Terminales[[#This Row],[LOCALES]],[1]!Calendario[#Data],2,0)</f>
        <v>46.270161290322584</v>
      </c>
      <c r="CG86" s="67">
        <f>(Terminales[[#This Row],[COMISIONES RENOVACIONES]]*VLOOKUP(Terminales[[#This Row],[LOCALES]],[1]!Calendario[#Data],3,0))/VLOOKUP(Terminales[[#This Row],[LOCALES]],[1]!Calendario[#Data],2,0)</f>
        <v>16.451612903225808</v>
      </c>
      <c r="CH86" s="67">
        <f>(Terminales[[#This Row],[COMISIONES BONO]]*VLOOKUP(Terminales[[#This Row],[LOCALES]],[1]!Calendario[#Data],3,0))/VLOOKUP(Terminales[[#This Row],[LOCALES]],[1]!Calendario[#Data],2,0)</f>
        <v>9.254032258064516</v>
      </c>
      <c r="CI86" s="67">
        <f>Terminales[[#This Row],[PROY. COM. TERMINALES]]+Terminales[[#This Row],[PROY. COM. RENOV.]]+Terminales[[#This Row],[PROY. COM. 2%]]</f>
        <v>71.975806451612911</v>
      </c>
    </row>
    <row r="87" spans="1:87" x14ac:dyDescent="0.25">
      <c r="A87" s="68">
        <v>44926</v>
      </c>
      <c r="B87" s="68">
        <v>44900</v>
      </c>
      <c r="C87" s="18" t="s">
        <v>291</v>
      </c>
      <c r="D87" s="18" t="s">
        <v>78</v>
      </c>
      <c r="E87" s="18" t="s">
        <v>2241</v>
      </c>
      <c r="F87" s="18" t="s">
        <v>7770</v>
      </c>
      <c r="G87" s="18" t="s">
        <v>292</v>
      </c>
      <c r="H87" s="18" t="s">
        <v>293</v>
      </c>
      <c r="I87" s="18" t="s">
        <v>8616</v>
      </c>
      <c r="J87" s="18" t="s">
        <v>95</v>
      </c>
      <c r="K87" s="18" t="s">
        <v>7970</v>
      </c>
      <c r="L87" s="18" t="s">
        <v>8617</v>
      </c>
      <c r="M87" s="18" t="s">
        <v>8618</v>
      </c>
      <c r="N87" s="18" t="s">
        <v>7772</v>
      </c>
      <c r="O87" s="18" t="s">
        <v>543</v>
      </c>
      <c r="P87" s="18" t="s">
        <v>8619</v>
      </c>
      <c r="Q87" s="18" t="s">
        <v>7975</v>
      </c>
      <c r="R87" s="18" t="s">
        <v>7976</v>
      </c>
      <c r="S87" s="18" t="s">
        <v>7994</v>
      </c>
      <c r="T87" s="18" t="s">
        <v>8245</v>
      </c>
      <c r="U87" s="18" t="s">
        <v>8012</v>
      </c>
      <c r="V87" s="18" t="s">
        <v>6963</v>
      </c>
      <c r="W87" s="18" t="s">
        <v>95</v>
      </c>
      <c r="X87" s="18" t="s">
        <v>95</v>
      </c>
      <c r="Y87" s="18" t="s">
        <v>7980</v>
      </c>
      <c r="Z87" s="18" t="s">
        <v>6996</v>
      </c>
      <c r="AA87" s="69">
        <v>1</v>
      </c>
      <c r="AB87" s="18">
        <v>205.35713999999999</v>
      </c>
      <c r="AC87" s="18" t="s">
        <v>7771</v>
      </c>
      <c r="AD87" s="18" t="s">
        <v>7982</v>
      </c>
      <c r="AE87" s="18">
        <v>156</v>
      </c>
      <c r="AF87" s="18" t="s">
        <v>7983</v>
      </c>
      <c r="AG87" s="18">
        <v>156</v>
      </c>
      <c r="AH87" s="18" t="s">
        <v>95</v>
      </c>
      <c r="AI87" s="18" t="s">
        <v>160</v>
      </c>
      <c r="AJ87" s="18" t="s">
        <v>161</v>
      </c>
      <c r="AK87" s="18">
        <v>14.28</v>
      </c>
      <c r="AL87" s="18" t="s">
        <v>95</v>
      </c>
      <c r="AM87" s="18" t="s">
        <v>95</v>
      </c>
      <c r="AN87" s="18" t="s">
        <v>7984</v>
      </c>
      <c r="AO87" s="18" t="s">
        <v>92</v>
      </c>
      <c r="AP87" s="20" t="s">
        <v>880</v>
      </c>
      <c r="AQ87" s="18" t="s">
        <v>881</v>
      </c>
      <c r="AR87" s="18" t="s">
        <v>295</v>
      </c>
      <c r="AS87" s="18">
        <v>6</v>
      </c>
      <c r="AT87" s="18" t="s">
        <v>91</v>
      </c>
      <c r="AU87" s="18" t="s">
        <v>90</v>
      </c>
      <c r="AV87" s="18" t="s">
        <v>8247</v>
      </c>
      <c r="AW87" s="18" t="s">
        <v>8248</v>
      </c>
      <c r="AX87" s="18" t="s">
        <v>83</v>
      </c>
      <c r="AY87" s="18" t="s">
        <v>95</v>
      </c>
      <c r="AZ87" s="18" t="s">
        <v>95</v>
      </c>
      <c r="BA87" s="18" t="s">
        <v>95</v>
      </c>
      <c r="BB87" s="18" t="s">
        <v>95</v>
      </c>
      <c r="BC87" s="18" t="s">
        <v>84</v>
      </c>
      <c r="BD87" s="18">
        <v>42</v>
      </c>
      <c r="BE87" s="18" t="s">
        <v>95</v>
      </c>
      <c r="BF87" s="18" t="s">
        <v>95</v>
      </c>
      <c r="BG87" s="18" t="s">
        <v>95</v>
      </c>
      <c r="BH87" s="18" t="s">
        <v>95</v>
      </c>
      <c r="BI87" s="18">
        <v>12</v>
      </c>
      <c r="BJ87" s="18">
        <v>2022</v>
      </c>
      <c r="BK87" s="18" t="s">
        <v>95</v>
      </c>
      <c r="BL87" s="18" t="s">
        <v>95</v>
      </c>
      <c r="BM87" s="18" t="s">
        <v>95</v>
      </c>
      <c r="BN87" s="18" t="s">
        <v>85</v>
      </c>
      <c r="BO87" s="18" t="s">
        <v>86</v>
      </c>
      <c r="BP87" s="18" t="s">
        <v>90</v>
      </c>
      <c r="BQ87" s="18" t="s">
        <v>8106</v>
      </c>
      <c r="BR87" s="18" t="s">
        <v>92</v>
      </c>
      <c r="BS87" s="18" t="s">
        <v>8027</v>
      </c>
      <c r="BT87" s="18" t="s">
        <v>7989</v>
      </c>
      <c r="BU87" s="18" t="s">
        <v>7990</v>
      </c>
      <c r="BV87" s="18" t="str">
        <f>Terminales[[#This Row],[IMEI]]&amp;"SI"</f>
        <v>355108340382169SI</v>
      </c>
      <c r="BW87" s="18" t="str">
        <f>VLOOKUP(Terminales[[#This Row],[OFICINA_USUARIO]],[1]!Locales[#Data],3,0)</f>
        <v>TIENDA CUENCA CENTRO</v>
      </c>
      <c r="BX87" s="18" t="str">
        <f>VLOOKUP(Terminales[[#This Row],[USUARIO_FINAL]],'[1]Personal Ppto vs Real'!$A:$F,6,0)</f>
        <v>LUNA JACHO ANDREA GABRIELA</v>
      </c>
      <c r="BY8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8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87" s="18">
        <f>DAY(Terminales[[#This Row],[FECHA_FACTURA]])</f>
        <v>5</v>
      </c>
      <c r="CB87" s="65">
        <f>IF(Terminales[[#This Row],[CANTIDAD]] = 1,INDEX([1]!Comisiones[#Data],MATCH("Terminales",[1]!Comisiones[Producto],0),MATCH(Terminales[[#This Row],[TIPO ALTA COMISIONES]],[1]!Comisiones[#Headers],0))*Terminales[[#This Row],[MONTO]],0)</f>
        <v>16.4285712</v>
      </c>
      <c r="CC87" s="65">
        <f>IFERROR(IF(AND(Terminales[[#This Row],[CANTIDAD]] = 1,Terminales[[#This Row],[MOVIMIENTO]] = "RENOVACION"),Terminales[[#This Row],[TARIFA_BASICA]]*0.5,),)</f>
        <v>7.14</v>
      </c>
      <c r="CD87" s="65">
        <f>IF('[1]Resumen TM'!$AW$20 &lt; 0.4,0,Terminales[[#This Row],[MONTO]]*0.02)</f>
        <v>4.1071428000000001</v>
      </c>
      <c r="CE87" s="66">
        <f>Terminales[[#This Row],[COMISIONES TERMINALES]]+Terminales[[#This Row],[COMISIONES RENOVACIONES]]+Terminales[[#This Row],[COMISIONES BONO]]</f>
        <v>27.675713999999999</v>
      </c>
      <c r="CF87" s="67">
        <f>(Terminales[[#This Row],[COMISIONES TERMINALES]]*VLOOKUP(Terminales[[#This Row],[LOCALES]],[1]!Calendario[#Data],3,0))/VLOOKUP(Terminales[[#This Row],[LOCALES]],[1]!Calendario[#Data],2,0)</f>
        <v>26.625615393103452</v>
      </c>
      <c r="CG87" s="67">
        <f>(Terminales[[#This Row],[COMISIONES RENOVACIONES]]*VLOOKUP(Terminales[[#This Row],[LOCALES]],[1]!Calendario[#Data],3,0))/VLOOKUP(Terminales[[#This Row],[LOCALES]],[1]!Calendario[#Data],2,0)</f>
        <v>11.571724137931033</v>
      </c>
      <c r="CH87" s="67">
        <f>(Terminales[[#This Row],[COMISIONES BONO]]*VLOOKUP(Terminales[[#This Row],[LOCALES]],[1]!Calendario[#Data],3,0))/VLOOKUP(Terminales[[#This Row],[LOCALES]],[1]!Calendario[#Data],2,0)</f>
        <v>6.656403848275863</v>
      </c>
      <c r="CI87" s="67">
        <f>Terminales[[#This Row],[PROY. COM. TERMINALES]]+Terminales[[#This Row],[PROY. COM. RENOV.]]+Terminales[[#This Row],[PROY. COM. 2%]]</f>
        <v>44.853743379310352</v>
      </c>
    </row>
    <row r="88" spans="1:87" x14ac:dyDescent="0.25">
      <c r="A88" s="68">
        <v>44926</v>
      </c>
      <c r="B88" s="68">
        <v>44900</v>
      </c>
      <c r="C88" s="18" t="s">
        <v>291</v>
      </c>
      <c r="D88" s="18" t="s">
        <v>78</v>
      </c>
      <c r="E88" s="18" t="s">
        <v>2241</v>
      </c>
      <c r="F88" s="18" t="s">
        <v>8620</v>
      </c>
      <c r="G88" s="18" t="s">
        <v>292</v>
      </c>
      <c r="H88" s="18" t="s">
        <v>494</v>
      </c>
      <c r="I88" s="18" t="s">
        <v>8621</v>
      </c>
      <c r="J88" s="18" t="s">
        <v>95</v>
      </c>
      <c r="K88" s="18" t="s">
        <v>7970</v>
      </c>
      <c r="L88" s="18" t="s">
        <v>8622</v>
      </c>
      <c r="M88" s="18" t="s">
        <v>8623</v>
      </c>
      <c r="N88" s="18" t="s">
        <v>8624</v>
      </c>
      <c r="O88" s="18" t="s">
        <v>8316</v>
      </c>
      <c r="P88" s="18" t="s">
        <v>8625</v>
      </c>
      <c r="Q88" s="18" t="s">
        <v>7975</v>
      </c>
      <c r="R88" s="18" t="s">
        <v>7976</v>
      </c>
      <c r="S88" s="18" t="s">
        <v>8250</v>
      </c>
      <c r="T88" s="18" t="s">
        <v>8318</v>
      </c>
      <c r="U88" s="18" t="s">
        <v>8059</v>
      </c>
      <c r="V88" s="18" t="s">
        <v>6963</v>
      </c>
      <c r="W88" s="18" t="s">
        <v>95</v>
      </c>
      <c r="X88" s="18" t="s">
        <v>95</v>
      </c>
      <c r="Y88" s="18" t="s">
        <v>7980</v>
      </c>
      <c r="Z88" s="18" t="s">
        <v>6996</v>
      </c>
      <c r="AA88" s="69">
        <v>1</v>
      </c>
      <c r="AB88" s="18">
        <v>1151.7857100000001</v>
      </c>
      <c r="AC88" s="18" t="s">
        <v>8626</v>
      </c>
      <c r="AD88" s="18" t="s">
        <v>7982</v>
      </c>
      <c r="AE88" s="18">
        <v>956.01</v>
      </c>
      <c r="AF88" s="18" t="s">
        <v>7983</v>
      </c>
      <c r="AG88" s="18">
        <v>956.01</v>
      </c>
      <c r="AH88" s="18" t="s">
        <v>95</v>
      </c>
      <c r="AI88" s="18" t="s">
        <v>227</v>
      </c>
      <c r="AJ88" s="18" t="s">
        <v>426</v>
      </c>
      <c r="AK88" s="18">
        <v>21.42</v>
      </c>
      <c r="AL88" s="18" t="s">
        <v>95</v>
      </c>
      <c r="AM88" s="18" t="s">
        <v>95</v>
      </c>
      <c r="AN88" s="18" t="s">
        <v>7984</v>
      </c>
      <c r="AO88" s="18" t="s">
        <v>92</v>
      </c>
      <c r="AP88" s="20" t="s">
        <v>318</v>
      </c>
      <c r="AQ88" s="18" t="s">
        <v>319</v>
      </c>
      <c r="AR88" s="18" t="s">
        <v>496</v>
      </c>
      <c r="AS88" s="18">
        <v>1</v>
      </c>
      <c r="AT88" s="18" t="s">
        <v>151</v>
      </c>
      <c r="AU88" s="18" t="s">
        <v>90</v>
      </c>
      <c r="AV88" s="18" t="s">
        <v>8319</v>
      </c>
      <c r="AW88" s="18" t="s">
        <v>8320</v>
      </c>
      <c r="AX88" s="18" t="s">
        <v>83</v>
      </c>
      <c r="AY88" s="18" t="s">
        <v>95</v>
      </c>
      <c r="AZ88" s="18" t="s">
        <v>95</v>
      </c>
      <c r="BA88" s="18" t="s">
        <v>95</v>
      </c>
      <c r="BB88" s="18" t="s">
        <v>95</v>
      </c>
      <c r="BC88" s="18" t="s">
        <v>118</v>
      </c>
      <c r="BD88" s="18" t="s">
        <v>95</v>
      </c>
      <c r="BE88" s="18" t="s">
        <v>8212</v>
      </c>
      <c r="BF88" s="18" t="s">
        <v>8171</v>
      </c>
      <c r="BG88" s="18" t="s">
        <v>95</v>
      </c>
      <c r="BH88" s="18" t="s">
        <v>95</v>
      </c>
      <c r="BI88" s="18">
        <v>12</v>
      </c>
      <c r="BJ88" s="18">
        <v>2022</v>
      </c>
      <c r="BK88" s="18" t="s">
        <v>95</v>
      </c>
      <c r="BL88" s="18" t="s">
        <v>95</v>
      </c>
      <c r="BM88" s="18" t="s">
        <v>95</v>
      </c>
      <c r="BN88" s="18" t="s">
        <v>85</v>
      </c>
      <c r="BO88" s="18" t="s">
        <v>86</v>
      </c>
      <c r="BP88" s="18" t="s">
        <v>90</v>
      </c>
      <c r="BQ88" s="18" t="s">
        <v>8141</v>
      </c>
      <c r="BR88" s="18" t="s">
        <v>92</v>
      </c>
      <c r="BS88" s="18" t="s">
        <v>8003</v>
      </c>
      <c r="BT88" s="18" t="s">
        <v>7989</v>
      </c>
      <c r="BU88" s="18" t="s">
        <v>496</v>
      </c>
      <c r="BV88" s="18" t="str">
        <f>Terminales[[#This Row],[IMEI]]&amp;"SI"</f>
        <v>353514359858951SI</v>
      </c>
      <c r="BW88" s="18" t="str">
        <f>VLOOKUP(Terminales[[#This Row],[OFICINA_USUARIO]],[1]!Locales[#Data],3,0)</f>
        <v>TIENDA CUENCA REMIGIO</v>
      </c>
      <c r="BX88" s="18" t="str">
        <f>VLOOKUP(Terminales[[#This Row],[USUARIO_FINAL]],'[1]Personal Ppto vs Real'!$A:$F,6,0)</f>
        <v>RODRIGUEZ QUITO JESSICA GABRIELA</v>
      </c>
      <c r="BY8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8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88" s="18">
        <f>DAY(Terminales[[#This Row],[FECHA_FACTURA]])</f>
        <v>5</v>
      </c>
      <c r="CB88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88" s="65">
        <f>IFERROR(IF(AND(Terminales[[#This Row],[CANTIDAD]] = 1,Terminales[[#This Row],[MOVIMIENTO]] = "RENOVACION"),Terminales[[#This Row],[TARIFA_BASICA]]*0.5,),)</f>
        <v>10.71</v>
      </c>
      <c r="CD88" s="65">
        <f>IF('[1]Resumen TM'!$AW$20 &lt; 0.4,0,Terminales[[#This Row],[MONTO]]*0.02)</f>
        <v>23.035714200000001</v>
      </c>
      <c r="CE88" s="66">
        <f>Terminales[[#This Row],[COMISIONES TERMINALES]]+Terminales[[#This Row],[COMISIONES RENOVACIONES]]+Terminales[[#This Row],[COMISIONES BONO]]</f>
        <v>148.92428520000001</v>
      </c>
      <c r="CF88" s="67">
        <f>(Terminales[[#This Row],[COMISIONES TERMINALES]]*VLOOKUP(Terminales[[#This Row],[LOCALES]],[1]!Calendario[#Data],3,0))/VLOOKUP(Terminales[[#This Row],[LOCALES]],[1]!Calendario[#Data],2,0)</f>
        <v>186.66871851724142</v>
      </c>
      <c r="CG88" s="67">
        <f>(Terminales[[#This Row],[COMISIONES RENOVACIONES]]*VLOOKUP(Terminales[[#This Row],[LOCALES]],[1]!Calendario[#Data],3,0))/VLOOKUP(Terminales[[#This Row],[LOCALES]],[1]!Calendario[#Data],2,0)</f>
        <v>17.357586206896553</v>
      </c>
      <c r="CH88" s="67">
        <f>(Terminales[[#This Row],[COMISIONES BONO]]*VLOOKUP(Terminales[[#This Row],[LOCALES]],[1]!Calendario[#Data],3,0))/VLOOKUP(Terminales[[#This Row],[LOCALES]],[1]!Calendario[#Data],2,0)</f>
        <v>37.333743703448278</v>
      </c>
      <c r="CI88" s="67">
        <f>Terminales[[#This Row],[PROY. COM. TERMINALES]]+Terminales[[#This Row],[PROY. COM. RENOV.]]+Terminales[[#This Row],[PROY. COM. 2%]]</f>
        <v>241.36004842758624</v>
      </c>
    </row>
    <row r="89" spans="1:87" x14ac:dyDescent="0.25">
      <c r="A89" s="68">
        <v>44926</v>
      </c>
      <c r="B89" s="68">
        <v>44900</v>
      </c>
      <c r="C89" s="18" t="s">
        <v>96</v>
      </c>
      <c r="D89" s="18" t="s">
        <v>96</v>
      </c>
      <c r="E89" s="18" t="s">
        <v>96</v>
      </c>
      <c r="F89" s="18" t="s">
        <v>8627</v>
      </c>
      <c r="G89" s="18" t="s">
        <v>292</v>
      </c>
      <c r="H89" s="18" t="s">
        <v>494</v>
      </c>
      <c r="I89" s="18" t="s">
        <v>8628</v>
      </c>
      <c r="J89" s="18" t="s">
        <v>95</v>
      </c>
      <c r="K89" s="18" t="s">
        <v>7970</v>
      </c>
      <c r="L89" s="18" t="s">
        <v>8629</v>
      </c>
      <c r="M89" s="18" t="s">
        <v>8630</v>
      </c>
      <c r="N89" s="18" t="s">
        <v>8631</v>
      </c>
      <c r="O89" s="18" t="s">
        <v>8292</v>
      </c>
      <c r="P89" s="18" t="s">
        <v>8632</v>
      </c>
      <c r="Q89" s="18" t="s">
        <v>7975</v>
      </c>
      <c r="R89" s="18" t="s">
        <v>7976</v>
      </c>
      <c r="S89" s="18" t="s">
        <v>8250</v>
      </c>
      <c r="T89" s="18" t="s">
        <v>8294</v>
      </c>
      <c r="U89" s="18" t="s">
        <v>8059</v>
      </c>
      <c r="V89" s="18" t="s">
        <v>6963</v>
      </c>
      <c r="W89" s="18" t="s">
        <v>95</v>
      </c>
      <c r="X89" s="18" t="s">
        <v>95</v>
      </c>
      <c r="Y89" s="18" t="s">
        <v>7980</v>
      </c>
      <c r="Z89" s="18" t="s">
        <v>6996</v>
      </c>
      <c r="AA89" s="69">
        <v>1</v>
      </c>
      <c r="AB89" s="18">
        <v>1053.57143</v>
      </c>
      <c r="AC89" s="18" t="s">
        <v>8633</v>
      </c>
      <c r="AD89" s="18" t="s">
        <v>96</v>
      </c>
      <c r="AE89" s="18">
        <v>849.67</v>
      </c>
      <c r="AF89" s="18" t="s">
        <v>7983</v>
      </c>
      <c r="AG89" s="18">
        <v>849.67</v>
      </c>
      <c r="AH89" s="18" t="s">
        <v>95</v>
      </c>
      <c r="AI89" s="18" t="s">
        <v>8102</v>
      </c>
      <c r="AJ89" s="18" t="s">
        <v>8103</v>
      </c>
      <c r="AK89" s="18" t="s">
        <v>95</v>
      </c>
      <c r="AL89" s="18" t="s">
        <v>95</v>
      </c>
      <c r="AM89" s="18" t="s">
        <v>95</v>
      </c>
      <c r="AN89" s="18" t="s">
        <v>7984</v>
      </c>
      <c r="AO89" s="18" t="s">
        <v>92</v>
      </c>
      <c r="AP89" s="20" t="s">
        <v>1043</v>
      </c>
      <c r="AQ89" s="18" t="s">
        <v>1044</v>
      </c>
      <c r="AR89" s="18" t="s">
        <v>496</v>
      </c>
      <c r="AS89" s="18">
        <v>1</v>
      </c>
      <c r="AT89" s="18" t="s">
        <v>122</v>
      </c>
      <c r="AU89" s="18" t="s">
        <v>90</v>
      </c>
      <c r="AV89" s="18" t="s">
        <v>8298</v>
      </c>
      <c r="AW89" s="18" t="s">
        <v>8299</v>
      </c>
      <c r="AX89" s="18" t="s">
        <v>83</v>
      </c>
      <c r="AY89" s="18" t="s">
        <v>95</v>
      </c>
      <c r="AZ89" s="18" t="s">
        <v>95</v>
      </c>
      <c r="BA89" s="18" t="s">
        <v>95</v>
      </c>
      <c r="BB89" s="18" t="s">
        <v>95</v>
      </c>
      <c r="BC89" s="18" t="s">
        <v>118</v>
      </c>
      <c r="BD89" s="18" t="s">
        <v>95</v>
      </c>
      <c r="BE89" s="18" t="s">
        <v>8634</v>
      </c>
      <c r="BF89" s="18" t="s">
        <v>8064</v>
      </c>
      <c r="BG89" s="18" t="s">
        <v>95</v>
      </c>
      <c r="BH89" s="18" t="s">
        <v>95</v>
      </c>
      <c r="BI89" s="18">
        <v>12</v>
      </c>
      <c r="BJ89" s="18">
        <v>2022</v>
      </c>
      <c r="BK89" s="18" t="s">
        <v>95</v>
      </c>
      <c r="BL89" s="18" t="s">
        <v>95</v>
      </c>
      <c r="BM89" s="18" t="s">
        <v>95</v>
      </c>
      <c r="BN89" s="18" t="s">
        <v>85</v>
      </c>
      <c r="BO89" s="18" t="s">
        <v>86</v>
      </c>
      <c r="BP89" s="18" t="s">
        <v>90</v>
      </c>
      <c r="BQ89" s="18" t="s">
        <v>8050</v>
      </c>
      <c r="BR89" s="18" t="s">
        <v>92</v>
      </c>
      <c r="BS89" s="18" t="s">
        <v>8003</v>
      </c>
      <c r="BT89" s="18" t="s">
        <v>7989</v>
      </c>
      <c r="BU89" s="18" t="s">
        <v>496</v>
      </c>
      <c r="BV89" s="18" t="str">
        <f>Terminales[[#This Row],[IMEI]]&amp;"SI"</f>
        <v>353514357171696SI</v>
      </c>
      <c r="BW89" s="18" t="str">
        <f>VLOOKUP(Terminales[[#This Row],[OFICINA_USUARIO]],[1]!Locales[#Data],3,0)</f>
        <v>TIENDA MACHALA</v>
      </c>
      <c r="BX89" s="18" t="str">
        <f>VLOOKUP(Terminales[[#This Row],[USUARIO_FINAL]],'[1]Personal Ppto vs Real'!$A:$F,6,0)</f>
        <v>GONZAGA YUPANGUI LIZBETH KATHERINE</v>
      </c>
      <c r="BY8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8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89" s="18">
        <f>DAY(Terminales[[#This Row],[FECHA_FACTURA]])</f>
        <v>5</v>
      </c>
      <c r="CB89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89" s="65">
        <f>IFERROR(IF(AND(Terminales[[#This Row],[CANTIDAD]] = 1,Terminales[[#This Row],[MOVIMIENTO]] = "RENOVACION"),Terminales[[#This Row],[TARIFA_BASICA]]*0.5,),)</f>
        <v>0</v>
      </c>
      <c r="CD89" s="65">
        <f>IF('[1]Resumen TM'!$AW$20 &lt; 0.4,0,Terminales[[#This Row],[MONTO]]*0.02)</f>
        <v>21.071428600000001</v>
      </c>
      <c r="CE89" s="66">
        <f>Terminales[[#This Row],[COMISIONES TERMINALES]]+Terminales[[#This Row],[COMISIONES RENOVACIONES]]+Terminales[[#This Row],[COMISIONES BONO]]</f>
        <v>126.42857160000001</v>
      </c>
      <c r="CF89" s="67">
        <f>(Terminales[[#This Row],[COMISIONES TERMINALES]]*VLOOKUP(Terminales[[#This Row],[LOCALES]],[1]!Calendario[#Data],3,0))/VLOOKUP(Terminales[[#This Row],[LOCALES]],[1]!Calendario[#Data],2,0)</f>
        <v>170.75123175862069</v>
      </c>
      <c r="CG89" s="67">
        <f>(Terminales[[#This Row],[COMISIONES RENOVACIONES]]*VLOOKUP(Terminales[[#This Row],[LOCALES]],[1]!Calendario[#Data],3,0))/VLOOKUP(Terminales[[#This Row],[LOCALES]],[1]!Calendario[#Data],2,0)</f>
        <v>0</v>
      </c>
      <c r="CH89" s="67">
        <f>(Terminales[[#This Row],[COMISIONES BONO]]*VLOOKUP(Terminales[[#This Row],[LOCALES]],[1]!Calendario[#Data],3,0))/VLOOKUP(Terminales[[#This Row],[LOCALES]],[1]!Calendario[#Data],2,0)</f>
        <v>34.150246351724135</v>
      </c>
      <c r="CI89" s="67">
        <f>Terminales[[#This Row],[PROY. COM. TERMINALES]]+Terminales[[#This Row],[PROY. COM. RENOV.]]+Terminales[[#This Row],[PROY. COM. 2%]]</f>
        <v>204.90147811034484</v>
      </c>
    </row>
    <row r="90" spans="1:87" x14ac:dyDescent="0.25">
      <c r="A90" s="68">
        <v>44926</v>
      </c>
      <c r="B90" s="68">
        <v>44900</v>
      </c>
      <c r="C90" s="18" t="s">
        <v>291</v>
      </c>
      <c r="D90" s="18" t="s">
        <v>78</v>
      </c>
      <c r="E90" s="18" t="s">
        <v>2241</v>
      </c>
      <c r="F90" s="18" t="s">
        <v>8635</v>
      </c>
      <c r="G90" s="18" t="s">
        <v>292</v>
      </c>
      <c r="H90" s="18" t="s">
        <v>494</v>
      </c>
      <c r="I90" s="18" t="s">
        <v>8636</v>
      </c>
      <c r="J90" s="18" t="s">
        <v>95</v>
      </c>
      <c r="K90" s="18" t="s">
        <v>7970</v>
      </c>
      <c r="L90" s="18" t="s">
        <v>8637</v>
      </c>
      <c r="M90" s="18" t="s">
        <v>8638</v>
      </c>
      <c r="N90" s="18" t="s">
        <v>8639</v>
      </c>
      <c r="O90" s="18" t="s">
        <v>8640</v>
      </c>
      <c r="P90" s="18" t="s">
        <v>8641</v>
      </c>
      <c r="Q90" s="18" t="s">
        <v>7975</v>
      </c>
      <c r="R90" s="18" t="s">
        <v>7976</v>
      </c>
      <c r="S90" s="18" t="s">
        <v>8045</v>
      </c>
      <c r="T90" s="18" t="s">
        <v>8642</v>
      </c>
      <c r="U90" s="18" t="s">
        <v>8059</v>
      </c>
      <c r="V90" s="18" t="s">
        <v>6963</v>
      </c>
      <c r="W90" s="18" t="s">
        <v>95</v>
      </c>
      <c r="X90" s="18" t="s">
        <v>95</v>
      </c>
      <c r="Y90" s="18" t="s">
        <v>7980</v>
      </c>
      <c r="Z90" s="18" t="s">
        <v>6996</v>
      </c>
      <c r="AA90" s="69">
        <v>1</v>
      </c>
      <c r="AB90" s="18">
        <v>1204.4642899999999</v>
      </c>
      <c r="AC90" s="18" t="s">
        <v>8643</v>
      </c>
      <c r="AD90" s="18" t="s">
        <v>7982</v>
      </c>
      <c r="AE90" s="18">
        <v>1244</v>
      </c>
      <c r="AF90" s="18" t="s">
        <v>7983</v>
      </c>
      <c r="AG90" s="18">
        <v>1244</v>
      </c>
      <c r="AH90" s="18" t="s">
        <v>95</v>
      </c>
      <c r="AI90" s="18" t="s">
        <v>7074</v>
      </c>
      <c r="AJ90" s="18" t="s">
        <v>7075</v>
      </c>
      <c r="AK90" s="18">
        <v>12.99</v>
      </c>
      <c r="AL90" s="18" t="s">
        <v>95</v>
      </c>
      <c r="AM90" s="18" t="s">
        <v>95</v>
      </c>
      <c r="AN90" s="18" t="s">
        <v>7984</v>
      </c>
      <c r="AO90" s="18" t="s">
        <v>139</v>
      </c>
      <c r="AP90" s="20" t="s">
        <v>271</v>
      </c>
      <c r="AQ90" s="18" t="s">
        <v>272</v>
      </c>
      <c r="AR90" s="18" t="s">
        <v>496</v>
      </c>
      <c r="AS90" s="18">
        <v>1</v>
      </c>
      <c r="AT90" s="18" t="s">
        <v>235</v>
      </c>
      <c r="AU90" s="18" t="s">
        <v>90</v>
      </c>
      <c r="AV90" s="18" t="s">
        <v>8644</v>
      </c>
      <c r="AW90" s="18" t="s">
        <v>8645</v>
      </c>
      <c r="AX90" s="18" t="s">
        <v>83</v>
      </c>
      <c r="AY90" s="18" t="s">
        <v>95</v>
      </c>
      <c r="AZ90" s="18" t="s">
        <v>95</v>
      </c>
      <c r="BA90" s="18" t="s">
        <v>95</v>
      </c>
      <c r="BB90" s="18" t="s">
        <v>95</v>
      </c>
      <c r="BC90" s="18" t="s">
        <v>215</v>
      </c>
      <c r="BD90" s="18" t="s">
        <v>95</v>
      </c>
      <c r="BE90" s="18" t="s">
        <v>8140</v>
      </c>
      <c r="BF90" s="18" t="s">
        <v>8171</v>
      </c>
      <c r="BG90" s="18" t="s">
        <v>95</v>
      </c>
      <c r="BH90" s="18" t="s">
        <v>95</v>
      </c>
      <c r="BI90" s="18">
        <v>12</v>
      </c>
      <c r="BJ90" s="18">
        <v>2022</v>
      </c>
      <c r="BK90" s="18" t="s">
        <v>95</v>
      </c>
      <c r="BL90" s="18" t="s">
        <v>95</v>
      </c>
      <c r="BM90" s="18" t="s">
        <v>95</v>
      </c>
      <c r="BN90" s="18" t="s">
        <v>85</v>
      </c>
      <c r="BO90" s="18" t="s">
        <v>86</v>
      </c>
      <c r="BP90" s="18" t="s">
        <v>90</v>
      </c>
      <c r="BQ90" s="18" t="s">
        <v>8016</v>
      </c>
      <c r="BR90" s="18" t="s">
        <v>139</v>
      </c>
      <c r="BS90" s="18" t="s">
        <v>8003</v>
      </c>
      <c r="BT90" s="18" t="s">
        <v>7989</v>
      </c>
      <c r="BU90" s="18" t="s">
        <v>496</v>
      </c>
      <c r="BV90" s="18" t="str">
        <f>Terminales[[#This Row],[IMEI]]&amp;"SI"</f>
        <v>351338912737912SI</v>
      </c>
      <c r="BW90" s="18" t="str">
        <f>VLOOKUP(Terminales[[#This Row],[OFICINA_USUARIO]],[1]!Locales[#Data],3,0)</f>
        <v>TIENDA CONDADO</v>
      </c>
      <c r="BX90" s="18" t="str">
        <f>VLOOKUP(Terminales[[#This Row],[USUARIO_FINAL]],'[1]Personal Ppto vs Real'!$A:$F,6,0)</f>
        <v>CASTILLO AGUIRRE EDWIN MODESTO</v>
      </c>
      <c r="BY9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9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90" s="18">
        <f>DAY(Terminales[[#This Row],[FECHA_FACTURA]])</f>
        <v>5</v>
      </c>
      <c r="CB90" s="65">
        <f>IF(Terminales[[#This Row],[CANTIDAD]] = 1,INDEX([1]!Comisiones[#Data],MATCH("Terminales",[1]!Comisiones[Producto],0),MATCH(Terminales[[#This Row],[TIPO ALTA COMISIONES]],[1]!Comisiones[#Headers],0))*Terminales[[#This Row],[MONTO]],0)</f>
        <v>120.44642899999999</v>
      </c>
      <c r="CC90" s="65">
        <f>IFERROR(IF(AND(Terminales[[#This Row],[CANTIDAD]] = 1,Terminales[[#This Row],[MOVIMIENTO]] = "RENOVACION"),Terminales[[#This Row],[TARIFA_BASICA]]*0.5,),)</f>
        <v>6.4950000000000001</v>
      </c>
      <c r="CD90" s="65">
        <f>IF('[1]Resumen TM'!$AW$20 &lt; 0.4,0,Terminales[[#This Row],[MONTO]]*0.02)</f>
        <v>24.089285799999999</v>
      </c>
      <c r="CE90" s="66">
        <f>Terminales[[#This Row],[COMISIONES TERMINALES]]+Terminales[[#This Row],[COMISIONES RENOVACIONES]]+Terminales[[#This Row],[COMISIONES BONO]]</f>
        <v>151.0307148</v>
      </c>
      <c r="CF90" s="67">
        <f>(Terminales[[#This Row],[COMISIONES TERMINALES]]*VLOOKUP(Terminales[[#This Row],[LOCALES]],[1]!Calendario[#Data],3,0))/VLOOKUP(Terminales[[#This Row],[LOCALES]],[1]!Calendario[#Data],2,0)</f>
        <v>198.15380254838709</v>
      </c>
      <c r="CG90" s="67">
        <f>(Terminales[[#This Row],[COMISIONES RENOVACIONES]]*VLOOKUP(Terminales[[#This Row],[LOCALES]],[1]!Calendario[#Data],3,0))/VLOOKUP(Terminales[[#This Row],[LOCALES]],[1]!Calendario[#Data],2,0)</f>
        <v>10.685322580645161</v>
      </c>
      <c r="CH90" s="67">
        <f>(Terminales[[#This Row],[COMISIONES BONO]]*VLOOKUP(Terminales[[#This Row],[LOCALES]],[1]!Calendario[#Data],3,0))/VLOOKUP(Terminales[[#This Row],[LOCALES]],[1]!Calendario[#Data],2,0)</f>
        <v>39.630760509677415</v>
      </c>
      <c r="CI90" s="67">
        <f>Terminales[[#This Row],[PROY. COM. TERMINALES]]+Terminales[[#This Row],[PROY. COM. RENOV.]]+Terminales[[#This Row],[PROY. COM. 2%]]</f>
        <v>248.46988563870968</v>
      </c>
    </row>
    <row r="91" spans="1:87" x14ac:dyDescent="0.25">
      <c r="A91" s="68">
        <v>44926</v>
      </c>
      <c r="B91" s="68">
        <v>44900</v>
      </c>
      <c r="C91" s="18" t="s">
        <v>96</v>
      </c>
      <c r="D91" s="18" t="s">
        <v>96</v>
      </c>
      <c r="E91" s="18" t="s">
        <v>96</v>
      </c>
      <c r="F91" s="18" t="s">
        <v>8646</v>
      </c>
      <c r="G91" s="18" t="s">
        <v>292</v>
      </c>
      <c r="H91" s="18" t="s">
        <v>494</v>
      </c>
      <c r="I91" s="18" t="s">
        <v>8647</v>
      </c>
      <c r="J91" s="18" t="s">
        <v>95</v>
      </c>
      <c r="K91" s="18" t="s">
        <v>7970</v>
      </c>
      <c r="L91" s="18" t="s">
        <v>8648</v>
      </c>
      <c r="M91" s="18" t="s">
        <v>8649</v>
      </c>
      <c r="N91" s="18" t="s">
        <v>8650</v>
      </c>
      <c r="O91" s="18" t="s">
        <v>338</v>
      </c>
      <c r="P91" s="18" t="s">
        <v>8651</v>
      </c>
      <c r="Q91" s="18" t="s">
        <v>7975</v>
      </c>
      <c r="R91" s="18" t="s">
        <v>7976</v>
      </c>
      <c r="S91" s="18" t="s">
        <v>7977</v>
      </c>
      <c r="T91" s="18" t="s">
        <v>7978</v>
      </c>
      <c r="U91" s="18" t="s">
        <v>7979</v>
      </c>
      <c r="V91" s="18" t="s">
        <v>6963</v>
      </c>
      <c r="W91" s="18" t="s">
        <v>95</v>
      </c>
      <c r="X91" s="18" t="s">
        <v>95</v>
      </c>
      <c r="Y91" s="18" t="s">
        <v>7980</v>
      </c>
      <c r="Z91" s="18" t="s">
        <v>6996</v>
      </c>
      <c r="AA91" s="69">
        <v>1</v>
      </c>
      <c r="AB91" s="18">
        <v>276.78570999999999</v>
      </c>
      <c r="AC91" s="18" t="s">
        <v>8652</v>
      </c>
      <c r="AD91" s="18" t="s">
        <v>7982</v>
      </c>
      <c r="AE91" s="18">
        <v>249</v>
      </c>
      <c r="AF91" s="18" t="s">
        <v>7983</v>
      </c>
      <c r="AG91" s="18">
        <v>249</v>
      </c>
      <c r="AH91" s="18" t="s">
        <v>95</v>
      </c>
      <c r="AI91" s="18" t="s">
        <v>8102</v>
      </c>
      <c r="AJ91" s="18" t="s">
        <v>8103</v>
      </c>
      <c r="AK91" s="18" t="s">
        <v>95</v>
      </c>
      <c r="AL91" s="18" t="s">
        <v>95</v>
      </c>
      <c r="AM91" s="18" t="s">
        <v>95</v>
      </c>
      <c r="AN91" s="18" t="s">
        <v>7984</v>
      </c>
      <c r="AO91" s="18" t="s">
        <v>139</v>
      </c>
      <c r="AP91" s="20" t="s">
        <v>303</v>
      </c>
      <c r="AQ91" s="18" t="s">
        <v>304</v>
      </c>
      <c r="AR91" s="18" t="s">
        <v>496</v>
      </c>
      <c r="AS91" s="18">
        <v>1</v>
      </c>
      <c r="AT91" s="18" t="s">
        <v>177</v>
      </c>
      <c r="AU91" s="18" t="s">
        <v>90</v>
      </c>
      <c r="AV91" s="18" t="s">
        <v>7985</v>
      </c>
      <c r="AW91" s="18" t="s">
        <v>7986</v>
      </c>
      <c r="AX91" s="18" t="s">
        <v>83</v>
      </c>
      <c r="AY91" s="18" t="s">
        <v>95</v>
      </c>
      <c r="AZ91" s="18" t="s">
        <v>95</v>
      </c>
      <c r="BA91" s="18" t="s">
        <v>95</v>
      </c>
      <c r="BB91" s="18" t="s">
        <v>95</v>
      </c>
      <c r="BC91" s="18" t="s">
        <v>118</v>
      </c>
      <c r="BD91" s="18" t="s">
        <v>95</v>
      </c>
      <c r="BE91" s="18" t="s">
        <v>8321</v>
      </c>
      <c r="BF91" s="18" t="s">
        <v>8064</v>
      </c>
      <c r="BG91" s="18" t="s">
        <v>95</v>
      </c>
      <c r="BH91" s="18" t="s">
        <v>95</v>
      </c>
      <c r="BI91" s="18">
        <v>12</v>
      </c>
      <c r="BJ91" s="18">
        <v>2022</v>
      </c>
      <c r="BK91" s="18" t="s">
        <v>95</v>
      </c>
      <c r="BL91" s="18" t="s">
        <v>95</v>
      </c>
      <c r="BM91" s="18" t="s">
        <v>95</v>
      </c>
      <c r="BN91" s="18" t="s">
        <v>85</v>
      </c>
      <c r="BO91" s="18" t="s">
        <v>86</v>
      </c>
      <c r="BP91" s="18" t="s">
        <v>90</v>
      </c>
      <c r="BQ91" s="18" t="s">
        <v>8002</v>
      </c>
      <c r="BR91" s="18" t="s">
        <v>139</v>
      </c>
      <c r="BS91" s="18" t="s">
        <v>8003</v>
      </c>
      <c r="BT91" s="18" t="s">
        <v>7989</v>
      </c>
      <c r="BU91" s="18" t="s">
        <v>496</v>
      </c>
      <c r="BV91" s="18" t="str">
        <f>Terminales[[#This Row],[IMEI]]&amp;"SI"</f>
        <v>864331068689276SI</v>
      </c>
      <c r="BW91" s="18" t="str">
        <f>VLOOKUP(Terminales[[#This Row],[OFICINA_USUARIO]],[1]!Locales[#Data],3,0)</f>
        <v>TIENDA RECREO</v>
      </c>
      <c r="BX91" s="18" t="str">
        <f>VLOOKUP(Terminales[[#This Row],[USUARIO_FINAL]],'[1]Personal Ppto vs Real'!$A:$F,6,0)</f>
        <v>CORDOVA GAIBOR JONATHAN HERNAN</v>
      </c>
      <c r="BY9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9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91" s="18">
        <f>DAY(Terminales[[#This Row],[FECHA_FACTURA]])</f>
        <v>5</v>
      </c>
      <c r="CB91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91" s="65">
        <f>IFERROR(IF(AND(Terminales[[#This Row],[CANTIDAD]] = 1,Terminales[[#This Row],[MOVIMIENTO]] = "RENOVACION"),Terminales[[#This Row],[TARIFA_BASICA]]*0.5,),)</f>
        <v>0</v>
      </c>
      <c r="CD91" s="65">
        <f>IF('[1]Resumen TM'!$AW$20 &lt; 0.4,0,Terminales[[#This Row],[MONTO]]*0.02)</f>
        <v>5.5357142000000001</v>
      </c>
      <c r="CE91" s="66">
        <f>Terminales[[#This Row],[COMISIONES TERMINALES]]+Terminales[[#This Row],[COMISIONES RENOVACIONES]]+Terminales[[#This Row],[COMISIONES BONO]]</f>
        <v>33.214285199999999</v>
      </c>
      <c r="CF91" s="67">
        <f>(Terminales[[#This Row],[COMISIONES TERMINALES]]*VLOOKUP(Terminales[[#This Row],[LOCALES]],[1]!Calendario[#Data],3,0))/VLOOKUP(Terminales[[#This Row],[LOCALES]],[1]!Calendario[#Data],2,0)</f>
        <v>45.535713580645158</v>
      </c>
      <c r="CG91" s="67">
        <f>(Terminales[[#This Row],[COMISIONES RENOVACIONES]]*VLOOKUP(Terminales[[#This Row],[LOCALES]],[1]!Calendario[#Data],3,0))/VLOOKUP(Terminales[[#This Row],[LOCALES]],[1]!Calendario[#Data],2,0)</f>
        <v>0</v>
      </c>
      <c r="CH91" s="67">
        <f>(Terminales[[#This Row],[COMISIONES BONO]]*VLOOKUP(Terminales[[#This Row],[LOCALES]],[1]!Calendario[#Data],3,0))/VLOOKUP(Terminales[[#This Row],[LOCALES]],[1]!Calendario[#Data],2,0)</f>
        <v>9.107142716129033</v>
      </c>
      <c r="CI91" s="67">
        <f>Terminales[[#This Row],[PROY. COM. TERMINALES]]+Terminales[[#This Row],[PROY. COM. RENOV.]]+Terminales[[#This Row],[PROY. COM. 2%]]</f>
        <v>54.642856296774191</v>
      </c>
    </row>
    <row r="92" spans="1:87" x14ac:dyDescent="0.25">
      <c r="A92" s="68">
        <v>44926</v>
      </c>
      <c r="B92" s="68">
        <v>44900</v>
      </c>
      <c r="C92" s="18" t="s">
        <v>96</v>
      </c>
      <c r="D92" s="18" t="s">
        <v>96</v>
      </c>
      <c r="E92" s="18" t="s">
        <v>96</v>
      </c>
      <c r="F92" s="18" t="s">
        <v>8653</v>
      </c>
      <c r="G92" s="18" t="s">
        <v>292</v>
      </c>
      <c r="H92" s="18" t="s">
        <v>494</v>
      </c>
      <c r="I92" s="18" t="s">
        <v>8654</v>
      </c>
      <c r="J92" s="18" t="s">
        <v>95</v>
      </c>
      <c r="K92" s="18" t="s">
        <v>7970</v>
      </c>
      <c r="L92" s="18" t="s">
        <v>8655</v>
      </c>
      <c r="M92" s="18" t="s">
        <v>8656</v>
      </c>
      <c r="N92" s="18" t="s">
        <v>8657</v>
      </c>
      <c r="O92" s="18" t="s">
        <v>4907</v>
      </c>
      <c r="P92" s="18" t="s">
        <v>8658</v>
      </c>
      <c r="Q92" s="18" t="s">
        <v>7975</v>
      </c>
      <c r="R92" s="18" t="s">
        <v>7976</v>
      </c>
      <c r="S92" s="18" t="s">
        <v>8045</v>
      </c>
      <c r="T92" s="18" t="s">
        <v>8099</v>
      </c>
      <c r="U92" s="18" t="s">
        <v>8100</v>
      </c>
      <c r="V92" s="18" t="s">
        <v>6963</v>
      </c>
      <c r="W92" s="18" t="s">
        <v>95</v>
      </c>
      <c r="X92" s="18" t="s">
        <v>95</v>
      </c>
      <c r="Y92" s="18" t="s">
        <v>7980</v>
      </c>
      <c r="Z92" s="18" t="s">
        <v>6996</v>
      </c>
      <c r="AA92" s="69">
        <v>1</v>
      </c>
      <c r="AB92" s="18">
        <v>406.25</v>
      </c>
      <c r="AC92" s="18" t="s">
        <v>8659</v>
      </c>
      <c r="AD92" s="18" t="s">
        <v>96</v>
      </c>
      <c r="AE92" s="18">
        <v>396.5</v>
      </c>
      <c r="AF92" s="18" t="s">
        <v>7983</v>
      </c>
      <c r="AG92" s="18">
        <v>396.5</v>
      </c>
      <c r="AH92" s="18" t="s">
        <v>95</v>
      </c>
      <c r="AI92" s="18" t="s">
        <v>8102</v>
      </c>
      <c r="AJ92" s="18" t="s">
        <v>8103</v>
      </c>
      <c r="AK92" s="18" t="s">
        <v>95</v>
      </c>
      <c r="AL92" s="18" t="s">
        <v>95</v>
      </c>
      <c r="AM92" s="18" t="s">
        <v>95</v>
      </c>
      <c r="AN92" s="18" t="s">
        <v>7984</v>
      </c>
      <c r="AO92" s="18" t="s">
        <v>139</v>
      </c>
      <c r="AP92" s="20" t="s">
        <v>280</v>
      </c>
      <c r="AQ92" s="18" t="s">
        <v>281</v>
      </c>
      <c r="AR92" s="18" t="s">
        <v>496</v>
      </c>
      <c r="AS92" s="18">
        <v>1</v>
      </c>
      <c r="AT92" s="18" t="s">
        <v>235</v>
      </c>
      <c r="AU92" s="18" t="s">
        <v>90</v>
      </c>
      <c r="AV92" s="18" t="s">
        <v>8660</v>
      </c>
      <c r="AW92" s="18" t="s">
        <v>8661</v>
      </c>
      <c r="AX92" s="18" t="s">
        <v>83</v>
      </c>
      <c r="AY92" s="18" t="s">
        <v>95</v>
      </c>
      <c r="AZ92" s="18" t="s">
        <v>95</v>
      </c>
      <c r="BA92" s="18" t="s">
        <v>95</v>
      </c>
      <c r="BB92" s="18" t="s">
        <v>95</v>
      </c>
      <c r="BC92" s="18" t="s">
        <v>118</v>
      </c>
      <c r="BD92" s="18" t="s">
        <v>95</v>
      </c>
      <c r="BE92" s="18" t="s">
        <v>95</v>
      </c>
      <c r="BF92" s="18" t="s">
        <v>95</v>
      </c>
      <c r="BG92" s="18" t="s">
        <v>95</v>
      </c>
      <c r="BH92" s="18" t="s">
        <v>95</v>
      </c>
      <c r="BI92" s="18">
        <v>12</v>
      </c>
      <c r="BJ92" s="18">
        <v>2022</v>
      </c>
      <c r="BK92" s="18" t="s">
        <v>95</v>
      </c>
      <c r="BL92" s="18" t="s">
        <v>95</v>
      </c>
      <c r="BM92" s="18" t="s">
        <v>95</v>
      </c>
      <c r="BN92" s="18" t="s">
        <v>85</v>
      </c>
      <c r="BO92" s="18" t="s">
        <v>86</v>
      </c>
      <c r="BP92" s="18" t="s">
        <v>90</v>
      </c>
      <c r="BQ92" s="18" t="s">
        <v>8016</v>
      </c>
      <c r="BR92" s="18" t="s">
        <v>139</v>
      </c>
      <c r="BS92" s="18" t="s">
        <v>8074</v>
      </c>
      <c r="BT92" s="18" t="s">
        <v>7989</v>
      </c>
      <c r="BU92" s="18" t="s">
        <v>496</v>
      </c>
      <c r="BV92" s="18" t="str">
        <f>Terminales[[#This Row],[IMEI]]&amp;"SI"</f>
        <v>353842195553324SI</v>
      </c>
      <c r="BW92" s="18" t="str">
        <f>VLOOKUP(Terminales[[#This Row],[OFICINA_USUARIO]],[1]!Locales[#Data],3,0)</f>
        <v>TIENDA CONDADO</v>
      </c>
      <c r="BX92" s="18" t="str">
        <f>VLOOKUP(Terminales[[#This Row],[USUARIO_FINAL]],'[1]Personal Ppto vs Real'!$A:$F,6,0)</f>
        <v>GUACHAMIN CAZA HUGO ADRIAN</v>
      </c>
      <c r="BY9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9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92" s="18">
        <f>DAY(Terminales[[#This Row],[FECHA_FACTURA]])</f>
        <v>5</v>
      </c>
      <c r="CB92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92" s="65">
        <f>IFERROR(IF(AND(Terminales[[#This Row],[CANTIDAD]] = 1,Terminales[[#This Row],[MOVIMIENTO]] = "RENOVACION"),Terminales[[#This Row],[TARIFA_BASICA]]*0.5,),)</f>
        <v>0</v>
      </c>
      <c r="CD92" s="65">
        <f>IF('[1]Resumen TM'!$AW$20 &lt; 0.4,0,Terminales[[#This Row],[MONTO]]*0.02)</f>
        <v>8.125</v>
      </c>
      <c r="CE92" s="66">
        <f>Terminales[[#This Row],[COMISIONES TERMINALES]]+Terminales[[#This Row],[COMISIONES RENOVACIONES]]+Terminales[[#This Row],[COMISIONES BONO]]</f>
        <v>48.75</v>
      </c>
      <c r="CF92" s="67">
        <f>(Terminales[[#This Row],[COMISIONES TERMINALES]]*VLOOKUP(Terminales[[#This Row],[LOCALES]],[1]!Calendario[#Data],3,0))/VLOOKUP(Terminales[[#This Row],[LOCALES]],[1]!Calendario[#Data],2,0)</f>
        <v>66.834677419354833</v>
      </c>
      <c r="CG92" s="67">
        <f>(Terminales[[#This Row],[COMISIONES RENOVACIONES]]*VLOOKUP(Terminales[[#This Row],[LOCALES]],[1]!Calendario[#Data],3,0))/VLOOKUP(Terminales[[#This Row],[LOCALES]],[1]!Calendario[#Data],2,0)</f>
        <v>0</v>
      </c>
      <c r="CH92" s="67">
        <f>(Terminales[[#This Row],[COMISIONES BONO]]*VLOOKUP(Terminales[[#This Row],[LOCALES]],[1]!Calendario[#Data],3,0))/VLOOKUP(Terminales[[#This Row],[LOCALES]],[1]!Calendario[#Data],2,0)</f>
        <v>13.366935483870968</v>
      </c>
      <c r="CI92" s="67">
        <f>Terminales[[#This Row],[PROY. COM. TERMINALES]]+Terminales[[#This Row],[PROY. COM. RENOV.]]+Terminales[[#This Row],[PROY. COM. 2%]]</f>
        <v>80.201612903225794</v>
      </c>
    </row>
    <row r="93" spans="1:87" x14ac:dyDescent="0.25">
      <c r="A93" s="68">
        <v>44926</v>
      </c>
      <c r="B93" s="68">
        <v>44901</v>
      </c>
      <c r="C93" s="18" t="s">
        <v>96</v>
      </c>
      <c r="D93" s="18" t="s">
        <v>96</v>
      </c>
      <c r="E93" s="18" t="s">
        <v>96</v>
      </c>
      <c r="F93" s="18" t="s">
        <v>95</v>
      </c>
      <c r="G93" s="18" t="s">
        <v>292</v>
      </c>
      <c r="H93" s="18" t="s">
        <v>494</v>
      </c>
      <c r="I93" s="18" t="s">
        <v>8662</v>
      </c>
      <c r="J93" s="18" t="s">
        <v>95</v>
      </c>
      <c r="K93" s="18" t="s">
        <v>7970</v>
      </c>
      <c r="L93" s="18" t="s">
        <v>8663</v>
      </c>
      <c r="M93" s="18" t="s">
        <v>8664</v>
      </c>
      <c r="N93" s="18" t="s">
        <v>8665</v>
      </c>
      <c r="O93" s="18" t="s">
        <v>543</v>
      </c>
      <c r="P93" s="18" t="s">
        <v>8666</v>
      </c>
      <c r="Q93" s="18" t="s">
        <v>7975</v>
      </c>
      <c r="R93" s="18" t="s">
        <v>7976</v>
      </c>
      <c r="S93" s="18" t="s">
        <v>7994</v>
      </c>
      <c r="T93" s="18" t="s">
        <v>8245</v>
      </c>
      <c r="U93" s="18" t="s">
        <v>8012</v>
      </c>
      <c r="V93" s="18" t="s">
        <v>6963</v>
      </c>
      <c r="W93" s="18" t="s">
        <v>95</v>
      </c>
      <c r="X93" s="18" t="s">
        <v>95</v>
      </c>
      <c r="Y93" s="18" t="s">
        <v>7980</v>
      </c>
      <c r="Z93" s="18" t="s">
        <v>6996</v>
      </c>
      <c r="AA93" s="69">
        <v>1</v>
      </c>
      <c r="AB93" s="18">
        <v>156.25</v>
      </c>
      <c r="AC93" s="18" t="s">
        <v>95</v>
      </c>
      <c r="AD93" s="18" t="s">
        <v>96</v>
      </c>
      <c r="AE93" s="18">
        <v>156</v>
      </c>
      <c r="AF93" s="18" t="s">
        <v>7983</v>
      </c>
      <c r="AG93" s="18">
        <v>156</v>
      </c>
      <c r="AH93" s="18" t="s">
        <v>95</v>
      </c>
      <c r="AI93" s="18" t="s">
        <v>95</v>
      </c>
      <c r="AJ93" s="18" t="s">
        <v>95</v>
      </c>
      <c r="AK93" s="18" t="s">
        <v>95</v>
      </c>
      <c r="AL93" s="18" t="s">
        <v>95</v>
      </c>
      <c r="AM93" s="18" t="s">
        <v>95</v>
      </c>
      <c r="AN93" s="18" t="s">
        <v>7984</v>
      </c>
      <c r="AO93" s="18" t="s">
        <v>92</v>
      </c>
      <c r="AP93" s="20" t="s">
        <v>88</v>
      </c>
      <c r="AQ93" s="18" t="s">
        <v>89</v>
      </c>
      <c r="AR93" s="18" t="s">
        <v>496</v>
      </c>
      <c r="AS93" s="18">
        <v>1</v>
      </c>
      <c r="AT93" s="18" t="s">
        <v>91</v>
      </c>
      <c r="AU93" s="18" t="s">
        <v>90</v>
      </c>
      <c r="AV93" s="18" t="s">
        <v>8247</v>
      </c>
      <c r="AW93" s="18" t="s">
        <v>8248</v>
      </c>
      <c r="AX93" s="18" t="s">
        <v>83</v>
      </c>
      <c r="AY93" s="18" t="s">
        <v>95</v>
      </c>
      <c r="AZ93" s="18" t="s">
        <v>95</v>
      </c>
      <c r="BA93" s="18" t="s">
        <v>95</v>
      </c>
      <c r="BB93" s="18" t="s">
        <v>95</v>
      </c>
      <c r="BC93" s="18" t="s">
        <v>95</v>
      </c>
      <c r="BD93" s="18" t="s">
        <v>95</v>
      </c>
      <c r="BE93" s="18" t="s">
        <v>95</v>
      </c>
      <c r="BF93" s="18" t="s">
        <v>95</v>
      </c>
      <c r="BG93" s="18" t="s">
        <v>95</v>
      </c>
      <c r="BH93" s="18" t="s">
        <v>95</v>
      </c>
      <c r="BI93" s="18">
        <v>12</v>
      </c>
      <c r="BJ93" s="18">
        <v>2022</v>
      </c>
      <c r="BK93" s="18" t="s">
        <v>95</v>
      </c>
      <c r="BL93" s="18" t="s">
        <v>95</v>
      </c>
      <c r="BM93" s="18" t="s">
        <v>95</v>
      </c>
      <c r="BN93" s="18" t="s">
        <v>85</v>
      </c>
      <c r="BO93" s="18" t="s">
        <v>86</v>
      </c>
      <c r="BP93" s="18" t="s">
        <v>90</v>
      </c>
      <c r="BQ93" s="18" t="s">
        <v>8106</v>
      </c>
      <c r="BR93" s="18" t="s">
        <v>92</v>
      </c>
      <c r="BS93" s="18" t="s">
        <v>8074</v>
      </c>
      <c r="BT93" s="18" t="s">
        <v>7989</v>
      </c>
      <c r="BU93" s="18" t="s">
        <v>496</v>
      </c>
      <c r="BV93" s="18" t="str">
        <f>Terminales[[#This Row],[IMEI]]&amp;"SI"</f>
        <v>355108340299488SI</v>
      </c>
      <c r="BW93" s="18" t="str">
        <f>VLOOKUP(Terminales[[#This Row],[OFICINA_USUARIO]],[1]!Locales[#Data],3,0)</f>
        <v>TIENDA CUENCA CENTRO</v>
      </c>
      <c r="BX93" s="18" t="str">
        <f>VLOOKUP(Terminales[[#This Row],[USUARIO_FINAL]],'[1]Personal Ppto vs Real'!$A:$F,6,0)</f>
        <v>ANDRADE CONDO CHRISTIAN EDUARDO</v>
      </c>
      <c r="BY9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9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93" s="18">
        <f>DAY(Terminales[[#This Row],[FECHA_FACTURA]])</f>
        <v>6</v>
      </c>
      <c r="CB93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93" s="65">
        <f>IFERROR(IF(AND(Terminales[[#This Row],[CANTIDAD]] = 1,Terminales[[#This Row],[MOVIMIENTO]] = "RENOVACION"),Terminales[[#This Row],[TARIFA_BASICA]]*0.5,),)</f>
        <v>0</v>
      </c>
      <c r="CD93" s="65">
        <f>IF('[1]Resumen TM'!$AW$20 &lt; 0.4,0,Terminales[[#This Row],[MONTO]]*0.02)</f>
        <v>3.125</v>
      </c>
      <c r="CE93" s="66">
        <f>Terminales[[#This Row],[COMISIONES TERMINALES]]+Terminales[[#This Row],[COMISIONES RENOVACIONES]]+Terminales[[#This Row],[COMISIONES BONO]]</f>
        <v>18.75</v>
      </c>
      <c r="CF93" s="67">
        <f>(Terminales[[#This Row],[COMISIONES TERMINALES]]*VLOOKUP(Terminales[[#This Row],[LOCALES]],[1]!Calendario[#Data],3,0))/VLOOKUP(Terminales[[#This Row],[LOCALES]],[1]!Calendario[#Data],2,0)</f>
        <v>25.323275862068964</v>
      </c>
      <c r="CG93" s="67">
        <f>(Terminales[[#This Row],[COMISIONES RENOVACIONES]]*VLOOKUP(Terminales[[#This Row],[LOCALES]],[1]!Calendario[#Data],3,0))/VLOOKUP(Terminales[[#This Row],[LOCALES]],[1]!Calendario[#Data],2,0)</f>
        <v>0</v>
      </c>
      <c r="CH93" s="67">
        <f>(Terminales[[#This Row],[COMISIONES BONO]]*VLOOKUP(Terminales[[#This Row],[LOCALES]],[1]!Calendario[#Data],3,0))/VLOOKUP(Terminales[[#This Row],[LOCALES]],[1]!Calendario[#Data],2,0)</f>
        <v>5.0646551724137927</v>
      </c>
      <c r="CI93" s="67">
        <f>Terminales[[#This Row],[PROY. COM. TERMINALES]]+Terminales[[#This Row],[PROY. COM. RENOV.]]+Terminales[[#This Row],[PROY. COM. 2%]]</f>
        <v>30.387931034482758</v>
      </c>
    </row>
    <row r="94" spans="1:87" x14ac:dyDescent="0.25">
      <c r="A94" s="68">
        <v>44926</v>
      </c>
      <c r="B94" s="68">
        <v>44901</v>
      </c>
      <c r="C94" s="18" t="s">
        <v>291</v>
      </c>
      <c r="D94" s="18" t="s">
        <v>78</v>
      </c>
      <c r="E94" s="18" t="s">
        <v>1378</v>
      </c>
      <c r="F94" s="18" t="s">
        <v>8667</v>
      </c>
      <c r="G94" s="18" t="s">
        <v>292</v>
      </c>
      <c r="H94" s="18" t="s">
        <v>293</v>
      </c>
      <c r="I94" s="18" t="s">
        <v>8668</v>
      </c>
      <c r="J94" s="18" t="s">
        <v>95</v>
      </c>
      <c r="K94" s="18" t="s">
        <v>7970</v>
      </c>
      <c r="L94" s="18" t="s">
        <v>8669</v>
      </c>
      <c r="M94" s="18" t="s">
        <v>8670</v>
      </c>
      <c r="N94" s="18" t="s">
        <v>8671</v>
      </c>
      <c r="O94" s="18" t="s">
        <v>1704</v>
      </c>
      <c r="P94" s="18" t="s">
        <v>8672</v>
      </c>
      <c r="Q94" s="18" t="s">
        <v>7975</v>
      </c>
      <c r="R94" s="18" t="s">
        <v>7976</v>
      </c>
      <c r="S94" s="18" t="s">
        <v>8673</v>
      </c>
      <c r="T94" s="18" t="s">
        <v>8674</v>
      </c>
      <c r="U94" s="18" t="s">
        <v>8012</v>
      </c>
      <c r="V94" s="18" t="s">
        <v>6963</v>
      </c>
      <c r="W94" s="18" t="s">
        <v>95</v>
      </c>
      <c r="X94" s="18" t="s">
        <v>95</v>
      </c>
      <c r="Y94" s="18" t="s">
        <v>7980</v>
      </c>
      <c r="Z94" s="18" t="s">
        <v>6996</v>
      </c>
      <c r="AA94" s="69">
        <v>1</v>
      </c>
      <c r="AB94" s="18">
        <v>455.35714000000002</v>
      </c>
      <c r="AC94" s="18" t="s">
        <v>8675</v>
      </c>
      <c r="AD94" s="18" t="s">
        <v>7982</v>
      </c>
      <c r="AE94" s="18">
        <v>240.32</v>
      </c>
      <c r="AF94" s="18" t="s">
        <v>7983</v>
      </c>
      <c r="AG94" s="18">
        <v>240.32</v>
      </c>
      <c r="AH94" s="18" t="s">
        <v>95</v>
      </c>
      <c r="AI94" s="18" t="s">
        <v>7090</v>
      </c>
      <c r="AJ94" s="18" t="s">
        <v>7091</v>
      </c>
      <c r="AK94" s="18">
        <v>17.03</v>
      </c>
      <c r="AL94" s="18" t="s">
        <v>95</v>
      </c>
      <c r="AM94" s="18" t="s">
        <v>95</v>
      </c>
      <c r="AN94" s="18" t="s">
        <v>7984</v>
      </c>
      <c r="AO94" s="18" t="s">
        <v>139</v>
      </c>
      <c r="AP94" s="20" t="s">
        <v>630</v>
      </c>
      <c r="AQ94" s="18" t="s">
        <v>631</v>
      </c>
      <c r="AR94" s="18" t="s">
        <v>3771</v>
      </c>
      <c r="AS94" s="18">
        <v>18</v>
      </c>
      <c r="AT94" s="18" t="s">
        <v>177</v>
      </c>
      <c r="AU94" s="18" t="s">
        <v>90</v>
      </c>
      <c r="AV94" s="18" t="s">
        <v>8676</v>
      </c>
      <c r="AW94" s="18" t="s">
        <v>8677</v>
      </c>
      <c r="AX94" s="18" t="s">
        <v>83</v>
      </c>
      <c r="AY94" s="18" t="s">
        <v>95</v>
      </c>
      <c r="AZ94" s="18" t="s">
        <v>95</v>
      </c>
      <c r="BA94" s="18" t="s">
        <v>95</v>
      </c>
      <c r="BB94" s="18" t="s">
        <v>95</v>
      </c>
      <c r="BC94" s="18" t="s">
        <v>215</v>
      </c>
      <c r="BD94" s="18" t="s">
        <v>95</v>
      </c>
      <c r="BE94" s="18" t="s">
        <v>95</v>
      </c>
      <c r="BF94" s="18" t="s">
        <v>95</v>
      </c>
      <c r="BG94" s="18" t="s">
        <v>95</v>
      </c>
      <c r="BH94" s="18" t="s">
        <v>95</v>
      </c>
      <c r="BI94" s="18">
        <v>12</v>
      </c>
      <c r="BJ94" s="18">
        <v>2022</v>
      </c>
      <c r="BK94" s="18" t="s">
        <v>95</v>
      </c>
      <c r="BL94" s="18" t="s">
        <v>95</v>
      </c>
      <c r="BM94" s="18" t="s">
        <v>95</v>
      </c>
      <c r="BN94" s="18" t="s">
        <v>85</v>
      </c>
      <c r="BO94" s="18" t="s">
        <v>86</v>
      </c>
      <c r="BP94" s="18" t="s">
        <v>90</v>
      </c>
      <c r="BQ94" s="18" t="s">
        <v>8002</v>
      </c>
      <c r="BR94" s="18" t="s">
        <v>139</v>
      </c>
      <c r="BS94" s="18" t="s">
        <v>8329</v>
      </c>
      <c r="BT94" s="18" t="s">
        <v>7989</v>
      </c>
      <c r="BU94" s="18" t="s">
        <v>7990</v>
      </c>
      <c r="BV94" s="18" t="str">
        <f>Terminales[[#This Row],[IMEI]]&amp;"SI"</f>
        <v>869551050400672SI</v>
      </c>
      <c r="BW94" s="18" t="str">
        <f>VLOOKUP(Terminales[[#This Row],[OFICINA_USUARIO]],[1]!Locales[#Data],3,0)</f>
        <v>TIENDA RECREO</v>
      </c>
      <c r="BX94" s="18" t="str">
        <f>VLOOKUP(Terminales[[#This Row],[USUARIO_FINAL]],'[1]Personal Ppto vs Real'!$A:$F,6,0)</f>
        <v>LOAYZA AGUILAR JONATHAN FABIAN</v>
      </c>
      <c r="BY94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9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18</v>
      </c>
      <c r="CA94" s="18">
        <f>DAY(Terminales[[#This Row],[FECHA_FACTURA]])</f>
        <v>6</v>
      </c>
      <c r="CB94" s="65">
        <f>IF(Terminales[[#This Row],[CANTIDAD]] = 1,INDEX([1]!Comisiones[#Data],MATCH("Terminales",[1]!Comisiones[Producto],0),MATCH(Terminales[[#This Row],[TIPO ALTA COMISIONES]],[1]!Comisiones[#Headers],0))*Terminales[[#This Row],[MONTO]],0)</f>
        <v>13.660714199999999</v>
      </c>
      <c r="CC94" s="65">
        <f>IFERROR(IF(AND(Terminales[[#This Row],[CANTIDAD]] = 1,Terminales[[#This Row],[MOVIMIENTO]] = "RENOVACION"),Terminales[[#This Row],[TARIFA_BASICA]]*0.5,),)</f>
        <v>8.5150000000000006</v>
      </c>
      <c r="CD94" s="65">
        <f>IF('[1]Resumen TM'!$AW$20 &lt; 0.4,0,Terminales[[#This Row],[MONTO]]*0.02)</f>
        <v>9.1071428000000001</v>
      </c>
      <c r="CE94" s="66">
        <f>Terminales[[#This Row],[COMISIONES TERMINALES]]+Terminales[[#This Row],[COMISIONES RENOVACIONES]]+Terminales[[#This Row],[COMISIONES BONO]]</f>
        <v>31.282857</v>
      </c>
      <c r="CF94" s="67">
        <f>(Terminales[[#This Row],[COMISIONES TERMINALES]]*VLOOKUP(Terminales[[#This Row],[LOCALES]],[1]!Calendario[#Data],3,0))/VLOOKUP(Terminales[[#This Row],[LOCALES]],[1]!Calendario[#Data],2,0)</f>
        <v>22.474078199999997</v>
      </c>
      <c r="CG94" s="67">
        <f>(Terminales[[#This Row],[COMISIONES RENOVACIONES]]*VLOOKUP(Terminales[[#This Row],[LOCALES]],[1]!Calendario[#Data],3,0))/VLOOKUP(Terminales[[#This Row],[LOCALES]],[1]!Calendario[#Data],2,0)</f>
        <v>14.008548387096775</v>
      </c>
      <c r="CH94" s="67">
        <f>(Terminales[[#This Row],[COMISIONES BONO]]*VLOOKUP(Terminales[[#This Row],[LOCALES]],[1]!Calendario[#Data],3,0))/VLOOKUP(Terminales[[#This Row],[LOCALES]],[1]!Calendario[#Data],2,0)</f>
        <v>14.982718799999999</v>
      </c>
      <c r="CI94" s="67">
        <f>Terminales[[#This Row],[PROY. COM. TERMINALES]]+Terminales[[#This Row],[PROY. COM. RENOV.]]+Terminales[[#This Row],[PROY. COM. 2%]]</f>
        <v>51.465345387096775</v>
      </c>
    </row>
    <row r="95" spans="1:87" x14ac:dyDescent="0.25">
      <c r="A95" s="68">
        <v>44926</v>
      </c>
      <c r="B95" s="68">
        <v>44901</v>
      </c>
      <c r="C95" s="18" t="s">
        <v>291</v>
      </c>
      <c r="D95" s="18" t="s">
        <v>78</v>
      </c>
      <c r="E95" s="18" t="s">
        <v>8678</v>
      </c>
      <c r="F95" s="18" t="s">
        <v>8679</v>
      </c>
      <c r="G95" s="18" t="s">
        <v>292</v>
      </c>
      <c r="H95" s="18" t="s">
        <v>293</v>
      </c>
      <c r="I95" s="18" t="s">
        <v>8680</v>
      </c>
      <c r="J95" s="18" t="s">
        <v>95</v>
      </c>
      <c r="K95" s="18" t="s">
        <v>7970</v>
      </c>
      <c r="L95" s="18" t="s">
        <v>8681</v>
      </c>
      <c r="M95" s="18" t="s">
        <v>4750</v>
      </c>
      <c r="N95" s="18" t="s">
        <v>4751</v>
      </c>
      <c r="O95" s="18" t="s">
        <v>3669</v>
      </c>
      <c r="P95" s="18" t="s">
        <v>8682</v>
      </c>
      <c r="Q95" s="18" t="s">
        <v>7975</v>
      </c>
      <c r="R95" s="18" t="s">
        <v>7976</v>
      </c>
      <c r="S95" s="18" t="s">
        <v>8045</v>
      </c>
      <c r="T95" s="18" t="s">
        <v>8046</v>
      </c>
      <c r="U95" s="18" t="s">
        <v>7996</v>
      </c>
      <c r="V95" s="18" t="s">
        <v>6963</v>
      </c>
      <c r="W95" s="18" t="s">
        <v>95</v>
      </c>
      <c r="X95" s="18" t="s">
        <v>95</v>
      </c>
      <c r="Y95" s="18" t="s">
        <v>7980</v>
      </c>
      <c r="Z95" s="18" t="s">
        <v>6996</v>
      </c>
      <c r="AA95" s="69">
        <v>1</v>
      </c>
      <c r="AB95" s="18">
        <v>200.89286000000001</v>
      </c>
      <c r="AC95" s="18" t="s">
        <v>8683</v>
      </c>
      <c r="AD95" s="18" t="s">
        <v>7982</v>
      </c>
      <c r="AE95" s="18">
        <v>124.5</v>
      </c>
      <c r="AF95" s="18" t="s">
        <v>7983</v>
      </c>
      <c r="AG95" s="18">
        <v>124.5</v>
      </c>
      <c r="AH95" s="18" t="s">
        <v>95</v>
      </c>
      <c r="AI95" s="18" t="s">
        <v>7595</v>
      </c>
      <c r="AJ95" s="18" t="s">
        <v>7630</v>
      </c>
      <c r="AK95" s="18">
        <v>24.99</v>
      </c>
      <c r="AL95" s="18" t="s">
        <v>95</v>
      </c>
      <c r="AM95" s="18" t="s">
        <v>95</v>
      </c>
      <c r="AN95" s="18" t="s">
        <v>7984</v>
      </c>
      <c r="AO95" s="18" t="s">
        <v>139</v>
      </c>
      <c r="AP95" s="20" t="s">
        <v>303</v>
      </c>
      <c r="AQ95" s="18" t="s">
        <v>304</v>
      </c>
      <c r="AR95" s="18" t="s">
        <v>3771</v>
      </c>
      <c r="AS95" s="18">
        <v>12</v>
      </c>
      <c r="AT95" s="18" t="s">
        <v>177</v>
      </c>
      <c r="AU95" s="18" t="s">
        <v>90</v>
      </c>
      <c r="AV95" s="18" t="s">
        <v>8048</v>
      </c>
      <c r="AW95" s="18" t="s">
        <v>8049</v>
      </c>
      <c r="AX95" s="18" t="s">
        <v>83</v>
      </c>
      <c r="AY95" s="18" t="s">
        <v>95</v>
      </c>
      <c r="AZ95" s="18" t="s">
        <v>95</v>
      </c>
      <c r="BA95" s="18" t="s">
        <v>95</v>
      </c>
      <c r="BB95" s="18" t="s">
        <v>95</v>
      </c>
      <c r="BC95" s="18" t="s">
        <v>215</v>
      </c>
      <c r="BD95" s="18" t="s">
        <v>95</v>
      </c>
      <c r="BE95" s="18" t="s">
        <v>95</v>
      </c>
      <c r="BF95" s="18" t="s">
        <v>95</v>
      </c>
      <c r="BG95" s="18" t="s">
        <v>95</v>
      </c>
      <c r="BH95" s="18" t="s">
        <v>95</v>
      </c>
      <c r="BI95" s="18">
        <v>12</v>
      </c>
      <c r="BJ95" s="18">
        <v>2022</v>
      </c>
      <c r="BK95" s="18" t="s">
        <v>95</v>
      </c>
      <c r="BL95" s="18" t="s">
        <v>95</v>
      </c>
      <c r="BM95" s="18" t="s">
        <v>95</v>
      </c>
      <c r="BN95" s="18" t="s">
        <v>85</v>
      </c>
      <c r="BO95" s="18" t="s">
        <v>86</v>
      </c>
      <c r="BP95" s="18" t="s">
        <v>90</v>
      </c>
      <c r="BQ95" s="18" t="s">
        <v>8002</v>
      </c>
      <c r="BR95" s="18" t="s">
        <v>139</v>
      </c>
      <c r="BS95" s="18" t="s">
        <v>7988</v>
      </c>
      <c r="BT95" s="18" t="s">
        <v>7989</v>
      </c>
      <c r="BU95" s="18" t="s">
        <v>7990</v>
      </c>
      <c r="BV95" s="18" t="str">
        <f>Terminales[[#This Row],[IMEI]]&amp;"SI"</f>
        <v>351084952902541SI</v>
      </c>
      <c r="BW95" s="18" t="str">
        <f>VLOOKUP(Terminales[[#This Row],[OFICINA_USUARIO]],[1]!Locales[#Data],3,0)</f>
        <v>TIENDA RECREO</v>
      </c>
      <c r="BX95" s="18" t="str">
        <f>VLOOKUP(Terminales[[#This Row],[USUARIO_FINAL]],'[1]Personal Ppto vs Real'!$A:$F,6,0)</f>
        <v>CORDOVA GAIBOR JONATHAN HERNAN</v>
      </c>
      <c r="BY9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9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95" s="18">
        <f>DAY(Terminales[[#This Row],[FECHA_FACTURA]])</f>
        <v>6</v>
      </c>
      <c r="CB95" s="65">
        <f>IF(Terminales[[#This Row],[CANTIDAD]] = 1,INDEX([1]!Comisiones[#Data],MATCH("Terminales",[1]!Comisiones[Producto],0),MATCH(Terminales[[#This Row],[TIPO ALTA COMISIONES]],[1]!Comisiones[#Headers],0))*Terminales[[#This Row],[MONTO]],0)</f>
        <v>12.0535716</v>
      </c>
      <c r="CC95" s="65">
        <f>IFERROR(IF(AND(Terminales[[#This Row],[CANTIDAD]] = 1,Terminales[[#This Row],[MOVIMIENTO]] = "RENOVACION"),Terminales[[#This Row],[TARIFA_BASICA]]*0.5,),)</f>
        <v>12.494999999999999</v>
      </c>
      <c r="CD95" s="65">
        <f>IF('[1]Resumen TM'!$AW$20 &lt; 0.4,0,Terminales[[#This Row],[MONTO]]*0.02)</f>
        <v>4.0178571999999999</v>
      </c>
      <c r="CE95" s="66">
        <f>Terminales[[#This Row],[COMISIONES TERMINALES]]+Terminales[[#This Row],[COMISIONES RENOVACIONES]]+Terminales[[#This Row],[COMISIONES BONO]]</f>
        <v>28.566428799999997</v>
      </c>
      <c r="CF95" s="67">
        <f>(Terminales[[#This Row],[COMISIONES TERMINALES]]*VLOOKUP(Terminales[[#This Row],[LOCALES]],[1]!Calendario[#Data],3,0))/VLOOKUP(Terminales[[#This Row],[LOCALES]],[1]!Calendario[#Data],2,0)</f>
        <v>19.83006940645161</v>
      </c>
      <c r="CG95" s="67">
        <f>(Terminales[[#This Row],[COMISIONES RENOVACIONES]]*VLOOKUP(Terminales[[#This Row],[LOCALES]],[1]!Calendario[#Data],3,0))/VLOOKUP(Terminales[[#This Row],[LOCALES]],[1]!Calendario[#Data],2,0)</f>
        <v>20.556290322580644</v>
      </c>
      <c r="CH95" s="67">
        <f>(Terminales[[#This Row],[COMISIONES BONO]]*VLOOKUP(Terminales[[#This Row],[LOCALES]],[1]!Calendario[#Data],3,0))/VLOOKUP(Terminales[[#This Row],[LOCALES]],[1]!Calendario[#Data],2,0)</f>
        <v>6.6100231354838703</v>
      </c>
      <c r="CI95" s="67">
        <f>Terminales[[#This Row],[PROY. COM. TERMINALES]]+Terminales[[#This Row],[PROY. COM. RENOV.]]+Terminales[[#This Row],[PROY. COM. 2%]]</f>
        <v>46.996382864516121</v>
      </c>
    </row>
    <row r="96" spans="1:87" x14ac:dyDescent="0.25">
      <c r="A96" s="68">
        <v>44926</v>
      </c>
      <c r="B96" s="68">
        <v>44901</v>
      </c>
      <c r="C96" s="18" t="s">
        <v>96</v>
      </c>
      <c r="D96" s="18" t="s">
        <v>96</v>
      </c>
      <c r="E96" s="18" t="s">
        <v>96</v>
      </c>
      <c r="F96" s="18" t="s">
        <v>8684</v>
      </c>
      <c r="G96" s="18" t="s">
        <v>292</v>
      </c>
      <c r="H96" s="18" t="s">
        <v>494</v>
      </c>
      <c r="I96" s="18" t="s">
        <v>8685</v>
      </c>
      <c r="J96" s="18" t="s">
        <v>95</v>
      </c>
      <c r="K96" s="18" t="s">
        <v>7970</v>
      </c>
      <c r="L96" s="18" t="s">
        <v>8686</v>
      </c>
      <c r="M96" s="18" t="s">
        <v>8687</v>
      </c>
      <c r="N96" s="18" t="s">
        <v>8688</v>
      </c>
      <c r="O96" s="18" t="s">
        <v>338</v>
      </c>
      <c r="P96" s="18" t="s">
        <v>8689</v>
      </c>
      <c r="Q96" s="18" t="s">
        <v>7975</v>
      </c>
      <c r="R96" s="18" t="s">
        <v>7976</v>
      </c>
      <c r="S96" s="18" t="s">
        <v>7977</v>
      </c>
      <c r="T96" s="18" t="s">
        <v>7978</v>
      </c>
      <c r="U96" s="18" t="s">
        <v>7979</v>
      </c>
      <c r="V96" s="18" t="s">
        <v>6963</v>
      </c>
      <c r="W96" s="18" t="s">
        <v>95</v>
      </c>
      <c r="X96" s="18" t="s">
        <v>95</v>
      </c>
      <c r="Y96" s="18" t="s">
        <v>7980</v>
      </c>
      <c r="Z96" s="18" t="s">
        <v>6996</v>
      </c>
      <c r="AA96" s="69">
        <v>1</v>
      </c>
      <c r="AB96" s="18">
        <v>276.78570999999999</v>
      </c>
      <c r="AC96" s="18" t="s">
        <v>8690</v>
      </c>
      <c r="AD96" s="18" t="s">
        <v>96</v>
      </c>
      <c r="AE96" s="18">
        <v>235</v>
      </c>
      <c r="AF96" s="18" t="s">
        <v>7983</v>
      </c>
      <c r="AG96" s="18">
        <v>235</v>
      </c>
      <c r="AH96" s="18" t="s">
        <v>95</v>
      </c>
      <c r="AI96" s="18" t="s">
        <v>8102</v>
      </c>
      <c r="AJ96" s="18" t="s">
        <v>8103</v>
      </c>
      <c r="AK96" s="18" t="s">
        <v>95</v>
      </c>
      <c r="AL96" s="18" t="s">
        <v>95</v>
      </c>
      <c r="AM96" s="18" t="s">
        <v>95</v>
      </c>
      <c r="AN96" s="18" t="s">
        <v>7984</v>
      </c>
      <c r="AO96" s="18" t="s">
        <v>139</v>
      </c>
      <c r="AP96" s="20" t="s">
        <v>866</v>
      </c>
      <c r="AQ96" s="18" t="s">
        <v>867</v>
      </c>
      <c r="AR96" s="18" t="s">
        <v>496</v>
      </c>
      <c r="AS96" s="18">
        <v>1</v>
      </c>
      <c r="AT96" s="18" t="s">
        <v>138</v>
      </c>
      <c r="AU96" s="18" t="s">
        <v>90</v>
      </c>
      <c r="AV96" s="18" t="s">
        <v>7985</v>
      </c>
      <c r="AW96" s="18" t="s">
        <v>7986</v>
      </c>
      <c r="AX96" s="18" t="s">
        <v>83</v>
      </c>
      <c r="AY96" s="18" t="s">
        <v>95</v>
      </c>
      <c r="AZ96" s="18" t="s">
        <v>95</v>
      </c>
      <c r="BA96" s="18" t="s">
        <v>95</v>
      </c>
      <c r="BB96" s="18" t="s">
        <v>95</v>
      </c>
      <c r="BC96" s="18" t="s">
        <v>118</v>
      </c>
      <c r="BD96" s="18" t="s">
        <v>95</v>
      </c>
      <c r="BE96" s="18" t="s">
        <v>8476</v>
      </c>
      <c r="BF96" s="18" t="s">
        <v>8691</v>
      </c>
      <c r="BG96" s="18" t="s">
        <v>95</v>
      </c>
      <c r="BH96" s="18" t="s">
        <v>95</v>
      </c>
      <c r="BI96" s="18">
        <v>12</v>
      </c>
      <c r="BJ96" s="18">
        <v>2022</v>
      </c>
      <c r="BK96" s="18" t="s">
        <v>95</v>
      </c>
      <c r="BL96" s="18" t="s">
        <v>95</v>
      </c>
      <c r="BM96" s="18" t="s">
        <v>95</v>
      </c>
      <c r="BN96" s="18" t="s">
        <v>85</v>
      </c>
      <c r="BO96" s="18" t="s">
        <v>86</v>
      </c>
      <c r="BP96" s="18" t="s">
        <v>90</v>
      </c>
      <c r="BQ96" s="18" t="s">
        <v>7987</v>
      </c>
      <c r="BR96" s="18" t="s">
        <v>139</v>
      </c>
      <c r="BS96" s="18" t="s">
        <v>8003</v>
      </c>
      <c r="BT96" s="18" t="s">
        <v>7989</v>
      </c>
      <c r="BU96" s="18" t="s">
        <v>496</v>
      </c>
      <c r="BV96" s="18" t="str">
        <f>Terminales[[#This Row],[IMEI]]&amp;"SI"</f>
        <v>866184060682403SI</v>
      </c>
      <c r="BW96" s="18" t="str">
        <f>VLOOKUP(Terminales[[#This Row],[OFICINA_USUARIO]],[1]!Locales[#Data],3,0)</f>
        <v>TIENDA AMERICA</v>
      </c>
      <c r="BX96" s="18" t="str">
        <f>VLOOKUP(Terminales[[#This Row],[USUARIO_FINAL]],'[1]Personal Ppto vs Real'!$A:$F,6,0)</f>
        <v>ORTEGA RUIZ GABRIEL ANTONIO</v>
      </c>
      <c r="BY9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9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96" s="18">
        <f>DAY(Terminales[[#This Row],[FECHA_FACTURA]])</f>
        <v>6</v>
      </c>
      <c r="CB96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96" s="65">
        <f>IFERROR(IF(AND(Terminales[[#This Row],[CANTIDAD]] = 1,Terminales[[#This Row],[MOVIMIENTO]] = "RENOVACION"),Terminales[[#This Row],[TARIFA_BASICA]]*0.5,),)</f>
        <v>0</v>
      </c>
      <c r="CD96" s="65">
        <f>IF('[1]Resumen TM'!$AW$20 &lt; 0.4,0,Terminales[[#This Row],[MONTO]]*0.02)</f>
        <v>5.5357142000000001</v>
      </c>
      <c r="CE96" s="66">
        <f>Terminales[[#This Row],[COMISIONES TERMINALES]]+Terminales[[#This Row],[COMISIONES RENOVACIONES]]+Terminales[[#This Row],[COMISIONES BONO]]</f>
        <v>33.214285199999999</v>
      </c>
      <c r="CF96" s="67">
        <f>(Terminales[[#This Row],[COMISIONES TERMINALES]]*VLOOKUP(Terminales[[#This Row],[LOCALES]],[1]!Calendario[#Data],3,0))/VLOOKUP(Terminales[[#This Row],[LOCALES]],[1]!Calendario[#Data],2,0)</f>
        <v>45.471938071428575</v>
      </c>
      <c r="CG96" s="67">
        <f>(Terminales[[#This Row],[COMISIONES RENOVACIONES]]*VLOOKUP(Terminales[[#This Row],[LOCALES]],[1]!Calendario[#Data],3,0))/VLOOKUP(Terminales[[#This Row],[LOCALES]],[1]!Calendario[#Data],2,0)</f>
        <v>0</v>
      </c>
      <c r="CH96" s="67">
        <f>(Terminales[[#This Row],[COMISIONES BONO]]*VLOOKUP(Terminales[[#This Row],[LOCALES]],[1]!Calendario[#Data],3,0))/VLOOKUP(Terminales[[#This Row],[LOCALES]],[1]!Calendario[#Data],2,0)</f>
        <v>9.094387614285715</v>
      </c>
      <c r="CI96" s="67">
        <f>Terminales[[#This Row],[PROY. COM. TERMINALES]]+Terminales[[#This Row],[PROY. COM. RENOV.]]+Terminales[[#This Row],[PROY. COM. 2%]]</f>
        <v>54.56632568571429</v>
      </c>
    </row>
    <row r="97" spans="1:87" x14ac:dyDescent="0.25">
      <c r="A97" s="68">
        <v>44926</v>
      </c>
      <c r="B97" s="68">
        <v>44901</v>
      </c>
      <c r="C97" s="18" t="s">
        <v>96</v>
      </c>
      <c r="D97" s="18" t="s">
        <v>96</v>
      </c>
      <c r="E97" s="18" t="s">
        <v>96</v>
      </c>
      <c r="F97" s="18" t="s">
        <v>8692</v>
      </c>
      <c r="G97" s="18" t="s">
        <v>292</v>
      </c>
      <c r="H97" s="18" t="s">
        <v>494</v>
      </c>
      <c r="I97" s="18" t="s">
        <v>8685</v>
      </c>
      <c r="J97" s="18" t="s">
        <v>95</v>
      </c>
      <c r="K97" s="18" t="s">
        <v>7970</v>
      </c>
      <c r="L97" s="18" t="s">
        <v>8686</v>
      </c>
      <c r="M97" s="18" t="s">
        <v>8687</v>
      </c>
      <c r="N97" s="18" t="s">
        <v>8688</v>
      </c>
      <c r="O97" s="18" t="s">
        <v>338</v>
      </c>
      <c r="P97" s="18" t="s">
        <v>8693</v>
      </c>
      <c r="Q97" s="18" t="s">
        <v>7975</v>
      </c>
      <c r="R97" s="18" t="s">
        <v>7976</v>
      </c>
      <c r="S97" s="18" t="s">
        <v>7977</v>
      </c>
      <c r="T97" s="18" t="s">
        <v>7978</v>
      </c>
      <c r="U97" s="18" t="s">
        <v>7979</v>
      </c>
      <c r="V97" s="18" t="s">
        <v>6963</v>
      </c>
      <c r="W97" s="18" t="s">
        <v>95</v>
      </c>
      <c r="X97" s="18" t="s">
        <v>95</v>
      </c>
      <c r="Y97" s="18" t="s">
        <v>7980</v>
      </c>
      <c r="Z97" s="18" t="s">
        <v>6996</v>
      </c>
      <c r="AA97" s="69">
        <v>1</v>
      </c>
      <c r="AB97" s="18">
        <v>276.78570999999999</v>
      </c>
      <c r="AC97" s="18" t="s">
        <v>8694</v>
      </c>
      <c r="AD97" s="18" t="s">
        <v>96</v>
      </c>
      <c r="AE97" s="18">
        <v>235</v>
      </c>
      <c r="AF97" s="18" t="s">
        <v>7983</v>
      </c>
      <c r="AG97" s="18">
        <v>235</v>
      </c>
      <c r="AH97" s="18" t="s">
        <v>95</v>
      </c>
      <c r="AI97" s="18" t="s">
        <v>8102</v>
      </c>
      <c r="AJ97" s="18" t="s">
        <v>8103</v>
      </c>
      <c r="AK97" s="18" t="s">
        <v>95</v>
      </c>
      <c r="AL97" s="18" t="s">
        <v>95</v>
      </c>
      <c r="AM97" s="18" t="s">
        <v>95</v>
      </c>
      <c r="AN97" s="18" t="s">
        <v>7984</v>
      </c>
      <c r="AO97" s="18" t="s">
        <v>139</v>
      </c>
      <c r="AP97" s="20" t="s">
        <v>866</v>
      </c>
      <c r="AQ97" s="18" t="s">
        <v>867</v>
      </c>
      <c r="AR97" s="18" t="s">
        <v>496</v>
      </c>
      <c r="AS97" s="18">
        <v>1</v>
      </c>
      <c r="AT97" s="18" t="s">
        <v>138</v>
      </c>
      <c r="AU97" s="18" t="s">
        <v>90</v>
      </c>
      <c r="AV97" s="18" t="s">
        <v>7985</v>
      </c>
      <c r="AW97" s="18" t="s">
        <v>7986</v>
      </c>
      <c r="AX97" s="18" t="s">
        <v>83</v>
      </c>
      <c r="AY97" s="18" t="s">
        <v>95</v>
      </c>
      <c r="AZ97" s="18" t="s">
        <v>95</v>
      </c>
      <c r="BA97" s="18" t="s">
        <v>95</v>
      </c>
      <c r="BB97" s="18" t="s">
        <v>95</v>
      </c>
      <c r="BC97" s="18" t="s">
        <v>118</v>
      </c>
      <c r="BD97" s="18" t="s">
        <v>95</v>
      </c>
      <c r="BE97" s="18" t="s">
        <v>8476</v>
      </c>
      <c r="BF97" s="18" t="s">
        <v>8691</v>
      </c>
      <c r="BG97" s="18" t="s">
        <v>95</v>
      </c>
      <c r="BH97" s="18" t="s">
        <v>95</v>
      </c>
      <c r="BI97" s="18">
        <v>12</v>
      </c>
      <c r="BJ97" s="18">
        <v>2022</v>
      </c>
      <c r="BK97" s="18" t="s">
        <v>95</v>
      </c>
      <c r="BL97" s="18" t="s">
        <v>95</v>
      </c>
      <c r="BM97" s="18" t="s">
        <v>95</v>
      </c>
      <c r="BN97" s="18" t="s">
        <v>85</v>
      </c>
      <c r="BO97" s="18" t="s">
        <v>86</v>
      </c>
      <c r="BP97" s="18" t="s">
        <v>90</v>
      </c>
      <c r="BQ97" s="18" t="s">
        <v>7987</v>
      </c>
      <c r="BR97" s="18" t="s">
        <v>139</v>
      </c>
      <c r="BS97" s="18" t="s">
        <v>8003</v>
      </c>
      <c r="BT97" s="18" t="s">
        <v>7989</v>
      </c>
      <c r="BU97" s="18" t="s">
        <v>496</v>
      </c>
      <c r="BV97" s="18" t="str">
        <f>Terminales[[#This Row],[IMEI]]&amp;"SI"</f>
        <v>866184060683153SI</v>
      </c>
      <c r="BW97" s="18" t="str">
        <f>VLOOKUP(Terminales[[#This Row],[OFICINA_USUARIO]],[1]!Locales[#Data],3,0)</f>
        <v>TIENDA AMERICA</v>
      </c>
      <c r="BX97" s="18" t="str">
        <f>VLOOKUP(Terminales[[#This Row],[USUARIO_FINAL]],'[1]Personal Ppto vs Real'!$A:$F,6,0)</f>
        <v>ORTEGA RUIZ GABRIEL ANTONIO</v>
      </c>
      <c r="BY9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9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97" s="18">
        <f>DAY(Terminales[[#This Row],[FECHA_FACTURA]])</f>
        <v>6</v>
      </c>
      <c r="CB97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97" s="65">
        <f>IFERROR(IF(AND(Terminales[[#This Row],[CANTIDAD]] = 1,Terminales[[#This Row],[MOVIMIENTO]] = "RENOVACION"),Terminales[[#This Row],[TARIFA_BASICA]]*0.5,),)</f>
        <v>0</v>
      </c>
      <c r="CD97" s="65">
        <f>IF('[1]Resumen TM'!$AW$20 &lt; 0.4,0,Terminales[[#This Row],[MONTO]]*0.02)</f>
        <v>5.5357142000000001</v>
      </c>
      <c r="CE97" s="66">
        <f>Terminales[[#This Row],[COMISIONES TERMINALES]]+Terminales[[#This Row],[COMISIONES RENOVACIONES]]+Terminales[[#This Row],[COMISIONES BONO]]</f>
        <v>33.214285199999999</v>
      </c>
      <c r="CF97" s="67">
        <f>(Terminales[[#This Row],[COMISIONES TERMINALES]]*VLOOKUP(Terminales[[#This Row],[LOCALES]],[1]!Calendario[#Data],3,0))/VLOOKUP(Terminales[[#This Row],[LOCALES]],[1]!Calendario[#Data],2,0)</f>
        <v>45.471938071428575</v>
      </c>
      <c r="CG97" s="67">
        <f>(Terminales[[#This Row],[COMISIONES RENOVACIONES]]*VLOOKUP(Terminales[[#This Row],[LOCALES]],[1]!Calendario[#Data],3,0))/VLOOKUP(Terminales[[#This Row],[LOCALES]],[1]!Calendario[#Data],2,0)</f>
        <v>0</v>
      </c>
      <c r="CH97" s="67">
        <f>(Terminales[[#This Row],[COMISIONES BONO]]*VLOOKUP(Terminales[[#This Row],[LOCALES]],[1]!Calendario[#Data],3,0))/VLOOKUP(Terminales[[#This Row],[LOCALES]],[1]!Calendario[#Data],2,0)</f>
        <v>9.094387614285715</v>
      </c>
      <c r="CI97" s="67">
        <f>Terminales[[#This Row],[PROY. COM. TERMINALES]]+Terminales[[#This Row],[PROY. COM. RENOV.]]+Terminales[[#This Row],[PROY. COM. 2%]]</f>
        <v>54.56632568571429</v>
      </c>
    </row>
    <row r="98" spans="1:87" x14ac:dyDescent="0.25">
      <c r="A98" s="68">
        <v>44926</v>
      </c>
      <c r="B98" s="68">
        <v>44901</v>
      </c>
      <c r="C98" s="18" t="s">
        <v>96</v>
      </c>
      <c r="D98" s="18" t="s">
        <v>96</v>
      </c>
      <c r="E98" s="18" t="s">
        <v>96</v>
      </c>
      <c r="F98" s="18" t="s">
        <v>8695</v>
      </c>
      <c r="G98" s="18" t="s">
        <v>292</v>
      </c>
      <c r="H98" s="18" t="s">
        <v>494</v>
      </c>
      <c r="I98" s="18" t="s">
        <v>8685</v>
      </c>
      <c r="J98" s="18" t="s">
        <v>95</v>
      </c>
      <c r="K98" s="18" t="s">
        <v>7970</v>
      </c>
      <c r="L98" s="18" t="s">
        <v>8686</v>
      </c>
      <c r="M98" s="18" t="s">
        <v>8687</v>
      </c>
      <c r="N98" s="18" t="s">
        <v>8688</v>
      </c>
      <c r="O98" s="18" t="s">
        <v>4907</v>
      </c>
      <c r="P98" s="18" t="s">
        <v>8696</v>
      </c>
      <c r="Q98" s="18" t="s">
        <v>7975</v>
      </c>
      <c r="R98" s="18" t="s">
        <v>7976</v>
      </c>
      <c r="S98" s="18" t="s">
        <v>8045</v>
      </c>
      <c r="T98" s="18" t="s">
        <v>8099</v>
      </c>
      <c r="U98" s="18" t="s">
        <v>8100</v>
      </c>
      <c r="V98" s="18" t="s">
        <v>6963</v>
      </c>
      <c r="W98" s="18" t="s">
        <v>95</v>
      </c>
      <c r="X98" s="18" t="s">
        <v>95</v>
      </c>
      <c r="Y98" s="18" t="s">
        <v>7980</v>
      </c>
      <c r="Z98" s="18" t="s">
        <v>6996</v>
      </c>
      <c r="AA98" s="69">
        <v>1</v>
      </c>
      <c r="AB98" s="18">
        <v>406.25</v>
      </c>
      <c r="AC98" s="18" t="s">
        <v>8697</v>
      </c>
      <c r="AD98" s="18" t="s">
        <v>96</v>
      </c>
      <c r="AE98" s="18">
        <v>396.5</v>
      </c>
      <c r="AF98" s="18" t="s">
        <v>7983</v>
      </c>
      <c r="AG98" s="18">
        <v>396.5</v>
      </c>
      <c r="AH98" s="18" t="s">
        <v>95</v>
      </c>
      <c r="AI98" s="18" t="s">
        <v>8102</v>
      </c>
      <c r="AJ98" s="18" t="s">
        <v>8103</v>
      </c>
      <c r="AK98" s="18" t="s">
        <v>95</v>
      </c>
      <c r="AL98" s="18" t="s">
        <v>95</v>
      </c>
      <c r="AM98" s="18" t="s">
        <v>95</v>
      </c>
      <c r="AN98" s="18" t="s">
        <v>7984</v>
      </c>
      <c r="AO98" s="18" t="s">
        <v>139</v>
      </c>
      <c r="AP98" s="20" t="s">
        <v>866</v>
      </c>
      <c r="AQ98" s="18" t="s">
        <v>867</v>
      </c>
      <c r="AR98" s="18" t="s">
        <v>496</v>
      </c>
      <c r="AS98" s="18">
        <v>1</v>
      </c>
      <c r="AT98" s="18" t="s">
        <v>138</v>
      </c>
      <c r="AU98" s="18" t="s">
        <v>90</v>
      </c>
      <c r="AV98" s="18" t="s">
        <v>8660</v>
      </c>
      <c r="AW98" s="18" t="s">
        <v>8661</v>
      </c>
      <c r="AX98" s="18" t="s">
        <v>83</v>
      </c>
      <c r="AY98" s="18" t="s">
        <v>95</v>
      </c>
      <c r="AZ98" s="18" t="s">
        <v>95</v>
      </c>
      <c r="BA98" s="18" t="s">
        <v>95</v>
      </c>
      <c r="BB98" s="18" t="s">
        <v>95</v>
      </c>
      <c r="BC98" s="18" t="s">
        <v>118</v>
      </c>
      <c r="BD98" s="18" t="s">
        <v>95</v>
      </c>
      <c r="BE98" s="18" t="s">
        <v>8476</v>
      </c>
      <c r="BF98" s="18" t="s">
        <v>8691</v>
      </c>
      <c r="BG98" s="18" t="s">
        <v>95</v>
      </c>
      <c r="BH98" s="18" t="s">
        <v>95</v>
      </c>
      <c r="BI98" s="18">
        <v>12</v>
      </c>
      <c r="BJ98" s="18">
        <v>2022</v>
      </c>
      <c r="BK98" s="18" t="s">
        <v>95</v>
      </c>
      <c r="BL98" s="18" t="s">
        <v>95</v>
      </c>
      <c r="BM98" s="18" t="s">
        <v>95</v>
      </c>
      <c r="BN98" s="18" t="s">
        <v>85</v>
      </c>
      <c r="BO98" s="18" t="s">
        <v>86</v>
      </c>
      <c r="BP98" s="18" t="s">
        <v>90</v>
      </c>
      <c r="BQ98" s="18" t="s">
        <v>7987</v>
      </c>
      <c r="BR98" s="18" t="s">
        <v>139</v>
      </c>
      <c r="BS98" s="18" t="s">
        <v>8003</v>
      </c>
      <c r="BT98" s="18" t="s">
        <v>7989</v>
      </c>
      <c r="BU98" s="18" t="s">
        <v>496</v>
      </c>
      <c r="BV98" s="18" t="str">
        <f>Terminales[[#This Row],[IMEI]]&amp;"SI"</f>
        <v>353842195572498SI</v>
      </c>
      <c r="BW98" s="18" t="str">
        <f>VLOOKUP(Terminales[[#This Row],[OFICINA_USUARIO]],[1]!Locales[#Data],3,0)</f>
        <v>TIENDA AMERICA</v>
      </c>
      <c r="BX98" s="18" t="str">
        <f>VLOOKUP(Terminales[[#This Row],[USUARIO_FINAL]],'[1]Personal Ppto vs Real'!$A:$F,6,0)</f>
        <v>ORTEGA RUIZ GABRIEL ANTONIO</v>
      </c>
      <c r="BY98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9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98" s="18">
        <f>DAY(Terminales[[#This Row],[FECHA_FACTURA]])</f>
        <v>6</v>
      </c>
      <c r="CB98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98" s="65">
        <f>IFERROR(IF(AND(Terminales[[#This Row],[CANTIDAD]] = 1,Terminales[[#This Row],[MOVIMIENTO]] = "RENOVACION"),Terminales[[#This Row],[TARIFA_BASICA]]*0.5,),)</f>
        <v>0</v>
      </c>
      <c r="CD98" s="65">
        <f>IF('[1]Resumen TM'!$AW$20 &lt; 0.4,0,Terminales[[#This Row],[MONTO]]*0.02)</f>
        <v>8.125</v>
      </c>
      <c r="CE98" s="66">
        <f>Terminales[[#This Row],[COMISIONES TERMINALES]]+Terminales[[#This Row],[COMISIONES RENOVACIONES]]+Terminales[[#This Row],[COMISIONES BONO]]</f>
        <v>48.75</v>
      </c>
      <c r="CF98" s="67">
        <f>(Terminales[[#This Row],[COMISIONES TERMINALES]]*VLOOKUP(Terminales[[#This Row],[LOCALES]],[1]!Calendario[#Data],3,0))/VLOOKUP(Terminales[[#This Row],[LOCALES]],[1]!Calendario[#Data],2,0)</f>
        <v>66.741071428571431</v>
      </c>
      <c r="CG98" s="67">
        <f>(Terminales[[#This Row],[COMISIONES RENOVACIONES]]*VLOOKUP(Terminales[[#This Row],[LOCALES]],[1]!Calendario[#Data],3,0))/VLOOKUP(Terminales[[#This Row],[LOCALES]],[1]!Calendario[#Data],2,0)</f>
        <v>0</v>
      </c>
      <c r="CH98" s="67">
        <f>(Terminales[[#This Row],[COMISIONES BONO]]*VLOOKUP(Terminales[[#This Row],[LOCALES]],[1]!Calendario[#Data],3,0))/VLOOKUP(Terminales[[#This Row],[LOCALES]],[1]!Calendario[#Data],2,0)</f>
        <v>13.348214285714286</v>
      </c>
      <c r="CI98" s="67">
        <f>Terminales[[#This Row],[PROY. COM. TERMINALES]]+Terminales[[#This Row],[PROY. COM. RENOV.]]+Terminales[[#This Row],[PROY. COM. 2%]]</f>
        <v>80.089285714285722</v>
      </c>
    </row>
    <row r="99" spans="1:87" x14ac:dyDescent="0.25">
      <c r="A99" s="68">
        <v>44926</v>
      </c>
      <c r="B99" s="68">
        <v>44901</v>
      </c>
      <c r="C99" s="18" t="s">
        <v>96</v>
      </c>
      <c r="D99" s="18" t="s">
        <v>96</v>
      </c>
      <c r="E99" s="18" t="s">
        <v>96</v>
      </c>
      <c r="F99" s="18" t="s">
        <v>8698</v>
      </c>
      <c r="G99" s="18" t="s">
        <v>292</v>
      </c>
      <c r="H99" s="18" t="s">
        <v>494</v>
      </c>
      <c r="I99" s="18" t="s">
        <v>8685</v>
      </c>
      <c r="J99" s="18" t="s">
        <v>95</v>
      </c>
      <c r="K99" s="18" t="s">
        <v>7970</v>
      </c>
      <c r="L99" s="18" t="s">
        <v>8686</v>
      </c>
      <c r="M99" s="18" t="s">
        <v>8687</v>
      </c>
      <c r="N99" s="18" t="s">
        <v>8688</v>
      </c>
      <c r="O99" s="18" t="s">
        <v>3770</v>
      </c>
      <c r="P99" s="18" t="s">
        <v>8699</v>
      </c>
      <c r="Q99" s="18" t="s">
        <v>7975</v>
      </c>
      <c r="R99" s="18" t="s">
        <v>7976</v>
      </c>
      <c r="S99" s="18" t="s">
        <v>8045</v>
      </c>
      <c r="T99" s="18" t="s">
        <v>8099</v>
      </c>
      <c r="U99" s="18" t="s">
        <v>8100</v>
      </c>
      <c r="V99" s="18" t="s">
        <v>6963</v>
      </c>
      <c r="W99" s="18" t="s">
        <v>95</v>
      </c>
      <c r="X99" s="18" t="s">
        <v>95</v>
      </c>
      <c r="Y99" s="18" t="s">
        <v>7980</v>
      </c>
      <c r="Z99" s="18" t="s">
        <v>6996</v>
      </c>
      <c r="AA99" s="69">
        <v>1</v>
      </c>
      <c r="AB99" s="18">
        <v>406.25</v>
      </c>
      <c r="AC99" s="18" t="s">
        <v>8700</v>
      </c>
      <c r="AD99" s="18" t="s">
        <v>96</v>
      </c>
      <c r="AE99" s="18">
        <v>397</v>
      </c>
      <c r="AF99" s="18" t="s">
        <v>7983</v>
      </c>
      <c r="AG99" s="18">
        <v>397</v>
      </c>
      <c r="AH99" s="18" t="s">
        <v>95</v>
      </c>
      <c r="AI99" s="18" t="s">
        <v>8102</v>
      </c>
      <c r="AJ99" s="18" t="s">
        <v>8103</v>
      </c>
      <c r="AK99" s="18" t="s">
        <v>95</v>
      </c>
      <c r="AL99" s="18" t="s">
        <v>95</v>
      </c>
      <c r="AM99" s="18" t="s">
        <v>95</v>
      </c>
      <c r="AN99" s="18" t="s">
        <v>7984</v>
      </c>
      <c r="AO99" s="18" t="s">
        <v>139</v>
      </c>
      <c r="AP99" s="20" t="s">
        <v>866</v>
      </c>
      <c r="AQ99" s="18" t="s">
        <v>867</v>
      </c>
      <c r="AR99" s="18" t="s">
        <v>496</v>
      </c>
      <c r="AS99" s="18">
        <v>1</v>
      </c>
      <c r="AT99" s="18" t="s">
        <v>138</v>
      </c>
      <c r="AU99" s="18" t="s">
        <v>90</v>
      </c>
      <c r="AV99" s="18" t="s">
        <v>8104</v>
      </c>
      <c r="AW99" s="18" t="s">
        <v>8105</v>
      </c>
      <c r="AX99" s="18" t="s">
        <v>83</v>
      </c>
      <c r="AY99" s="18" t="s">
        <v>95</v>
      </c>
      <c r="AZ99" s="18" t="s">
        <v>95</v>
      </c>
      <c r="BA99" s="18" t="s">
        <v>95</v>
      </c>
      <c r="BB99" s="18" t="s">
        <v>95</v>
      </c>
      <c r="BC99" s="18" t="s">
        <v>118</v>
      </c>
      <c r="BD99" s="18" t="s">
        <v>95</v>
      </c>
      <c r="BE99" s="18" t="s">
        <v>8476</v>
      </c>
      <c r="BF99" s="18" t="s">
        <v>8691</v>
      </c>
      <c r="BG99" s="18" t="s">
        <v>95</v>
      </c>
      <c r="BH99" s="18" t="s">
        <v>95</v>
      </c>
      <c r="BI99" s="18">
        <v>12</v>
      </c>
      <c r="BJ99" s="18">
        <v>2022</v>
      </c>
      <c r="BK99" s="18" t="s">
        <v>95</v>
      </c>
      <c r="BL99" s="18" t="s">
        <v>95</v>
      </c>
      <c r="BM99" s="18" t="s">
        <v>95</v>
      </c>
      <c r="BN99" s="18" t="s">
        <v>85</v>
      </c>
      <c r="BO99" s="18" t="s">
        <v>86</v>
      </c>
      <c r="BP99" s="18" t="s">
        <v>90</v>
      </c>
      <c r="BQ99" s="18" t="s">
        <v>7987</v>
      </c>
      <c r="BR99" s="18" t="s">
        <v>139</v>
      </c>
      <c r="BS99" s="18" t="s">
        <v>8003</v>
      </c>
      <c r="BT99" s="18" t="s">
        <v>7989</v>
      </c>
      <c r="BU99" s="18" t="s">
        <v>496</v>
      </c>
      <c r="BV99" s="18" t="str">
        <f>Terminales[[#This Row],[IMEI]]&amp;"SI"</f>
        <v>353842194941256SI</v>
      </c>
      <c r="BW99" s="18" t="str">
        <f>VLOOKUP(Terminales[[#This Row],[OFICINA_USUARIO]],[1]!Locales[#Data],3,0)</f>
        <v>TIENDA AMERICA</v>
      </c>
      <c r="BX99" s="18" t="str">
        <f>VLOOKUP(Terminales[[#This Row],[USUARIO_FINAL]],'[1]Personal Ppto vs Real'!$A:$F,6,0)</f>
        <v>ORTEGA RUIZ GABRIEL ANTONIO</v>
      </c>
      <c r="BY9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9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99" s="18">
        <f>DAY(Terminales[[#This Row],[FECHA_FACTURA]])</f>
        <v>6</v>
      </c>
      <c r="CB99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99" s="65">
        <f>IFERROR(IF(AND(Terminales[[#This Row],[CANTIDAD]] = 1,Terminales[[#This Row],[MOVIMIENTO]] = "RENOVACION"),Terminales[[#This Row],[TARIFA_BASICA]]*0.5,),)</f>
        <v>0</v>
      </c>
      <c r="CD99" s="65">
        <f>IF('[1]Resumen TM'!$AW$20 &lt; 0.4,0,Terminales[[#This Row],[MONTO]]*0.02)</f>
        <v>8.125</v>
      </c>
      <c r="CE99" s="66">
        <f>Terminales[[#This Row],[COMISIONES TERMINALES]]+Terminales[[#This Row],[COMISIONES RENOVACIONES]]+Terminales[[#This Row],[COMISIONES BONO]]</f>
        <v>48.75</v>
      </c>
      <c r="CF99" s="67">
        <f>(Terminales[[#This Row],[COMISIONES TERMINALES]]*VLOOKUP(Terminales[[#This Row],[LOCALES]],[1]!Calendario[#Data],3,0))/VLOOKUP(Terminales[[#This Row],[LOCALES]],[1]!Calendario[#Data],2,0)</f>
        <v>66.741071428571431</v>
      </c>
      <c r="CG99" s="67">
        <f>(Terminales[[#This Row],[COMISIONES RENOVACIONES]]*VLOOKUP(Terminales[[#This Row],[LOCALES]],[1]!Calendario[#Data],3,0))/VLOOKUP(Terminales[[#This Row],[LOCALES]],[1]!Calendario[#Data],2,0)</f>
        <v>0</v>
      </c>
      <c r="CH99" s="67">
        <f>(Terminales[[#This Row],[COMISIONES BONO]]*VLOOKUP(Terminales[[#This Row],[LOCALES]],[1]!Calendario[#Data],3,0))/VLOOKUP(Terminales[[#This Row],[LOCALES]],[1]!Calendario[#Data],2,0)</f>
        <v>13.348214285714286</v>
      </c>
      <c r="CI99" s="67">
        <f>Terminales[[#This Row],[PROY. COM. TERMINALES]]+Terminales[[#This Row],[PROY. COM. RENOV.]]+Terminales[[#This Row],[PROY. COM. 2%]]</f>
        <v>80.089285714285722</v>
      </c>
    </row>
    <row r="100" spans="1:87" x14ac:dyDescent="0.25">
      <c r="A100" s="68">
        <v>44926</v>
      </c>
      <c r="B100" s="68">
        <v>44901</v>
      </c>
      <c r="C100" s="18" t="s">
        <v>96</v>
      </c>
      <c r="D100" s="18" t="s">
        <v>96</v>
      </c>
      <c r="E100" s="18" t="s">
        <v>96</v>
      </c>
      <c r="F100" s="18" t="s">
        <v>8701</v>
      </c>
      <c r="G100" s="18" t="s">
        <v>292</v>
      </c>
      <c r="H100" s="18" t="s">
        <v>494</v>
      </c>
      <c r="I100" s="18" t="s">
        <v>8685</v>
      </c>
      <c r="J100" s="18" t="s">
        <v>95</v>
      </c>
      <c r="K100" s="18" t="s">
        <v>7970</v>
      </c>
      <c r="L100" s="18" t="s">
        <v>8686</v>
      </c>
      <c r="M100" s="18" t="s">
        <v>8687</v>
      </c>
      <c r="N100" s="18" t="s">
        <v>8688</v>
      </c>
      <c r="O100" s="18" t="s">
        <v>4907</v>
      </c>
      <c r="P100" s="18" t="s">
        <v>8702</v>
      </c>
      <c r="Q100" s="18" t="s">
        <v>7975</v>
      </c>
      <c r="R100" s="18" t="s">
        <v>7976</v>
      </c>
      <c r="S100" s="18" t="s">
        <v>8045</v>
      </c>
      <c r="T100" s="18" t="s">
        <v>8099</v>
      </c>
      <c r="U100" s="18" t="s">
        <v>8100</v>
      </c>
      <c r="V100" s="18" t="s">
        <v>6963</v>
      </c>
      <c r="W100" s="18" t="s">
        <v>95</v>
      </c>
      <c r="X100" s="18" t="s">
        <v>95</v>
      </c>
      <c r="Y100" s="18" t="s">
        <v>7980</v>
      </c>
      <c r="Z100" s="18" t="s">
        <v>6996</v>
      </c>
      <c r="AA100" s="69">
        <v>1</v>
      </c>
      <c r="AB100" s="18">
        <v>406.25</v>
      </c>
      <c r="AC100" s="18" t="s">
        <v>8703</v>
      </c>
      <c r="AD100" s="18" t="s">
        <v>96</v>
      </c>
      <c r="AE100" s="18">
        <v>396.5</v>
      </c>
      <c r="AF100" s="18" t="s">
        <v>7983</v>
      </c>
      <c r="AG100" s="18">
        <v>396.5</v>
      </c>
      <c r="AH100" s="18" t="s">
        <v>95</v>
      </c>
      <c r="AI100" s="18" t="s">
        <v>8102</v>
      </c>
      <c r="AJ100" s="18" t="s">
        <v>8103</v>
      </c>
      <c r="AK100" s="18" t="s">
        <v>95</v>
      </c>
      <c r="AL100" s="18" t="s">
        <v>95</v>
      </c>
      <c r="AM100" s="18" t="s">
        <v>95</v>
      </c>
      <c r="AN100" s="18" t="s">
        <v>7984</v>
      </c>
      <c r="AO100" s="18" t="s">
        <v>139</v>
      </c>
      <c r="AP100" s="20" t="s">
        <v>866</v>
      </c>
      <c r="AQ100" s="18" t="s">
        <v>867</v>
      </c>
      <c r="AR100" s="18" t="s">
        <v>496</v>
      </c>
      <c r="AS100" s="18">
        <v>1</v>
      </c>
      <c r="AT100" s="18" t="s">
        <v>138</v>
      </c>
      <c r="AU100" s="18" t="s">
        <v>90</v>
      </c>
      <c r="AV100" s="18" t="s">
        <v>8660</v>
      </c>
      <c r="AW100" s="18" t="s">
        <v>8661</v>
      </c>
      <c r="AX100" s="18" t="s">
        <v>83</v>
      </c>
      <c r="AY100" s="18" t="s">
        <v>95</v>
      </c>
      <c r="AZ100" s="18" t="s">
        <v>95</v>
      </c>
      <c r="BA100" s="18" t="s">
        <v>95</v>
      </c>
      <c r="BB100" s="18" t="s">
        <v>95</v>
      </c>
      <c r="BC100" s="18" t="s">
        <v>118</v>
      </c>
      <c r="BD100" s="18" t="s">
        <v>95</v>
      </c>
      <c r="BE100" s="18" t="s">
        <v>8476</v>
      </c>
      <c r="BF100" s="18" t="s">
        <v>8691</v>
      </c>
      <c r="BG100" s="18" t="s">
        <v>95</v>
      </c>
      <c r="BH100" s="18" t="s">
        <v>95</v>
      </c>
      <c r="BI100" s="18">
        <v>12</v>
      </c>
      <c r="BJ100" s="18">
        <v>2022</v>
      </c>
      <c r="BK100" s="18" t="s">
        <v>95</v>
      </c>
      <c r="BL100" s="18" t="s">
        <v>95</v>
      </c>
      <c r="BM100" s="18" t="s">
        <v>95</v>
      </c>
      <c r="BN100" s="18" t="s">
        <v>85</v>
      </c>
      <c r="BO100" s="18" t="s">
        <v>86</v>
      </c>
      <c r="BP100" s="18" t="s">
        <v>90</v>
      </c>
      <c r="BQ100" s="18" t="s">
        <v>7987</v>
      </c>
      <c r="BR100" s="18" t="s">
        <v>139</v>
      </c>
      <c r="BS100" s="18" t="s">
        <v>8003</v>
      </c>
      <c r="BT100" s="18" t="s">
        <v>7989</v>
      </c>
      <c r="BU100" s="18" t="s">
        <v>496</v>
      </c>
      <c r="BV100" s="18" t="str">
        <f>Terminales[[#This Row],[IMEI]]&amp;"SI"</f>
        <v>353842195553472SI</v>
      </c>
      <c r="BW100" s="18" t="str">
        <f>VLOOKUP(Terminales[[#This Row],[OFICINA_USUARIO]],[1]!Locales[#Data],3,0)</f>
        <v>TIENDA AMERICA</v>
      </c>
      <c r="BX100" s="18" t="str">
        <f>VLOOKUP(Terminales[[#This Row],[USUARIO_FINAL]],'[1]Personal Ppto vs Real'!$A:$F,6,0)</f>
        <v>ORTEGA RUIZ GABRIEL ANTONIO</v>
      </c>
      <c r="BY10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0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00" s="18">
        <f>DAY(Terminales[[#This Row],[FECHA_FACTURA]])</f>
        <v>6</v>
      </c>
      <c r="CB100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100" s="65">
        <f>IFERROR(IF(AND(Terminales[[#This Row],[CANTIDAD]] = 1,Terminales[[#This Row],[MOVIMIENTO]] = "RENOVACION"),Terminales[[#This Row],[TARIFA_BASICA]]*0.5,),)</f>
        <v>0</v>
      </c>
      <c r="CD100" s="65">
        <f>IF('[1]Resumen TM'!$AW$20 &lt; 0.4,0,Terminales[[#This Row],[MONTO]]*0.02)</f>
        <v>8.125</v>
      </c>
      <c r="CE100" s="66">
        <f>Terminales[[#This Row],[COMISIONES TERMINALES]]+Terminales[[#This Row],[COMISIONES RENOVACIONES]]+Terminales[[#This Row],[COMISIONES BONO]]</f>
        <v>48.75</v>
      </c>
      <c r="CF100" s="67">
        <f>(Terminales[[#This Row],[COMISIONES TERMINALES]]*VLOOKUP(Terminales[[#This Row],[LOCALES]],[1]!Calendario[#Data],3,0))/VLOOKUP(Terminales[[#This Row],[LOCALES]],[1]!Calendario[#Data],2,0)</f>
        <v>66.741071428571431</v>
      </c>
      <c r="CG100" s="67">
        <f>(Terminales[[#This Row],[COMISIONES RENOVACIONES]]*VLOOKUP(Terminales[[#This Row],[LOCALES]],[1]!Calendario[#Data],3,0))/VLOOKUP(Terminales[[#This Row],[LOCALES]],[1]!Calendario[#Data],2,0)</f>
        <v>0</v>
      </c>
      <c r="CH100" s="67">
        <f>(Terminales[[#This Row],[COMISIONES BONO]]*VLOOKUP(Terminales[[#This Row],[LOCALES]],[1]!Calendario[#Data],3,0))/VLOOKUP(Terminales[[#This Row],[LOCALES]],[1]!Calendario[#Data],2,0)</f>
        <v>13.348214285714286</v>
      </c>
      <c r="CI100" s="67">
        <f>Terminales[[#This Row],[PROY. COM. TERMINALES]]+Terminales[[#This Row],[PROY. COM. RENOV.]]+Terminales[[#This Row],[PROY. COM. 2%]]</f>
        <v>80.089285714285722</v>
      </c>
    </row>
    <row r="101" spans="1:87" x14ac:dyDescent="0.25">
      <c r="A101" s="68">
        <v>44926</v>
      </c>
      <c r="B101" s="68">
        <v>44901</v>
      </c>
      <c r="C101" s="18" t="s">
        <v>96</v>
      </c>
      <c r="D101" s="18" t="s">
        <v>96</v>
      </c>
      <c r="E101" s="18" t="s">
        <v>96</v>
      </c>
      <c r="F101" s="18" t="s">
        <v>8704</v>
      </c>
      <c r="G101" s="18" t="s">
        <v>292</v>
      </c>
      <c r="H101" s="18" t="s">
        <v>494</v>
      </c>
      <c r="I101" s="18" t="s">
        <v>8705</v>
      </c>
      <c r="J101" s="18" t="s">
        <v>95</v>
      </c>
      <c r="K101" s="18" t="s">
        <v>7970</v>
      </c>
      <c r="L101" s="18" t="s">
        <v>8706</v>
      </c>
      <c r="M101" s="18" t="s">
        <v>8707</v>
      </c>
      <c r="N101" s="18" t="s">
        <v>8708</v>
      </c>
      <c r="O101" s="18" t="s">
        <v>543</v>
      </c>
      <c r="P101" s="18" t="s">
        <v>8709</v>
      </c>
      <c r="Q101" s="18" t="s">
        <v>7975</v>
      </c>
      <c r="R101" s="18" t="s">
        <v>7976</v>
      </c>
      <c r="S101" s="18" t="s">
        <v>7994</v>
      </c>
      <c r="T101" s="18" t="s">
        <v>8245</v>
      </c>
      <c r="U101" s="18" t="s">
        <v>8012</v>
      </c>
      <c r="V101" s="18" t="s">
        <v>6963</v>
      </c>
      <c r="W101" s="18" t="s">
        <v>95</v>
      </c>
      <c r="X101" s="18" t="s">
        <v>95</v>
      </c>
      <c r="Y101" s="18" t="s">
        <v>7980</v>
      </c>
      <c r="Z101" s="18" t="s">
        <v>6996</v>
      </c>
      <c r="AA101" s="69">
        <v>1</v>
      </c>
      <c r="AB101" s="18">
        <v>156.25</v>
      </c>
      <c r="AC101" s="18" t="s">
        <v>8710</v>
      </c>
      <c r="AD101" s="18" t="s">
        <v>7982</v>
      </c>
      <c r="AE101" s="18">
        <v>156</v>
      </c>
      <c r="AF101" s="18" t="s">
        <v>7983</v>
      </c>
      <c r="AG101" s="18">
        <v>156</v>
      </c>
      <c r="AH101" s="18" t="s">
        <v>95</v>
      </c>
      <c r="AI101" s="18" t="s">
        <v>8102</v>
      </c>
      <c r="AJ101" s="18" t="s">
        <v>8103</v>
      </c>
      <c r="AK101" s="18" t="s">
        <v>95</v>
      </c>
      <c r="AL101" s="18" t="s">
        <v>95</v>
      </c>
      <c r="AM101" s="18" t="s">
        <v>95</v>
      </c>
      <c r="AN101" s="18" t="s">
        <v>7984</v>
      </c>
      <c r="AO101" s="18" t="s">
        <v>92</v>
      </c>
      <c r="AP101" s="20" t="s">
        <v>385</v>
      </c>
      <c r="AQ101" s="18" t="s">
        <v>386</v>
      </c>
      <c r="AR101" s="18" t="s">
        <v>496</v>
      </c>
      <c r="AS101" s="18">
        <v>1</v>
      </c>
      <c r="AT101" s="18" t="s">
        <v>151</v>
      </c>
      <c r="AU101" s="18" t="s">
        <v>90</v>
      </c>
      <c r="AV101" s="18" t="s">
        <v>8247</v>
      </c>
      <c r="AW101" s="18" t="s">
        <v>8248</v>
      </c>
      <c r="AX101" s="18" t="s">
        <v>83</v>
      </c>
      <c r="AY101" s="18" t="s">
        <v>95</v>
      </c>
      <c r="AZ101" s="18" t="s">
        <v>95</v>
      </c>
      <c r="BA101" s="18" t="s">
        <v>95</v>
      </c>
      <c r="BB101" s="18" t="s">
        <v>95</v>
      </c>
      <c r="BC101" s="18" t="s">
        <v>118</v>
      </c>
      <c r="BD101" s="18" t="s">
        <v>95</v>
      </c>
      <c r="BE101" s="18" t="s">
        <v>95</v>
      </c>
      <c r="BF101" s="18" t="s">
        <v>95</v>
      </c>
      <c r="BG101" s="18" t="s">
        <v>95</v>
      </c>
      <c r="BH101" s="18" t="s">
        <v>95</v>
      </c>
      <c r="BI101" s="18">
        <v>12</v>
      </c>
      <c r="BJ101" s="18">
        <v>2022</v>
      </c>
      <c r="BK101" s="18" t="s">
        <v>95</v>
      </c>
      <c r="BL101" s="18" t="s">
        <v>95</v>
      </c>
      <c r="BM101" s="18" t="s">
        <v>95</v>
      </c>
      <c r="BN101" s="18" t="s">
        <v>85</v>
      </c>
      <c r="BO101" s="18" t="s">
        <v>86</v>
      </c>
      <c r="BP101" s="18" t="s">
        <v>90</v>
      </c>
      <c r="BQ101" s="18" t="s">
        <v>8141</v>
      </c>
      <c r="BR101" s="18" t="s">
        <v>92</v>
      </c>
      <c r="BS101" s="18" t="s">
        <v>8074</v>
      </c>
      <c r="BT101" s="18" t="s">
        <v>7989</v>
      </c>
      <c r="BU101" s="18" t="s">
        <v>496</v>
      </c>
      <c r="BV101" s="18" t="str">
        <f>Terminales[[#This Row],[IMEI]]&amp;"SI"</f>
        <v>355108340298993SI</v>
      </c>
      <c r="BW101" s="18" t="str">
        <f>VLOOKUP(Terminales[[#This Row],[OFICINA_USUARIO]],[1]!Locales[#Data],3,0)</f>
        <v>TIENDA CUENCA REMIGIO</v>
      </c>
      <c r="BX101" s="18" t="str">
        <f>VLOOKUP(Terminales[[#This Row],[USUARIO_FINAL]],'[1]Personal Ppto vs Real'!$A:$F,6,0)</f>
        <v>RAMIREZ RUBIO NELLY LILIANA</v>
      </c>
      <c r="BY10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0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01" s="18">
        <f>DAY(Terminales[[#This Row],[FECHA_FACTURA]])</f>
        <v>6</v>
      </c>
      <c r="CB101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101" s="65">
        <f>IFERROR(IF(AND(Terminales[[#This Row],[CANTIDAD]] = 1,Terminales[[#This Row],[MOVIMIENTO]] = "RENOVACION"),Terminales[[#This Row],[TARIFA_BASICA]]*0.5,),)</f>
        <v>0</v>
      </c>
      <c r="CD101" s="65">
        <f>IF('[1]Resumen TM'!$AW$20 &lt; 0.4,0,Terminales[[#This Row],[MONTO]]*0.02)</f>
        <v>3.125</v>
      </c>
      <c r="CE101" s="66">
        <f>Terminales[[#This Row],[COMISIONES TERMINALES]]+Terminales[[#This Row],[COMISIONES RENOVACIONES]]+Terminales[[#This Row],[COMISIONES BONO]]</f>
        <v>18.75</v>
      </c>
      <c r="CF101" s="67">
        <f>(Terminales[[#This Row],[COMISIONES TERMINALES]]*VLOOKUP(Terminales[[#This Row],[LOCALES]],[1]!Calendario[#Data],3,0))/VLOOKUP(Terminales[[#This Row],[LOCALES]],[1]!Calendario[#Data],2,0)</f>
        <v>25.323275862068964</v>
      </c>
      <c r="CG101" s="67">
        <f>(Terminales[[#This Row],[COMISIONES RENOVACIONES]]*VLOOKUP(Terminales[[#This Row],[LOCALES]],[1]!Calendario[#Data],3,0))/VLOOKUP(Terminales[[#This Row],[LOCALES]],[1]!Calendario[#Data],2,0)</f>
        <v>0</v>
      </c>
      <c r="CH101" s="67">
        <f>(Terminales[[#This Row],[COMISIONES BONO]]*VLOOKUP(Terminales[[#This Row],[LOCALES]],[1]!Calendario[#Data],3,0))/VLOOKUP(Terminales[[#This Row],[LOCALES]],[1]!Calendario[#Data],2,0)</f>
        <v>5.0646551724137927</v>
      </c>
      <c r="CI101" s="67">
        <f>Terminales[[#This Row],[PROY. COM. TERMINALES]]+Terminales[[#This Row],[PROY. COM. RENOV.]]+Terminales[[#This Row],[PROY. COM. 2%]]</f>
        <v>30.387931034482758</v>
      </c>
    </row>
    <row r="102" spans="1:87" x14ac:dyDescent="0.25">
      <c r="A102" s="68">
        <v>44926</v>
      </c>
      <c r="B102" s="68">
        <v>44901</v>
      </c>
      <c r="C102" s="18" t="s">
        <v>291</v>
      </c>
      <c r="D102" s="18" t="s">
        <v>78</v>
      </c>
      <c r="E102" s="18" t="s">
        <v>311</v>
      </c>
      <c r="F102" s="18" t="s">
        <v>7355</v>
      </c>
      <c r="G102" s="18" t="s">
        <v>292</v>
      </c>
      <c r="H102" s="18" t="s">
        <v>293</v>
      </c>
      <c r="I102" s="18" t="s">
        <v>8711</v>
      </c>
      <c r="J102" s="18" t="s">
        <v>95</v>
      </c>
      <c r="K102" s="18" t="s">
        <v>7970</v>
      </c>
      <c r="L102" s="18" t="s">
        <v>8712</v>
      </c>
      <c r="M102" s="18" t="s">
        <v>8713</v>
      </c>
      <c r="N102" s="18" t="s">
        <v>7357</v>
      </c>
      <c r="O102" s="18" t="s">
        <v>354</v>
      </c>
      <c r="P102" s="18" t="s">
        <v>8714</v>
      </c>
      <c r="Q102" s="18" t="s">
        <v>7975</v>
      </c>
      <c r="R102" s="18" t="s">
        <v>7976</v>
      </c>
      <c r="S102" s="18" t="s">
        <v>8070</v>
      </c>
      <c r="T102" s="18" t="s">
        <v>8071</v>
      </c>
      <c r="U102" s="18" t="s">
        <v>8012</v>
      </c>
      <c r="V102" s="18" t="s">
        <v>6963</v>
      </c>
      <c r="W102" s="18" t="s">
        <v>95</v>
      </c>
      <c r="X102" s="18" t="s">
        <v>95</v>
      </c>
      <c r="Y102" s="18" t="s">
        <v>7980</v>
      </c>
      <c r="Z102" s="18" t="s">
        <v>6996</v>
      </c>
      <c r="AA102" s="69">
        <v>1</v>
      </c>
      <c r="AB102" s="18">
        <v>321.42856999999998</v>
      </c>
      <c r="AC102" s="18" t="s">
        <v>7356</v>
      </c>
      <c r="AD102" s="18" t="s">
        <v>7982</v>
      </c>
      <c r="AE102" s="18">
        <v>199.79</v>
      </c>
      <c r="AF102" s="18" t="s">
        <v>7983</v>
      </c>
      <c r="AG102" s="18">
        <v>199.79</v>
      </c>
      <c r="AH102" s="18" t="s">
        <v>95</v>
      </c>
      <c r="AI102" s="18" t="s">
        <v>359</v>
      </c>
      <c r="AJ102" s="18" t="s">
        <v>360</v>
      </c>
      <c r="AK102" s="18">
        <v>14.28</v>
      </c>
      <c r="AL102" s="18" t="s">
        <v>95</v>
      </c>
      <c r="AM102" s="18" t="s">
        <v>95</v>
      </c>
      <c r="AN102" s="18" t="s">
        <v>7984</v>
      </c>
      <c r="AO102" s="18" t="s">
        <v>139</v>
      </c>
      <c r="AP102" s="20" t="s">
        <v>492</v>
      </c>
      <c r="AQ102" s="18" t="s">
        <v>493</v>
      </c>
      <c r="AR102" s="18" t="s">
        <v>295</v>
      </c>
      <c r="AS102" s="18">
        <v>12</v>
      </c>
      <c r="AT102" s="18" t="s">
        <v>177</v>
      </c>
      <c r="AU102" s="18" t="s">
        <v>90</v>
      </c>
      <c r="AV102" s="18" t="s">
        <v>8072</v>
      </c>
      <c r="AW102" s="18" t="s">
        <v>8073</v>
      </c>
      <c r="AX102" s="18" t="s">
        <v>83</v>
      </c>
      <c r="AY102" s="18" t="s">
        <v>95</v>
      </c>
      <c r="AZ102" s="18" t="s">
        <v>95</v>
      </c>
      <c r="BA102" s="18" t="s">
        <v>95</v>
      </c>
      <c r="BB102" s="18" t="s">
        <v>95</v>
      </c>
      <c r="BC102" s="18" t="s">
        <v>84</v>
      </c>
      <c r="BD102" s="18">
        <v>64</v>
      </c>
      <c r="BE102" s="18" t="s">
        <v>95</v>
      </c>
      <c r="BF102" s="18" t="s">
        <v>95</v>
      </c>
      <c r="BG102" s="18" t="s">
        <v>95</v>
      </c>
      <c r="BH102" s="18" t="s">
        <v>95</v>
      </c>
      <c r="BI102" s="18">
        <v>12</v>
      </c>
      <c r="BJ102" s="18">
        <v>2022</v>
      </c>
      <c r="BK102" s="18" t="s">
        <v>95</v>
      </c>
      <c r="BL102" s="18" t="s">
        <v>95</v>
      </c>
      <c r="BM102" s="18" t="s">
        <v>95</v>
      </c>
      <c r="BN102" s="18" t="s">
        <v>85</v>
      </c>
      <c r="BO102" s="18" t="s">
        <v>86</v>
      </c>
      <c r="BP102" s="18" t="s">
        <v>90</v>
      </c>
      <c r="BQ102" s="18" t="s">
        <v>8002</v>
      </c>
      <c r="BR102" s="18" t="s">
        <v>139</v>
      </c>
      <c r="BS102" s="18" t="s">
        <v>7988</v>
      </c>
      <c r="BT102" s="18" t="s">
        <v>7989</v>
      </c>
      <c r="BU102" s="18" t="s">
        <v>7990</v>
      </c>
      <c r="BV102" s="18" t="str">
        <f>Terminales[[#This Row],[IMEI]]&amp;"SI"</f>
        <v>869113065737521SI</v>
      </c>
      <c r="BW102" s="18" t="str">
        <f>VLOOKUP(Terminales[[#This Row],[OFICINA_USUARIO]],[1]!Locales[#Data],3,0)</f>
        <v>TIENDA RECREO</v>
      </c>
      <c r="BX102" s="18" t="str">
        <f>VLOOKUP(Terminales[[#This Row],[USUARIO_FINAL]],'[1]Personal Ppto vs Real'!$A:$F,6,0)</f>
        <v>CONDO GARCIA NICOLAS MATIAS</v>
      </c>
      <c r="BY10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0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02" s="18">
        <f>DAY(Terminales[[#This Row],[FECHA_FACTURA]])</f>
        <v>6</v>
      </c>
      <c r="CB102" s="65">
        <f>IF(Terminales[[#This Row],[CANTIDAD]] = 1,INDEX([1]!Comisiones[#Data],MATCH("Terminales",[1]!Comisiones[Producto],0),MATCH(Terminales[[#This Row],[TIPO ALTA COMISIONES]],[1]!Comisiones[#Headers],0))*Terminales[[#This Row],[MONTO]],0)</f>
        <v>19.285714199999997</v>
      </c>
      <c r="CC102" s="65">
        <f>IFERROR(IF(AND(Terminales[[#This Row],[CANTIDAD]] = 1,Terminales[[#This Row],[MOVIMIENTO]] = "RENOVACION"),Terminales[[#This Row],[TARIFA_BASICA]]*0.5,),)</f>
        <v>7.14</v>
      </c>
      <c r="CD102" s="65">
        <f>IF('[1]Resumen TM'!$AW$20 &lt; 0.4,0,Terminales[[#This Row],[MONTO]]*0.02)</f>
        <v>6.4285714</v>
      </c>
      <c r="CE102" s="66">
        <f>Terminales[[#This Row],[COMISIONES TERMINALES]]+Terminales[[#This Row],[COMISIONES RENOVACIONES]]+Terminales[[#This Row],[COMISIONES BONO]]</f>
        <v>32.854285599999997</v>
      </c>
      <c r="CF102" s="67">
        <f>(Terminales[[#This Row],[COMISIONES TERMINALES]]*VLOOKUP(Terminales[[#This Row],[LOCALES]],[1]!Calendario[#Data],3,0))/VLOOKUP(Terminales[[#This Row],[LOCALES]],[1]!Calendario[#Data],2,0)</f>
        <v>31.728110458064513</v>
      </c>
      <c r="CG102" s="67">
        <f>(Terminales[[#This Row],[COMISIONES RENOVACIONES]]*VLOOKUP(Terminales[[#This Row],[LOCALES]],[1]!Calendario[#Data],3,0))/VLOOKUP(Terminales[[#This Row],[LOCALES]],[1]!Calendario[#Data],2,0)</f>
        <v>11.746451612903225</v>
      </c>
      <c r="CH102" s="67">
        <f>(Terminales[[#This Row],[COMISIONES BONO]]*VLOOKUP(Terminales[[#This Row],[LOCALES]],[1]!Calendario[#Data],3,0))/VLOOKUP(Terminales[[#This Row],[LOCALES]],[1]!Calendario[#Data],2,0)</f>
        <v>10.576036819354838</v>
      </c>
      <c r="CI102" s="67">
        <f>Terminales[[#This Row],[PROY. COM. TERMINALES]]+Terminales[[#This Row],[PROY. COM. RENOV.]]+Terminales[[#This Row],[PROY. COM. 2%]]</f>
        <v>54.050598890322576</v>
      </c>
    </row>
    <row r="103" spans="1:87" x14ac:dyDescent="0.25">
      <c r="A103" s="68">
        <v>44926</v>
      </c>
      <c r="B103" s="68">
        <v>44901</v>
      </c>
      <c r="C103" s="18" t="s">
        <v>291</v>
      </c>
      <c r="D103" s="18" t="s">
        <v>521</v>
      </c>
      <c r="E103" s="18" t="s">
        <v>8017</v>
      </c>
      <c r="F103" s="18" t="s">
        <v>8715</v>
      </c>
      <c r="G103" s="18" t="s">
        <v>292</v>
      </c>
      <c r="H103" s="18" t="s">
        <v>494</v>
      </c>
      <c r="I103" s="18" t="s">
        <v>8716</v>
      </c>
      <c r="J103" s="18" t="s">
        <v>95</v>
      </c>
      <c r="K103" s="18" t="s">
        <v>7970</v>
      </c>
      <c r="L103" s="18" t="s">
        <v>8717</v>
      </c>
      <c r="M103" s="18" t="s">
        <v>8718</v>
      </c>
      <c r="N103" s="18" t="s">
        <v>8719</v>
      </c>
      <c r="O103" s="18" t="s">
        <v>1022</v>
      </c>
      <c r="P103" s="18" t="s">
        <v>8720</v>
      </c>
      <c r="Q103" s="18" t="s">
        <v>7975</v>
      </c>
      <c r="R103" s="18" t="s">
        <v>7976</v>
      </c>
      <c r="S103" s="18" t="s">
        <v>8045</v>
      </c>
      <c r="T103" s="18" t="s">
        <v>8225</v>
      </c>
      <c r="U103" s="18" t="s">
        <v>8012</v>
      </c>
      <c r="V103" s="18" t="s">
        <v>6963</v>
      </c>
      <c r="W103" s="18" t="s">
        <v>95</v>
      </c>
      <c r="X103" s="18" t="s">
        <v>95</v>
      </c>
      <c r="Y103" s="18" t="s">
        <v>7980</v>
      </c>
      <c r="Z103" s="18" t="s">
        <v>6996</v>
      </c>
      <c r="AA103" s="69">
        <v>1</v>
      </c>
      <c r="AB103" s="18">
        <v>236.25</v>
      </c>
      <c r="AC103" s="18" t="s">
        <v>8721</v>
      </c>
      <c r="AD103" s="18" t="s">
        <v>7982</v>
      </c>
      <c r="AE103" s="18">
        <v>232</v>
      </c>
      <c r="AF103" s="18" t="s">
        <v>7983</v>
      </c>
      <c r="AG103" s="18">
        <v>232</v>
      </c>
      <c r="AH103" s="18" t="s">
        <v>95</v>
      </c>
      <c r="AI103" s="18" t="s">
        <v>8722</v>
      </c>
      <c r="AJ103" s="18" t="s">
        <v>8723</v>
      </c>
      <c r="AK103" s="18">
        <v>10</v>
      </c>
      <c r="AL103" s="18" t="s">
        <v>95</v>
      </c>
      <c r="AM103" s="18" t="s">
        <v>95</v>
      </c>
      <c r="AN103" s="18" t="s">
        <v>7984</v>
      </c>
      <c r="AO103" s="18" t="s">
        <v>139</v>
      </c>
      <c r="AP103" s="20" t="s">
        <v>665</v>
      </c>
      <c r="AQ103" s="18" t="s">
        <v>666</v>
      </c>
      <c r="AR103" s="18" t="s">
        <v>496</v>
      </c>
      <c r="AS103" s="18">
        <v>1</v>
      </c>
      <c r="AT103" s="18" t="s">
        <v>138</v>
      </c>
      <c r="AU103" s="18" t="s">
        <v>90</v>
      </c>
      <c r="AV103" s="18" t="s">
        <v>8392</v>
      </c>
      <c r="AW103" s="18" t="s">
        <v>8393</v>
      </c>
      <c r="AX103" s="18" t="s">
        <v>83</v>
      </c>
      <c r="AY103" s="18" t="s">
        <v>95</v>
      </c>
      <c r="AZ103" s="18" t="s">
        <v>95</v>
      </c>
      <c r="BA103" s="18" t="s">
        <v>95</v>
      </c>
      <c r="BB103" s="18" t="s">
        <v>95</v>
      </c>
      <c r="BC103" s="18" t="s">
        <v>84</v>
      </c>
      <c r="BD103" s="18" t="s">
        <v>95</v>
      </c>
      <c r="BE103" s="18" t="s">
        <v>95</v>
      </c>
      <c r="BF103" s="18" t="s">
        <v>95</v>
      </c>
      <c r="BG103" s="18" t="s">
        <v>95</v>
      </c>
      <c r="BH103" s="18" t="s">
        <v>95</v>
      </c>
      <c r="BI103" s="18">
        <v>12</v>
      </c>
      <c r="BJ103" s="18">
        <v>2022</v>
      </c>
      <c r="BK103" s="18" t="s">
        <v>95</v>
      </c>
      <c r="BL103" s="18" t="s">
        <v>95</v>
      </c>
      <c r="BM103" s="18" t="s">
        <v>95</v>
      </c>
      <c r="BN103" s="18" t="s">
        <v>85</v>
      </c>
      <c r="BO103" s="18" t="s">
        <v>86</v>
      </c>
      <c r="BP103" s="18" t="s">
        <v>90</v>
      </c>
      <c r="BQ103" s="18" t="s">
        <v>7987</v>
      </c>
      <c r="BR103" s="18" t="s">
        <v>139</v>
      </c>
      <c r="BS103" s="18" t="s">
        <v>8074</v>
      </c>
      <c r="BT103" s="18" t="s">
        <v>7989</v>
      </c>
      <c r="BU103" s="18" t="s">
        <v>496</v>
      </c>
      <c r="BV103" s="18" t="str">
        <f>Terminales[[#This Row],[IMEI]]&amp;"SI"</f>
        <v>356795951448971SI</v>
      </c>
      <c r="BW103" s="18" t="str">
        <f>VLOOKUP(Terminales[[#This Row],[OFICINA_USUARIO]],[1]!Locales[#Data],3,0)</f>
        <v>TIENDA AMERICA</v>
      </c>
      <c r="BX103" s="18" t="str">
        <f>VLOOKUP(Terminales[[#This Row],[USUARIO_FINAL]],'[1]Personal Ppto vs Real'!$A:$F,6,0)</f>
        <v>ROSERO CAICEDO JAIRO STEFANO</v>
      </c>
      <c r="BY10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0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03" s="18">
        <f>DAY(Terminales[[#This Row],[FECHA_FACTURA]])</f>
        <v>6</v>
      </c>
      <c r="CB103" s="65">
        <f>IF(Terminales[[#This Row],[CANTIDAD]] = 1,INDEX([1]!Comisiones[#Data],MATCH("Terminales",[1]!Comisiones[Producto],0),MATCH(Terminales[[#This Row],[TIPO ALTA COMISIONES]],[1]!Comisiones[#Headers],0))*Terminales[[#This Row],[MONTO]],0)</f>
        <v>23.625</v>
      </c>
      <c r="CC103" s="65">
        <f>IFERROR(IF(AND(Terminales[[#This Row],[CANTIDAD]] = 1,Terminales[[#This Row],[MOVIMIENTO]] = "RENOVACION"),Terminales[[#This Row],[TARIFA_BASICA]]*0.5,),)</f>
        <v>5</v>
      </c>
      <c r="CD103" s="65">
        <f>IF('[1]Resumen TM'!$AW$20 &lt; 0.4,0,Terminales[[#This Row],[MONTO]]*0.02)</f>
        <v>4.7250000000000005</v>
      </c>
      <c r="CE103" s="66">
        <f>Terminales[[#This Row],[COMISIONES TERMINALES]]+Terminales[[#This Row],[COMISIONES RENOVACIONES]]+Terminales[[#This Row],[COMISIONES BONO]]</f>
        <v>33.35</v>
      </c>
      <c r="CF103" s="67">
        <f>(Terminales[[#This Row],[COMISIONES TERMINALES]]*VLOOKUP(Terminales[[#This Row],[LOCALES]],[1]!Calendario[#Data],3,0))/VLOOKUP(Terminales[[#This Row],[LOCALES]],[1]!Calendario[#Data],2,0)</f>
        <v>38.8125</v>
      </c>
      <c r="CG103" s="67">
        <f>(Terminales[[#This Row],[COMISIONES RENOVACIONES]]*VLOOKUP(Terminales[[#This Row],[LOCALES]],[1]!Calendario[#Data],3,0))/VLOOKUP(Terminales[[#This Row],[LOCALES]],[1]!Calendario[#Data],2,0)</f>
        <v>8.2142857142857135</v>
      </c>
      <c r="CH103" s="67">
        <f>(Terminales[[#This Row],[COMISIONES BONO]]*VLOOKUP(Terminales[[#This Row],[LOCALES]],[1]!Calendario[#Data],3,0))/VLOOKUP(Terminales[[#This Row],[LOCALES]],[1]!Calendario[#Data],2,0)</f>
        <v>7.7625000000000011</v>
      </c>
      <c r="CI103" s="67">
        <f>Terminales[[#This Row],[PROY. COM. TERMINALES]]+Terminales[[#This Row],[PROY. COM. RENOV.]]+Terminales[[#This Row],[PROY. COM. 2%]]</f>
        <v>54.789285714285718</v>
      </c>
    </row>
    <row r="104" spans="1:87" x14ac:dyDescent="0.25">
      <c r="A104" s="68">
        <v>44926</v>
      </c>
      <c r="B104" s="68">
        <v>44901</v>
      </c>
      <c r="C104" s="18" t="s">
        <v>291</v>
      </c>
      <c r="D104" s="18" t="s">
        <v>521</v>
      </c>
      <c r="E104" s="18" t="s">
        <v>8017</v>
      </c>
      <c r="F104" s="18" t="s">
        <v>8724</v>
      </c>
      <c r="G104" s="18" t="s">
        <v>292</v>
      </c>
      <c r="H104" s="18" t="s">
        <v>293</v>
      </c>
      <c r="I104" s="18" t="s">
        <v>8725</v>
      </c>
      <c r="J104" s="18" t="s">
        <v>95</v>
      </c>
      <c r="K104" s="18" t="s">
        <v>7970</v>
      </c>
      <c r="L104" s="18" t="s">
        <v>8726</v>
      </c>
      <c r="M104" s="18" t="s">
        <v>8727</v>
      </c>
      <c r="N104" s="18" t="s">
        <v>8728</v>
      </c>
      <c r="O104" s="18" t="s">
        <v>6467</v>
      </c>
      <c r="P104" s="18" t="s">
        <v>8729</v>
      </c>
      <c r="Q104" s="18" t="s">
        <v>7975</v>
      </c>
      <c r="R104" s="18" t="s">
        <v>7976</v>
      </c>
      <c r="S104" s="18" t="s">
        <v>8045</v>
      </c>
      <c r="T104" s="18" t="s">
        <v>8331</v>
      </c>
      <c r="U104" s="18" t="s">
        <v>7996</v>
      </c>
      <c r="V104" s="18" t="s">
        <v>6963</v>
      </c>
      <c r="W104" s="18" t="s">
        <v>95</v>
      </c>
      <c r="X104" s="18" t="s">
        <v>95</v>
      </c>
      <c r="Y104" s="18" t="s">
        <v>7980</v>
      </c>
      <c r="Z104" s="18" t="s">
        <v>6996</v>
      </c>
      <c r="AA104" s="69">
        <v>1</v>
      </c>
      <c r="AB104" s="18">
        <v>160.71429000000001</v>
      </c>
      <c r="AC104" s="18" t="s">
        <v>8730</v>
      </c>
      <c r="AD104" s="18" t="s">
        <v>7982</v>
      </c>
      <c r="AE104" s="18">
        <v>91</v>
      </c>
      <c r="AF104" s="18" t="s">
        <v>7983</v>
      </c>
      <c r="AG104" s="18">
        <v>91</v>
      </c>
      <c r="AH104" s="18" t="s">
        <v>95</v>
      </c>
      <c r="AI104" s="18" t="s">
        <v>8722</v>
      </c>
      <c r="AJ104" s="18" t="s">
        <v>8723</v>
      </c>
      <c r="AK104" s="18">
        <v>10</v>
      </c>
      <c r="AL104" s="18" t="s">
        <v>95</v>
      </c>
      <c r="AM104" s="18" t="s">
        <v>95</v>
      </c>
      <c r="AN104" s="18" t="s">
        <v>7984</v>
      </c>
      <c r="AO104" s="18" t="s">
        <v>139</v>
      </c>
      <c r="AP104" s="20" t="s">
        <v>251</v>
      </c>
      <c r="AQ104" s="18" t="s">
        <v>252</v>
      </c>
      <c r="AR104" s="18" t="s">
        <v>295</v>
      </c>
      <c r="AS104" s="18">
        <v>12</v>
      </c>
      <c r="AT104" s="18" t="s">
        <v>177</v>
      </c>
      <c r="AU104" s="18" t="s">
        <v>90</v>
      </c>
      <c r="AV104" s="18" t="s">
        <v>8333</v>
      </c>
      <c r="AW104" s="18" t="s">
        <v>8334</v>
      </c>
      <c r="AX104" s="18" t="s">
        <v>83</v>
      </c>
      <c r="AY104" s="18" t="s">
        <v>95</v>
      </c>
      <c r="AZ104" s="18" t="s">
        <v>95</v>
      </c>
      <c r="BA104" s="18" t="s">
        <v>95</v>
      </c>
      <c r="BB104" s="18" t="s">
        <v>95</v>
      </c>
      <c r="BC104" s="18" t="s">
        <v>118</v>
      </c>
      <c r="BD104" s="18">
        <v>33</v>
      </c>
      <c r="BE104" s="18" t="s">
        <v>95</v>
      </c>
      <c r="BF104" s="18" t="s">
        <v>95</v>
      </c>
      <c r="BG104" s="18" t="s">
        <v>95</v>
      </c>
      <c r="BH104" s="18" t="s">
        <v>95</v>
      </c>
      <c r="BI104" s="18">
        <v>12</v>
      </c>
      <c r="BJ104" s="18">
        <v>2022</v>
      </c>
      <c r="BK104" s="18" t="s">
        <v>95</v>
      </c>
      <c r="BL104" s="18" t="s">
        <v>95</v>
      </c>
      <c r="BM104" s="18" t="s">
        <v>95</v>
      </c>
      <c r="BN104" s="18" t="s">
        <v>85</v>
      </c>
      <c r="BO104" s="18" t="s">
        <v>86</v>
      </c>
      <c r="BP104" s="18" t="s">
        <v>90</v>
      </c>
      <c r="BQ104" s="18" t="s">
        <v>8002</v>
      </c>
      <c r="BR104" s="18" t="s">
        <v>139</v>
      </c>
      <c r="BS104" s="18" t="s">
        <v>7988</v>
      </c>
      <c r="BT104" s="18" t="s">
        <v>7989</v>
      </c>
      <c r="BU104" s="18" t="s">
        <v>7990</v>
      </c>
      <c r="BV104" s="18" t="str">
        <f>Terminales[[#This Row],[IMEI]]&amp;"SI"</f>
        <v>352286990938382SI</v>
      </c>
      <c r="BW104" s="18" t="str">
        <f>VLOOKUP(Terminales[[#This Row],[OFICINA_USUARIO]],[1]!Locales[#Data],3,0)</f>
        <v>TIENDA RECREO</v>
      </c>
      <c r="BX104" s="18" t="str">
        <f>VLOOKUP(Terminales[[#This Row],[USUARIO_FINAL]],'[1]Personal Ppto vs Real'!$A:$F,6,0)</f>
        <v>CRUZ MONTUFAR KATHERINE ALEJANDRA</v>
      </c>
      <c r="BY104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0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04" s="18">
        <f>DAY(Terminales[[#This Row],[FECHA_FACTURA]])</f>
        <v>6</v>
      </c>
      <c r="CB104" s="65">
        <f>IF(Terminales[[#This Row],[CANTIDAD]] = 1,INDEX([1]!Comisiones[#Data],MATCH("Terminales",[1]!Comisiones[Producto],0),MATCH(Terminales[[#This Row],[TIPO ALTA COMISIONES]],[1]!Comisiones[#Headers],0))*Terminales[[#This Row],[MONTO]],0)</f>
        <v>9.6428574000000005</v>
      </c>
      <c r="CC104" s="65">
        <f>IFERROR(IF(AND(Terminales[[#This Row],[CANTIDAD]] = 1,Terminales[[#This Row],[MOVIMIENTO]] = "RENOVACION"),Terminales[[#This Row],[TARIFA_BASICA]]*0.5,),)</f>
        <v>5</v>
      </c>
      <c r="CD104" s="65">
        <f>IF('[1]Resumen TM'!$AW$20 &lt; 0.4,0,Terminales[[#This Row],[MONTO]]*0.02)</f>
        <v>3.2142858000000003</v>
      </c>
      <c r="CE104" s="66">
        <f>Terminales[[#This Row],[COMISIONES TERMINALES]]+Terminales[[#This Row],[COMISIONES RENOVACIONES]]+Terminales[[#This Row],[COMISIONES BONO]]</f>
        <v>17.857143199999999</v>
      </c>
      <c r="CF104" s="67">
        <f>(Terminales[[#This Row],[COMISIONES TERMINALES]]*VLOOKUP(Terminales[[#This Row],[LOCALES]],[1]!Calendario[#Data],3,0))/VLOOKUP(Terminales[[#This Row],[LOCALES]],[1]!Calendario[#Data],2,0)</f>
        <v>15.864055722580646</v>
      </c>
      <c r="CG104" s="67">
        <f>(Terminales[[#This Row],[COMISIONES RENOVACIONES]]*VLOOKUP(Terminales[[#This Row],[LOCALES]],[1]!Calendario[#Data],3,0))/VLOOKUP(Terminales[[#This Row],[LOCALES]],[1]!Calendario[#Data],2,0)</f>
        <v>8.2258064516129039</v>
      </c>
      <c r="CH104" s="67">
        <f>(Terminales[[#This Row],[COMISIONES BONO]]*VLOOKUP(Terminales[[#This Row],[LOCALES]],[1]!Calendario[#Data],3,0))/VLOOKUP(Terminales[[#This Row],[LOCALES]],[1]!Calendario[#Data],2,0)</f>
        <v>5.2880185741935488</v>
      </c>
      <c r="CI104" s="67">
        <f>Terminales[[#This Row],[PROY. COM. TERMINALES]]+Terminales[[#This Row],[PROY. COM. RENOV.]]+Terminales[[#This Row],[PROY. COM. 2%]]</f>
        <v>29.377880748387099</v>
      </c>
    </row>
    <row r="105" spans="1:87" x14ac:dyDescent="0.25">
      <c r="A105" s="68">
        <v>44926</v>
      </c>
      <c r="B105" s="68">
        <v>44901</v>
      </c>
      <c r="C105" s="18" t="s">
        <v>291</v>
      </c>
      <c r="D105" s="18" t="s">
        <v>521</v>
      </c>
      <c r="E105" s="18" t="s">
        <v>8731</v>
      </c>
      <c r="F105" s="18" t="s">
        <v>8732</v>
      </c>
      <c r="G105" s="18" t="s">
        <v>292</v>
      </c>
      <c r="H105" s="18" t="s">
        <v>494</v>
      </c>
      <c r="I105" s="18" t="s">
        <v>8733</v>
      </c>
      <c r="J105" s="18" t="s">
        <v>95</v>
      </c>
      <c r="K105" s="18" t="s">
        <v>7970</v>
      </c>
      <c r="L105" s="18" t="s">
        <v>8734</v>
      </c>
      <c r="M105" s="18" t="s">
        <v>8735</v>
      </c>
      <c r="N105" s="18" t="s">
        <v>8736</v>
      </c>
      <c r="O105" s="18" t="s">
        <v>338</v>
      </c>
      <c r="P105" s="18" t="s">
        <v>8737</v>
      </c>
      <c r="Q105" s="18" t="s">
        <v>7975</v>
      </c>
      <c r="R105" s="18" t="s">
        <v>7976</v>
      </c>
      <c r="S105" s="18" t="s">
        <v>7977</v>
      </c>
      <c r="T105" s="18" t="s">
        <v>7978</v>
      </c>
      <c r="U105" s="18" t="s">
        <v>7979</v>
      </c>
      <c r="V105" s="18" t="s">
        <v>6963</v>
      </c>
      <c r="W105" s="18" t="s">
        <v>95</v>
      </c>
      <c r="X105" s="18" t="s">
        <v>95</v>
      </c>
      <c r="Y105" s="18" t="s">
        <v>7980</v>
      </c>
      <c r="Z105" s="18" t="s">
        <v>6996</v>
      </c>
      <c r="AA105" s="69">
        <v>1</v>
      </c>
      <c r="AB105" s="18">
        <v>276.78570999999999</v>
      </c>
      <c r="AC105" s="18" t="s">
        <v>8738</v>
      </c>
      <c r="AD105" s="18" t="s">
        <v>7982</v>
      </c>
      <c r="AE105" s="18">
        <v>235</v>
      </c>
      <c r="AF105" s="18" t="s">
        <v>7983</v>
      </c>
      <c r="AG105" s="18">
        <v>235</v>
      </c>
      <c r="AH105" s="18" t="s">
        <v>95</v>
      </c>
      <c r="AI105" s="18" t="s">
        <v>7454</v>
      </c>
      <c r="AJ105" s="18" t="s">
        <v>7511</v>
      </c>
      <c r="AK105" s="18">
        <v>20</v>
      </c>
      <c r="AL105" s="18" t="s">
        <v>95</v>
      </c>
      <c r="AM105" s="18" t="s">
        <v>95</v>
      </c>
      <c r="AN105" s="18" t="s">
        <v>7984</v>
      </c>
      <c r="AO105" s="18" t="s">
        <v>139</v>
      </c>
      <c r="AP105" s="20" t="s">
        <v>665</v>
      </c>
      <c r="AQ105" s="18" t="s">
        <v>666</v>
      </c>
      <c r="AR105" s="18" t="s">
        <v>496</v>
      </c>
      <c r="AS105" s="18">
        <v>1</v>
      </c>
      <c r="AT105" s="18" t="s">
        <v>138</v>
      </c>
      <c r="AU105" s="18" t="s">
        <v>90</v>
      </c>
      <c r="AV105" s="18" t="s">
        <v>7985</v>
      </c>
      <c r="AW105" s="18" t="s">
        <v>7986</v>
      </c>
      <c r="AX105" s="18" t="s">
        <v>83</v>
      </c>
      <c r="AY105" s="18" t="s">
        <v>95</v>
      </c>
      <c r="AZ105" s="18" t="s">
        <v>95</v>
      </c>
      <c r="BA105" s="18" t="s">
        <v>95</v>
      </c>
      <c r="BB105" s="18" t="s">
        <v>95</v>
      </c>
      <c r="BC105" s="18" t="s">
        <v>84</v>
      </c>
      <c r="BD105" s="18" t="s">
        <v>95</v>
      </c>
      <c r="BE105" s="18" t="s">
        <v>8560</v>
      </c>
      <c r="BF105" s="18" t="s">
        <v>8001</v>
      </c>
      <c r="BG105" s="18" t="s">
        <v>95</v>
      </c>
      <c r="BH105" s="18" t="s">
        <v>95</v>
      </c>
      <c r="BI105" s="18">
        <v>12</v>
      </c>
      <c r="BJ105" s="18">
        <v>2022</v>
      </c>
      <c r="BK105" s="18" t="s">
        <v>95</v>
      </c>
      <c r="BL105" s="18" t="s">
        <v>95</v>
      </c>
      <c r="BM105" s="18" t="s">
        <v>95</v>
      </c>
      <c r="BN105" s="18" t="s">
        <v>85</v>
      </c>
      <c r="BO105" s="18" t="s">
        <v>86</v>
      </c>
      <c r="BP105" s="18" t="s">
        <v>90</v>
      </c>
      <c r="BQ105" s="18" t="s">
        <v>7987</v>
      </c>
      <c r="BR105" s="18" t="s">
        <v>139</v>
      </c>
      <c r="BS105" s="18" t="s">
        <v>8003</v>
      </c>
      <c r="BT105" s="18" t="s">
        <v>7989</v>
      </c>
      <c r="BU105" s="18" t="s">
        <v>496</v>
      </c>
      <c r="BV105" s="18" t="str">
        <f>Terminales[[#This Row],[IMEI]]&amp;"SI"</f>
        <v>866184060682387SI</v>
      </c>
      <c r="BW105" s="18" t="str">
        <f>VLOOKUP(Terminales[[#This Row],[OFICINA_USUARIO]],[1]!Locales[#Data],3,0)</f>
        <v>TIENDA AMERICA</v>
      </c>
      <c r="BX105" s="18" t="str">
        <f>VLOOKUP(Terminales[[#This Row],[USUARIO_FINAL]],'[1]Personal Ppto vs Real'!$A:$F,6,0)</f>
        <v>ROSERO CAICEDO JAIRO STEFANO</v>
      </c>
      <c r="BY10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0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05" s="18">
        <f>DAY(Terminales[[#This Row],[FECHA_FACTURA]])</f>
        <v>6</v>
      </c>
      <c r="CB105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105" s="65">
        <f>IFERROR(IF(AND(Terminales[[#This Row],[CANTIDAD]] = 1,Terminales[[#This Row],[MOVIMIENTO]] = "RENOVACION"),Terminales[[#This Row],[TARIFA_BASICA]]*0.5,),)</f>
        <v>10</v>
      </c>
      <c r="CD105" s="65">
        <f>IF('[1]Resumen TM'!$AW$20 &lt; 0.4,0,Terminales[[#This Row],[MONTO]]*0.02)</f>
        <v>5.5357142000000001</v>
      </c>
      <c r="CE105" s="66">
        <f>Terminales[[#This Row],[COMISIONES TERMINALES]]+Terminales[[#This Row],[COMISIONES RENOVACIONES]]+Terminales[[#This Row],[COMISIONES BONO]]</f>
        <v>43.214285200000006</v>
      </c>
      <c r="CF105" s="67">
        <f>(Terminales[[#This Row],[COMISIONES TERMINALES]]*VLOOKUP(Terminales[[#This Row],[LOCALES]],[1]!Calendario[#Data],3,0))/VLOOKUP(Terminales[[#This Row],[LOCALES]],[1]!Calendario[#Data],2,0)</f>
        <v>45.471938071428575</v>
      </c>
      <c r="CG105" s="67">
        <f>(Terminales[[#This Row],[COMISIONES RENOVACIONES]]*VLOOKUP(Terminales[[#This Row],[LOCALES]],[1]!Calendario[#Data],3,0))/VLOOKUP(Terminales[[#This Row],[LOCALES]],[1]!Calendario[#Data],2,0)</f>
        <v>16.428571428571427</v>
      </c>
      <c r="CH105" s="67">
        <f>(Terminales[[#This Row],[COMISIONES BONO]]*VLOOKUP(Terminales[[#This Row],[LOCALES]],[1]!Calendario[#Data],3,0))/VLOOKUP(Terminales[[#This Row],[LOCALES]],[1]!Calendario[#Data],2,0)</f>
        <v>9.094387614285715</v>
      </c>
      <c r="CI105" s="67">
        <f>Terminales[[#This Row],[PROY. COM. TERMINALES]]+Terminales[[#This Row],[PROY. COM. RENOV.]]+Terminales[[#This Row],[PROY. COM. 2%]]</f>
        <v>70.99489711428572</v>
      </c>
    </row>
    <row r="106" spans="1:87" x14ac:dyDescent="0.25">
      <c r="A106" s="68">
        <v>44926</v>
      </c>
      <c r="B106" s="68">
        <v>44901</v>
      </c>
      <c r="C106" s="18" t="s">
        <v>291</v>
      </c>
      <c r="D106" s="18" t="s">
        <v>78</v>
      </c>
      <c r="E106" s="18" t="s">
        <v>1378</v>
      </c>
      <c r="F106" s="18" t="s">
        <v>8739</v>
      </c>
      <c r="G106" s="18" t="s">
        <v>292</v>
      </c>
      <c r="H106" s="18" t="s">
        <v>293</v>
      </c>
      <c r="I106" s="18" t="s">
        <v>8740</v>
      </c>
      <c r="J106" s="18" t="s">
        <v>95</v>
      </c>
      <c r="K106" s="18" t="s">
        <v>7970</v>
      </c>
      <c r="L106" s="18" t="s">
        <v>8741</v>
      </c>
      <c r="M106" s="18" t="s">
        <v>8742</v>
      </c>
      <c r="N106" s="18" t="s">
        <v>8743</v>
      </c>
      <c r="O106" s="18" t="s">
        <v>354</v>
      </c>
      <c r="P106" s="18" t="s">
        <v>8744</v>
      </c>
      <c r="Q106" s="18" t="s">
        <v>7975</v>
      </c>
      <c r="R106" s="18" t="s">
        <v>7976</v>
      </c>
      <c r="S106" s="18" t="s">
        <v>8070</v>
      </c>
      <c r="T106" s="18" t="s">
        <v>8071</v>
      </c>
      <c r="U106" s="18" t="s">
        <v>8012</v>
      </c>
      <c r="V106" s="18" t="s">
        <v>6963</v>
      </c>
      <c r="W106" s="18" t="s">
        <v>95</v>
      </c>
      <c r="X106" s="18" t="s">
        <v>95</v>
      </c>
      <c r="Y106" s="18" t="s">
        <v>7980</v>
      </c>
      <c r="Z106" s="18" t="s">
        <v>6996</v>
      </c>
      <c r="AA106" s="69">
        <v>1</v>
      </c>
      <c r="AB106" s="18">
        <v>321.42856999999998</v>
      </c>
      <c r="AC106" s="18" t="s">
        <v>8745</v>
      </c>
      <c r="AD106" s="18" t="s">
        <v>7982</v>
      </c>
      <c r="AE106" s="18">
        <v>199.79</v>
      </c>
      <c r="AF106" s="18" t="s">
        <v>7983</v>
      </c>
      <c r="AG106" s="18">
        <v>199.79</v>
      </c>
      <c r="AH106" s="18" t="s">
        <v>95</v>
      </c>
      <c r="AI106" s="18" t="s">
        <v>7090</v>
      </c>
      <c r="AJ106" s="18" t="s">
        <v>7091</v>
      </c>
      <c r="AK106" s="18">
        <v>17.03</v>
      </c>
      <c r="AL106" s="18" t="s">
        <v>95</v>
      </c>
      <c r="AM106" s="18" t="s">
        <v>95</v>
      </c>
      <c r="AN106" s="18" t="s">
        <v>7984</v>
      </c>
      <c r="AO106" s="18" t="s">
        <v>139</v>
      </c>
      <c r="AP106" s="20" t="s">
        <v>303</v>
      </c>
      <c r="AQ106" s="18" t="s">
        <v>304</v>
      </c>
      <c r="AR106" s="18" t="s">
        <v>295</v>
      </c>
      <c r="AS106" s="18">
        <v>12</v>
      </c>
      <c r="AT106" s="18" t="s">
        <v>177</v>
      </c>
      <c r="AU106" s="18" t="s">
        <v>90</v>
      </c>
      <c r="AV106" s="18" t="s">
        <v>8072</v>
      </c>
      <c r="AW106" s="18" t="s">
        <v>8073</v>
      </c>
      <c r="AX106" s="18" t="s">
        <v>83</v>
      </c>
      <c r="AY106" s="18" t="s">
        <v>95</v>
      </c>
      <c r="AZ106" s="18" t="s">
        <v>95</v>
      </c>
      <c r="BA106" s="18" t="s">
        <v>95</v>
      </c>
      <c r="BB106" s="18" t="s">
        <v>95</v>
      </c>
      <c r="BC106" s="18" t="s">
        <v>84</v>
      </c>
      <c r="BD106" s="18">
        <v>64.290000000000006</v>
      </c>
      <c r="BE106" s="18" t="s">
        <v>95</v>
      </c>
      <c r="BF106" s="18" t="s">
        <v>95</v>
      </c>
      <c r="BG106" s="18" t="s">
        <v>95</v>
      </c>
      <c r="BH106" s="18" t="s">
        <v>95</v>
      </c>
      <c r="BI106" s="18">
        <v>12</v>
      </c>
      <c r="BJ106" s="18">
        <v>2022</v>
      </c>
      <c r="BK106" s="18" t="s">
        <v>95</v>
      </c>
      <c r="BL106" s="18" t="s">
        <v>95</v>
      </c>
      <c r="BM106" s="18" t="s">
        <v>95</v>
      </c>
      <c r="BN106" s="18" t="s">
        <v>85</v>
      </c>
      <c r="BO106" s="18" t="s">
        <v>86</v>
      </c>
      <c r="BP106" s="18" t="s">
        <v>90</v>
      </c>
      <c r="BQ106" s="18" t="s">
        <v>8002</v>
      </c>
      <c r="BR106" s="18" t="s">
        <v>139</v>
      </c>
      <c r="BS106" s="18" t="s">
        <v>7988</v>
      </c>
      <c r="BT106" s="18" t="s">
        <v>7989</v>
      </c>
      <c r="BU106" s="18" t="s">
        <v>7990</v>
      </c>
      <c r="BV106" s="18" t="str">
        <f>Terminales[[#This Row],[IMEI]]&amp;"SI"</f>
        <v>869113065741424SI</v>
      </c>
      <c r="BW106" s="18" t="str">
        <f>VLOOKUP(Terminales[[#This Row],[OFICINA_USUARIO]],[1]!Locales[#Data],3,0)</f>
        <v>TIENDA RECREO</v>
      </c>
      <c r="BX106" s="18" t="str">
        <f>VLOOKUP(Terminales[[#This Row],[USUARIO_FINAL]],'[1]Personal Ppto vs Real'!$A:$F,6,0)</f>
        <v>CORDOVA GAIBOR JONATHAN HERNAN</v>
      </c>
      <c r="BY10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0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06" s="18">
        <f>DAY(Terminales[[#This Row],[FECHA_FACTURA]])</f>
        <v>6</v>
      </c>
      <c r="CB106" s="65">
        <f>IF(Terminales[[#This Row],[CANTIDAD]] = 1,INDEX([1]!Comisiones[#Data],MATCH("Terminales",[1]!Comisiones[Producto],0),MATCH(Terminales[[#This Row],[TIPO ALTA COMISIONES]],[1]!Comisiones[#Headers],0))*Terminales[[#This Row],[MONTO]],0)</f>
        <v>19.285714199999997</v>
      </c>
      <c r="CC106" s="65">
        <f>IFERROR(IF(AND(Terminales[[#This Row],[CANTIDAD]] = 1,Terminales[[#This Row],[MOVIMIENTO]] = "RENOVACION"),Terminales[[#This Row],[TARIFA_BASICA]]*0.5,),)</f>
        <v>8.5150000000000006</v>
      </c>
      <c r="CD106" s="65">
        <f>IF('[1]Resumen TM'!$AW$20 &lt; 0.4,0,Terminales[[#This Row],[MONTO]]*0.02)</f>
        <v>6.4285714</v>
      </c>
      <c r="CE106" s="66">
        <f>Terminales[[#This Row],[COMISIONES TERMINALES]]+Terminales[[#This Row],[COMISIONES RENOVACIONES]]+Terminales[[#This Row],[COMISIONES BONO]]</f>
        <v>34.229285599999997</v>
      </c>
      <c r="CF106" s="67">
        <f>(Terminales[[#This Row],[COMISIONES TERMINALES]]*VLOOKUP(Terminales[[#This Row],[LOCALES]],[1]!Calendario[#Data],3,0))/VLOOKUP(Terminales[[#This Row],[LOCALES]],[1]!Calendario[#Data],2,0)</f>
        <v>31.728110458064513</v>
      </c>
      <c r="CG106" s="67">
        <f>(Terminales[[#This Row],[COMISIONES RENOVACIONES]]*VLOOKUP(Terminales[[#This Row],[LOCALES]],[1]!Calendario[#Data],3,0))/VLOOKUP(Terminales[[#This Row],[LOCALES]],[1]!Calendario[#Data],2,0)</f>
        <v>14.008548387096775</v>
      </c>
      <c r="CH106" s="67">
        <f>(Terminales[[#This Row],[COMISIONES BONO]]*VLOOKUP(Terminales[[#This Row],[LOCALES]],[1]!Calendario[#Data],3,0))/VLOOKUP(Terminales[[#This Row],[LOCALES]],[1]!Calendario[#Data],2,0)</f>
        <v>10.576036819354838</v>
      </c>
      <c r="CI106" s="67">
        <f>Terminales[[#This Row],[PROY. COM. TERMINALES]]+Terminales[[#This Row],[PROY. COM. RENOV.]]+Terminales[[#This Row],[PROY. COM. 2%]]</f>
        <v>56.312695664516127</v>
      </c>
    </row>
    <row r="107" spans="1:87" x14ac:dyDescent="0.25">
      <c r="A107" s="68">
        <v>44926</v>
      </c>
      <c r="B107" s="68">
        <v>44901</v>
      </c>
      <c r="C107" s="18" t="s">
        <v>291</v>
      </c>
      <c r="D107" s="18" t="s">
        <v>521</v>
      </c>
      <c r="E107" s="18" t="s">
        <v>8017</v>
      </c>
      <c r="F107" s="18" t="s">
        <v>8746</v>
      </c>
      <c r="G107" s="18" t="s">
        <v>292</v>
      </c>
      <c r="H107" s="18" t="s">
        <v>494</v>
      </c>
      <c r="I107" s="18" t="s">
        <v>8747</v>
      </c>
      <c r="J107" s="18" t="s">
        <v>95</v>
      </c>
      <c r="K107" s="18" t="s">
        <v>7970</v>
      </c>
      <c r="L107" s="18" t="s">
        <v>8748</v>
      </c>
      <c r="M107" s="18" t="s">
        <v>8749</v>
      </c>
      <c r="N107" s="18" t="s">
        <v>8750</v>
      </c>
      <c r="O107" s="18" t="s">
        <v>6467</v>
      </c>
      <c r="P107" s="18" t="s">
        <v>8751</v>
      </c>
      <c r="Q107" s="18" t="s">
        <v>7975</v>
      </c>
      <c r="R107" s="18" t="s">
        <v>7976</v>
      </c>
      <c r="S107" s="18" t="s">
        <v>8045</v>
      </c>
      <c r="T107" s="18" t="s">
        <v>8331</v>
      </c>
      <c r="U107" s="18" t="s">
        <v>7996</v>
      </c>
      <c r="V107" s="18" t="s">
        <v>6963</v>
      </c>
      <c r="W107" s="18" t="s">
        <v>95</v>
      </c>
      <c r="X107" s="18" t="s">
        <v>95</v>
      </c>
      <c r="Y107" s="18" t="s">
        <v>7980</v>
      </c>
      <c r="Z107" s="18" t="s">
        <v>6996</v>
      </c>
      <c r="AA107" s="69">
        <v>1</v>
      </c>
      <c r="AB107" s="18">
        <v>118.125</v>
      </c>
      <c r="AC107" s="18" t="s">
        <v>8752</v>
      </c>
      <c r="AD107" s="18" t="s">
        <v>7982</v>
      </c>
      <c r="AE107" s="18">
        <v>91</v>
      </c>
      <c r="AF107" s="18" t="s">
        <v>7983</v>
      </c>
      <c r="AG107" s="18">
        <v>91</v>
      </c>
      <c r="AH107" s="18" t="s">
        <v>95</v>
      </c>
      <c r="AI107" s="18" t="s">
        <v>7055</v>
      </c>
      <c r="AJ107" s="18" t="s">
        <v>7056</v>
      </c>
      <c r="AK107" s="18">
        <v>15</v>
      </c>
      <c r="AL107" s="18" t="s">
        <v>95</v>
      </c>
      <c r="AM107" s="18" t="s">
        <v>95</v>
      </c>
      <c r="AN107" s="18" t="s">
        <v>7984</v>
      </c>
      <c r="AO107" s="18" t="s">
        <v>139</v>
      </c>
      <c r="AP107" s="20" t="s">
        <v>665</v>
      </c>
      <c r="AQ107" s="18" t="s">
        <v>666</v>
      </c>
      <c r="AR107" s="18" t="s">
        <v>496</v>
      </c>
      <c r="AS107" s="18">
        <v>1</v>
      </c>
      <c r="AT107" s="18" t="s">
        <v>138</v>
      </c>
      <c r="AU107" s="18" t="s">
        <v>90</v>
      </c>
      <c r="AV107" s="18" t="s">
        <v>8333</v>
      </c>
      <c r="AW107" s="18" t="s">
        <v>8334</v>
      </c>
      <c r="AX107" s="18" t="s">
        <v>83</v>
      </c>
      <c r="AY107" s="18" t="s">
        <v>95</v>
      </c>
      <c r="AZ107" s="18" t="s">
        <v>95</v>
      </c>
      <c r="BA107" s="18" t="s">
        <v>95</v>
      </c>
      <c r="BB107" s="18" t="s">
        <v>95</v>
      </c>
      <c r="BC107" s="18" t="s">
        <v>215</v>
      </c>
      <c r="BD107" s="18" t="s">
        <v>95</v>
      </c>
      <c r="BE107" s="18" t="s">
        <v>8278</v>
      </c>
      <c r="BF107" s="18" t="s">
        <v>8279</v>
      </c>
      <c r="BG107" s="18" t="s">
        <v>95</v>
      </c>
      <c r="BH107" s="18" t="s">
        <v>95</v>
      </c>
      <c r="BI107" s="18">
        <v>12</v>
      </c>
      <c r="BJ107" s="18">
        <v>2022</v>
      </c>
      <c r="BK107" s="18" t="s">
        <v>95</v>
      </c>
      <c r="BL107" s="18" t="s">
        <v>95</v>
      </c>
      <c r="BM107" s="18" t="s">
        <v>95</v>
      </c>
      <c r="BN107" s="18" t="s">
        <v>85</v>
      </c>
      <c r="BO107" s="18" t="s">
        <v>86</v>
      </c>
      <c r="BP107" s="18" t="s">
        <v>90</v>
      </c>
      <c r="BQ107" s="18" t="s">
        <v>7987</v>
      </c>
      <c r="BR107" s="18" t="s">
        <v>139</v>
      </c>
      <c r="BS107" s="18" t="s">
        <v>8003</v>
      </c>
      <c r="BT107" s="18" t="s">
        <v>7989</v>
      </c>
      <c r="BU107" s="18" t="s">
        <v>496</v>
      </c>
      <c r="BV107" s="18" t="str">
        <f>Terminales[[#This Row],[IMEI]]&amp;"SI"</f>
        <v>352286990937608SI</v>
      </c>
      <c r="BW107" s="18" t="str">
        <f>VLOOKUP(Terminales[[#This Row],[OFICINA_USUARIO]],[1]!Locales[#Data],3,0)</f>
        <v>TIENDA AMERICA</v>
      </c>
      <c r="BX107" s="18" t="str">
        <f>VLOOKUP(Terminales[[#This Row],[USUARIO_FINAL]],'[1]Personal Ppto vs Real'!$A:$F,6,0)</f>
        <v>ROSERO CAICEDO JAIRO STEFANO</v>
      </c>
      <c r="BY10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0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07" s="18">
        <f>DAY(Terminales[[#This Row],[FECHA_FACTURA]])</f>
        <v>6</v>
      </c>
      <c r="CB107" s="65">
        <f>IF(Terminales[[#This Row],[CANTIDAD]] = 1,INDEX([1]!Comisiones[#Data],MATCH("Terminales",[1]!Comisiones[Producto],0),MATCH(Terminales[[#This Row],[TIPO ALTA COMISIONES]],[1]!Comisiones[#Headers],0))*Terminales[[#This Row],[MONTO]],0)</f>
        <v>11.8125</v>
      </c>
      <c r="CC107" s="65">
        <f>IFERROR(IF(AND(Terminales[[#This Row],[CANTIDAD]] = 1,Terminales[[#This Row],[MOVIMIENTO]] = "RENOVACION"),Terminales[[#This Row],[TARIFA_BASICA]]*0.5,),)</f>
        <v>7.5</v>
      </c>
      <c r="CD107" s="65">
        <f>IF('[1]Resumen TM'!$AW$20 &lt; 0.4,0,Terminales[[#This Row],[MONTO]]*0.02)</f>
        <v>2.3625000000000003</v>
      </c>
      <c r="CE107" s="66">
        <f>Terminales[[#This Row],[COMISIONES TERMINALES]]+Terminales[[#This Row],[COMISIONES RENOVACIONES]]+Terminales[[#This Row],[COMISIONES BONO]]</f>
        <v>21.675000000000001</v>
      </c>
      <c r="CF107" s="67">
        <f>(Terminales[[#This Row],[COMISIONES TERMINALES]]*VLOOKUP(Terminales[[#This Row],[LOCALES]],[1]!Calendario[#Data],3,0))/VLOOKUP(Terminales[[#This Row],[LOCALES]],[1]!Calendario[#Data],2,0)</f>
        <v>19.40625</v>
      </c>
      <c r="CG107" s="67">
        <f>(Terminales[[#This Row],[COMISIONES RENOVACIONES]]*VLOOKUP(Terminales[[#This Row],[LOCALES]],[1]!Calendario[#Data],3,0))/VLOOKUP(Terminales[[#This Row],[LOCALES]],[1]!Calendario[#Data],2,0)</f>
        <v>12.321428571428571</v>
      </c>
      <c r="CH107" s="67">
        <f>(Terminales[[#This Row],[COMISIONES BONO]]*VLOOKUP(Terminales[[#This Row],[LOCALES]],[1]!Calendario[#Data],3,0))/VLOOKUP(Terminales[[#This Row],[LOCALES]],[1]!Calendario[#Data],2,0)</f>
        <v>3.8812500000000005</v>
      </c>
      <c r="CI107" s="67">
        <f>Terminales[[#This Row],[PROY. COM. TERMINALES]]+Terminales[[#This Row],[PROY. COM. RENOV.]]+Terminales[[#This Row],[PROY. COM. 2%]]</f>
        <v>35.608928571428571</v>
      </c>
    </row>
    <row r="108" spans="1:87" x14ac:dyDescent="0.25">
      <c r="A108" s="68">
        <v>44926</v>
      </c>
      <c r="B108" s="68">
        <v>44901</v>
      </c>
      <c r="C108" s="18" t="s">
        <v>291</v>
      </c>
      <c r="D108" s="18" t="s">
        <v>78</v>
      </c>
      <c r="E108" s="18" t="s">
        <v>1036</v>
      </c>
      <c r="F108" s="18" t="s">
        <v>8753</v>
      </c>
      <c r="G108" s="18" t="s">
        <v>292</v>
      </c>
      <c r="H108" s="18" t="s">
        <v>293</v>
      </c>
      <c r="I108" s="18" t="s">
        <v>8754</v>
      </c>
      <c r="J108" s="18" t="s">
        <v>95</v>
      </c>
      <c r="K108" s="18" t="s">
        <v>7970</v>
      </c>
      <c r="L108" s="18" t="s">
        <v>8755</v>
      </c>
      <c r="M108" s="18" t="s">
        <v>8756</v>
      </c>
      <c r="N108" s="18" t="s">
        <v>8757</v>
      </c>
      <c r="O108" s="18" t="s">
        <v>2260</v>
      </c>
      <c r="P108" s="18" t="s">
        <v>8758</v>
      </c>
      <c r="Q108" s="18" t="s">
        <v>7975</v>
      </c>
      <c r="R108" s="18" t="s">
        <v>7976</v>
      </c>
      <c r="S108" s="18" t="s">
        <v>8010</v>
      </c>
      <c r="T108" s="18" t="s">
        <v>8011</v>
      </c>
      <c r="U108" s="18" t="s">
        <v>8012</v>
      </c>
      <c r="V108" s="18" t="s">
        <v>6963</v>
      </c>
      <c r="W108" s="18" t="s">
        <v>95</v>
      </c>
      <c r="X108" s="18" t="s">
        <v>95</v>
      </c>
      <c r="Y108" s="18" t="s">
        <v>7980</v>
      </c>
      <c r="Z108" s="18" t="s">
        <v>6996</v>
      </c>
      <c r="AA108" s="69">
        <v>1</v>
      </c>
      <c r="AB108" s="18">
        <v>245.53570999999999</v>
      </c>
      <c r="AC108" s="18" t="s">
        <v>8759</v>
      </c>
      <c r="AD108" s="18" t="s">
        <v>7982</v>
      </c>
      <c r="AE108" s="18">
        <v>168.8</v>
      </c>
      <c r="AF108" s="18" t="s">
        <v>7983</v>
      </c>
      <c r="AG108" s="18">
        <v>168.8</v>
      </c>
      <c r="AH108" s="18" t="s">
        <v>95</v>
      </c>
      <c r="AI108" s="18" t="s">
        <v>227</v>
      </c>
      <c r="AJ108" s="18" t="s">
        <v>426</v>
      </c>
      <c r="AK108" s="18">
        <v>21.42</v>
      </c>
      <c r="AL108" s="18" t="s">
        <v>95</v>
      </c>
      <c r="AM108" s="18" t="s">
        <v>95</v>
      </c>
      <c r="AN108" s="18" t="s">
        <v>7984</v>
      </c>
      <c r="AO108" s="18" t="s">
        <v>139</v>
      </c>
      <c r="AP108" s="20" t="s">
        <v>866</v>
      </c>
      <c r="AQ108" s="18" t="s">
        <v>867</v>
      </c>
      <c r="AR108" s="18" t="s">
        <v>295</v>
      </c>
      <c r="AS108" s="18">
        <v>6</v>
      </c>
      <c r="AT108" s="18" t="s">
        <v>138</v>
      </c>
      <c r="AU108" s="18" t="s">
        <v>90</v>
      </c>
      <c r="AV108" s="18" t="s">
        <v>8014</v>
      </c>
      <c r="AW108" s="18" t="s">
        <v>8015</v>
      </c>
      <c r="AX108" s="18" t="s">
        <v>83</v>
      </c>
      <c r="AY108" s="18" t="s">
        <v>95</v>
      </c>
      <c r="AZ108" s="18" t="s">
        <v>95</v>
      </c>
      <c r="BA108" s="18" t="s">
        <v>95</v>
      </c>
      <c r="BB108" s="18" t="s">
        <v>95</v>
      </c>
      <c r="BC108" s="18" t="s">
        <v>118</v>
      </c>
      <c r="BD108" s="18">
        <v>50</v>
      </c>
      <c r="BE108" s="18" t="s">
        <v>95</v>
      </c>
      <c r="BF108" s="18" t="s">
        <v>95</v>
      </c>
      <c r="BG108" s="18" t="s">
        <v>95</v>
      </c>
      <c r="BH108" s="18" t="s">
        <v>95</v>
      </c>
      <c r="BI108" s="18">
        <v>12</v>
      </c>
      <c r="BJ108" s="18">
        <v>2022</v>
      </c>
      <c r="BK108" s="18" t="s">
        <v>95</v>
      </c>
      <c r="BL108" s="18" t="s">
        <v>95</v>
      </c>
      <c r="BM108" s="18" t="s">
        <v>95</v>
      </c>
      <c r="BN108" s="18" t="s">
        <v>85</v>
      </c>
      <c r="BO108" s="18" t="s">
        <v>86</v>
      </c>
      <c r="BP108" s="18" t="s">
        <v>90</v>
      </c>
      <c r="BQ108" s="18" t="s">
        <v>7987</v>
      </c>
      <c r="BR108" s="18" t="s">
        <v>139</v>
      </c>
      <c r="BS108" s="18" t="s">
        <v>8027</v>
      </c>
      <c r="BT108" s="18" t="s">
        <v>7989</v>
      </c>
      <c r="BU108" s="18" t="s">
        <v>7990</v>
      </c>
      <c r="BV108" s="18" t="str">
        <f>Terminales[[#This Row],[IMEI]]&amp;"SI"</f>
        <v>359694275281712SI</v>
      </c>
      <c r="BW108" s="18" t="str">
        <f>VLOOKUP(Terminales[[#This Row],[OFICINA_USUARIO]],[1]!Locales[#Data],3,0)</f>
        <v>TIENDA AMERICA</v>
      </c>
      <c r="BX108" s="18" t="str">
        <f>VLOOKUP(Terminales[[#This Row],[USUARIO_FINAL]],'[1]Personal Ppto vs Real'!$A:$F,6,0)</f>
        <v>ORTEGA RUIZ GABRIEL ANTONIO</v>
      </c>
      <c r="BY10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0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08" s="18">
        <f>DAY(Terminales[[#This Row],[FECHA_FACTURA]])</f>
        <v>6</v>
      </c>
      <c r="CB108" s="65">
        <f>IF(Terminales[[#This Row],[CANTIDAD]] = 1,INDEX([1]!Comisiones[#Data],MATCH("Terminales",[1]!Comisiones[Producto],0),MATCH(Terminales[[#This Row],[TIPO ALTA COMISIONES]],[1]!Comisiones[#Headers],0))*Terminales[[#This Row],[MONTO]],0)</f>
        <v>19.642856800000001</v>
      </c>
      <c r="CC108" s="65">
        <f>IFERROR(IF(AND(Terminales[[#This Row],[CANTIDAD]] = 1,Terminales[[#This Row],[MOVIMIENTO]] = "RENOVACION"),Terminales[[#This Row],[TARIFA_BASICA]]*0.5,),)</f>
        <v>10.71</v>
      </c>
      <c r="CD108" s="65">
        <f>IF('[1]Resumen TM'!$AW$20 &lt; 0.4,0,Terminales[[#This Row],[MONTO]]*0.02)</f>
        <v>4.9107142000000001</v>
      </c>
      <c r="CE108" s="66">
        <f>Terminales[[#This Row],[COMISIONES TERMINALES]]+Terminales[[#This Row],[COMISIONES RENOVACIONES]]+Terminales[[#This Row],[COMISIONES BONO]]</f>
        <v>35.263570999999999</v>
      </c>
      <c r="CF108" s="67">
        <f>(Terminales[[#This Row],[COMISIONES TERMINALES]]*VLOOKUP(Terminales[[#This Row],[LOCALES]],[1]!Calendario[#Data],3,0))/VLOOKUP(Terminales[[#This Row],[LOCALES]],[1]!Calendario[#Data],2,0)</f>
        <v>32.270407600000006</v>
      </c>
      <c r="CG108" s="67">
        <f>(Terminales[[#This Row],[COMISIONES RENOVACIONES]]*VLOOKUP(Terminales[[#This Row],[LOCALES]],[1]!Calendario[#Data],3,0))/VLOOKUP(Terminales[[#This Row],[LOCALES]],[1]!Calendario[#Data],2,0)</f>
        <v>17.595000000000002</v>
      </c>
      <c r="CH108" s="67">
        <f>(Terminales[[#This Row],[COMISIONES BONO]]*VLOOKUP(Terminales[[#This Row],[LOCALES]],[1]!Calendario[#Data],3,0))/VLOOKUP(Terminales[[#This Row],[LOCALES]],[1]!Calendario[#Data],2,0)</f>
        <v>8.0676019000000014</v>
      </c>
      <c r="CI108" s="67">
        <f>Terminales[[#This Row],[PROY. COM. TERMINALES]]+Terminales[[#This Row],[PROY. COM. RENOV.]]+Terminales[[#This Row],[PROY. COM. 2%]]</f>
        <v>57.933009500000011</v>
      </c>
    </row>
    <row r="109" spans="1:87" x14ac:dyDescent="0.25">
      <c r="A109" s="68">
        <v>44926</v>
      </c>
      <c r="B109" s="68">
        <v>44901</v>
      </c>
      <c r="C109" s="18" t="s">
        <v>291</v>
      </c>
      <c r="D109" s="18" t="s">
        <v>78</v>
      </c>
      <c r="E109" s="18" t="s">
        <v>2241</v>
      </c>
      <c r="F109" s="18" t="s">
        <v>8760</v>
      </c>
      <c r="G109" s="18" t="s">
        <v>292</v>
      </c>
      <c r="H109" s="18" t="s">
        <v>494</v>
      </c>
      <c r="I109" s="18" t="s">
        <v>8761</v>
      </c>
      <c r="J109" s="18" t="s">
        <v>95</v>
      </c>
      <c r="K109" s="18" t="s">
        <v>7970</v>
      </c>
      <c r="L109" s="18" t="s">
        <v>8762</v>
      </c>
      <c r="M109" s="18" t="s">
        <v>8763</v>
      </c>
      <c r="N109" s="18" t="s">
        <v>8764</v>
      </c>
      <c r="O109" s="18" t="s">
        <v>8292</v>
      </c>
      <c r="P109" s="18" t="s">
        <v>8765</v>
      </c>
      <c r="Q109" s="18" t="s">
        <v>7975</v>
      </c>
      <c r="R109" s="18" t="s">
        <v>7976</v>
      </c>
      <c r="S109" s="18" t="s">
        <v>8250</v>
      </c>
      <c r="T109" s="18" t="s">
        <v>8294</v>
      </c>
      <c r="U109" s="18" t="s">
        <v>8059</v>
      </c>
      <c r="V109" s="18" t="s">
        <v>6963</v>
      </c>
      <c r="W109" s="18" t="s">
        <v>95</v>
      </c>
      <c r="X109" s="18" t="s">
        <v>95</v>
      </c>
      <c r="Y109" s="18" t="s">
        <v>7980</v>
      </c>
      <c r="Z109" s="18" t="s">
        <v>6996</v>
      </c>
      <c r="AA109" s="69">
        <v>1</v>
      </c>
      <c r="AB109" s="18">
        <v>1053.57143</v>
      </c>
      <c r="AC109" s="18" t="s">
        <v>8766</v>
      </c>
      <c r="AD109" s="18" t="s">
        <v>7982</v>
      </c>
      <c r="AE109" s="18">
        <v>849.67</v>
      </c>
      <c r="AF109" s="18" t="s">
        <v>7983</v>
      </c>
      <c r="AG109" s="18">
        <v>849.67</v>
      </c>
      <c r="AH109" s="18" t="s">
        <v>95</v>
      </c>
      <c r="AI109" s="18" t="s">
        <v>7127</v>
      </c>
      <c r="AJ109" s="18" t="s">
        <v>7128</v>
      </c>
      <c r="AK109" s="18">
        <v>13.79</v>
      </c>
      <c r="AL109" s="18" t="s">
        <v>95</v>
      </c>
      <c r="AM109" s="18" t="s">
        <v>95</v>
      </c>
      <c r="AN109" s="18" t="s">
        <v>7984</v>
      </c>
      <c r="AO109" s="18" t="s">
        <v>92</v>
      </c>
      <c r="AP109" s="20" t="s">
        <v>120</v>
      </c>
      <c r="AQ109" s="18" t="s">
        <v>121</v>
      </c>
      <c r="AR109" s="18" t="s">
        <v>496</v>
      </c>
      <c r="AS109" s="18">
        <v>1</v>
      </c>
      <c r="AT109" s="18" t="s">
        <v>122</v>
      </c>
      <c r="AU109" s="18" t="s">
        <v>90</v>
      </c>
      <c r="AV109" s="18" t="s">
        <v>8298</v>
      </c>
      <c r="AW109" s="18" t="s">
        <v>8299</v>
      </c>
      <c r="AX109" s="18" t="s">
        <v>83</v>
      </c>
      <c r="AY109" s="18" t="s">
        <v>95</v>
      </c>
      <c r="AZ109" s="18" t="s">
        <v>95</v>
      </c>
      <c r="BA109" s="18" t="s">
        <v>95</v>
      </c>
      <c r="BB109" s="18" t="s">
        <v>95</v>
      </c>
      <c r="BC109" s="18" t="s">
        <v>215</v>
      </c>
      <c r="BD109" s="18" t="s">
        <v>95</v>
      </c>
      <c r="BE109" s="18" t="s">
        <v>8767</v>
      </c>
      <c r="BF109" s="18" t="s">
        <v>8171</v>
      </c>
      <c r="BG109" s="18" t="s">
        <v>95</v>
      </c>
      <c r="BH109" s="18" t="s">
        <v>95</v>
      </c>
      <c r="BI109" s="18">
        <v>12</v>
      </c>
      <c r="BJ109" s="18">
        <v>2022</v>
      </c>
      <c r="BK109" s="18" t="s">
        <v>95</v>
      </c>
      <c r="BL109" s="18" t="s">
        <v>95</v>
      </c>
      <c r="BM109" s="18" t="s">
        <v>95</v>
      </c>
      <c r="BN109" s="18" t="s">
        <v>85</v>
      </c>
      <c r="BO109" s="18" t="s">
        <v>86</v>
      </c>
      <c r="BP109" s="18" t="s">
        <v>90</v>
      </c>
      <c r="BQ109" s="18" t="s">
        <v>8050</v>
      </c>
      <c r="BR109" s="18" t="s">
        <v>92</v>
      </c>
      <c r="BS109" s="18" t="s">
        <v>8003</v>
      </c>
      <c r="BT109" s="18" t="s">
        <v>7989</v>
      </c>
      <c r="BU109" s="18" t="s">
        <v>496</v>
      </c>
      <c r="BV109" s="18" t="str">
        <f>Terminales[[#This Row],[IMEI]]&amp;"SI"</f>
        <v>353514358180134SI</v>
      </c>
      <c r="BW109" s="18" t="str">
        <f>VLOOKUP(Terminales[[#This Row],[OFICINA_USUARIO]],[1]!Locales[#Data],3,0)</f>
        <v>TIENDA MACHALA</v>
      </c>
      <c r="BX109" s="18" t="str">
        <f>VLOOKUP(Terminales[[#This Row],[USUARIO_FINAL]],'[1]Personal Ppto vs Real'!$A:$F,6,0)</f>
        <v>ARROBO VICENTE YADIRA ESPERANZA</v>
      </c>
      <c r="BY10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0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09" s="18">
        <f>DAY(Terminales[[#This Row],[FECHA_FACTURA]])</f>
        <v>6</v>
      </c>
      <c r="CB109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109" s="65">
        <f>IFERROR(IF(AND(Terminales[[#This Row],[CANTIDAD]] = 1,Terminales[[#This Row],[MOVIMIENTO]] = "RENOVACION"),Terminales[[#This Row],[TARIFA_BASICA]]*0.5,),)</f>
        <v>6.8949999999999996</v>
      </c>
      <c r="CD109" s="65">
        <f>IF('[1]Resumen TM'!$AW$20 &lt; 0.4,0,Terminales[[#This Row],[MONTO]]*0.02)</f>
        <v>21.071428600000001</v>
      </c>
      <c r="CE109" s="66">
        <f>Terminales[[#This Row],[COMISIONES TERMINALES]]+Terminales[[#This Row],[COMISIONES RENOVACIONES]]+Terminales[[#This Row],[COMISIONES BONO]]</f>
        <v>133.32357160000001</v>
      </c>
      <c r="CF109" s="67">
        <f>(Terminales[[#This Row],[COMISIONES TERMINALES]]*VLOOKUP(Terminales[[#This Row],[LOCALES]],[1]!Calendario[#Data],3,0))/VLOOKUP(Terminales[[#This Row],[LOCALES]],[1]!Calendario[#Data],2,0)</f>
        <v>170.75123175862069</v>
      </c>
      <c r="CG109" s="67">
        <f>(Terminales[[#This Row],[COMISIONES RENOVACIONES]]*VLOOKUP(Terminales[[#This Row],[LOCALES]],[1]!Calendario[#Data],3,0))/VLOOKUP(Terminales[[#This Row],[LOCALES]],[1]!Calendario[#Data],2,0)</f>
        <v>11.174655172413793</v>
      </c>
      <c r="CH109" s="67">
        <f>(Terminales[[#This Row],[COMISIONES BONO]]*VLOOKUP(Terminales[[#This Row],[LOCALES]],[1]!Calendario[#Data],3,0))/VLOOKUP(Terminales[[#This Row],[LOCALES]],[1]!Calendario[#Data],2,0)</f>
        <v>34.150246351724135</v>
      </c>
      <c r="CI109" s="67">
        <f>Terminales[[#This Row],[PROY. COM. TERMINALES]]+Terminales[[#This Row],[PROY. COM. RENOV.]]+Terminales[[#This Row],[PROY. COM. 2%]]</f>
        <v>216.07613328275863</v>
      </c>
    </row>
    <row r="110" spans="1:87" x14ac:dyDescent="0.25">
      <c r="A110" s="68">
        <v>44926</v>
      </c>
      <c r="B110" s="68">
        <v>44901</v>
      </c>
      <c r="C110" s="18" t="s">
        <v>291</v>
      </c>
      <c r="D110" s="18" t="s">
        <v>521</v>
      </c>
      <c r="E110" s="18" t="s">
        <v>8017</v>
      </c>
      <c r="F110" s="18" t="s">
        <v>8768</v>
      </c>
      <c r="G110" s="18" t="s">
        <v>292</v>
      </c>
      <c r="H110" s="18" t="s">
        <v>494</v>
      </c>
      <c r="I110" s="18" t="s">
        <v>8769</v>
      </c>
      <c r="J110" s="18" t="s">
        <v>95</v>
      </c>
      <c r="K110" s="18" t="s">
        <v>7970</v>
      </c>
      <c r="L110" s="18" t="s">
        <v>8770</v>
      </c>
      <c r="M110" s="18" t="s">
        <v>646</v>
      </c>
      <c r="N110" s="18" t="s">
        <v>8771</v>
      </c>
      <c r="O110" s="18" t="s">
        <v>354</v>
      </c>
      <c r="P110" s="18" t="s">
        <v>8772</v>
      </c>
      <c r="Q110" s="18" t="s">
        <v>7975</v>
      </c>
      <c r="R110" s="18" t="s">
        <v>7976</v>
      </c>
      <c r="S110" s="18" t="s">
        <v>8070</v>
      </c>
      <c r="T110" s="18" t="s">
        <v>8071</v>
      </c>
      <c r="U110" s="18" t="s">
        <v>8012</v>
      </c>
      <c r="V110" s="18" t="s">
        <v>6963</v>
      </c>
      <c r="W110" s="18" t="s">
        <v>95</v>
      </c>
      <c r="X110" s="18" t="s">
        <v>95</v>
      </c>
      <c r="Y110" s="18" t="s">
        <v>7980</v>
      </c>
      <c r="Z110" s="18" t="s">
        <v>6996</v>
      </c>
      <c r="AA110" s="69">
        <v>1</v>
      </c>
      <c r="AB110" s="18">
        <v>201.25</v>
      </c>
      <c r="AC110" s="18" t="s">
        <v>8773</v>
      </c>
      <c r="AD110" s="18" t="s">
        <v>7982</v>
      </c>
      <c r="AE110" s="18">
        <v>199.79</v>
      </c>
      <c r="AF110" s="18" t="s">
        <v>7983</v>
      </c>
      <c r="AG110" s="18">
        <v>199.79</v>
      </c>
      <c r="AH110" s="18" t="s">
        <v>95</v>
      </c>
      <c r="AI110" s="18" t="s">
        <v>7055</v>
      </c>
      <c r="AJ110" s="18" t="s">
        <v>7056</v>
      </c>
      <c r="AK110" s="18">
        <v>15</v>
      </c>
      <c r="AL110" s="18" t="s">
        <v>95</v>
      </c>
      <c r="AM110" s="18" t="s">
        <v>95</v>
      </c>
      <c r="AN110" s="18" t="s">
        <v>7984</v>
      </c>
      <c r="AO110" s="18" t="s">
        <v>92</v>
      </c>
      <c r="AP110" s="20" t="s">
        <v>651</v>
      </c>
      <c r="AQ110" s="18" t="s">
        <v>652</v>
      </c>
      <c r="AR110" s="18" t="s">
        <v>496</v>
      </c>
      <c r="AS110" s="18">
        <v>1</v>
      </c>
      <c r="AT110" s="18" t="s">
        <v>122</v>
      </c>
      <c r="AU110" s="18" t="s">
        <v>90</v>
      </c>
      <c r="AV110" s="18" t="s">
        <v>8072</v>
      </c>
      <c r="AW110" s="18" t="s">
        <v>8073</v>
      </c>
      <c r="AX110" s="18" t="s">
        <v>83</v>
      </c>
      <c r="AY110" s="18" t="s">
        <v>95</v>
      </c>
      <c r="AZ110" s="18" t="s">
        <v>95</v>
      </c>
      <c r="BA110" s="18" t="s">
        <v>95</v>
      </c>
      <c r="BB110" s="18" t="s">
        <v>95</v>
      </c>
      <c r="BC110" s="18" t="s">
        <v>118</v>
      </c>
      <c r="BD110" s="18" t="s">
        <v>95</v>
      </c>
      <c r="BE110" s="18" t="s">
        <v>8300</v>
      </c>
      <c r="BF110" s="18" t="s">
        <v>8064</v>
      </c>
      <c r="BG110" s="18" t="s">
        <v>95</v>
      </c>
      <c r="BH110" s="18" t="s">
        <v>95</v>
      </c>
      <c r="BI110" s="18">
        <v>12</v>
      </c>
      <c r="BJ110" s="18">
        <v>2022</v>
      </c>
      <c r="BK110" s="18" t="s">
        <v>95</v>
      </c>
      <c r="BL110" s="18" t="s">
        <v>95</v>
      </c>
      <c r="BM110" s="18" t="s">
        <v>95</v>
      </c>
      <c r="BN110" s="18" t="s">
        <v>85</v>
      </c>
      <c r="BO110" s="18" t="s">
        <v>86</v>
      </c>
      <c r="BP110" s="18" t="s">
        <v>90</v>
      </c>
      <c r="BQ110" s="18" t="s">
        <v>8050</v>
      </c>
      <c r="BR110" s="18" t="s">
        <v>92</v>
      </c>
      <c r="BS110" s="18" t="s">
        <v>8003</v>
      </c>
      <c r="BT110" s="18" t="s">
        <v>7989</v>
      </c>
      <c r="BU110" s="18" t="s">
        <v>496</v>
      </c>
      <c r="BV110" s="18" t="str">
        <f>Terminales[[#This Row],[IMEI]]&amp;"SI"</f>
        <v>869113065859663SI</v>
      </c>
      <c r="BW110" s="18" t="str">
        <f>VLOOKUP(Terminales[[#This Row],[OFICINA_USUARIO]],[1]!Locales[#Data],3,0)</f>
        <v>TIENDA MACHALA</v>
      </c>
      <c r="BX110" s="18" t="str">
        <f>VLOOKUP(Terminales[[#This Row],[USUARIO_FINAL]],'[1]Personal Ppto vs Real'!$A:$F,6,0)</f>
        <v>SANCHEZ SARITAMA JOEL LUIS</v>
      </c>
      <c r="BY11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1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10" s="18">
        <f>DAY(Terminales[[#This Row],[FECHA_FACTURA]])</f>
        <v>6</v>
      </c>
      <c r="CB110" s="65">
        <f>IF(Terminales[[#This Row],[CANTIDAD]] = 1,INDEX([1]!Comisiones[#Data],MATCH("Terminales",[1]!Comisiones[Producto],0),MATCH(Terminales[[#This Row],[TIPO ALTA COMISIONES]],[1]!Comisiones[#Headers],0))*Terminales[[#This Row],[MONTO]],0)</f>
        <v>20.125</v>
      </c>
      <c r="CC110" s="65">
        <f>IFERROR(IF(AND(Terminales[[#This Row],[CANTIDAD]] = 1,Terminales[[#This Row],[MOVIMIENTO]] = "RENOVACION"),Terminales[[#This Row],[TARIFA_BASICA]]*0.5,),)</f>
        <v>7.5</v>
      </c>
      <c r="CD110" s="65">
        <f>IF('[1]Resumen TM'!$AW$20 &lt; 0.4,0,Terminales[[#This Row],[MONTO]]*0.02)</f>
        <v>4.0250000000000004</v>
      </c>
      <c r="CE110" s="66">
        <f>Terminales[[#This Row],[COMISIONES TERMINALES]]+Terminales[[#This Row],[COMISIONES RENOVACIONES]]+Terminales[[#This Row],[COMISIONES BONO]]</f>
        <v>31.65</v>
      </c>
      <c r="CF110" s="67">
        <f>(Terminales[[#This Row],[COMISIONES TERMINALES]]*VLOOKUP(Terminales[[#This Row],[LOCALES]],[1]!Calendario[#Data],3,0))/VLOOKUP(Terminales[[#This Row],[LOCALES]],[1]!Calendario[#Data],2,0)</f>
        <v>32.616379310344826</v>
      </c>
      <c r="CG110" s="67">
        <f>(Terminales[[#This Row],[COMISIONES RENOVACIONES]]*VLOOKUP(Terminales[[#This Row],[LOCALES]],[1]!Calendario[#Data],3,0))/VLOOKUP(Terminales[[#This Row],[LOCALES]],[1]!Calendario[#Data],2,0)</f>
        <v>12.155172413793103</v>
      </c>
      <c r="CH110" s="67">
        <f>(Terminales[[#This Row],[COMISIONES BONO]]*VLOOKUP(Terminales[[#This Row],[LOCALES]],[1]!Calendario[#Data],3,0))/VLOOKUP(Terminales[[#This Row],[LOCALES]],[1]!Calendario[#Data],2,0)</f>
        <v>6.5232758620689655</v>
      </c>
      <c r="CI110" s="67">
        <f>Terminales[[#This Row],[PROY. COM. TERMINALES]]+Terminales[[#This Row],[PROY. COM. RENOV.]]+Terminales[[#This Row],[PROY. COM. 2%]]</f>
        <v>51.294827586206893</v>
      </c>
    </row>
    <row r="111" spans="1:87" x14ac:dyDescent="0.25">
      <c r="A111" s="68">
        <v>44926</v>
      </c>
      <c r="B111" s="68">
        <v>44901</v>
      </c>
      <c r="C111" s="18" t="s">
        <v>291</v>
      </c>
      <c r="D111" s="18" t="s">
        <v>78</v>
      </c>
      <c r="E111" s="18" t="s">
        <v>231</v>
      </c>
      <c r="F111" s="18" t="s">
        <v>8774</v>
      </c>
      <c r="G111" s="18" t="s">
        <v>292</v>
      </c>
      <c r="H111" s="18" t="s">
        <v>494</v>
      </c>
      <c r="I111" s="18" t="s">
        <v>8775</v>
      </c>
      <c r="J111" s="18" t="s">
        <v>95</v>
      </c>
      <c r="K111" s="18" t="s">
        <v>7970</v>
      </c>
      <c r="L111" s="18" t="s">
        <v>8776</v>
      </c>
      <c r="M111" s="18" t="s">
        <v>8777</v>
      </c>
      <c r="N111" s="18" t="s">
        <v>8778</v>
      </c>
      <c r="O111" s="18" t="s">
        <v>354</v>
      </c>
      <c r="P111" s="18" t="s">
        <v>8779</v>
      </c>
      <c r="Q111" s="18" t="s">
        <v>7975</v>
      </c>
      <c r="R111" s="18" t="s">
        <v>7976</v>
      </c>
      <c r="S111" s="18" t="s">
        <v>8070</v>
      </c>
      <c r="T111" s="18" t="s">
        <v>8071</v>
      </c>
      <c r="U111" s="18" t="s">
        <v>8012</v>
      </c>
      <c r="V111" s="18" t="s">
        <v>6963</v>
      </c>
      <c r="W111" s="18" t="s">
        <v>95</v>
      </c>
      <c r="X111" s="18" t="s">
        <v>95</v>
      </c>
      <c r="Y111" s="18" t="s">
        <v>7980</v>
      </c>
      <c r="Z111" s="18" t="s">
        <v>6996</v>
      </c>
      <c r="AA111" s="69">
        <v>1</v>
      </c>
      <c r="AB111" s="18">
        <v>205.35713999999999</v>
      </c>
      <c r="AC111" s="18" t="s">
        <v>8780</v>
      </c>
      <c r="AD111" s="18" t="s">
        <v>7982</v>
      </c>
      <c r="AE111" s="18">
        <v>199.79</v>
      </c>
      <c r="AF111" s="18" t="s">
        <v>7983</v>
      </c>
      <c r="AG111" s="18">
        <v>199.79</v>
      </c>
      <c r="AH111" s="18" t="s">
        <v>95</v>
      </c>
      <c r="AI111" s="18" t="s">
        <v>3972</v>
      </c>
      <c r="AJ111" s="18" t="s">
        <v>3973</v>
      </c>
      <c r="AK111" s="18">
        <v>26.78</v>
      </c>
      <c r="AL111" s="18" t="s">
        <v>95</v>
      </c>
      <c r="AM111" s="18" t="s">
        <v>95</v>
      </c>
      <c r="AN111" s="18" t="s">
        <v>7984</v>
      </c>
      <c r="AO111" s="18" t="s">
        <v>139</v>
      </c>
      <c r="AP111" s="20" t="s">
        <v>280</v>
      </c>
      <c r="AQ111" s="18" t="s">
        <v>281</v>
      </c>
      <c r="AR111" s="18" t="s">
        <v>496</v>
      </c>
      <c r="AS111" s="18">
        <v>1</v>
      </c>
      <c r="AT111" s="18" t="s">
        <v>235</v>
      </c>
      <c r="AU111" s="18" t="s">
        <v>90</v>
      </c>
      <c r="AV111" s="18" t="s">
        <v>8072</v>
      </c>
      <c r="AW111" s="18" t="s">
        <v>8073</v>
      </c>
      <c r="AX111" s="18" t="s">
        <v>83</v>
      </c>
      <c r="AY111" s="18" t="s">
        <v>95</v>
      </c>
      <c r="AZ111" s="18" t="s">
        <v>95</v>
      </c>
      <c r="BA111" s="18" t="s">
        <v>95</v>
      </c>
      <c r="BB111" s="18" t="s">
        <v>95</v>
      </c>
      <c r="BC111" s="18" t="s">
        <v>84</v>
      </c>
      <c r="BD111" s="18" t="s">
        <v>95</v>
      </c>
      <c r="BE111" s="18" t="s">
        <v>8170</v>
      </c>
      <c r="BF111" s="18" t="s">
        <v>8064</v>
      </c>
      <c r="BG111" s="18" t="s">
        <v>95</v>
      </c>
      <c r="BH111" s="18" t="s">
        <v>95</v>
      </c>
      <c r="BI111" s="18">
        <v>12</v>
      </c>
      <c r="BJ111" s="18">
        <v>2022</v>
      </c>
      <c r="BK111" s="18" t="s">
        <v>95</v>
      </c>
      <c r="BL111" s="18" t="s">
        <v>95</v>
      </c>
      <c r="BM111" s="18" t="s">
        <v>95</v>
      </c>
      <c r="BN111" s="18" t="s">
        <v>85</v>
      </c>
      <c r="BO111" s="18" t="s">
        <v>86</v>
      </c>
      <c r="BP111" s="18" t="s">
        <v>90</v>
      </c>
      <c r="BQ111" s="18" t="s">
        <v>8016</v>
      </c>
      <c r="BR111" s="18" t="s">
        <v>139</v>
      </c>
      <c r="BS111" s="18" t="s">
        <v>8003</v>
      </c>
      <c r="BT111" s="18" t="s">
        <v>7989</v>
      </c>
      <c r="BU111" s="18" t="s">
        <v>496</v>
      </c>
      <c r="BV111" s="18" t="str">
        <f>Terminales[[#This Row],[IMEI]]&amp;"SI"</f>
        <v>869113065867187SI</v>
      </c>
      <c r="BW111" s="18" t="str">
        <f>VLOOKUP(Terminales[[#This Row],[OFICINA_USUARIO]],[1]!Locales[#Data],3,0)</f>
        <v>TIENDA CONDADO</v>
      </c>
      <c r="BX111" s="18" t="str">
        <f>VLOOKUP(Terminales[[#This Row],[USUARIO_FINAL]],'[1]Personal Ppto vs Real'!$A:$F,6,0)</f>
        <v>GUACHAMIN CAZA HUGO ADRIAN</v>
      </c>
      <c r="BY11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1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11" s="18">
        <f>DAY(Terminales[[#This Row],[FECHA_FACTURA]])</f>
        <v>6</v>
      </c>
      <c r="CB111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111" s="65">
        <f>IFERROR(IF(AND(Terminales[[#This Row],[CANTIDAD]] = 1,Terminales[[#This Row],[MOVIMIENTO]] = "RENOVACION"),Terminales[[#This Row],[TARIFA_BASICA]]*0.5,),)</f>
        <v>13.39</v>
      </c>
      <c r="CD111" s="65">
        <f>IF('[1]Resumen TM'!$AW$20 &lt; 0.4,0,Terminales[[#This Row],[MONTO]]*0.02)</f>
        <v>4.1071428000000001</v>
      </c>
      <c r="CE111" s="66">
        <f>Terminales[[#This Row],[COMISIONES TERMINALES]]+Terminales[[#This Row],[COMISIONES RENOVACIONES]]+Terminales[[#This Row],[COMISIONES BONO]]</f>
        <v>38.032856799999998</v>
      </c>
      <c r="CF111" s="67">
        <f>(Terminales[[#This Row],[COMISIONES TERMINALES]]*VLOOKUP(Terminales[[#This Row],[LOCALES]],[1]!Calendario[#Data],3,0))/VLOOKUP(Terminales[[#This Row],[LOCALES]],[1]!Calendario[#Data],2,0)</f>
        <v>33.784561741935484</v>
      </c>
      <c r="CG111" s="67">
        <f>(Terminales[[#This Row],[COMISIONES RENOVACIONES]]*VLOOKUP(Terminales[[#This Row],[LOCALES]],[1]!Calendario[#Data],3,0))/VLOOKUP(Terminales[[#This Row],[LOCALES]],[1]!Calendario[#Data],2,0)</f>
        <v>22.028709677419354</v>
      </c>
      <c r="CH111" s="67">
        <f>(Terminales[[#This Row],[COMISIONES BONO]]*VLOOKUP(Terminales[[#This Row],[LOCALES]],[1]!Calendario[#Data],3,0))/VLOOKUP(Terminales[[#This Row],[LOCALES]],[1]!Calendario[#Data],2,0)</f>
        <v>6.7569123483870968</v>
      </c>
      <c r="CI111" s="67">
        <f>Terminales[[#This Row],[PROY. COM. TERMINALES]]+Terminales[[#This Row],[PROY. COM. RENOV.]]+Terminales[[#This Row],[PROY. COM. 2%]]</f>
        <v>62.570183767741931</v>
      </c>
    </row>
    <row r="112" spans="1:87" x14ac:dyDescent="0.25">
      <c r="A112" s="68">
        <v>44926</v>
      </c>
      <c r="B112" s="68">
        <v>44901</v>
      </c>
      <c r="C112" s="18" t="s">
        <v>291</v>
      </c>
      <c r="D112" s="18" t="s">
        <v>78</v>
      </c>
      <c r="E112" s="18" t="s">
        <v>2241</v>
      </c>
      <c r="F112" s="18" t="s">
        <v>8781</v>
      </c>
      <c r="G112" s="18" t="s">
        <v>292</v>
      </c>
      <c r="H112" s="18" t="s">
        <v>293</v>
      </c>
      <c r="I112" s="18" t="s">
        <v>8782</v>
      </c>
      <c r="J112" s="18" t="s">
        <v>95</v>
      </c>
      <c r="K112" s="18" t="s">
        <v>7970</v>
      </c>
      <c r="L112" s="18" t="s">
        <v>8783</v>
      </c>
      <c r="M112" s="18" t="s">
        <v>8784</v>
      </c>
      <c r="N112" s="18" t="s">
        <v>8785</v>
      </c>
      <c r="O112" s="18" t="s">
        <v>338</v>
      </c>
      <c r="P112" s="18" t="s">
        <v>8786</v>
      </c>
      <c r="Q112" s="18" t="s">
        <v>7975</v>
      </c>
      <c r="R112" s="18" t="s">
        <v>7976</v>
      </c>
      <c r="S112" s="18" t="s">
        <v>7977</v>
      </c>
      <c r="T112" s="18" t="s">
        <v>7978</v>
      </c>
      <c r="U112" s="18" t="s">
        <v>7979</v>
      </c>
      <c r="V112" s="18" t="s">
        <v>6963</v>
      </c>
      <c r="W112" s="18" t="s">
        <v>95</v>
      </c>
      <c r="X112" s="18" t="s">
        <v>95</v>
      </c>
      <c r="Y112" s="18" t="s">
        <v>7980</v>
      </c>
      <c r="Z112" s="18" t="s">
        <v>6996</v>
      </c>
      <c r="AA112" s="69">
        <v>1</v>
      </c>
      <c r="AB112" s="18">
        <v>464.28570999999999</v>
      </c>
      <c r="AC112" s="18" t="s">
        <v>8787</v>
      </c>
      <c r="AD112" s="18" t="s">
        <v>7982</v>
      </c>
      <c r="AE112" s="18">
        <v>235</v>
      </c>
      <c r="AF112" s="18" t="s">
        <v>7983</v>
      </c>
      <c r="AG112" s="18">
        <v>235</v>
      </c>
      <c r="AH112" s="18" t="s">
        <v>95</v>
      </c>
      <c r="AI112" s="18" t="s">
        <v>112</v>
      </c>
      <c r="AJ112" s="18" t="s">
        <v>781</v>
      </c>
      <c r="AK112" s="18">
        <v>17.850000000000001</v>
      </c>
      <c r="AL112" s="18" t="s">
        <v>95</v>
      </c>
      <c r="AM112" s="18" t="s">
        <v>95</v>
      </c>
      <c r="AN112" s="18" t="s">
        <v>7984</v>
      </c>
      <c r="AO112" s="18" t="s">
        <v>92</v>
      </c>
      <c r="AP112" s="20" t="s">
        <v>880</v>
      </c>
      <c r="AQ112" s="18" t="s">
        <v>881</v>
      </c>
      <c r="AR112" s="18" t="s">
        <v>295</v>
      </c>
      <c r="AS112" s="18">
        <v>18</v>
      </c>
      <c r="AT112" s="18" t="s">
        <v>91</v>
      </c>
      <c r="AU112" s="18" t="s">
        <v>90</v>
      </c>
      <c r="AV112" s="18" t="s">
        <v>7985</v>
      </c>
      <c r="AW112" s="18" t="s">
        <v>7986</v>
      </c>
      <c r="AX112" s="18" t="s">
        <v>83</v>
      </c>
      <c r="AY112" s="18" t="s">
        <v>95</v>
      </c>
      <c r="AZ112" s="18" t="s">
        <v>95</v>
      </c>
      <c r="BA112" s="18" t="s">
        <v>95</v>
      </c>
      <c r="BB112" s="18" t="s">
        <v>95</v>
      </c>
      <c r="BC112" s="18" t="s">
        <v>84</v>
      </c>
      <c r="BD112" s="18">
        <v>93</v>
      </c>
      <c r="BE112" s="18" t="s">
        <v>95</v>
      </c>
      <c r="BF112" s="18" t="s">
        <v>95</v>
      </c>
      <c r="BG112" s="18" t="s">
        <v>95</v>
      </c>
      <c r="BH112" s="18" t="s">
        <v>95</v>
      </c>
      <c r="BI112" s="18">
        <v>12</v>
      </c>
      <c r="BJ112" s="18">
        <v>2022</v>
      </c>
      <c r="BK112" s="18" t="s">
        <v>95</v>
      </c>
      <c r="BL112" s="18" t="s">
        <v>95</v>
      </c>
      <c r="BM112" s="18" t="s">
        <v>95</v>
      </c>
      <c r="BN112" s="18" t="s">
        <v>85</v>
      </c>
      <c r="BO112" s="18" t="s">
        <v>86</v>
      </c>
      <c r="BP112" s="18" t="s">
        <v>90</v>
      </c>
      <c r="BQ112" s="18" t="s">
        <v>8106</v>
      </c>
      <c r="BR112" s="18" t="s">
        <v>92</v>
      </c>
      <c r="BS112" s="18" t="s">
        <v>8329</v>
      </c>
      <c r="BT112" s="18" t="s">
        <v>7989</v>
      </c>
      <c r="BU112" s="18" t="s">
        <v>7990</v>
      </c>
      <c r="BV112" s="18" t="str">
        <f>Terminales[[#This Row],[IMEI]]&amp;"SI"</f>
        <v>866184060678732SI</v>
      </c>
      <c r="BW112" s="18" t="str">
        <f>VLOOKUP(Terminales[[#This Row],[OFICINA_USUARIO]],[1]!Locales[#Data],3,0)</f>
        <v>TIENDA CUENCA CENTRO</v>
      </c>
      <c r="BX112" s="18" t="str">
        <f>VLOOKUP(Terminales[[#This Row],[USUARIO_FINAL]],'[1]Personal Ppto vs Real'!$A:$F,6,0)</f>
        <v>LUNA JACHO ANDREA GABRIELA</v>
      </c>
      <c r="BY11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1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18</v>
      </c>
      <c r="CA112" s="18">
        <f>DAY(Terminales[[#This Row],[FECHA_FACTURA]])</f>
        <v>6</v>
      </c>
      <c r="CB112" s="65">
        <f>IF(Terminales[[#This Row],[CANTIDAD]] = 1,INDEX([1]!Comisiones[#Data],MATCH("Terminales",[1]!Comisiones[Producto],0),MATCH(Terminales[[#This Row],[TIPO ALTA COMISIONES]],[1]!Comisiones[#Headers],0))*Terminales[[#This Row],[MONTO]],0)</f>
        <v>13.9285713</v>
      </c>
      <c r="CC112" s="65">
        <f>IFERROR(IF(AND(Terminales[[#This Row],[CANTIDAD]] = 1,Terminales[[#This Row],[MOVIMIENTO]] = "RENOVACION"),Terminales[[#This Row],[TARIFA_BASICA]]*0.5,),)</f>
        <v>8.9250000000000007</v>
      </c>
      <c r="CD112" s="65">
        <f>IF('[1]Resumen TM'!$AW$20 &lt; 0.4,0,Terminales[[#This Row],[MONTO]]*0.02)</f>
        <v>9.2857141999999993</v>
      </c>
      <c r="CE112" s="66">
        <f>Terminales[[#This Row],[COMISIONES TERMINALES]]+Terminales[[#This Row],[COMISIONES RENOVACIONES]]+Terminales[[#This Row],[COMISIONES BONO]]</f>
        <v>32.1392855</v>
      </c>
      <c r="CF112" s="67">
        <f>(Terminales[[#This Row],[COMISIONES TERMINALES]]*VLOOKUP(Terminales[[#This Row],[LOCALES]],[1]!Calendario[#Data],3,0))/VLOOKUP(Terminales[[#This Row],[LOCALES]],[1]!Calendario[#Data],2,0)</f>
        <v>22.573891417241381</v>
      </c>
      <c r="CG112" s="67">
        <f>(Terminales[[#This Row],[COMISIONES RENOVACIONES]]*VLOOKUP(Terminales[[#This Row],[LOCALES]],[1]!Calendario[#Data],3,0))/VLOOKUP(Terminales[[#This Row],[LOCALES]],[1]!Calendario[#Data],2,0)</f>
        <v>14.464655172413794</v>
      </c>
      <c r="CH112" s="67">
        <f>(Terminales[[#This Row],[COMISIONES BONO]]*VLOOKUP(Terminales[[#This Row],[LOCALES]],[1]!Calendario[#Data],3,0))/VLOOKUP(Terminales[[#This Row],[LOCALES]],[1]!Calendario[#Data],2,0)</f>
        <v>15.049260944827585</v>
      </c>
      <c r="CI112" s="67">
        <f>Terminales[[#This Row],[PROY. COM. TERMINALES]]+Terminales[[#This Row],[PROY. COM. RENOV.]]+Terminales[[#This Row],[PROY. COM. 2%]]</f>
        <v>52.087807534482764</v>
      </c>
    </row>
    <row r="113" spans="1:87" x14ac:dyDescent="0.25">
      <c r="A113" s="68">
        <v>44926</v>
      </c>
      <c r="B113" s="68">
        <v>44901</v>
      </c>
      <c r="C113" s="18" t="s">
        <v>291</v>
      </c>
      <c r="D113" s="18" t="s">
        <v>78</v>
      </c>
      <c r="E113" s="18" t="s">
        <v>311</v>
      </c>
      <c r="F113" s="18" t="s">
        <v>7535</v>
      </c>
      <c r="G113" s="18" t="s">
        <v>292</v>
      </c>
      <c r="H113" s="18" t="s">
        <v>293</v>
      </c>
      <c r="I113" s="18" t="s">
        <v>8788</v>
      </c>
      <c r="J113" s="18" t="s">
        <v>95</v>
      </c>
      <c r="K113" s="18" t="s">
        <v>7970</v>
      </c>
      <c r="L113" s="18" t="s">
        <v>8789</v>
      </c>
      <c r="M113" s="18" t="s">
        <v>8790</v>
      </c>
      <c r="N113" s="18" t="s">
        <v>7537</v>
      </c>
      <c r="O113" s="18" t="s">
        <v>8438</v>
      </c>
      <c r="P113" s="18" t="s">
        <v>8791</v>
      </c>
      <c r="Q113" s="18" t="s">
        <v>7975</v>
      </c>
      <c r="R113" s="18" t="s">
        <v>7976</v>
      </c>
      <c r="S113" s="18" t="s">
        <v>8070</v>
      </c>
      <c r="T113" s="18" t="s">
        <v>8364</v>
      </c>
      <c r="U113" s="18" t="s">
        <v>8012</v>
      </c>
      <c r="V113" s="18" t="s">
        <v>6963</v>
      </c>
      <c r="W113" s="18" t="s">
        <v>95</v>
      </c>
      <c r="X113" s="18" t="s">
        <v>95</v>
      </c>
      <c r="Y113" s="18" t="s">
        <v>7980</v>
      </c>
      <c r="Z113" s="18" t="s">
        <v>6996</v>
      </c>
      <c r="AA113" s="69">
        <v>1</v>
      </c>
      <c r="AB113" s="18">
        <v>383.92856999999998</v>
      </c>
      <c r="AC113" s="18" t="s">
        <v>7536</v>
      </c>
      <c r="AD113" s="18" t="s">
        <v>7982</v>
      </c>
      <c r="AE113" s="18">
        <v>259.99</v>
      </c>
      <c r="AF113" s="18" t="s">
        <v>7983</v>
      </c>
      <c r="AG113" s="18">
        <v>259.99</v>
      </c>
      <c r="AH113" s="18" t="s">
        <v>95</v>
      </c>
      <c r="AI113" s="18" t="s">
        <v>359</v>
      </c>
      <c r="AJ113" s="18" t="s">
        <v>360</v>
      </c>
      <c r="AK113" s="18">
        <v>14.28</v>
      </c>
      <c r="AL113" s="18" t="s">
        <v>95</v>
      </c>
      <c r="AM113" s="18" t="s">
        <v>95</v>
      </c>
      <c r="AN113" s="18" t="s">
        <v>7984</v>
      </c>
      <c r="AO113" s="18" t="s">
        <v>139</v>
      </c>
      <c r="AP113" s="20" t="s">
        <v>630</v>
      </c>
      <c r="AQ113" s="18" t="s">
        <v>631</v>
      </c>
      <c r="AR113" s="18" t="s">
        <v>295</v>
      </c>
      <c r="AS113" s="18">
        <v>6</v>
      </c>
      <c r="AT113" s="18" t="s">
        <v>177</v>
      </c>
      <c r="AU113" s="18" t="s">
        <v>90</v>
      </c>
      <c r="AV113" s="18" t="s">
        <v>8441</v>
      </c>
      <c r="AW113" s="18" t="s">
        <v>8442</v>
      </c>
      <c r="AX113" s="18" t="s">
        <v>83</v>
      </c>
      <c r="AY113" s="18" t="s">
        <v>95</v>
      </c>
      <c r="AZ113" s="18" t="s">
        <v>95</v>
      </c>
      <c r="BA113" s="18" t="s">
        <v>95</v>
      </c>
      <c r="BB113" s="18" t="s">
        <v>95</v>
      </c>
      <c r="BC113" s="18" t="s">
        <v>118</v>
      </c>
      <c r="BD113" s="18">
        <v>77</v>
      </c>
      <c r="BE113" s="18" t="s">
        <v>95</v>
      </c>
      <c r="BF113" s="18" t="s">
        <v>95</v>
      </c>
      <c r="BG113" s="18" t="s">
        <v>95</v>
      </c>
      <c r="BH113" s="18" t="s">
        <v>95</v>
      </c>
      <c r="BI113" s="18">
        <v>12</v>
      </c>
      <c r="BJ113" s="18">
        <v>2022</v>
      </c>
      <c r="BK113" s="18" t="s">
        <v>95</v>
      </c>
      <c r="BL113" s="18" t="s">
        <v>95</v>
      </c>
      <c r="BM113" s="18" t="s">
        <v>95</v>
      </c>
      <c r="BN113" s="18" t="s">
        <v>85</v>
      </c>
      <c r="BO113" s="18" t="s">
        <v>86</v>
      </c>
      <c r="BP113" s="18" t="s">
        <v>90</v>
      </c>
      <c r="BQ113" s="18" t="s">
        <v>8002</v>
      </c>
      <c r="BR113" s="18" t="s">
        <v>139</v>
      </c>
      <c r="BS113" s="18" t="s">
        <v>8027</v>
      </c>
      <c r="BT113" s="18" t="s">
        <v>7989</v>
      </c>
      <c r="BU113" s="18" t="s">
        <v>7990</v>
      </c>
      <c r="BV113" s="18" t="str">
        <f>Terminales[[#This Row],[IMEI]]&amp;"SI"</f>
        <v>865954061272086SI</v>
      </c>
      <c r="BW113" s="18" t="str">
        <f>VLOOKUP(Terminales[[#This Row],[OFICINA_USUARIO]],[1]!Locales[#Data],3,0)</f>
        <v>TIENDA RECREO</v>
      </c>
      <c r="BX113" s="18" t="str">
        <f>VLOOKUP(Terminales[[#This Row],[USUARIO_FINAL]],'[1]Personal Ppto vs Real'!$A:$F,6,0)</f>
        <v>LOAYZA AGUILAR JONATHAN FABIAN</v>
      </c>
      <c r="BY113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1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13" s="18">
        <f>DAY(Terminales[[#This Row],[FECHA_FACTURA]])</f>
        <v>6</v>
      </c>
      <c r="CB113" s="65">
        <f>IF(Terminales[[#This Row],[CANTIDAD]] = 1,INDEX([1]!Comisiones[#Data],MATCH("Terminales",[1]!Comisiones[Producto],0),MATCH(Terminales[[#This Row],[TIPO ALTA COMISIONES]],[1]!Comisiones[#Headers],0))*Terminales[[#This Row],[MONTO]],0)</f>
        <v>30.7142856</v>
      </c>
      <c r="CC113" s="65">
        <f>IFERROR(IF(AND(Terminales[[#This Row],[CANTIDAD]] = 1,Terminales[[#This Row],[MOVIMIENTO]] = "RENOVACION"),Terminales[[#This Row],[TARIFA_BASICA]]*0.5,),)</f>
        <v>7.14</v>
      </c>
      <c r="CD113" s="65">
        <f>IF('[1]Resumen TM'!$AW$20 &lt; 0.4,0,Terminales[[#This Row],[MONTO]]*0.02)</f>
        <v>7.6785714</v>
      </c>
      <c r="CE113" s="66">
        <f>Terminales[[#This Row],[COMISIONES TERMINALES]]+Terminales[[#This Row],[COMISIONES RENOVACIONES]]+Terminales[[#This Row],[COMISIONES BONO]]</f>
        <v>45.532857</v>
      </c>
      <c r="CF113" s="67">
        <f>(Terminales[[#This Row],[COMISIONES TERMINALES]]*VLOOKUP(Terminales[[#This Row],[LOCALES]],[1]!Calendario[#Data],3,0))/VLOOKUP(Terminales[[#This Row],[LOCALES]],[1]!Calendario[#Data],2,0)</f>
        <v>50.529953729032258</v>
      </c>
      <c r="CG113" s="67">
        <f>(Terminales[[#This Row],[COMISIONES RENOVACIONES]]*VLOOKUP(Terminales[[#This Row],[LOCALES]],[1]!Calendario[#Data],3,0))/VLOOKUP(Terminales[[#This Row],[LOCALES]],[1]!Calendario[#Data],2,0)</f>
        <v>11.746451612903225</v>
      </c>
      <c r="CH113" s="67">
        <f>(Terminales[[#This Row],[COMISIONES BONO]]*VLOOKUP(Terminales[[#This Row],[LOCALES]],[1]!Calendario[#Data],3,0))/VLOOKUP(Terminales[[#This Row],[LOCALES]],[1]!Calendario[#Data],2,0)</f>
        <v>12.632488432258064</v>
      </c>
      <c r="CI113" s="67">
        <f>Terminales[[#This Row],[PROY. COM. TERMINALES]]+Terminales[[#This Row],[PROY. COM. RENOV.]]+Terminales[[#This Row],[PROY. COM. 2%]]</f>
        <v>74.908893774193558</v>
      </c>
    </row>
    <row r="114" spans="1:87" x14ac:dyDescent="0.25">
      <c r="A114" s="68">
        <v>44926</v>
      </c>
      <c r="B114" s="68">
        <v>44901</v>
      </c>
      <c r="C114" s="18" t="s">
        <v>291</v>
      </c>
      <c r="D114" s="18" t="s">
        <v>78</v>
      </c>
      <c r="E114" s="18" t="s">
        <v>164</v>
      </c>
      <c r="F114" s="18" t="s">
        <v>1685</v>
      </c>
      <c r="G114" s="18" t="s">
        <v>292</v>
      </c>
      <c r="H114" s="18" t="s">
        <v>494</v>
      </c>
      <c r="I114" s="18" t="s">
        <v>8792</v>
      </c>
      <c r="J114" s="18" t="s">
        <v>95</v>
      </c>
      <c r="K114" s="18" t="s">
        <v>7970</v>
      </c>
      <c r="L114" s="18" t="s">
        <v>1686</v>
      </c>
      <c r="M114" s="18" t="s">
        <v>1687</v>
      </c>
      <c r="N114" s="18" t="s">
        <v>1688</v>
      </c>
      <c r="O114" s="18" t="s">
        <v>1691</v>
      </c>
      <c r="P114" s="18" t="s">
        <v>1689</v>
      </c>
      <c r="Q114" s="18" t="s">
        <v>7975</v>
      </c>
      <c r="R114" s="18" t="s">
        <v>7976</v>
      </c>
      <c r="S114" s="18" t="s">
        <v>8045</v>
      </c>
      <c r="T114" s="18" t="s">
        <v>8225</v>
      </c>
      <c r="U114" s="18" t="s">
        <v>8012</v>
      </c>
      <c r="V114" s="18" t="s">
        <v>6963</v>
      </c>
      <c r="W114" s="18" t="s">
        <v>95</v>
      </c>
      <c r="X114" s="18" t="s">
        <v>95</v>
      </c>
      <c r="Y114" s="18" t="s">
        <v>7980</v>
      </c>
      <c r="Z114" s="18" t="s">
        <v>6996</v>
      </c>
      <c r="AA114" s="69">
        <v>1</v>
      </c>
      <c r="AB114" s="18">
        <v>241.07142999999999</v>
      </c>
      <c r="AC114" s="18" t="s">
        <v>8793</v>
      </c>
      <c r="AD114" s="18" t="s">
        <v>8151</v>
      </c>
      <c r="AE114" s="18">
        <v>232</v>
      </c>
      <c r="AF114" s="18" t="s">
        <v>7983</v>
      </c>
      <c r="AG114" s="18">
        <v>232</v>
      </c>
      <c r="AH114" s="18" t="s">
        <v>95</v>
      </c>
      <c r="AI114" s="18" t="s">
        <v>71</v>
      </c>
      <c r="AJ114" s="18" t="s">
        <v>258</v>
      </c>
      <c r="AK114" s="18">
        <v>11.42</v>
      </c>
      <c r="AL114" s="18" t="s">
        <v>95</v>
      </c>
      <c r="AM114" s="18" t="s">
        <v>95</v>
      </c>
      <c r="AN114" s="18" t="s">
        <v>7984</v>
      </c>
      <c r="AO114" s="18" t="s">
        <v>92</v>
      </c>
      <c r="AP114" s="20" t="s">
        <v>1020</v>
      </c>
      <c r="AQ114" s="18" t="s">
        <v>1021</v>
      </c>
      <c r="AR114" s="18" t="s">
        <v>496</v>
      </c>
      <c r="AS114" s="18">
        <v>1</v>
      </c>
      <c r="AT114" s="18" t="s">
        <v>91</v>
      </c>
      <c r="AU114" s="18" t="s">
        <v>90</v>
      </c>
      <c r="AV114" s="18" t="s">
        <v>8228</v>
      </c>
      <c r="AW114" s="18" t="s">
        <v>8229</v>
      </c>
      <c r="AX114" s="18" t="s">
        <v>83</v>
      </c>
      <c r="AY114" s="18" t="s">
        <v>95</v>
      </c>
      <c r="AZ114" s="18" t="s">
        <v>95</v>
      </c>
      <c r="BA114" s="18" t="s">
        <v>95</v>
      </c>
      <c r="BB114" s="18" t="s">
        <v>95</v>
      </c>
      <c r="BC114" s="18" t="s">
        <v>215</v>
      </c>
      <c r="BD114" s="18" t="s">
        <v>95</v>
      </c>
      <c r="BE114" s="18" t="s">
        <v>95</v>
      </c>
      <c r="BF114" s="18" t="s">
        <v>95</v>
      </c>
      <c r="BG114" s="18" t="s">
        <v>95</v>
      </c>
      <c r="BH114" s="18" t="s">
        <v>95</v>
      </c>
      <c r="BI114" s="18">
        <v>12</v>
      </c>
      <c r="BJ114" s="18">
        <v>2022</v>
      </c>
      <c r="BK114" s="18" t="s">
        <v>95</v>
      </c>
      <c r="BL114" s="18" t="s">
        <v>95</v>
      </c>
      <c r="BM114" s="18" t="s">
        <v>95</v>
      </c>
      <c r="BN114" s="18" t="s">
        <v>85</v>
      </c>
      <c r="BO114" s="18" t="s">
        <v>86</v>
      </c>
      <c r="BP114" s="18" t="s">
        <v>90</v>
      </c>
      <c r="BQ114" s="18" t="s">
        <v>8106</v>
      </c>
      <c r="BR114" s="18" t="s">
        <v>92</v>
      </c>
      <c r="BS114" s="18" t="s">
        <v>8074</v>
      </c>
      <c r="BT114" s="18" t="s">
        <v>7989</v>
      </c>
      <c r="BU114" s="18" t="s">
        <v>496</v>
      </c>
      <c r="BV114" s="18" t="str">
        <f>Terminales[[#This Row],[IMEI]]&amp;"SI"</f>
        <v>356795951173876SI</v>
      </c>
      <c r="BW114" s="18" t="str">
        <f>VLOOKUP(Terminales[[#This Row],[OFICINA_USUARIO]],[1]!Locales[#Data],3,0)</f>
        <v>TIENDA CUENCA CENTRO</v>
      </c>
      <c r="BX114" s="18" t="str">
        <f>VLOOKUP(Terminales[[#This Row],[USUARIO_FINAL]],'[1]Personal Ppto vs Real'!$A:$F,6,0)</f>
        <v>GONZALES ALVARRACIN PAOLA YESSENIA</v>
      </c>
      <c r="BY114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1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14" s="18">
        <f>DAY(Terminales[[#This Row],[FECHA_FACTURA]])</f>
        <v>6</v>
      </c>
      <c r="CB114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14" s="65">
        <f>IFERROR(IF(AND(Terminales[[#This Row],[CANTIDAD]] = 1,Terminales[[#This Row],[MOVIMIENTO]] = "RENOVACION"),Terminales[[#This Row],[TARIFA_BASICA]]*0.5,),)</f>
        <v>0</v>
      </c>
      <c r="CD114" s="65">
        <f>IF('[1]Resumen TM'!$AW$20 &lt; 0.4,0,Terminales[[#This Row],[MONTO]]*0.02)</f>
        <v>4.8214286</v>
      </c>
      <c r="CE114" s="66">
        <f>Terminales[[#This Row],[COMISIONES TERMINALES]]+Terminales[[#This Row],[COMISIONES RENOVACIONES]]+Terminales[[#This Row],[COMISIONES BONO]]</f>
        <v>28.928571600000001</v>
      </c>
      <c r="CF114" s="67">
        <f>(Terminales[[#This Row],[COMISIONES TERMINALES]]*VLOOKUP(Terminales[[#This Row],[LOCALES]],[1]!Calendario[#Data],3,0))/VLOOKUP(Terminales[[#This Row],[LOCALES]],[1]!Calendario[#Data],2,0)</f>
        <v>39.070197275862071</v>
      </c>
      <c r="CG114" s="67">
        <f>(Terminales[[#This Row],[COMISIONES RENOVACIONES]]*VLOOKUP(Terminales[[#This Row],[LOCALES]],[1]!Calendario[#Data],3,0))/VLOOKUP(Terminales[[#This Row],[LOCALES]],[1]!Calendario[#Data],2,0)</f>
        <v>0</v>
      </c>
      <c r="CH114" s="67">
        <f>(Terminales[[#This Row],[COMISIONES BONO]]*VLOOKUP(Terminales[[#This Row],[LOCALES]],[1]!Calendario[#Data],3,0))/VLOOKUP(Terminales[[#This Row],[LOCALES]],[1]!Calendario[#Data],2,0)</f>
        <v>7.8140394551724137</v>
      </c>
      <c r="CI114" s="67">
        <f>Terminales[[#This Row],[PROY. COM. TERMINALES]]+Terminales[[#This Row],[PROY. COM. RENOV.]]+Terminales[[#This Row],[PROY. COM. 2%]]</f>
        <v>46.884236731034484</v>
      </c>
    </row>
    <row r="115" spans="1:87" x14ac:dyDescent="0.25">
      <c r="A115" s="68">
        <v>44926</v>
      </c>
      <c r="B115" s="68">
        <v>44901</v>
      </c>
      <c r="C115" s="18" t="s">
        <v>96</v>
      </c>
      <c r="D115" s="18" t="s">
        <v>96</v>
      </c>
      <c r="E115" s="18" t="s">
        <v>96</v>
      </c>
      <c r="F115" s="18" t="s">
        <v>8794</v>
      </c>
      <c r="G115" s="18" t="s">
        <v>292</v>
      </c>
      <c r="H115" s="18" t="s">
        <v>494</v>
      </c>
      <c r="I115" s="18" t="s">
        <v>8795</v>
      </c>
      <c r="J115" s="18" t="s">
        <v>95</v>
      </c>
      <c r="K115" s="18" t="s">
        <v>7970</v>
      </c>
      <c r="L115" s="18" t="s">
        <v>8796</v>
      </c>
      <c r="M115" s="18" t="s">
        <v>8784</v>
      </c>
      <c r="N115" s="18" t="s">
        <v>8785</v>
      </c>
      <c r="O115" s="18" t="s">
        <v>2260</v>
      </c>
      <c r="P115" s="18" t="s">
        <v>8797</v>
      </c>
      <c r="Q115" s="18" t="s">
        <v>7975</v>
      </c>
      <c r="R115" s="18" t="s">
        <v>7976</v>
      </c>
      <c r="S115" s="18" t="s">
        <v>8010</v>
      </c>
      <c r="T115" s="18" t="s">
        <v>8011</v>
      </c>
      <c r="U115" s="18" t="s">
        <v>8012</v>
      </c>
      <c r="V115" s="18" t="s">
        <v>6963</v>
      </c>
      <c r="W115" s="18" t="s">
        <v>95</v>
      </c>
      <c r="X115" s="18" t="s">
        <v>95</v>
      </c>
      <c r="Y115" s="18" t="s">
        <v>7980</v>
      </c>
      <c r="Z115" s="18" t="s">
        <v>6996</v>
      </c>
      <c r="AA115" s="69">
        <v>1</v>
      </c>
      <c r="AB115" s="18">
        <v>196.42857000000001</v>
      </c>
      <c r="AC115" s="18" t="s">
        <v>8798</v>
      </c>
      <c r="AD115" s="18" t="s">
        <v>96</v>
      </c>
      <c r="AE115" s="18">
        <v>168.8</v>
      </c>
      <c r="AF115" s="18" t="s">
        <v>7983</v>
      </c>
      <c r="AG115" s="18">
        <v>168.8</v>
      </c>
      <c r="AH115" s="18" t="s">
        <v>95</v>
      </c>
      <c r="AI115" s="18" t="s">
        <v>8102</v>
      </c>
      <c r="AJ115" s="18" t="s">
        <v>8103</v>
      </c>
      <c r="AK115" s="18" t="s">
        <v>95</v>
      </c>
      <c r="AL115" s="18" t="s">
        <v>95</v>
      </c>
      <c r="AM115" s="18" t="s">
        <v>95</v>
      </c>
      <c r="AN115" s="18" t="s">
        <v>7984</v>
      </c>
      <c r="AO115" s="18" t="s">
        <v>92</v>
      </c>
      <c r="AP115" s="20" t="s">
        <v>880</v>
      </c>
      <c r="AQ115" s="18" t="s">
        <v>881</v>
      </c>
      <c r="AR115" s="18" t="s">
        <v>496</v>
      </c>
      <c r="AS115" s="18">
        <v>1</v>
      </c>
      <c r="AT115" s="18" t="s">
        <v>91</v>
      </c>
      <c r="AU115" s="18" t="s">
        <v>90</v>
      </c>
      <c r="AV115" s="18" t="s">
        <v>8014</v>
      </c>
      <c r="AW115" s="18" t="s">
        <v>8015</v>
      </c>
      <c r="AX115" s="18" t="s">
        <v>83</v>
      </c>
      <c r="AY115" s="18" t="s">
        <v>95</v>
      </c>
      <c r="AZ115" s="18" t="s">
        <v>95</v>
      </c>
      <c r="BA115" s="18" t="s">
        <v>95</v>
      </c>
      <c r="BB115" s="18" t="s">
        <v>95</v>
      </c>
      <c r="BC115" s="18" t="s">
        <v>118</v>
      </c>
      <c r="BD115" s="18" t="s">
        <v>95</v>
      </c>
      <c r="BE115" s="18" t="s">
        <v>95</v>
      </c>
      <c r="BF115" s="18" t="s">
        <v>95</v>
      </c>
      <c r="BG115" s="18" t="s">
        <v>95</v>
      </c>
      <c r="BH115" s="18" t="s">
        <v>95</v>
      </c>
      <c r="BI115" s="18">
        <v>12</v>
      </c>
      <c r="BJ115" s="18">
        <v>2022</v>
      </c>
      <c r="BK115" s="18" t="s">
        <v>95</v>
      </c>
      <c r="BL115" s="18" t="s">
        <v>95</v>
      </c>
      <c r="BM115" s="18" t="s">
        <v>95</v>
      </c>
      <c r="BN115" s="18" t="s">
        <v>85</v>
      </c>
      <c r="BO115" s="18" t="s">
        <v>86</v>
      </c>
      <c r="BP115" s="18" t="s">
        <v>90</v>
      </c>
      <c r="BQ115" s="18" t="s">
        <v>8106</v>
      </c>
      <c r="BR115" s="18" t="s">
        <v>92</v>
      </c>
      <c r="BS115" s="18" t="s">
        <v>8074</v>
      </c>
      <c r="BT115" s="18" t="s">
        <v>7989</v>
      </c>
      <c r="BU115" s="18" t="s">
        <v>496</v>
      </c>
      <c r="BV115" s="18" t="str">
        <f>Terminales[[#This Row],[IMEI]]&amp;"SI"</f>
        <v>359694275283395SI</v>
      </c>
      <c r="BW115" s="18" t="str">
        <f>VLOOKUP(Terminales[[#This Row],[OFICINA_USUARIO]],[1]!Locales[#Data],3,0)</f>
        <v>TIENDA CUENCA CENTRO</v>
      </c>
      <c r="BX115" s="18" t="str">
        <f>VLOOKUP(Terminales[[#This Row],[USUARIO_FINAL]],'[1]Personal Ppto vs Real'!$A:$F,6,0)</f>
        <v>LUNA JACHO ANDREA GABRIELA</v>
      </c>
      <c r="BY11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1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15" s="18">
        <f>DAY(Terminales[[#This Row],[FECHA_FACTURA]])</f>
        <v>6</v>
      </c>
      <c r="CB115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115" s="65">
        <f>IFERROR(IF(AND(Terminales[[#This Row],[CANTIDAD]] = 1,Terminales[[#This Row],[MOVIMIENTO]] = "RENOVACION"),Terminales[[#This Row],[TARIFA_BASICA]]*0.5,),)</f>
        <v>0</v>
      </c>
      <c r="CD115" s="65">
        <f>IF('[1]Resumen TM'!$AW$20 &lt; 0.4,0,Terminales[[#This Row],[MONTO]]*0.02)</f>
        <v>3.9285714</v>
      </c>
      <c r="CE115" s="66">
        <f>Terminales[[#This Row],[COMISIONES TERMINALES]]+Terminales[[#This Row],[COMISIONES RENOVACIONES]]+Terminales[[#This Row],[COMISIONES BONO]]</f>
        <v>23.571428400000002</v>
      </c>
      <c r="CF115" s="67">
        <f>(Terminales[[#This Row],[COMISIONES TERMINALES]]*VLOOKUP(Terminales[[#This Row],[LOCALES]],[1]!Calendario[#Data],3,0))/VLOOKUP(Terminales[[#This Row],[LOCALES]],[1]!Calendario[#Data],2,0)</f>
        <v>31.834975137931039</v>
      </c>
      <c r="CG115" s="67">
        <f>(Terminales[[#This Row],[COMISIONES RENOVACIONES]]*VLOOKUP(Terminales[[#This Row],[LOCALES]],[1]!Calendario[#Data],3,0))/VLOOKUP(Terminales[[#This Row],[LOCALES]],[1]!Calendario[#Data],2,0)</f>
        <v>0</v>
      </c>
      <c r="CH115" s="67">
        <f>(Terminales[[#This Row],[COMISIONES BONO]]*VLOOKUP(Terminales[[#This Row],[LOCALES]],[1]!Calendario[#Data],3,0))/VLOOKUP(Terminales[[#This Row],[LOCALES]],[1]!Calendario[#Data],2,0)</f>
        <v>6.3669950275862073</v>
      </c>
      <c r="CI115" s="67">
        <f>Terminales[[#This Row],[PROY. COM. TERMINALES]]+Terminales[[#This Row],[PROY. COM. RENOV.]]+Terminales[[#This Row],[PROY. COM. 2%]]</f>
        <v>38.201970165517245</v>
      </c>
    </row>
    <row r="116" spans="1:87" x14ac:dyDescent="0.25">
      <c r="A116" s="68">
        <v>44926</v>
      </c>
      <c r="B116" s="68">
        <v>44901</v>
      </c>
      <c r="C116" s="18" t="s">
        <v>96</v>
      </c>
      <c r="D116" s="18" t="s">
        <v>96</v>
      </c>
      <c r="E116" s="18" t="s">
        <v>96</v>
      </c>
      <c r="F116" s="18" t="s">
        <v>8799</v>
      </c>
      <c r="G116" s="18" t="s">
        <v>292</v>
      </c>
      <c r="H116" s="18" t="s">
        <v>494</v>
      </c>
      <c r="I116" s="18" t="s">
        <v>8800</v>
      </c>
      <c r="J116" s="18" t="s">
        <v>95</v>
      </c>
      <c r="K116" s="18" t="s">
        <v>7970</v>
      </c>
      <c r="L116" s="18" t="s">
        <v>8801</v>
      </c>
      <c r="M116" s="18" t="s">
        <v>8802</v>
      </c>
      <c r="N116" s="18" t="s">
        <v>8803</v>
      </c>
      <c r="O116" s="18" t="s">
        <v>543</v>
      </c>
      <c r="P116" s="18" t="s">
        <v>8804</v>
      </c>
      <c r="Q116" s="18" t="s">
        <v>7975</v>
      </c>
      <c r="R116" s="18" t="s">
        <v>7976</v>
      </c>
      <c r="S116" s="18" t="s">
        <v>7994</v>
      </c>
      <c r="T116" s="18" t="s">
        <v>8245</v>
      </c>
      <c r="U116" s="18" t="s">
        <v>8012</v>
      </c>
      <c r="V116" s="18" t="s">
        <v>6963</v>
      </c>
      <c r="W116" s="18" t="s">
        <v>95</v>
      </c>
      <c r="X116" s="18" t="s">
        <v>95</v>
      </c>
      <c r="Y116" s="18" t="s">
        <v>7980</v>
      </c>
      <c r="Z116" s="18" t="s">
        <v>6996</v>
      </c>
      <c r="AA116" s="69">
        <v>1</v>
      </c>
      <c r="AB116" s="18">
        <v>156.25</v>
      </c>
      <c r="AC116" s="18" t="s">
        <v>8805</v>
      </c>
      <c r="AD116" s="18" t="s">
        <v>96</v>
      </c>
      <c r="AE116" s="18">
        <v>156</v>
      </c>
      <c r="AF116" s="18" t="s">
        <v>7983</v>
      </c>
      <c r="AG116" s="18">
        <v>156</v>
      </c>
      <c r="AH116" s="18" t="s">
        <v>95</v>
      </c>
      <c r="AI116" s="18" t="s">
        <v>8102</v>
      </c>
      <c r="AJ116" s="18" t="s">
        <v>8103</v>
      </c>
      <c r="AK116" s="18" t="s">
        <v>95</v>
      </c>
      <c r="AL116" s="18" t="s">
        <v>95</v>
      </c>
      <c r="AM116" s="18" t="s">
        <v>95</v>
      </c>
      <c r="AN116" s="18" t="s">
        <v>7984</v>
      </c>
      <c r="AO116" s="18" t="s">
        <v>139</v>
      </c>
      <c r="AP116" s="20" t="s">
        <v>280</v>
      </c>
      <c r="AQ116" s="18" t="s">
        <v>281</v>
      </c>
      <c r="AR116" s="18" t="s">
        <v>496</v>
      </c>
      <c r="AS116" s="18">
        <v>1</v>
      </c>
      <c r="AT116" s="18" t="s">
        <v>235</v>
      </c>
      <c r="AU116" s="18" t="s">
        <v>90</v>
      </c>
      <c r="AV116" s="18" t="s">
        <v>8247</v>
      </c>
      <c r="AW116" s="18" t="s">
        <v>8248</v>
      </c>
      <c r="AX116" s="18" t="s">
        <v>83</v>
      </c>
      <c r="AY116" s="18" t="s">
        <v>95</v>
      </c>
      <c r="AZ116" s="18" t="s">
        <v>95</v>
      </c>
      <c r="BA116" s="18" t="s">
        <v>95</v>
      </c>
      <c r="BB116" s="18" t="s">
        <v>95</v>
      </c>
      <c r="BC116" s="18" t="s">
        <v>118</v>
      </c>
      <c r="BD116" s="18" t="s">
        <v>95</v>
      </c>
      <c r="BE116" s="18" t="s">
        <v>95</v>
      </c>
      <c r="BF116" s="18" t="s">
        <v>95</v>
      </c>
      <c r="BG116" s="18" t="s">
        <v>95</v>
      </c>
      <c r="BH116" s="18" t="s">
        <v>95</v>
      </c>
      <c r="BI116" s="18">
        <v>12</v>
      </c>
      <c r="BJ116" s="18">
        <v>2022</v>
      </c>
      <c r="BK116" s="18" t="s">
        <v>95</v>
      </c>
      <c r="BL116" s="18" t="s">
        <v>95</v>
      </c>
      <c r="BM116" s="18" t="s">
        <v>95</v>
      </c>
      <c r="BN116" s="18" t="s">
        <v>85</v>
      </c>
      <c r="BO116" s="18" t="s">
        <v>86</v>
      </c>
      <c r="BP116" s="18" t="s">
        <v>90</v>
      </c>
      <c r="BQ116" s="18" t="s">
        <v>8016</v>
      </c>
      <c r="BR116" s="18" t="s">
        <v>139</v>
      </c>
      <c r="BS116" s="18" t="s">
        <v>8074</v>
      </c>
      <c r="BT116" s="18" t="s">
        <v>7989</v>
      </c>
      <c r="BU116" s="18" t="s">
        <v>496</v>
      </c>
      <c r="BV116" s="18" t="str">
        <f>Terminales[[#This Row],[IMEI]]&amp;"SI"</f>
        <v>355108340298209SI</v>
      </c>
      <c r="BW116" s="18" t="str">
        <f>VLOOKUP(Terminales[[#This Row],[OFICINA_USUARIO]],[1]!Locales[#Data],3,0)</f>
        <v>TIENDA CONDADO</v>
      </c>
      <c r="BX116" s="18" t="str">
        <f>VLOOKUP(Terminales[[#This Row],[USUARIO_FINAL]],'[1]Personal Ppto vs Real'!$A:$F,6,0)</f>
        <v>GUACHAMIN CAZA HUGO ADRIAN</v>
      </c>
      <c r="BY11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1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16" s="18">
        <f>DAY(Terminales[[#This Row],[FECHA_FACTURA]])</f>
        <v>6</v>
      </c>
      <c r="CB116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116" s="65">
        <f>IFERROR(IF(AND(Terminales[[#This Row],[CANTIDAD]] = 1,Terminales[[#This Row],[MOVIMIENTO]] = "RENOVACION"),Terminales[[#This Row],[TARIFA_BASICA]]*0.5,),)</f>
        <v>0</v>
      </c>
      <c r="CD116" s="65">
        <f>IF('[1]Resumen TM'!$AW$20 &lt; 0.4,0,Terminales[[#This Row],[MONTO]]*0.02)</f>
        <v>3.125</v>
      </c>
      <c r="CE116" s="66">
        <f>Terminales[[#This Row],[COMISIONES TERMINALES]]+Terminales[[#This Row],[COMISIONES RENOVACIONES]]+Terminales[[#This Row],[COMISIONES BONO]]</f>
        <v>18.75</v>
      </c>
      <c r="CF116" s="67">
        <f>(Terminales[[#This Row],[COMISIONES TERMINALES]]*VLOOKUP(Terminales[[#This Row],[LOCALES]],[1]!Calendario[#Data],3,0))/VLOOKUP(Terminales[[#This Row],[LOCALES]],[1]!Calendario[#Data],2,0)</f>
        <v>25.705645161290324</v>
      </c>
      <c r="CG116" s="67">
        <f>(Terminales[[#This Row],[COMISIONES RENOVACIONES]]*VLOOKUP(Terminales[[#This Row],[LOCALES]],[1]!Calendario[#Data],3,0))/VLOOKUP(Terminales[[#This Row],[LOCALES]],[1]!Calendario[#Data],2,0)</f>
        <v>0</v>
      </c>
      <c r="CH116" s="67">
        <f>(Terminales[[#This Row],[COMISIONES BONO]]*VLOOKUP(Terminales[[#This Row],[LOCALES]],[1]!Calendario[#Data],3,0))/VLOOKUP(Terminales[[#This Row],[LOCALES]],[1]!Calendario[#Data],2,0)</f>
        <v>5.1411290322580649</v>
      </c>
      <c r="CI116" s="67">
        <f>Terminales[[#This Row],[PROY. COM. TERMINALES]]+Terminales[[#This Row],[PROY. COM. RENOV.]]+Terminales[[#This Row],[PROY. COM. 2%]]</f>
        <v>30.846774193548388</v>
      </c>
    </row>
    <row r="117" spans="1:87" x14ac:dyDescent="0.25">
      <c r="A117" s="68">
        <v>44926</v>
      </c>
      <c r="B117" s="68">
        <v>44902</v>
      </c>
      <c r="C117" s="18" t="s">
        <v>291</v>
      </c>
      <c r="D117" s="18" t="s">
        <v>78</v>
      </c>
      <c r="E117" s="18" t="s">
        <v>1532</v>
      </c>
      <c r="F117" s="18" t="s">
        <v>8806</v>
      </c>
      <c r="G117" s="18" t="s">
        <v>292</v>
      </c>
      <c r="H117" s="18" t="s">
        <v>494</v>
      </c>
      <c r="I117" s="18" t="s">
        <v>8807</v>
      </c>
      <c r="J117" s="18" t="s">
        <v>95</v>
      </c>
      <c r="K117" s="18" t="s">
        <v>7970</v>
      </c>
      <c r="L117" s="18" t="s">
        <v>8808</v>
      </c>
      <c r="M117" s="18" t="s">
        <v>4640</v>
      </c>
      <c r="N117" s="18" t="s">
        <v>4641</v>
      </c>
      <c r="O117" s="18" t="s">
        <v>1691</v>
      </c>
      <c r="P117" s="18" t="s">
        <v>8809</v>
      </c>
      <c r="Q117" s="18" t="s">
        <v>7975</v>
      </c>
      <c r="R117" s="18" t="s">
        <v>7976</v>
      </c>
      <c r="S117" s="18" t="s">
        <v>8045</v>
      </c>
      <c r="T117" s="18" t="s">
        <v>8225</v>
      </c>
      <c r="U117" s="18" t="s">
        <v>8012</v>
      </c>
      <c r="V117" s="18" t="s">
        <v>6963</v>
      </c>
      <c r="W117" s="18" t="s">
        <v>95</v>
      </c>
      <c r="X117" s="18" t="s">
        <v>95</v>
      </c>
      <c r="Y117" s="18" t="s">
        <v>7980</v>
      </c>
      <c r="Z117" s="18" t="s">
        <v>6996</v>
      </c>
      <c r="AA117" s="69">
        <v>1</v>
      </c>
      <c r="AB117" s="18">
        <v>241.07142999999999</v>
      </c>
      <c r="AC117" s="18" t="s">
        <v>8810</v>
      </c>
      <c r="AD117" s="18" t="s">
        <v>7982</v>
      </c>
      <c r="AE117" s="18">
        <v>232</v>
      </c>
      <c r="AF117" s="18" t="s">
        <v>7983</v>
      </c>
      <c r="AG117" s="18">
        <v>232</v>
      </c>
      <c r="AH117" s="18" t="s">
        <v>95</v>
      </c>
      <c r="AI117" s="18" t="s">
        <v>7247</v>
      </c>
      <c r="AJ117" s="18" t="s">
        <v>7248</v>
      </c>
      <c r="AK117" s="18">
        <v>19.989999999999998</v>
      </c>
      <c r="AL117" s="18" t="s">
        <v>95</v>
      </c>
      <c r="AM117" s="18" t="s">
        <v>95</v>
      </c>
      <c r="AN117" s="18" t="s">
        <v>7984</v>
      </c>
      <c r="AO117" s="18" t="s">
        <v>139</v>
      </c>
      <c r="AP117" s="20" t="s">
        <v>136</v>
      </c>
      <c r="AQ117" s="18" t="s">
        <v>137</v>
      </c>
      <c r="AR117" s="18" t="s">
        <v>496</v>
      </c>
      <c r="AS117" s="18">
        <v>1</v>
      </c>
      <c r="AT117" s="18" t="s">
        <v>138</v>
      </c>
      <c r="AU117" s="18" t="s">
        <v>90</v>
      </c>
      <c r="AV117" s="18" t="s">
        <v>8228</v>
      </c>
      <c r="AW117" s="18" t="s">
        <v>8229</v>
      </c>
      <c r="AX117" s="18" t="s">
        <v>83</v>
      </c>
      <c r="AY117" s="18" t="s">
        <v>95</v>
      </c>
      <c r="AZ117" s="18" t="s">
        <v>95</v>
      </c>
      <c r="BA117" s="18" t="s">
        <v>95</v>
      </c>
      <c r="BB117" s="18" t="s">
        <v>95</v>
      </c>
      <c r="BC117" s="18" t="s">
        <v>215</v>
      </c>
      <c r="BD117" s="18" t="s">
        <v>95</v>
      </c>
      <c r="BE117" s="18" t="s">
        <v>8811</v>
      </c>
      <c r="BF117" s="18" t="s">
        <v>8064</v>
      </c>
      <c r="BG117" s="18" t="s">
        <v>95</v>
      </c>
      <c r="BH117" s="18" t="s">
        <v>95</v>
      </c>
      <c r="BI117" s="18">
        <v>12</v>
      </c>
      <c r="BJ117" s="18">
        <v>2022</v>
      </c>
      <c r="BK117" s="18" t="s">
        <v>95</v>
      </c>
      <c r="BL117" s="18" t="s">
        <v>95</v>
      </c>
      <c r="BM117" s="18" t="s">
        <v>95</v>
      </c>
      <c r="BN117" s="18" t="s">
        <v>85</v>
      </c>
      <c r="BO117" s="18" t="s">
        <v>86</v>
      </c>
      <c r="BP117" s="18" t="s">
        <v>90</v>
      </c>
      <c r="BQ117" s="18" t="s">
        <v>7987</v>
      </c>
      <c r="BR117" s="18" t="s">
        <v>139</v>
      </c>
      <c r="BS117" s="18" t="s">
        <v>8003</v>
      </c>
      <c r="BT117" s="18" t="s">
        <v>7989</v>
      </c>
      <c r="BU117" s="18" t="s">
        <v>496</v>
      </c>
      <c r="BV117" s="18" t="str">
        <f>Terminales[[#This Row],[IMEI]]&amp;"SI"</f>
        <v>356795951175137SI</v>
      </c>
      <c r="BW117" s="18" t="str">
        <f>VLOOKUP(Terminales[[#This Row],[OFICINA_USUARIO]],[1]!Locales[#Data],3,0)</f>
        <v>TIENDA AMERICA</v>
      </c>
      <c r="BX117" s="18" t="str">
        <f>VLOOKUP(Terminales[[#This Row],[USUARIO_FINAL]],'[1]Personal Ppto vs Real'!$A:$F,6,0)</f>
        <v>SALVATIERRA GUERRA JULIAN ENRIQUE</v>
      </c>
      <c r="BY11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1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17" s="18">
        <f>DAY(Terminales[[#This Row],[FECHA_FACTURA]])</f>
        <v>7</v>
      </c>
      <c r="CB117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17" s="65">
        <f>IFERROR(IF(AND(Terminales[[#This Row],[CANTIDAD]] = 1,Terminales[[#This Row],[MOVIMIENTO]] = "RENOVACION"),Terminales[[#This Row],[TARIFA_BASICA]]*0.5,),)</f>
        <v>9.9949999999999992</v>
      </c>
      <c r="CD117" s="65">
        <f>IF('[1]Resumen TM'!$AW$20 &lt; 0.4,0,Terminales[[#This Row],[MONTO]]*0.02)</f>
        <v>4.8214286</v>
      </c>
      <c r="CE117" s="66">
        <f>Terminales[[#This Row],[COMISIONES TERMINALES]]+Terminales[[#This Row],[COMISIONES RENOVACIONES]]+Terminales[[#This Row],[COMISIONES BONO]]</f>
        <v>38.923571599999995</v>
      </c>
      <c r="CF117" s="67">
        <f>(Terminales[[#This Row],[COMISIONES TERMINALES]]*VLOOKUP(Terminales[[#This Row],[LOCALES]],[1]!Calendario[#Data],3,0))/VLOOKUP(Terminales[[#This Row],[LOCALES]],[1]!Calendario[#Data],2,0)</f>
        <v>39.60459207142857</v>
      </c>
      <c r="CG117" s="67">
        <f>(Terminales[[#This Row],[COMISIONES RENOVACIONES]]*VLOOKUP(Terminales[[#This Row],[LOCALES]],[1]!Calendario[#Data],3,0))/VLOOKUP(Terminales[[#This Row],[LOCALES]],[1]!Calendario[#Data],2,0)</f>
        <v>16.420357142857142</v>
      </c>
      <c r="CH117" s="67">
        <f>(Terminales[[#This Row],[COMISIONES BONO]]*VLOOKUP(Terminales[[#This Row],[LOCALES]],[1]!Calendario[#Data],3,0))/VLOOKUP(Terminales[[#This Row],[LOCALES]],[1]!Calendario[#Data],2,0)</f>
        <v>7.9209184142857145</v>
      </c>
      <c r="CI117" s="67">
        <f>Terminales[[#This Row],[PROY. COM. TERMINALES]]+Terminales[[#This Row],[PROY. COM. RENOV.]]+Terminales[[#This Row],[PROY. COM. 2%]]</f>
        <v>63.945867628571428</v>
      </c>
    </row>
    <row r="118" spans="1:87" x14ac:dyDescent="0.25">
      <c r="A118" s="68">
        <v>44926</v>
      </c>
      <c r="B118" s="68">
        <v>44902</v>
      </c>
      <c r="C118" s="18" t="s">
        <v>291</v>
      </c>
      <c r="D118" s="18" t="s">
        <v>78</v>
      </c>
      <c r="E118" s="18" t="s">
        <v>2241</v>
      </c>
      <c r="F118" s="18" t="s">
        <v>6409</v>
      </c>
      <c r="G118" s="18" t="s">
        <v>292</v>
      </c>
      <c r="H118" s="18" t="s">
        <v>293</v>
      </c>
      <c r="I118" s="18" t="s">
        <v>8812</v>
      </c>
      <c r="J118" s="18" t="s">
        <v>95</v>
      </c>
      <c r="K118" s="18" t="s">
        <v>7970</v>
      </c>
      <c r="L118" s="18" t="s">
        <v>6410</v>
      </c>
      <c r="M118" s="18" t="s">
        <v>6411</v>
      </c>
      <c r="N118" s="18" t="s">
        <v>6412</v>
      </c>
      <c r="O118" s="18" t="s">
        <v>1881</v>
      </c>
      <c r="P118" s="18" t="s">
        <v>6413</v>
      </c>
      <c r="Q118" s="18" t="s">
        <v>7975</v>
      </c>
      <c r="R118" s="18" t="s">
        <v>7976</v>
      </c>
      <c r="S118" s="18" t="s">
        <v>8070</v>
      </c>
      <c r="T118" s="18" t="s">
        <v>8397</v>
      </c>
      <c r="U118" s="18" t="s">
        <v>8012</v>
      </c>
      <c r="V118" s="18" t="s">
        <v>6963</v>
      </c>
      <c r="W118" s="18" t="s">
        <v>95</v>
      </c>
      <c r="X118" s="18" t="s">
        <v>95</v>
      </c>
      <c r="Y118" s="18" t="s">
        <v>7980</v>
      </c>
      <c r="Z118" s="18" t="s">
        <v>6996</v>
      </c>
      <c r="AA118" s="69">
        <v>1</v>
      </c>
      <c r="AB118" s="18">
        <v>250</v>
      </c>
      <c r="AC118" s="18" t="s">
        <v>8813</v>
      </c>
      <c r="AD118" s="18" t="s">
        <v>8151</v>
      </c>
      <c r="AE118" s="18">
        <v>173.7</v>
      </c>
      <c r="AF118" s="18" t="s">
        <v>7983</v>
      </c>
      <c r="AG118" s="18">
        <v>173.7</v>
      </c>
      <c r="AH118" s="18" t="s">
        <v>95</v>
      </c>
      <c r="AI118" s="18" t="s">
        <v>160</v>
      </c>
      <c r="AJ118" s="18" t="s">
        <v>161</v>
      </c>
      <c r="AK118" s="18">
        <v>14.28</v>
      </c>
      <c r="AL118" s="18" t="s">
        <v>95</v>
      </c>
      <c r="AM118" s="18" t="s">
        <v>95</v>
      </c>
      <c r="AN118" s="18" t="s">
        <v>7984</v>
      </c>
      <c r="AO118" s="18" t="s">
        <v>92</v>
      </c>
      <c r="AP118" s="20" t="s">
        <v>352</v>
      </c>
      <c r="AQ118" s="18" t="s">
        <v>353</v>
      </c>
      <c r="AR118" s="18" t="s">
        <v>295</v>
      </c>
      <c r="AS118" s="18">
        <v>6</v>
      </c>
      <c r="AT118" s="18" t="s">
        <v>122</v>
      </c>
      <c r="AU118" s="18" t="s">
        <v>90</v>
      </c>
      <c r="AV118" s="18" t="s">
        <v>8399</v>
      </c>
      <c r="AW118" s="18" t="s">
        <v>8400</v>
      </c>
      <c r="AX118" s="18" t="s">
        <v>83</v>
      </c>
      <c r="AY118" s="18" t="s">
        <v>95</v>
      </c>
      <c r="AZ118" s="18" t="s">
        <v>95</v>
      </c>
      <c r="BA118" s="18" t="s">
        <v>95</v>
      </c>
      <c r="BB118" s="18" t="s">
        <v>95</v>
      </c>
      <c r="BC118" s="18" t="s">
        <v>84</v>
      </c>
      <c r="BD118" s="18">
        <v>50</v>
      </c>
      <c r="BE118" s="18" t="s">
        <v>95</v>
      </c>
      <c r="BF118" s="18" t="s">
        <v>95</v>
      </c>
      <c r="BG118" s="18" t="s">
        <v>95</v>
      </c>
      <c r="BH118" s="18" t="s">
        <v>95</v>
      </c>
      <c r="BI118" s="18">
        <v>12</v>
      </c>
      <c r="BJ118" s="18">
        <v>2022</v>
      </c>
      <c r="BK118" s="18" t="s">
        <v>95</v>
      </c>
      <c r="BL118" s="18" t="s">
        <v>95</v>
      </c>
      <c r="BM118" s="18" t="s">
        <v>95</v>
      </c>
      <c r="BN118" s="18" t="s">
        <v>85</v>
      </c>
      <c r="BO118" s="18" t="s">
        <v>86</v>
      </c>
      <c r="BP118" s="18" t="s">
        <v>90</v>
      </c>
      <c r="BQ118" s="18" t="s">
        <v>8050</v>
      </c>
      <c r="BR118" s="18" t="s">
        <v>92</v>
      </c>
      <c r="BS118" s="18" t="s">
        <v>8027</v>
      </c>
      <c r="BT118" s="18" t="s">
        <v>7989</v>
      </c>
      <c r="BU118" s="18" t="s">
        <v>7990</v>
      </c>
      <c r="BV118" s="18" t="str">
        <f>Terminales[[#This Row],[IMEI]]&amp;"SI"</f>
        <v>864050068734482SI</v>
      </c>
      <c r="BW118" s="18" t="str">
        <f>VLOOKUP(Terminales[[#This Row],[OFICINA_USUARIO]],[1]!Locales[#Data],3,0)</f>
        <v>TIENDA MACHALA</v>
      </c>
      <c r="BX118" s="18" t="str">
        <f>VLOOKUP(Terminales[[#This Row],[USUARIO_FINAL]],'[1]Personal Ppto vs Real'!$A:$F,6,0)</f>
        <v>TENORIO MARIA DEL PILAR</v>
      </c>
      <c r="BY118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11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18" s="18">
        <f>DAY(Terminales[[#This Row],[FECHA_FACTURA]])</f>
        <v>7</v>
      </c>
      <c r="CB118" s="65">
        <f>IF(Terminales[[#This Row],[CANTIDAD]] = 1,INDEX([1]!Comisiones[#Data],MATCH("Terminales",[1]!Comisiones[Producto],0),MATCH(Terminales[[#This Row],[TIPO ALTA COMISIONES]],[1]!Comisiones[#Headers],0))*Terminales[[#This Row],[MONTO]],0)</f>
        <v>20</v>
      </c>
      <c r="CC118" s="65">
        <f>IFERROR(IF(AND(Terminales[[#This Row],[CANTIDAD]] = 1,Terminales[[#This Row],[MOVIMIENTO]] = "RENOVACION"),Terminales[[#This Row],[TARIFA_BASICA]]*0.5,),)</f>
        <v>0</v>
      </c>
      <c r="CD118" s="65">
        <f>IF('[1]Resumen TM'!$AW$20 &lt; 0.4,0,Terminales[[#This Row],[MONTO]]*0.02)</f>
        <v>5</v>
      </c>
      <c r="CE118" s="66">
        <f>Terminales[[#This Row],[COMISIONES TERMINALES]]+Terminales[[#This Row],[COMISIONES RENOVACIONES]]+Terminales[[#This Row],[COMISIONES BONO]]</f>
        <v>25</v>
      </c>
      <c r="CF118" s="67">
        <f>(Terminales[[#This Row],[COMISIONES TERMINALES]]*VLOOKUP(Terminales[[#This Row],[LOCALES]],[1]!Calendario[#Data],3,0))/VLOOKUP(Terminales[[#This Row],[LOCALES]],[1]!Calendario[#Data],2,0)</f>
        <v>32.413793103448278</v>
      </c>
      <c r="CG118" s="67">
        <f>(Terminales[[#This Row],[COMISIONES RENOVACIONES]]*VLOOKUP(Terminales[[#This Row],[LOCALES]],[1]!Calendario[#Data],3,0))/VLOOKUP(Terminales[[#This Row],[LOCALES]],[1]!Calendario[#Data],2,0)</f>
        <v>0</v>
      </c>
      <c r="CH118" s="67">
        <f>(Terminales[[#This Row],[COMISIONES BONO]]*VLOOKUP(Terminales[[#This Row],[LOCALES]],[1]!Calendario[#Data],3,0))/VLOOKUP(Terminales[[#This Row],[LOCALES]],[1]!Calendario[#Data],2,0)</f>
        <v>8.1034482758620694</v>
      </c>
      <c r="CI118" s="67">
        <f>Terminales[[#This Row],[PROY. COM. TERMINALES]]+Terminales[[#This Row],[PROY. COM. RENOV.]]+Terminales[[#This Row],[PROY. COM. 2%]]</f>
        <v>40.517241379310349</v>
      </c>
    </row>
    <row r="119" spans="1:87" x14ac:dyDescent="0.25">
      <c r="A119" s="68">
        <v>44926</v>
      </c>
      <c r="B119" s="68">
        <v>44902</v>
      </c>
      <c r="C119" s="18" t="s">
        <v>291</v>
      </c>
      <c r="D119" s="18" t="s">
        <v>78</v>
      </c>
      <c r="E119" s="18" t="s">
        <v>2241</v>
      </c>
      <c r="F119" s="18" t="s">
        <v>8814</v>
      </c>
      <c r="G119" s="18" t="s">
        <v>292</v>
      </c>
      <c r="H119" s="18" t="s">
        <v>293</v>
      </c>
      <c r="I119" s="18" t="s">
        <v>8815</v>
      </c>
      <c r="J119" s="18" t="s">
        <v>95</v>
      </c>
      <c r="K119" s="18" t="s">
        <v>7970</v>
      </c>
      <c r="L119" s="18" t="s">
        <v>8816</v>
      </c>
      <c r="M119" s="18" t="s">
        <v>8817</v>
      </c>
      <c r="N119" s="18" t="s">
        <v>8818</v>
      </c>
      <c r="O119" s="18" t="s">
        <v>1881</v>
      </c>
      <c r="P119" s="18" t="s">
        <v>8819</v>
      </c>
      <c r="Q119" s="18" t="s">
        <v>7975</v>
      </c>
      <c r="R119" s="18" t="s">
        <v>7976</v>
      </c>
      <c r="S119" s="18" t="s">
        <v>8070</v>
      </c>
      <c r="T119" s="18" t="s">
        <v>8397</v>
      </c>
      <c r="U119" s="18" t="s">
        <v>8012</v>
      </c>
      <c r="V119" s="18" t="s">
        <v>6963</v>
      </c>
      <c r="W119" s="18" t="s">
        <v>95</v>
      </c>
      <c r="X119" s="18" t="s">
        <v>95</v>
      </c>
      <c r="Y119" s="18" t="s">
        <v>7980</v>
      </c>
      <c r="Z119" s="18" t="s">
        <v>6996</v>
      </c>
      <c r="AA119" s="69">
        <v>1</v>
      </c>
      <c r="AB119" s="18">
        <v>290.17856999999998</v>
      </c>
      <c r="AC119" s="18" t="s">
        <v>8820</v>
      </c>
      <c r="AD119" s="18" t="s">
        <v>7982</v>
      </c>
      <c r="AE119" s="18">
        <v>173.7</v>
      </c>
      <c r="AF119" s="18" t="s">
        <v>7983</v>
      </c>
      <c r="AG119" s="18">
        <v>173.7</v>
      </c>
      <c r="AH119" s="18" t="s">
        <v>95</v>
      </c>
      <c r="AI119" s="18" t="s">
        <v>8821</v>
      </c>
      <c r="AJ119" s="18" t="s">
        <v>8822</v>
      </c>
      <c r="AK119" s="18">
        <v>29.99</v>
      </c>
      <c r="AL119" s="18" t="s">
        <v>95</v>
      </c>
      <c r="AM119" s="18" t="s">
        <v>95</v>
      </c>
      <c r="AN119" s="18" t="s">
        <v>7984</v>
      </c>
      <c r="AO119" s="18" t="s">
        <v>139</v>
      </c>
      <c r="AP119" s="20" t="s">
        <v>1545</v>
      </c>
      <c r="AQ119" s="18" t="s">
        <v>1546</v>
      </c>
      <c r="AR119" s="18" t="s">
        <v>295</v>
      </c>
      <c r="AS119" s="18">
        <v>12</v>
      </c>
      <c r="AT119" s="18" t="s">
        <v>138</v>
      </c>
      <c r="AU119" s="18" t="s">
        <v>90</v>
      </c>
      <c r="AV119" s="18" t="s">
        <v>8399</v>
      </c>
      <c r="AW119" s="18" t="s">
        <v>8400</v>
      </c>
      <c r="AX119" s="18" t="s">
        <v>83</v>
      </c>
      <c r="AY119" s="18" t="s">
        <v>95</v>
      </c>
      <c r="AZ119" s="18" t="s">
        <v>95</v>
      </c>
      <c r="BA119" s="18" t="s">
        <v>95</v>
      </c>
      <c r="BB119" s="18" t="s">
        <v>95</v>
      </c>
      <c r="BC119" s="18" t="s">
        <v>84</v>
      </c>
      <c r="BD119" s="18">
        <v>58.04</v>
      </c>
      <c r="BE119" s="18" t="s">
        <v>95</v>
      </c>
      <c r="BF119" s="18" t="s">
        <v>95</v>
      </c>
      <c r="BG119" s="18" t="s">
        <v>95</v>
      </c>
      <c r="BH119" s="18" t="s">
        <v>95</v>
      </c>
      <c r="BI119" s="18">
        <v>12</v>
      </c>
      <c r="BJ119" s="18">
        <v>2022</v>
      </c>
      <c r="BK119" s="18" t="s">
        <v>95</v>
      </c>
      <c r="BL119" s="18" t="s">
        <v>95</v>
      </c>
      <c r="BM119" s="18" t="s">
        <v>95</v>
      </c>
      <c r="BN119" s="18" t="s">
        <v>85</v>
      </c>
      <c r="BO119" s="18" t="s">
        <v>86</v>
      </c>
      <c r="BP119" s="18" t="s">
        <v>90</v>
      </c>
      <c r="BQ119" s="18" t="s">
        <v>7987</v>
      </c>
      <c r="BR119" s="18" t="s">
        <v>139</v>
      </c>
      <c r="BS119" s="18" t="s">
        <v>7988</v>
      </c>
      <c r="BT119" s="18" t="s">
        <v>7989</v>
      </c>
      <c r="BU119" s="18" t="s">
        <v>7990</v>
      </c>
      <c r="BV119" s="18" t="str">
        <f>Terminales[[#This Row],[IMEI]]&amp;"SI"</f>
        <v>864050068813088SI</v>
      </c>
      <c r="BW119" s="18" t="str">
        <f>VLOOKUP(Terminales[[#This Row],[OFICINA_USUARIO]],[1]!Locales[#Data],3,0)</f>
        <v>TIENDA AMERICA</v>
      </c>
      <c r="BX119" s="18" t="str">
        <f>VLOOKUP(Terminales[[#This Row],[USUARIO_FINAL]],'[1]Personal Ppto vs Real'!$A:$F,6,0)</f>
        <v>GRANDA ESPINOZA ANDRES SEBASTIAN</v>
      </c>
      <c r="BY119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1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19" s="18">
        <f>DAY(Terminales[[#This Row],[FECHA_FACTURA]])</f>
        <v>7</v>
      </c>
      <c r="CB119" s="65">
        <f>IF(Terminales[[#This Row],[CANTIDAD]] = 1,INDEX([1]!Comisiones[#Data],MATCH("Terminales",[1]!Comisiones[Producto],0),MATCH(Terminales[[#This Row],[TIPO ALTA COMISIONES]],[1]!Comisiones[#Headers],0))*Terminales[[#This Row],[MONTO]],0)</f>
        <v>17.410714199999997</v>
      </c>
      <c r="CC119" s="65">
        <f>IFERROR(IF(AND(Terminales[[#This Row],[CANTIDAD]] = 1,Terminales[[#This Row],[MOVIMIENTO]] = "RENOVACION"),Terminales[[#This Row],[TARIFA_BASICA]]*0.5,),)</f>
        <v>14.994999999999999</v>
      </c>
      <c r="CD119" s="65">
        <f>IF('[1]Resumen TM'!$AW$20 &lt; 0.4,0,Terminales[[#This Row],[MONTO]]*0.02)</f>
        <v>5.8035714</v>
      </c>
      <c r="CE119" s="66">
        <f>Terminales[[#This Row],[COMISIONES TERMINALES]]+Terminales[[#This Row],[COMISIONES RENOVACIONES]]+Terminales[[#This Row],[COMISIONES BONO]]</f>
        <v>38.209285600000001</v>
      </c>
      <c r="CF119" s="67">
        <f>(Terminales[[#This Row],[COMISIONES TERMINALES]]*VLOOKUP(Terminales[[#This Row],[LOCALES]],[1]!Calendario[#Data],3,0))/VLOOKUP(Terminales[[#This Row],[LOCALES]],[1]!Calendario[#Data],2,0)</f>
        <v>28.603316185714281</v>
      </c>
      <c r="CG119" s="67">
        <f>(Terminales[[#This Row],[COMISIONES RENOVACIONES]]*VLOOKUP(Terminales[[#This Row],[LOCALES]],[1]!Calendario[#Data],3,0))/VLOOKUP(Terminales[[#This Row],[LOCALES]],[1]!Calendario[#Data],2,0)</f>
        <v>24.634642857142858</v>
      </c>
      <c r="CH119" s="67">
        <f>(Terminales[[#This Row],[COMISIONES BONO]]*VLOOKUP(Terminales[[#This Row],[LOCALES]],[1]!Calendario[#Data],3,0))/VLOOKUP(Terminales[[#This Row],[LOCALES]],[1]!Calendario[#Data],2,0)</f>
        <v>9.5344387285714287</v>
      </c>
      <c r="CI119" s="67">
        <f>Terminales[[#This Row],[PROY. COM. TERMINALES]]+Terminales[[#This Row],[PROY. COM. RENOV.]]+Terminales[[#This Row],[PROY. COM. 2%]]</f>
        <v>62.772397771428572</v>
      </c>
    </row>
    <row r="120" spans="1:87" x14ac:dyDescent="0.25">
      <c r="A120" s="68">
        <v>44926</v>
      </c>
      <c r="B120" s="68">
        <v>44902</v>
      </c>
      <c r="C120" s="18" t="s">
        <v>291</v>
      </c>
      <c r="D120" s="18" t="s">
        <v>78</v>
      </c>
      <c r="E120" s="18" t="s">
        <v>7125</v>
      </c>
      <c r="F120" s="18" t="s">
        <v>8823</v>
      </c>
      <c r="G120" s="18" t="s">
        <v>292</v>
      </c>
      <c r="H120" s="18" t="s">
        <v>494</v>
      </c>
      <c r="I120" s="18" t="s">
        <v>8824</v>
      </c>
      <c r="J120" s="18" t="s">
        <v>95</v>
      </c>
      <c r="K120" s="18" t="s">
        <v>7970</v>
      </c>
      <c r="L120" s="18" t="s">
        <v>8825</v>
      </c>
      <c r="M120" s="18" t="s">
        <v>8826</v>
      </c>
      <c r="N120" s="18" t="s">
        <v>8827</v>
      </c>
      <c r="O120" s="18" t="s">
        <v>1022</v>
      </c>
      <c r="P120" s="18" t="s">
        <v>8828</v>
      </c>
      <c r="Q120" s="18" t="s">
        <v>7975</v>
      </c>
      <c r="R120" s="18" t="s">
        <v>7976</v>
      </c>
      <c r="S120" s="18" t="s">
        <v>8045</v>
      </c>
      <c r="T120" s="18" t="s">
        <v>8225</v>
      </c>
      <c r="U120" s="18" t="s">
        <v>8012</v>
      </c>
      <c r="V120" s="18" t="s">
        <v>6963</v>
      </c>
      <c r="W120" s="18" t="s">
        <v>95</v>
      </c>
      <c r="X120" s="18" t="s">
        <v>95</v>
      </c>
      <c r="Y120" s="18" t="s">
        <v>7980</v>
      </c>
      <c r="Z120" s="18" t="s">
        <v>6996</v>
      </c>
      <c r="AA120" s="69">
        <v>1</v>
      </c>
      <c r="AB120" s="18">
        <v>241.07142999999999</v>
      </c>
      <c r="AC120" s="18" t="s">
        <v>8829</v>
      </c>
      <c r="AD120" s="18" t="s">
        <v>7982</v>
      </c>
      <c r="AE120" s="18">
        <v>234</v>
      </c>
      <c r="AF120" s="18" t="s">
        <v>7983</v>
      </c>
      <c r="AG120" s="18">
        <v>234</v>
      </c>
      <c r="AH120" s="18" t="s">
        <v>95</v>
      </c>
      <c r="AI120" s="18" t="s">
        <v>7427</v>
      </c>
      <c r="AJ120" s="18" t="s">
        <v>72</v>
      </c>
      <c r="AK120" s="18">
        <v>9.99</v>
      </c>
      <c r="AL120" s="18" t="s">
        <v>95</v>
      </c>
      <c r="AM120" s="18" t="s">
        <v>95</v>
      </c>
      <c r="AN120" s="18" t="s">
        <v>7984</v>
      </c>
      <c r="AO120" s="18" t="s">
        <v>92</v>
      </c>
      <c r="AP120" s="20" t="s">
        <v>385</v>
      </c>
      <c r="AQ120" s="18" t="s">
        <v>386</v>
      </c>
      <c r="AR120" s="18" t="s">
        <v>496</v>
      </c>
      <c r="AS120" s="18">
        <v>1</v>
      </c>
      <c r="AT120" s="18" t="s">
        <v>151</v>
      </c>
      <c r="AU120" s="18" t="s">
        <v>90</v>
      </c>
      <c r="AV120" s="18" t="s">
        <v>8392</v>
      </c>
      <c r="AW120" s="18" t="s">
        <v>8393</v>
      </c>
      <c r="AX120" s="18" t="s">
        <v>83</v>
      </c>
      <c r="AY120" s="18" t="s">
        <v>95</v>
      </c>
      <c r="AZ120" s="18" t="s">
        <v>95</v>
      </c>
      <c r="BA120" s="18" t="s">
        <v>95</v>
      </c>
      <c r="BB120" s="18" t="s">
        <v>95</v>
      </c>
      <c r="BC120" s="18" t="s">
        <v>84</v>
      </c>
      <c r="BD120" s="18" t="s">
        <v>95</v>
      </c>
      <c r="BE120" s="18" t="s">
        <v>8000</v>
      </c>
      <c r="BF120" s="18" t="s">
        <v>8064</v>
      </c>
      <c r="BG120" s="18" t="s">
        <v>95</v>
      </c>
      <c r="BH120" s="18" t="s">
        <v>95</v>
      </c>
      <c r="BI120" s="18">
        <v>12</v>
      </c>
      <c r="BJ120" s="18">
        <v>2022</v>
      </c>
      <c r="BK120" s="18" t="s">
        <v>95</v>
      </c>
      <c r="BL120" s="18" t="s">
        <v>95</v>
      </c>
      <c r="BM120" s="18" t="s">
        <v>95</v>
      </c>
      <c r="BN120" s="18" t="s">
        <v>85</v>
      </c>
      <c r="BO120" s="18" t="s">
        <v>86</v>
      </c>
      <c r="BP120" s="18" t="s">
        <v>90</v>
      </c>
      <c r="BQ120" s="18" t="s">
        <v>8141</v>
      </c>
      <c r="BR120" s="18" t="s">
        <v>92</v>
      </c>
      <c r="BS120" s="18" t="s">
        <v>8003</v>
      </c>
      <c r="BT120" s="18" t="s">
        <v>7989</v>
      </c>
      <c r="BU120" s="18" t="s">
        <v>496</v>
      </c>
      <c r="BV120" s="18" t="str">
        <f>Terminales[[#This Row],[IMEI]]&amp;"SI"</f>
        <v>353568693029026SI</v>
      </c>
      <c r="BW120" s="18" t="str">
        <f>VLOOKUP(Terminales[[#This Row],[OFICINA_USUARIO]],[1]!Locales[#Data],3,0)</f>
        <v>TIENDA CUENCA REMIGIO</v>
      </c>
      <c r="BX120" s="18" t="str">
        <f>VLOOKUP(Terminales[[#This Row],[USUARIO_FINAL]],'[1]Personal Ppto vs Real'!$A:$F,6,0)</f>
        <v>RAMIREZ RUBIO NELLY LILIANA</v>
      </c>
      <c r="BY12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2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20" s="18">
        <f>DAY(Terminales[[#This Row],[FECHA_FACTURA]])</f>
        <v>7</v>
      </c>
      <c r="CB120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20" s="65">
        <f>IFERROR(IF(AND(Terminales[[#This Row],[CANTIDAD]] = 1,Terminales[[#This Row],[MOVIMIENTO]] = "RENOVACION"),Terminales[[#This Row],[TARIFA_BASICA]]*0.5,),)</f>
        <v>4.9950000000000001</v>
      </c>
      <c r="CD120" s="65">
        <f>IF('[1]Resumen TM'!$AW$20 &lt; 0.4,0,Terminales[[#This Row],[MONTO]]*0.02)</f>
        <v>4.8214286</v>
      </c>
      <c r="CE120" s="66">
        <f>Terminales[[#This Row],[COMISIONES TERMINALES]]+Terminales[[#This Row],[COMISIONES RENOVACIONES]]+Terminales[[#This Row],[COMISIONES BONO]]</f>
        <v>33.923571600000002</v>
      </c>
      <c r="CF120" s="67">
        <f>(Terminales[[#This Row],[COMISIONES TERMINALES]]*VLOOKUP(Terminales[[#This Row],[LOCALES]],[1]!Calendario[#Data],3,0))/VLOOKUP(Terminales[[#This Row],[LOCALES]],[1]!Calendario[#Data],2,0)</f>
        <v>39.070197275862071</v>
      </c>
      <c r="CG120" s="67">
        <f>(Terminales[[#This Row],[COMISIONES RENOVACIONES]]*VLOOKUP(Terminales[[#This Row],[LOCALES]],[1]!Calendario[#Data],3,0))/VLOOKUP(Terminales[[#This Row],[LOCALES]],[1]!Calendario[#Data],2,0)</f>
        <v>8.0953448275862065</v>
      </c>
      <c r="CH120" s="67">
        <f>(Terminales[[#This Row],[COMISIONES BONO]]*VLOOKUP(Terminales[[#This Row],[LOCALES]],[1]!Calendario[#Data],3,0))/VLOOKUP(Terminales[[#This Row],[LOCALES]],[1]!Calendario[#Data],2,0)</f>
        <v>7.8140394551724137</v>
      </c>
      <c r="CI120" s="67">
        <f>Terminales[[#This Row],[PROY. COM. TERMINALES]]+Terminales[[#This Row],[PROY. COM. RENOV.]]+Terminales[[#This Row],[PROY. COM. 2%]]</f>
        <v>54.979581558620687</v>
      </c>
    </row>
    <row r="121" spans="1:87" x14ac:dyDescent="0.25">
      <c r="A121" s="68">
        <v>44926</v>
      </c>
      <c r="B121" s="68">
        <v>44902</v>
      </c>
      <c r="C121" s="18" t="s">
        <v>96</v>
      </c>
      <c r="D121" s="18" t="s">
        <v>96</v>
      </c>
      <c r="E121" s="18" t="s">
        <v>96</v>
      </c>
      <c r="F121" s="18" t="s">
        <v>8830</v>
      </c>
      <c r="G121" s="18" t="s">
        <v>292</v>
      </c>
      <c r="H121" s="18" t="s">
        <v>494</v>
      </c>
      <c r="I121" s="18" t="s">
        <v>8831</v>
      </c>
      <c r="J121" s="18" t="s">
        <v>95</v>
      </c>
      <c r="K121" s="18" t="s">
        <v>7970</v>
      </c>
      <c r="L121" s="18" t="s">
        <v>8832</v>
      </c>
      <c r="M121" s="18" t="s">
        <v>8833</v>
      </c>
      <c r="N121" s="18" t="s">
        <v>8834</v>
      </c>
      <c r="O121" s="18" t="s">
        <v>1691</v>
      </c>
      <c r="P121" s="18" t="s">
        <v>8835</v>
      </c>
      <c r="Q121" s="18" t="s">
        <v>7975</v>
      </c>
      <c r="R121" s="18" t="s">
        <v>7976</v>
      </c>
      <c r="S121" s="18" t="s">
        <v>8045</v>
      </c>
      <c r="T121" s="18" t="s">
        <v>8225</v>
      </c>
      <c r="U121" s="18" t="s">
        <v>8012</v>
      </c>
      <c r="V121" s="18" t="s">
        <v>6963</v>
      </c>
      <c r="W121" s="18" t="s">
        <v>95</v>
      </c>
      <c r="X121" s="18" t="s">
        <v>95</v>
      </c>
      <c r="Y121" s="18" t="s">
        <v>7980</v>
      </c>
      <c r="Z121" s="18" t="s">
        <v>6996</v>
      </c>
      <c r="AA121" s="69">
        <v>1</v>
      </c>
      <c r="AB121" s="18">
        <v>241.07142999999999</v>
      </c>
      <c r="AC121" s="18" t="s">
        <v>8836</v>
      </c>
      <c r="AD121" s="18" t="s">
        <v>7982</v>
      </c>
      <c r="AE121" s="18">
        <v>232</v>
      </c>
      <c r="AF121" s="18" t="s">
        <v>7983</v>
      </c>
      <c r="AG121" s="18">
        <v>232</v>
      </c>
      <c r="AH121" s="18" t="s">
        <v>95</v>
      </c>
      <c r="AI121" s="18" t="s">
        <v>8102</v>
      </c>
      <c r="AJ121" s="18" t="s">
        <v>8103</v>
      </c>
      <c r="AK121" s="18" t="s">
        <v>95</v>
      </c>
      <c r="AL121" s="18" t="s">
        <v>95</v>
      </c>
      <c r="AM121" s="18" t="s">
        <v>95</v>
      </c>
      <c r="AN121" s="18" t="s">
        <v>7984</v>
      </c>
      <c r="AO121" s="18" t="s">
        <v>92</v>
      </c>
      <c r="AP121" s="20" t="s">
        <v>385</v>
      </c>
      <c r="AQ121" s="18" t="s">
        <v>386</v>
      </c>
      <c r="AR121" s="18" t="s">
        <v>496</v>
      </c>
      <c r="AS121" s="18">
        <v>1</v>
      </c>
      <c r="AT121" s="18" t="s">
        <v>151</v>
      </c>
      <c r="AU121" s="18" t="s">
        <v>90</v>
      </c>
      <c r="AV121" s="18" t="s">
        <v>8228</v>
      </c>
      <c r="AW121" s="18" t="s">
        <v>8229</v>
      </c>
      <c r="AX121" s="18" t="s">
        <v>83</v>
      </c>
      <c r="AY121" s="18" t="s">
        <v>95</v>
      </c>
      <c r="AZ121" s="18" t="s">
        <v>95</v>
      </c>
      <c r="BA121" s="18" t="s">
        <v>95</v>
      </c>
      <c r="BB121" s="18" t="s">
        <v>95</v>
      </c>
      <c r="BC121" s="18" t="s">
        <v>118</v>
      </c>
      <c r="BD121" s="18" t="s">
        <v>95</v>
      </c>
      <c r="BE121" s="18" t="s">
        <v>95</v>
      </c>
      <c r="BF121" s="18" t="s">
        <v>95</v>
      </c>
      <c r="BG121" s="18" t="s">
        <v>95</v>
      </c>
      <c r="BH121" s="18" t="s">
        <v>95</v>
      </c>
      <c r="BI121" s="18">
        <v>12</v>
      </c>
      <c r="BJ121" s="18">
        <v>2022</v>
      </c>
      <c r="BK121" s="18" t="s">
        <v>95</v>
      </c>
      <c r="BL121" s="18" t="s">
        <v>95</v>
      </c>
      <c r="BM121" s="18" t="s">
        <v>95</v>
      </c>
      <c r="BN121" s="18" t="s">
        <v>85</v>
      </c>
      <c r="BO121" s="18" t="s">
        <v>86</v>
      </c>
      <c r="BP121" s="18" t="s">
        <v>90</v>
      </c>
      <c r="BQ121" s="18" t="s">
        <v>8141</v>
      </c>
      <c r="BR121" s="18" t="s">
        <v>92</v>
      </c>
      <c r="BS121" s="18" t="s">
        <v>8074</v>
      </c>
      <c r="BT121" s="18" t="s">
        <v>7989</v>
      </c>
      <c r="BU121" s="18" t="s">
        <v>496</v>
      </c>
      <c r="BV121" s="18" t="str">
        <f>Terminales[[#This Row],[IMEI]]&amp;"SI"</f>
        <v>356795951371462SI</v>
      </c>
      <c r="BW121" s="18" t="str">
        <f>VLOOKUP(Terminales[[#This Row],[OFICINA_USUARIO]],[1]!Locales[#Data],3,0)</f>
        <v>TIENDA CUENCA REMIGIO</v>
      </c>
      <c r="BX121" s="18" t="str">
        <f>VLOOKUP(Terminales[[#This Row],[USUARIO_FINAL]],'[1]Personal Ppto vs Real'!$A:$F,6,0)</f>
        <v>RAMIREZ RUBIO NELLY LILIANA</v>
      </c>
      <c r="BY12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2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21" s="18">
        <f>DAY(Terminales[[#This Row],[FECHA_FACTURA]])</f>
        <v>7</v>
      </c>
      <c r="CB121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21" s="65">
        <f>IFERROR(IF(AND(Terminales[[#This Row],[CANTIDAD]] = 1,Terminales[[#This Row],[MOVIMIENTO]] = "RENOVACION"),Terminales[[#This Row],[TARIFA_BASICA]]*0.5,),)</f>
        <v>0</v>
      </c>
      <c r="CD121" s="65">
        <f>IF('[1]Resumen TM'!$AW$20 &lt; 0.4,0,Terminales[[#This Row],[MONTO]]*0.02)</f>
        <v>4.8214286</v>
      </c>
      <c r="CE121" s="66">
        <f>Terminales[[#This Row],[COMISIONES TERMINALES]]+Terminales[[#This Row],[COMISIONES RENOVACIONES]]+Terminales[[#This Row],[COMISIONES BONO]]</f>
        <v>28.928571600000001</v>
      </c>
      <c r="CF121" s="67">
        <f>(Terminales[[#This Row],[COMISIONES TERMINALES]]*VLOOKUP(Terminales[[#This Row],[LOCALES]],[1]!Calendario[#Data],3,0))/VLOOKUP(Terminales[[#This Row],[LOCALES]],[1]!Calendario[#Data],2,0)</f>
        <v>39.070197275862071</v>
      </c>
      <c r="CG121" s="67">
        <f>(Terminales[[#This Row],[COMISIONES RENOVACIONES]]*VLOOKUP(Terminales[[#This Row],[LOCALES]],[1]!Calendario[#Data],3,0))/VLOOKUP(Terminales[[#This Row],[LOCALES]],[1]!Calendario[#Data],2,0)</f>
        <v>0</v>
      </c>
      <c r="CH121" s="67">
        <f>(Terminales[[#This Row],[COMISIONES BONO]]*VLOOKUP(Terminales[[#This Row],[LOCALES]],[1]!Calendario[#Data],3,0))/VLOOKUP(Terminales[[#This Row],[LOCALES]],[1]!Calendario[#Data],2,0)</f>
        <v>7.8140394551724137</v>
      </c>
      <c r="CI121" s="67">
        <f>Terminales[[#This Row],[PROY. COM. TERMINALES]]+Terminales[[#This Row],[PROY. COM. RENOV.]]+Terminales[[#This Row],[PROY. COM. 2%]]</f>
        <v>46.884236731034484</v>
      </c>
    </row>
    <row r="122" spans="1:87" x14ac:dyDescent="0.25">
      <c r="A122" s="68">
        <v>44926</v>
      </c>
      <c r="B122" s="68">
        <v>44902</v>
      </c>
      <c r="C122" s="18" t="s">
        <v>291</v>
      </c>
      <c r="D122" s="18" t="s">
        <v>78</v>
      </c>
      <c r="E122" s="18" t="s">
        <v>164</v>
      </c>
      <c r="F122" s="18" t="s">
        <v>1698</v>
      </c>
      <c r="G122" s="18" t="s">
        <v>292</v>
      </c>
      <c r="H122" s="18" t="s">
        <v>494</v>
      </c>
      <c r="I122" s="18" t="s">
        <v>8837</v>
      </c>
      <c r="J122" s="18" t="s">
        <v>95</v>
      </c>
      <c r="K122" s="18" t="s">
        <v>7970</v>
      </c>
      <c r="L122" s="18" t="s">
        <v>1699</v>
      </c>
      <c r="M122" s="18" t="s">
        <v>8838</v>
      </c>
      <c r="N122" s="18" t="s">
        <v>8839</v>
      </c>
      <c r="O122" s="18" t="s">
        <v>1704</v>
      </c>
      <c r="P122" s="18" t="s">
        <v>1702</v>
      </c>
      <c r="Q122" s="18" t="s">
        <v>7975</v>
      </c>
      <c r="R122" s="18" t="s">
        <v>7976</v>
      </c>
      <c r="S122" s="18" t="s">
        <v>8673</v>
      </c>
      <c r="T122" s="18" t="s">
        <v>8674</v>
      </c>
      <c r="U122" s="18" t="s">
        <v>8012</v>
      </c>
      <c r="V122" s="18" t="s">
        <v>6963</v>
      </c>
      <c r="W122" s="18" t="s">
        <v>95</v>
      </c>
      <c r="X122" s="18" t="s">
        <v>95</v>
      </c>
      <c r="Y122" s="18" t="s">
        <v>7980</v>
      </c>
      <c r="Z122" s="18" t="s">
        <v>6996</v>
      </c>
      <c r="AA122" s="69">
        <v>1</v>
      </c>
      <c r="AB122" s="18">
        <v>263.39285999999998</v>
      </c>
      <c r="AC122" s="18" t="s">
        <v>8840</v>
      </c>
      <c r="AD122" s="18" t="s">
        <v>8151</v>
      </c>
      <c r="AE122" s="18">
        <v>240.32</v>
      </c>
      <c r="AF122" s="18" t="s">
        <v>7983</v>
      </c>
      <c r="AG122" s="18">
        <v>240.32</v>
      </c>
      <c r="AH122" s="18" t="s">
        <v>95</v>
      </c>
      <c r="AI122" s="18" t="s">
        <v>160</v>
      </c>
      <c r="AJ122" s="18" t="s">
        <v>161</v>
      </c>
      <c r="AK122" s="18">
        <v>14.28</v>
      </c>
      <c r="AL122" s="18" t="s">
        <v>95</v>
      </c>
      <c r="AM122" s="18" t="s">
        <v>95</v>
      </c>
      <c r="AN122" s="18" t="s">
        <v>7984</v>
      </c>
      <c r="AO122" s="18" t="s">
        <v>139</v>
      </c>
      <c r="AP122" s="20" t="s">
        <v>866</v>
      </c>
      <c r="AQ122" s="18" t="s">
        <v>867</v>
      </c>
      <c r="AR122" s="18" t="s">
        <v>496</v>
      </c>
      <c r="AS122" s="18">
        <v>1</v>
      </c>
      <c r="AT122" s="18" t="s">
        <v>138</v>
      </c>
      <c r="AU122" s="18" t="s">
        <v>90</v>
      </c>
      <c r="AV122" s="18" t="s">
        <v>8676</v>
      </c>
      <c r="AW122" s="18" t="s">
        <v>8677</v>
      </c>
      <c r="AX122" s="18" t="s">
        <v>83</v>
      </c>
      <c r="AY122" s="18" t="s">
        <v>95</v>
      </c>
      <c r="AZ122" s="18" t="s">
        <v>95</v>
      </c>
      <c r="BA122" s="18" t="s">
        <v>95</v>
      </c>
      <c r="BB122" s="18" t="s">
        <v>95</v>
      </c>
      <c r="BC122" s="18" t="s">
        <v>215</v>
      </c>
      <c r="BD122" s="18" t="s">
        <v>95</v>
      </c>
      <c r="BE122" s="18" t="s">
        <v>8212</v>
      </c>
      <c r="BF122" s="18" t="s">
        <v>8001</v>
      </c>
      <c r="BG122" s="18" t="s">
        <v>95</v>
      </c>
      <c r="BH122" s="18" t="s">
        <v>95</v>
      </c>
      <c r="BI122" s="18">
        <v>12</v>
      </c>
      <c r="BJ122" s="18">
        <v>2022</v>
      </c>
      <c r="BK122" s="18" t="s">
        <v>95</v>
      </c>
      <c r="BL122" s="18" t="s">
        <v>95</v>
      </c>
      <c r="BM122" s="18" t="s">
        <v>95</v>
      </c>
      <c r="BN122" s="18" t="s">
        <v>85</v>
      </c>
      <c r="BO122" s="18" t="s">
        <v>86</v>
      </c>
      <c r="BP122" s="18" t="s">
        <v>90</v>
      </c>
      <c r="BQ122" s="18" t="s">
        <v>7987</v>
      </c>
      <c r="BR122" s="18" t="s">
        <v>139</v>
      </c>
      <c r="BS122" s="18" t="s">
        <v>8003</v>
      </c>
      <c r="BT122" s="18" t="s">
        <v>7989</v>
      </c>
      <c r="BU122" s="18" t="s">
        <v>496</v>
      </c>
      <c r="BV122" s="18" t="str">
        <f>Terminales[[#This Row],[IMEI]]&amp;"SI"</f>
        <v>869551050380072SI</v>
      </c>
      <c r="BW122" s="18" t="str">
        <f>VLOOKUP(Terminales[[#This Row],[OFICINA_USUARIO]],[1]!Locales[#Data],3,0)</f>
        <v>TIENDA AMERICA</v>
      </c>
      <c r="BX122" s="18" t="str">
        <f>VLOOKUP(Terminales[[#This Row],[USUARIO_FINAL]],'[1]Personal Ppto vs Real'!$A:$F,6,0)</f>
        <v>ORTEGA RUIZ GABRIEL ANTONIO</v>
      </c>
      <c r="BY122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2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22" s="18">
        <f>DAY(Terminales[[#This Row],[FECHA_FACTURA]])</f>
        <v>7</v>
      </c>
      <c r="CB122" s="65">
        <f>IF(Terminales[[#This Row],[CANTIDAD]] = 1,INDEX([1]!Comisiones[#Data],MATCH("Terminales",[1]!Comisiones[Producto],0),MATCH(Terminales[[#This Row],[TIPO ALTA COMISIONES]],[1]!Comisiones[#Headers],0))*Terminales[[#This Row],[MONTO]],0)</f>
        <v>26.339286000000001</v>
      </c>
      <c r="CC122" s="65">
        <f>IFERROR(IF(AND(Terminales[[#This Row],[CANTIDAD]] = 1,Terminales[[#This Row],[MOVIMIENTO]] = "RENOVACION"),Terminales[[#This Row],[TARIFA_BASICA]]*0.5,),)</f>
        <v>0</v>
      </c>
      <c r="CD122" s="65">
        <f>IF('[1]Resumen TM'!$AW$20 &lt; 0.4,0,Terminales[[#This Row],[MONTO]]*0.02)</f>
        <v>5.2678571999999999</v>
      </c>
      <c r="CE122" s="66">
        <f>Terminales[[#This Row],[COMISIONES TERMINALES]]+Terminales[[#This Row],[COMISIONES RENOVACIONES]]+Terminales[[#This Row],[COMISIONES BONO]]</f>
        <v>31.607143200000003</v>
      </c>
      <c r="CF122" s="67">
        <f>(Terminales[[#This Row],[COMISIONES TERMINALES]]*VLOOKUP(Terminales[[#This Row],[LOCALES]],[1]!Calendario[#Data],3,0))/VLOOKUP(Terminales[[#This Row],[LOCALES]],[1]!Calendario[#Data],2,0)</f>
        <v>43.271684142857147</v>
      </c>
      <c r="CG122" s="67">
        <f>(Terminales[[#This Row],[COMISIONES RENOVACIONES]]*VLOOKUP(Terminales[[#This Row],[LOCALES]],[1]!Calendario[#Data],3,0))/VLOOKUP(Terminales[[#This Row],[LOCALES]],[1]!Calendario[#Data],2,0)</f>
        <v>0</v>
      </c>
      <c r="CH122" s="67">
        <f>(Terminales[[#This Row],[COMISIONES BONO]]*VLOOKUP(Terminales[[#This Row],[LOCALES]],[1]!Calendario[#Data],3,0))/VLOOKUP(Terminales[[#This Row],[LOCALES]],[1]!Calendario[#Data],2,0)</f>
        <v>8.6543368285714291</v>
      </c>
      <c r="CI122" s="67">
        <f>Terminales[[#This Row],[PROY. COM. TERMINALES]]+Terminales[[#This Row],[PROY. COM. RENOV.]]+Terminales[[#This Row],[PROY. COM. 2%]]</f>
        <v>51.926020971428578</v>
      </c>
    </row>
    <row r="123" spans="1:87" x14ac:dyDescent="0.25">
      <c r="A123" s="68">
        <v>44926</v>
      </c>
      <c r="B123" s="68">
        <v>44902</v>
      </c>
      <c r="C123" s="18" t="s">
        <v>291</v>
      </c>
      <c r="D123" s="18" t="s">
        <v>78</v>
      </c>
      <c r="E123" s="18" t="s">
        <v>164</v>
      </c>
      <c r="F123" s="18" t="s">
        <v>3197</v>
      </c>
      <c r="G123" s="18" t="s">
        <v>292</v>
      </c>
      <c r="H123" s="18" t="s">
        <v>494</v>
      </c>
      <c r="I123" s="18" t="s">
        <v>8841</v>
      </c>
      <c r="J123" s="18" t="s">
        <v>95</v>
      </c>
      <c r="K123" s="18" t="s">
        <v>7970</v>
      </c>
      <c r="L123" s="18" t="s">
        <v>1699</v>
      </c>
      <c r="M123" s="18" t="s">
        <v>8838</v>
      </c>
      <c r="N123" s="18" t="s">
        <v>8839</v>
      </c>
      <c r="O123" s="18" t="s">
        <v>3200</v>
      </c>
      <c r="P123" s="18" t="s">
        <v>3198</v>
      </c>
      <c r="Q123" s="18" t="s">
        <v>7975</v>
      </c>
      <c r="R123" s="18" t="s">
        <v>7976</v>
      </c>
      <c r="S123" s="18" t="s">
        <v>8673</v>
      </c>
      <c r="T123" s="18" t="s">
        <v>8842</v>
      </c>
      <c r="U123" s="18" t="s">
        <v>7996</v>
      </c>
      <c r="V123" s="18" t="s">
        <v>6963</v>
      </c>
      <c r="W123" s="18" t="s">
        <v>95</v>
      </c>
      <c r="X123" s="18" t="s">
        <v>95</v>
      </c>
      <c r="Y123" s="18" t="s">
        <v>7980</v>
      </c>
      <c r="Z123" s="18" t="s">
        <v>6996</v>
      </c>
      <c r="AA123" s="69">
        <v>1</v>
      </c>
      <c r="AB123" s="18">
        <v>169.64286000000001</v>
      </c>
      <c r="AC123" s="18" t="s">
        <v>8843</v>
      </c>
      <c r="AD123" s="18" t="s">
        <v>8151</v>
      </c>
      <c r="AE123" s="18">
        <v>145.68</v>
      </c>
      <c r="AF123" s="18" t="s">
        <v>7983</v>
      </c>
      <c r="AG123" s="18">
        <v>145.68</v>
      </c>
      <c r="AH123" s="18" t="s">
        <v>95</v>
      </c>
      <c r="AI123" s="18" t="s">
        <v>194</v>
      </c>
      <c r="AJ123" s="18" t="s">
        <v>268</v>
      </c>
      <c r="AK123" s="18">
        <v>14.28</v>
      </c>
      <c r="AL123" s="18" t="s">
        <v>95</v>
      </c>
      <c r="AM123" s="18" t="s">
        <v>95</v>
      </c>
      <c r="AN123" s="18" t="s">
        <v>7984</v>
      </c>
      <c r="AO123" s="18" t="s">
        <v>139</v>
      </c>
      <c r="AP123" s="20" t="s">
        <v>866</v>
      </c>
      <c r="AQ123" s="18" t="s">
        <v>867</v>
      </c>
      <c r="AR123" s="18" t="s">
        <v>496</v>
      </c>
      <c r="AS123" s="18">
        <v>1</v>
      </c>
      <c r="AT123" s="18" t="s">
        <v>138</v>
      </c>
      <c r="AU123" s="18" t="s">
        <v>90</v>
      </c>
      <c r="AV123" s="18" t="s">
        <v>8844</v>
      </c>
      <c r="AW123" s="18" t="s">
        <v>8845</v>
      </c>
      <c r="AX123" s="18" t="s">
        <v>83</v>
      </c>
      <c r="AY123" s="18" t="s">
        <v>95</v>
      </c>
      <c r="AZ123" s="18" t="s">
        <v>95</v>
      </c>
      <c r="BA123" s="18" t="s">
        <v>95</v>
      </c>
      <c r="BB123" s="18" t="s">
        <v>95</v>
      </c>
      <c r="BC123" s="18" t="s">
        <v>215</v>
      </c>
      <c r="BD123" s="18" t="s">
        <v>95</v>
      </c>
      <c r="BE123" s="18" t="s">
        <v>95</v>
      </c>
      <c r="BF123" s="18" t="s">
        <v>95</v>
      </c>
      <c r="BG123" s="18" t="s">
        <v>95</v>
      </c>
      <c r="BH123" s="18" t="s">
        <v>95</v>
      </c>
      <c r="BI123" s="18">
        <v>12</v>
      </c>
      <c r="BJ123" s="18">
        <v>2022</v>
      </c>
      <c r="BK123" s="18" t="s">
        <v>95</v>
      </c>
      <c r="BL123" s="18" t="s">
        <v>95</v>
      </c>
      <c r="BM123" s="18" t="s">
        <v>95</v>
      </c>
      <c r="BN123" s="18" t="s">
        <v>85</v>
      </c>
      <c r="BO123" s="18" t="s">
        <v>86</v>
      </c>
      <c r="BP123" s="18" t="s">
        <v>90</v>
      </c>
      <c r="BQ123" s="18" t="s">
        <v>7987</v>
      </c>
      <c r="BR123" s="18" t="s">
        <v>139</v>
      </c>
      <c r="BS123" s="18" t="s">
        <v>8074</v>
      </c>
      <c r="BT123" s="18" t="s">
        <v>7989</v>
      </c>
      <c r="BU123" s="18" t="s">
        <v>496</v>
      </c>
      <c r="BV123" s="18" t="str">
        <f>Terminales[[#This Row],[IMEI]]&amp;"SI"</f>
        <v>860256053188295SI</v>
      </c>
      <c r="BW123" s="18" t="str">
        <f>VLOOKUP(Terminales[[#This Row],[OFICINA_USUARIO]],[1]!Locales[#Data],3,0)</f>
        <v>TIENDA AMERICA</v>
      </c>
      <c r="BX123" s="18" t="str">
        <f>VLOOKUP(Terminales[[#This Row],[USUARIO_FINAL]],'[1]Personal Ppto vs Real'!$A:$F,6,0)</f>
        <v>ORTEGA RUIZ GABRIEL ANTONIO</v>
      </c>
      <c r="BY123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2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23" s="18">
        <f>DAY(Terminales[[#This Row],[FECHA_FACTURA]])</f>
        <v>7</v>
      </c>
      <c r="CB123" s="65">
        <f>IF(Terminales[[#This Row],[CANTIDAD]] = 1,INDEX([1]!Comisiones[#Data],MATCH("Terminales",[1]!Comisiones[Producto],0),MATCH(Terminales[[#This Row],[TIPO ALTA COMISIONES]],[1]!Comisiones[#Headers],0))*Terminales[[#This Row],[MONTO]],0)</f>
        <v>16.964286000000001</v>
      </c>
      <c r="CC123" s="65">
        <f>IFERROR(IF(AND(Terminales[[#This Row],[CANTIDAD]] = 1,Terminales[[#This Row],[MOVIMIENTO]] = "RENOVACION"),Terminales[[#This Row],[TARIFA_BASICA]]*0.5,),)</f>
        <v>0</v>
      </c>
      <c r="CD123" s="65">
        <f>IF('[1]Resumen TM'!$AW$20 &lt; 0.4,0,Terminales[[#This Row],[MONTO]]*0.02)</f>
        <v>3.3928572000000004</v>
      </c>
      <c r="CE123" s="66">
        <f>Terminales[[#This Row],[COMISIONES TERMINALES]]+Terminales[[#This Row],[COMISIONES RENOVACIONES]]+Terminales[[#This Row],[COMISIONES BONO]]</f>
        <v>20.357143200000003</v>
      </c>
      <c r="CF123" s="67">
        <f>(Terminales[[#This Row],[COMISIONES TERMINALES]]*VLOOKUP(Terminales[[#This Row],[LOCALES]],[1]!Calendario[#Data],3,0))/VLOOKUP(Terminales[[#This Row],[LOCALES]],[1]!Calendario[#Data],2,0)</f>
        <v>27.869898428571428</v>
      </c>
      <c r="CG123" s="67">
        <f>(Terminales[[#This Row],[COMISIONES RENOVACIONES]]*VLOOKUP(Terminales[[#This Row],[LOCALES]],[1]!Calendario[#Data],3,0))/VLOOKUP(Terminales[[#This Row],[LOCALES]],[1]!Calendario[#Data],2,0)</f>
        <v>0</v>
      </c>
      <c r="CH123" s="67">
        <f>(Terminales[[#This Row],[COMISIONES BONO]]*VLOOKUP(Terminales[[#This Row],[LOCALES]],[1]!Calendario[#Data],3,0))/VLOOKUP(Terminales[[#This Row],[LOCALES]],[1]!Calendario[#Data],2,0)</f>
        <v>5.5739796857142858</v>
      </c>
      <c r="CI123" s="67">
        <f>Terminales[[#This Row],[PROY. COM. TERMINALES]]+Terminales[[#This Row],[PROY. COM. RENOV.]]+Terminales[[#This Row],[PROY. COM. 2%]]</f>
        <v>33.443878114285717</v>
      </c>
    </row>
    <row r="124" spans="1:87" x14ac:dyDescent="0.25">
      <c r="A124" s="68">
        <v>44926</v>
      </c>
      <c r="B124" s="68">
        <v>44902</v>
      </c>
      <c r="C124" s="18" t="s">
        <v>96</v>
      </c>
      <c r="D124" s="18" t="s">
        <v>96</v>
      </c>
      <c r="E124" s="18" t="s">
        <v>96</v>
      </c>
      <c r="F124" s="18" t="s">
        <v>95</v>
      </c>
      <c r="G124" s="18" t="s">
        <v>292</v>
      </c>
      <c r="H124" s="18" t="s">
        <v>494</v>
      </c>
      <c r="I124" s="18" t="s">
        <v>8846</v>
      </c>
      <c r="J124" s="18" t="s">
        <v>95</v>
      </c>
      <c r="K124" s="18" t="s">
        <v>7970</v>
      </c>
      <c r="L124" s="18" t="s">
        <v>8847</v>
      </c>
      <c r="M124" s="18" t="s">
        <v>8848</v>
      </c>
      <c r="N124" s="18" t="s">
        <v>8849</v>
      </c>
      <c r="O124" s="18" t="s">
        <v>4907</v>
      </c>
      <c r="P124" s="18" t="s">
        <v>8850</v>
      </c>
      <c r="Q124" s="18" t="s">
        <v>7975</v>
      </c>
      <c r="R124" s="18" t="s">
        <v>7976</v>
      </c>
      <c r="S124" s="18" t="s">
        <v>8045</v>
      </c>
      <c r="T124" s="18" t="s">
        <v>8099</v>
      </c>
      <c r="U124" s="18" t="s">
        <v>8100</v>
      </c>
      <c r="V124" s="18" t="s">
        <v>6963</v>
      </c>
      <c r="W124" s="18" t="s">
        <v>95</v>
      </c>
      <c r="X124" s="18" t="s">
        <v>95</v>
      </c>
      <c r="Y124" s="18" t="s">
        <v>7980</v>
      </c>
      <c r="Z124" s="18" t="s">
        <v>6996</v>
      </c>
      <c r="AA124" s="69">
        <v>1</v>
      </c>
      <c r="AB124" s="18">
        <v>406.25</v>
      </c>
      <c r="AC124" s="18" t="s">
        <v>95</v>
      </c>
      <c r="AD124" s="18" t="s">
        <v>96</v>
      </c>
      <c r="AE124" s="18">
        <v>396.5</v>
      </c>
      <c r="AF124" s="18" t="s">
        <v>7983</v>
      </c>
      <c r="AG124" s="18">
        <v>396.5</v>
      </c>
      <c r="AH124" s="18" t="s">
        <v>95</v>
      </c>
      <c r="AI124" s="18" t="s">
        <v>95</v>
      </c>
      <c r="AJ124" s="18" t="s">
        <v>95</v>
      </c>
      <c r="AK124" s="18" t="s">
        <v>95</v>
      </c>
      <c r="AL124" s="18" t="s">
        <v>95</v>
      </c>
      <c r="AM124" s="18" t="s">
        <v>95</v>
      </c>
      <c r="AN124" s="18" t="s">
        <v>7984</v>
      </c>
      <c r="AO124" s="18" t="s">
        <v>139</v>
      </c>
      <c r="AP124" s="20" t="s">
        <v>492</v>
      </c>
      <c r="AQ124" s="18" t="s">
        <v>493</v>
      </c>
      <c r="AR124" s="18" t="s">
        <v>496</v>
      </c>
      <c r="AS124" s="18">
        <v>1</v>
      </c>
      <c r="AT124" s="18" t="s">
        <v>177</v>
      </c>
      <c r="AU124" s="18" t="s">
        <v>90</v>
      </c>
      <c r="AV124" s="18" t="s">
        <v>8660</v>
      </c>
      <c r="AW124" s="18" t="s">
        <v>8661</v>
      </c>
      <c r="AX124" s="18" t="s">
        <v>83</v>
      </c>
      <c r="AY124" s="18" t="s">
        <v>95</v>
      </c>
      <c r="AZ124" s="18" t="s">
        <v>95</v>
      </c>
      <c r="BA124" s="18" t="s">
        <v>95</v>
      </c>
      <c r="BB124" s="18" t="s">
        <v>95</v>
      </c>
      <c r="BC124" s="18" t="s">
        <v>95</v>
      </c>
      <c r="BD124" s="18" t="s">
        <v>95</v>
      </c>
      <c r="BE124" s="18" t="s">
        <v>8476</v>
      </c>
      <c r="BF124" s="18" t="s">
        <v>8064</v>
      </c>
      <c r="BG124" s="18" t="s">
        <v>95</v>
      </c>
      <c r="BH124" s="18" t="s">
        <v>95</v>
      </c>
      <c r="BI124" s="18">
        <v>12</v>
      </c>
      <c r="BJ124" s="18">
        <v>2022</v>
      </c>
      <c r="BK124" s="18" t="s">
        <v>95</v>
      </c>
      <c r="BL124" s="18" t="s">
        <v>95</v>
      </c>
      <c r="BM124" s="18" t="s">
        <v>95</v>
      </c>
      <c r="BN124" s="18" t="s">
        <v>85</v>
      </c>
      <c r="BO124" s="18" t="s">
        <v>86</v>
      </c>
      <c r="BP124" s="18" t="s">
        <v>90</v>
      </c>
      <c r="BQ124" s="18" t="s">
        <v>8002</v>
      </c>
      <c r="BR124" s="18" t="s">
        <v>139</v>
      </c>
      <c r="BS124" s="18" t="s">
        <v>8003</v>
      </c>
      <c r="BT124" s="18" t="s">
        <v>7989</v>
      </c>
      <c r="BU124" s="18" t="s">
        <v>496</v>
      </c>
      <c r="BV124" s="18" t="str">
        <f>Terminales[[#This Row],[IMEI]]&amp;"SI"</f>
        <v>353842195565161SI</v>
      </c>
      <c r="BW124" s="18" t="str">
        <f>VLOOKUP(Terminales[[#This Row],[OFICINA_USUARIO]],[1]!Locales[#Data],3,0)</f>
        <v>TIENDA RECREO</v>
      </c>
      <c r="BX124" s="18" t="str">
        <f>VLOOKUP(Terminales[[#This Row],[USUARIO_FINAL]],'[1]Personal Ppto vs Real'!$A:$F,6,0)</f>
        <v>CONDO GARCIA NICOLAS MATIAS</v>
      </c>
      <c r="BY12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2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24" s="18">
        <f>DAY(Terminales[[#This Row],[FECHA_FACTURA]])</f>
        <v>7</v>
      </c>
      <c r="CB124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124" s="65">
        <f>IFERROR(IF(AND(Terminales[[#This Row],[CANTIDAD]] = 1,Terminales[[#This Row],[MOVIMIENTO]] = "RENOVACION"),Terminales[[#This Row],[TARIFA_BASICA]]*0.5,),)</f>
        <v>0</v>
      </c>
      <c r="CD124" s="65">
        <f>IF('[1]Resumen TM'!$AW$20 &lt; 0.4,0,Terminales[[#This Row],[MONTO]]*0.02)</f>
        <v>8.125</v>
      </c>
      <c r="CE124" s="66">
        <f>Terminales[[#This Row],[COMISIONES TERMINALES]]+Terminales[[#This Row],[COMISIONES RENOVACIONES]]+Terminales[[#This Row],[COMISIONES BONO]]</f>
        <v>48.75</v>
      </c>
      <c r="CF124" s="67">
        <f>(Terminales[[#This Row],[COMISIONES TERMINALES]]*VLOOKUP(Terminales[[#This Row],[LOCALES]],[1]!Calendario[#Data],3,0))/VLOOKUP(Terminales[[#This Row],[LOCALES]],[1]!Calendario[#Data],2,0)</f>
        <v>66.834677419354833</v>
      </c>
      <c r="CG124" s="67">
        <f>(Terminales[[#This Row],[COMISIONES RENOVACIONES]]*VLOOKUP(Terminales[[#This Row],[LOCALES]],[1]!Calendario[#Data],3,0))/VLOOKUP(Terminales[[#This Row],[LOCALES]],[1]!Calendario[#Data],2,0)</f>
        <v>0</v>
      </c>
      <c r="CH124" s="67">
        <f>(Terminales[[#This Row],[COMISIONES BONO]]*VLOOKUP(Terminales[[#This Row],[LOCALES]],[1]!Calendario[#Data],3,0))/VLOOKUP(Terminales[[#This Row],[LOCALES]],[1]!Calendario[#Data],2,0)</f>
        <v>13.366935483870968</v>
      </c>
      <c r="CI124" s="67">
        <f>Terminales[[#This Row],[PROY. COM. TERMINALES]]+Terminales[[#This Row],[PROY. COM. RENOV.]]+Terminales[[#This Row],[PROY. COM. 2%]]</f>
        <v>80.201612903225794</v>
      </c>
    </row>
    <row r="125" spans="1:87" x14ac:dyDescent="0.25">
      <c r="A125" s="68">
        <v>44926</v>
      </c>
      <c r="B125" s="68">
        <v>44902</v>
      </c>
      <c r="C125" s="18" t="s">
        <v>291</v>
      </c>
      <c r="D125" s="18" t="s">
        <v>78</v>
      </c>
      <c r="E125" s="18" t="s">
        <v>768</v>
      </c>
      <c r="F125" s="18" t="s">
        <v>4976</v>
      </c>
      <c r="G125" s="18" t="s">
        <v>292</v>
      </c>
      <c r="H125" s="18" t="s">
        <v>494</v>
      </c>
      <c r="I125" s="18" t="s">
        <v>8851</v>
      </c>
      <c r="J125" s="18" t="s">
        <v>95</v>
      </c>
      <c r="K125" s="18" t="s">
        <v>7970</v>
      </c>
      <c r="L125" s="18" t="s">
        <v>4977</v>
      </c>
      <c r="M125" s="18" t="s">
        <v>4978</v>
      </c>
      <c r="N125" s="18" t="s">
        <v>4979</v>
      </c>
      <c r="O125" s="18" t="s">
        <v>543</v>
      </c>
      <c r="P125" s="18" t="s">
        <v>4980</v>
      </c>
      <c r="Q125" s="18" t="s">
        <v>7975</v>
      </c>
      <c r="R125" s="18" t="s">
        <v>7976</v>
      </c>
      <c r="S125" s="18" t="s">
        <v>7994</v>
      </c>
      <c r="T125" s="18" t="s">
        <v>8245</v>
      </c>
      <c r="U125" s="18" t="s">
        <v>8012</v>
      </c>
      <c r="V125" s="18" t="s">
        <v>6963</v>
      </c>
      <c r="W125" s="18" t="s">
        <v>95</v>
      </c>
      <c r="X125" s="18" t="s">
        <v>95</v>
      </c>
      <c r="Y125" s="18" t="s">
        <v>7980</v>
      </c>
      <c r="Z125" s="18" t="s">
        <v>6996</v>
      </c>
      <c r="AA125" s="69">
        <v>1</v>
      </c>
      <c r="AB125" s="18">
        <v>156.25</v>
      </c>
      <c r="AC125" s="18" t="s">
        <v>8852</v>
      </c>
      <c r="AD125" s="18" t="s">
        <v>8151</v>
      </c>
      <c r="AE125" s="18">
        <v>156</v>
      </c>
      <c r="AF125" s="18" t="s">
        <v>7983</v>
      </c>
      <c r="AG125" s="18">
        <v>156</v>
      </c>
      <c r="AH125" s="18" t="s">
        <v>95</v>
      </c>
      <c r="AI125" s="18" t="s">
        <v>183</v>
      </c>
      <c r="AJ125" s="18" t="s">
        <v>184</v>
      </c>
      <c r="AK125" s="18">
        <v>11.42</v>
      </c>
      <c r="AL125" s="18" t="s">
        <v>95</v>
      </c>
      <c r="AM125" s="18" t="s">
        <v>95</v>
      </c>
      <c r="AN125" s="18" t="s">
        <v>7984</v>
      </c>
      <c r="AO125" s="18" t="s">
        <v>92</v>
      </c>
      <c r="AP125" s="20" t="s">
        <v>610</v>
      </c>
      <c r="AQ125" s="18" t="s">
        <v>611</v>
      </c>
      <c r="AR125" s="18" t="s">
        <v>496</v>
      </c>
      <c r="AS125" s="18">
        <v>1</v>
      </c>
      <c r="AT125" s="18" t="s">
        <v>151</v>
      </c>
      <c r="AU125" s="18" t="s">
        <v>90</v>
      </c>
      <c r="AV125" s="18" t="s">
        <v>8247</v>
      </c>
      <c r="AW125" s="18" t="s">
        <v>8248</v>
      </c>
      <c r="AX125" s="18" t="s">
        <v>83</v>
      </c>
      <c r="AY125" s="18" t="s">
        <v>95</v>
      </c>
      <c r="AZ125" s="18" t="s">
        <v>95</v>
      </c>
      <c r="BA125" s="18" t="s">
        <v>95</v>
      </c>
      <c r="BB125" s="18" t="s">
        <v>95</v>
      </c>
      <c r="BC125" s="18" t="s">
        <v>84</v>
      </c>
      <c r="BD125" s="18" t="s">
        <v>95</v>
      </c>
      <c r="BE125" s="18" t="s">
        <v>95</v>
      </c>
      <c r="BF125" s="18" t="s">
        <v>95</v>
      </c>
      <c r="BG125" s="18" t="s">
        <v>95</v>
      </c>
      <c r="BH125" s="18" t="s">
        <v>95</v>
      </c>
      <c r="BI125" s="18">
        <v>12</v>
      </c>
      <c r="BJ125" s="18">
        <v>2022</v>
      </c>
      <c r="BK125" s="18" t="s">
        <v>95</v>
      </c>
      <c r="BL125" s="18" t="s">
        <v>95</v>
      </c>
      <c r="BM125" s="18" t="s">
        <v>95</v>
      </c>
      <c r="BN125" s="18" t="s">
        <v>85</v>
      </c>
      <c r="BO125" s="18" t="s">
        <v>86</v>
      </c>
      <c r="BP125" s="18" t="s">
        <v>90</v>
      </c>
      <c r="BQ125" s="18" t="s">
        <v>8141</v>
      </c>
      <c r="BR125" s="18" t="s">
        <v>92</v>
      </c>
      <c r="BS125" s="18" t="s">
        <v>8074</v>
      </c>
      <c r="BT125" s="18" t="s">
        <v>7989</v>
      </c>
      <c r="BU125" s="18" t="s">
        <v>496</v>
      </c>
      <c r="BV125" s="18" t="str">
        <f>Terminales[[#This Row],[IMEI]]&amp;"SI"</f>
        <v>355108340298910SI</v>
      </c>
      <c r="BW125" s="18" t="str">
        <f>VLOOKUP(Terminales[[#This Row],[OFICINA_USUARIO]],[1]!Locales[#Data],3,0)</f>
        <v>TIENDA CUENCA REMIGIO</v>
      </c>
      <c r="BX125" s="18" t="str">
        <f>VLOOKUP(Terminales[[#This Row],[USUARIO_FINAL]],'[1]Personal Ppto vs Real'!$A:$F,6,0)</f>
        <v>PATIÑO TAPIA ANDRES SANTIAGO</v>
      </c>
      <c r="BY125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2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25" s="18">
        <f>DAY(Terminales[[#This Row],[FECHA_FACTURA]])</f>
        <v>7</v>
      </c>
      <c r="CB125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125" s="65">
        <f>IFERROR(IF(AND(Terminales[[#This Row],[CANTIDAD]] = 1,Terminales[[#This Row],[MOVIMIENTO]] = "RENOVACION"),Terminales[[#This Row],[TARIFA_BASICA]]*0.5,),)</f>
        <v>0</v>
      </c>
      <c r="CD125" s="65">
        <f>IF('[1]Resumen TM'!$AW$20 &lt; 0.4,0,Terminales[[#This Row],[MONTO]]*0.02)</f>
        <v>3.125</v>
      </c>
      <c r="CE125" s="66">
        <f>Terminales[[#This Row],[COMISIONES TERMINALES]]+Terminales[[#This Row],[COMISIONES RENOVACIONES]]+Terminales[[#This Row],[COMISIONES BONO]]</f>
        <v>18.75</v>
      </c>
      <c r="CF125" s="67">
        <f>(Terminales[[#This Row],[COMISIONES TERMINALES]]*VLOOKUP(Terminales[[#This Row],[LOCALES]],[1]!Calendario[#Data],3,0))/VLOOKUP(Terminales[[#This Row],[LOCALES]],[1]!Calendario[#Data],2,0)</f>
        <v>25.323275862068964</v>
      </c>
      <c r="CG125" s="67">
        <f>(Terminales[[#This Row],[COMISIONES RENOVACIONES]]*VLOOKUP(Terminales[[#This Row],[LOCALES]],[1]!Calendario[#Data],3,0))/VLOOKUP(Terminales[[#This Row],[LOCALES]],[1]!Calendario[#Data],2,0)</f>
        <v>0</v>
      </c>
      <c r="CH125" s="67">
        <f>(Terminales[[#This Row],[COMISIONES BONO]]*VLOOKUP(Terminales[[#This Row],[LOCALES]],[1]!Calendario[#Data],3,0))/VLOOKUP(Terminales[[#This Row],[LOCALES]],[1]!Calendario[#Data],2,0)</f>
        <v>5.0646551724137927</v>
      </c>
      <c r="CI125" s="67">
        <f>Terminales[[#This Row],[PROY. COM. TERMINALES]]+Terminales[[#This Row],[PROY. COM. RENOV.]]+Terminales[[#This Row],[PROY. COM. 2%]]</f>
        <v>30.387931034482758</v>
      </c>
    </row>
    <row r="126" spans="1:87" x14ac:dyDescent="0.25">
      <c r="A126" s="68">
        <v>44926</v>
      </c>
      <c r="B126" s="68">
        <v>44902</v>
      </c>
      <c r="C126" s="18" t="s">
        <v>291</v>
      </c>
      <c r="D126" s="18" t="s">
        <v>78</v>
      </c>
      <c r="E126" s="18" t="s">
        <v>231</v>
      </c>
      <c r="F126" s="18" t="s">
        <v>8853</v>
      </c>
      <c r="G126" s="18" t="s">
        <v>292</v>
      </c>
      <c r="H126" s="18" t="s">
        <v>494</v>
      </c>
      <c r="I126" s="18" t="s">
        <v>8854</v>
      </c>
      <c r="J126" s="18" t="s">
        <v>95</v>
      </c>
      <c r="K126" s="18" t="s">
        <v>7970</v>
      </c>
      <c r="L126" s="18" t="s">
        <v>8855</v>
      </c>
      <c r="M126" s="18" t="s">
        <v>8856</v>
      </c>
      <c r="N126" s="18" t="s">
        <v>8857</v>
      </c>
      <c r="O126" s="18" t="s">
        <v>2260</v>
      </c>
      <c r="P126" s="18" t="s">
        <v>8858</v>
      </c>
      <c r="Q126" s="18" t="s">
        <v>7975</v>
      </c>
      <c r="R126" s="18" t="s">
        <v>7976</v>
      </c>
      <c r="S126" s="18" t="s">
        <v>8010</v>
      </c>
      <c r="T126" s="18" t="s">
        <v>8011</v>
      </c>
      <c r="U126" s="18" t="s">
        <v>8012</v>
      </c>
      <c r="V126" s="18" t="s">
        <v>6963</v>
      </c>
      <c r="W126" s="18" t="s">
        <v>95</v>
      </c>
      <c r="X126" s="18" t="s">
        <v>95</v>
      </c>
      <c r="Y126" s="18" t="s">
        <v>7980</v>
      </c>
      <c r="Z126" s="18" t="s">
        <v>6996</v>
      </c>
      <c r="AA126" s="69">
        <v>1</v>
      </c>
      <c r="AB126" s="18">
        <v>196.42857000000001</v>
      </c>
      <c r="AC126" s="18" t="s">
        <v>8859</v>
      </c>
      <c r="AD126" s="18" t="s">
        <v>7982</v>
      </c>
      <c r="AE126" s="18">
        <v>168.8</v>
      </c>
      <c r="AF126" s="18" t="s">
        <v>7983</v>
      </c>
      <c r="AG126" s="18">
        <v>168.8</v>
      </c>
      <c r="AH126" s="18" t="s">
        <v>95</v>
      </c>
      <c r="AI126" s="18" t="s">
        <v>4963</v>
      </c>
      <c r="AJ126" s="18" t="s">
        <v>4964</v>
      </c>
      <c r="AK126" s="18">
        <v>32.130000000000003</v>
      </c>
      <c r="AL126" s="18" t="s">
        <v>95</v>
      </c>
      <c r="AM126" s="18" t="s">
        <v>95</v>
      </c>
      <c r="AN126" s="18" t="s">
        <v>7984</v>
      </c>
      <c r="AO126" s="18" t="s">
        <v>139</v>
      </c>
      <c r="AP126" s="20" t="s">
        <v>866</v>
      </c>
      <c r="AQ126" s="18" t="s">
        <v>867</v>
      </c>
      <c r="AR126" s="18" t="s">
        <v>496</v>
      </c>
      <c r="AS126" s="18">
        <v>1</v>
      </c>
      <c r="AT126" s="18" t="s">
        <v>138</v>
      </c>
      <c r="AU126" s="18" t="s">
        <v>90</v>
      </c>
      <c r="AV126" s="18" t="s">
        <v>8014</v>
      </c>
      <c r="AW126" s="18" t="s">
        <v>8015</v>
      </c>
      <c r="AX126" s="18" t="s">
        <v>83</v>
      </c>
      <c r="AY126" s="18" t="s">
        <v>95</v>
      </c>
      <c r="AZ126" s="18" t="s">
        <v>95</v>
      </c>
      <c r="BA126" s="18" t="s">
        <v>95</v>
      </c>
      <c r="BB126" s="18" t="s">
        <v>95</v>
      </c>
      <c r="BC126" s="18" t="s">
        <v>118</v>
      </c>
      <c r="BD126" s="18" t="s">
        <v>95</v>
      </c>
      <c r="BE126" s="18" t="s">
        <v>95</v>
      </c>
      <c r="BF126" s="18" t="s">
        <v>95</v>
      </c>
      <c r="BG126" s="18" t="s">
        <v>95</v>
      </c>
      <c r="BH126" s="18" t="s">
        <v>95</v>
      </c>
      <c r="BI126" s="18">
        <v>12</v>
      </c>
      <c r="BJ126" s="18">
        <v>2022</v>
      </c>
      <c r="BK126" s="18" t="s">
        <v>95</v>
      </c>
      <c r="BL126" s="18" t="s">
        <v>95</v>
      </c>
      <c r="BM126" s="18" t="s">
        <v>95</v>
      </c>
      <c r="BN126" s="18" t="s">
        <v>85</v>
      </c>
      <c r="BO126" s="18" t="s">
        <v>86</v>
      </c>
      <c r="BP126" s="18" t="s">
        <v>90</v>
      </c>
      <c r="BQ126" s="18" t="s">
        <v>7987</v>
      </c>
      <c r="BR126" s="18" t="s">
        <v>139</v>
      </c>
      <c r="BS126" s="18" t="s">
        <v>8074</v>
      </c>
      <c r="BT126" s="18" t="s">
        <v>7989</v>
      </c>
      <c r="BU126" s="18" t="s">
        <v>496</v>
      </c>
      <c r="BV126" s="18" t="str">
        <f>Terminales[[#This Row],[IMEI]]&amp;"SI"</f>
        <v>359694275331129SI</v>
      </c>
      <c r="BW126" s="18" t="str">
        <f>VLOOKUP(Terminales[[#This Row],[OFICINA_USUARIO]],[1]!Locales[#Data],3,0)</f>
        <v>TIENDA AMERICA</v>
      </c>
      <c r="BX126" s="18" t="str">
        <f>VLOOKUP(Terminales[[#This Row],[USUARIO_FINAL]],'[1]Personal Ppto vs Real'!$A:$F,6,0)</f>
        <v>ORTEGA RUIZ GABRIEL ANTONIO</v>
      </c>
      <c r="BY12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2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26" s="18">
        <f>DAY(Terminales[[#This Row],[FECHA_FACTURA]])</f>
        <v>7</v>
      </c>
      <c r="CB126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126" s="65">
        <f>IFERROR(IF(AND(Terminales[[#This Row],[CANTIDAD]] = 1,Terminales[[#This Row],[MOVIMIENTO]] = "RENOVACION"),Terminales[[#This Row],[TARIFA_BASICA]]*0.5,),)</f>
        <v>16.065000000000001</v>
      </c>
      <c r="CD126" s="65">
        <f>IF('[1]Resumen TM'!$AW$20 &lt; 0.4,0,Terminales[[#This Row],[MONTO]]*0.02)</f>
        <v>3.9285714</v>
      </c>
      <c r="CE126" s="66">
        <f>Terminales[[#This Row],[COMISIONES TERMINALES]]+Terminales[[#This Row],[COMISIONES RENOVACIONES]]+Terminales[[#This Row],[COMISIONES BONO]]</f>
        <v>39.636428400000007</v>
      </c>
      <c r="CF126" s="67">
        <f>(Terminales[[#This Row],[COMISIONES TERMINALES]]*VLOOKUP(Terminales[[#This Row],[LOCALES]],[1]!Calendario[#Data],3,0))/VLOOKUP(Terminales[[#This Row],[LOCALES]],[1]!Calendario[#Data],2,0)</f>
        <v>32.27040792857143</v>
      </c>
      <c r="CG126" s="67">
        <f>(Terminales[[#This Row],[COMISIONES RENOVACIONES]]*VLOOKUP(Terminales[[#This Row],[LOCALES]],[1]!Calendario[#Data],3,0))/VLOOKUP(Terminales[[#This Row],[LOCALES]],[1]!Calendario[#Data],2,0)</f>
        <v>26.392500000000002</v>
      </c>
      <c r="CH126" s="67">
        <f>(Terminales[[#This Row],[COMISIONES BONO]]*VLOOKUP(Terminales[[#This Row],[LOCALES]],[1]!Calendario[#Data],3,0))/VLOOKUP(Terminales[[#This Row],[LOCALES]],[1]!Calendario[#Data],2,0)</f>
        <v>6.4540815857142855</v>
      </c>
      <c r="CI126" s="67">
        <f>Terminales[[#This Row],[PROY. COM. TERMINALES]]+Terminales[[#This Row],[PROY. COM. RENOV.]]+Terminales[[#This Row],[PROY. COM. 2%]]</f>
        <v>65.11698951428572</v>
      </c>
    </row>
    <row r="127" spans="1:87" x14ac:dyDescent="0.25">
      <c r="A127" s="68">
        <v>44926</v>
      </c>
      <c r="B127" s="68">
        <v>44902</v>
      </c>
      <c r="C127" s="18" t="s">
        <v>291</v>
      </c>
      <c r="D127" s="18" t="s">
        <v>78</v>
      </c>
      <c r="E127" s="18" t="s">
        <v>164</v>
      </c>
      <c r="F127" s="18" t="s">
        <v>4081</v>
      </c>
      <c r="G127" s="18" t="s">
        <v>292</v>
      </c>
      <c r="H127" s="18" t="s">
        <v>494</v>
      </c>
      <c r="I127" s="18" t="s">
        <v>8860</v>
      </c>
      <c r="J127" s="18" t="s">
        <v>95</v>
      </c>
      <c r="K127" s="18" t="s">
        <v>7970</v>
      </c>
      <c r="L127" s="18" t="s">
        <v>4082</v>
      </c>
      <c r="M127" s="18" t="s">
        <v>4083</v>
      </c>
      <c r="N127" s="18" t="s">
        <v>4084</v>
      </c>
      <c r="O127" s="18" t="s">
        <v>354</v>
      </c>
      <c r="P127" s="18" t="s">
        <v>4085</v>
      </c>
      <c r="Q127" s="18" t="s">
        <v>7975</v>
      </c>
      <c r="R127" s="18" t="s">
        <v>7976</v>
      </c>
      <c r="S127" s="18" t="s">
        <v>8070</v>
      </c>
      <c r="T127" s="18" t="s">
        <v>8071</v>
      </c>
      <c r="U127" s="18" t="s">
        <v>8012</v>
      </c>
      <c r="V127" s="18" t="s">
        <v>6963</v>
      </c>
      <c r="W127" s="18" t="s">
        <v>95</v>
      </c>
      <c r="X127" s="18" t="s">
        <v>95</v>
      </c>
      <c r="Y127" s="18" t="s">
        <v>7980</v>
      </c>
      <c r="Z127" s="18" t="s">
        <v>6996</v>
      </c>
      <c r="AA127" s="69">
        <v>1</v>
      </c>
      <c r="AB127" s="18">
        <v>205.35713999999999</v>
      </c>
      <c r="AC127" s="18" t="s">
        <v>8861</v>
      </c>
      <c r="AD127" s="18" t="s">
        <v>8151</v>
      </c>
      <c r="AE127" s="18">
        <v>201.33</v>
      </c>
      <c r="AF127" s="18" t="s">
        <v>7983</v>
      </c>
      <c r="AG127" s="18">
        <v>201.33</v>
      </c>
      <c r="AH127" s="18" t="s">
        <v>95</v>
      </c>
      <c r="AI127" s="18" t="s">
        <v>160</v>
      </c>
      <c r="AJ127" s="18" t="s">
        <v>161</v>
      </c>
      <c r="AK127" s="18">
        <v>14.28</v>
      </c>
      <c r="AL127" s="18" t="s">
        <v>95</v>
      </c>
      <c r="AM127" s="18" t="s">
        <v>95</v>
      </c>
      <c r="AN127" s="18" t="s">
        <v>7984</v>
      </c>
      <c r="AO127" s="18" t="s">
        <v>139</v>
      </c>
      <c r="AP127" s="20" t="s">
        <v>233</v>
      </c>
      <c r="AQ127" s="18" t="s">
        <v>234</v>
      </c>
      <c r="AR127" s="18" t="s">
        <v>496</v>
      </c>
      <c r="AS127" s="18">
        <v>1</v>
      </c>
      <c r="AT127" s="18" t="s">
        <v>235</v>
      </c>
      <c r="AU127" s="18" t="s">
        <v>90</v>
      </c>
      <c r="AV127" s="18" t="s">
        <v>8072</v>
      </c>
      <c r="AW127" s="18" t="s">
        <v>8073</v>
      </c>
      <c r="AX127" s="18" t="s">
        <v>83</v>
      </c>
      <c r="AY127" s="18" t="s">
        <v>95</v>
      </c>
      <c r="AZ127" s="18" t="s">
        <v>95</v>
      </c>
      <c r="BA127" s="18" t="s">
        <v>95</v>
      </c>
      <c r="BB127" s="18" t="s">
        <v>95</v>
      </c>
      <c r="BC127" s="18" t="s">
        <v>215</v>
      </c>
      <c r="BD127" s="18" t="s">
        <v>95</v>
      </c>
      <c r="BE127" s="18" t="s">
        <v>95</v>
      </c>
      <c r="BF127" s="18" t="s">
        <v>95</v>
      </c>
      <c r="BG127" s="18" t="s">
        <v>95</v>
      </c>
      <c r="BH127" s="18" t="s">
        <v>95</v>
      </c>
      <c r="BI127" s="18">
        <v>12</v>
      </c>
      <c r="BJ127" s="18">
        <v>2022</v>
      </c>
      <c r="BK127" s="18" t="s">
        <v>95</v>
      </c>
      <c r="BL127" s="18" t="s">
        <v>95</v>
      </c>
      <c r="BM127" s="18" t="s">
        <v>95</v>
      </c>
      <c r="BN127" s="18" t="s">
        <v>85</v>
      </c>
      <c r="BO127" s="18" t="s">
        <v>86</v>
      </c>
      <c r="BP127" s="18" t="s">
        <v>90</v>
      </c>
      <c r="BQ127" s="18" t="s">
        <v>8016</v>
      </c>
      <c r="BR127" s="18" t="s">
        <v>139</v>
      </c>
      <c r="BS127" s="18" t="s">
        <v>8074</v>
      </c>
      <c r="BT127" s="18" t="s">
        <v>7989</v>
      </c>
      <c r="BU127" s="18" t="s">
        <v>496</v>
      </c>
      <c r="BV127" s="18" t="str">
        <f>Terminales[[#This Row],[IMEI]]&amp;"SI"</f>
        <v>864048063480366SI</v>
      </c>
      <c r="BW127" s="18" t="str">
        <f>VLOOKUP(Terminales[[#This Row],[OFICINA_USUARIO]],[1]!Locales[#Data],3,0)</f>
        <v>TIENDA CONDADO</v>
      </c>
      <c r="BX127" s="18" t="str">
        <f>VLOOKUP(Terminales[[#This Row],[USUARIO_FINAL]],'[1]Personal Ppto vs Real'!$A:$F,6,0)</f>
        <v>ROSALES MALDONADO JESSICA GABRIELA</v>
      </c>
      <c r="BY127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2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27" s="18">
        <f>DAY(Terminales[[#This Row],[FECHA_FACTURA]])</f>
        <v>7</v>
      </c>
      <c r="CB127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127" s="65">
        <f>IFERROR(IF(AND(Terminales[[#This Row],[CANTIDAD]] = 1,Terminales[[#This Row],[MOVIMIENTO]] = "RENOVACION"),Terminales[[#This Row],[TARIFA_BASICA]]*0.5,),)</f>
        <v>0</v>
      </c>
      <c r="CD127" s="65">
        <f>IF('[1]Resumen TM'!$AW$20 &lt; 0.4,0,Terminales[[#This Row],[MONTO]]*0.02)</f>
        <v>4.1071428000000001</v>
      </c>
      <c r="CE127" s="66">
        <f>Terminales[[#This Row],[COMISIONES TERMINALES]]+Terminales[[#This Row],[COMISIONES RENOVACIONES]]+Terminales[[#This Row],[COMISIONES BONO]]</f>
        <v>24.642856799999997</v>
      </c>
      <c r="CF127" s="67">
        <f>(Terminales[[#This Row],[COMISIONES TERMINALES]]*VLOOKUP(Terminales[[#This Row],[LOCALES]],[1]!Calendario[#Data],3,0))/VLOOKUP(Terminales[[#This Row],[LOCALES]],[1]!Calendario[#Data],2,0)</f>
        <v>33.784561741935484</v>
      </c>
      <c r="CG127" s="67">
        <f>(Terminales[[#This Row],[COMISIONES RENOVACIONES]]*VLOOKUP(Terminales[[#This Row],[LOCALES]],[1]!Calendario[#Data],3,0))/VLOOKUP(Terminales[[#This Row],[LOCALES]],[1]!Calendario[#Data],2,0)</f>
        <v>0</v>
      </c>
      <c r="CH127" s="67">
        <f>(Terminales[[#This Row],[COMISIONES BONO]]*VLOOKUP(Terminales[[#This Row],[LOCALES]],[1]!Calendario[#Data],3,0))/VLOOKUP(Terminales[[#This Row],[LOCALES]],[1]!Calendario[#Data],2,0)</f>
        <v>6.7569123483870968</v>
      </c>
      <c r="CI127" s="67">
        <f>Terminales[[#This Row],[PROY. COM. TERMINALES]]+Terminales[[#This Row],[PROY. COM. RENOV.]]+Terminales[[#This Row],[PROY. COM. 2%]]</f>
        <v>40.541474090322581</v>
      </c>
    </row>
    <row r="128" spans="1:87" x14ac:dyDescent="0.25">
      <c r="A128" s="68">
        <v>44926</v>
      </c>
      <c r="B128" s="68">
        <v>44902</v>
      </c>
      <c r="C128" s="18" t="s">
        <v>291</v>
      </c>
      <c r="D128" s="18" t="s">
        <v>521</v>
      </c>
      <c r="E128" s="18" t="s">
        <v>8017</v>
      </c>
      <c r="F128" s="18" t="s">
        <v>8862</v>
      </c>
      <c r="G128" s="18" t="s">
        <v>292</v>
      </c>
      <c r="H128" s="18" t="s">
        <v>494</v>
      </c>
      <c r="I128" s="18" t="s">
        <v>8863</v>
      </c>
      <c r="J128" s="18" t="s">
        <v>95</v>
      </c>
      <c r="K128" s="18" t="s">
        <v>7970</v>
      </c>
      <c r="L128" s="18" t="s">
        <v>8864</v>
      </c>
      <c r="M128" s="18" t="s">
        <v>8865</v>
      </c>
      <c r="N128" s="18" t="s">
        <v>8866</v>
      </c>
      <c r="O128" s="18" t="s">
        <v>4346</v>
      </c>
      <c r="P128" s="18" t="s">
        <v>8867</v>
      </c>
      <c r="Q128" s="18" t="s">
        <v>7975</v>
      </c>
      <c r="R128" s="18" t="s">
        <v>7976</v>
      </c>
      <c r="S128" s="18" t="s">
        <v>8250</v>
      </c>
      <c r="T128" s="18" t="s">
        <v>8251</v>
      </c>
      <c r="U128" s="18" t="s">
        <v>8059</v>
      </c>
      <c r="V128" s="18" t="s">
        <v>6963</v>
      </c>
      <c r="W128" s="18" t="s">
        <v>95</v>
      </c>
      <c r="X128" s="18" t="s">
        <v>95</v>
      </c>
      <c r="Y128" s="18" t="s">
        <v>7980</v>
      </c>
      <c r="Z128" s="18" t="s">
        <v>6996</v>
      </c>
      <c r="AA128" s="69">
        <v>1</v>
      </c>
      <c r="AB128" s="18">
        <v>1151.7857100000001</v>
      </c>
      <c r="AC128" s="18" t="s">
        <v>8868</v>
      </c>
      <c r="AD128" s="18" t="s">
        <v>7982</v>
      </c>
      <c r="AE128" s="18">
        <v>1017.37</v>
      </c>
      <c r="AF128" s="18" t="s">
        <v>7983</v>
      </c>
      <c r="AG128" s="18">
        <v>1017.37</v>
      </c>
      <c r="AH128" s="18" t="s">
        <v>95</v>
      </c>
      <c r="AI128" s="18" t="s">
        <v>8597</v>
      </c>
      <c r="AJ128" s="18" t="s">
        <v>8869</v>
      </c>
      <c r="AK128" s="18">
        <v>25</v>
      </c>
      <c r="AL128" s="18" t="s">
        <v>95</v>
      </c>
      <c r="AM128" s="18" t="s">
        <v>95</v>
      </c>
      <c r="AN128" s="18" t="s">
        <v>7984</v>
      </c>
      <c r="AO128" s="18" t="s">
        <v>92</v>
      </c>
      <c r="AP128" s="20" t="s">
        <v>149</v>
      </c>
      <c r="AQ128" s="18" t="s">
        <v>150</v>
      </c>
      <c r="AR128" s="18" t="s">
        <v>496</v>
      </c>
      <c r="AS128" s="18">
        <v>1</v>
      </c>
      <c r="AT128" s="18" t="s">
        <v>151</v>
      </c>
      <c r="AU128" s="18" t="s">
        <v>90</v>
      </c>
      <c r="AV128" s="18" t="s">
        <v>8253</v>
      </c>
      <c r="AW128" s="18" t="s">
        <v>8254</v>
      </c>
      <c r="AX128" s="18" t="s">
        <v>83</v>
      </c>
      <c r="AY128" s="18" t="s">
        <v>95</v>
      </c>
      <c r="AZ128" s="18" t="s">
        <v>95</v>
      </c>
      <c r="BA128" s="18" t="s">
        <v>95</v>
      </c>
      <c r="BB128" s="18" t="s">
        <v>95</v>
      </c>
      <c r="BC128" s="18" t="s">
        <v>84</v>
      </c>
      <c r="BD128" s="18" t="s">
        <v>95</v>
      </c>
      <c r="BE128" s="18" t="s">
        <v>8449</v>
      </c>
      <c r="BF128" s="18" t="s">
        <v>8171</v>
      </c>
      <c r="BG128" s="18" t="s">
        <v>95</v>
      </c>
      <c r="BH128" s="18" t="s">
        <v>95</v>
      </c>
      <c r="BI128" s="18">
        <v>12</v>
      </c>
      <c r="BJ128" s="18">
        <v>2022</v>
      </c>
      <c r="BK128" s="18" t="s">
        <v>95</v>
      </c>
      <c r="BL128" s="18" t="s">
        <v>95</v>
      </c>
      <c r="BM128" s="18" t="s">
        <v>95</v>
      </c>
      <c r="BN128" s="18" t="s">
        <v>85</v>
      </c>
      <c r="BO128" s="18" t="s">
        <v>86</v>
      </c>
      <c r="BP128" s="18" t="s">
        <v>90</v>
      </c>
      <c r="BQ128" s="18" t="s">
        <v>8141</v>
      </c>
      <c r="BR128" s="18" t="s">
        <v>92</v>
      </c>
      <c r="BS128" s="18" t="s">
        <v>8003</v>
      </c>
      <c r="BT128" s="18" t="s">
        <v>7989</v>
      </c>
      <c r="BU128" s="18" t="s">
        <v>496</v>
      </c>
      <c r="BV128" s="18" t="str">
        <f>Terminales[[#This Row],[IMEI]]&amp;"SI"</f>
        <v>353981764829978SI</v>
      </c>
      <c r="BW128" s="18" t="str">
        <f>VLOOKUP(Terminales[[#This Row],[OFICINA_USUARIO]],[1]!Locales[#Data],3,0)</f>
        <v>TIENDA CUENCA REMIGIO</v>
      </c>
      <c r="BX128" s="18" t="str">
        <f>VLOOKUP(Terminales[[#This Row],[USUARIO_FINAL]],'[1]Personal Ppto vs Real'!$A:$F,6,0)</f>
        <v>OSORIO TEJADA ANA ESTEFANIA</v>
      </c>
      <c r="BY12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2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28" s="18">
        <f>DAY(Terminales[[#This Row],[FECHA_FACTURA]])</f>
        <v>7</v>
      </c>
      <c r="CB128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128" s="65">
        <f>IFERROR(IF(AND(Terminales[[#This Row],[CANTIDAD]] = 1,Terminales[[#This Row],[MOVIMIENTO]] = "RENOVACION"),Terminales[[#This Row],[TARIFA_BASICA]]*0.5,),)</f>
        <v>12.5</v>
      </c>
      <c r="CD128" s="65">
        <f>IF('[1]Resumen TM'!$AW$20 &lt; 0.4,0,Terminales[[#This Row],[MONTO]]*0.02)</f>
        <v>23.035714200000001</v>
      </c>
      <c r="CE128" s="66">
        <f>Terminales[[#This Row],[COMISIONES TERMINALES]]+Terminales[[#This Row],[COMISIONES RENOVACIONES]]+Terminales[[#This Row],[COMISIONES BONO]]</f>
        <v>150.71428520000001</v>
      </c>
      <c r="CF128" s="67">
        <f>(Terminales[[#This Row],[COMISIONES TERMINALES]]*VLOOKUP(Terminales[[#This Row],[LOCALES]],[1]!Calendario[#Data],3,0))/VLOOKUP(Terminales[[#This Row],[LOCALES]],[1]!Calendario[#Data],2,0)</f>
        <v>186.66871851724142</v>
      </c>
      <c r="CG128" s="67">
        <f>(Terminales[[#This Row],[COMISIONES RENOVACIONES]]*VLOOKUP(Terminales[[#This Row],[LOCALES]],[1]!Calendario[#Data],3,0))/VLOOKUP(Terminales[[#This Row],[LOCALES]],[1]!Calendario[#Data],2,0)</f>
        <v>20.258620689655171</v>
      </c>
      <c r="CH128" s="67">
        <f>(Terminales[[#This Row],[COMISIONES BONO]]*VLOOKUP(Terminales[[#This Row],[LOCALES]],[1]!Calendario[#Data],3,0))/VLOOKUP(Terminales[[#This Row],[LOCALES]],[1]!Calendario[#Data],2,0)</f>
        <v>37.333743703448278</v>
      </c>
      <c r="CI128" s="67">
        <f>Terminales[[#This Row],[PROY. COM. TERMINALES]]+Terminales[[#This Row],[PROY. COM. RENOV.]]+Terminales[[#This Row],[PROY. COM. 2%]]</f>
        <v>244.26108291034487</v>
      </c>
    </row>
    <row r="129" spans="1:87" x14ac:dyDescent="0.25">
      <c r="A129" s="68">
        <v>44926</v>
      </c>
      <c r="B129" s="68">
        <v>44902</v>
      </c>
      <c r="C129" s="18" t="s">
        <v>96</v>
      </c>
      <c r="D129" s="18" t="s">
        <v>96</v>
      </c>
      <c r="E129" s="18" t="s">
        <v>96</v>
      </c>
      <c r="F129" s="18" t="s">
        <v>95</v>
      </c>
      <c r="G129" s="18" t="s">
        <v>292</v>
      </c>
      <c r="H129" s="18" t="s">
        <v>494</v>
      </c>
      <c r="I129" s="18" t="s">
        <v>8870</v>
      </c>
      <c r="J129" s="18" t="s">
        <v>95</v>
      </c>
      <c r="K129" s="18" t="s">
        <v>7970</v>
      </c>
      <c r="L129" s="18" t="s">
        <v>8871</v>
      </c>
      <c r="M129" s="18" t="s">
        <v>8872</v>
      </c>
      <c r="N129" s="18" t="s">
        <v>8873</v>
      </c>
      <c r="O129" s="18" t="s">
        <v>1691</v>
      </c>
      <c r="P129" s="18" t="s">
        <v>8874</v>
      </c>
      <c r="Q129" s="18" t="s">
        <v>7975</v>
      </c>
      <c r="R129" s="18" t="s">
        <v>7976</v>
      </c>
      <c r="S129" s="18" t="s">
        <v>8045</v>
      </c>
      <c r="T129" s="18" t="s">
        <v>8225</v>
      </c>
      <c r="U129" s="18" t="s">
        <v>8012</v>
      </c>
      <c r="V129" s="18" t="s">
        <v>6963</v>
      </c>
      <c r="W129" s="18" t="s">
        <v>95</v>
      </c>
      <c r="X129" s="18" t="s">
        <v>95</v>
      </c>
      <c r="Y129" s="18" t="s">
        <v>7980</v>
      </c>
      <c r="Z129" s="18" t="s">
        <v>6996</v>
      </c>
      <c r="AA129" s="69">
        <v>1</v>
      </c>
      <c r="AB129" s="18">
        <v>241.07142999999999</v>
      </c>
      <c r="AC129" s="18" t="s">
        <v>95</v>
      </c>
      <c r="AD129" s="18" t="s">
        <v>96</v>
      </c>
      <c r="AE129" s="18">
        <v>232</v>
      </c>
      <c r="AF129" s="18" t="s">
        <v>7983</v>
      </c>
      <c r="AG129" s="18">
        <v>232</v>
      </c>
      <c r="AH129" s="18" t="s">
        <v>95</v>
      </c>
      <c r="AI129" s="18" t="s">
        <v>95</v>
      </c>
      <c r="AJ129" s="18" t="s">
        <v>95</v>
      </c>
      <c r="AK129" s="18" t="s">
        <v>95</v>
      </c>
      <c r="AL129" s="18" t="s">
        <v>95</v>
      </c>
      <c r="AM129" s="18" t="s">
        <v>95</v>
      </c>
      <c r="AN129" s="18" t="s">
        <v>7984</v>
      </c>
      <c r="AO129" s="18" t="s">
        <v>139</v>
      </c>
      <c r="AP129" s="20" t="s">
        <v>822</v>
      </c>
      <c r="AQ129" s="18" t="s">
        <v>823</v>
      </c>
      <c r="AR129" s="18" t="s">
        <v>496</v>
      </c>
      <c r="AS129" s="18">
        <v>1</v>
      </c>
      <c r="AT129" s="18" t="s">
        <v>177</v>
      </c>
      <c r="AU129" s="18" t="s">
        <v>90</v>
      </c>
      <c r="AV129" s="18" t="s">
        <v>8228</v>
      </c>
      <c r="AW129" s="18" t="s">
        <v>8229</v>
      </c>
      <c r="AX129" s="18" t="s">
        <v>83</v>
      </c>
      <c r="AY129" s="18" t="s">
        <v>95</v>
      </c>
      <c r="AZ129" s="18" t="s">
        <v>95</v>
      </c>
      <c r="BA129" s="18" t="s">
        <v>95</v>
      </c>
      <c r="BB129" s="18" t="s">
        <v>95</v>
      </c>
      <c r="BC129" s="18" t="s">
        <v>95</v>
      </c>
      <c r="BD129" s="18" t="s">
        <v>95</v>
      </c>
      <c r="BE129" s="18" t="s">
        <v>8000</v>
      </c>
      <c r="BF129" s="18" t="s">
        <v>8064</v>
      </c>
      <c r="BG129" s="18" t="s">
        <v>95</v>
      </c>
      <c r="BH129" s="18" t="s">
        <v>95</v>
      </c>
      <c r="BI129" s="18">
        <v>12</v>
      </c>
      <c r="BJ129" s="18">
        <v>2022</v>
      </c>
      <c r="BK129" s="18" t="s">
        <v>95</v>
      </c>
      <c r="BL129" s="18" t="s">
        <v>95</v>
      </c>
      <c r="BM129" s="18" t="s">
        <v>95</v>
      </c>
      <c r="BN129" s="18" t="s">
        <v>85</v>
      </c>
      <c r="BO129" s="18" t="s">
        <v>86</v>
      </c>
      <c r="BP129" s="18" t="s">
        <v>90</v>
      </c>
      <c r="BQ129" s="18" t="s">
        <v>8002</v>
      </c>
      <c r="BR129" s="18" t="s">
        <v>139</v>
      </c>
      <c r="BS129" s="18" t="s">
        <v>8003</v>
      </c>
      <c r="BT129" s="18" t="s">
        <v>7989</v>
      </c>
      <c r="BU129" s="18" t="s">
        <v>496</v>
      </c>
      <c r="BV129" s="18" t="str">
        <f>Terminales[[#This Row],[IMEI]]&amp;"SI"</f>
        <v>356795951372692SI</v>
      </c>
      <c r="BW129" s="18" t="str">
        <f>VLOOKUP(Terminales[[#This Row],[OFICINA_USUARIO]],[1]!Locales[#Data],3,0)</f>
        <v>TIENDA RECREO</v>
      </c>
      <c r="BX129" s="18" t="str">
        <f>VLOOKUP(Terminales[[#This Row],[USUARIO_FINAL]],'[1]Personal Ppto vs Real'!$A:$F,6,0)</f>
        <v>SALAS PARRA MARIA JOSE</v>
      </c>
      <c r="BY12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2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29" s="18">
        <f>DAY(Terminales[[#This Row],[FECHA_FACTURA]])</f>
        <v>7</v>
      </c>
      <c r="CB129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29" s="65">
        <f>IFERROR(IF(AND(Terminales[[#This Row],[CANTIDAD]] = 1,Terminales[[#This Row],[MOVIMIENTO]] = "RENOVACION"),Terminales[[#This Row],[TARIFA_BASICA]]*0.5,),)</f>
        <v>0</v>
      </c>
      <c r="CD129" s="65">
        <f>IF('[1]Resumen TM'!$AW$20 &lt; 0.4,0,Terminales[[#This Row],[MONTO]]*0.02)</f>
        <v>4.8214286</v>
      </c>
      <c r="CE129" s="66">
        <f>Terminales[[#This Row],[COMISIONES TERMINALES]]+Terminales[[#This Row],[COMISIONES RENOVACIONES]]+Terminales[[#This Row],[COMISIONES BONO]]</f>
        <v>28.928571600000001</v>
      </c>
      <c r="CF129" s="67">
        <f>(Terminales[[#This Row],[COMISIONES TERMINALES]]*VLOOKUP(Terminales[[#This Row],[LOCALES]],[1]!Calendario[#Data],3,0))/VLOOKUP(Terminales[[#This Row],[LOCALES]],[1]!Calendario[#Data],2,0)</f>
        <v>39.660138483870966</v>
      </c>
      <c r="CG129" s="67">
        <f>(Terminales[[#This Row],[COMISIONES RENOVACIONES]]*VLOOKUP(Terminales[[#This Row],[LOCALES]],[1]!Calendario[#Data],3,0))/VLOOKUP(Terminales[[#This Row],[LOCALES]],[1]!Calendario[#Data],2,0)</f>
        <v>0</v>
      </c>
      <c r="CH129" s="67">
        <f>(Terminales[[#This Row],[COMISIONES BONO]]*VLOOKUP(Terminales[[#This Row],[LOCALES]],[1]!Calendario[#Data],3,0))/VLOOKUP(Terminales[[#This Row],[LOCALES]],[1]!Calendario[#Data],2,0)</f>
        <v>7.9320276967741936</v>
      </c>
      <c r="CI129" s="67">
        <f>Terminales[[#This Row],[PROY. COM. TERMINALES]]+Terminales[[#This Row],[PROY. COM. RENOV.]]+Terminales[[#This Row],[PROY. COM. 2%]]</f>
        <v>47.592166180645158</v>
      </c>
    </row>
    <row r="130" spans="1:87" x14ac:dyDescent="0.25">
      <c r="A130" s="68">
        <v>44926</v>
      </c>
      <c r="B130" s="68">
        <v>44902</v>
      </c>
      <c r="C130" s="18" t="s">
        <v>291</v>
      </c>
      <c r="D130" s="18" t="s">
        <v>78</v>
      </c>
      <c r="E130" s="18" t="s">
        <v>4453</v>
      </c>
      <c r="F130" s="18" t="s">
        <v>8875</v>
      </c>
      <c r="G130" s="18" t="s">
        <v>292</v>
      </c>
      <c r="H130" s="18" t="s">
        <v>494</v>
      </c>
      <c r="I130" s="18" t="s">
        <v>8876</v>
      </c>
      <c r="J130" s="18" t="s">
        <v>95</v>
      </c>
      <c r="K130" s="18" t="s">
        <v>7970</v>
      </c>
      <c r="L130" s="18" t="s">
        <v>8877</v>
      </c>
      <c r="M130" s="18" t="s">
        <v>8878</v>
      </c>
      <c r="N130" s="18" t="s">
        <v>8879</v>
      </c>
      <c r="O130" s="18" t="s">
        <v>8292</v>
      </c>
      <c r="P130" s="18" t="s">
        <v>8880</v>
      </c>
      <c r="Q130" s="18" t="s">
        <v>7975</v>
      </c>
      <c r="R130" s="18" t="s">
        <v>7976</v>
      </c>
      <c r="S130" s="18" t="s">
        <v>8250</v>
      </c>
      <c r="T130" s="18" t="s">
        <v>8294</v>
      </c>
      <c r="U130" s="18" t="s">
        <v>8059</v>
      </c>
      <c r="V130" s="18" t="s">
        <v>6963</v>
      </c>
      <c r="W130" s="18" t="s">
        <v>95</v>
      </c>
      <c r="X130" s="18" t="s">
        <v>95</v>
      </c>
      <c r="Y130" s="18" t="s">
        <v>7980</v>
      </c>
      <c r="Z130" s="18" t="s">
        <v>6996</v>
      </c>
      <c r="AA130" s="69">
        <v>1</v>
      </c>
      <c r="AB130" s="18">
        <v>1053.57143</v>
      </c>
      <c r="AC130" s="18" t="s">
        <v>8881</v>
      </c>
      <c r="AD130" s="18" t="s">
        <v>7982</v>
      </c>
      <c r="AE130" s="18">
        <v>849.67</v>
      </c>
      <c r="AF130" s="18" t="s">
        <v>7983</v>
      </c>
      <c r="AG130" s="18">
        <v>849.67</v>
      </c>
      <c r="AH130" s="18" t="s">
        <v>95</v>
      </c>
      <c r="AI130" s="18" t="s">
        <v>8597</v>
      </c>
      <c r="AJ130" s="18" t="s">
        <v>8598</v>
      </c>
      <c r="AK130" s="18">
        <v>25</v>
      </c>
      <c r="AL130" s="18" t="s">
        <v>95</v>
      </c>
      <c r="AM130" s="18" t="s">
        <v>95</v>
      </c>
      <c r="AN130" s="18" t="s">
        <v>7984</v>
      </c>
      <c r="AO130" s="18" t="s">
        <v>139</v>
      </c>
      <c r="AP130" s="20" t="s">
        <v>665</v>
      </c>
      <c r="AQ130" s="18" t="s">
        <v>666</v>
      </c>
      <c r="AR130" s="18" t="s">
        <v>496</v>
      </c>
      <c r="AS130" s="18">
        <v>1</v>
      </c>
      <c r="AT130" s="18" t="s">
        <v>138</v>
      </c>
      <c r="AU130" s="18" t="s">
        <v>90</v>
      </c>
      <c r="AV130" s="18" t="s">
        <v>8298</v>
      </c>
      <c r="AW130" s="18" t="s">
        <v>8299</v>
      </c>
      <c r="AX130" s="18" t="s">
        <v>83</v>
      </c>
      <c r="AY130" s="18" t="s">
        <v>95</v>
      </c>
      <c r="AZ130" s="18" t="s">
        <v>95</v>
      </c>
      <c r="BA130" s="18" t="s">
        <v>95</v>
      </c>
      <c r="BB130" s="18" t="s">
        <v>95</v>
      </c>
      <c r="BC130" s="18" t="s">
        <v>84</v>
      </c>
      <c r="BD130" s="18" t="s">
        <v>95</v>
      </c>
      <c r="BE130" s="18" t="s">
        <v>8212</v>
      </c>
      <c r="BF130" s="18" t="s">
        <v>8171</v>
      </c>
      <c r="BG130" s="18" t="s">
        <v>95</v>
      </c>
      <c r="BH130" s="18" t="s">
        <v>95</v>
      </c>
      <c r="BI130" s="18">
        <v>12</v>
      </c>
      <c r="BJ130" s="18">
        <v>2022</v>
      </c>
      <c r="BK130" s="18" t="s">
        <v>95</v>
      </c>
      <c r="BL130" s="18" t="s">
        <v>95</v>
      </c>
      <c r="BM130" s="18" t="s">
        <v>95</v>
      </c>
      <c r="BN130" s="18" t="s">
        <v>85</v>
      </c>
      <c r="BO130" s="18" t="s">
        <v>86</v>
      </c>
      <c r="BP130" s="18" t="s">
        <v>90</v>
      </c>
      <c r="BQ130" s="18" t="s">
        <v>7987</v>
      </c>
      <c r="BR130" s="18" t="s">
        <v>139</v>
      </c>
      <c r="BS130" s="18" t="s">
        <v>8003</v>
      </c>
      <c r="BT130" s="18" t="s">
        <v>7989</v>
      </c>
      <c r="BU130" s="18" t="s">
        <v>496</v>
      </c>
      <c r="BV130" s="18" t="str">
        <f>Terminales[[#This Row],[IMEI]]&amp;"SI"</f>
        <v>353514356602576SI</v>
      </c>
      <c r="BW130" s="18" t="str">
        <f>VLOOKUP(Terminales[[#This Row],[OFICINA_USUARIO]],[1]!Locales[#Data],3,0)</f>
        <v>TIENDA AMERICA</v>
      </c>
      <c r="BX130" s="18" t="str">
        <f>VLOOKUP(Terminales[[#This Row],[USUARIO_FINAL]],'[1]Personal Ppto vs Real'!$A:$F,6,0)</f>
        <v>ROSERO CAICEDO JAIRO STEFANO</v>
      </c>
      <c r="BY13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3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30" s="18">
        <f>DAY(Terminales[[#This Row],[FECHA_FACTURA]])</f>
        <v>7</v>
      </c>
      <c r="CB130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130" s="65">
        <f>IFERROR(IF(AND(Terminales[[#This Row],[CANTIDAD]] = 1,Terminales[[#This Row],[MOVIMIENTO]] = "RENOVACION"),Terminales[[#This Row],[TARIFA_BASICA]]*0.5,),)</f>
        <v>12.5</v>
      </c>
      <c r="CD130" s="65">
        <f>IF('[1]Resumen TM'!$AW$20 &lt; 0.4,0,Terminales[[#This Row],[MONTO]]*0.02)</f>
        <v>21.071428600000001</v>
      </c>
      <c r="CE130" s="66">
        <f>Terminales[[#This Row],[COMISIONES TERMINALES]]+Terminales[[#This Row],[COMISIONES RENOVACIONES]]+Terminales[[#This Row],[COMISIONES BONO]]</f>
        <v>138.9285716</v>
      </c>
      <c r="CF130" s="67">
        <f>(Terminales[[#This Row],[COMISIONES TERMINALES]]*VLOOKUP(Terminales[[#This Row],[LOCALES]],[1]!Calendario[#Data],3,0))/VLOOKUP(Terminales[[#This Row],[LOCALES]],[1]!Calendario[#Data],2,0)</f>
        <v>173.08673492857142</v>
      </c>
      <c r="CG130" s="67">
        <f>(Terminales[[#This Row],[COMISIONES RENOVACIONES]]*VLOOKUP(Terminales[[#This Row],[LOCALES]],[1]!Calendario[#Data],3,0))/VLOOKUP(Terminales[[#This Row],[LOCALES]],[1]!Calendario[#Data],2,0)</f>
        <v>20.535714285714285</v>
      </c>
      <c r="CH130" s="67">
        <f>(Terminales[[#This Row],[COMISIONES BONO]]*VLOOKUP(Terminales[[#This Row],[LOCALES]],[1]!Calendario[#Data],3,0))/VLOOKUP(Terminales[[#This Row],[LOCALES]],[1]!Calendario[#Data],2,0)</f>
        <v>34.617346985714285</v>
      </c>
      <c r="CI130" s="67">
        <f>Terminales[[#This Row],[PROY. COM. TERMINALES]]+Terminales[[#This Row],[PROY. COM. RENOV.]]+Terminales[[#This Row],[PROY. COM. 2%]]</f>
        <v>228.23979619999997</v>
      </c>
    </row>
    <row r="131" spans="1:87" x14ac:dyDescent="0.25">
      <c r="A131" s="68">
        <v>44926</v>
      </c>
      <c r="B131" s="68">
        <v>44902</v>
      </c>
      <c r="C131" s="18" t="s">
        <v>291</v>
      </c>
      <c r="D131" s="18" t="s">
        <v>78</v>
      </c>
      <c r="E131" s="18" t="s">
        <v>164</v>
      </c>
      <c r="F131" s="18" t="s">
        <v>2061</v>
      </c>
      <c r="G131" s="18" t="s">
        <v>292</v>
      </c>
      <c r="H131" s="18" t="s">
        <v>494</v>
      </c>
      <c r="I131" s="18" t="s">
        <v>8882</v>
      </c>
      <c r="J131" s="18" t="s">
        <v>95</v>
      </c>
      <c r="K131" s="18" t="s">
        <v>7970</v>
      </c>
      <c r="L131" s="18" t="s">
        <v>2062</v>
      </c>
      <c r="M131" s="18" t="s">
        <v>2063</v>
      </c>
      <c r="N131" s="18" t="s">
        <v>2064</v>
      </c>
      <c r="O131" s="18" t="s">
        <v>543</v>
      </c>
      <c r="P131" s="18" t="s">
        <v>2065</v>
      </c>
      <c r="Q131" s="18" t="s">
        <v>7975</v>
      </c>
      <c r="R131" s="18" t="s">
        <v>7976</v>
      </c>
      <c r="S131" s="18" t="s">
        <v>7994</v>
      </c>
      <c r="T131" s="18" t="s">
        <v>8245</v>
      </c>
      <c r="U131" s="18" t="s">
        <v>8012</v>
      </c>
      <c r="V131" s="18" t="s">
        <v>6963</v>
      </c>
      <c r="W131" s="18" t="s">
        <v>95</v>
      </c>
      <c r="X131" s="18" t="s">
        <v>95</v>
      </c>
      <c r="Y131" s="18" t="s">
        <v>7980</v>
      </c>
      <c r="Z131" s="18" t="s">
        <v>6996</v>
      </c>
      <c r="AA131" s="69">
        <v>1</v>
      </c>
      <c r="AB131" s="18">
        <v>156.25</v>
      </c>
      <c r="AC131" s="18" t="s">
        <v>8883</v>
      </c>
      <c r="AD131" s="18" t="s">
        <v>8151</v>
      </c>
      <c r="AE131" s="18">
        <v>156</v>
      </c>
      <c r="AF131" s="18" t="s">
        <v>7983</v>
      </c>
      <c r="AG131" s="18">
        <v>156</v>
      </c>
      <c r="AH131" s="18" t="s">
        <v>95</v>
      </c>
      <c r="AI131" s="18" t="s">
        <v>112</v>
      </c>
      <c r="AJ131" s="18" t="s">
        <v>781</v>
      </c>
      <c r="AK131" s="18">
        <v>17.850000000000001</v>
      </c>
      <c r="AL131" s="18" t="s">
        <v>95</v>
      </c>
      <c r="AM131" s="18" t="s">
        <v>95</v>
      </c>
      <c r="AN131" s="18" t="s">
        <v>7984</v>
      </c>
      <c r="AO131" s="18" t="s">
        <v>92</v>
      </c>
      <c r="AP131" s="20" t="s">
        <v>289</v>
      </c>
      <c r="AQ131" s="18" t="s">
        <v>290</v>
      </c>
      <c r="AR131" s="18" t="s">
        <v>496</v>
      </c>
      <c r="AS131" s="18">
        <v>1</v>
      </c>
      <c r="AT131" s="18" t="s">
        <v>91</v>
      </c>
      <c r="AU131" s="18" t="s">
        <v>90</v>
      </c>
      <c r="AV131" s="18" t="s">
        <v>8247</v>
      </c>
      <c r="AW131" s="18" t="s">
        <v>8248</v>
      </c>
      <c r="AX131" s="18" t="s">
        <v>83</v>
      </c>
      <c r="AY131" s="18" t="s">
        <v>95</v>
      </c>
      <c r="AZ131" s="18" t="s">
        <v>95</v>
      </c>
      <c r="BA131" s="18" t="s">
        <v>95</v>
      </c>
      <c r="BB131" s="18" t="s">
        <v>95</v>
      </c>
      <c r="BC131" s="18" t="s">
        <v>215</v>
      </c>
      <c r="BD131" s="18" t="s">
        <v>95</v>
      </c>
      <c r="BE131" s="18" t="s">
        <v>95</v>
      </c>
      <c r="BF131" s="18" t="s">
        <v>95</v>
      </c>
      <c r="BG131" s="18" t="s">
        <v>95</v>
      </c>
      <c r="BH131" s="18" t="s">
        <v>95</v>
      </c>
      <c r="BI131" s="18">
        <v>12</v>
      </c>
      <c r="BJ131" s="18">
        <v>2022</v>
      </c>
      <c r="BK131" s="18" t="s">
        <v>95</v>
      </c>
      <c r="BL131" s="18" t="s">
        <v>95</v>
      </c>
      <c r="BM131" s="18" t="s">
        <v>95</v>
      </c>
      <c r="BN131" s="18" t="s">
        <v>85</v>
      </c>
      <c r="BO131" s="18" t="s">
        <v>86</v>
      </c>
      <c r="BP131" s="18" t="s">
        <v>90</v>
      </c>
      <c r="BQ131" s="18" t="s">
        <v>8106</v>
      </c>
      <c r="BR131" s="18" t="s">
        <v>92</v>
      </c>
      <c r="BS131" s="18" t="s">
        <v>8074</v>
      </c>
      <c r="BT131" s="18" t="s">
        <v>7989</v>
      </c>
      <c r="BU131" s="18" t="s">
        <v>496</v>
      </c>
      <c r="BV131" s="18" t="str">
        <f>Terminales[[#This Row],[IMEI]]&amp;"SI"</f>
        <v>355108340319716SI</v>
      </c>
      <c r="BW131" s="18" t="str">
        <f>VLOOKUP(Terminales[[#This Row],[OFICINA_USUARIO]],[1]!Locales[#Data],3,0)</f>
        <v>TIENDA CUENCA CENTRO</v>
      </c>
      <c r="BX131" s="18" t="str">
        <f>VLOOKUP(Terminales[[#This Row],[USUARIO_FINAL]],'[1]Personal Ppto vs Real'!$A:$F,6,0)</f>
        <v>CALLE CHACA JORGE VINICIO</v>
      </c>
      <c r="BY131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3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31" s="18">
        <f>DAY(Terminales[[#This Row],[FECHA_FACTURA]])</f>
        <v>7</v>
      </c>
      <c r="CB131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131" s="65">
        <f>IFERROR(IF(AND(Terminales[[#This Row],[CANTIDAD]] = 1,Terminales[[#This Row],[MOVIMIENTO]] = "RENOVACION"),Terminales[[#This Row],[TARIFA_BASICA]]*0.5,),)</f>
        <v>0</v>
      </c>
      <c r="CD131" s="65">
        <f>IF('[1]Resumen TM'!$AW$20 &lt; 0.4,0,Terminales[[#This Row],[MONTO]]*0.02)</f>
        <v>3.125</v>
      </c>
      <c r="CE131" s="66">
        <f>Terminales[[#This Row],[COMISIONES TERMINALES]]+Terminales[[#This Row],[COMISIONES RENOVACIONES]]+Terminales[[#This Row],[COMISIONES BONO]]</f>
        <v>18.75</v>
      </c>
      <c r="CF131" s="67">
        <f>(Terminales[[#This Row],[COMISIONES TERMINALES]]*VLOOKUP(Terminales[[#This Row],[LOCALES]],[1]!Calendario[#Data],3,0))/VLOOKUP(Terminales[[#This Row],[LOCALES]],[1]!Calendario[#Data],2,0)</f>
        <v>25.323275862068964</v>
      </c>
      <c r="CG131" s="67">
        <f>(Terminales[[#This Row],[COMISIONES RENOVACIONES]]*VLOOKUP(Terminales[[#This Row],[LOCALES]],[1]!Calendario[#Data],3,0))/VLOOKUP(Terminales[[#This Row],[LOCALES]],[1]!Calendario[#Data],2,0)</f>
        <v>0</v>
      </c>
      <c r="CH131" s="67">
        <f>(Terminales[[#This Row],[COMISIONES BONO]]*VLOOKUP(Terminales[[#This Row],[LOCALES]],[1]!Calendario[#Data],3,0))/VLOOKUP(Terminales[[#This Row],[LOCALES]],[1]!Calendario[#Data],2,0)</f>
        <v>5.0646551724137927</v>
      </c>
      <c r="CI131" s="67">
        <f>Terminales[[#This Row],[PROY. COM. TERMINALES]]+Terminales[[#This Row],[PROY. COM. RENOV.]]+Terminales[[#This Row],[PROY. COM. 2%]]</f>
        <v>30.387931034482758</v>
      </c>
    </row>
    <row r="132" spans="1:87" x14ac:dyDescent="0.25">
      <c r="A132" s="68">
        <v>44926</v>
      </c>
      <c r="B132" s="68">
        <v>44902</v>
      </c>
      <c r="C132" s="18" t="s">
        <v>291</v>
      </c>
      <c r="D132" s="18" t="s">
        <v>78</v>
      </c>
      <c r="E132" s="18" t="s">
        <v>1036</v>
      </c>
      <c r="F132" s="18" t="s">
        <v>3767</v>
      </c>
      <c r="G132" s="18" t="s">
        <v>292</v>
      </c>
      <c r="H132" s="18" t="s">
        <v>293</v>
      </c>
      <c r="I132" s="18" t="s">
        <v>8884</v>
      </c>
      <c r="J132" s="18" t="s">
        <v>95</v>
      </c>
      <c r="K132" s="18" t="s">
        <v>7970</v>
      </c>
      <c r="L132" s="18" t="s">
        <v>763</v>
      </c>
      <c r="M132" s="18" t="s">
        <v>764</v>
      </c>
      <c r="N132" s="18" t="s">
        <v>765</v>
      </c>
      <c r="O132" s="18" t="s">
        <v>3770</v>
      </c>
      <c r="P132" s="18" t="s">
        <v>8885</v>
      </c>
      <c r="Q132" s="18" t="s">
        <v>7975</v>
      </c>
      <c r="R132" s="18" t="s">
        <v>7976</v>
      </c>
      <c r="S132" s="18" t="s">
        <v>8045</v>
      </c>
      <c r="T132" s="18" t="s">
        <v>8099</v>
      </c>
      <c r="U132" s="18" t="s">
        <v>8100</v>
      </c>
      <c r="V132" s="18" t="s">
        <v>6963</v>
      </c>
      <c r="W132" s="18" t="s">
        <v>95</v>
      </c>
      <c r="X132" s="18" t="s">
        <v>95</v>
      </c>
      <c r="Y132" s="18" t="s">
        <v>7980</v>
      </c>
      <c r="Z132" s="18" t="s">
        <v>6996</v>
      </c>
      <c r="AA132" s="69">
        <v>1</v>
      </c>
      <c r="AB132" s="18">
        <v>616.07142999999996</v>
      </c>
      <c r="AC132" s="18" t="s">
        <v>8886</v>
      </c>
      <c r="AD132" s="18" t="s">
        <v>8151</v>
      </c>
      <c r="AE132" s="18">
        <v>397</v>
      </c>
      <c r="AF132" s="18" t="s">
        <v>7983</v>
      </c>
      <c r="AG132" s="18">
        <v>397</v>
      </c>
      <c r="AH132" s="18" t="s">
        <v>95</v>
      </c>
      <c r="AI132" s="18" t="s">
        <v>160</v>
      </c>
      <c r="AJ132" s="18" t="s">
        <v>161</v>
      </c>
      <c r="AK132" s="18">
        <v>14.28</v>
      </c>
      <c r="AL132" s="18" t="s">
        <v>95</v>
      </c>
      <c r="AM132" s="18" t="s">
        <v>95</v>
      </c>
      <c r="AN132" s="18" t="s">
        <v>7984</v>
      </c>
      <c r="AO132" s="18" t="s">
        <v>139</v>
      </c>
      <c r="AP132" s="20" t="s">
        <v>769</v>
      </c>
      <c r="AQ132" s="18" t="s">
        <v>770</v>
      </c>
      <c r="AR132" s="18" t="s">
        <v>3771</v>
      </c>
      <c r="AS132" s="18">
        <v>12</v>
      </c>
      <c r="AT132" s="18" t="s">
        <v>235</v>
      </c>
      <c r="AU132" s="18" t="s">
        <v>90</v>
      </c>
      <c r="AV132" s="18" t="s">
        <v>8104</v>
      </c>
      <c r="AW132" s="18" t="s">
        <v>8105</v>
      </c>
      <c r="AX132" s="18" t="s">
        <v>83</v>
      </c>
      <c r="AY132" s="18" t="s">
        <v>95</v>
      </c>
      <c r="AZ132" s="18" t="s">
        <v>95</v>
      </c>
      <c r="BA132" s="18" t="s">
        <v>95</v>
      </c>
      <c r="BB132" s="18" t="s">
        <v>95</v>
      </c>
      <c r="BC132" s="18" t="s">
        <v>215</v>
      </c>
      <c r="BD132" s="18" t="s">
        <v>95</v>
      </c>
      <c r="BE132" s="18" t="s">
        <v>95</v>
      </c>
      <c r="BF132" s="18" t="s">
        <v>95</v>
      </c>
      <c r="BG132" s="18" t="s">
        <v>95</v>
      </c>
      <c r="BH132" s="18" t="s">
        <v>95</v>
      </c>
      <c r="BI132" s="18">
        <v>12</v>
      </c>
      <c r="BJ132" s="18">
        <v>2022</v>
      </c>
      <c r="BK132" s="18" t="s">
        <v>95</v>
      </c>
      <c r="BL132" s="18" t="s">
        <v>95</v>
      </c>
      <c r="BM132" s="18" t="s">
        <v>95</v>
      </c>
      <c r="BN132" s="18" t="s">
        <v>85</v>
      </c>
      <c r="BO132" s="18" t="s">
        <v>86</v>
      </c>
      <c r="BP132" s="18" t="s">
        <v>90</v>
      </c>
      <c r="BQ132" s="18" t="s">
        <v>8016</v>
      </c>
      <c r="BR132" s="18" t="s">
        <v>139</v>
      </c>
      <c r="BS132" s="18" t="s">
        <v>7988</v>
      </c>
      <c r="BT132" s="18" t="s">
        <v>7989</v>
      </c>
      <c r="BU132" s="18" t="s">
        <v>7990</v>
      </c>
      <c r="BV132" s="18" t="str">
        <f>Terminales[[#This Row],[IMEI]]&amp;"SI"</f>
        <v>353842194939623SI</v>
      </c>
      <c r="BW132" s="18" t="str">
        <f>VLOOKUP(Terminales[[#This Row],[OFICINA_USUARIO]],[1]!Locales[#Data],3,0)</f>
        <v>TIENDA CONDADO</v>
      </c>
      <c r="BX132" s="18" t="str">
        <f>VLOOKUP(Terminales[[#This Row],[USUARIO_FINAL]],'[1]Personal Ppto vs Real'!$A:$F,6,0)</f>
        <v>ROJAS VEGA JHOSMERY MICHELE</v>
      </c>
      <c r="BY132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13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32" s="18">
        <f>DAY(Terminales[[#This Row],[FECHA_FACTURA]])</f>
        <v>7</v>
      </c>
      <c r="CB132" s="65">
        <f>IF(Terminales[[#This Row],[CANTIDAD]] = 1,INDEX([1]!Comisiones[#Data],MATCH("Terminales",[1]!Comisiones[Producto],0),MATCH(Terminales[[#This Row],[TIPO ALTA COMISIONES]],[1]!Comisiones[#Headers],0))*Terminales[[#This Row],[MONTO]],0)</f>
        <v>36.964285799999999</v>
      </c>
      <c r="CC132" s="65">
        <f>IFERROR(IF(AND(Terminales[[#This Row],[CANTIDAD]] = 1,Terminales[[#This Row],[MOVIMIENTO]] = "RENOVACION"),Terminales[[#This Row],[TARIFA_BASICA]]*0.5,),)</f>
        <v>0</v>
      </c>
      <c r="CD132" s="65">
        <f>IF('[1]Resumen TM'!$AW$20 &lt; 0.4,0,Terminales[[#This Row],[MONTO]]*0.02)</f>
        <v>12.321428599999999</v>
      </c>
      <c r="CE132" s="66">
        <f>Terminales[[#This Row],[COMISIONES TERMINALES]]+Terminales[[#This Row],[COMISIONES RENOVACIONES]]+Terminales[[#This Row],[COMISIONES BONO]]</f>
        <v>49.285714399999996</v>
      </c>
      <c r="CF132" s="67">
        <f>(Terminales[[#This Row],[COMISIONES TERMINALES]]*VLOOKUP(Terminales[[#This Row],[LOCALES]],[1]!Calendario[#Data],3,0))/VLOOKUP(Terminales[[#This Row],[LOCALES]],[1]!Calendario[#Data],2,0)</f>
        <v>60.81221212258064</v>
      </c>
      <c r="CG132" s="67">
        <f>(Terminales[[#This Row],[COMISIONES RENOVACIONES]]*VLOOKUP(Terminales[[#This Row],[LOCALES]],[1]!Calendario[#Data],3,0))/VLOOKUP(Terminales[[#This Row],[LOCALES]],[1]!Calendario[#Data],2,0)</f>
        <v>0</v>
      </c>
      <c r="CH132" s="67">
        <f>(Terminales[[#This Row],[COMISIONES BONO]]*VLOOKUP(Terminales[[#This Row],[LOCALES]],[1]!Calendario[#Data],3,0))/VLOOKUP(Terminales[[#This Row],[LOCALES]],[1]!Calendario[#Data],2,0)</f>
        <v>20.270737374193548</v>
      </c>
      <c r="CI132" s="67">
        <f>Terminales[[#This Row],[PROY. COM. TERMINALES]]+Terminales[[#This Row],[PROY. COM. RENOV.]]+Terminales[[#This Row],[PROY. COM. 2%]]</f>
        <v>81.082949496774191</v>
      </c>
    </row>
    <row r="133" spans="1:87" x14ac:dyDescent="0.25">
      <c r="A133" s="68">
        <v>44926</v>
      </c>
      <c r="B133" s="68">
        <v>44902</v>
      </c>
      <c r="C133" s="18" t="s">
        <v>291</v>
      </c>
      <c r="D133" s="18" t="s">
        <v>78</v>
      </c>
      <c r="E133" s="18" t="s">
        <v>1036</v>
      </c>
      <c r="F133" s="18" t="s">
        <v>3767</v>
      </c>
      <c r="G133" s="18" t="s">
        <v>292</v>
      </c>
      <c r="H133" s="18" t="s">
        <v>293</v>
      </c>
      <c r="I133" s="18" t="s">
        <v>8887</v>
      </c>
      <c r="J133" s="18" t="s">
        <v>95</v>
      </c>
      <c r="K133" s="18" t="s">
        <v>7970</v>
      </c>
      <c r="L133" s="18" t="s">
        <v>763</v>
      </c>
      <c r="M133" s="18" t="s">
        <v>764</v>
      </c>
      <c r="N133" s="18" t="s">
        <v>765</v>
      </c>
      <c r="O133" s="18" t="s">
        <v>3770</v>
      </c>
      <c r="P133" s="18" t="s">
        <v>3768</v>
      </c>
      <c r="Q133" s="18" t="s">
        <v>7975</v>
      </c>
      <c r="R133" s="18" t="s">
        <v>7976</v>
      </c>
      <c r="S133" s="18" t="s">
        <v>8045</v>
      </c>
      <c r="T133" s="18" t="s">
        <v>8099</v>
      </c>
      <c r="U133" s="18" t="s">
        <v>8100</v>
      </c>
      <c r="V133" s="18" t="s">
        <v>6963</v>
      </c>
      <c r="W133" s="18" t="s">
        <v>95</v>
      </c>
      <c r="X133" s="18" t="s">
        <v>95</v>
      </c>
      <c r="Y133" s="18" t="s">
        <v>7980</v>
      </c>
      <c r="Z133" s="18" t="s">
        <v>6996</v>
      </c>
      <c r="AA133" s="69">
        <v>1</v>
      </c>
      <c r="AB133" s="18">
        <v>616.07142999999996</v>
      </c>
      <c r="AC133" s="18" t="s">
        <v>8886</v>
      </c>
      <c r="AD133" s="18" t="s">
        <v>8151</v>
      </c>
      <c r="AE133" s="18">
        <v>397</v>
      </c>
      <c r="AF133" s="18" t="s">
        <v>7983</v>
      </c>
      <c r="AG133" s="18">
        <v>397</v>
      </c>
      <c r="AH133" s="18" t="s">
        <v>95</v>
      </c>
      <c r="AI133" s="18" t="s">
        <v>160</v>
      </c>
      <c r="AJ133" s="18" t="s">
        <v>161</v>
      </c>
      <c r="AK133" s="18">
        <v>14.28</v>
      </c>
      <c r="AL133" s="18" t="s">
        <v>95</v>
      </c>
      <c r="AM133" s="18" t="s">
        <v>95</v>
      </c>
      <c r="AN133" s="18" t="s">
        <v>7984</v>
      </c>
      <c r="AO133" s="18" t="s">
        <v>139</v>
      </c>
      <c r="AP133" s="20" t="s">
        <v>769</v>
      </c>
      <c r="AQ133" s="18" t="s">
        <v>770</v>
      </c>
      <c r="AR133" s="18" t="s">
        <v>3771</v>
      </c>
      <c r="AS133" s="18">
        <v>12</v>
      </c>
      <c r="AT133" s="18" t="s">
        <v>235</v>
      </c>
      <c r="AU133" s="18" t="s">
        <v>90</v>
      </c>
      <c r="AV133" s="18" t="s">
        <v>8104</v>
      </c>
      <c r="AW133" s="18" t="s">
        <v>8105</v>
      </c>
      <c r="AX133" s="18" t="s">
        <v>83</v>
      </c>
      <c r="AY133" s="18" t="s">
        <v>95</v>
      </c>
      <c r="AZ133" s="18" t="s">
        <v>95</v>
      </c>
      <c r="BA133" s="18" t="s">
        <v>95</v>
      </c>
      <c r="BB133" s="18" t="s">
        <v>95</v>
      </c>
      <c r="BC133" s="18" t="s">
        <v>215</v>
      </c>
      <c r="BD133" s="18" t="s">
        <v>95</v>
      </c>
      <c r="BE133" s="18" t="s">
        <v>95</v>
      </c>
      <c r="BF133" s="18" t="s">
        <v>95</v>
      </c>
      <c r="BG133" s="18" t="s">
        <v>95</v>
      </c>
      <c r="BH133" s="18" t="s">
        <v>95</v>
      </c>
      <c r="BI133" s="18">
        <v>12</v>
      </c>
      <c r="BJ133" s="18">
        <v>2022</v>
      </c>
      <c r="BK133" s="18" t="s">
        <v>95</v>
      </c>
      <c r="BL133" s="18" t="s">
        <v>95</v>
      </c>
      <c r="BM133" s="18" t="s">
        <v>95</v>
      </c>
      <c r="BN133" s="18" t="s">
        <v>85</v>
      </c>
      <c r="BO133" s="18" t="s">
        <v>86</v>
      </c>
      <c r="BP133" s="18" t="s">
        <v>90</v>
      </c>
      <c r="BQ133" s="18" t="s">
        <v>8016</v>
      </c>
      <c r="BR133" s="18" t="s">
        <v>139</v>
      </c>
      <c r="BS133" s="18" t="s">
        <v>7988</v>
      </c>
      <c r="BT133" s="18" t="s">
        <v>7989</v>
      </c>
      <c r="BU133" s="18" t="s">
        <v>7990</v>
      </c>
      <c r="BV133" s="18" t="str">
        <f>Terminales[[#This Row],[IMEI]]&amp;"SI"</f>
        <v>353842194941314SI</v>
      </c>
      <c r="BW133" s="18" t="str">
        <f>VLOOKUP(Terminales[[#This Row],[OFICINA_USUARIO]],[1]!Locales[#Data],3,0)</f>
        <v>TIENDA CONDADO</v>
      </c>
      <c r="BX133" s="18" t="str">
        <f>VLOOKUP(Terminales[[#This Row],[USUARIO_FINAL]],'[1]Personal Ppto vs Real'!$A:$F,6,0)</f>
        <v>ROJAS VEGA JHOSMERY MICHELE</v>
      </c>
      <c r="BY133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13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33" s="18">
        <f>DAY(Terminales[[#This Row],[FECHA_FACTURA]])</f>
        <v>7</v>
      </c>
      <c r="CB133" s="65">
        <f>IF(Terminales[[#This Row],[CANTIDAD]] = 1,INDEX([1]!Comisiones[#Data],MATCH("Terminales",[1]!Comisiones[Producto],0),MATCH(Terminales[[#This Row],[TIPO ALTA COMISIONES]],[1]!Comisiones[#Headers],0))*Terminales[[#This Row],[MONTO]],0)</f>
        <v>36.964285799999999</v>
      </c>
      <c r="CC133" s="65">
        <f>IFERROR(IF(AND(Terminales[[#This Row],[CANTIDAD]] = 1,Terminales[[#This Row],[MOVIMIENTO]] = "RENOVACION"),Terminales[[#This Row],[TARIFA_BASICA]]*0.5,),)</f>
        <v>0</v>
      </c>
      <c r="CD133" s="65">
        <f>IF('[1]Resumen TM'!$AW$20 &lt; 0.4,0,Terminales[[#This Row],[MONTO]]*0.02)</f>
        <v>12.321428599999999</v>
      </c>
      <c r="CE133" s="66">
        <f>Terminales[[#This Row],[COMISIONES TERMINALES]]+Terminales[[#This Row],[COMISIONES RENOVACIONES]]+Terminales[[#This Row],[COMISIONES BONO]]</f>
        <v>49.285714399999996</v>
      </c>
      <c r="CF133" s="67">
        <f>(Terminales[[#This Row],[COMISIONES TERMINALES]]*VLOOKUP(Terminales[[#This Row],[LOCALES]],[1]!Calendario[#Data],3,0))/VLOOKUP(Terminales[[#This Row],[LOCALES]],[1]!Calendario[#Data],2,0)</f>
        <v>60.81221212258064</v>
      </c>
      <c r="CG133" s="67">
        <f>(Terminales[[#This Row],[COMISIONES RENOVACIONES]]*VLOOKUP(Terminales[[#This Row],[LOCALES]],[1]!Calendario[#Data],3,0))/VLOOKUP(Terminales[[#This Row],[LOCALES]],[1]!Calendario[#Data],2,0)</f>
        <v>0</v>
      </c>
      <c r="CH133" s="67">
        <f>(Terminales[[#This Row],[COMISIONES BONO]]*VLOOKUP(Terminales[[#This Row],[LOCALES]],[1]!Calendario[#Data],3,0))/VLOOKUP(Terminales[[#This Row],[LOCALES]],[1]!Calendario[#Data],2,0)</f>
        <v>20.270737374193548</v>
      </c>
      <c r="CI133" s="67">
        <f>Terminales[[#This Row],[PROY. COM. TERMINALES]]+Terminales[[#This Row],[PROY. COM. RENOV.]]+Terminales[[#This Row],[PROY. COM. 2%]]</f>
        <v>81.082949496774191</v>
      </c>
    </row>
    <row r="134" spans="1:87" x14ac:dyDescent="0.25">
      <c r="A134" s="68">
        <v>44926</v>
      </c>
      <c r="B134" s="68">
        <v>44902</v>
      </c>
      <c r="C134" s="18" t="s">
        <v>96</v>
      </c>
      <c r="D134" s="18" t="s">
        <v>96</v>
      </c>
      <c r="E134" s="18" t="s">
        <v>96</v>
      </c>
      <c r="F134" s="18" t="s">
        <v>8888</v>
      </c>
      <c r="G134" s="18" t="s">
        <v>292</v>
      </c>
      <c r="H134" s="18" t="s">
        <v>494</v>
      </c>
      <c r="I134" s="18" t="s">
        <v>8889</v>
      </c>
      <c r="J134" s="18" t="s">
        <v>95</v>
      </c>
      <c r="K134" s="18" t="s">
        <v>7970</v>
      </c>
      <c r="L134" s="18" t="s">
        <v>8890</v>
      </c>
      <c r="M134" s="18" t="s">
        <v>8891</v>
      </c>
      <c r="N134" s="18" t="s">
        <v>8892</v>
      </c>
      <c r="O134" s="18" t="s">
        <v>3770</v>
      </c>
      <c r="P134" s="18" t="s">
        <v>8893</v>
      </c>
      <c r="Q134" s="18" t="s">
        <v>7975</v>
      </c>
      <c r="R134" s="18" t="s">
        <v>7976</v>
      </c>
      <c r="S134" s="18" t="s">
        <v>8045</v>
      </c>
      <c r="T134" s="18" t="s">
        <v>8099</v>
      </c>
      <c r="U134" s="18" t="s">
        <v>8100</v>
      </c>
      <c r="V134" s="18" t="s">
        <v>6963</v>
      </c>
      <c r="W134" s="18" t="s">
        <v>95</v>
      </c>
      <c r="X134" s="18" t="s">
        <v>95</v>
      </c>
      <c r="Y134" s="18" t="s">
        <v>7980</v>
      </c>
      <c r="Z134" s="18" t="s">
        <v>6996</v>
      </c>
      <c r="AA134" s="69">
        <v>1</v>
      </c>
      <c r="AB134" s="18">
        <v>406.25</v>
      </c>
      <c r="AC134" s="18" t="s">
        <v>8894</v>
      </c>
      <c r="AD134" s="18" t="s">
        <v>96</v>
      </c>
      <c r="AE134" s="18">
        <v>396.5</v>
      </c>
      <c r="AF134" s="18" t="s">
        <v>7983</v>
      </c>
      <c r="AG134" s="18">
        <v>396.5</v>
      </c>
      <c r="AH134" s="18" t="s">
        <v>95</v>
      </c>
      <c r="AI134" s="18" t="s">
        <v>8102</v>
      </c>
      <c r="AJ134" s="18" t="s">
        <v>8103</v>
      </c>
      <c r="AK134" s="18" t="s">
        <v>95</v>
      </c>
      <c r="AL134" s="18" t="s">
        <v>95</v>
      </c>
      <c r="AM134" s="18" t="s">
        <v>95</v>
      </c>
      <c r="AN134" s="18" t="s">
        <v>7984</v>
      </c>
      <c r="AO134" s="18" t="s">
        <v>139</v>
      </c>
      <c r="AP134" s="20" t="s">
        <v>262</v>
      </c>
      <c r="AQ134" s="18" t="s">
        <v>263</v>
      </c>
      <c r="AR134" s="18" t="s">
        <v>496</v>
      </c>
      <c r="AS134" s="18">
        <v>1</v>
      </c>
      <c r="AT134" s="18" t="s">
        <v>177</v>
      </c>
      <c r="AU134" s="18" t="s">
        <v>90</v>
      </c>
      <c r="AV134" s="18" t="s">
        <v>8104</v>
      </c>
      <c r="AW134" s="18" t="s">
        <v>8105</v>
      </c>
      <c r="AX134" s="18" t="s">
        <v>83</v>
      </c>
      <c r="AY134" s="18" t="s">
        <v>95</v>
      </c>
      <c r="AZ134" s="18" t="s">
        <v>95</v>
      </c>
      <c r="BA134" s="18" t="s">
        <v>95</v>
      </c>
      <c r="BB134" s="18" t="s">
        <v>95</v>
      </c>
      <c r="BC134" s="18" t="s">
        <v>118</v>
      </c>
      <c r="BD134" s="18" t="s">
        <v>95</v>
      </c>
      <c r="BE134" s="18" t="s">
        <v>8063</v>
      </c>
      <c r="BF134" s="18" t="s">
        <v>8171</v>
      </c>
      <c r="BG134" s="18" t="s">
        <v>95</v>
      </c>
      <c r="BH134" s="18" t="s">
        <v>95</v>
      </c>
      <c r="BI134" s="18">
        <v>12</v>
      </c>
      <c r="BJ134" s="18">
        <v>2022</v>
      </c>
      <c r="BK134" s="18" t="s">
        <v>95</v>
      </c>
      <c r="BL134" s="18" t="s">
        <v>95</v>
      </c>
      <c r="BM134" s="18" t="s">
        <v>95</v>
      </c>
      <c r="BN134" s="18" t="s">
        <v>85</v>
      </c>
      <c r="BO134" s="18" t="s">
        <v>86</v>
      </c>
      <c r="BP134" s="18" t="s">
        <v>90</v>
      </c>
      <c r="BQ134" s="18" t="s">
        <v>8002</v>
      </c>
      <c r="BR134" s="18" t="s">
        <v>139</v>
      </c>
      <c r="BS134" s="18" t="s">
        <v>8003</v>
      </c>
      <c r="BT134" s="18" t="s">
        <v>7989</v>
      </c>
      <c r="BU134" s="18" t="s">
        <v>496</v>
      </c>
      <c r="BV134" s="18" t="str">
        <f>Terminales[[#This Row],[IMEI]]&amp;"SI"</f>
        <v>353842195595242SI</v>
      </c>
      <c r="BW134" s="18" t="str">
        <f>VLOOKUP(Terminales[[#This Row],[OFICINA_USUARIO]],[1]!Locales[#Data],3,0)</f>
        <v>TIENDA RECREO</v>
      </c>
      <c r="BX134" s="18" t="str">
        <f>VLOOKUP(Terminales[[#This Row],[USUARIO_FINAL]],'[1]Personal Ppto vs Real'!$A:$F,6,0)</f>
        <v>CHICAIZA TOAPANTA ALEX DANILO</v>
      </c>
      <c r="BY13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3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34" s="18">
        <f>DAY(Terminales[[#This Row],[FECHA_FACTURA]])</f>
        <v>7</v>
      </c>
      <c r="CB134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134" s="65">
        <f>IFERROR(IF(AND(Terminales[[#This Row],[CANTIDAD]] = 1,Terminales[[#This Row],[MOVIMIENTO]] = "RENOVACION"),Terminales[[#This Row],[TARIFA_BASICA]]*0.5,),)</f>
        <v>0</v>
      </c>
      <c r="CD134" s="65">
        <f>IF('[1]Resumen TM'!$AW$20 &lt; 0.4,0,Terminales[[#This Row],[MONTO]]*0.02)</f>
        <v>8.125</v>
      </c>
      <c r="CE134" s="66">
        <f>Terminales[[#This Row],[COMISIONES TERMINALES]]+Terminales[[#This Row],[COMISIONES RENOVACIONES]]+Terminales[[#This Row],[COMISIONES BONO]]</f>
        <v>48.75</v>
      </c>
      <c r="CF134" s="67">
        <f>(Terminales[[#This Row],[COMISIONES TERMINALES]]*VLOOKUP(Terminales[[#This Row],[LOCALES]],[1]!Calendario[#Data],3,0))/VLOOKUP(Terminales[[#This Row],[LOCALES]],[1]!Calendario[#Data],2,0)</f>
        <v>66.834677419354833</v>
      </c>
      <c r="CG134" s="67">
        <f>(Terminales[[#This Row],[COMISIONES RENOVACIONES]]*VLOOKUP(Terminales[[#This Row],[LOCALES]],[1]!Calendario[#Data],3,0))/VLOOKUP(Terminales[[#This Row],[LOCALES]],[1]!Calendario[#Data],2,0)</f>
        <v>0</v>
      </c>
      <c r="CH134" s="67">
        <f>(Terminales[[#This Row],[COMISIONES BONO]]*VLOOKUP(Terminales[[#This Row],[LOCALES]],[1]!Calendario[#Data],3,0))/VLOOKUP(Terminales[[#This Row],[LOCALES]],[1]!Calendario[#Data],2,0)</f>
        <v>13.366935483870968</v>
      </c>
      <c r="CI134" s="67">
        <f>Terminales[[#This Row],[PROY. COM. TERMINALES]]+Terminales[[#This Row],[PROY. COM. RENOV.]]+Terminales[[#This Row],[PROY. COM. 2%]]</f>
        <v>80.201612903225794</v>
      </c>
    </row>
    <row r="135" spans="1:87" x14ac:dyDescent="0.25">
      <c r="A135" s="68">
        <v>44926</v>
      </c>
      <c r="B135" s="68">
        <v>44902</v>
      </c>
      <c r="C135" s="18" t="s">
        <v>291</v>
      </c>
      <c r="D135" s="18" t="s">
        <v>78</v>
      </c>
      <c r="E135" s="18" t="s">
        <v>2241</v>
      </c>
      <c r="F135" s="18" t="s">
        <v>7794</v>
      </c>
      <c r="G135" s="18" t="s">
        <v>292</v>
      </c>
      <c r="H135" s="18" t="s">
        <v>293</v>
      </c>
      <c r="I135" s="18" t="s">
        <v>8895</v>
      </c>
      <c r="J135" s="18" t="s">
        <v>95</v>
      </c>
      <c r="K135" s="18" t="s">
        <v>7970</v>
      </c>
      <c r="L135" s="18" t="s">
        <v>8896</v>
      </c>
      <c r="M135" s="18" t="s">
        <v>8897</v>
      </c>
      <c r="N135" s="18" t="s">
        <v>7796</v>
      </c>
      <c r="O135" s="18" t="s">
        <v>6467</v>
      </c>
      <c r="P135" s="18" t="s">
        <v>8898</v>
      </c>
      <c r="Q135" s="18" t="s">
        <v>7975</v>
      </c>
      <c r="R135" s="18" t="s">
        <v>7976</v>
      </c>
      <c r="S135" s="18" t="s">
        <v>8045</v>
      </c>
      <c r="T135" s="18" t="s">
        <v>8331</v>
      </c>
      <c r="U135" s="18" t="s">
        <v>7996</v>
      </c>
      <c r="V135" s="18" t="s">
        <v>6963</v>
      </c>
      <c r="W135" s="18" t="s">
        <v>95</v>
      </c>
      <c r="X135" s="18" t="s">
        <v>95</v>
      </c>
      <c r="Y135" s="18" t="s">
        <v>7980</v>
      </c>
      <c r="Z135" s="18" t="s">
        <v>6996</v>
      </c>
      <c r="AA135" s="69">
        <v>1</v>
      </c>
      <c r="AB135" s="18">
        <v>138.39286000000001</v>
      </c>
      <c r="AC135" s="18" t="s">
        <v>7795</v>
      </c>
      <c r="AD135" s="18" t="s">
        <v>7982</v>
      </c>
      <c r="AE135" s="18">
        <v>91</v>
      </c>
      <c r="AF135" s="18" t="s">
        <v>7983</v>
      </c>
      <c r="AG135" s="18">
        <v>91</v>
      </c>
      <c r="AH135" s="18" t="s">
        <v>95</v>
      </c>
      <c r="AI135" s="18" t="s">
        <v>160</v>
      </c>
      <c r="AJ135" s="18" t="s">
        <v>161</v>
      </c>
      <c r="AK135" s="18">
        <v>14.28</v>
      </c>
      <c r="AL135" s="18" t="s">
        <v>95</v>
      </c>
      <c r="AM135" s="18" t="s">
        <v>95</v>
      </c>
      <c r="AN135" s="18" t="s">
        <v>7984</v>
      </c>
      <c r="AO135" s="18" t="s">
        <v>139</v>
      </c>
      <c r="AP135" s="20" t="s">
        <v>918</v>
      </c>
      <c r="AQ135" s="18" t="s">
        <v>919</v>
      </c>
      <c r="AR135" s="18" t="s">
        <v>295</v>
      </c>
      <c r="AS135" s="18">
        <v>6</v>
      </c>
      <c r="AT135" s="18" t="s">
        <v>177</v>
      </c>
      <c r="AU135" s="18" t="s">
        <v>90</v>
      </c>
      <c r="AV135" s="18" t="s">
        <v>8333</v>
      </c>
      <c r="AW135" s="18" t="s">
        <v>8334</v>
      </c>
      <c r="AX135" s="18" t="s">
        <v>83</v>
      </c>
      <c r="AY135" s="18" t="s">
        <v>95</v>
      </c>
      <c r="AZ135" s="18" t="s">
        <v>95</v>
      </c>
      <c r="BA135" s="18" t="s">
        <v>95</v>
      </c>
      <c r="BB135" s="18" t="s">
        <v>95</v>
      </c>
      <c r="BC135" s="18" t="s">
        <v>118</v>
      </c>
      <c r="BD135" s="18">
        <v>28</v>
      </c>
      <c r="BE135" s="18" t="s">
        <v>95</v>
      </c>
      <c r="BF135" s="18" t="s">
        <v>95</v>
      </c>
      <c r="BG135" s="18" t="s">
        <v>95</v>
      </c>
      <c r="BH135" s="18" t="s">
        <v>95</v>
      </c>
      <c r="BI135" s="18">
        <v>12</v>
      </c>
      <c r="BJ135" s="18">
        <v>2022</v>
      </c>
      <c r="BK135" s="18" t="s">
        <v>95</v>
      </c>
      <c r="BL135" s="18" t="s">
        <v>95</v>
      </c>
      <c r="BM135" s="18" t="s">
        <v>95</v>
      </c>
      <c r="BN135" s="18" t="s">
        <v>85</v>
      </c>
      <c r="BO135" s="18" t="s">
        <v>86</v>
      </c>
      <c r="BP135" s="18" t="s">
        <v>90</v>
      </c>
      <c r="BQ135" s="18" t="s">
        <v>8002</v>
      </c>
      <c r="BR135" s="18" t="s">
        <v>139</v>
      </c>
      <c r="BS135" s="18" t="s">
        <v>8027</v>
      </c>
      <c r="BT135" s="18" t="s">
        <v>7989</v>
      </c>
      <c r="BU135" s="18" t="s">
        <v>7990</v>
      </c>
      <c r="BV135" s="18" t="str">
        <f>Terminales[[#This Row],[IMEI]]&amp;"SI"</f>
        <v>352286990937772SI</v>
      </c>
      <c r="BW135" s="18" t="str">
        <f>VLOOKUP(Terminales[[#This Row],[OFICINA_USUARIO]],[1]!Locales[#Data],3,0)</f>
        <v>TIENDA RECREO</v>
      </c>
      <c r="BX135" s="18" t="str">
        <f>VLOOKUP(Terminales[[#This Row],[USUARIO_FINAL]],'[1]Personal Ppto vs Real'!$A:$F,6,0)</f>
        <v>ORELLANA CARRERA MICHAEL ALEXANDER</v>
      </c>
      <c r="BY13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3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35" s="18">
        <f>DAY(Terminales[[#This Row],[FECHA_FACTURA]])</f>
        <v>7</v>
      </c>
      <c r="CB135" s="65">
        <f>IF(Terminales[[#This Row],[CANTIDAD]] = 1,INDEX([1]!Comisiones[#Data],MATCH("Terminales",[1]!Comisiones[Producto],0),MATCH(Terminales[[#This Row],[TIPO ALTA COMISIONES]],[1]!Comisiones[#Headers],0))*Terminales[[#This Row],[MONTO]],0)</f>
        <v>11.071428800000001</v>
      </c>
      <c r="CC135" s="65">
        <f>IFERROR(IF(AND(Terminales[[#This Row],[CANTIDAD]] = 1,Terminales[[#This Row],[MOVIMIENTO]] = "RENOVACION"),Terminales[[#This Row],[TARIFA_BASICA]]*0.5,),)</f>
        <v>7.14</v>
      </c>
      <c r="CD135" s="65">
        <f>IF('[1]Resumen TM'!$AW$20 &lt; 0.4,0,Terminales[[#This Row],[MONTO]]*0.02)</f>
        <v>2.7678572000000004</v>
      </c>
      <c r="CE135" s="66">
        <f>Terminales[[#This Row],[COMISIONES TERMINALES]]+Terminales[[#This Row],[COMISIONES RENOVACIONES]]+Terminales[[#This Row],[COMISIONES BONO]]</f>
        <v>20.979286000000002</v>
      </c>
      <c r="CF135" s="67">
        <f>(Terminales[[#This Row],[COMISIONES TERMINALES]]*VLOOKUP(Terminales[[#This Row],[LOCALES]],[1]!Calendario[#Data],3,0))/VLOOKUP(Terminales[[#This Row],[LOCALES]],[1]!Calendario[#Data],2,0)</f>
        <v>18.214286090322584</v>
      </c>
      <c r="CG135" s="67">
        <f>(Terminales[[#This Row],[COMISIONES RENOVACIONES]]*VLOOKUP(Terminales[[#This Row],[LOCALES]],[1]!Calendario[#Data],3,0))/VLOOKUP(Terminales[[#This Row],[LOCALES]],[1]!Calendario[#Data],2,0)</f>
        <v>11.746451612903225</v>
      </c>
      <c r="CH135" s="67">
        <f>(Terminales[[#This Row],[COMISIONES BONO]]*VLOOKUP(Terminales[[#This Row],[LOCALES]],[1]!Calendario[#Data],3,0))/VLOOKUP(Terminales[[#This Row],[LOCALES]],[1]!Calendario[#Data],2,0)</f>
        <v>4.5535715225806461</v>
      </c>
      <c r="CI135" s="67">
        <f>Terminales[[#This Row],[PROY. COM. TERMINALES]]+Terminales[[#This Row],[PROY. COM. RENOV.]]+Terminales[[#This Row],[PROY. COM. 2%]]</f>
        <v>34.514309225806457</v>
      </c>
    </row>
    <row r="136" spans="1:87" x14ac:dyDescent="0.25">
      <c r="A136" s="68">
        <v>44926</v>
      </c>
      <c r="B136" s="68">
        <v>44902</v>
      </c>
      <c r="C136" s="18" t="s">
        <v>291</v>
      </c>
      <c r="D136" s="18" t="s">
        <v>78</v>
      </c>
      <c r="E136" s="18" t="s">
        <v>2241</v>
      </c>
      <c r="F136" s="18" t="s">
        <v>8899</v>
      </c>
      <c r="G136" s="18" t="s">
        <v>292</v>
      </c>
      <c r="H136" s="18" t="s">
        <v>494</v>
      </c>
      <c r="I136" s="18" t="s">
        <v>8900</v>
      </c>
      <c r="J136" s="18" t="s">
        <v>95</v>
      </c>
      <c r="K136" s="18" t="s">
        <v>7970</v>
      </c>
      <c r="L136" s="18" t="s">
        <v>8901</v>
      </c>
      <c r="M136" s="18" t="s">
        <v>8902</v>
      </c>
      <c r="N136" s="18" t="s">
        <v>8903</v>
      </c>
      <c r="O136" s="18" t="s">
        <v>8455</v>
      </c>
      <c r="P136" s="18" t="s">
        <v>8904</v>
      </c>
      <c r="Q136" s="18" t="s">
        <v>7975</v>
      </c>
      <c r="R136" s="18" t="s">
        <v>7976</v>
      </c>
      <c r="S136" s="18" t="s">
        <v>8045</v>
      </c>
      <c r="T136" s="18" t="s">
        <v>8457</v>
      </c>
      <c r="U136" s="18" t="s">
        <v>8100</v>
      </c>
      <c r="V136" s="18" t="s">
        <v>6963</v>
      </c>
      <c r="W136" s="18" t="s">
        <v>95</v>
      </c>
      <c r="X136" s="18" t="s">
        <v>95</v>
      </c>
      <c r="Y136" s="18" t="s">
        <v>7980</v>
      </c>
      <c r="Z136" s="18" t="s">
        <v>6996</v>
      </c>
      <c r="AA136" s="69">
        <v>1</v>
      </c>
      <c r="AB136" s="18">
        <v>558.03570999999999</v>
      </c>
      <c r="AC136" s="18" t="s">
        <v>8905</v>
      </c>
      <c r="AD136" s="18" t="s">
        <v>7982</v>
      </c>
      <c r="AE136" s="18">
        <v>550</v>
      </c>
      <c r="AF136" s="18" t="s">
        <v>7983</v>
      </c>
      <c r="AG136" s="18">
        <v>550</v>
      </c>
      <c r="AH136" s="18" t="s">
        <v>95</v>
      </c>
      <c r="AI136" s="18" t="s">
        <v>112</v>
      </c>
      <c r="AJ136" s="18" t="s">
        <v>781</v>
      </c>
      <c r="AK136" s="18">
        <v>17.850000000000001</v>
      </c>
      <c r="AL136" s="18" t="s">
        <v>95</v>
      </c>
      <c r="AM136" s="18" t="s">
        <v>95</v>
      </c>
      <c r="AN136" s="18" t="s">
        <v>7984</v>
      </c>
      <c r="AO136" s="18" t="s">
        <v>92</v>
      </c>
      <c r="AP136" s="20" t="s">
        <v>1020</v>
      </c>
      <c r="AQ136" s="18" t="s">
        <v>1021</v>
      </c>
      <c r="AR136" s="18" t="s">
        <v>496</v>
      </c>
      <c r="AS136" s="18">
        <v>1</v>
      </c>
      <c r="AT136" s="18" t="s">
        <v>91</v>
      </c>
      <c r="AU136" s="18" t="s">
        <v>90</v>
      </c>
      <c r="AV136" s="18" t="s">
        <v>8459</v>
      </c>
      <c r="AW136" s="18" t="s">
        <v>8460</v>
      </c>
      <c r="AX136" s="18" t="s">
        <v>83</v>
      </c>
      <c r="AY136" s="18" t="s">
        <v>95</v>
      </c>
      <c r="AZ136" s="18" t="s">
        <v>95</v>
      </c>
      <c r="BA136" s="18" t="s">
        <v>95</v>
      </c>
      <c r="BB136" s="18" t="s">
        <v>95</v>
      </c>
      <c r="BC136" s="18" t="s">
        <v>84</v>
      </c>
      <c r="BD136" s="18" t="s">
        <v>95</v>
      </c>
      <c r="BE136" s="18" t="s">
        <v>95</v>
      </c>
      <c r="BF136" s="18" t="s">
        <v>95</v>
      </c>
      <c r="BG136" s="18" t="s">
        <v>95</v>
      </c>
      <c r="BH136" s="18" t="s">
        <v>95</v>
      </c>
      <c r="BI136" s="18">
        <v>12</v>
      </c>
      <c r="BJ136" s="18">
        <v>2022</v>
      </c>
      <c r="BK136" s="18" t="s">
        <v>95</v>
      </c>
      <c r="BL136" s="18" t="s">
        <v>95</v>
      </c>
      <c r="BM136" s="18" t="s">
        <v>95</v>
      </c>
      <c r="BN136" s="18" t="s">
        <v>85</v>
      </c>
      <c r="BO136" s="18" t="s">
        <v>86</v>
      </c>
      <c r="BP136" s="18" t="s">
        <v>90</v>
      </c>
      <c r="BQ136" s="18" t="s">
        <v>8106</v>
      </c>
      <c r="BR136" s="18" t="s">
        <v>92</v>
      </c>
      <c r="BS136" s="18" t="s">
        <v>8074</v>
      </c>
      <c r="BT136" s="18" t="s">
        <v>7989</v>
      </c>
      <c r="BU136" s="18" t="s">
        <v>496</v>
      </c>
      <c r="BV136" s="18" t="str">
        <f>Terminales[[#This Row],[IMEI]]&amp;"SI"</f>
        <v>355180120686069SI</v>
      </c>
      <c r="BW136" s="18" t="str">
        <f>VLOOKUP(Terminales[[#This Row],[OFICINA_USUARIO]],[1]!Locales[#Data],3,0)</f>
        <v>TIENDA CUENCA CENTRO</v>
      </c>
      <c r="BX136" s="18" t="str">
        <f>VLOOKUP(Terminales[[#This Row],[USUARIO_FINAL]],'[1]Personal Ppto vs Real'!$A:$F,6,0)</f>
        <v>GONZALES ALVARRACIN PAOLA YESSENIA</v>
      </c>
      <c r="BY13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3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36" s="18">
        <f>DAY(Terminales[[#This Row],[FECHA_FACTURA]])</f>
        <v>7</v>
      </c>
      <c r="CB136" s="65">
        <f>IF(Terminales[[#This Row],[CANTIDAD]] = 1,INDEX([1]!Comisiones[#Data],MATCH("Terminales",[1]!Comisiones[Producto],0),MATCH(Terminales[[#This Row],[TIPO ALTA COMISIONES]],[1]!Comisiones[#Headers],0))*Terminales[[#This Row],[MONTO]],0)</f>
        <v>55.803571000000005</v>
      </c>
      <c r="CC136" s="65">
        <f>IFERROR(IF(AND(Terminales[[#This Row],[CANTIDAD]] = 1,Terminales[[#This Row],[MOVIMIENTO]] = "RENOVACION"),Terminales[[#This Row],[TARIFA_BASICA]]*0.5,),)</f>
        <v>8.9250000000000007</v>
      </c>
      <c r="CD136" s="65">
        <f>IF('[1]Resumen TM'!$AW$20 &lt; 0.4,0,Terminales[[#This Row],[MONTO]]*0.02)</f>
        <v>11.160714199999999</v>
      </c>
      <c r="CE136" s="66">
        <f>Terminales[[#This Row],[COMISIONES TERMINALES]]+Terminales[[#This Row],[COMISIONES RENOVACIONES]]+Terminales[[#This Row],[COMISIONES BONO]]</f>
        <v>75.889285200000003</v>
      </c>
      <c r="CF136" s="67">
        <f>(Terminales[[#This Row],[COMISIONES TERMINALES]]*VLOOKUP(Terminales[[#This Row],[LOCALES]],[1]!Calendario[#Data],3,0))/VLOOKUP(Terminales[[#This Row],[LOCALES]],[1]!Calendario[#Data],2,0)</f>
        <v>90.440270241379324</v>
      </c>
      <c r="CG136" s="67">
        <f>(Terminales[[#This Row],[COMISIONES RENOVACIONES]]*VLOOKUP(Terminales[[#This Row],[LOCALES]],[1]!Calendario[#Data],3,0))/VLOOKUP(Terminales[[#This Row],[LOCALES]],[1]!Calendario[#Data],2,0)</f>
        <v>14.464655172413794</v>
      </c>
      <c r="CH136" s="67">
        <f>(Terminales[[#This Row],[COMISIONES BONO]]*VLOOKUP(Terminales[[#This Row],[LOCALES]],[1]!Calendario[#Data],3,0))/VLOOKUP(Terminales[[#This Row],[LOCALES]],[1]!Calendario[#Data],2,0)</f>
        <v>18.088054048275861</v>
      </c>
      <c r="CI136" s="67">
        <f>Terminales[[#This Row],[PROY. COM. TERMINALES]]+Terminales[[#This Row],[PROY. COM. RENOV.]]+Terminales[[#This Row],[PROY. COM. 2%]]</f>
        <v>122.99297946206899</v>
      </c>
    </row>
    <row r="137" spans="1:87" x14ac:dyDescent="0.25">
      <c r="A137" s="68">
        <v>44926</v>
      </c>
      <c r="B137" s="68">
        <v>44902</v>
      </c>
      <c r="C137" s="18" t="s">
        <v>291</v>
      </c>
      <c r="D137" s="18" t="s">
        <v>78</v>
      </c>
      <c r="E137" s="18" t="s">
        <v>1532</v>
      </c>
      <c r="F137" s="18" t="s">
        <v>8906</v>
      </c>
      <c r="G137" s="18" t="s">
        <v>292</v>
      </c>
      <c r="H137" s="18" t="s">
        <v>293</v>
      </c>
      <c r="I137" s="18" t="s">
        <v>8907</v>
      </c>
      <c r="J137" s="18" t="s">
        <v>95</v>
      </c>
      <c r="K137" s="18" t="s">
        <v>7970</v>
      </c>
      <c r="L137" s="18" t="s">
        <v>8908</v>
      </c>
      <c r="M137" s="18" t="s">
        <v>8909</v>
      </c>
      <c r="N137" s="18" t="s">
        <v>8910</v>
      </c>
      <c r="O137" s="18" t="s">
        <v>354</v>
      </c>
      <c r="P137" s="18" t="s">
        <v>8911</v>
      </c>
      <c r="Q137" s="18" t="s">
        <v>7975</v>
      </c>
      <c r="R137" s="18" t="s">
        <v>7976</v>
      </c>
      <c r="S137" s="18" t="s">
        <v>8070</v>
      </c>
      <c r="T137" s="18" t="s">
        <v>8071</v>
      </c>
      <c r="U137" s="18" t="s">
        <v>8012</v>
      </c>
      <c r="V137" s="18" t="s">
        <v>6963</v>
      </c>
      <c r="W137" s="18" t="s">
        <v>95</v>
      </c>
      <c r="X137" s="18" t="s">
        <v>95</v>
      </c>
      <c r="Y137" s="18" t="s">
        <v>7980</v>
      </c>
      <c r="Z137" s="18" t="s">
        <v>6996</v>
      </c>
      <c r="AA137" s="69">
        <v>1</v>
      </c>
      <c r="AB137" s="18">
        <v>321.42856999999998</v>
      </c>
      <c r="AC137" s="18" t="s">
        <v>8912</v>
      </c>
      <c r="AD137" s="18" t="s">
        <v>7982</v>
      </c>
      <c r="AE137" s="18">
        <v>199.79</v>
      </c>
      <c r="AF137" s="18" t="s">
        <v>7983</v>
      </c>
      <c r="AG137" s="18">
        <v>199.79</v>
      </c>
      <c r="AH137" s="18" t="s">
        <v>95</v>
      </c>
      <c r="AI137" s="18" t="s">
        <v>183</v>
      </c>
      <c r="AJ137" s="18" t="s">
        <v>184</v>
      </c>
      <c r="AK137" s="18">
        <v>11.42</v>
      </c>
      <c r="AL137" s="18" t="s">
        <v>95</v>
      </c>
      <c r="AM137" s="18" t="s">
        <v>95</v>
      </c>
      <c r="AN137" s="18" t="s">
        <v>7984</v>
      </c>
      <c r="AO137" s="18" t="s">
        <v>139</v>
      </c>
      <c r="AP137" s="20" t="s">
        <v>233</v>
      </c>
      <c r="AQ137" s="18" t="s">
        <v>234</v>
      </c>
      <c r="AR137" s="18" t="s">
        <v>3771</v>
      </c>
      <c r="AS137" s="18">
        <v>12</v>
      </c>
      <c r="AT137" s="18" t="s">
        <v>235</v>
      </c>
      <c r="AU137" s="18" t="s">
        <v>90</v>
      </c>
      <c r="AV137" s="18" t="s">
        <v>8072</v>
      </c>
      <c r="AW137" s="18" t="s">
        <v>8073</v>
      </c>
      <c r="AX137" s="18" t="s">
        <v>83</v>
      </c>
      <c r="AY137" s="18" t="s">
        <v>95</v>
      </c>
      <c r="AZ137" s="18" t="s">
        <v>95</v>
      </c>
      <c r="BA137" s="18" t="s">
        <v>95</v>
      </c>
      <c r="BB137" s="18" t="s">
        <v>95</v>
      </c>
      <c r="BC137" s="18" t="s">
        <v>215</v>
      </c>
      <c r="BD137" s="18" t="s">
        <v>95</v>
      </c>
      <c r="BE137" s="18" t="s">
        <v>95</v>
      </c>
      <c r="BF137" s="18" t="s">
        <v>95</v>
      </c>
      <c r="BG137" s="18" t="s">
        <v>95</v>
      </c>
      <c r="BH137" s="18" t="s">
        <v>95</v>
      </c>
      <c r="BI137" s="18">
        <v>12</v>
      </c>
      <c r="BJ137" s="18">
        <v>2022</v>
      </c>
      <c r="BK137" s="18" t="s">
        <v>95</v>
      </c>
      <c r="BL137" s="18" t="s">
        <v>95</v>
      </c>
      <c r="BM137" s="18" t="s">
        <v>95</v>
      </c>
      <c r="BN137" s="18" t="s">
        <v>85</v>
      </c>
      <c r="BO137" s="18" t="s">
        <v>86</v>
      </c>
      <c r="BP137" s="18" t="s">
        <v>90</v>
      </c>
      <c r="BQ137" s="18" t="s">
        <v>8016</v>
      </c>
      <c r="BR137" s="18" t="s">
        <v>139</v>
      </c>
      <c r="BS137" s="18" t="s">
        <v>7988</v>
      </c>
      <c r="BT137" s="18" t="s">
        <v>7989</v>
      </c>
      <c r="BU137" s="18" t="s">
        <v>7990</v>
      </c>
      <c r="BV137" s="18" t="str">
        <f>Terminales[[#This Row],[IMEI]]&amp;"SI"</f>
        <v>869113065779929SI</v>
      </c>
      <c r="BW137" s="18" t="str">
        <f>VLOOKUP(Terminales[[#This Row],[OFICINA_USUARIO]],[1]!Locales[#Data],3,0)</f>
        <v>TIENDA CONDADO</v>
      </c>
      <c r="BX137" s="18" t="str">
        <f>VLOOKUP(Terminales[[#This Row],[USUARIO_FINAL]],'[1]Personal Ppto vs Real'!$A:$F,6,0)</f>
        <v>ROSALES MALDONADO JESSICA GABRIELA</v>
      </c>
      <c r="BY13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3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37" s="18">
        <f>DAY(Terminales[[#This Row],[FECHA_FACTURA]])</f>
        <v>7</v>
      </c>
      <c r="CB137" s="65">
        <f>IF(Terminales[[#This Row],[CANTIDAD]] = 1,INDEX([1]!Comisiones[#Data],MATCH("Terminales",[1]!Comisiones[Producto],0),MATCH(Terminales[[#This Row],[TIPO ALTA COMISIONES]],[1]!Comisiones[#Headers],0))*Terminales[[#This Row],[MONTO]],0)</f>
        <v>19.285714199999997</v>
      </c>
      <c r="CC137" s="65">
        <f>IFERROR(IF(AND(Terminales[[#This Row],[CANTIDAD]] = 1,Terminales[[#This Row],[MOVIMIENTO]] = "RENOVACION"),Terminales[[#This Row],[TARIFA_BASICA]]*0.5,),)</f>
        <v>5.71</v>
      </c>
      <c r="CD137" s="65">
        <f>IF('[1]Resumen TM'!$AW$20 &lt; 0.4,0,Terminales[[#This Row],[MONTO]]*0.02)</f>
        <v>6.4285714</v>
      </c>
      <c r="CE137" s="66">
        <f>Terminales[[#This Row],[COMISIONES TERMINALES]]+Terminales[[#This Row],[COMISIONES RENOVACIONES]]+Terminales[[#This Row],[COMISIONES BONO]]</f>
        <v>31.424285599999997</v>
      </c>
      <c r="CF137" s="67">
        <f>(Terminales[[#This Row],[COMISIONES TERMINALES]]*VLOOKUP(Terminales[[#This Row],[LOCALES]],[1]!Calendario[#Data],3,0))/VLOOKUP(Terminales[[#This Row],[LOCALES]],[1]!Calendario[#Data],2,0)</f>
        <v>31.728110458064513</v>
      </c>
      <c r="CG137" s="67">
        <f>(Terminales[[#This Row],[COMISIONES RENOVACIONES]]*VLOOKUP(Terminales[[#This Row],[LOCALES]],[1]!Calendario[#Data],3,0))/VLOOKUP(Terminales[[#This Row],[LOCALES]],[1]!Calendario[#Data],2,0)</f>
        <v>9.3938709677419343</v>
      </c>
      <c r="CH137" s="67">
        <f>(Terminales[[#This Row],[COMISIONES BONO]]*VLOOKUP(Terminales[[#This Row],[LOCALES]],[1]!Calendario[#Data],3,0))/VLOOKUP(Terminales[[#This Row],[LOCALES]],[1]!Calendario[#Data],2,0)</f>
        <v>10.576036819354838</v>
      </c>
      <c r="CI137" s="67">
        <f>Terminales[[#This Row],[PROY. COM. TERMINALES]]+Terminales[[#This Row],[PROY. COM. RENOV.]]+Terminales[[#This Row],[PROY. COM. 2%]]</f>
        <v>51.698018245161286</v>
      </c>
    </row>
    <row r="138" spans="1:87" x14ac:dyDescent="0.25">
      <c r="A138" s="68">
        <v>44926</v>
      </c>
      <c r="B138" s="68">
        <v>44902</v>
      </c>
      <c r="C138" s="18" t="s">
        <v>291</v>
      </c>
      <c r="D138" s="18" t="s">
        <v>78</v>
      </c>
      <c r="E138" s="18" t="s">
        <v>231</v>
      </c>
      <c r="F138" s="18" t="s">
        <v>8913</v>
      </c>
      <c r="G138" s="18" t="s">
        <v>292</v>
      </c>
      <c r="H138" s="18" t="s">
        <v>494</v>
      </c>
      <c r="I138" s="18" t="s">
        <v>8914</v>
      </c>
      <c r="J138" s="18" t="s">
        <v>95</v>
      </c>
      <c r="K138" s="18" t="s">
        <v>7970</v>
      </c>
      <c r="L138" s="18" t="s">
        <v>8915</v>
      </c>
      <c r="M138" s="18" t="s">
        <v>8916</v>
      </c>
      <c r="N138" s="18" t="s">
        <v>8917</v>
      </c>
      <c r="O138" s="18" t="s">
        <v>1691</v>
      </c>
      <c r="P138" s="18" t="s">
        <v>8918</v>
      </c>
      <c r="Q138" s="18" t="s">
        <v>7975</v>
      </c>
      <c r="R138" s="18" t="s">
        <v>7976</v>
      </c>
      <c r="S138" s="18" t="s">
        <v>8045</v>
      </c>
      <c r="T138" s="18" t="s">
        <v>8225</v>
      </c>
      <c r="U138" s="18" t="s">
        <v>8012</v>
      </c>
      <c r="V138" s="18" t="s">
        <v>6963</v>
      </c>
      <c r="W138" s="18" t="s">
        <v>95</v>
      </c>
      <c r="X138" s="18" t="s">
        <v>95</v>
      </c>
      <c r="Y138" s="18" t="s">
        <v>7980</v>
      </c>
      <c r="Z138" s="18" t="s">
        <v>6996</v>
      </c>
      <c r="AA138" s="69">
        <v>1</v>
      </c>
      <c r="AB138" s="18">
        <v>241.07142999999999</v>
      </c>
      <c r="AC138" s="18" t="s">
        <v>8919</v>
      </c>
      <c r="AD138" s="18" t="s">
        <v>7982</v>
      </c>
      <c r="AE138" s="18">
        <v>232</v>
      </c>
      <c r="AF138" s="18" t="s">
        <v>7983</v>
      </c>
      <c r="AG138" s="18">
        <v>232</v>
      </c>
      <c r="AH138" s="18" t="s">
        <v>95</v>
      </c>
      <c r="AI138" s="18" t="s">
        <v>7358</v>
      </c>
      <c r="AJ138" s="18" t="s">
        <v>7359</v>
      </c>
      <c r="AK138" s="18">
        <v>10.54</v>
      </c>
      <c r="AL138" s="18" t="s">
        <v>95</v>
      </c>
      <c r="AM138" s="18" t="s">
        <v>95</v>
      </c>
      <c r="AN138" s="18" t="s">
        <v>7984</v>
      </c>
      <c r="AO138" s="18" t="s">
        <v>92</v>
      </c>
      <c r="AP138" s="20" t="s">
        <v>880</v>
      </c>
      <c r="AQ138" s="18" t="s">
        <v>881</v>
      </c>
      <c r="AR138" s="18" t="s">
        <v>496</v>
      </c>
      <c r="AS138" s="18">
        <v>1</v>
      </c>
      <c r="AT138" s="18" t="s">
        <v>91</v>
      </c>
      <c r="AU138" s="18" t="s">
        <v>90</v>
      </c>
      <c r="AV138" s="18" t="s">
        <v>8228</v>
      </c>
      <c r="AW138" s="18" t="s">
        <v>8229</v>
      </c>
      <c r="AX138" s="18" t="s">
        <v>83</v>
      </c>
      <c r="AY138" s="18" t="s">
        <v>95</v>
      </c>
      <c r="AZ138" s="18" t="s">
        <v>95</v>
      </c>
      <c r="BA138" s="18" t="s">
        <v>95</v>
      </c>
      <c r="BB138" s="18" t="s">
        <v>95</v>
      </c>
      <c r="BC138" s="18" t="s">
        <v>84</v>
      </c>
      <c r="BD138" s="18" t="s">
        <v>95</v>
      </c>
      <c r="BE138" s="18" t="s">
        <v>95</v>
      </c>
      <c r="BF138" s="18" t="s">
        <v>95</v>
      </c>
      <c r="BG138" s="18" t="s">
        <v>95</v>
      </c>
      <c r="BH138" s="18" t="s">
        <v>95</v>
      </c>
      <c r="BI138" s="18">
        <v>12</v>
      </c>
      <c r="BJ138" s="18">
        <v>2022</v>
      </c>
      <c r="BK138" s="18" t="s">
        <v>95</v>
      </c>
      <c r="BL138" s="18" t="s">
        <v>95</v>
      </c>
      <c r="BM138" s="18" t="s">
        <v>95</v>
      </c>
      <c r="BN138" s="18" t="s">
        <v>85</v>
      </c>
      <c r="BO138" s="18" t="s">
        <v>86</v>
      </c>
      <c r="BP138" s="18" t="s">
        <v>90</v>
      </c>
      <c r="BQ138" s="18" t="s">
        <v>8106</v>
      </c>
      <c r="BR138" s="18" t="s">
        <v>92</v>
      </c>
      <c r="BS138" s="18" t="s">
        <v>8074</v>
      </c>
      <c r="BT138" s="18" t="s">
        <v>7989</v>
      </c>
      <c r="BU138" s="18" t="s">
        <v>496</v>
      </c>
      <c r="BV138" s="18" t="str">
        <f>Terminales[[#This Row],[IMEI]]&amp;"SI"</f>
        <v>356795951296768SI</v>
      </c>
      <c r="BW138" s="18" t="str">
        <f>VLOOKUP(Terminales[[#This Row],[OFICINA_USUARIO]],[1]!Locales[#Data],3,0)</f>
        <v>TIENDA CUENCA CENTRO</v>
      </c>
      <c r="BX138" s="18" t="str">
        <f>VLOOKUP(Terminales[[#This Row],[USUARIO_FINAL]],'[1]Personal Ppto vs Real'!$A:$F,6,0)</f>
        <v>LUNA JACHO ANDREA GABRIELA</v>
      </c>
      <c r="BY13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3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38" s="18">
        <f>DAY(Terminales[[#This Row],[FECHA_FACTURA]])</f>
        <v>7</v>
      </c>
      <c r="CB138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38" s="65">
        <f>IFERROR(IF(AND(Terminales[[#This Row],[CANTIDAD]] = 1,Terminales[[#This Row],[MOVIMIENTO]] = "RENOVACION"),Terminales[[#This Row],[TARIFA_BASICA]]*0.5,),)</f>
        <v>5.27</v>
      </c>
      <c r="CD138" s="65">
        <f>IF('[1]Resumen TM'!$AW$20 &lt; 0.4,0,Terminales[[#This Row],[MONTO]]*0.02)</f>
        <v>4.8214286</v>
      </c>
      <c r="CE138" s="66">
        <f>Terminales[[#This Row],[COMISIONES TERMINALES]]+Terminales[[#This Row],[COMISIONES RENOVACIONES]]+Terminales[[#This Row],[COMISIONES BONO]]</f>
        <v>34.198571600000001</v>
      </c>
      <c r="CF138" s="67">
        <f>(Terminales[[#This Row],[COMISIONES TERMINALES]]*VLOOKUP(Terminales[[#This Row],[LOCALES]],[1]!Calendario[#Data],3,0))/VLOOKUP(Terminales[[#This Row],[LOCALES]],[1]!Calendario[#Data],2,0)</f>
        <v>39.070197275862071</v>
      </c>
      <c r="CG138" s="67">
        <f>(Terminales[[#This Row],[COMISIONES RENOVACIONES]]*VLOOKUP(Terminales[[#This Row],[LOCALES]],[1]!Calendario[#Data],3,0))/VLOOKUP(Terminales[[#This Row],[LOCALES]],[1]!Calendario[#Data],2,0)</f>
        <v>8.5410344827586204</v>
      </c>
      <c r="CH138" s="67">
        <f>(Terminales[[#This Row],[COMISIONES BONO]]*VLOOKUP(Terminales[[#This Row],[LOCALES]],[1]!Calendario[#Data],3,0))/VLOOKUP(Terminales[[#This Row],[LOCALES]],[1]!Calendario[#Data],2,0)</f>
        <v>7.8140394551724137</v>
      </c>
      <c r="CI138" s="67">
        <f>Terminales[[#This Row],[PROY. COM. TERMINALES]]+Terminales[[#This Row],[PROY. COM. RENOV.]]+Terminales[[#This Row],[PROY. COM. 2%]]</f>
        <v>55.425271213793103</v>
      </c>
    </row>
    <row r="139" spans="1:87" x14ac:dyDescent="0.25">
      <c r="A139" s="68">
        <v>44926</v>
      </c>
      <c r="B139" s="68">
        <v>44902</v>
      </c>
      <c r="C139" s="18" t="s">
        <v>291</v>
      </c>
      <c r="D139" s="18" t="s">
        <v>78</v>
      </c>
      <c r="E139" s="18" t="s">
        <v>2241</v>
      </c>
      <c r="F139" s="18" t="s">
        <v>7687</v>
      </c>
      <c r="G139" s="18" t="s">
        <v>292</v>
      </c>
      <c r="H139" s="18" t="s">
        <v>494</v>
      </c>
      <c r="I139" s="18" t="s">
        <v>8920</v>
      </c>
      <c r="J139" s="18" t="s">
        <v>95</v>
      </c>
      <c r="K139" s="18" t="s">
        <v>7970</v>
      </c>
      <c r="L139" s="18" t="s">
        <v>8921</v>
      </c>
      <c r="M139" s="18" t="s">
        <v>8922</v>
      </c>
      <c r="N139" s="18" t="s">
        <v>7689</v>
      </c>
      <c r="O139" s="18" t="s">
        <v>2260</v>
      </c>
      <c r="P139" s="18" t="s">
        <v>8923</v>
      </c>
      <c r="Q139" s="18" t="s">
        <v>7975</v>
      </c>
      <c r="R139" s="18" t="s">
        <v>7976</v>
      </c>
      <c r="S139" s="18" t="s">
        <v>8010</v>
      </c>
      <c r="T139" s="18" t="s">
        <v>8011</v>
      </c>
      <c r="U139" s="18" t="s">
        <v>8012</v>
      </c>
      <c r="V139" s="18" t="s">
        <v>6963</v>
      </c>
      <c r="W139" s="18" t="s">
        <v>95</v>
      </c>
      <c r="X139" s="18" t="s">
        <v>95</v>
      </c>
      <c r="Y139" s="18" t="s">
        <v>7980</v>
      </c>
      <c r="Z139" s="18" t="s">
        <v>6996</v>
      </c>
      <c r="AA139" s="69">
        <v>1</v>
      </c>
      <c r="AB139" s="18">
        <v>196.42857000000001</v>
      </c>
      <c r="AC139" s="18" t="s">
        <v>7688</v>
      </c>
      <c r="AD139" s="18" t="s">
        <v>7982</v>
      </c>
      <c r="AE139" s="18">
        <v>168.8</v>
      </c>
      <c r="AF139" s="18" t="s">
        <v>7983</v>
      </c>
      <c r="AG139" s="18">
        <v>168.8</v>
      </c>
      <c r="AH139" s="18" t="s">
        <v>95</v>
      </c>
      <c r="AI139" s="18" t="s">
        <v>130</v>
      </c>
      <c r="AJ139" s="18" t="s">
        <v>433</v>
      </c>
      <c r="AK139" s="18">
        <v>15</v>
      </c>
      <c r="AL139" s="18" t="s">
        <v>95</v>
      </c>
      <c r="AM139" s="18" t="s">
        <v>95</v>
      </c>
      <c r="AN139" s="18" t="s">
        <v>7984</v>
      </c>
      <c r="AO139" s="18" t="s">
        <v>139</v>
      </c>
      <c r="AP139" s="20" t="s">
        <v>377</v>
      </c>
      <c r="AQ139" s="18" t="s">
        <v>378</v>
      </c>
      <c r="AR139" s="18" t="s">
        <v>496</v>
      </c>
      <c r="AS139" s="18">
        <v>1</v>
      </c>
      <c r="AT139" s="18" t="s">
        <v>235</v>
      </c>
      <c r="AU139" s="18" t="s">
        <v>90</v>
      </c>
      <c r="AV139" s="18" t="s">
        <v>8014</v>
      </c>
      <c r="AW139" s="18" t="s">
        <v>8015</v>
      </c>
      <c r="AX139" s="18" t="s">
        <v>83</v>
      </c>
      <c r="AY139" s="18" t="s">
        <v>95</v>
      </c>
      <c r="AZ139" s="18" t="s">
        <v>95</v>
      </c>
      <c r="BA139" s="18" t="s">
        <v>95</v>
      </c>
      <c r="BB139" s="18" t="s">
        <v>95</v>
      </c>
      <c r="BC139" s="18" t="s">
        <v>118</v>
      </c>
      <c r="BD139" s="18" t="s">
        <v>95</v>
      </c>
      <c r="BE139" s="18" t="s">
        <v>95</v>
      </c>
      <c r="BF139" s="18" t="s">
        <v>95</v>
      </c>
      <c r="BG139" s="18" t="s">
        <v>95</v>
      </c>
      <c r="BH139" s="18" t="s">
        <v>95</v>
      </c>
      <c r="BI139" s="18">
        <v>12</v>
      </c>
      <c r="BJ139" s="18">
        <v>2022</v>
      </c>
      <c r="BK139" s="18" t="s">
        <v>95</v>
      </c>
      <c r="BL139" s="18" t="s">
        <v>95</v>
      </c>
      <c r="BM139" s="18" t="s">
        <v>95</v>
      </c>
      <c r="BN139" s="18" t="s">
        <v>85</v>
      </c>
      <c r="BO139" s="18" t="s">
        <v>86</v>
      </c>
      <c r="BP139" s="18" t="s">
        <v>90</v>
      </c>
      <c r="BQ139" s="18" t="s">
        <v>8016</v>
      </c>
      <c r="BR139" s="18" t="s">
        <v>139</v>
      </c>
      <c r="BS139" s="18" t="s">
        <v>8074</v>
      </c>
      <c r="BT139" s="18" t="s">
        <v>7989</v>
      </c>
      <c r="BU139" s="18" t="s">
        <v>496</v>
      </c>
      <c r="BV139" s="18" t="str">
        <f>Terminales[[#This Row],[IMEI]]&amp;"SI"</f>
        <v>359694275281134SI</v>
      </c>
      <c r="BW139" s="18" t="str">
        <f>VLOOKUP(Terminales[[#This Row],[OFICINA_USUARIO]],[1]!Locales[#Data],3,0)</f>
        <v>TIENDA CONDADO</v>
      </c>
      <c r="BX139" s="18" t="str">
        <f>VLOOKUP(Terminales[[#This Row],[USUARIO_FINAL]],'[1]Personal Ppto vs Real'!$A:$F,6,0)</f>
        <v>MELCHIADE ISAAC VALMORE</v>
      </c>
      <c r="BY13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3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39" s="18">
        <f>DAY(Terminales[[#This Row],[FECHA_FACTURA]])</f>
        <v>7</v>
      </c>
      <c r="CB139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139" s="65">
        <f>IFERROR(IF(AND(Terminales[[#This Row],[CANTIDAD]] = 1,Terminales[[#This Row],[MOVIMIENTO]] = "RENOVACION"),Terminales[[#This Row],[TARIFA_BASICA]]*0.5,),)</f>
        <v>7.5</v>
      </c>
      <c r="CD139" s="65">
        <f>IF('[1]Resumen TM'!$AW$20 &lt; 0.4,0,Terminales[[#This Row],[MONTO]]*0.02)</f>
        <v>3.9285714</v>
      </c>
      <c r="CE139" s="66">
        <f>Terminales[[#This Row],[COMISIONES TERMINALES]]+Terminales[[#This Row],[COMISIONES RENOVACIONES]]+Terminales[[#This Row],[COMISIONES BONO]]</f>
        <v>31.071428400000002</v>
      </c>
      <c r="CF139" s="67">
        <f>(Terminales[[#This Row],[COMISIONES TERMINALES]]*VLOOKUP(Terminales[[#This Row],[LOCALES]],[1]!Calendario[#Data],3,0))/VLOOKUP(Terminales[[#This Row],[LOCALES]],[1]!Calendario[#Data],2,0)</f>
        <v>32.315667967741938</v>
      </c>
      <c r="CG139" s="67">
        <f>(Terminales[[#This Row],[COMISIONES RENOVACIONES]]*VLOOKUP(Terminales[[#This Row],[LOCALES]],[1]!Calendario[#Data],3,0))/VLOOKUP(Terminales[[#This Row],[LOCALES]],[1]!Calendario[#Data],2,0)</f>
        <v>12.338709677419354</v>
      </c>
      <c r="CH139" s="67">
        <f>(Terminales[[#This Row],[COMISIONES BONO]]*VLOOKUP(Terminales[[#This Row],[LOCALES]],[1]!Calendario[#Data],3,0))/VLOOKUP(Terminales[[#This Row],[LOCALES]],[1]!Calendario[#Data],2,0)</f>
        <v>6.4631335935483865</v>
      </c>
      <c r="CI139" s="67">
        <f>Terminales[[#This Row],[PROY. COM. TERMINALES]]+Terminales[[#This Row],[PROY. COM. RENOV.]]+Terminales[[#This Row],[PROY. COM. 2%]]</f>
        <v>51.117511238709675</v>
      </c>
    </row>
    <row r="140" spans="1:87" x14ac:dyDescent="0.25">
      <c r="A140" s="68">
        <v>44926</v>
      </c>
      <c r="B140" s="68">
        <v>44902</v>
      </c>
      <c r="C140" s="18" t="s">
        <v>291</v>
      </c>
      <c r="D140" s="18" t="s">
        <v>78</v>
      </c>
      <c r="E140" s="18" t="s">
        <v>231</v>
      </c>
      <c r="F140" s="18" t="s">
        <v>8924</v>
      </c>
      <c r="G140" s="18" t="s">
        <v>292</v>
      </c>
      <c r="H140" s="18" t="s">
        <v>293</v>
      </c>
      <c r="I140" s="18" t="s">
        <v>8925</v>
      </c>
      <c r="J140" s="18" t="s">
        <v>95</v>
      </c>
      <c r="K140" s="18" t="s">
        <v>7970</v>
      </c>
      <c r="L140" s="18" t="s">
        <v>8926</v>
      </c>
      <c r="M140" s="18" t="s">
        <v>8927</v>
      </c>
      <c r="N140" s="18" t="s">
        <v>8928</v>
      </c>
      <c r="O140" s="18" t="s">
        <v>3669</v>
      </c>
      <c r="P140" s="18" t="s">
        <v>8929</v>
      </c>
      <c r="Q140" s="18" t="s">
        <v>7975</v>
      </c>
      <c r="R140" s="18" t="s">
        <v>7976</v>
      </c>
      <c r="S140" s="18" t="s">
        <v>8045</v>
      </c>
      <c r="T140" s="18" t="s">
        <v>8046</v>
      </c>
      <c r="U140" s="18" t="s">
        <v>7996</v>
      </c>
      <c r="V140" s="18" t="s">
        <v>6963</v>
      </c>
      <c r="W140" s="18" t="s">
        <v>95</v>
      </c>
      <c r="X140" s="18" t="s">
        <v>95</v>
      </c>
      <c r="Y140" s="18" t="s">
        <v>7980</v>
      </c>
      <c r="Z140" s="18" t="s">
        <v>6996</v>
      </c>
      <c r="AA140" s="69">
        <v>1</v>
      </c>
      <c r="AB140" s="18">
        <v>174.10713999999999</v>
      </c>
      <c r="AC140" s="18" t="s">
        <v>8930</v>
      </c>
      <c r="AD140" s="18" t="s">
        <v>7982</v>
      </c>
      <c r="AE140" s="18">
        <v>124.5</v>
      </c>
      <c r="AF140" s="18" t="s">
        <v>7983</v>
      </c>
      <c r="AG140" s="18">
        <v>124.5</v>
      </c>
      <c r="AH140" s="18" t="s">
        <v>95</v>
      </c>
      <c r="AI140" s="18" t="s">
        <v>7369</v>
      </c>
      <c r="AJ140" s="18" t="s">
        <v>7370</v>
      </c>
      <c r="AK140" s="18">
        <v>20.28</v>
      </c>
      <c r="AL140" s="18" t="s">
        <v>95</v>
      </c>
      <c r="AM140" s="18" t="s">
        <v>95</v>
      </c>
      <c r="AN140" s="18" t="s">
        <v>7984</v>
      </c>
      <c r="AO140" s="18" t="s">
        <v>139</v>
      </c>
      <c r="AP140" s="20" t="s">
        <v>369</v>
      </c>
      <c r="AQ140" s="18" t="s">
        <v>370</v>
      </c>
      <c r="AR140" s="18" t="s">
        <v>295</v>
      </c>
      <c r="AS140" s="18">
        <v>6</v>
      </c>
      <c r="AT140" s="18" t="s">
        <v>177</v>
      </c>
      <c r="AU140" s="18" t="s">
        <v>90</v>
      </c>
      <c r="AV140" s="18" t="s">
        <v>8048</v>
      </c>
      <c r="AW140" s="18" t="s">
        <v>8049</v>
      </c>
      <c r="AX140" s="18" t="s">
        <v>83</v>
      </c>
      <c r="AY140" s="18" t="s">
        <v>95</v>
      </c>
      <c r="AZ140" s="18" t="s">
        <v>95</v>
      </c>
      <c r="BA140" s="18" t="s">
        <v>95</v>
      </c>
      <c r="BB140" s="18" t="s">
        <v>95</v>
      </c>
      <c r="BC140" s="18" t="s">
        <v>84</v>
      </c>
      <c r="BD140" s="18">
        <v>35</v>
      </c>
      <c r="BE140" s="18" t="s">
        <v>95</v>
      </c>
      <c r="BF140" s="18" t="s">
        <v>95</v>
      </c>
      <c r="BG140" s="18" t="s">
        <v>95</v>
      </c>
      <c r="BH140" s="18" t="s">
        <v>95</v>
      </c>
      <c r="BI140" s="18">
        <v>12</v>
      </c>
      <c r="BJ140" s="18">
        <v>2022</v>
      </c>
      <c r="BK140" s="18" t="s">
        <v>95</v>
      </c>
      <c r="BL140" s="18" t="s">
        <v>95</v>
      </c>
      <c r="BM140" s="18" t="s">
        <v>95</v>
      </c>
      <c r="BN140" s="18" t="s">
        <v>85</v>
      </c>
      <c r="BO140" s="18" t="s">
        <v>86</v>
      </c>
      <c r="BP140" s="18" t="s">
        <v>90</v>
      </c>
      <c r="BQ140" s="18" t="s">
        <v>8002</v>
      </c>
      <c r="BR140" s="18" t="s">
        <v>139</v>
      </c>
      <c r="BS140" s="18" t="s">
        <v>8027</v>
      </c>
      <c r="BT140" s="18" t="s">
        <v>7989</v>
      </c>
      <c r="BU140" s="18" t="s">
        <v>7990</v>
      </c>
      <c r="BV140" s="18" t="str">
        <f>Terminales[[#This Row],[IMEI]]&amp;"SI"</f>
        <v>351084957812034SI</v>
      </c>
      <c r="BW140" s="18" t="str">
        <f>VLOOKUP(Terminales[[#This Row],[OFICINA_USUARIO]],[1]!Locales[#Data],3,0)</f>
        <v>TIENDA RECREO</v>
      </c>
      <c r="BX140" s="18" t="str">
        <f>VLOOKUP(Terminales[[#This Row],[USUARIO_FINAL]],'[1]Personal Ppto vs Real'!$A:$F,6,0)</f>
        <v>GUAIGUA REINOSO GENESIS CAROLINA</v>
      </c>
      <c r="BY14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4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40" s="18">
        <f>DAY(Terminales[[#This Row],[FECHA_FACTURA]])</f>
        <v>7</v>
      </c>
      <c r="CB140" s="65">
        <f>IF(Terminales[[#This Row],[CANTIDAD]] = 1,INDEX([1]!Comisiones[#Data],MATCH("Terminales",[1]!Comisiones[Producto],0),MATCH(Terminales[[#This Row],[TIPO ALTA COMISIONES]],[1]!Comisiones[#Headers],0))*Terminales[[#This Row],[MONTO]],0)</f>
        <v>13.928571199999999</v>
      </c>
      <c r="CC140" s="65">
        <f>IFERROR(IF(AND(Terminales[[#This Row],[CANTIDAD]] = 1,Terminales[[#This Row],[MOVIMIENTO]] = "RENOVACION"),Terminales[[#This Row],[TARIFA_BASICA]]*0.5,),)</f>
        <v>10.14</v>
      </c>
      <c r="CD140" s="65">
        <f>IF('[1]Resumen TM'!$AW$20 &lt; 0.4,0,Terminales[[#This Row],[MONTO]]*0.02)</f>
        <v>3.4821427999999996</v>
      </c>
      <c r="CE140" s="66">
        <f>Terminales[[#This Row],[COMISIONES TERMINALES]]+Terminales[[#This Row],[COMISIONES RENOVACIONES]]+Terminales[[#This Row],[COMISIONES BONO]]</f>
        <v>27.550713999999999</v>
      </c>
      <c r="CF140" s="67">
        <f>(Terminales[[#This Row],[COMISIONES TERMINALES]]*VLOOKUP(Terminales[[#This Row],[LOCALES]],[1]!Calendario[#Data],3,0))/VLOOKUP(Terminales[[#This Row],[LOCALES]],[1]!Calendario[#Data],2,0)</f>
        <v>22.914746167741932</v>
      </c>
      <c r="CG140" s="67">
        <f>(Terminales[[#This Row],[COMISIONES RENOVACIONES]]*VLOOKUP(Terminales[[#This Row],[LOCALES]],[1]!Calendario[#Data],3,0))/VLOOKUP(Terminales[[#This Row],[LOCALES]],[1]!Calendario[#Data],2,0)</f>
        <v>16.681935483870966</v>
      </c>
      <c r="CH140" s="67">
        <f>(Terminales[[#This Row],[COMISIONES BONO]]*VLOOKUP(Terminales[[#This Row],[LOCALES]],[1]!Calendario[#Data],3,0))/VLOOKUP(Terminales[[#This Row],[LOCALES]],[1]!Calendario[#Data],2,0)</f>
        <v>5.7286865419354829</v>
      </c>
      <c r="CI140" s="67">
        <f>Terminales[[#This Row],[PROY. COM. TERMINALES]]+Terminales[[#This Row],[PROY. COM. RENOV.]]+Terminales[[#This Row],[PROY. COM. 2%]]</f>
        <v>45.325368193548378</v>
      </c>
    </row>
    <row r="141" spans="1:87" x14ac:dyDescent="0.25">
      <c r="A141" s="68">
        <v>44926</v>
      </c>
      <c r="B141" s="68">
        <v>44902</v>
      </c>
      <c r="C141" s="18" t="s">
        <v>291</v>
      </c>
      <c r="D141" s="18" t="s">
        <v>78</v>
      </c>
      <c r="E141" s="18" t="s">
        <v>2241</v>
      </c>
      <c r="F141" s="18" t="s">
        <v>8931</v>
      </c>
      <c r="G141" s="18" t="s">
        <v>292</v>
      </c>
      <c r="H141" s="18" t="s">
        <v>494</v>
      </c>
      <c r="I141" s="18" t="s">
        <v>8932</v>
      </c>
      <c r="J141" s="18" t="s">
        <v>95</v>
      </c>
      <c r="K141" s="18" t="s">
        <v>7970</v>
      </c>
      <c r="L141" s="18" t="s">
        <v>8933</v>
      </c>
      <c r="M141" s="18" t="s">
        <v>8934</v>
      </c>
      <c r="N141" s="18" t="s">
        <v>8935</v>
      </c>
      <c r="O141" s="18" t="s">
        <v>543</v>
      </c>
      <c r="P141" s="18" t="s">
        <v>8936</v>
      </c>
      <c r="Q141" s="18" t="s">
        <v>7975</v>
      </c>
      <c r="R141" s="18" t="s">
        <v>7976</v>
      </c>
      <c r="S141" s="18" t="s">
        <v>7994</v>
      </c>
      <c r="T141" s="18" t="s">
        <v>8245</v>
      </c>
      <c r="U141" s="18" t="s">
        <v>8012</v>
      </c>
      <c r="V141" s="18" t="s">
        <v>6963</v>
      </c>
      <c r="W141" s="18" t="s">
        <v>95</v>
      </c>
      <c r="X141" s="18" t="s">
        <v>95</v>
      </c>
      <c r="Y141" s="18" t="s">
        <v>7980</v>
      </c>
      <c r="Z141" s="18" t="s">
        <v>6996</v>
      </c>
      <c r="AA141" s="69">
        <v>1</v>
      </c>
      <c r="AB141" s="18">
        <v>156.25</v>
      </c>
      <c r="AC141" s="18" t="s">
        <v>8937</v>
      </c>
      <c r="AD141" s="18" t="s">
        <v>7982</v>
      </c>
      <c r="AE141" s="18">
        <v>156</v>
      </c>
      <c r="AF141" s="18" t="s">
        <v>7983</v>
      </c>
      <c r="AG141" s="18">
        <v>156</v>
      </c>
      <c r="AH141" s="18" t="s">
        <v>95</v>
      </c>
      <c r="AI141" s="18" t="s">
        <v>194</v>
      </c>
      <c r="AJ141" s="18" t="s">
        <v>268</v>
      </c>
      <c r="AK141" s="18">
        <v>14.28</v>
      </c>
      <c r="AL141" s="18" t="s">
        <v>95</v>
      </c>
      <c r="AM141" s="18" t="s">
        <v>95</v>
      </c>
      <c r="AN141" s="18" t="s">
        <v>7984</v>
      </c>
      <c r="AO141" s="18" t="s">
        <v>139</v>
      </c>
      <c r="AP141" s="20" t="s">
        <v>280</v>
      </c>
      <c r="AQ141" s="18" t="s">
        <v>281</v>
      </c>
      <c r="AR141" s="18" t="s">
        <v>496</v>
      </c>
      <c r="AS141" s="18">
        <v>1</v>
      </c>
      <c r="AT141" s="18" t="s">
        <v>235</v>
      </c>
      <c r="AU141" s="18" t="s">
        <v>90</v>
      </c>
      <c r="AV141" s="18" t="s">
        <v>8247</v>
      </c>
      <c r="AW141" s="18" t="s">
        <v>8248</v>
      </c>
      <c r="AX141" s="18" t="s">
        <v>83</v>
      </c>
      <c r="AY141" s="18" t="s">
        <v>95</v>
      </c>
      <c r="AZ141" s="18" t="s">
        <v>95</v>
      </c>
      <c r="BA141" s="18" t="s">
        <v>95</v>
      </c>
      <c r="BB141" s="18" t="s">
        <v>95</v>
      </c>
      <c r="BC141" s="18" t="s">
        <v>84</v>
      </c>
      <c r="BD141" s="18" t="s">
        <v>95</v>
      </c>
      <c r="BE141" s="18" t="s">
        <v>95</v>
      </c>
      <c r="BF141" s="18" t="s">
        <v>95</v>
      </c>
      <c r="BG141" s="18" t="s">
        <v>95</v>
      </c>
      <c r="BH141" s="18" t="s">
        <v>95</v>
      </c>
      <c r="BI141" s="18">
        <v>12</v>
      </c>
      <c r="BJ141" s="18">
        <v>2022</v>
      </c>
      <c r="BK141" s="18" t="s">
        <v>95</v>
      </c>
      <c r="BL141" s="18" t="s">
        <v>95</v>
      </c>
      <c r="BM141" s="18" t="s">
        <v>95</v>
      </c>
      <c r="BN141" s="18" t="s">
        <v>85</v>
      </c>
      <c r="BO141" s="18" t="s">
        <v>86</v>
      </c>
      <c r="BP141" s="18" t="s">
        <v>90</v>
      </c>
      <c r="BQ141" s="18" t="s">
        <v>8016</v>
      </c>
      <c r="BR141" s="18" t="s">
        <v>139</v>
      </c>
      <c r="BS141" s="18" t="s">
        <v>8074</v>
      </c>
      <c r="BT141" s="18" t="s">
        <v>7989</v>
      </c>
      <c r="BU141" s="18" t="s">
        <v>496</v>
      </c>
      <c r="BV141" s="18" t="str">
        <f>Terminales[[#This Row],[IMEI]]&amp;"SI"</f>
        <v>355108340297078SI</v>
      </c>
      <c r="BW141" s="18" t="str">
        <f>VLOOKUP(Terminales[[#This Row],[OFICINA_USUARIO]],[1]!Locales[#Data],3,0)</f>
        <v>TIENDA CONDADO</v>
      </c>
      <c r="BX141" s="18" t="str">
        <f>VLOOKUP(Terminales[[#This Row],[USUARIO_FINAL]],'[1]Personal Ppto vs Real'!$A:$F,6,0)</f>
        <v>GUACHAMIN CAZA HUGO ADRIAN</v>
      </c>
      <c r="BY14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4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41" s="18">
        <f>DAY(Terminales[[#This Row],[FECHA_FACTURA]])</f>
        <v>7</v>
      </c>
      <c r="CB141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141" s="65">
        <f>IFERROR(IF(AND(Terminales[[#This Row],[CANTIDAD]] = 1,Terminales[[#This Row],[MOVIMIENTO]] = "RENOVACION"),Terminales[[#This Row],[TARIFA_BASICA]]*0.5,),)</f>
        <v>7.14</v>
      </c>
      <c r="CD141" s="65">
        <f>IF('[1]Resumen TM'!$AW$20 &lt; 0.4,0,Terminales[[#This Row],[MONTO]]*0.02)</f>
        <v>3.125</v>
      </c>
      <c r="CE141" s="66">
        <f>Terminales[[#This Row],[COMISIONES TERMINALES]]+Terminales[[#This Row],[COMISIONES RENOVACIONES]]+Terminales[[#This Row],[COMISIONES BONO]]</f>
        <v>25.89</v>
      </c>
      <c r="CF141" s="67">
        <f>(Terminales[[#This Row],[COMISIONES TERMINALES]]*VLOOKUP(Terminales[[#This Row],[LOCALES]],[1]!Calendario[#Data],3,0))/VLOOKUP(Terminales[[#This Row],[LOCALES]],[1]!Calendario[#Data],2,0)</f>
        <v>25.705645161290324</v>
      </c>
      <c r="CG141" s="67">
        <f>(Terminales[[#This Row],[COMISIONES RENOVACIONES]]*VLOOKUP(Terminales[[#This Row],[LOCALES]],[1]!Calendario[#Data],3,0))/VLOOKUP(Terminales[[#This Row],[LOCALES]],[1]!Calendario[#Data],2,0)</f>
        <v>11.746451612903225</v>
      </c>
      <c r="CH141" s="67">
        <f>(Terminales[[#This Row],[COMISIONES BONO]]*VLOOKUP(Terminales[[#This Row],[LOCALES]],[1]!Calendario[#Data],3,0))/VLOOKUP(Terminales[[#This Row],[LOCALES]],[1]!Calendario[#Data],2,0)</f>
        <v>5.1411290322580649</v>
      </c>
      <c r="CI141" s="67">
        <f>Terminales[[#This Row],[PROY. COM. TERMINALES]]+Terminales[[#This Row],[PROY. COM. RENOV.]]+Terminales[[#This Row],[PROY. COM. 2%]]</f>
        <v>42.593225806451613</v>
      </c>
    </row>
    <row r="142" spans="1:87" x14ac:dyDescent="0.25">
      <c r="A142" s="68">
        <v>44926</v>
      </c>
      <c r="B142" s="68">
        <v>44902</v>
      </c>
      <c r="C142" s="18" t="s">
        <v>291</v>
      </c>
      <c r="D142" s="18" t="s">
        <v>78</v>
      </c>
      <c r="E142" s="18" t="s">
        <v>7125</v>
      </c>
      <c r="F142" s="18" t="s">
        <v>8938</v>
      </c>
      <c r="G142" s="18" t="s">
        <v>292</v>
      </c>
      <c r="H142" s="18" t="s">
        <v>293</v>
      </c>
      <c r="I142" s="18" t="s">
        <v>8939</v>
      </c>
      <c r="J142" s="18" t="s">
        <v>95</v>
      </c>
      <c r="K142" s="18" t="s">
        <v>7970</v>
      </c>
      <c r="L142" s="18" t="s">
        <v>8940</v>
      </c>
      <c r="M142" s="18" t="s">
        <v>3139</v>
      </c>
      <c r="N142" s="18" t="s">
        <v>3140</v>
      </c>
      <c r="O142" s="18" t="s">
        <v>338</v>
      </c>
      <c r="P142" s="18" t="s">
        <v>8941</v>
      </c>
      <c r="Q142" s="18" t="s">
        <v>7975</v>
      </c>
      <c r="R142" s="18" t="s">
        <v>7976</v>
      </c>
      <c r="S142" s="18" t="s">
        <v>7977</v>
      </c>
      <c r="T142" s="18" t="s">
        <v>7978</v>
      </c>
      <c r="U142" s="18" t="s">
        <v>7979</v>
      </c>
      <c r="V142" s="18" t="s">
        <v>6963</v>
      </c>
      <c r="W142" s="18" t="s">
        <v>95</v>
      </c>
      <c r="X142" s="18" t="s">
        <v>95</v>
      </c>
      <c r="Y142" s="18" t="s">
        <v>7980</v>
      </c>
      <c r="Z142" s="18" t="s">
        <v>6996</v>
      </c>
      <c r="AA142" s="69">
        <v>1</v>
      </c>
      <c r="AB142" s="18">
        <v>383.92856999999998</v>
      </c>
      <c r="AC142" s="18" t="s">
        <v>8942</v>
      </c>
      <c r="AD142" s="18" t="s">
        <v>7982</v>
      </c>
      <c r="AE142" s="18">
        <v>235</v>
      </c>
      <c r="AF142" s="18" t="s">
        <v>7983</v>
      </c>
      <c r="AG142" s="18">
        <v>235</v>
      </c>
      <c r="AH142" s="18" t="s">
        <v>95</v>
      </c>
      <c r="AI142" s="18" t="s">
        <v>7074</v>
      </c>
      <c r="AJ142" s="18" t="s">
        <v>7075</v>
      </c>
      <c r="AK142" s="18">
        <v>12.99</v>
      </c>
      <c r="AL142" s="18" t="s">
        <v>95</v>
      </c>
      <c r="AM142" s="18" t="s">
        <v>95</v>
      </c>
      <c r="AN142" s="18" t="s">
        <v>7984</v>
      </c>
      <c r="AO142" s="18" t="s">
        <v>139</v>
      </c>
      <c r="AP142" s="20" t="s">
        <v>492</v>
      </c>
      <c r="AQ142" s="18" t="s">
        <v>493</v>
      </c>
      <c r="AR142" s="18" t="s">
        <v>295</v>
      </c>
      <c r="AS142" s="18">
        <v>12</v>
      </c>
      <c r="AT142" s="18" t="s">
        <v>177</v>
      </c>
      <c r="AU142" s="18" t="s">
        <v>90</v>
      </c>
      <c r="AV142" s="18" t="s">
        <v>7985</v>
      </c>
      <c r="AW142" s="18" t="s">
        <v>7986</v>
      </c>
      <c r="AX142" s="18" t="s">
        <v>83</v>
      </c>
      <c r="AY142" s="18" t="s">
        <v>95</v>
      </c>
      <c r="AZ142" s="18" t="s">
        <v>95</v>
      </c>
      <c r="BA142" s="18" t="s">
        <v>95</v>
      </c>
      <c r="BB142" s="18" t="s">
        <v>95</v>
      </c>
      <c r="BC142" s="18" t="s">
        <v>215</v>
      </c>
      <c r="BD142" s="18">
        <v>76</v>
      </c>
      <c r="BE142" s="18" t="s">
        <v>95</v>
      </c>
      <c r="BF142" s="18" t="s">
        <v>95</v>
      </c>
      <c r="BG142" s="18" t="s">
        <v>95</v>
      </c>
      <c r="BH142" s="18" t="s">
        <v>95</v>
      </c>
      <c r="BI142" s="18">
        <v>12</v>
      </c>
      <c r="BJ142" s="18">
        <v>2022</v>
      </c>
      <c r="BK142" s="18" t="s">
        <v>95</v>
      </c>
      <c r="BL142" s="18" t="s">
        <v>95</v>
      </c>
      <c r="BM142" s="18" t="s">
        <v>95</v>
      </c>
      <c r="BN142" s="18" t="s">
        <v>85</v>
      </c>
      <c r="BO142" s="18" t="s">
        <v>86</v>
      </c>
      <c r="BP142" s="18" t="s">
        <v>90</v>
      </c>
      <c r="BQ142" s="18" t="s">
        <v>8002</v>
      </c>
      <c r="BR142" s="18" t="s">
        <v>139</v>
      </c>
      <c r="BS142" s="18" t="s">
        <v>7988</v>
      </c>
      <c r="BT142" s="18" t="s">
        <v>7989</v>
      </c>
      <c r="BU142" s="18" t="s">
        <v>7990</v>
      </c>
      <c r="BV142" s="18" t="str">
        <f>Terminales[[#This Row],[IMEI]]&amp;"SI"</f>
        <v>866184060682635SI</v>
      </c>
      <c r="BW142" s="18" t="str">
        <f>VLOOKUP(Terminales[[#This Row],[OFICINA_USUARIO]],[1]!Locales[#Data],3,0)</f>
        <v>TIENDA RECREO</v>
      </c>
      <c r="BX142" s="18" t="str">
        <f>VLOOKUP(Terminales[[#This Row],[USUARIO_FINAL]],'[1]Personal Ppto vs Real'!$A:$F,6,0)</f>
        <v>CONDO GARCIA NICOLAS MATIAS</v>
      </c>
      <c r="BY14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4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42" s="18">
        <f>DAY(Terminales[[#This Row],[FECHA_FACTURA]])</f>
        <v>7</v>
      </c>
      <c r="CB142" s="65">
        <f>IF(Terminales[[#This Row],[CANTIDAD]] = 1,INDEX([1]!Comisiones[#Data],MATCH("Terminales",[1]!Comisiones[Producto],0),MATCH(Terminales[[#This Row],[TIPO ALTA COMISIONES]],[1]!Comisiones[#Headers],0))*Terminales[[#This Row],[MONTO]],0)</f>
        <v>23.035714199999997</v>
      </c>
      <c r="CC142" s="65">
        <f>IFERROR(IF(AND(Terminales[[#This Row],[CANTIDAD]] = 1,Terminales[[#This Row],[MOVIMIENTO]] = "RENOVACION"),Terminales[[#This Row],[TARIFA_BASICA]]*0.5,),)</f>
        <v>6.4950000000000001</v>
      </c>
      <c r="CD142" s="65">
        <f>IF('[1]Resumen TM'!$AW$20 &lt; 0.4,0,Terminales[[#This Row],[MONTO]]*0.02)</f>
        <v>7.6785714</v>
      </c>
      <c r="CE142" s="66">
        <f>Terminales[[#This Row],[COMISIONES TERMINALES]]+Terminales[[#This Row],[COMISIONES RENOVACIONES]]+Terminales[[#This Row],[COMISIONES BONO]]</f>
        <v>37.209285600000001</v>
      </c>
      <c r="CF142" s="67">
        <f>(Terminales[[#This Row],[COMISIONES TERMINALES]]*VLOOKUP(Terminales[[#This Row],[LOCALES]],[1]!Calendario[#Data],3,0))/VLOOKUP(Terminales[[#This Row],[LOCALES]],[1]!Calendario[#Data],2,0)</f>
        <v>37.897465296774193</v>
      </c>
      <c r="CG142" s="67">
        <f>(Terminales[[#This Row],[COMISIONES RENOVACIONES]]*VLOOKUP(Terminales[[#This Row],[LOCALES]],[1]!Calendario[#Data],3,0))/VLOOKUP(Terminales[[#This Row],[LOCALES]],[1]!Calendario[#Data],2,0)</f>
        <v>10.685322580645161</v>
      </c>
      <c r="CH142" s="67">
        <f>(Terminales[[#This Row],[COMISIONES BONO]]*VLOOKUP(Terminales[[#This Row],[LOCALES]],[1]!Calendario[#Data],3,0))/VLOOKUP(Terminales[[#This Row],[LOCALES]],[1]!Calendario[#Data],2,0)</f>
        <v>12.632488432258064</v>
      </c>
      <c r="CI142" s="67">
        <f>Terminales[[#This Row],[PROY. COM. TERMINALES]]+Terminales[[#This Row],[PROY. COM. RENOV.]]+Terminales[[#This Row],[PROY. COM. 2%]]</f>
        <v>61.215276309677421</v>
      </c>
    </row>
    <row r="143" spans="1:87" x14ac:dyDescent="0.25">
      <c r="A143" s="68">
        <v>44926</v>
      </c>
      <c r="B143" s="68">
        <v>44902</v>
      </c>
      <c r="C143" s="18" t="s">
        <v>291</v>
      </c>
      <c r="D143" s="18" t="s">
        <v>78</v>
      </c>
      <c r="E143" s="18" t="s">
        <v>164</v>
      </c>
      <c r="F143" s="18" t="s">
        <v>6187</v>
      </c>
      <c r="G143" s="18" t="s">
        <v>292</v>
      </c>
      <c r="H143" s="18" t="s">
        <v>293</v>
      </c>
      <c r="I143" s="18" t="s">
        <v>8943</v>
      </c>
      <c r="J143" s="18" t="s">
        <v>95</v>
      </c>
      <c r="K143" s="18" t="s">
        <v>7970</v>
      </c>
      <c r="L143" s="18" t="s">
        <v>6188</v>
      </c>
      <c r="M143" s="18" t="s">
        <v>6189</v>
      </c>
      <c r="N143" s="18" t="s">
        <v>6190</v>
      </c>
      <c r="O143" s="18" t="s">
        <v>543</v>
      </c>
      <c r="P143" s="18" t="s">
        <v>6191</v>
      </c>
      <c r="Q143" s="18" t="s">
        <v>7975</v>
      </c>
      <c r="R143" s="18" t="s">
        <v>7976</v>
      </c>
      <c r="S143" s="18" t="s">
        <v>7994</v>
      </c>
      <c r="T143" s="18" t="s">
        <v>8245</v>
      </c>
      <c r="U143" s="18" t="s">
        <v>8012</v>
      </c>
      <c r="V143" s="18" t="s">
        <v>6963</v>
      </c>
      <c r="W143" s="18" t="s">
        <v>95</v>
      </c>
      <c r="X143" s="18" t="s">
        <v>95</v>
      </c>
      <c r="Y143" s="18" t="s">
        <v>7980</v>
      </c>
      <c r="Z143" s="18" t="s">
        <v>6996</v>
      </c>
      <c r="AA143" s="69">
        <v>1</v>
      </c>
      <c r="AB143" s="18">
        <v>205.35713999999999</v>
      </c>
      <c r="AC143" s="18" t="s">
        <v>8944</v>
      </c>
      <c r="AD143" s="18" t="s">
        <v>8151</v>
      </c>
      <c r="AE143" s="18">
        <v>156</v>
      </c>
      <c r="AF143" s="18" t="s">
        <v>7983</v>
      </c>
      <c r="AG143" s="18">
        <v>156</v>
      </c>
      <c r="AH143" s="18" t="s">
        <v>95</v>
      </c>
      <c r="AI143" s="18" t="s">
        <v>160</v>
      </c>
      <c r="AJ143" s="18" t="s">
        <v>161</v>
      </c>
      <c r="AK143" s="18">
        <v>14.28</v>
      </c>
      <c r="AL143" s="18" t="s">
        <v>95</v>
      </c>
      <c r="AM143" s="18" t="s">
        <v>95</v>
      </c>
      <c r="AN143" s="18" t="s">
        <v>7984</v>
      </c>
      <c r="AO143" s="18" t="s">
        <v>139</v>
      </c>
      <c r="AP143" s="20" t="s">
        <v>262</v>
      </c>
      <c r="AQ143" s="18" t="s">
        <v>263</v>
      </c>
      <c r="AR143" s="18" t="s">
        <v>295</v>
      </c>
      <c r="AS143" s="18">
        <v>6</v>
      </c>
      <c r="AT143" s="18" t="s">
        <v>177</v>
      </c>
      <c r="AU143" s="18" t="s">
        <v>90</v>
      </c>
      <c r="AV143" s="18" t="s">
        <v>8247</v>
      </c>
      <c r="AW143" s="18" t="s">
        <v>8248</v>
      </c>
      <c r="AX143" s="18" t="s">
        <v>83</v>
      </c>
      <c r="AY143" s="18" t="s">
        <v>95</v>
      </c>
      <c r="AZ143" s="18" t="s">
        <v>95</v>
      </c>
      <c r="BA143" s="18" t="s">
        <v>95</v>
      </c>
      <c r="BB143" s="18" t="s">
        <v>95</v>
      </c>
      <c r="BC143" s="18" t="s">
        <v>84</v>
      </c>
      <c r="BD143" s="18">
        <v>70</v>
      </c>
      <c r="BE143" s="18" t="s">
        <v>95</v>
      </c>
      <c r="BF143" s="18" t="s">
        <v>95</v>
      </c>
      <c r="BG143" s="18" t="s">
        <v>95</v>
      </c>
      <c r="BH143" s="18" t="s">
        <v>95</v>
      </c>
      <c r="BI143" s="18">
        <v>12</v>
      </c>
      <c r="BJ143" s="18">
        <v>2022</v>
      </c>
      <c r="BK143" s="18" t="s">
        <v>95</v>
      </c>
      <c r="BL143" s="18" t="s">
        <v>95</v>
      </c>
      <c r="BM143" s="18" t="s">
        <v>95</v>
      </c>
      <c r="BN143" s="18" t="s">
        <v>85</v>
      </c>
      <c r="BO143" s="18" t="s">
        <v>86</v>
      </c>
      <c r="BP143" s="18" t="s">
        <v>90</v>
      </c>
      <c r="BQ143" s="18" t="s">
        <v>8002</v>
      </c>
      <c r="BR143" s="18" t="s">
        <v>139</v>
      </c>
      <c r="BS143" s="18" t="s">
        <v>8027</v>
      </c>
      <c r="BT143" s="18" t="s">
        <v>7989</v>
      </c>
      <c r="BU143" s="18" t="s">
        <v>7990</v>
      </c>
      <c r="BV143" s="18" t="str">
        <f>Terminales[[#This Row],[IMEI]]&amp;"SI"</f>
        <v>355108340318650SI</v>
      </c>
      <c r="BW143" s="18" t="str">
        <f>VLOOKUP(Terminales[[#This Row],[OFICINA_USUARIO]],[1]!Locales[#Data],3,0)</f>
        <v>TIENDA RECREO</v>
      </c>
      <c r="BX143" s="18" t="str">
        <f>VLOOKUP(Terminales[[#This Row],[USUARIO_FINAL]],'[1]Personal Ppto vs Real'!$A:$F,6,0)</f>
        <v>CHICAIZA TOAPANTA ALEX DANILO</v>
      </c>
      <c r="BY143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14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43" s="18">
        <f>DAY(Terminales[[#This Row],[FECHA_FACTURA]])</f>
        <v>7</v>
      </c>
      <c r="CB143" s="65">
        <f>IF(Terminales[[#This Row],[CANTIDAD]] = 1,INDEX([1]!Comisiones[#Data],MATCH("Terminales",[1]!Comisiones[Producto],0),MATCH(Terminales[[#This Row],[TIPO ALTA COMISIONES]],[1]!Comisiones[#Headers],0))*Terminales[[#This Row],[MONTO]],0)</f>
        <v>16.4285712</v>
      </c>
      <c r="CC143" s="65">
        <f>IFERROR(IF(AND(Terminales[[#This Row],[CANTIDAD]] = 1,Terminales[[#This Row],[MOVIMIENTO]] = "RENOVACION"),Terminales[[#This Row],[TARIFA_BASICA]]*0.5,),)</f>
        <v>0</v>
      </c>
      <c r="CD143" s="65">
        <f>IF('[1]Resumen TM'!$AW$20 &lt; 0.4,0,Terminales[[#This Row],[MONTO]]*0.02)</f>
        <v>4.1071428000000001</v>
      </c>
      <c r="CE143" s="66">
        <f>Terminales[[#This Row],[COMISIONES TERMINALES]]+Terminales[[#This Row],[COMISIONES RENOVACIONES]]+Terminales[[#This Row],[COMISIONES BONO]]</f>
        <v>20.535713999999999</v>
      </c>
      <c r="CF143" s="67">
        <f>(Terminales[[#This Row],[COMISIONES TERMINALES]]*VLOOKUP(Terminales[[#This Row],[LOCALES]],[1]!Calendario[#Data],3,0))/VLOOKUP(Terminales[[#This Row],[LOCALES]],[1]!Calendario[#Data],2,0)</f>
        <v>27.027649393548387</v>
      </c>
      <c r="CG143" s="67">
        <f>(Terminales[[#This Row],[COMISIONES RENOVACIONES]]*VLOOKUP(Terminales[[#This Row],[LOCALES]],[1]!Calendario[#Data],3,0))/VLOOKUP(Terminales[[#This Row],[LOCALES]],[1]!Calendario[#Data],2,0)</f>
        <v>0</v>
      </c>
      <c r="CH143" s="67">
        <f>(Terminales[[#This Row],[COMISIONES BONO]]*VLOOKUP(Terminales[[#This Row],[LOCALES]],[1]!Calendario[#Data],3,0))/VLOOKUP(Terminales[[#This Row],[LOCALES]],[1]!Calendario[#Data],2,0)</f>
        <v>6.7569123483870968</v>
      </c>
      <c r="CI143" s="67">
        <f>Terminales[[#This Row],[PROY. COM. TERMINALES]]+Terminales[[#This Row],[PROY. COM. RENOV.]]+Terminales[[#This Row],[PROY. COM. 2%]]</f>
        <v>33.784561741935484</v>
      </c>
    </row>
    <row r="144" spans="1:87" x14ac:dyDescent="0.25">
      <c r="A144" s="68">
        <v>44926</v>
      </c>
      <c r="B144" s="68">
        <v>44902</v>
      </c>
      <c r="C144" s="18" t="s">
        <v>291</v>
      </c>
      <c r="D144" s="18" t="s">
        <v>78</v>
      </c>
      <c r="E144" s="18" t="s">
        <v>7125</v>
      </c>
      <c r="F144" s="18" t="s">
        <v>3137</v>
      </c>
      <c r="G144" s="18" t="s">
        <v>292</v>
      </c>
      <c r="H144" s="18" t="s">
        <v>293</v>
      </c>
      <c r="I144" s="18" t="s">
        <v>8945</v>
      </c>
      <c r="J144" s="18" t="s">
        <v>95</v>
      </c>
      <c r="K144" s="18" t="s">
        <v>7970</v>
      </c>
      <c r="L144" s="18" t="s">
        <v>3138</v>
      </c>
      <c r="M144" s="18" t="s">
        <v>3139</v>
      </c>
      <c r="N144" s="18" t="s">
        <v>3140</v>
      </c>
      <c r="O144" s="18" t="s">
        <v>354</v>
      </c>
      <c r="P144" s="18" t="s">
        <v>3141</v>
      </c>
      <c r="Q144" s="18" t="s">
        <v>7975</v>
      </c>
      <c r="R144" s="18" t="s">
        <v>7976</v>
      </c>
      <c r="S144" s="18" t="s">
        <v>8070</v>
      </c>
      <c r="T144" s="18" t="s">
        <v>8071</v>
      </c>
      <c r="U144" s="18" t="s">
        <v>8012</v>
      </c>
      <c r="V144" s="18" t="s">
        <v>6963</v>
      </c>
      <c r="W144" s="18" t="s">
        <v>95</v>
      </c>
      <c r="X144" s="18" t="s">
        <v>95</v>
      </c>
      <c r="Y144" s="18" t="s">
        <v>7980</v>
      </c>
      <c r="Z144" s="18" t="s">
        <v>6996</v>
      </c>
      <c r="AA144" s="69">
        <v>1</v>
      </c>
      <c r="AB144" s="18">
        <v>285.71429000000001</v>
      </c>
      <c r="AC144" s="18" t="s">
        <v>8946</v>
      </c>
      <c r="AD144" s="18" t="s">
        <v>8151</v>
      </c>
      <c r="AE144" s="18">
        <v>199.79</v>
      </c>
      <c r="AF144" s="18" t="s">
        <v>7983</v>
      </c>
      <c r="AG144" s="18">
        <v>199.79</v>
      </c>
      <c r="AH144" s="18" t="s">
        <v>95</v>
      </c>
      <c r="AI144" s="18" t="s">
        <v>160</v>
      </c>
      <c r="AJ144" s="18" t="s">
        <v>161</v>
      </c>
      <c r="AK144" s="18">
        <v>14.28</v>
      </c>
      <c r="AL144" s="18" t="s">
        <v>95</v>
      </c>
      <c r="AM144" s="18" t="s">
        <v>95</v>
      </c>
      <c r="AN144" s="18" t="s">
        <v>7984</v>
      </c>
      <c r="AO144" s="18" t="s">
        <v>139</v>
      </c>
      <c r="AP144" s="20" t="s">
        <v>492</v>
      </c>
      <c r="AQ144" s="18" t="s">
        <v>493</v>
      </c>
      <c r="AR144" s="18" t="s">
        <v>295</v>
      </c>
      <c r="AS144" s="18">
        <v>6</v>
      </c>
      <c r="AT144" s="18" t="s">
        <v>177</v>
      </c>
      <c r="AU144" s="18" t="s">
        <v>90</v>
      </c>
      <c r="AV144" s="18" t="s">
        <v>8072</v>
      </c>
      <c r="AW144" s="18" t="s">
        <v>8073</v>
      </c>
      <c r="AX144" s="18" t="s">
        <v>83</v>
      </c>
      <c r="AY144" s="18" t="s">
        <v>95</v>
      </c>
      <c r="AZ144" s="18" t="s">
        <v>95</v>
      </c>
      <c r="BA144" s="18" t="s">
        <v>95</v>
      </c>
      <c r="BB144" s="18" t="s">
        <v>95</v>
      </c>
      <c r="BC144" s="18" t="s">
        <v>84</v>
      </c>
      <c r="BD144" s="18">
        <v>57</v>
      </c>
      <c r="BE144" s="18" t="s">
        <v>95</v>
      </c>
      <c r="BF144" s="18" t="s">
        <v>95</v>
      </c>
      <c r="BG144" s="18" t="s">
        <v>95</v>
      </c>
      <c r="BH144" s="18" t="s">
        <v>95</v>
      </c>
      <c r="BI144" s="18">
        <v>12</v>
      </c>
      <c r="BJ144" s="18">
        <v>2022</v>
      </c>
      <c r="BK144" s="18" t="s">
        <v>95</v>
      </c>
      <c r="BL144" s="18" t="s">
        <v>95</v>
      </c>
      <c r="BM144" s="18" t="s">
        <v>95</v>
      </c>
      <c r="BN144" s="18" t="s">
        <v>85</v>
      </c>
      <c r="BO144" s="18" t="s">
        <v>86</v>
      </c>
      <c r="BP144" s="18" t="s">
        <v>90</v>
      </c>
      <c r="BQ144" s="18" t="s">
        <v>8002</v>
      </c>
      <c r="BR144" s="18" t="s">
        <v>139</v>
      </c>
      <c r="BS144" s="18" t="s">
        <v>8027</v>
      </c>
      <c r="BT144" s="18" t="s">
        <v>7989</v>
      </c>
      <c r="BU144" s="18" t="s">
        <v>7990</v>
      </c>
      <c r="BV144" s="18" t="str">
        <f>Terminales[[#This Row],[IMEI]]&amp;"SI"</f>
        <v>869113065743867SI</v>
      </c>
      <c r="BW144" s="18" t="str">
        <f>VLOOKUP(Terminales[[#This Row],[OFICINA_USUARIO]],[1]!Locales[#Data],3,0)</f>
        <v>TIENDA RECREO</v>
      </c>
      <c r="BX144" s="18" t="str">
        <f>VLOOKUP(Terminales[[#This Row],[USUARIO_FINAL]],'[1]Personal Ppto vs Real'!$A:$F,6,0)</f>
        <v>CONDO GARCIA NICOLAS MATIAS</v>
      </c>
      <c r="BY144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14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44" s="18">
        <f>DAY(Terminales[[#This Row],[FECHA_FACTURA]])</f>
        <v>7</v>
      </c>
      <c r="CB144" s="65">
        <f>IF(Terminales[[#This Row],[CANTIDAD]] = 1,INDEX([1]!Comisiones[#Data],MATCH("Terminales",[1]!Comisiones[Producto],0),MATCH(Terminales[[#This Row],[TIPO ALTA COMISIONES]],[1]!Comisiones[#Headers],0))*Terminales[[#This Row],[MONTO]],0)</f>
        <v>22.857143199999999</v>
      </c>
      <c r="CC144" s="65">
        <f>IFERROR(IF(AND(Terminales[[#This Row],[CANTIDAD]] = 1,Terminales[[#This Row],[MOVIMIENTO]] = "RENOVACION"),Terminales[[#This Row],[TARIFA_BASICA]]*0.5,),)</f>
        <v>0</v>
      </c>
      <c r="CD144" s="65">
        <f>IF('[1]Resumen TM'!$AW$20 &lt; 0.4,0,Terminales[[#This Row],[MONTO]]*0.02)</f>
        <v>5.7142857999999999</v>
      </c>
      <c r="CE144" s="66">
        <f>Terminales[[#This Row],[COMISIONES TERMINALES]]+Terminales[[#This Row],[COMISIONES RENOVACIONES]]+Terminales[[#This Row],[COMISIONES BONO]]</f>
        <v>28.571428999999998</v>
      </c>
      <c r="CF144" s="67">
        <f>(Terminales[[#This Row],[COMISIONES TERMINALES]]*VLOOKUP(Terminales[[#This Row],[LOCALES]],[1]!Calendario[#Data],3,0))/VLOOKUP(Terminales[[#This Row],[LOCALES]],[1]!Calendario[#Data],2,0)</f>
        <v>37.603687199999996</v>
      </c>
      <c r="CG144" s="67">
        <f>(Terminales[[#This Row],[COMISIONES RENOVACIONES]]*VLOOKUP(Terminales[[#This Row],[LOCALES]],[1]!Calendario[#Data],3,0))/VLOOKUP(Terminales[[#This Row],[LOCALES]],[1]!Calendario[#Data],2,0)</f>
        <v>0</v>
      </c>
      <c r="CH144" s="67">
        <f>(Terminales[[#This Row],[COMISIONES BONO]]*VLOOKUP(Terminales[[#This Row],[LOCALES]],[1]!Calendario[#Data],3,0))/VLOOKUP(Terminales[[#This Row],[LOCALES]],[1]!Calendario[#Data],2,0)</f>
        <v>9.400921799999999</v>
      </c>
      <c r="CI144" s="67">
        <f>Terminales[[#This Row],[PROY. COM. TERMINALES]]+Terminales[[#This Row],[PROY. COM. RENOV.]]+Terminales[[#This Row],[PROY. COM. 2%]]</f>
        <v>47.004608999999995</v>
      </c>
    </row>
    <row r="145" spans="1:87" x14ac:dyDescent="0.25">
      <c r="A145" s="68">
        <v>44926</v>
      </c>
      <c r="B145" s="68">
        <v>44903</v>
      </c>
      <c r="C145" s="18" t="s">
        <v>291</v>
      </c>
      <c r="D145" s="18" t="s">
        <v>78</v>
      </c>
      <c r="E145" s="18" t="s">
        <v>1036</v>
      </c>
      <c r="F145" s="18" t="s">
        <v>8947</v>
      </c>
      <c r="G145" s="18" t="s">
        <v>292</v>
      </c>
      <c r="H145" s="18" t="s">
        <v>293</v>
      </c>
      <c r="I145" s="18" t="s">
        <v>8948</v>
      </c>
      <c r="J145" s="18" t="s">
        <v>95</v>
      </c>
      <c r="K145" s="18" t="s">
        <v>7970</v>
      </c>
      <c r="L145" s="18" t="s">
        <v>8949</v>
      </c>
      <c r="M145" s="18" t="s">
        <v>8950</v>
      </c>
      <c r="N145" s="18" t="s">
        <v>8951</v>
      </c>
      <c r="O145" s="18" t="s">
        <v>2260</v>
      </c>
      <c r="P145" s="18" t="s">
        <v>8952</v>
      </c>
      <c r="Q145" s="18" t="s">
        <v>7975</v>
      </c>
      <c r="R145" s="18" t="s">
        <v>7976</v>
      </c>
      <c r="S145" s="18" t="s">
        <v>8010</v>
      </c>
      <c r="T145" s="18" t="s">
        <v>8011</v>
      </c>
      <c r="U145" s="18" t="s">
        <v>8012</v>
      </c>
      <c r="V145" s="18" t="s">
        <v>6963</v>
      </c>
      <c r="W145" s="18" t="s">
        <v>95</v>
      </c>
      <c r="X145" s="18" t="s">
        <v>95</v>
      </c>
      <c r="Y145" s="18" t="s">
        <v>7980</v>
      </c>
      <c r="Z145" s="18" t="s">
        <v>6996</v>
      </c>
      <c r="AA145" s="69">
        <v>1</v>
      </c>
      <c r="AB145" s="18">
        <v>294.64285999999998</v>
      </c>
      <c r="AC145" s="18" t="s">
        <v>8953</v>
      </c>
      <c r="AD145" s="18" t="s">
        <v>7982</v>
      </c>
      <c r="AE145" s="18">
        <v>168.8</v>
      </c>
      <c r="AF145" s="18" t="s">
        <v>7983</v>
      </c>
      <c r="AG145" s="18">
        <v>168.8</v>
      </c>
      <c r="AH145" s="18" t="s">
        <v>95</v>
      </c>
      <c r="AI145" s="18" t="s">
        <v>160</v>
      </c>
      <c r="AJ145" s="18" t="s">
        <v>161</v>
      </c>
      <c r="AK145" s="18">
        <v>14.28</v>
      </c>
      <c r="AL145" s="18" t="s">
        <v>95</v>
      </c>
      <c r="AM145" s="18" t="s">
        <v>95</v>
      </c>
      <c r="AN145" s="18" t="s">
        <v>7984</v>
      </c>
      <c r="AO145" s="18" t="s">
        <v>139</v>
      </c>
      <c r="AP145" s="20" t="s">
        <v>187</v>
      </c>
      <c r="AQ145" s="18" t="s">
        <v>188</v>
      </c>
      <c r="AR145" s="18" t="s">
        <v>295</v>
      </c>
      <c r="AS145" s="18">
        <v>12</v>
      </c>
      <c r="AT145" s="18" t="s">
        <v>177</v>
      </c>
      <c r="AU145" s="18" t="s">
        <v>90</v>
      </c>
      <c r="AV145" s="18" t="s">
        <v>8014</v>
      </c>
      <c r="AW145" s="18" t="s">
        <v>8015</v>
      </c>
      <c r="AX145" s="18" t="s">
        <v>83</v>
      </c>
      <c r="AY145" s="18" t="s">
        <v>95</v>
      </c>
      <c r="AZ145" s="18" t="s">
        <v>95</v>
      </c>
      <c r="BA145" s="18" t="s">
        <v>95</v>
      </c>
      <c r="BB145" s="18" t="s">
        <v>95</v>
      </c>
      <c r="BC145" s="18" t="s">
        <v>118</v>
      </c>
      <c r="BD145" s="18">
        <v>60</v>
      </c>
      <c r="BE145" s="18" t="s">
        <v>95</v>
      </c>
      <c r="BF145" s="18" t="s">
        <v>95</v>
      </c>
      <c r="BG145" s="18" t="s">
        <v>95</v>
      </c>
      <c r="BH145" s="18" t="s">
        <v>95</v>
      </c>
      <c r="BI145" s="18">
        <v>12</v>
      </c>
      <c r="BJ145" s="18">
        <v>2022</v>
      </c>
      <c r="BK145" s="18" t="s">
        <v>95</v>
      </c>
      <c r="BL145" s="18" t="s">
        <v>95</v>
      </c>
      <c r="BM145" s="18" t="s">
        <v>95</v>
      </c>
      <c r="BN145" s="18" t="s">
        <v>85</v>
      </c>
      <c r="BO145" s="18" t="s">
        <v>86</v>
      </c>
      <c r="BP145" s="18" t="s">
        <v>90</v>
      </c>
      <c r="BQ145" s="18" t="s">
        <v>8002</v>
      </c>
      <c r="BR145" s="18" t="s">
        <v>139</v>
      </c>
      <c r="BS145" s="18" t="s">
        <v>7988</v>
      </c>
      <c r="BT145" s="18" t="s">
        <v>7989</v>
      </c>
      <c r="BU145" s="18" t="s">
        <v>7990</v>
      </c>
      <c r="BV145" s="18" t="str">
        <f>Terminales[[#This Row],[IMEI]]&amp;"SI"</f>
        <v>359694275282660SI</v>
      </c>
      <c r="BW145" s="18" t="str">
        <f>VLOOKUP(Terminales[[#This Row],[OFICINA_USUARIO]],[1]!Locales[#Data],3,0)</f>
        <v>TIENDA RECREO</v>
      </c>
      <c r="BX145" s="18" t="str">
        <f>VLOOKUP(Terminales[[#This Row],[USUARIO_FINAL]],'[1]Personal Ppto vs Real'!$A:$F,6,0)</f>
        <v>ESPINOZA MARTINES LAURA XIOMARA</v>
      </c>
      <c r="BY14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4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45" s="18">
        <f>DAY(Terminales[[#This Row],[FECHA_FACTURA]])</f>
        <v>8</v>
      </c>
      <c r="CB145" s="65">
        <f>IF(Terminales[[#This Row],[CANTIDAD]] = 1,INDEX([1]!Comisiones[#Data],MATCH("Terminales",[1]!Comisiones[Producto],0),MATCH(Terminales[[#This Row],[TIPO ALTA COMISIONES]],[1]!Comisiones[#Headers],0))*Terminales[[#This Row],[MONTO]],0)</f>
        <v>17.678571599999998</v>
      </c>
      <c r="CC145" s="65">
        <f>IFERROR(IF(AND(Terminales[[#This Row],[CANTIDAD]] = 1,Terminales[[#This Row],[MOVIMIENTO]] = "RENOVACION"),Terminales[[#This Row],[TARIFA_BASICA]]*0.5,),)</f>
        <v>7.14</v>
      </c>
      <c r="CD145" s="65">
        <f>IF('[1]Resumen TM'!$AW$20 &lt; 0.4,0,Terminales[[#This Row],[MONTO]]*0.02)</f>
        <v>5.8928571999999999</v>
      </c>
      <c r="CE145" s="66">
        <f>Terminales[[#This Row],[COMISIONES TERMINALES]]+Terminales[[#This Row],[COMISIONES RENOVACIONES]]+Terminales[[#This Row],[COMISIONES BONO]]</f>
        <v>30.7114288</v>
      </c>
      <c r="CF145" s="67">
        <f>(Terminales[[#This Row],[COMISIONES TERMINALES]]*VLOOKUP(Terminales[[#This Row],[LOCALES]],[1]!Calendario[#Data],3,0))/VLOOKUP(Terminales[[#This Row],[LOCALES]],[1]!Calendario[#Data],2,0)</f>
        <v>29.084101664516126</v>
      </c>
      <c r="CG145" s="67">
        <f>(Terminales[[#This Row],[COMISIONES RENOVACIONES]]*VLOOKUP(Terminales[[#This Row],[LOCALES]],[1]!Calendario[#Data],3,0))/VLOOKUP(Terminales[[#This Row],[LOCALES]],[1]!Calendario[#Data],2,0)</f>
        <v>11.746451612903225</v>
      </c>
      <c r="CH145" s="67">
        <f>(Terminales[[#This Row],[COMISIONES BONO]]*VLOOKUP(Terminales[[#This Row],[LOCALES]],[1]!Calendario[#Data],3,0))/VLOOKUP(Terminales[[#This Row],[LOCALES]],[1]!Calendario[#Data],2,0)</f>
        <v>9.6947005548387111</v>
      </c>
      <c r="CI145" s="67">
        <f>Terminales[[#This Row],[PROY. COM. TERMINALES]]+Terminales[[#This Row],[PROY. COM. RENOV.]]+Terminales[[#This Row],[PROY. COM. 2%]]</f>
        <v>50.525253832258066</v>
      </c>
    </row>
    <row r="146" spans="1:87" x14ac:dyDescent="0.25">
      <c r="A146" s="68">
        <v>44926</v>
      </c>
      <c r="B146" s="68">
        <v>44903</v>
      </c>
      <c r="C146" s="18" t="s">
        <v>291</v>
      </c>
      <c r="D146" s="18" t="s">
        <v>78</v>
      </c>
      <c r="E146" s="18" t="s">
        <v>1378</v>
      </c>
      <c r="F146" s="18" t="s">
        <v>8954</v>
      </c>
      <c r="G146" s="18" t="s">
        <v>292</v>
      </c>
      <c r="H146" s="18" t="s">
        <v>293</v>
      </c>
      <c r="I146" s="18" t="s">
        <v>8955</v>
      </c>
      <c r="J146" s="18" t="s">
        <v>95</v>
      </c>
      <c r="K146" s="18" t="s">
        <v>7970</v>
      </c>
      <c r="L146" s="18" t="s">
        <v>8956</v>
      </c>
      <c r="M146" s="18" t="s">
        <v>8957</v>
      </c>
      <c r="N146" s="18" t="s">
        <v>8958</v>
      </c>
      <c r="O146" s="18" t="s">
        <v>8033</v>
      </c>
      <c r="P146" s="18" t="s">
        <v>8959</v>
      </c>
      <c r="Q146" s="18" t="s">
        <v>7975</v>
      </c>
      <c r="R146" s="18" t="s">
        <v>7976</v>
      </c>
      <c r="S146" s="18" t="s">
        <v>7977</v>
      </c>
      <c r="T146" s="18" t="s">
        <v>8035</v>
      </c>
      <c r="U146" s="18" t="s">
        <v>7996</v>
      </c>
      <c r="V146" s="18" t="s">
        <v>6963</v>
      </c>
      <c r="W146" s="18" t="s">
        <v>95</v>
      </c>
      <c r="X146" s="18" t="s">
        <v>95</v>
      </c>
      <c r="Y146" s="18" t="s">
        <v>7980</v>
      </c>
      <c r="Z146" s="18" t="s">
        <v>6996</v>
      </c>
      <c r="AA146" s="69">
        <v>1</v>
      </c>
      <c r="AB146" s="18">
        <v>236.60713999999999</v>
      </c>
      <c r="AC146" s="18" t="s">
        <v>8960</v>
      </c>
      <c r="AD146" s="18" t="s">
        <v>7982</v>
      </c>
      <c r="AE146" s="18">
        <v>147</v>
      </c>
      <c r="AF146" s="18" t="s">
        <v>7983</v>
      </c>
      <c r="AG146" s="18">
        <v>147</v>
      </c>
      <c r="AH146" s="18" t="s">
        <v>95</v>
      </c>
      <c r="AI146" s="18" t="s">
        <v>7127</v>
      </c>
      <c r="AJ146" s="18" t="s">
        <v>7128</v>
      </c>
      <c r="AK146" s="18">
        <v>13.79</v>
      </c>
      <c r="AL146" s="18" t="s">
        <v>95</v>
      </c>
      <c r="AM146" s="18" t="s">
        <v>95</v>
      </c>
      <c r="AN146" s="18" t="s">
        <v>7984</v>
      </c>
      <c r="AO146" s="18" t="s">
        <v>139</v>
      </c>
      <c r="AP146" s="20" t="s">
        <v>2103</v>
      </c>
      <c r="AQ146" s="18" t="s">
        <v>2104</v>
      </c>
      <c r="AR146" s="18" t="s">
        <v>295</v>
      </c>
      <c r="AS146" s="18">
        <v>12</v>
      </c>
      <c r="AT146" s="18" t="s">
        <v>177</v>
      </c>
      <c r="AU146" s="18" t="s">
        <v>90</v>
      </c>
      <c r="AV146" s="18" t="s">
        <v>8037</v>
      </c>
      <c r="AW146" s="18" t="s">
        <v>8038</v>
      </c>
      <c r="AX146" s="18" t="s">
        <v>83</v>
      </c>
      <c r="AY146" s="18" t="s">
        <v>95</v>
      </c>
      <c r="AZ146" s="18" t="s">
        <v>95</v>
      </c>
      <c r="BA146" s="18" t="s">
        <v>95</v>
      </c>
      <c r="BB146" s="18" t="s">
        <v>95</v>
      </c>
      <c r="BC146" s="18" t="s">
        <v>84</v>
      </c>
      <c r="BD146" s="18">
        <v>47.32</v>
      </c>
      <c r="BE146" s="18" t="s">
        <v>95</v>
      </c>
      <c r="BF146" s="18" t="s">
        <v>95</v>
      </c>
      <c r="BG146" s="18" t="s">
        <v>95</v>
      </c>
      <c r="BH146" s="18" t="s">
        <v>95</v>
      </c>
      <c r="BI146" s="18">
        <v>12</v>
      </c>
      <c r="BJ146" s="18">
        <v>2022</v>
      </c>
      <c r="BK146" s="18" t="s">
        <v>95</v>
      </c>
      <c r="BL146" s="18" t="s">
        <v>95</v>
      </c>
      <c r="BM146" s="18" t="s">
        <v>95</v>
      </c>
      <c r="BN146" s="18" t="s">
        <v>85</v>
      </c>
      <c r="BO146" s="18" t="s">
        <v>86</v>
      </c>
      <c r="BP146" s="18" t="s">
        <v>90</v>
      </c>
      <c r="BQ146" s="18" t="s">
        <v>8002</v>
      </c>
      <c r="BR146" s="18" t="s">
        <v>139</v>
      </c>
      <c r="BS146" s="18" t="s">
        <v>7988</v>
      </c>
      <c r="BT146" s="18" t="s">
        <v>7989</v>
      </c>
      <c r="BU146" s="18" t="s">
        <v>7990</v>
      </c>
      <c r="BV146" s="18" t="str">
        <f>Terminales[[#This Row],[IMEI]]&amp;"SI"</f>
        <v>862800060951613SI</v>
      </c>
      <c r="BW146" s="18" t="str">
        <f>VLOOKUP(Terminales[[#This Row],[OFICINA_USUARIO]],[1]!Locales[#Data],3,0)</f>
        <v>TIENDA RECREO</v>
      </c>
      <c r="BX146" s="18" t="str">
        <f>VLOOKUP(Terminales[[#This Row],[USUARIO_FINAL]],'[1]Personal Ppto vs Real'!$A:$F,6,0)</f>
        <v>CORDOVA BRUCIL LUIS EDUARDO</v>
      </c>
      <c r="BY14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4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46" s="18">
        <f>DAY(Terminales[[#This Row],[FECHA_FACTURA]])</f>
        <v>8</v>
      </c>
      <c r="CB146" s="65">
        <f>IF(Terminales[[#This Row],[CANTIDAD]] = 1,INDEX([1]!Comisiones[#Data],MATCH("Terminales",[1]!Comisiones[Producto],0),MATCH(Terminales[[#This Row],[TIPO ALTA COMISIONES]],[1]!Comisiones[#Headers],0))*Terminales[[#This Row],[MONTO]],0)</f>
        <v>14.196428399999999</v>
      </c>
      <c r="CC146" s="65">
        <f>IFERROR(IF(AND(Terminales[[#This Row],[CANTIDAD]] = 1,Terminales[[#This Row],[MOVIMIENTO]] = "RENOVACION"),Terminales[[#This Row],[TARIFA_BASICA]]*0.5,),)</f>
        <v>6.8949999999999996</v>
      </c>
      <c r="CD146" s="65">
        <f>IF('[1]Resumen TM'!$AW$20 &lt; 0.4,0,Terminales[[#This Row],[MONTO]]*0.02)</f>
        <v>4.7321428000000001</v>
      </c>
      <c r="CE146" s="66">
        <f>Terminales[[#This Row],[COMISIONES TERMINALES]]+Terminales[[#This Row],[COMISIONES RENOVACIONES]]+Terminales[[#This Row],[COMISIONES BONO]]</f>
        <v>25.823571199999996</v>
      </c>
      <c r="CF146" s="67">
        <f>(Terminales[[#This Row],[COMISIONES TERMINALES]]*VLOOKUP(Terminales[[#This Row],[LOCALES]],[1]!Calendario[#Data],3,0))/VLOOKUP(Terminales[[#This Row],[LOCALES]],[1]!Calendario[#Data],2,0)</f>
        <v>23.355414464516127</v>
      </c>
      <c r="CG146" s="67">
        <f>(Terminales[[#This Row],[COMISIONES RENOVACIONES]]*VLOOKUP(Terminales[[#This Row],[LOCALES]],[1]!Calendario[#Data],3,0))/VLOOKUP(Terminales[[#This Row],[LOCALES]],[1]!Calendario[#Data],2,0)</f>
        <v>11.343387096774192</v>
      </c>
      <c r="CH146" s="67">
        <f>(Terminales[[#This Row],[COMISIONES BONO]]*VLOOKUP(Terminales[[#This Row],[LOCALES]],[1]!Calendario[#Data],3,0))/VLOOKUP(Terminales[[#This Row],[LOCALES]],[1]!Calendario[#Data],2,0)</f>
        <v>7.7851381548387097</v>
      </c>
      <c r="CI146" s="67">
        <f>Terminales[[#This Row],[PROY. COM. TERMINALES]]+Terminales[[#This Row],[PROY. COM. RENOV.]]+Terminales[[#This Row],[PROY. COM. 2%]]</f>
        <v>42.483939716129029</v>
      </c>
    </row>
    <row r="147" spans="1:87" x14ac:dyDescent="0.25">
      <c r="A147" s="68">
        <v>44926</v>
      </c>
      <c r="B147" s="68">
        <v>44903</v>
      </c>
      <c r="C147" s="18" t="s">
        <v>96</v>
      </c>
      <c r="D147" s="18" t="s">
        <v>96</v>
      </c>
      <c r="E147" s="18" t="s">
        <v>96</v>
      </c>
      <c r="F147" s="18" t="s">
        <v>8961</v>
      </c>
      <c r="G147" s="18" t="s">
        <v>292</v>
      </c>
      <c r="H147" s="18" t="s">
        <v>494</v>
      </c>
      <c r="I147" s="18" t="s">
        <v>8962</v>
      </c>
      <c r="J147" s="18" t="s">
        <v>95</v>
      </c>
      <c r="K147" s="18" t="s">
        <v>7970</v>
      </c>
      <c r="L147" s="18" t="s">
        <v>8963</v>
      </c>
      <c r="M147" s="18" t="s">
        <v>2027</v>
      </c>
      <c r="N147" s="18" t="s">
        <v>2028</v>
      </c>
      <c r="O147" s="18" t="s">
        <v>6467</v>
      </c>
      <c r="P147" s="18" t="s">
        <v>8964</v>
      </c>
      <c r="Q147" s="18" t="s">
        <v>7975</v>
      </c>
      <c r="R147" s="18" t="s">
        <v>7976</v>
      </c>
      <c r="S147" s="18" t="s">
        <v>8045</v>
      </c>
      <c r="T147" s="18" t="s">
        <v>8331</v>
      </c>
      <c r="U147" s="18" t="s">
        <v>7996</v>
      </c>
      <c r="V147" s="18" t="s">
        <v>6963</v>
      </c>
      <c r="W147" s="18" t="s">
        <v>95</v>
      </c>
      <c r="X147" s="18" t="s">
        <v>95</v>
      </c>
      <c r="Y147" s="18" t="s">
        <v>7980</v>
      </c>
      <c r="Z147" s="18" t="s">
        <v>6996</v>
      </c>
      <c r="AA147" s="69">
        <v>1</v>
      </c>
      <c r="AB147" s="18">
        <v>120.53570999999999</v>
      </c>
      <c r="AC147" s="18" t="s">
        <v>8965</v>
      </c>
      <c r="AD147" s="18" t="s">
        <v>7982</v>
      </c>
      <c r="AE147" s="18">
        <v>91</v>
      </c>
      <c r="AF147" s="18" t="s">
        <v>7983</v>
      </c>
      <c r="AG147" s="18">
        <v>91</v>
      </c>
      <c r="AH147" s="18" t="s">
        <v>95</v>
      </c>
      <c r="AI147" s="18" t="s">
        <v>8102</v>
      </c>
      <c r="AJ147" s="18" t="s">
        <v>8103</v>
      </c>
      <c r="AK147" s="18" t="s">
        <v>95</v>
      </c>
      <c r="AL147" s="18" t="s">
        <v>95</v>
      </c>
      <c r="AM147" s="18" t="s">
        <v>95</v>
      </c>
      <c r="AN147" s="18" t="s">
        <v>7984</v>
      </c>
      <c r="AO147" s="18" t="s">
        <v>92</v>
      </c>
      <c r="AP147" s="20" t="s">
        <v>880</v>
      </c>
      <c r="AQ147" s="18" t="s">
        <v>881</v>
      </c>
      <c r="AR147" s="18" t="s">
        <v>496</v>
      </c>
      <c r="AS147" s="18">
        <v>1</v>
      </c>
      <c r="AT147" s="18" t="s">
        <v>91</v>
      </c>
      <c r="AU147" s="18" t="s">
        <v>90</v>
      </c>
      <c r="AV147" s="18" t="s">
        <v>8333</v>
      </c>
      <c r="AW147" s="18" t="s">
        <v>8334</v>
      </c>
      <c r="AX147" s="18" t="s">
        <v>83</v>
      </c>
      <c r="AY147" s="18" t="s">
        <v>95</v>
      </c>
      <c r="AZ147" s="18" t="s">
        <v>95</v>
      </c>
      <c r="BA147" s="18" t="s">
        <v>95</v>
      </c>
      <c r="BB147" s="18" t="s">
        <v>95</v>
      </c>
      <c r="BC147" s="18" t="s">
        <v>118</v>
      </c>
      <c r="BD147" s="18" t="s">
        <v>95</v>
      </c>
      <c r="BE147" s="18" t="s">
        <v>95</v>
      </c>
      <c r="BF147" s="18" t="s">
        <v>95</v>
      </c>
      <c r="BG147" s="18" t="s">
        <v>95</v>
      </c>
      <c r="BH147" s="18" t="s">
        <v>95</v>
      </c>
      <c r="BI147" s="18">
        <v>12</v>
      </c>
      <c r="BJ147" s="18">
        <v>2022</v>
      </c>
      <c r="BK147" s="18" t="s">
        <v>95</v>
      </c>
      <c r="BL147" s="18" t="s">
        <v>95</v>
      </c>
      <c r="BM147" s="18" t="s">
        <v>95</v>
      </c>
      <c r="BN147" s="18" t="s">
        <v>85</v>
      </c>
      <c r="BO147" s="18" t="s">
        <v>86</v>
      </c>
      <c r="BP147" s="18" t="s">
        <v>90</v>
      </c>
      <c r="BQ147" s="18" t="s">
        <v>8106</v>
      </c>
      <c r="BR147" s="18" t="s">
        <v>92</v>
      </c>
      <c r="BS147" s="18" t="s">
        <v>8074</v>
      </c>
      <c r="BT147" s="18" t="s">
        <v>7989</v>
      </c>
      <c r="BU147" s="18" t="s">
        <v>496</v>
      </c>
      <c r="BV147" s="18" t="str">
        <f>Terminales[[#This Row],[IMEI]]&amp;"SI"</f>
        <v>352286990939000SI</v>
      </c>
      <c r="BW147" s="18" t="str">
        <f>VLOOKUP(Terminales[[#This Row],[OFICINA_USUARIO]],[1]!Locales[#Data],3,0)</f>
        <v>TIENDA CUENCA CENTRO</v>
      </c>
      <c r="BX147" s="18" t="str">
        <f>VLOOKUP(Terminales[[#This Row],[USUARIO_FINAL]],'[1]Personal Ppto vs Real'!$A:$F,6,0)</f>
        <v>LUNA JACHO ANDREA GABRIELA</v>
      </c>
      <c r="BY14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4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47" s="18">
        <f>DAY(Terminales[[#This Row],[FECHA_FACTURA]])</f>
        <v>8</v>
      </c>
      <c r="CB147" s="65">
        <f>IF(Terminales[[#This Row],[CANTIDAD]] = 1,INDEX([1]!Comisiones[#Data],MATCH("Terminales",[1]!Comisiones[Producto],0),MATCH(Terminales[[#This Row],[TIPO ALTA COMISIONES]],[1]!Comisiones[#Headers],0))*Terminales[[#This Row],[MONTO]],0)</f>
        <v>12.053571</v>
      </c>
      <c r="CC147" s="65">
        <f>IFERROR(IF(AND(Terminales[[#This Row],[CANTIDAD]] = 1,Terminales[[#This Row],[MOVIMIENTO]] = "RENOVACION"),Terminales[[#This Row],[TARIFA_BASICA]]*0.5,),)</f>
        <v>0</v>
      </c>
      <c r="CD147" s="65">
        <f>IF('[1]Resumen TM'!$AW$20 &lt; 0.4,0,Terminales[[#This Row],[MONTO]]*0.02)</f>
        <v>2.4107142000000001</v>
      </c>
      <c r="CE147" s="66">
        <f>Terminales[[#This Row],[COMISIONES TERMINALES]]+Terminales[[#This Row],[COMISIONES RENOVACIONES]]+Terminales[[#This Row],[COMISIONES BONO]]</f>
        <v>14.464285199999999</v>
      </c>
      <c r="CF147" s="67">
        <f>(Terminales[[#This Row],[COMISIONES TERMINALES]]*VLOOKUP(Terminales[[#This Row],[LOCALES]],[1]!Calendario[#Data],3,0))/VLOOKUP(Terminales[[#This Row],[LOCALES]],[1]!Calendario[#Data],2,0)</f>
        <v>19.535097827586206</v>
      </c>
      <c r="CG147" s="67">
        <f>(Terminales[[#This Row],[COMISIONES RENOVACIONES]]*VLOOKUP(Terminales[[#This Row],[LOCALES]],[1]!Calendario[#Data],3,0))/VLOOKUP(Terminales[[#This Row],[LOCALES]],[1]!Calendario[#Data],2,0)</f>
        <v>0</v>
      </c>
      <c r="CH147" s="67">
        <f>(Terminales[[#This Row],[COMISIONES BONO]]*VLOOKUP(Terminales[[#This Row],[LOCALES]],[1]!Calendario[#Data],3,0))/VLOOKUP(Terminales[[#This Row],[LOCALES]],[1]!Calendario[#Data],2,0)</f>
        <v>3.9070195655172415</v>
      </c>
      <c r="CI147" s="67">
        <f>Terminales[[#This Row],[PROY. COM. TERMINALES]]+Terminales[[#This Row],[PROY. COM. RENOV.]]+Terminales[[#This Row],[PROY. COM. 2%]]</f>
        <v>23.442117393103448</v>
      </c>
    </row>
    <row r="148" spans="1:87" x14ac:dyDescent="0.25">
      <c r="A148" s="68">
        <v>44926</v>
      </c>
      <c r="B148" s="68">
        <v>44903</v>
      </c>
      <c r="C148" s="18" t="s">
        <v>291</v>
      </c>
      <c r="D148" s="18" t="s">
        <v>78</v>
      </c>
      <c r="E148" s="18" t="s">
        <v>164</v>
      </c>
      <c r="F148" s="18" t="s">
        <v>4162</v>
      </c>
      <c r="G148" s="18" t="s">
        <v>292</v>
      </c>
      <c r="H148" s="18" t="s">
        <v>494</v>
      </c>
      <c r="I148" s="18" t="s">
        <v>8966</v>
      </c>
      <c r="J148" s="18" t="s">
        <v>95</v>
      </c>
      <c r="K148" s="18" t="s">
        <v>7970</v>
      </c>
      <c r="L148" s="18" t="s">
        <v>4163</v>
      </c>
      <c r="M148" s="18" t="s">
        <v>4164</v>
      </c>
      <c r="N148" s="18" t="s">
        <v>4165</v>
      </c>
      <c r="O148" s="18" t="s">
        <v>1022</v>
      </c>
      <c r="P148" s="18" t="s">
        <v>4166</v>
      </c>
      <c r="Q148" s="18" t="s">
        <v>7975</v>
      </c>
      <c r="R148" s="18" t="s">
        <v>7976</v>
      </c>
      <c r="S148" s="18" t="s">
        <v>8045</v>
      </c>
      <c r="T148" s="18" t="s">
        <v>8225</v>
      </c>
      <c r="U148" s="18" t="s">
        <v>8012</v>
      </c>
      <c r="V148" s="18" t="s">
        <v>6963</v>
      </c>
      <c r="W148" s="18" t="s">
        <v>95</v>
      </c>
      <c r="X148" s="18" t="s">
        <v>95</v>
      </c>
      <c r="Y148" s="18" t="s">
        <v>7980</v>
      </c>
      <c r="Z148" s="18" t="s">
        <v>6996</v>
      </c>
      <c r="AA148" s="69">
        <v>1</v>
      </c>
      <c r="AB148" s="18">
        <v>241.07142999999999</v>
      </c>
      <c r="AC148" s="18" t="s">
        <v>8967</v>
      </c>
      <c r="AD148" s="18" t="s">
        <v>8151</v>
      </c>
      <c r="AE148" s="18">
        <v>232</v>
      </c>
      <c r="AF148" s="18" t="s">
        <v>7983</v>
      </c>
      <c r="AG148" s="18">
        <v>232</v>
      </c>
      <c r="AH148" s="18" t="s">
        <v>95</v>
      </c>
      <c r="AI148" s="18" t="s">
        <v>71</v>
      </c>
      <c r="AJ148" s="18" t="s">
        <v>258</v>
      </c>
      <c r="AK148" s="18">
        <v>11.42</v>
      </c>
      <c r="AL148" s="18" t="s">
        <v>95</v>
      </c>
      <c r="AM148" s="18" t="s">
        <v>95</v>
      </c>
      <c r="AN148" s="18" t="s">
        <v>7984</v>
      </c>
      <c r="AO148" s="18" t="s">
        <v>92</v>
      </c>
      <c r="AP148" s="20" t="s">
        <v>385</v>
      </c>
      <c r="AQ148" s="18" t="s">
        <v>386</v>
      </c>
      <c r="AR148" s="18" t="s">
        <v>496</v>
      </c>
      <c r="AS148" s="18">
        <v>1</v>
      </c>
      <c r="AT148" s="18" t="s">
        <v>151</v>
      </c>
      <c r="AU148" s="18" t="s">
        <v>90</v>
      </c>
      <c r="AV148" s="18" t="s">
        <v>8392</v>
      </c>
      <c r="AW148" s="18" t="s">
        <v>8393</v>
      </c>
      <c r="AX148" s="18" t="s">
        <v>83</v>
      </c>
      <c r="AY148" s="18" t="s">
        <v>95</v>
      </c>
      <c r="AZ148" s="18" t="s">
        <v>95</v>
      </c>
      <c r="BA148" s="18" t="s">
        <v>95</v>
      </c>
      <c r="BB148" s="18" t="s">
        <v>95</v>
      </c>
      <c r="BC148" s="18" t="s">
        <v>215</v>
      </c>
      <c r="BD148" s="18" t="s">
        <v>95</v>
      </c>
      <c r="BE148" s="18" t="s">
        <v>8606</v>
      </c>
      <c r="BF148" s="18" t="s">
        <v>8001</v>
      </c>
      <c r="BG148" s="18" t="s">
        <v>95</v>
      </c>
      <c r="BH148" s="18" t="s">
        <v>95</v>
      </c>
      <c r="BI148" s="18">
        <v>12</v>
      </c>
      <c r="BJ148" s="18">
        <v>2022</v>
      </c>
      <c r="BK148" s="18" t="s">
        <v>95</v>
      </c>
      <c r="BL148" s="18" t="s">
        <v>95</v>
      </c>
      <c r="BM148" s="18" t="s">
        <v>95</v>
      </c>
      <c r="BN148" s="18" t="s">
        <v>85</v>
      </c>
      <c r="BO148" s="18" t="s">
        <v>86</v>
      </c>
      <c r="BP148" s="18" t="s">
        <v>90</v>
      </c>
      <c r="BQ148" s="18" t="s">
        <v>8141</v>
      </c>
      <c r="BR148" s="18" t="s">
        <v>92</v>
      </c>
      <c r="BS148" s="18" t="s">
        <v>8003</v>
      </c>
      <c r="BT148" s="18" t="s">
        <v>7989</v>
      </c>
      <c r="BU148" s="18" t="s">
        <v>496</v>
      </c>
      <c r="BV148" s="18" t="str">
        <f>Terminales[[#This Row],[IMEI]]&amp;"SI"</f>
        <v>356795951395735SI</v>
      </c>
      <c r="BW148" s="18" t="str">
        <f>VLOOKUP(Terminales[[#This Row],[OFICINA_USUARIO]],[1]!Locales[#Data],3,0)</f>
        <v>TIENDA CUENCA REMIGIO</v>
      </c>
      <c r="BX148" s="18" t="str">
        <f>VLOOKUP(Terminales[[#This Row],[USUARIO_FINAL]],'[1]Personal Ppto vs Real'!$A:$F,6,0)</f>
        <v>RAMIREZ RUBIO NELLY LILIANA</v>
      </c>
      <c r="BY148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4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48" s="18">
        <f>DAY(Terminales[[#This Row],[FECHA_FACTURA]])</f>
        <v>8</v>
      </c>
      <c r="CB148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48" s="65">
        <f>IFERROR(IF(AND(Terminales[[#This Row],[CANTIDAD]] = 1,Terminales[[#This Row],[MOVIMIENTO]] = "RENOVACION"),Terminales[[#This Row],[TARIFA_BASICA]]*0.5,),)</f>
        <v>0</v>
      </c>
      <c r="CD148" s="65">
        <f>IF('[1]Resumen TM'!$AW$20 &lt; 0.4,0,Terminales[[#This Row],[MONTO]]*0.02)</f>
        <v>4.8214286</v>
      </c>
      <c r="CE148" s="66">
        <f>Terminales[[#This Row],[COMISIONES TERMINALES]]+Terminales[[#This Row],[COMISIONES RENOVACIONES]]+Terminales[[#This Row],[COMISIONES BONO]]</f>
        <v>28.928571600000001</v>
      </c>
      <c r="CF148" s="67">
        <f>(Terminales[[#This Row],[COMISIONES TERMINALES]]*VLOOKUP(Terminales[[#This Row],[LOCALES]],[1]!Calendario[#Data],3,0))/VLOOKUP(Terminales[[#This Row],[LOCALES]],[1]!Calendario[#Data],2,0)</f>
        <v>39.070197275862071</v>
      </c>
      <c r="CG148" s="67">
        <f>(Terminales[[#This Row],[COMISIONES RENOVACIONES]]*VLOOKUP(Terminales[[#This Row],[LOCALES]],[1]!Calendario[#Data],3,0))/VLOOKUP(Terminales[[#This Row],[LOCALES]],[1]!Calendario[#Data],2,0)</f>
        <v>0</v>
      </c>
      <c r="CH148" s="67">
        <f>(Terminales[[#This Row],[COMISIONES BONO]]*VLOOKUP(Terminales[[#This Row],[LOCALES]],[1]!Calendario[#Data],3,0))/VLOOKUP(Terminales[[#This Row],[LOCALES]],[1]!Calendario[#Data],2,0)</f>
        <v>7.8140394551724137</v>
      </c>
      <c r="CI148" s="67">
        <f>Terminales[[#This Row],[PROY. COM. TERMINALES]]+Terminales[[#This Row],[PROY. COM. RENOV.]]+Terminales[[#This Row],[PROY. COM. 2%]]</f>
        <v>46.884236731034484</v>
      </c>
    </row>
    <row r="149" spans="1:87" x14ac:dyDescent="0.25">
      <c r="A149" s="68">
        <v>44926</v>
      </c>
      <c r="B149" s="68">
        <v>44903</v>
      </c>
      <c r="C149" s="18" t="s">
        <v>291</v>
      </c>
      <c r="D149" s="18" t="s">
        <v>78</v>
      </c>
      <c r="E149" s="18" t="s">
        <v>231</v>
      </c>
      <c r="F149" s="18" t="s">
        <v>8968</v>
      </c>
      <c r="G149" s="18" t="s">
        <v>292</v>
      </c>
      <c r="H149" s="18" t="s">
        <v>293</v>
      </c>
      <c r="I149" s="18" t="s">
        <v>8969</v>
      </c>
      <c r="J149" s="18" t="s">
        <v>95</v>
      </c>
      <c r="K149" s="18" t="s">
        <v>7970</v>
      </c>
      <c r="L149" s="18" t="s">
        <v>8970</v>
      </c>
      <c r="M149" s="18" t="s">
        <v>8971</v>
      </c>
      <c r="N149" s="18" t="s">
        <v>8972</v>
      </c>
      <c r="O149" s="18" t="s">
        <v>354</v>
      </c>
      <c r="P149" s="18" t="s">
        <v>8973</v>
      </c>
      <c r="Q149" s="18" t="s">
        <v>7975</v>
      </c>
      <c r="R149" s="18" t="s">
        <v>7976</v>
      </c>
      <c r="S149" s="18" t="s">
        <v>8070</v>
      </c>
      <c r="T149" s="18" t="s">
        <v>8071</v>
      </c>
      <c r="U149" s="18" t="s">
        <v>8012</v>
      </c>
      <c r="V149" s="18" t="s">
        <v>6963</v>
      </c>
      <c r="W149" s="18" t="s">
        <v>95</v>
      </c>
      <c r="X149" s="18" t="s">
        <v>95</v>
      </c>
      <c r="Y149" s="18" t="s">
        <v>7980</v>
      </c>
      <c r="Z149" s="18" t="s">
        <v>6996</v>
      </c>
      <c r="AA149" s="69">
        <v>1</v>
      </c>
      <c r="AB149" s="18">
        <v>285.71429000000001</v>
      </c>
      <c r="AC149" s="18" t="s">
        <v>8974</v>
      </c>
      <c r="AD149" s="18" t="s">
        <v>7982</v>
      </c>
      <c r="AE149" s="18">
        <v>199.79</v>
      </c>
      <c r="AF149" s="18" t="s">
        <v>7983</v>
      </c>
      <c r="AG149" s="18">
        <v>199.79</v>
      </c>
      <c r="AH149" s="18" t="s">
        <v>95</v>
      </c>
      <c r="AI149" s="18" t="s">
        <v>7358</v>
      </c>
      <c r="AJ149" s="18" t="s">
        <v>7359</v>
      </c>
      <c r="AK149" s="18">
        <v>10.54</v>
      </c>
      <c r="AL149" s="18" t="s">
        <v>95</v>
      </c>
      <c r="AM149" s="18" t="s">
        <v>95</v>
      </c>
      <c r="AN149" s="18" t="s">
        <v>7984</v>
      </c>
      <c r="AO149" s="18" t="s">
        <v>92</v>
      </c>
      <c r="AP149" s="20" t="s">
        <v>1020</v>
      </c>
      <c r="AQ149" s="18" t="s">
        <v>1021</v>
      </c>
      <c r="AR149" s="18" t="s">
        <v>295</v>
      </c>
      <c r="AS149" s="18">
        <v>6</v>
      </c>
      <c r="AT149" s="18" t="s">
        <v>91</v>
      </c>
      <c r="AU149" s="18" t="s">
        <v>90</v>
      </c>
      <c r="AV149" s="18" t="s">
        <v>8072</v>
      </c>
      <c r="AW149" s="18" t="s">
        <v>8073</v>
      </c>
      <c r="AX149" s="18" t="s">
        <v>83</v>
      </c>
      <c r="AY149" s="18" t="s">
        <v>95</v>
      </c>
      <c r="AZ149" s="18" t="s">
        <v>95</v>
      </c>
      <c r="BA149" s="18" t="s">
        <v>95</v>
      </c>
      <c r="BB149" s="18" t="s">
        <v>95</v>
      </c>
      <c r="BC149" s="18" t="s">
        <v>118</v>
      </c>
      <c r="BD149" s="18">
        <v>57.14</v>
      </c>
      <c r="BE149" s="18" t="s">
        <v>95</v>
      </c>
      <c r="BF149" s="18" t="s">
        <v>95</v>
      </c>
      <c r="BG149" s="18" t="s">
        <v>95</v>
      </c>
      <c r="BH149" s="18" t="s">
        <v>95</v>
      </c>
      <c r="BI149" s="18">
        <v>12</v>
      </c>
      <c r="BJ149" s="18">
        <v>2022</v>
      </c>
      <c r="BK149" s="18" t="s">
        <v>95</v>
      </c>
      <c r="BL149" s="18" t="s">
        <v>95</v>
      </c>
      <c r="BM149" s="18" t="s">
        <v>95</v>
      </c>
      <c r="BN149" s="18" t="s">
        <v>85</v>
      </c>
      <c r="BO149" s="18" t="s">
        <v>86</v>
      </c>
      <c r="BP149" s="18" t="s">
        <v>90</v>
      </c>
      <c r="BQ149" s="18" t="s">
        <v>8106</v>
      </c>
      <c r="BR149" s="18" t="s">
        <v>92</v>
      </c>
      <c r="BS149" s="18" t="s">
        <v>8027</v>
      </c>
      <c r="BT149" s="18" t="s">
        <v>7989</v>
      </c>
      <c r="BU149" s="18" t="s">
        <v>7990</v>
      </c>
      <c r="BV149" s="18" t="str">
        <f>Terminales[[#This Row],[IMEI]]&amp;"SI"</f>
        <v>869113065821465SI</v>
      </c>
      <c r="BW149" s="18" t="str">
        <f>VLOOKUP(Terminales[[#This Row],[OFICINA_USUARIO]],[1]!Locales[#Data],3,0)</f>
        <v>TIENDA CUENCA CENTRO</v>
      </c>
      <c r="BX149" s="18" t="str">
        <f>VLOOKUP(Terminales[[#This Row],[USUARIO_FINAL]],'[1]Personal Ppto vs Real'!$A:$F,6,0)</f>
        <v>GONZALES ALVARRACIN PAOLA YESSENIA</v>
      </c>
      <c r="BY149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4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49" s="18">
        <f>DAY(Terminales[[#This Row],[FECHA_FACTURA]])</f>
        <v>8</v>
      </c>
      <c r="CB149" s="65">
        <f>IF(Terminales[[#This Row],[CANTIDAD]] = 1,INDEX([1]!Comisiones[#Data],MATCH("Terminales",[1]!Comisiones[Producto],0),MATCH(Terminales[[#This Row],[TIPO ALTA COMISIONES]],[1]!Comisiones[#Headers],0))*Terminales[[#This Row],[MONTO]],0)</f>
        <v>22.857143199999999</v>
      </c>
      <c r="CC149" s="65">
        <f>IFERROR(IF(AND(Terminales[[#This Row],[CANTIDAD]] = 1,Terminales[[#This Row],[MOVIMIENTO]] = "RENOVACION"),Terminales[[#This Row],[TARIFA_BASICA]]*0.5,),)</f>
        <v>5.27</v>
      </c>
      <c r="CD149" s="65">
        <f>IF('[1]Resumen TM'!$AW$20 &lt; 0.4,0,Terminales[[#This Row],[MONTO]]*0.02)</f>
        <v>5.7142857999999999</v>
      </c>
      <c r="CE149" s="66">
        <f>Terminales[[#This Row],[COMISIONES TERMINALES]]+Terminales[[#This Row],[COMISIONES RENOVACIONES]]+Terminales[[#This Row],[COMISIONES BONO]]</f>
        <v>33.841428999999998</v>
      </c>
      <c r="CF149" s="67">
        <f>(Terminales[[#This Row],[COMISIONES TERMINALES]]*VLOOKUP(Terminales[[#This Row],[LOCALES]],[1]!Calendario[#Data],3,0))/VLOOKUP(Terminales[[#This Row],[LOCALES]],[1]!Calendario[#Data],2,0)</f>
        <v>37.044335531034477</v>
      </c>
      <c r="CG149" s="67">
        <f>(Terminales[[#This Row],[COMISIONES RENOVACIONES]]*VLOOKUP(Terminales[[#This Row],[LOCALES]],[1]!Calendario[#Data],3,0))/VLOOKUP(Terminales[[#This Row],[LOCALES]],[1]!Calendario[#Data],2,0)</f>
        <v>8.5410344827586204</v>
      </c>
      <c r="CH149" s="67">
        <f>(Terminales[[#This Row],[COMISIONES BONO]]*VLOOKUP(Terminales[[#This Row],[LOCALES]],[1]!Calendario[#Data],3,0))/VLOOKUP(Terminales[[#This Row],[LOCALES]],[1]!Calendario[#Data],2,0)</f>
        <v>9.2610838827586193</v>
      </c>
      <c r="CI149" s="67">
        <f>Terminales[[#This Row],[PROY. COM. TERMINALES]]+Terminales[[#This Row],[PROY. COM. RENOV.]]+Terminales[[#This Row],[PROY. COM. 2%]]</f>
        <v>54.846453896551715</v>
      </c>
    </row>
    <row r="150" spans="1:87" x14ac:dyDescent="0.25">
      <c r="A150" s="68">
        <v>44926</v>
      </c>
      <c r="B150" s="68">
        <v>44903</v>
      </c>
      <c r="C150" s="18" t="s">
        <v>291</v>
      </c>
      <c r="D150" s="18" t="s">
        <v>78</v>
      </c>
      <c r="E150" s="18" t="s">
        <v>1532</v>
      </c>
      <c r="F150" s="18" t="s">
        <v>8975</v>
      </c>
      <c r="G150" s="18" t="s">
        <v>292</v>
      </c>
      <c r="H150" s="18" t="s">
        <v>293</v>
      </c>
      <c r="I150" s="18" t="s">
        <v>8976</v>
      </c>
      <c r="J150" s="18" t="s">
        <v>95</v>
      </c>
      <c r="K150" s="18" t="s">
        <v>7970</v>
      </c>
      <c r="L150" s="18" t="s">
        <v>8977</v>
      </c>
      <c r="M150" s="18" t="s">
        <v>8978</v>
      </c>
      <c r="N150" s="18" t="s">
        <v>8979</v>
      </c>
      <c r="O150" s="18" t="s">
        <v>338</v>
      </c>
      <c r="P150" s="18" t="s">
        <v>8980</v>
      </c>
      <c r="Q150" s="18" t="s">
        <v>7975</v>
      </c>
      <c r="R150" s="18" t="s">
        <v>7976</v>
      </c>
      <c r="S150" s="18" t="s">
        <v>7977</v>
      </c>
      <c r="T150" s="18" t="s">
        <v>7978</v>
      </c>
      <c r="U150" s="18" t="s">
        <v>7979</v>
      </c>
      <c r="V150" s="18" t="s">
        <v>6963</v>
      </c>
      <c r="W150" s="18" t="s">
        <v>95</v>
      </c>
      <c r="X150" s="18" t="s">
        <v>95</v>
      </c>
      <c r="Y150" s="18" t="s">
        <v>7980</v>
      </c>
      <c r="Z150" s="18" t="s">
        <v>6996</v>
      </c>
      <c r="AA150" s="69">
        <v>1</v>
      </c>
      <c r="AB150" s="18">
        <v>383.92856999999998</v>
      </c>
      <c r="AC150" s="18" t="s">
        <v>8981</v>
      </c>
      <c r="AD150" s="18" t="s">
        <v>7982</v>
      </c>
      <c r="AE150" s="18">
        <v>235</v>
      </c>
      <c r="AF150" s="18" t="s">
        <v>7983</v>
      </c>
      <c r="AG150" s="18">
        <v>235</v>
      </c>
      <c r="AH150" s="18" t="s">
        <v>95</v>
      </c>
      <c r="AI150" s="18" t="s">
        <v>7227</v>
      </c>
      <c r="AJ150" s="18" t="s">
        <v>7228</v>
      </c>
      <c r="AK150" s="18">
        <v>9.99</v>
      </c>
      <c r="AL150" s="18" t="s">
        <v>95</v>
      </c>
      <c r="AM150" s="18" t="s">
        <v>95</v>
      </c>
      <c r="AN150" s="18" t="s">
        <v>7984</v>
      </c>
      <c r="AO150" s="18" t="s">
        <v>139</v>
      </c>
      <c r="AP150" s="20" t="s">
        <v>404</v>
      </c>
      <c r="AQ150" s="18" t="s">
        <v>405</v>
      </c>
      <c r="AR150" s="18" t="s">
        <v>295</v>
      </c>
      <c r="AS150" s="18">
        <v>12</v>
      </c>
      <c r="AT150" s="18" t="s">
        <v>177</v>
      </c>
      <c r="AU150" s="18" t="s">
        <v>90</v>
      </c>
      <c r="AV150" s="18" t="s">
        <v>7985</v>
      </c>
      <c r="AW150" s="18" t="s">
        <v>7986</v>
      </c>
      <c r="AX150" s="18" t="s">
        <v>83</v>
      </c>
      <c r="AY150" s="18" t="s">
        <v>95</v>
      </c>
      <c r="AZ150" s="18" t="s">
        <v>95</v>
      </c>
      <c r="BA150" s="18" t="s">
        <v>95</v>
      </c>
      <c r="BB150" s="18" t="s">
        <v>95</v>
      </c>
      <c r="BC150" s="18" t="s">
        <v>118</v>
      </c>
      <c r="BD150" s="18">
        <v>78</v>
      </c>
      <c r="BE150" s="18" t="s">
        <v>95</v>
      </c>
      <c r="BF150" s="18" t="s">
        <v>95</v>
      </c>
      <c r="BG150" s="18" t="s">
        <v>95</v>
      </c>
      <c r="BH150" s="18" t="s">
        <v>95</v>
      </c>
      <c r="BI150" s="18">
        <v>12</v>
      </c>
      <c r="BJ150" s="18">
        <v>2022</v>
      </c>
      <c r="BK150" s="18" t="s">
        <v>95</v>
      </c>
      <c r="BL150" s="18" t="s">
        <v>95</v>
      </c>
      <c r="BM150" s="18" t="s">
        <v>95</v>
      </c>
      <c r="BN150" s="18" t="s">
        <v>85</v>
      </c>
      <c r="BO150" s="18" t="s">
        <v>86</v>
      </c>
      <c r="BP150" s="18" t="s">
        <v>90</v>
      </c>
      <c r="BQ150" s="18" t="s">
        <v>8002</v>
      </c>
      <c r="BR150" s="18" t="s">
        <v>139</v>
      </c>
      <c r="BS150" s="18" t="s">
        <v>7988</v>
      </c>
      <c r="BT150" s="18" t="s">
        <v>7989</v>
      </c>
      <c r="BU150" s="18" t="s">
        <v>7990</v>
      </c>
      <c r="BV150" s="18" t="str">
        <f>Terminales[[#This Row],[IMEI]]&amp;"SI"</f>
        <v>866184060682825SI</v>
      </c>
      <c r="BW150" s="18" t="str">
        <f>VLOOKUP(Terminales[[#This Row],[OFICINA_USUARIO]],[1]!Locales[#Data],3,0)</f>
        <v>TIENDA RECREO</v>
      </c>
      <c r="BX150" s="18" t="str">
        <f>VLOOKUP(Terminales[[#This Row],[USUARIO_FINAL]],'[1]Personal Ppto vs Real'!$A:$F,6,0)</f>
        <v>OTERO YEPEZ ANDREA SOLEDAD</v>
      </c>
      <c r="BY15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5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50" s="18">
        <f>DAY(Terminales[[#This Row],[FECHA_FACTURA]])</f>
        <v>8</v>
      </c>
      <c r="CB150" s="65">
        <f>IF(Terminales[[#This Row],[CANTIDAD]] = 1,INDEX([1]!Comisiones[#Data],MATCH("Terminales",[1]!Comisiones[Producto],0),MATCH(Terminales[[#This Row],[TIPO ALTA COMISIONES]],[1]!Comisiones[#Headers],0))*Terminales[[#This Row],[MONTO]],0)</f>
        <v>23.035714199999997</v>
      </c>
      <c r="CC150" s="65">
        <f>IFERROR(IF(AND(Terminales[[#This Row],[CANTIDAD]] = 1,Terminales[[#This Row],[MOVIMIENTO]] = "RENOVACION"),Terminales[[#This Row],[TARIFA_BASICA]]*0.5,),)</f>
        <v>4.9950000000000001</v>
      </c>
      <c r="CD150" s="65">
        <f>IF('[1]Resumen TM'!$AW$20 &lt; 0.4,0,Terminales[[#This Row],[MONTO]]*0.02)</f>
        <v>7.6785714</v>
      </c>
      <c r="CE150" s="66">
        <f>Terminales[[#This Row],[COMISIONES TERMINALES]]+Terminales[[#This Row],[COMISIONES RENOVACIONES]]+Terminales[[#This Row],[COMISIONES BONO]]</f>
        <v>35.709285600000001</v>
      </c>
      <c r="CF150" s="67">
        <f>(Terminales[[#This Row],[COMISIONES TERMINALES]]*VLOOKUP(Terminales[[#This Row],[LOCALES]],[1]!Calendario[#Data],3,0))/VLOOKUP(Terminales[[#This Row],[LOCALES]],[1]!Calendario[#Data],2,0)</f>
        <v>37.897465296774193</v>
      </c>
      <c r="CG150" s="67">
        <f>(Terminales[[#This Row],[COMISIONES RENOVACIONES]]*VLOOKUP(Terminales[[#This Row],[LOCALES]],[1]!Calendario[#Data],3,0))/VLOOKUP(Terminales[[#This Row],[LOCALES]],[1]!Calendario[#Data],2,0)</f>
        <v>8.2175806451612896</v>
      </c>
      <c r="CH150" s="67">
        <f>(Terminales[[#This Row],[COMISIONES BONO]]*VLOOKUP(Terminales[[#This Row],[LOCALES]],[1]!Calendario[#Data],3,0))/VLOOKUP(Terminales[[#This Row],[LOCALES]],[1]!Calendario[#Data],2,0)</f>
        <v>12.632488432258064</v>
      </c>
      <c r="CI150" s="67">
        <f>Terminales[[#This Row],[PROY. COM. TERMINALES]]+Terminales[[#This Row],[PROY. COM. RENOV.]]+Terminales[[#This Row],[PROY. COM. 2%]]</f>
        <v>58.747534374193549</v>
      </c>
    </row>
    <row r="151" spans="1:87" x14ac:dyDescent="0.25">
      <c r="A151" s="68">
        <v>44926</v>
      </c>
      <c r="B151" s="68">
        <v>44903</v>
      </c>
      <c r="C151" s="18" t="s">
        <v>96</v>
      </c>
      <c r="D151" s="18" t="s">
        <v>96</v>
      </c>
      <c r="E151" s="18" t="s">
        <v>96</v>
      </c>
      <c r="F151" s="18" t="s">
        <v>8982</v>
      </c>
      <c r="G151" s="18" t="s">
        <v>292</v>
      </c>
      <c r="H151" s="18" t="s">
        <v>494</v>
      </c>
      <c r="I151" s="18" t="s">
        <v>8983</v>
      </c>
      <c r="J151" s="18" t="s">
        <v>95</v>
      </c>
      <c r="K151" s="18" t="s">
        <v>7970</v>
      </c>
      <c r="L151" s="18" t="s">
        <v>8984</v>
      </c>
      <c r="M151" s="18" t="s">
        <v>8985</v>
      </c>
      <c r="N151" s="18" t="s">
        <v>8986</v>
      </c>
      <c r="O151" s="18" t="s">
        <v>6241</v>
      </c>
      <c r="P151" s="18" t="s">
        <v>8987</v>
      </c>
      <c r="Q151" s="18" t="s">
        <v>7975</v>
      </c>
      <c r="R151" s="18" t="s">
        <v>7976</v>
      </c>
      <c r="S151" s="18" t="s">
        <v>8070</v>
      </c>
      <c r="T151" s="18" t="s">
        <v>8364</v>
      </c>
      <c r="U151" s="18" t="s">
        <v>8012</v>
      </c>
      <c r="V151" s="18" t="s">
        <v>6963</v>
      </c>
      <c r="W151" s="18" t="s">
        <v>95</v>
      </c>
      <c r="X151" s="18" t="s">
        <v>95</v>
      </c>
      <c r="Y151" s="18" t="s">
        <v>7980</v>
      </c>
      <c r="Z151" s="18" t="s">
        <v>6996</v>
      </c>
      <c r="AA151" s="69">
        <v>1</v>
      </c>
      <c r="AB151" s="18">
        <v>281.25</v>
      </c>
      <c r="AC151" s="18" t="s">
        <v>8988</v>
      </c>
      <c r="AD151" s="18" t="s">
        <v>7982</v>
      </c>
      <c r="AE151" s="18">
        <v>269.93</v>
      </c>
      <c r="AF151" s="18" t="s">
        <v>7983</v>
      </c>
      <c r="AG151" s="18">
        <v>269.93</v>
      </c>
      <c r="AH151" s="18" t="s">
        <v>95</v>
      </c>
      <c r="AI151" s="18" t="s">
        <v>8102</v>
      </c>
      <c r="AJ151" s="18" t="s">
        <v>8103</v>
      </c>
      <c r="AK151" s="18" t="s">
        <v>95</v>
      </c>
      <c r="AL151" s="18" t="s">
        <v>95</v>
      </c>
      <c r="AM151" s="18" t="s">
        <v>95</v>
      </c>
      <c r="AN151" s="18" t="s">
        <v>7984</v>
      </c>
      <c r="AO151" s="18" t="s">
        <v>92</v>
      </c>
      <c r="AP151" s="20" t="s">
        <v>385</v>
      </c>
      <c r="AQ151" s="18" t="s">
        <v>386</v>
      </c>
      <c r="AR151" s="18" t="s">
        <v>496</v>
      </c>
      <c r="AS151" s="18">
        <v>1</v>
      </c>
      <c r="AT151" s="18" t="s">
        <v>151</v>
      </c>
      <c r="AU151" s="18" t="s">
        <v>90</v>
      </c>
      <c r="AV151" s="18" t="s">
        <v>8366</v>
      </c>
      <c r="AW151" s="18" t="s">
        <v>8367</v>
      </c>
      <c r="AX151" s="18" t="s">
        <v>83</v>
      </c>
      <c r="AY151" s="18" t="s">
        <v>95</v>
      </c>
      <c r="AZ151" s="18" t="s">
        <v>95</v>
      </c>
      <c r="BA151" s="18" t="s">
        <v>95</v>
      </c>
      <c r="BB151" s="18" t="s">
        <v>95</v>
      </c>
      <c r="BC151" s="18" t="s">
        <v>118</v>
      </c>
      <c r="BD151" s="18" t="s">
        <v>95</v>
      </c>
      <c r="BE151" s="18" t="s">
        <v>8989</v>
      </c>
      <c r="BF151" s="18" t="s">
        <v>8001</v>
      </c>
      <c r="BG151" s="18" t="s">
        <v>95</v>
      </c>
      <c r="BH151" s="18" t="s">
        <v>95</v>
      </c>
      <c r="BI151" s="18">
        <v>12</v>
      </c>
      <c r="BJ151" s="18">
        <v>2022</v>
      </c>
      <c r="BK151" s="18" t="s">
        <v>95</v>
      </c>
      <c r="BL151" s="18" t="s">
        <v>95</v>
      </c>
      <c r="BM151" s="18" t="s">
        <v>95</v>
      </c>
      <c r="BN151" s="18" t="s">
        <v>85</v>
      </c>
      <c r="BO151" s="18" t="s">
        <v>86</v>
      </c>
      <c r="BP151" s="18" t="s">
        <v>90</v>
      </c>
      <c r="BQ151" s="18" t="s">
        <v>8141</v>
      </c>
      <c r="BR151" s="18" t="s">
        <v>92</v>
      </c>
      <c r="BS151" s="18" t="s">
        <v>8003</v>
      </c>
      <c r="BT151" s="18" t="s">
        <v>7989</v>
      </c>
      <c r="BU151" s="18" t="s">
        <v>496</v>
      </c>
      <c r="BV151" s="18" t="str">
        <f>Terminales[[#This Row],[IMEI]]&amp;"SI"</f>
        <v>865954063540100SI</v>
      </c>
      <c r="BW151" s="18" t="str">
        <f>VLOOKUP(Terminales[[#This Row],[OFICINA_USUARIO]],[1]!Locales[#Data],3,0)</f>
        <v>TIENDA CUENCA REMIGIO</v>
      </c>
      <c r="BX151" s="18" t="str">
        <f>VLOOKUP(Terminales[[#This Row],[USUARIO_FINAL]],'[1]Personal Ppto vs Real'!$A:$F,6,0)</f>
        <v>RAMIREZ RUBIO NELLY LILIANA</v>
      </c>
      <c r="BY15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5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51" s="18">
        <f>DAY(Terminales[[#This Row],[FECHA_FACTURA]])</f>
        <v>8</v>
      </c>
      <c r="CB151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151" s="65">
        <f>IFERROR(IF(AND(Terminales[[#This Row],[CANTIDAD]] = 1,Terminales[[#This Row],[MOVIMIENTO]] = "RENOVACION"),Terminales[[#This Row],[TARIFA_BASICA]]*0.5,),)</f>
        <v>0</v>
      </c>
      <c r="CD151" s="65">
        <f>IF('[1]Resumen TM'!$AW$20 &lt; 0.4,0,Terminales[[#This Row],[MONTO]]*0.02)</f>
        <v>5.625</v>
      </c>
      <c r="CE151" s="66">
        <f>Terminales[[#This Row],[COMISIONES TERMINALES]]+Terminales[[#This Row],[COMISIONES RENOVACIONES]]+Terminales[[#This Row],[COMISIONES BONO]]</f>
        <v>33.75</v>
      </c>
      <c r="CF151" s="67">
        <f>(Terminales[[#This Row],[COMISIONES TERMINALES]]*VLOOKUP(Terminales[[#This Row],[LOCALES]],[1]!Calendario[#Data],3,0))/VLOOKUP(Terminales[[#This Row],[LOCALES]],[1]!Calendario[#Data],2,0)</f>
        <v>45.581896551724135</v>
      </c>
      <c r="CG151" s="67">
        <f>(Terminales[[#This Row],[COMISIONES RENOVACIONES]]*VLOOKUP(Terminales[[#This Row],[LOCALES]],[1]!Calendario[#Data],3,0))/VLOOKUP(Terminales[[#This Row],[LOCALES]],[1]!Calendario[#Data],2,0)</f>
        <v>0</v>
      </c>
      <c r="CH151" s="67">
        <f>(Terminales[[#This Row],[COMISIONES BONO]]*VLOOKUP(Terminales[[#This Row],[LOCALES]],[1]!Calendario[#Data],3,0))/VLOOKUP(Terminales[[#This Row],[LOCALES]],[1]!Calendario[#Data],2,0)</f>
        <v>9.1163793103448274</v>
      </c>
      <c r="CI151" s="67">
        <f>Terminales[[#This Row],[PROY. COM. TERMINALES]]+Terminales[[#This Row],[PROY. COM. RENOV.]]+Terminales[[#This Row],[PROY. COM. 2%]]</f>
        <v>54.698275862068961</v>
      </c>
    </row>
    <row r="152" spans="1:87" x14ac:dyDescent="0.25">
      <c r="A152" s="68">
        <v>44926</v>
      </c>
      <c r="B152" s="68">
        <v>44903</v>
      </c>
      <c r="C152" s="18" t="s">
        <v>291</v>
      </c>
      <c r="D152" s="18" t="s">
        <v>78</v>
      </c>
      <c r="E152" s="18" t="s">
        <v>231</v>
      </c>
      <c r="F152" s="18" t="s">
        <v>8990</v>
      </c>
      <c r="G152" s="18" t="s">
        <v>292</v>
      </c>
      <c r="H152" s="18" t="s">
        <v>293</v>
      </c>
      <c r="I152" s="18" t="s">
        <v>8991</v>
      </c>
      <c r="J152" s="18" t="s">
        <v>95</v>
      </c>
      <c r="K152" s="18" t="s">
        <v>7970</v>
      </c>
      <c r="L152" s="18" t="s">
        <v>8992</v>
      </c>
      <c r="M152" s="18" t="s">
        <v>8993</v>
      </c>
      <c r="N152" s="18" t="s">
        <v>8994</v>
      </c>
      <c r="O152" s="18" t="s">
        <v>2260</v>
      </c>
      <c r="P152" s="18" t="s">
        <v>8995</v>
      </c>
      <c r="Q152" s="18" t="s">
        <v>7975</v>
      </c>
      <c r="R152" s="18" t="s">
        <v>7976</v>
      </c>
      <c r="S152" s="18" t="s">
        <v>8010</v>
      </c>
      <c r="T152" s="18" t="s">
        <v>8011</v>
      </c>
      <c r="U152" s="18" t="s">
        <v>8012</v>
      </c>
      <c r="V152" s="18" t="s">
        <v>6963</v>
      </c>
      <c r="W152" s="18" t="s">
        <v>95</v>
      </c>
      <c r="X152" s="18" t="s">
        <v>95</v>
      </c>
      <c r="Y152" s="18" t="s">
        <v>7980</v>
      </c>
      <c r="Z152" s="18" t="s">
        <v>6996</v>
      </c>
      <c r="AA152" s="69">
        <v>1</v>
      </c>
      <c r="AB152" s="18">
        <v>245.53570999999999</v>
      </c>
      <c r="AC152" s="18" t="s">
        <v>8996</v>
      </c>
      <c r="AD152" s="18" t="s">
        <v>7982</v>
      </c>
      <c r="AE152" s="18">
        <v>168.8</v>
      </c>
      <c r="AF152" s="18" t="s">
        <v>7983</v>
      </c>
      <c r="AG152" s="18">
        <v>168.8</v>
      </c>
      <c r="AH152" s="18" t="s">
        <v>95</v>
      </c>
      <c r="AI152" s="18" t="s">
        <v>160</v>
      </c>
      <c r="AJ152" s="18" t="s">
        <v>161</v>
      </c>
      <c r="AK152" s="18">
        <v>14.28</v>
      </c>
      <c r="AL152" s="18" t="s">
        <v>95</v>
      </c>
      <c r="AM152" s="18" t="s">
        <v>95</v>
      </c>
      <c r="AN152" s="18" t="s">
        <v>7984</v>
      </c>
      <c r="AO152" s="18" t="s">
        <v>139</v>
      </c>
      <c r="AP152" s="20" t="s">
        <v>187</v>
      </c>
      <c r="AQ152" s="18" t="s">
        <v>188</v>
      </c>
      <c r="AR152" s="18" t="s">
        <v>3771</v>
      </c>
      <c r="AS152" s="18">
        <v>6</v>
      </c>
      <c r="AT152" s="18" t="s">
        <v>177</v>
      </c>
      <c r="AU152" s="18" t="s">
        <v>90</v>
      </c>
      <c r="AV152" s="18" t="s">
        <v>8014</v>
      </c>
      <c r="AW152" s="18" t="s">
        <v>8015</v>
      </c>
      <c r="AX152" s="18" t="s">
        <v>83</v>
      </c>
      <c r="AY152" s="18" t="s">
        <v>95</v>
      </c>
      <c r="AZ152" s="18" t="s">
        <v>95</v>
      </c>
      <c r="BA152" s="18" t="s">
        <v>95</v>
      </c>
      <c r="BB152" s="18" t="s">
        <v>95</v>
      </c>
      <c r="BC152" s="18" t="s">
        <v>215</v>
      </c>
      <c r="BD152" s="18" t="s">
        <v>95</v>
      </c>
      <c r="BE152" s="18" t="s">
        <v>95</v>
      </c>
      <c r="BF152" s="18" t="s">
        <v>95</v>
      </c>
      <c r="BG152" s="18" t="s">
        <v>95</v>
      </c>
      <c r="BH152" s="18" t="s">
        <v>95</v>
      </c>
      <c r="BI152" s="18">
        <v>12</v>
      </c>
      <c r="BJ152" s="18">
        <v>2022</v>
      </c>
      <c r="BK152" s="18" t="s">
        <v>95</v>
      </c>
      <c r="BL152" s="18" t="s">
        <v>95</v>
      </c>
      <c r="BM152" s="18" t="s">
        <v>95</v>
      </c>
      <c r="BN152" s="18" t="s">
        <v>85</v>
      </c>
      <c r="BO152" s="18" t="s">
        <v>86</v>
      </c>
      <c r="BP152" s="18" t="s">
        <v>90</v>
      </c>
      <c r="BQ152" s="18" t="s">
        <v>8002</v>
      </c>
      <c r="BR152" s="18" t="s">
        <v>139</v>
      </c>
      <c r="BS152" s="18" t="s">
        <v>8027</v>
      </c>
      <c r="BT152" s="18" t="s">
        <v>7989</v>
      </c>
      <c r="BU152" s="18" t="s">
        <v>7990</v>
      </c>
      <c r="BV152" s="18" t="str">
        <f>Terminales[[#This Row],[IMEI]]&amp;"SI"</f>
        <v>359694275287024SI</v>
      </c>
      <c r="BW152" s="18" t="str">
        <f>VLOOKUP(Terminales[[#This Row],[OFICINA_USUARIO]],[1]!Locales[#Data],3,0)</f>
        <v>TIENDA RECREO</v>
      </c>
      <c r="BX152" s="18" t="str">
        <f>VLOOKUP(Terminales[[#This Row],[USUARIO_FINAL]],'[1]Personal Ppto vs Real'!$A:$F,6,0)</f>
        <v>ESPINOZA MARTINES LAURA XIOMARA</v>
      </c>
      <c r="BY15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5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52" s="18">
        <f>DAY(Terminales[[#This Row],[FECHA_FACTURA]])</f>
        <v>8</v>
      </c>
      <c r="CB152" s="65">
        <f>IF(Terminales[[#This Row],[CANTIDAD]] = 1,INDEX([1]!Comisiones[#Data],MATCH("Terminales",[1]!Comisiones[Producto],0),MATCH(Terminales[[#This Row],[TIPO ALTA COMISIONES]],[1]!Comisiones[#Headers],0))*Terminales[[#This Row],[MONTO]],0)</f>
        <v>19.642856800000001</v>
      </c>
      <c r="CC152" s="65">
        <f>IFERROR(IF(AND(Terminales[[#This Row],[CANTIDAD]] = 1,Terminales[[#This Row],[MOVIMIENTO]] = "RENOVACION"),Terminales[[#This Row],[TARIFA_BASICA]]*0.5,),)</f>
        <v>7.14</v>
      </c>
      <c r="CD152" s="65">
        <f>IF('[1]Resumen TM'!$AW$20 &lt; 0.4,0,Terminales[[#This Row],[MONTO]]*0.02)</f>
        <v>4.9107142000000001</v>
      </c>
      <c r="CE152" s="66">
        <f>Terminales[[#This Row],[COMISIONES TERMINALES]]+Terminales[[#This Row],[COMISIONES RENOVACIONES]]+Terminales[[#This Row],[COMISIONES BONO]]</f>
        <v>31.693571000000002</v>
      </c>
      <c r="CF152" s="67">
        <f>(Terminales[[#This Row],[COMISIONES TERMINALES]]*VLOOKUP(Terminales[[#This Row],[LOCALES]],[1]!Calendario[#Data],3,0))/VLOOKUP(Terminales[[#This Row],[LOCALES]],[1]!Calendario[#Data],2,0)</f>
        <v>32.315667638709677</v>
      </c>
      <c r="CG152" s="67">
        <f>(Terminales[[#This Row],[COMISIONES RENOVACIONES]]*VLOOKUP(Terminales[[#This Row],[LOCALES]],[1]!Calendario[#Data],3,0))/VLOOKUP(Terminales[[#This Row],[LOCALES]],[1]!Calendario[#Data],2,0)</f>
        <v>11.746451612903225</v>
      </c>
      <c r="CH152" s="67">
        <f>(Terminales[[#This Row],[COMISIONES BONO]]*VLOOKUP(Terminales[[#This Row],[LOCALES]],[1]!Calendario[#Data],3,0))/VLOOKUP(Terminales[[#This Row],[LOCALES]],[1]!Calendario[#Data],2,0)</f>
        <v>8.0789169096774192</v>
      </c>
      <c r="CI152" s="67">
        <f>Terminales[[#This Row],[PROY. COM. TERMINALES]]+Terminales[[#This Row],[PROY. COM. RENOV.]]+Terminales[[#This Row],[PROY. COM. 2%]]</f>
        <v>52.141036161290316</v>
      </c>
    </row>
    <row r="153" spans="1:87" x14ac:dyDescent="0.25">
      <c r="A153" s="68">
        <v>44926</v>
      </c>
      <c r="B153" s="68">
        <v>44903</v>
      </c>
      <c r="C153" s="18" t="s">
        <v>96</v>
      </c>
      <c r="D153" s="18" t="s">
        <v>96</v>
      </c>
      <c r="E153" s="18" t="s">
        <v>96</v>
      </c>
      <c r="F153" s="18" t="s">
        <v>8997</v>
      </c>
      <c r="G153" s="18" t="s">
        <v>292</v>
      </c>
      <c r="H153" s="18" t="s">
        <v>494</v>
      </c>
      <c r="I153" s="18" t="s">
        <v>8998</v>
      </c>
      <c r="J153" s="18" t="s">
        <v>95</v>
      </c>
      <c r="K153" s="18" t="s">
        <v>7970</v>
      </c>
      <c r="L153" s="18" t="s">
        <v>8999</v>
      </c>
      <c r="M153" s="18" t="s">
        <v>9000</v>
      </c>
      <c r="N153" s="18" t="s">
        <v>9001</v>
      </c>
      <c r="O153" s="18" t="s">
        <v>543</v>
      </c>
      <c r="P153" s="18" t="s">
        <v>9002</v>
      </c>
      <c r="Q153" s="18" t="s">
        <v>7975</v>
      </c>
      <c r="R153" s="18" t="s">
        <v>7976</v>
      </c>
      <c r="S153" s="18" t="s">
        <v>7994</v>
      </c>
      <c r="T153" s="18" t="s">
        <v>8245</v>
      </c>
      <c r="U153" s="18" t="s">
        <v>8012</v>
      </c>
      <c r="V153" s="18" t="s">
        <v>6963</v>
      </c>
      <c r="W153" s="18" t="s">
        <v>95</v>
      </c>
      <c r="X153" s="18" t="s">
        <v>95</v>
      </c>
      <c r="Y153" s="18" t="s">
        <v>7980</v>
      </c>
      <c r="Z153" s="18" t="s">
        <v>6996</v>
      </c>
      <c r="AA153" s="69">
        <v>1</v>
      </c>
      <c r="AB153" s="18">
        <v>156.25</v>
      </c>
      <c r="AC153" s="18" t="s">
        <v>9003</v>
      </c>
      <c r="AD153" s="18" t="s">
        <v>96</v>
      </c>
      <c r="AE153" s="18">
        <v>170</v>
      </c>
      <c r="AF153" s="18" t="s">
        <v>7983</v>
      </c>
      <c r="AG153" s="18">
        <v>170</v>
      </c>
      <c r="AH153" s="18" t="s">
        <v>95</v>
      </c>
      <c r="AI153" s="18" t="s">
        <v>8102</v>
      </c>
      <c r="AJ153" s="18" t="s">
        <v>8103</v>
      </c>
      <c r="AK153" s="18" t="s">
        <v>95</v>
      </c>
      <c r="AL153" s="18" t="s">
        <v>95</v>
      </c>
      <c r="AM153" s="18" t="s">
        <v>95</v>
      </c>
      <c r="AN153" s="18" t="s">
        <v>7984</v>
      </c>
      <c r="AO153" s="18" t="s">
        <v>139</v>
      </c>
      <c r="AP153" s="20" t="s">
        <v>2159</v>
      </c>
      <c r="AQ153" s="18" t="s">
        <v>2160</v>
      </c>
      <c r="AR153" s="18" t="s">
        <v>496</v>
      </c>
      <c r="AS153" s="18">
        <v>1</v>
      </c>
      <c r="AT153" s="18" t="s">
        <v>177</v>
      </c>
      <c r="AU153" s="18" t="s">
        <v>90</v>
      </c>
      <c r="AV153" s="18" t="s">
        <v>8247</v>
      </c>
      <c r="AW153" s="18" t="s">
        <v>8248</v>
      </c>
      <c r="AX153" s="18" t="s">
        <v>83</v>
      </c>
      <c r="AY153" s="18" t="s">
        <v>95</v>
      </c>
      <c r="AZ153" s="18" t="s">
        <v>95</v>
      </c>
      <c r="BA153" s="18" t="s">
        <v>95</v>
      </c>
      <c r="BB153" s="18" t="s">
        <v>95</v>
      </c>
      <c r="BC153" s="18" t="s">
        <v>118</v>
      </c>
      <c r="BD153" s="18" t="s">
        <v>95</v>
      </c>
      <c r="BE153" s="18" t="s">
        <v>8278</v>
      </c>
      <c r="BF153" s="18" t="s">
        <v>8064</v>
      </c>
      <c r="BG153" s="18" t="s">
        <v>95</v>
      </c>
      <c r="BH153" s="18" t="s">
        <v>95</v>
      </c>
      <c r="BI153" s="18">
        <v>12</v>
      </c>
      <c r="BJ153" s="18">
        <v>2022</v>
      </c>
      <c r="BK153" s="18" t="s">
        <v>95</v>
      </c>
      <c r="BL153" s="18" t="s">
        <v>95</v>
      </c>
      <c r="BM153" s="18" t="s">
        <v>95</v>
      </c>
      <c r="BN153" s="18" t="s">
        <v>85</v>
      </c>
      <c r="BO153" s="18" t="s">
        <v>86</v>
      </c>
      <c r="BP153" s="18" t="s">
        <v>90</v>
      </c>
      <c r="BQ153" s="18" t="s">
        <v>8002</v>
      </c>
      <c r="BR153" s="18" t="s">
        <v>139</v>
      </c>
      <c r="BS153" s="18" t="s">
        <v>8003</v>
      </c>
      <c r="BT153" s="18" t="s">
        <v>7989</v>
      </c>
      <c r="BU153" s="18" t="s">
        <v>496</v>
      </c>
      <c r="BV153" s="18" t="str">
        <f>Terminales[[#This Row],[IMEI]]&amp;"SI"</f>
        <v>355108340217787SI</v>
      </c>
      <c r="BW153" s="18" t="str">
        <f>VLOOKUP(Terminales[[#This Row],[OFICINA_USUARIO]],[1]!Locales[#Data],3,0)</f>
        <v>TIENDA RECREO</v>
      </c>
      <c r="BX153" s="18" t="str">
        <f>VLOOKUP(Terminales[[#This Row],[USUARIO_FINAL]],'[1]Personal Ppto vs Real'!$A:$F,6,0)</f>
        <v>GUEVARA MAZA CRISTIAN FABIAN</v>
      </c>
      <c r="BY15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5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53" s="18">
        <f>DAY(Terminales[[#This Row],[FECHA_FACTURA]])</f>
        <v>8</v>
      </c>
      <c r="CB153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153" s="65">
        <f>IFERROR(IF(AND(Terminales[[#This Row],[CANTIDAD]] = 1,Terminales[[#This Row],[MOVIMIENTO]] = "RENOVACION"),Terminales[[#This Row],[TARIFA_BASICA]]*0.5,),)</f>
        <v>0</v>
      </c>
      <c r="CD153" s="65">
        <f>IF('[1]Resumen TM'!$AW$20 &lt; 0.4,0,Terminales[[#This Row],[MONTO]]*0.02)</f>
        <v>3.125</v>
      </c>
      <c r="CE153" s="66">
        <f>Terminales[[#This Row],[COMISIONES TERMINALES]]+Terminales[[#This Row],[COMISIONES RENOVACIONES]]+Terminales[[#This Row],[COMISIONES BONO]]</f>
        <v>18.75</v>
      </c>
      <c r="CF153" s="67">
        <f>(Terminales[[#This Row],[COMISIONES TERMINALES]]*VLOOKUP(Terminales[[#This Row],[LOCALES]],[1]!Calendario[#Data],3,0))/VLOOKUP(Terminales[[#This Row],[LOCALES]],[1]!Calendario[#Data],2,0)</f>
        <v>25.705645161290324</v>
      </c>
      <c r="CG153" s="67">
        <f>(Terminales[[#This Row],[COMISIONES RENOVACIONES]]*VLOOKUP(Terminales[[#This Row],[LOCALES]],[1]!Calendario[#Data],3,0))/VLOOKUP(Terminales[[#This Row],[LOCALES]],[1]!Calendario[#Data],2,0)</f>
        <v>0</v>
      </c>
      <c r="CH153" s="67">
        <f>(Terminales[[#This Row],[COMISIONES BONO]]*VLOOKUP(Terminales[[#This Row],[LOCALES]],[1]!Calendario[#Data],3,0))/VLOOKUP(Terminales[[#This Row],[LOCALES]],[1]!Calendario[#Data],2,0)</f>
        <v>5.1411290322580649</v>
      </c>
      <c r="CI153" s="67">
        <f>Terminales[[#This Row],[PROY. COM. TERMINALES]]+Terminales[[#This Row],[PROY. COM. RENOV.]]+Terminales[[#This Row],[PROY. COM. 2%]]</f>
        <v>30.846774193548388</v>
      </c>
    </row>
    <row r="154" spans="1:87" x14ac:dyDescent="0.25">
      <c r="A154" s="68">
        <v>44926</v>
      </c>
      <c r="B154" s="68">
        <v>44903</v>
      </c>
      <c r="C154" s="18" t="s">
        <v>291</v>
      </c>
      <c r="D154" s="18" t="s">
        <v>78</v>
      </c>
      <c r="E154" s="18" t="s">
        <v>1532</v>
      </c>
      <c r="F154" s="18" t="s">
        <v>9004</v>
      </c>
      <c r="G154" s="18" t="s">
        <v>292</v>
      </c>
      <c r="H154" s="18" t="s">
        <v>293</v>
      </c>
      <c r="I154" s="18" t="s">
        <v>9005</v>
      </c>
      <c r="J154" s="18" t="s">
        <v>95</v>
      </c>
      <c r="K154" s="18" t="s">
        <v>7970</v>
      </c>
      <c r="L154" s="18" t="s">
        <v>4094</v>
      </c>
      <c r="M154" s="18" t="s">
        <v>4095</v>
      </c>
      <c r="N154" s="18" t="s">
        <v>4096</v>
      </c>
      <c r="O154" s="18" t="s">
        <v>354</v>
      </c>
      <c r="P154" s="18" t="s">
        <v>9006</v>
      </c>
      <c r="Q154" s="18" t="s">
        <v>7975</v>
      </c>
      <c r="R154" s="18" t="s">
        <v>7976</v>
      </c>
      <c r="S154" s="18" t="s">
        <v>8070</v>
      </c>
      <c r="T154" s="18" t="s">
        <v>8071</v>
      </c>
      <c r="U154" s="18" t="s">
        <v>8012</v>
      </c>
      <c r="V154" s="18" t="s">
        <v>6963</v>
      </c>
      <c r="W154" s="18" t="s">
        <v>95</v>
      </c>
      <c r="X154" s="18" t="s">
        <v>95</v>
      </c>
      <c r="Y154" s="18" t="s">
        <v>7980</v>
      </c>
      <c r="Z154" s="18" t="s">
        <v>6996</v>
      </c>
      <c r="AA154" s="69">
        <v>1</v>
      </c>
      <c r="AB154" s="18">
        <v>321.42856999999998</v>
      </c>
      <c r="AC154" s="18" t="s">
        <v>9007</v>
      </c>
      <c r="AD154" s="18" t="s">
        <v>7982</v>
      </c>
      <c r="AE154" s="18">
        <v>199.79</v>
      </c>
      <c r="AF154" s="18" t="s">
        <v>7983</v>
      </c>
      <c r="AG154" s="18">
        <v>199.79</v>
      </c>
      <c r="AH154" s="18" t="s">
        <v>95</v>
      </c>
      <c r="AI154" s="18" t="s">
        <v>7358</v>
      </c>
      <c r="AJ154" s="18" t="s">
        <v>7359</v>
      </c>
      <c r="AK154" s="18">
        <v>10.54</v>
      </c>
      <c r="AL154" s="18" t="s">
        <v>95</v>
      </c>
      <c r="AM154" s="18" t="s">
        <v>95</v>
      </c>
      <c r="AN154" s="18" t="s">
        <v>7984</v>
      </c>
      <c r="AO154" s="18" t="s">
        <v>92</v>
      </c>
      <c r="AP154" s="20" t="s">
        <v>651</v>
      </c>
      <c r="AQ154" s="18" t="s">
        <v>652</v>
      </c>
      <c r="AR154" s="18" t="s">
        <v>295</v>
      </c>
      <c r="AS154" s="18">
        <v>12</v>
      </c>
      <c r="AT154" s="18" t="s">
        <v>122</v>
      </c>
      <c r="AU154" s="18" t="s">
        <v>90</v>
      </c>
      <c r="AV154" s="18" t="s">
        <v>8072</v>
      </c>
      <c r="AW154" s="18" t="s">
        <v>8073</v>
      </c>
      <c r="AX154" s="18" t="s">
        <v>83</v>
      </c>
      <c r="AY154" s="18" t="s">
        <v>95</v>
      </c>
      <c r="AZ154" s="18" t="s">
        <v>95</v>
      </c>
      <c r="BA154" s="18" t="s">
        <v>95</v>
      </c>
      <c r="BB154" s="18" t="s">
        <v>95</v>
      </c>
      <c r="BC154" s="18" t="s">
        <v>84</v>
      </c>
      <c r="BD154" s="18">
        <v>65</v>
      </c>
      <c r="BE154" s="18" t="s">
        <v>95</v>
      </c>
      <c r="BF154" s="18" t="s">
        <v>95</v>
      </c>
      <c r="BG154" s="18" t="s">
        <v>95</v>
      </c>
      <c r="BH154" s="18" t="s">
        <v>95</v>
      </c>
      <c r="BI154" s="18">
        <v>12</v>
      </c>
      <c r="BJ154" s="18">
        <v>2022</v>
      </c>
      <c r="BK154" s="18" t="s">
        <v>95</v>
      </c>
      <c r="BL154" s="18" t="s">
        <v>95</v>
      </c>
      <c r="BM154" s="18" t="s">
        <v>95</v>
      </c>
      <c r="BN154" s="18" t="s">
        <v>85</v>
      </c>
      <c r="BO154" s="18" t="s">
        <v>86</v>
      </c>
      <c r="BP154" s="18" t="s">
        <v>90</v>
      </c>
      <c r="BQ154" s="18" t="s">
        <v>8050</v>
      </c>
      <c r="BR154" s="18" t="s">
        <v>92</v>
      </c>
      <c r="BS154" s="18" t="s">
        <v>7988</v>
      </c>
      <c r="BT154" s="18" t="s">
        <v>7989</v>
      </c>
      <c r="BU154" s="18" t="s">
        <v>7990</v>
      </c>
      <c r="BV154" s="18" t="str">
        <f>Terminales[[#This Row],[IMEI]]&amp;"SI"</f>
        <v>869113065936388SI</v>
      </c>
      <c r="BW154" s="18" t="str">
        <f>VLOOKUP(Terminales[[#This Row],[OFICINA_USUARIO]],[1]!Locales[#Data],3,0)</f>
        <v>TIENDA MACHALA</v>
      </c>
      <c r="BX154" s="18" t="str">
        <f>VLOOKUP(Terminales[[#This Row],[USUARIO_FINAL]],'[1]Personal Ppto vs Real'!$A:$F,6,0)</f>
        <v>SANCHEZ SARITAMA JOEL LUIS</v>
      </c>
      <c r="BY154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5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54" s="18">
        <f>DAY(Terminales[[#This Row],[FECHA_FACTURA]])</f>
        <v>8</v>
      </c>
      <c r="CB154" s="65">
        <f>IF(Terminales[[#This Row],[CANTIDAD]] = 1,INDEX([1]!Comisiones[#Data],MATCH("Terminales",[1]!Comisiones[Producto],0),MATCH(Terminales[[#This Row],[TIPO ALTA COMISIONES]],[1]!Comisiones[#Headers],0))*Terminales[[#This Row],[MONTO]],0)</f>
        <v>19.285714199999997</v>
      </c>
      <c r="CC154" s="65">
        <f>IFERROR(IF(AND(Terminales[[#This Row],[CANTIDAD]] = 1,Terminales[[#This Row],[MOVIMIENTO]] = "RENOVACION"),Terminales[[#This Row],[TARIFA_BASICA]]*0.5,),)</f>
        <v>5.27</v>
      </c>
      <c r="CD154" s="65">
        <f>IF('[1]Resumen TM'!$AW$20 &lt; 0.4,0,Terminales[[#This Row],[MONTO]]*0.02)</f>
        <v>6.4285714</v>
      </c>
      <c r="CE154" s="66">
        <f>Terminales[[#This Row],[COMISIONES TERMINALES]]+Terminales[[#This Row],[COMISIONES RENOVACIONES]]+Terminales[[#This Row],[COMISIONES BONO]]</f>
        <v>30.984285599999996</v>
      </c>
      <c r="CF154" s="67">
        <f>(Terminales[[#This Row],[COMISIONES TERMINALES]]*VLOOKUP(Terminales[[#This Row],[LOCALES]],[1]!Calendario[#Data],3,0))/VLOOKUP(Terminales[[#This Row],[LOCALES]],[1]!Calendario[#Data],2,0)</f>
        <v>31.256157496551722</v>
      </c>
      <c r="CG154" s="67">
        <f>(Terminales[[#This Row],[COMISIONES RENOVACIONES]]*VLOOKUP(Terminales[[#This Row],[LOCALES]],[1]!Calendario[#Data],3,0))/VLOOKUP(Terminales[[#This Row],[LOCALES]],[1]!Calendario[#Data],2,0)</f>
        <v>8.5410344827586204</v>
      </c>
      <c r="CH154" s="67">
        <f>(Terminales[[#This Row],[COMISIONES BONO]]*VLOOKUP(Terminales[[#This Row],[LOCALES]],[1]!Calendario[#Data],3,0))/VLOOKUP(Terminales[[#This Row],[LOCALES]],[1]!Calendario[#Data],2,0)</f>
        <v>10.418719165517242</v>
      </c>
      <c r="CI154" s="67">
        <f>Terminales[[#This Row],[PROY. COM. TERMINALES]]+Terminales[[#This Row],[PROY. COM. RENOV.]]+Terminales[[#This Row],[PROY. COM. 2%]]</f>
        <v>50.215911144827587</v>
      </c>
    </row>
    <row r="155" spans="1:87" x14ac:dyDescent="0.25">
      <c r="A155" s="68">
        <v>44926</v>
      </c>
      <c r="B155" s="68">
        <v>44903</v>
      </c>
      <c r="C155" s="18" t="s">
        <v>291</v>
      </c>
      <c r="D155" s="18" t="s">
        <v>78</v>
      </c>
      <c r="E155" s="18" t="s">
        <v>95</v>
      </c>
      <c r="F155" s="18" t="s">
        <v>95</v>
      </c>
      <c r="G155" s="18" t="s">
        <v>292</v>
      </c>
      <c r="H155" s="18" t="s">
        <v>494</v>
      </c>
      <c r="I155" s="18" t="s">
        <v>9008</v>
      </c>
      <c r="J155" s="18" t="s">
        <v>95</v>
      </c>
      <c r="K155" s="18" t="s">
        <v>7970</v>
      </c>
      <c r="L155" s="18" t="s">
        <v>9009</v>
      </c>
      <c r="M155" s="18" t="s">
        <v>9010</v>
      </c>
      <c r="N155" s="18" t="s">
        <v>9011</v>
      </c>
      <c r="O155" s="18" t="s">
        <v>4346</v>
      </c>
      <c r="P155" s="18" t="s">
        <v>9012</v>
      </c>
      <c r="Q155" s="18" t="s">
        <v>7975</v>
      </c>
      <c r="R155" s="18" t="s">
        <v>7976</v>
      </c>
      <c r="S155" s="18" t="s">
        <v>8250</v>
      </c>
      <c r="T155" s="18" t="s">
        <v>8251</v>
      </c>
      <c r="U155" s="18" t="s">
        <v>8059</v>
      </c>
      <c r="V155" s="18" t="s">
        <v>6963</v>
      </c>
      <c r="W155" s="18" t="s">
        <v>95</v>
      </c>
      <c r="X155" s="18" t="s">
        <v>95</v>
      </c>
      <c r="Y155" s="18" t="s">
        <v>8226</v>
      </c>
      <c r="Z155" s="18" t="s">
        <v>8227</v>
      </c>
      <c r="AA155" s="69">
        <v>1</v>
      </c>
      <c r="AB155" s="18">
        <v>1151.7857100000001</v>
      </c>
      <c r="AC155" s="18" t="s">
        <v>95</v>
      </c>
      <c r="AD155" s="18" t="s">
        <v>8151</v>
      </c>
      <c r="AE155" s="18">
        <v>1017.37</v>
      </c>
      <c r="AF155" s="18" t="s">
        <v>7983</v>
      </c>
      <c r="AG155" s="18">
        <v>1017.37</v>
      </c>
      <c r="AH155" s="18" t="s">
        <v>95</v>
      </c>
      <c r="AI155" s="18" t="s">
        <v>95</v>
      </c>
      <c r="AJ155" s="18" t="s">
        <v>95</v>
      </c>
      <c r="AK155" s="18" t="s">
        <v>95</v>
      </c>
      <c r="AL155" s="18" t="s">
        <v>95</v>
      </c>
      <c r="AM155" s="18" t="s">
        <v>95</v>
      </c>
      <c r="AN155" s="18" t="s">
        <v>7984</v>
      </c>
      <c r="AO155" s="18" t="s">
        <v>8121</v>
      </c>
      <c r="AP155" s="20" t="s">
        <v>412</v>
      </c>
      <c r="AQ155" s="18" t="s">
        <v>413</v>
      </c>
      <c r="AR155" s="18" t="s">
        <v>496</v>
      </c>
      <c r="AS155" s="18">
        <v>1</v>
      </c>
      <c r="AT155" s="18" t="s">
        <v>235</v>
      </c>
      <c r="AU155" s="18" t="s">
        <v>90</v>
      </c>
      <c r="AV155" s="18" t="s">
        <v>8253</v>
      </c>
      <c r="AW155" s="18" t="s">
        <v>8254</v>
      </c>
      <c r="AX155" s="18" t="s">
        <v>83</v>
      </c>
      <c r="AY155" s="18" t="s">
        <v>95</v>
      </c>
      <c r="AZ155" s="18" t="s">
        <v>95</v>
      </c>
      <c r="BA155" s="18" t="s">
        <v>95</v>
      </c>
      <c r="BB155" s="18" t="s">
        <v>95</v>
      </c>
      <c r="BC155" s="18" t="s">
        <v>95</v>
      </c>
      <c r="BD155" s="18" t="s">
        <v>95</v>
      </c>
      <c r="BE155" s="18" t="s">
        <v>95</v>
      </c>
      <c r="BF155" s="18" t="s">
        <v>95</v>
      </c>
      <c r="BG155" s="18" t="s">
        <v>95</v>
      </c>
      <c r="BH155" s="18" t="s">
        <v>95</v>
      </c>
      <c r="BI155" s="18">
        <v>12</v>
      </c>
      <c r="BJ155" s="18">
        <v>2022</v>
      </c>
      <c r="BK155" s="18" t="s">
        <v>95</v>
      </c>
      <c r="BL155" s="18" t="s">
        <v>95</v>
      </c>
      <c r="BM155" s="18" t="s">
        <v>95</v>
      </c>
      <c r="BN155" s="18" t="s">
        <v>8231</v>
      </c>
      <c r="BO155" s="18" t="s">
        <v>86</v>
      </c>
      <c r="BP155" s="18" t="s">
        <v>90</v>
      </c>
      <c r="BQ155" s="18" t="s">
        <v>8016</v>
      </c>
      <c r="BR155" s="18" t="s">
        <v>8232</v>
      </c>
      <c r="BS155" s="18" t="s">
        <v>8074</v>
      </c>
      <c r="BT155" s="18" t="s">
        <v>7989</v>
      </c>
      <c r="BU155" s="18" t="s">
        <v>496</v>
      </c>
      <c r="BV155" s="18" t="str">
        <f>Terminales[[#This Row],[IMEI]]&amp;"SI"</f>
        <v>353981764724989SI</v>
      </c>
      <c r="BW155" s="18" t="str">
        <f>VLOOKUP(Terminales[[#This Row],[OFICINA_USUARIO]],[1]!Locales[#Data],3,0)</f>
        <v>TIENDA CONDADO</v>
      </c>
      <c r="BX155" s="18" t="str">
        <f>VLOOKUP(Terminales[[#This Row],[USUARIO_FINAL]],'[1]Personal Ppto vs Real'!$A:$F,6,0)</f>
        <v>PADILLA MALDONADO HENRY LEOPOLDO</v>
      </c>
      <c r="BY155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5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55" s="18">
        <f>DAY(Terminales[[#This Row],[FECHA_FACTURA]])</f>
        <v>8</v>
      </c>
      <c r="CB155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155" s="65">
        <f>IFERROR(IF(AND(Terminales[[#This Row],[CANTIDAD]] = 1,Terminales[[#This Row],[MOVIMIENTO]] = "RENOVACION"),Terminales[[#This Row],[TARIFA_BASICA]]*0.5,),)</f>
        <v>0</v>
      </c>
      <c r="CD155" s="65">
        <f>IF('[1]Resumen TM'!$AW$20 &lt; 0.4,0,Terminales[[#This Row],[MONTO]]*0.02)</f>
        <v>23.035714200000001</v>
      </c>
      <c r="CE155" s="66">
        <f>Terminales[[#This Row],[COMISIONES TERMINALES]]+Terminales[[#This Row],[COMISIONES RENOVACIONES]]+Terminales[[#This Row],[COMISIONES BONO]]</f>
        <v>138.21428520000001</v>
      </c>
      <c r="CF155" s="67">
        <f>(Terminales[[#This Row],[COMISIONES TERMINALES]]*VLOOKUP(Terminales[[#This Row],[LOCALES]],[1]!Calendario[#Data],3,0))/VLOOKUP(Terminales[[#This Row],[LOCALES]],[1]!Calendario[#Data],2,0)</f>
        <v>189.48732648387099</v>
      </c>
      <c r="CG155" s="67">
        <f>(Terminales[[#This Row],[COMISIONES RENOVACIONES]]*VLOOKUP(Terminales[[#This Row],[LOCALES]],[1]!Calendario[#Data],3,0))/VLOOKUP(Terminales[[#This Row],[LOCALES]],[1]!Calendario[#Data],2,0)</f>
        <v>0</v>
      </c>
      <c r="CH155" s="67">
        <f>(Terminales[[#This Row],[COMISIONES BONO]]*VLOOKUP(Terminales[[#This Row],[LOCALES]],[1]!Calendario[#Data],3,0))/VLOOKUP(Terminales[[#This Row],[LOCALES]],[1]!Calendario[#Data],2,0)</f>
        <v>37.8974652967742</v>
      </c>
      <c r="CI155" s="67">
        <f>Terminales[[#This Row],[PROY. COM. TERMINALES]]+Terminales[[#This Row],[PROY. COM. RENOV.]]+Terminales[[#This Row],[PROY. COM. 2%]]</f>
        <v>227.38479178064517</v>
      </c>
    </row>
    <row r="156" spans="1:87" x14ac:dyDescent="0.25">
      <c r="A156" s="68">
        <v>44926</v>
      </c>
      <c r="B156" s="68">
        <v>44903</v>
      </c>
      <c r="C156" s="18" t="s">
        <v>96</v>
      </c>
      <c r="D156" s="18" t="s">
        <v>96</v>
      </c>
      <c r="E156" s="18" t="s">
        <v>96</v>
      </c>
      <c r="F156" s="18" t="s">
        <v>9013</v>
      </c>
      <c r="G156" s="18" t="s">
        <v>292</v>
      </c>
      <c r="H156" s="18" t="s">
        <v>494</v>
      </c>
      <c r="I156" s="18" t="s">
        <v>9014</v>
      </c>
      <c r="J156" s="18" t="s">
        <v>95</v>
      </c>
      <c r="K156" s="18" t="s">
        <v>7970</v>
      </c>
      <c r="L156" s="18" t="s">
        <v>9015</v>
      </c>
      <c r="M156" s="18" t="s">
        <v>9016</v>
      </c>
      <c r="N156" s="18" t="s">
        <v>9017</v>
      </c>
      <c r="O156" s="18" t="s">
        <v>354</v>
      </c>
      <c r="P156" s="18" t="s">
        <v>9018</v>
      </c>
      <c r="Q156" s="18" t="s">
        <v>7975</v>
      </c>
      <c r="R156" s="18" t="s">
        <v>7976</v>
      </c>
      <c r="S156" s="18" t="s">
        <v>8070</v>
      </c>
      <c r="T156" s="18" t="s">
        <v>8071</v>
      </c>
      <c r="U156" s="18" t="s">
        <v>8012</v>
      </c>
      <c r="V156" s="18" t="s">
        <v>6963</v>
      </c>
      <c r="W156" s="18" t="s">
        <v>95</v>
      </c>
      <c r="X156" s="18" t="s">
        <v>95</v>
      </c>
      <c r="Y156" s="18" t="s">
        <v>7980</v>
      </c>
      <c r="Z156" s="18" t="s">
        <v>6996</v>
      </c>
      <c r="AA156" s="69">
        <v>1</v>
      </c>
      <c r="AB156" s="18">
        <v>205.35713999999999</v>
      </c>
      <c r="AC156" s="18" t="s">
        <v>9019</v>
      </c>
      <c r="AD156" s="18" t="s">
        <v>96</v>
      </c>
      <c r="AE156" s="18">
        <v>201.33</v>
      </c>
      <c r="AF156" s="18" t="s">
        <v>7983</v>
      </c>
      <c r="AG156" s="18">
        <v>201.33</v>
      </c>
      <c r="AH156" s="18" t="s">
        <v>95</v>
      </c>
      <c r="AI156" s="18" t="s">
        <v>8102</v>
      </c>
      <c r="AJ156" s="18" t="s">
        <v>8103</v>
      </c>
      <c r="AK156" s="18" t="s">
        <v>95</v>
      </c>
      <c r="AL156" s="18" t="s">
        <v>95</v>
      </c>
      <c r="AM156" s="18" t="s">
        <v>95</v>
      </c>
      <c r="AN156" s="18" t="s">
        <v>7984</v>
      </c>
      <c r="AO156" s="18" t="s">
        <v>139</v>
      </c>
      <c r="AP156" s="20" t="s">
        <v>136</v>
      </c>
      <c r="AQ156" s="18" t="s">
        <v>137</v>
      </c>
      <c r="AR156" s="18" t="s">
        <v>496</v>
      </c>
      <c r="AS156" s="18">
        <v>1</v>
      </c>
      <c r="AT156" s="18" t="s">
        <v>138</v>
      </c>
      <c r="AU156" s="18" t="s">
        <v>90</v>
      </c>
      <c r="AV156" s="18" t="s">
        <v>8072</v>
      </c>
      <c r="AW156" s="18" t="s">
        <v>8073</v>
      </c>
      <c r="AX156" s="18" t="s">
        <v>83</v>
      </c>
      <c r="AY156" s="18" t="s">
        <v>95</v>
      </c>
      <c r="AZ156" s="18" t="s">
        <v>95</v>
      </c>
      <c r="BA156" s="18" t="s">
        <v>95</v>
      </c>
      <c r="BB156" s="18" t="s">
        <v>95</v>
      </c>
      <c r="BC156" s="18" t="s">
        <v>118</v>
      </c>
      <c r="BD156" s="18" t="s">
        <v>95</v>
      </c>
      <c r="BE156" s="18" t="s">
        <v>8278</v>
      </c>
      <c r="BF156" s="18" t="s">
        <v>8064</v>
      </c>
      <c r="BG156" s="18" t="s">
        <v>95</v>
      </c>
      <c r="BH156" s="18" t="s">
        <v>95</v>
      </c>
      <c r="BI156" s="18">
        <v>12</v>
      </c>
      <c r="BJ156" s="18">
        <v>2022</v>
      </c>
      <c r="BK156" s="18" t="s">
        <v>95</v>
      </c>
      <c r="BL156" s="18" t="s">
        <v>95</v>
      </c>
      <c r="BM156" s="18" t="s">
        <v>95</v>
      </c>
      <c r="BN156" s="18" t="s">
        <v>85</v>
      </c>
      <c r="BO156" s="18" t="s">
        <v>86</v>
      </c>
      <c r="BP156" s="18" t="s">
        <v>90</v>
      </c>
      <c r="BQ156" s="18" t="s">
        <v>7987</v>
      </c>
      <c r="BR156" s="18" t="s">
        <v>139</v>
      </c>
      <c r="BS156" s="18" t="s">
        <v>8003</v>
      </c>
      <c r="BT156" s="18" t="s">
        <v>7989</v>
      </c>
      <c r="BU156" s="18" t="s">
        <v>496</v>
      </c>
      <c r="BV156" s="18" t="str">
        <f>Terminales[[#This Row],[IMEI]]&amp;"SI"</f>
        <v>864048063381622SI</v>
      </c>
      <c r="BW156" s="18" t="str">
        <f>VLOOKUP(Terminales[[#This Row],[OFICINA_USUARIO]],[1]!Locales[#Data],3,0)</f>
        <v>TIENDA AMERICA</v>
      </c>
      <c r="BX156" s="18" t="str">
        <f>VLOOKUP(Terminales[[#This Row],[USUARIO_FINAL]],'[1]Personal Ppto vs Real'!$A:$F,6,0)</f>
        <v>SALVATIERRA GUERRA JULIAN ENRIQUE</v>
      </c>
      <c r="BY15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5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56" s="18">
        <f>DAY(Terminales[[#This Row],[FECHA_FACTURA]])</f>
        <v>8</v>
      </c>
      <c r="CB156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156" s="65">
        <f>IFERROR(IF(AND(Terminales[[#This Row],[CANTIDAD]] = 1,Terminales[[#This Row],[MOVIMIENTO]] = "RENOVACION"),Terminales[[#This Row],[TARIFA_BASICA]]*0.5,),)</f>
        <v>0</v>
      </c>
      <c r="CD156" s="65">
        <f>IF('[1]Resumen TM'!$AW$20 &lt; 0.4,0,Terminales[[#This Row],[MONTO]]*0.02)</f>
        <v>4.1071428000000001</v>
      </c>
      <c r="CE156" s="66">
        <f>Terminales[[#This Row],[COMISIONES TERMINALES]]+Terminales[[#This Row],[COMISIONES RENOVACIONES]]+Terminales[[#This Row],[COMISIONES BONO]]</f>
        <v>24.642856799999997</v>
      </c>
      <c r="CF156" s="67">
        <f>(Terminales[[#This Row],[COMISIONES TERMINALES]]*VLOOKUP(Terminales[[#This Row],[LOCALES]],[1]!Calendario[#Data],3,0))/VLOOKUP(Terminales[[#This Row],[LOCALES]],[1]!Calendario[#Data],2,0)</f>
        <v>33.737244428571429</v>
      </c>
      <c r="CG156" s="67">
        <f>(Terminales[[#This Row],[COMISIONES RENOVACIONES]]*VLOOKUP(Terminales[[#This Row],[LOCALES]],[1]!Calendario[#Data],3,0))/VLOOKUP(Terminales[[#This Row],[LOCALES]],[1]!Calendario[#Data],2,0)</f>
        <v>0</v>
      </c>
      <c r="CH156" s="67">
        <f>(Terminales[[#This Row],[COMISIONES BONO]]*VLOOKUP(Terminales[[#This Row],[LOCALES]],[1]!Calendario[#Data],3,0))/VLOOKUP(Terminales[[#This Row],[LOCALES]],[1]!Calendario[#Data],2,0)</f>
        <v>6.7474488857142854</v>
      </c>
      <c r="CI156" s="67">
        <f>Terminales[[#This Row],[PROY. COM. TERMINALES]]+Terminales[[#This Row],[PROY. COM. RENOV.]]+Terminales[[#This Row],[PROY. COM. 2%]]</f>
        <v>40.484693314285714</v>
      </c>
    </row>
    <row r="157" spans="1:87" x14ac:dyDescent="0.25">
      <c r="A157" s="68">
        <v>44926</v>
      </c>
      <c r="B157" s="68">
        <v>44903</v>
      </c>
      <c r="C157" s="18" t="s">
        <v>291</v>
      </c>
      <c r="D157" s="18" t="s">
        <v>78</v>
      </c>
      <c r="E157" s="18" t="s">
        <v>95</v>
      </c>
      <c r="F157" s="18" t="s">
        <v>95</v>
      </c>
      <c r="G157" s="18" t="s">
        <v>292</v>
      </c>
      <c r="H157" s="18" t="s">
        <v>494</v>
      </c>
      <c r="I157" s="18" t="s">
        <v>9020</v>
      </c>
      <c r="J157" s="18" t="s">
        <v>95</v>
      </c>
      <c r="K157" s="18" t="s">
        <v>7970</v>
      </c>
      <c r="L157" s="18" t="s">
        <v>9009</v>
      </c>
      <c r="M157" s="18" t="s">
        <v>9010</v>
      </c>
      <c r="N157" s="18" t="s">
        <v>9011</v>
      </c>
      <c r="O157" s="18" t="s">
        <v>9021</v>
      </c>
      <c r="P157" s="18" t="s">
        <v>9022</v>
      </c>
      <c r="Q157" s="18" t="s">
        <v>7975</v>
      </c>
      <c r="R157" s="18" t="s">
        <v>7976</v>
      </c>
      <c r="S157" s="18" t="s">
        <v>8250</v>
      </c>
      <c r="T157" s="18" t="s">
        <v>9023</v>
      </c>
      <c r="U157" s="18" t="s">
        <v>8059</v>
      </c>
      <c r="V157" s="18" t="s">
        <v>6963</v>
      </c>
      <c r="W157" s="18" t="s">
        <v>95</v>
      </c>
      <c r="X157" s="18" t="s">
        <v>95</v>
      </c>
      <c r="Y157" s="18" t="s">
        <v>8226</v>
      </c>
      <c r="Z157" s="18" t="s">
        <v>8227</v>
      </c>
      <c r="AA157" s="69">
        <v>1</v>
      </c>
      <c r="AB157" s="18">
        <v>1321.42857</v>
      </c>
      <c r="AC157" s="18" t="s">
        <v>95</v>
      </c>
      <c r="AD157" s="18" t="s">
        <v>8151</v>
      </c>
      <c r="AE157" s="18">
        <v>1166.1500000000001</v>
      </c>
      <c r="AF157" s="18" t="s">
        <v>7983</v>
      </c>
      <c r="AG157" s="18">
        <v>1166.1500000000001</v>
      </c>
      <c r="AH157" s="18" t="s">
        <v>95</v>
      </c>
      <c r="AI157" s="18" t="s">
        <v>95</v>
      </c>
      <c r="AJ157" s="18" t="s">
        <v>95</v>
      </c>
      <c r="AK157" s="18" t="s">
        <v>95</v>
      </c>
      <c r="AL157" s="18" t="s">
        <v>95</v>
      </c>
      <c r="AM157" s="18" t="s">
        <v>95</v>
      </c>
      <c r="AN157" s="18" t="s">
        <v>7984</v>
      </c>
      <c r="AO157" s="18" t="s">
        <v>8121</v>
      </c>
      <c r="AP157" s="20" t="s">
        <v>412</v>
      </c>
      <c r="AQ157" s="18" t="s">
        <v>413</v>
      </c>
      <c r="AR157" s="18" t="s">
        <v>496</v>
      </c>
      <c r="AS157" s="18">
        <v>1</v>
      </c>
      <c r="AT157" s="18" t="s">
        <v>235</v>
      </c>
      <c r="AU157" s="18" t="s">
        <v>90</v>
      </c>
      <c r="AV157" s="18" t="s">
        <v>9024</v>
      </c>
      <c r="AW157" s="18" t="s">
        <v>9025</v>
      </c>
      <c r="AX157" s="18" t="s">
        <v>83</v>
      </c>
      <c r="AY157" s="18" t="s">
        <v>95</v>
      </c>
      <c r="AZ157" s="18" t="s">
        <v>95</v>
      </c>
      <c r="BA157" s="18" t="s">
        <v>95</v>
      </c>
      <c r="BB157" s="18" t="s">
        <v>95</v>
      </c>
      <c r="BC157" s="18" t="s">
        <v>95</v>
      </c>
      <c r="BD157" s="18" t="s">
        <v>95</v>
      </c>
      <c r="BE157" s="18" t="s">
        <v>95</v>
      </c>
      <c r="BF157" s="18" t="s">
        <v>95</v>
      </c>
      <c r="BG157" s="18" t="s">
        <v>95</v>
      </c>
      <c r="BH157" s="18" t="s">
        <v>95</v>
      </c>
      <c r="BI157" s="18">
        <v>12</v>
      </c>
      <c r="BJ157" s="18">
        <v>2022</v>
      </c>
      <c r="BK157" s="18" t="s">
        <v>9020</v>
      </c>
      <c r="BL157" s="18">
        <v>1</v>
      </c>
      <c r="BM157" s="18">
        <v>-87.5</v>
      </c>
      <c r="BN157" s="18" t="s">
        <v>8231</v>
      </c>
      <c r="BO157" s="18" t="s">
        <v>86</v>
      </c>
      <c r="BP157" s="18" t="s">
        <v>90</v>
      </c>
      <c r="BQ157" s="18" t="s">
        <v>8016</v>
      </c>
      <c r="BR157" s="18" t="s">
        <v>8232</v>
      </c>
      <c r="BS157" s="18" t="s">
        <v>8074</v>
      </c>
      <c r="BT157" s="18" t="s">
        <v>7989</v>
      </c>
      <c r="BU157" s="18" t="s">
        <v>496</v>
      </c>
      <c r="BV157" s="18" t="str">
        <f>Terminales[[#This Row],[IMEI]]&amp;"SI"</f>
        <v>350302398149589SI</v>
      </c>
      <c r="BW157" s="18" t="str">
        <f>VLOOKUP(Terminales[[#This Row],[OFICINA_USUARIO]],[1]!Locales[#Data],3,0)</f>
        <v>TIENDA CONDADO</v>
      </c>
      <c r="BX157" s="18" t="str">
        <f>VLOOKUP(Terminales[[#This Row],[USUARIO_FINAL]],'[1]Personal Ppto vs Real'!$A:$F,6,0)</f>
        <v>PADILLA MALDONADO HENRY LEOPOLDO</v>
      </c>
      <c r="BY157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5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57" s="18">
        <f>DAY(Terminales[[#This Row],[FECHA_FACTURA]])</f>
        <v>8</v>
      </c>
      <c r="CB157" s="65">
        <f>IF(Terminales[[#This Row],[CANTIDAD]] = 1,INDEX([1]!Comisiones[#Data],MATCH("Terminales",[1]!Comisiones[Producto],0),MATCH(Terminales[[#This Row],[TIPO ALTA COMISIONES]],[1]!Comisiones[#Headers],0))*Terminales[[#This Row],[MONTO]],0)</f>
        <v>132.14285700000002</v>
      </c>
      <c r="CC157" s="65">
        <f>IFERROR(IF(AND(Terminales[[#This Row],[CANTIDAD]] = 1,Terminales[[#This Row],[MOVIMIENTO]] = "RENOVACION"),Terminales[[#This Row],[TARIFA_BASICA]]*0.5,),)</f>
        <v>0</v>
      </c>
      <c r="CD157" s="65">
        <f>IF('[1]Resumen TM'!$AW$20 &lt; 0.4,0,Terminales[[#This Row],[MONTO]]*0.02)</f>
        <v>26.428571400000003</v>
      </c>
      <c r="CE157" s="66">
        <f>Terminales[[#This Row],[COMISIONES TERMINALES]]+Terminales[[#This Row],[COMISIONES RENOVACIONES]]+Terminales[[#This Row],[COMISIONES BONO]]</f>
        <v>158.57142840000003</v>
      </c>
      <c r="CF157" s="67">
        <f>(Terminales[[#This Row],[COMISIONES TERMINALES]]*VLOOKUP(Terminales[[#This Row],[LOCALES]],[1]!Calendario[#Data],3,0))/VLOOKUP(Terminales[[#This Row],[LOCALES]],[1]!Calendario[#Data],2,0)</f>
        <v>217.39631312903228</v>
      </c>
      <c r="CG157" s="67">
        <f>(Terminales[[#This Row],[COMISIONES RENOVACIONES]]*VLOOKUP(Terminales[[#This Row],[LOCALES]],[1]!Calendario[#Data],3,0))/VLOOKUP(Terminales[[#This Row],[LOCALES]],[1]!Calendario[#Data],2,0)</f>
        <v>0</v>
      </c>
      <c r="CH157" s="67">
        <f>(Terminales[[#This Row],[COMISIONES BONO]]*VLOOKUP(Terminales[[#This Row],[LOCALES]],[1]!Calendario[#Data],3,0))/VLOOKUP(Terminales[[#This Row],[LOCALES]],[1]!Calendario[#Data],2,0)</f>
        <v>43.479262625806456</v>
      </c>
      <c r="CI157" s="67">
        <f>Terminales[[#This Row],[PROY. COM. TERMINALES]]+Terminales[[#This Row],[PROY. COM. RENOV.]]+Terminales[[#This Row],[PROY. COM. 2%]]</f>
        <v>260.87557575483874</v>
      </c>
    </row>
    <row r="158" spans="1:87" x14ac:dyDescent="0.25">
      <c r="A158" s="68">
        <v>44926</v>
      </c>
      <c r="B158" s="68">
        <v>44903</v>
      </c>
      <c r="C158" s="18" t="s">
        <v>291</v>
      </c>
      <c r="D158" s="18" t="s">
        <v>78</v>
      </c>
      <c r="E158" s="18" t="s">
        <v>164</v>
      </c>
      <c r="F158" s="18" t="s">
        <v>6235</v>
      </c>
      <c r="G158" s="18" t="s">
        <v>292</v>
      </c>
      <c r="H158" s="18" t="s">
        <v>494</v>
      </c>
      <c r="I158" s="18" t="s">
        <v>9026</v>
      </c>
      <c r="J158" s="18" t="s">
        <v>95</v>
      </c>
      <c r="K158" s="18" t="s">
        <v>7970</v>
      </c>
      <c r="L158" s="18" t="s">
        <v>6236</v>
      </c>
      <c r="M158" s="18" t="s">
        <v>6237</v>
      </c>
      <c r="N158" s="18" t="s">
        <v>6238</v>
      </c>
      <c r="O158" s="18" t="s">
        <v>6241</v>
      </c>
      <c r="P158" s="18" t="s">
        <v>6239</v>
      </c>
      <c r="Q158" s="18" t="s">
        <v>7975</v>
      </c>
      <c r="R158" s="18" t="s">
        <v>7976</v>
      </c>
      <c r="S158" s="18" t="s">
        <v>8070</v>
      </c>
      <c r="T158" s="18" t="s">
        <v>8364</v>
      </c>
      <c r="U158" s="18" t="s">
        <v>8012</v>
      </c>
      <c r="V158" s="18" t="s">
        <v>6963</v>
      </c>
      <c r="W158" s="18" t="s">
        <v>95</v>
      </c>
      <c r="X158" s="18" t="s">
        <v>95</v>
      </c>
      <c r="Y158" s="18" t="s">
        <v>7980</v>
      </c>
      <c r="Z158" s="18" t="s">
        <v>6996</v>
      </c>
      <c r="AA158" s="69">
        <v>1</v>
      </c>
      <c r="AB158" s="18">
        <v>281.25</v>
      </c>
      <c r="AC158" s="18" t="s">
        <v>9027</v>
      </c>
      <c r="AD158" s="18" t="s">
        <v>8151</v>
      </c>
      <c r="AE158" s="18">
        <v>269.93</v>
      </c>
      <c r="AF158" s="18" t="s">
        <v>7983</v>
      </c>
      <c r="AG158" s="18">
        <v>269.93</v>
      </c>
      <c r="AH158" s="18" t="s">
        <v>95</v>
      </c>
      <c r="AI158" s="18" t="s">
        <v>1357</v>
      </c>
      <c r="AJ158" s="18" t="s">
        <v>2022</v>
      </c>
      <c r="AK158" s="18">
        <v>11.42</v>
      </c>
      <c r="AL158" s="18" t="s">
        <v>95</v>
      </c>
      <c r="AM158" s="18" t="s">
        <v>95</v>
      </c>
      <c r="AN158" s="18" t="s">
        <v>7984</v>
      </c>
      <c r="AO158" s="18" t="s">
        <v>92</v>
      </c>
      <c r="AP158" s="20" t="s">
        <v>880</v>
      </c>
      <c r="AQ158" s="18" t="s">
        <v>881</v>
      </c>
      <c r="AR158" s="18" t="s">
        <v>496</v>
      </c>
      <c r="AS158" s="18">
        <v>1</v>
      </c>
      <c r="AT158" s="18" t="s">
        <v>91</v>
      </c>
      <c r="AU158" s="18" t="s">
        <v>90</v>
      </c>
      <c r="AV158" s="18" t="s">
        <v>8366</v>
      </c>
      <c r="AW158" s="18" t="s">
        <v>8367</v>
      </c>
      <c r="AX158" s="18" t="s">
        <v>83</v>
      </c>
      <c r="AY158" s="18" t="s">
        <v>95</v>
      </c>
      <c r="AZ158" s="18" t="s">
        <v>95</v>
      </c>
      <c r="BA158" s="18" t="s">
        <v>95</v>
      </c>
      <c r="BB158" s="18" t="s">
        <v>95</v>
      </c>
      <c r="BC158" s="18" t="s">
        <v>118</v>
      </c>
      <c r="BD158" s="18" t="s">
        <v>95</v>
      </c>
      <c r="BE158" s="18" t="s">
        <v>95</v>
      </c>
      <c r="BF158" s="18" t="s">
        <v>95</v>
      </c>
      <c r="BG158" s="18" t="s">
        <v>95</v>
      </c>
      <c r="BH158" s="18" t="s">
        <v>95</v>
      </c>
      <c r="BI158" s="18">
        <v>12</v>
      </c>
      <c r="BJ158" s="18">
        <v>2022</v>
      </c>
      <c r="BK158" s="18" t="s">
        <v>95</v>
      </c>
      <c r="BL158" s="18" t="s">
        <v>95</v>
      </c>
      <c r="BM158" s="18" t="s">
        <v>95</v>
      </c>
      <c r="BN158" s="18" t="s">
        <v>85</v>
      </c>
      <c r="BO158" s="18" t="s">
        <v>86</v>
      </c>
      <c r="BP158" s="18" t="s">
        <v>90</v>
      </c>
      <c r="BQ158" s="18" t="s">
        <v>8106</v>
      </c>
      <c r="BR158" s="18" t="s">
        <v>92</v>
      </c>
      <c r="BS158" s="18" t="s">
        <v>8074</v>
      </c>
      <c r="BT158" s="18" t="s">
        <v>7989</v>
      </c>
      <c r="BU158" s="18" t="s">
        <v>496</v>
      </c>
      <c r="BV158" s="18" t="str">
        <f>Terminales[[#This Row],[IMEI]]&amp;"SI"</f>
        <v>865954063596243SI</v>
      </c>
      <c r="BW158" s="18" t="str">
        <f>VLOOKUP(Terminales[[#This Row],[OFICINA_USUARIO]],[1]!Locales[#Data],3,0)</f>
        <v>TIENDA CUENCA CENTRO</v>
      </c>
      <c r="BX158" s="18" t="str">
        <f>VLOOKUP(Terminales[[#This Row],[USUARIO_FINAL]],'[1]Personal Ppto vs Real'!$A:$F,6,0)</f>
        <v>LUNA JACHO ANDREA GABRIELA</v>
      </c>
      <c r="BY158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5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58" s="18">
        <f>DAY(Terminales[[#This Row],[FECHA_FACTURA]])</f>
        <v>8</v>
      </c>
      <c r="CB158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158" s="65">
        <f>IFERROR(IF(AND(Terminales[[#This Row],[CANTIDAD]] = 1,Terminales[[#This Row],[MOVIMIENTO]] = "RENOVACION"),Terminales[[#This Row],[TARIFA_BASICA]]*0.5,),)</f>
        <v>0</v>
      </c>
      <c r="CD158" s="65">
        <f>IF('[1]Resumen TM'!$AW$20 &lt; 0.4,0,Terminales[[#This Row],[MONTO]]*0.02)</f>
        <v>5.625</v>
      </c>
      <c r="CE158" s="66">
        <f>Terminales[[#This Row],[COMISIONES TERMINALES]]+Terminales[[#This Row],[COMISIONES RENOVACIONES]]+Terminales[[#This Row],[COMISIONES BONO]]</f>
        <v>33.75</v>
      </c>
      <c r="CF158" s="67">
        <f>(Terminales[[#This Row],[COMISIONES TERMINALES]]*VLOOKUP(Terminales[[#This Row],[LOCALES]],[1]!Calendario[#Data],3,0))/VLOOKUP(Terminales[[#This Row],[LOCALES]],[1]!Calendario[#Data],2,0)</f>
        <v>45.581896551724135</v>
      </c>
      <c r="CG158" s="67">
        <f>(Terminales[[#This Row],[COMISIONES RENOVACIONES]]*VLOOKUP(Terminales[[#This Row],[LOCALES]],[1]!Calendario[#Data],3,0))/VLOOKUP(Terminales[[#This Row],[LOCALES]],[1]!Calendario[#Data],2,0)</f>
        <v>0</v>
      </c>
      <c r="CH158" s="67">
        <f>(Terminales[[#This Row],[COMISIONES BONO]]*VLOOKUP(Terminales[[#This Row],[LOCALES]],[1]!Calendario[#Data],3,0))/VLOOKUP(Terminales[[#This Row],[LOCALES]],[1]!Calendario[#Data],2,0)</f>
        <v>9.1163793103448274</v>
      </c>
      <c r="CI158" s="67">
        <f>Terminales[[#This Row],[PROY. COM. TERMINALES]]+Terminales[[#This Row],[PROY. COM. RENOV.]]+Terminales[[#This Row],[PROY. COM. 2%]]</f>
        <v>54.698275862068961</v>
      </c>
    </row>
    <row r="159" spans="1:87" x14ac:dyDescent="0.25">
      <c r="A159" s="68">
        <v>44926</v>
      </c>
      <c r="B159" s="68">
        <v>44903</v>
      </c>
      <c r="C159" s="18" t="s">
        <v>291</v>
      </c>
      <c r="D159" s="18" t="s">
        <v>78</v>
      </c>
      <c r="E159" s="18" t="s">
        <v>311</v>
      </c>
      <c r="F159" s="18" t="s">
        <v>9028</v>
      </c>
      <c r="G159" s="18" t="s">
        <v>292</v>
      </c>
      <c r="H159" s="18" t="s">
        <v>494</v>
      </c>
      <c r="I159" s="18" t="s">
        <v>9029</v>
      </c>
      <c r="J159" s="18" t="s">
        <v>95</v>
      </c>
      <c r="K159" s="18" t="s">
        <v>7970</v>
      </c>
      <c r="L159" s="18" t="s">
        <v>9030</v>
      </c>
      <c r="M159" s="18" t="s">
        <v>9031</v>
      </c>
      <c r="N159" s="18" t="s">
        <v>9032</v>
      </c>
      <c r="O159" s="18" t="s">
        <v>8316</v>
      </c>
      <c r="P159" s="18" t="s">
        <v>9033</v>
      </c>
      <c r="Q159" s="18" t="s">
        <v>7975</v>
      </c>
      <c r="R159" s="18" t="s">
        <v>7976</v>
      </c>
      <c r="S159" s="18" t="s">
        <v>8250</v>
      </c>
      <c r="T159" s="18" t="s">
        <v>8318</v>
      </c>
      <c r="U159" s="18" t="s">
        <v>8059</v>
      </c>
      <c r="V159" s="18" t="s">
        <v>6963</v>
      </c>
      <c r="W159" s="18" t="s">
        <v>95</v>
      </c>
      <c r="X159" s="18" t="s">
        <v>95</v>
      </c>
      <c r="Y159" s="18" t="s">
        <v>7980</v>
      </c>
      <c r="Z159" s="18" t="s">
        <v>6996</v>
      </c>
      <c r="AA159" s="69">
        <v>1</v>
      </c>
      <c r="AB159" s="18">
        <v>1151.7857100000001</v>
      </c>
      <c r="AC159" s="18" t="s">
        <v>9034</v>
      </c>
      <c r="AD159" s="18" t="s">
        <v>7982</v>
      </c>
      <c r="AE159" s="18">
        <v>956.01</v>
      </c>
      <c r="AF159" s="18" t="s">
        <v>7983</v>
      </c>
      <c r="AG159" s="18">
        <v>956.01</v>
      </c>
      <c r="AH159" s="18" t="s">
        <v>95</v>
      </c>
      <c r="AI159" s="18" t="s">
        <v>7575</v>
      </c>
      <c r="AJ159" s="18" t="s">
        <v>7576</v>
      </c>
      <c r="AK159" s="18">
        <v>30.02</v>
      </c>
      <c r="AL159" s="18" t="s">
        <v>95</v>
      </c>
      <c r="AM159" s="18" t="s">
        <v>95</v>
      </c>
      <c r="AN159" s="18" t="s">
        <v>7984</v>
      </c>
      <c r="AO159" s="18" t="s">
        <v>139</v>
      </c>
      <c r="AP159" s="20" t="s">
        <v>740</v>
      </c>
      <c r="AQ159" s="18" t="s">
        <v>741</v>
      </c>
      <c r="AR159" s="18" t="s">
        <v>496</v>
      </c>
      <c r="AS159" s="18">
        <v>1</v>
      </c>
      <c r="AT159" s="18" t="s">
        <v>177</v>
      </c>
      <c r="AU159" s="18" t="s">
        <v>90</v>
      </c>
      <c r="AV159" s="18" t="s">
        <v>8319</v>
      </c>
      <c r="AW159" s="18" t="s">
        <v>8320</v>
      </c>
      <c r="AX159" s="18" t="s">
        <v>83</v>
      </c>
      <c r="AY159" s="18" t="s">
        <v>95</v>
      </c>
      <c r="AZ159" s="18" t="s">
        <v>95</v>
      </c>
      <c r="BA159" s="18" t="s">
        <v>95</v>
      </c>
      <c r="BB159" s="18" t="s">
        <v>95</v>
      </c>
      <c r="BC159" s="18" t="s">
        <v>84</v>
      </c>
      <c r="BD159" s="18" t="s">
        <v>95</v>
      </c>
      <c r="BE159" s="18" t="s">
        <v>8170</v>
      </c>
      <c r="BF159" s="18" t="s">
        <v>8064</v>
      </c>
      <c r="BG159" s="18" t="s">
        <v>95</v>
      </c>
      <c r="BH159" s="18" t="s">
        <v>95</v>
      </c>
      <c r="BI159" s="18">
        <v>12</v>
      </c>
      <c r="BJ159" s="18">
        <v>2022</v>
      </c>
      <c r="BK159" s="18" t="s">
        <v>95</v>
      </c>
      <c r="BL159" s="18" t="s">
        <v>95</v>
      </c>
      <c r="BM159" s="18" t="s">
        <v>95</v>
      </c>
      <c r="BN159" s="18" t="s">
        <v>85</v>
      </c>
      <c r="BO159" s="18" t="s">
        <v>86</v>
      </c>
      <c r="BP159" s="18" t="s">
        <v>90</v>
      </c>
      <c r="BQ159" s="18" t="s">
        <v>8002</v>
      </c>
      <c r="BR159" s="18" t="s">
        <v>139</v>
      </c>
      <c r="BS159" s="18" t="s">
        <v>8003</v>
      </c>
      <c r="BT159" s="18" t="s">
        <v>7989</v>
      </c>
      <c r="BU159" s="18" t="s">
        <v>496</v>
      </c>
      <c r="BV159" s="18" t="str">
        <f>Terminales[[#This Row],[IMEI]]&amp;"SI"</f>
        <v>353514357228975SI</v>
      </c>
      <c r="BW159" s="18" t="str">
        <f>VLOOKUP(Terminales[[#This Row],[OFICINA_USUARIO]],[1]!Locales[#Data],3,0)</f>
        <v>TIENDA RECREO</v>
      </c>
      <c r="BX159" s="18" t="str">
        <f>VLOOKUP(Terminales[[#This Row],[USUARIO_FINAL]],'[1]Personal Ppto vs Real'!$A:$F,6,0)</f>
        <v>CHAVEZ VASQUEZ YESSENIA KATHERINE</v>
      </c>
      <c r="BY15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5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59" s="18">
        <f>DAY(Terminales[[#This Row],[FECHA_FACTURA]])</f>
        <v>8</v>
      </c>
      <c r="CB159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159" s="65">
        <f>IFERROR(IF(AND(Terminales[[#This Row],[CANTIDAD]] = 1,Terminales[[#This Row],[MOVIMIENTO]] = "RENOVACION"),Terminales[[#This Row],[TARIFA_BASICA]]*0.5,),)</f>
        <v>15.01</v>
      </c>
      <c r="CD159" s="65">
        <f>IF('[1]Resumen TM'!$AW$20 &lt; 0.4,0,Terminales[[#This Row],[MONTO]]*0.02)</f>
        <v>23.035714200000001</v>
      </c>
      <c r="CE159" s="66">
        <f>Terminales[[#This Row],[COMISIONES TERMINALES]]+Terminales[[#This Row],[COMISIONES RENOVACIONES]]+Terminales[[#This Row],[COMISIONES BONO]]</f>
        <v>153.22428520000003</v>
      </c>
      <c r="CF159" s="67">
        <f>(Terminales[[#This Row],[COMISIONES TERMINALES]]*VLOOKUP(Terminales[[#This Row],[LOCALES]],[1]!Calendario[#Data],3,0))/VLOOKUP(Terminales[[#This Row],[LOCALES]],[1]!Calendario[#Data],2,0)</f>
        <v>189.48732648387099</v>
      </c>
      <c r="CG159" s="67">
        <f>(Terminales[[#This Row],[COMISIONES RENOVACIONES]]*VLOOKUP(Terminales[[#This Row],[LOCALES]],[1]!Calendario[#Data],3,0))/VLOOKUP(Terminales[[#This Row],[LOCALES]],[1]!Calendario[#Data],2,0)</f>
        <v>24.693870967741937</v>
      </c>
      <c r="CH159" s="67">
        <f>(Terminales[[#This Row],[COMISIONES BONO]]*VLOOKUP(Terminales[[#This Row],[LOCALES]],[1]!Calendario[#Data],3,0))/VLOOKUP(Terminales[[#This Row],[LOCALES]],[1]!Calendario[#Data],2,0)</f>
        <v>37.8974652967742</v>
      </c>
      <c r="CI159" s="67">
        <f>Terminales[[#This Row],[PROY. COM. TERMINALES]]+Terminales[[#This Row],[PROY. COM. RENOV.]]+Terminales[[#This Row],[PROY. COM. 2%]]</f>
        <v>252.0786627483871</v>
      </c>
    </row>
    <row r="160" spans="1:87" x14ac:dyDescent="0.25">
      <c r="A160" s="68">
        <v>44926</v>
      </c>
      <c r="B160" s="68">
        <v>44903</v>
      </c>
      <c r="C160" s="18" t="s">
        <v>96</v>
      </c>
      <c r="D160" s="18" t="s">
        <v>96</v>
      </c>
      <c r="E160" s="18" t="s">
        <v>96</v>
      </c>
      <c r="F160" s="18" t="s">
        <v>9035</v>
      </c>
      <c r="G160" s="18" t="s">
        <v>292</v>
      </c>
      <c r="H160" s="18" t="s">
        <v>494</v>
      </c>
      <c r="I160" s="18" t="s">
        <v>9036</v>
      </c>
      <c r="J160" s="18" t="s">
        <v>95</v>
      </c>
      <c r="K160" s="18" t="s">
        <v>7970</v>
      </c>
      <c r="L160" s="18" t="s">
        <v>9037</v>
      </c>
      <c r="M160" s="18" t="s">
        <v>9038</v>
      </c>
      <c r="N160" s="18" t="s">
        <v>9039</v>
      </c>
      <c r="O160" s="18" t="s">
        <v>1022</v>
      </c>
      <c r="P160" s="18" t="s">
        <v>9040</v>
      </c>
      <c r="Q160" s="18" t="s">
        <v>7975</v>
      </c>
      <c r="R160" s="18" t="s">
        <v>7976</v>
      </c>
      <c r="S160" s="18" t="s">
        <v>8045</v>
      </c>
      <c r="T160" s="18" t="s">
        <v>8225</v>
      </c>
      <c r="U160" s="18" t="s">
        <v>8012</v>
      </c>
      <c r="V160" s="18" t="s">
        <v>6963</v>
      </c>
      <c r="W160" s="18" t="s">
        <v>95</v>
      </c>
      <c r="X160" s="18" t="s">
        <v>95</v>
      </c>
      <c r="Y160" s="18" t="s">
        <v>7980</v>
      </c>
      <c r="Z160" s="18" t="s">
        <v>6996</v>
      </c>
      <c r="AA160" s="69">
        <v>1</v>
      </c>
      <c r="AB160" s="18">
        <v>241.07142999999999</v>
      </c>
      <c r="AC160" s="18" t="s">
        <v>9041</v>
      </c>
      <c r="AD160" s="18" t="s">
        <v>96</v>
      </c>
      <c r="AE160" s="18">
        <v>232</v>
      </c>
      <c r="AF160" s="18" t="s">
        <v>7983</v>
      </c>
      <c r="AG160" s="18">
        <v>232</v>
      </c>
      <c r="AH160" s="18" t="s">
        <v>95</v>
      </c>
      <c r="AI160" s="18" t="s">
        <v>8102</v>
      </c>
      <c r="AJ160" s="18" t="s">
        <v>8103</v>
      </c>
      <c r="AK160" s="18" t="s">
        <v>95</v>
      </c>
      <c r="AL160" s="18" t="s">
        <v>95</v>
      </c>
      <c r="AM160" s="18" t="s">
        <v>95</v>
      </c>
      <c r="AN160" s="18" t="s">
        <v>7984</v>
      </c>
      <c r="AO160" s="18" t="s">
        <v>92</v>
      </c>
      <c r="AP160" s="20" t="s">
        <v>88</v>
      </c>
      <c r="AQ160" s="18" t="s">
        <v>89</v>
      </c>
      <c r="AR160" s="18" t="s">
        <v>496</v>
      </c>
      <c r="AS160" s="18">
        <v>1</v>
      </c>
      <c r="AT160" s="18" t="s">
        <v>91</v>
      </c>
      <c r="AU160" s="18" t="s">
        <v>90</v>
      </c>
      <c r="AV160" s="18" t="s">
        <v>8392</v>
      </c>
      <c r="AW160" s="18" t="s">
        <v>8393</v>
      </c>
      <c r="AX160" s="18" t="s">
        <v>83</v>
      </c>
      <c r="AY160" s="18" t="s">
        <v>95</v>
      </c>
      <c r="AZ160" s="18" t="s">
        <v>95</v>
      </c>
      <c r="BA160" s="18" t="s">
        <v>95</v>
      </c>
      <c r="BB160" s="18" t="s">
        <v>95</v>
      </c>
      <c r="BC160" s="18" t="s">
        <v>118</v>
      </c>
      <c r="BD160" s="18" t="s">
        <v>95</v>
      </c>
      <c r="BE160" s="18" t="s">
        <v>95</v>
      </c>
      <c r="BF160" s="18" t="s">
        <v>95</v>
      </c>
      <c r="BG160" s="18" t="s">
        <v>95</v>
      </c>
      <c r="BH160" s="18" t="s">
        <v>95</v>
      </c>
      <c r="BI160" s="18">
        <v>12</v>
      </c>
      <c r="BJ160" s="18">
        <v>2022</v>
      </c>
      <c r="BK160" s="18" t="s">
        <v>95</v>
      </c>
      <c r="BL160" s="18" t="s">
        <v>95</v>
      </c>
      <c r="BM160" s="18" t="s">
        <v>95</v>
      </c>
      <c r="BN160" s="18" t="s">
        <v>85</v>
      </c>
      <c r="BO160" s="18" t="s">
        <v>86</v>
      </c>
      <c r="BP160" s="18" t="s">
        <v>90</v>
      </c>
      <c r="BQ160" s="18" t="s">
        <v>8106</v>
      </c>
      <c r="BR160" s="18" t="s">
        <v>92</v>
      </c>
      <c r="BS160" s="18" t="s">
        <v>8074</v>
      </c>
      <c r="BT160" s="18" t="s">
        <v>7989</v>
      </c>
      <c r="BU160" s="18" t="s">
        <v>496</v>
      </c>
      <c r="BV160" s="18" t="str">
        <f>Terminales[[#This Row],[IMEI]]&amp;"SI"</f>
        <v>356795951381420SI</v>
      </c>
      <c r="BW160" s="18" t="str">
        <f>VLOOKUP(Terminales[[#This Row],[OFICINA_USUARIO]],[1]!Locales[#Data],3,0)</f>
        <v>TIENDA CUENCA CENTRO</v>
      </c>
      <c r="BX160" s="18" t="str">
        <f>VLOOKUP(Terminales[[#This Row],[USUARIO_FINAL]],'[1]Personal Ppto vs Real'!$A:$F,6,0)</f>
        <v>ANDRADE CONDO CHRISTIAN EDUARDO</v>
      </c>
      <c r="BY16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6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60" s="18">
        <f>DAY(Terminales[[#This Row],[FECHA_FACTURA]])</f>
        <v>8</v>
      </c>
      <c r="CB160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60" s="65">
        <f>IFERROR(IF(AND(Terminales[[#This Row],[CANTIDAD]] = 1,Terminales[[#This Row],[MOVIMIENTO]] = "RENOVACION"),Terminales[[#This Row],[TARIFA_BASICA]]*0.5,),)</f>
        <v>0</v>
      </c>
      <c r="CD160" s="65">
        <f>IF('[1]Resumen TM'!$AW$20 &lt; 0.4,0,Terminales[[#This Row],[MONTO]]*0.02)</f>
        <v>4.8214286</v>
      </c>
      <c r="CE160" s="66">
        <f>Terminales[[#This Row],[COMISIONES TERMINALES]]+Terminales[[#This Row],[COMISIONES RENOVACIONES]]+Terminales[[#This Row],[COMISIONES BONO]]</f>
        <v>28.928571600000001</v>
      </c>
      <c r="CF160" s="67">
        <f>(Terminales[[#This Row],[COMISIONES TERMINALES]]*VLOOKUP(Terminales[[#This Row],[LOCALES]],[1]!Calendario[#Data],3,0))/VLOOKUP(Terminales[[#This Row],[LOCALES]],[1]!Calendario[#Data],2,0)</f>
        <v>39.070197275862071</v>
      </c>
      <c r="CG160" s="67">
        <f>(Terminales[[#This Row],[COMISIONES RENOVACIONES]]*VLOOKUP(Terminales[[#This Row],[LOCALES]],[1]!Calendario[#Data],3,0))/VLOOKUP(Terminales[[#This Row],[LOCALES]],[1]!Calendario[#Data],2,0)</f>
        <v>0</v>
      </c>
      <c r="CH160" s="67">
        <f>(Terminales[[#This Row],[COMISIONES BONO]]*VLOOKUP(Terminales[[#This Row],[LOCALES]],[1]!Calendario[#Data],3,0))/VLOOKUP(Terminales[[#This Row],[LOCALES]],[1]!Calendario[#Data],2,0)</f>
        <v>7.8140394551724137</v>
      </c>
      <c r="CI160" s="67">
        <f>Terminales[[#This Row],[PROY. COM. TERMINALES]]+Terminales[[#This Row],[PROY. COM. RENOV.]]+Terminales[[#This Row],[PROY. COM. 2%]]</f>
        <v>46.884236731034484</v>
      </c>
    </row>
    <row r="161" spans="1:87" x14ac:dyDescent="0.25">
      <c r="A161" s="68">
        <v>44926</v>
      </c>
      <c r="B161" s="68">
        <v>44903</v>
      </c>
      <c r="C161" s="18" t="s">
        <v>291</v>
      </c>
      <c r="D161" s="18" t="s">
        <v>78</v>
      </c>
      <c r="E161" s="18" t="s">
        <v>1378</v>
      </c>
      <c r="F161" s="18" t="s">
        <v>9042</v>
      </c>
      <c r="G161" s="18" t="s">
        <v>292</v>
      </c>
      <c r="H161" s="18" t="s">
        <v>293</v>
      </c>
      <c r="I161" s="18" t="s">
        <v>9043</v>
      </c>
      <c r="J161" s="18" t="s">
        <v>95</v>
      </c>
      <c r="K161" s="18" t="s">
        <v>7970</v>
      </c>
      <c r="L161" s="18" t="s">
        <v>9044</v>
      </c>
      <c r="M161" s="18" t="s">
        <v>9045</v>
      </c>
      <c r="N161" s="18" t="s">
        <v>9046</v>
      </c>
      <c r="O161" s="18" t="s">
        <v>338</v>
      </c>
      <c r="P161" s="18" t="s">
        <v>9047</v>
      </c>
      <c r="Q161" s="18" t="s">
        <v>7975</v>
      </c>
      <c r="R161" s="18" t="s">
        <v>7976</v>
      </c>
      <c r="S161" s="18" t="s">
        <v>7977</v>
      </c>
      <c r="T161" s="18" t="s">
        <v>7978</v>
      </c>
      <c r="U161" s="18" t="s">
        <v>7979</v>
      </c>
      <c r="V161" s="18" t="s">
        <v>6963</v>
      </c>
      <c r="W161" s="18" t="s">
        <v>95</v>
      </c>
      <c r="X161" s="18" t="s">
        <v>95</v>
      </c>
      <c r="Y161" s="18" t="s">
        <v>7980</v>
      </c>
      <c r="Z161" s="18" t="s">
        <v>6996</v>
      </c>
      <c r="AA161" s="69">
        <v>1</v>
      </c>
      <c r="AB161" s="18">
        <v>339.28570999999999</v>
      </c>
      <c r="AC161" s="18" t="s">
        <v>9048</v>
      </c>
      <c r="AD161" s="18" t="s">
        <v>7982</v>
      </c>
      <c r="AE161" s="18">
        <v>235</v>
      </c>
      <c r="AF161" s="18" t="s">
        <v>7983</v>
      </c>
      <c r="AG161" s="18">
        <v>235</v>
      </c>
      <c r="AH161" s="18" t="s">
        <v>95</v>
      </c>
      <c r="AI161" s="18" t="s">
        <v>112</v>
      </c>
      <c r="AJ161" s="18" t="s">
        <v>781</v>
      </c>
      <c r="AK161" s="18">
        <v>17.850000000000001</v>
      </c>
      <c r="AL161" s="18" t="s">
        <v>95</v>
      </c>
      <c r="AM161" s="18" t="s">
        <v>95</v>
      </c>
      <c r="AN161" s="18" t="s">
        <v>7984</v>
      </c>
      <c r="AO161" s="18" t="s">
        <v>92</v>
      </c>
      <c r="AP161" s="20" t="s">
        <v>318</v>
      </c>
      <c r="AQ161" s="18" t="s">
        <v>319</v>
      </c>
      <c r="AR161" s="18" t="s">
        <v>295</v>
      </c>
      <c r="AS161" s="18">
        <v>6</v>
      </c>
      <c r="AT161" s="18" t="s">
        <v>151</v>
      </c>
      <c r="AU161" s="18" t="s">
        <v>90</v>
      </c>
      <c r="AV161" s="18" t="s">
        <v>7985</v>
      </c>
      <c r="AW161" s="18" t="s">
        <v>7986</v>
      </c>
      <c r="AX161" s="18" t="s">
        <v>83</v>
      </c>
      <c r="AY161" s="18" t="s">
        <v>95</v>
      </c>
      <c r="AZ161" s="18" t="s">
        <v>95</v>
      </c>
      <c r="BA161" s="18" t="s">
        <v>95</v>
      </c>
      <c r="BB161" s="18" t="s">
        <v>95</v>
      </c>
      <c r="BC161" s="18" t="s">
        <v>84</v>
      </c>
      <c r="BD161" s="18">
        <v>70</v>
      </c>
      <c r="BE161" s="18" t="s">
        <v>95</v>
      </c>
      <c r="BF161" s="18" t="s">
        <v>95</v>
      </c>
      <c r="BG161" s="18" t="s">
        <v>95</v>
      </c>
      <c r="BH161" s="18" t="s">
        <v>95</v>
      </c>
      <c r="BI161" s="18">
        <v>12</v>
      </c>
      <c r="BJ161" s="18">
        <v>2022</v>
      </c>
      <c r="BK161" s="18" t="s">
        <v>95</v>
      </c>
      <c r="BL161" s="18" t="s">
        <v>95</v>
      </c>
      <c r="BM161" s="18" t="s">
        <v>95</v>
      </c>
      <c r="BN161" s="18" t="s">
        <v>85</v>
      </c>
      <c r="BO161" s="18" t="s">
        <v>86</v>
      </c>
      <c r="BP161" s="18" t="s">
        <v>90</v>
      </c>
      <c r="BQ161" s="18" t="s">
        <v>8141</v>
      </c>
      <c r="BR161" s="18" t="s">
        <v>92</v>
      </c>
      <c r="BS161" s="18" t="s">
        <v>8027</v>
      </c>
      <c r="BT161" s="18" t="s">
        <v>7989</v>
      </c>
      <c r="BU161" s="18" t="s">
        <v>7990</v>
      </c>
      <c r="BV161" s="18" t="str">
        <f>Terminales[[#This Row],[IMEI]]&amp;"SI"</f>
        <v>866184060681066SI</v>
      </c>
      <c r="BW161" s="18" t="str">
        <f>VLOOKUP(Terminales[[#This Row],[OFICINA_USUARIO]],[1]!Locales[#Data],3,0)</f>
        <v>TIENDA CUENCA REMIGIO</v>
      </c>
      <c r="BX161" s="18" t="str">
        <f>VLOOKUP(Terminales[[#This Row],[USUARIO_FINAL]],'[1]Personal Ppto vs Real'!$A:$F,6,0)</f>
        <v>RODRIGUEZ QUITO JESSICA GABRIELA</v>
      </c>
      <c r="BY161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6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61" s="18">
        <f>DAY(Terminales[[#This Row],[FECHA_FACTURA]])</f>
        <v>8</v>
      </c>
      <c r="CB161" s="65">
        <f>IF(Terminales[[#This Row],[CANTIDAD]] = 1,INDEX([1]!Comisiones[#Data],MATCH("Terminales",[1]!Comisiones[Producto],0),MATCH(Terminales[[#This Row],[TIPO ALTA COMISIONES]],[1]!Comisiones[#Headers],0))*Terminales[[#This Row],[MONTO]],0)</f>
        <v>27.142856800000001</v>
      </c>
      <c r="CC161" s="65">
        <f>IFERROR(IF(AND(Terminales[[#This Row],[CANTIDAD]] = 1,Terminales[[#This Row],[MOVIMIENTO]] = "RENOVACION"),Terminales[[#This Row],[TARIFA_BASICA]]*0.5,),)</f>
        <v>8.9250000000000007</v>
      </c>
      <c r="CD161" s="65">
        <f>IF('[1]Resumen TM'!$AW$20 &lt; 0.4,0,Terminales[[#This Row],[MONTO]]*0.02)</f>
        <v>6.7857142000000001</v>
      </c>
      <c r="CE161" s="66">
        <f>Terminales[[#This Row],[COMISIONES TERMINALES]]+Terminales[[#This Row],[COMISIONES RENOVACIONES]]+Terminales[[#This Row],[COMISIONES BONO]]</f>
        <v>42.853571000000002</v>
      </c>
      <c r="CF161" s="67">
        <f>(Terminales[[#This Row],[COMISIONES TERMINALES]]*VLOOKUP(Terminales[[#This Row],[LOCALES]],[1]!Calendario[#Data],3,0))/VLOOKUP(Terminales[[#This Row],[LOCALES]],[1]!Calendario[#Data],2,0)</f>
        <v>43.990147227586206</v>
      </c>
      <c r="CG161" s="67">
        <f>(Terminales[[#This Row],[COMISIONES RENOVACIONES]]*VLOOKUP(Terminales[[#This Row],[LOCALES]],[1]!Calendario[#Data],3,0))/VLOOKUP(Terminales[[#This Row],[LOCALES]],[1]!Calendario[#Data],2,0)</f>
        <v>14.464655172413794</v>
      </c>
      <c r="CH161" s="67">
        <f>(Terminales[[#This Row],[COMISIONES BONO]]*VLOOKUP(Terminales[[#This Row],[LOCALES]],[1]!Calendario[#Data],3,0))/VLOOKUP(Terminales[[#This Row],[LOCALES]],[1]!Calendario[#Data],2,0)</f>
        <v>10.997536806896552</v>
      </c>
      <c r="CI161" s="67">
        <f>Terminales[[#This Row],[PROY. COM. TERMINALES]]+Terminales[[#This Row],[PROY. COM. RENOV.]]+Terminales[[#This Row],[PROY. COM. 2%]]</f>
        <v>69.452339206896553</v>
      </c>
    </row>
    <row r="162" spans="1:87" x14ac:dyDescent="0.25">
      <c r="A162" s="68">
        <v>44926</v>
      </c>
      <c r="B162" s="68">
        <v>44903</v>
      </c>
      <c r="C162" s="18" t="s">
        <v>96</v>
      </c>
      <c r="D162" s="18" t="s">
        <v>96</v>
      </c>
      <c r="E162" s="18" t="s">
        <v>96</v>
      </c>
      <c r="F162" s="18" t="s">
        <v>95</v>
      </c>
      <c r="G162" s="18" t="s">
        <v>292</v>
      </c>
      <c r="H162" s="18" t="s">
        <v>494</v>
      </c>
      <c r="I162" s="18" t="s">
        <v>9049</v>
      </c>
      <c r="J162" s="18" t="s">
        <v>95</v>
      </c>
      <c r="K162" s="18" t="s">
        <v>7970</v>
      </c>
      <c r="L162" s="18" t="s">
        <v>9050</v>
      </c>
      <c r="M162" s="18" t="s">
        <v>9038</v>
      </c>
      <c r="N162" s="18" t="s">
        <v>9039</v>
      </c>
      <c r="O162" s="18" t="s">
        <v>8584</v>
      </c>
      <c r="P162" s="18" t="s">
        <v>9051</v>
      </c>
      <c r="Q162" s="18" t="s">
        <v>7975</v>
      </c>
      <c r="R162" s="18" t="s">
        <v>7976</v>
      </c>
      <c r="S162" s="18" t="s">
        <v>8045</v>
      </c>
      <c r="T162" s="18" t="s">
        <v>8586</v>
      </c>
      <c r="U162" s="18" t="s">
        <v>8059</v>
      </c>
      <c r="V162" s="18" t="s">
        <v>6963</v>
      </c>
      <c r="W162" s="18" t="s">
        <v>95</v>
      </c>
      <c r="X162" s="18" t="s">
        <v>95</v>
      </c>
      <c r="Y162" s="18" t="s">
        <v>7980</v>
      </c>
      <c r="Z162" s="18" t="s">
        <v>6996</v>
      </c>
      <c r="AA162" s="69">
        <v>1</v>
      </c>
      <c r="AB162" s="18">
        <v>669.64286000000004</v>
      </c>
      <c r="AC162" s="18" t="s">
        <v>95</v>
      </c>
      <c r="AD162" s="18" t="s">
        <v>96</v>
      </c>
      <c r="AE162" s="18">
        <v>655</v>
      </c>
      <c r="AF162" s="18" t="s">
        <v>7983</v>
      </c>
      <c r="AG162" s="18">
        <v>655</v>
      </c>
      <c r="AH162" s="18" t="s">
        <v>95</v>
      </c>
      <c r="AI162" s="18" t="s">
        <v>95</v>
      </c>
      <c r="AJ162" s="18" t="s">
        <v>95</v>
      </c>
      <c r="AK162" s="18" t="s">
        <v>95</v>
      </c>
      <c r="AL162" s="18" t="s">
        <v>95</v>
      </c>
      <c r="AM162" s="18" t="s">
        <v>95</v>
      </c>
      <c r="AN162" s="18" t="s">
        <v>7984</v>
      </c>
      <c r="AO162" s="18" t="s">
        <v>92</v>
      </c>
      <c r="AP162" s="20" t="s">
        <v>88</v>
      </c>
      <c r="AQ162" s="18" t="s">
        <v>89</v>
      </c>
      <c r="AR162" s="18" t="s">
        <v>496</v>
      </c>
      <c r="AS162" s="18">
        <v>1</v>
      </c>
      <c r="AT162" s="18" t="s">
        <v>91</v>
      </c>
      <c r="AU162" s="18" t="s">
        <v>90</v>
      </c>
      <c r="AV162" s="18" t="s">
        <v>8588</v>
      </c>
      <c r="AW162" s="18" t="s">
        <v>8589</v>
      </c>
      <c r="AX162" s="18" t="s">
        <v>83</v>
      </c>
      <c r="AY162" s="18" t="s">
        <v>95</v>
      </c>
      <c r="AZ162" s="18" t="s">
        <v>95</v>
      </c>
      <c r="BA162" s="18" t="s">
        <v>95</v>
      </c>
      <c r="BB162" s="18" t="s">
        <v>95</v>
      </c>
      <c r="BC162" s="18" t="s">
        <v>95</v>
      </c>
      <c r="BD162" s="18" t="s">
        <v>95</v>
      </c>
      <c r="BE162" s="18" t="s">
        <v>95</v>
      </c>
      <c r="BF162" s="18" t="s">
        <v>95</v>
      </c>
      <c r="BG162" s="18" t="s">
        <v>95</v>
      </c>
      <c r="BH162" s="18" t="s">
        <v>95</v>
      </c>
      <c r="BI162" s="18">
        <v>12</v>
      </c>
      <c r="BJ162" s="18">
        <v>2022</v>
      </c>
      <c r="BK162" s="18" t="s">
        <v>95</v>
      </c>
      <c r="BL162" s="18" t="s">
        <v>95</v>
      </c>
      <c r="BM162" s="18" t="s">
        <v>95</v>
      </c>
      <c r="BN162" s="18" t="s">
        <v>85</v>
      </c>
      <c r="BO162" s="18" t="s">
        <v>86</v>
      </c>
      <c r="BP162" s="18" t="s">
        <v>90</v>
      </c>
      <c r="BQ162" s="18" t="s">
        <v>8106</v>
      </c>
      <c r="BR162" s="18" t="s">
        <v>92</v>
      </c>
      <c r="BS162" s="18" t="s">
        <v>8074</v>
      </c>
      <c r="BT162" s="18" t="s">
        <v>7989</v>
      </c>
      <c r="BU162" s="18" t="s">
        <v>496</v>
      </c>
      <c r="BV162" s="18" t="str">
        <f>Terminales[[#This Row],[IMEI]]&amp;"SI"</f>
        <v>352755852600868SI</v>
      </c>
      <c r="BW162" s="18" t="str">
        <f>VLOOKUP(Terminales[[#This Row],[OFICINA_USUARIO]],[1]!Locales[#Data],3,0)</f>
        <v>TIENDA CUENCA CENTRO</v>
      </c>
      <c r="BX162" s="18" t="str">
        <f>VLOOKUP(Terminales[[#This Row],[USUARIO_FINAL]],'[1]Personal Ppto vs Real'!$A:$F,6,0)</f>
        <v>ANDRADE CONDO CHRISTIAN EDUARDO</v>
      </c>
      <c r="BY16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6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62" s="18">
        <f>DAY(Terminales[[#This Row],[FECHA_FACTURA]])</f>
        <v>8</v>
      </c>
      <c r="CB162" s="65">
        <f>IF(Terminales[[#This Row],[CANTIDAD]] = 1,INDEX([1]!Comisiones[#Data],MATCH("Terminales",[1]!Comisiones[Producto],0),MATCH(Terminales[[#This Row],[TIPO ALTA COMISIONES]],[1]!Comisiones[#Headers],0))*Terminales[[#This Row],[MONTO]],0)</f>
        <v>66.964286000000001</v>
      </c>
      <c r="CC162" s="65">
        <f>IFERROR(IF(AND(Terminales[[#This Row],[CANTIDAD]] = 1,Terminales[[#This Row],[MOVIMIENTO]] = "RENOVACION"),Terminales[[#This Row],[TARIFA_BASICA]]*0.5,),)</f>
        <v>0</v>
      </c>
      <c r="CD162" s="65">
        <f>IF('[1]Resumen TM'!$AW$20 &lt; 0.4,0,Terminales[[#This Row],[MONTO]]*0.02)</f>
        <v>13.392857200000002</v>
      </c>
      <c r="CE162" s="66">
        <f>Terminales[[#This Row],[COMISIONES TERMINALES]]+Terminales[[#This Row],[COMISIONES RENOVACIONES]]+Terminales[[#This Row],[COMISIONES BONO]]</f>
        <v>80.357143199999996</v>
      </c>
      <c r="CF162" s="67">
        <f>(Terminales[[#This Row],[COMISIONES TERMINALES]]*VLOOKUP(Terminales[[#This Row],[LOCALES]],[1]!Calendario[#Data],3,0))/VLOOKUP(Terminales[[#This Row],[LOCALES]],[1]!Calendario[#Data],2,0)</f>
        <v>108.52832558620689</v>
      </c>
      <c r="CG162" s="67">
        <f>(Terminales[[#This Row],[COMISIONES RENOVACIONES]]*VLOOKUP(Terminales[[#This Row],[LOCALES]],[1]!Calendario[#Data],3,0))/VLOOKUP(Terminales[[#This Row],[LOCALES]],[1]!Calendario[#Data],2,0)</f>
        <v>0</v>
      </c>
      <c r="CH162" s="67">
        <f>(Terminales[[#This Row],[COMISIONES BONO]]*VLOOKUP(Terminales[[#This Row],[LOCALES]],[1]!Calendario[#Data],3,0))/VLOOKUP(Terminales[[#This Row],[LOCALES]],[1]!Calendario[#Data],2,0)</f>
        <v>21.705665117241384</v>
      </c>
      <c r="CI162" s="67">
        <f>Terminales[[#This Row],[PROY. COM. TERMINALES]]+Terminales[[#This Row],[PROY. COM. RENOV.]]+Terminales[[#This Row],[PROY. COM. 2%]]</f>
        <v>130.23399070344828</v>
      </c>
    </row>
    <row r="163" spans="1:87" x14ac:dyDescent="0.25">
      <c r="A163" s="68">
        <v>44926</v>
      </c>
      <c r="B163" s="68">
        <v>44903</v>
      </c>
      <c r="C163" s="18" t="s">
        <v>96</v>
      </c>
      <c r="D163" s="18" t="s">
        <v>96</v>
      </c>
      <c r="E163" s="18" t="s">
        <v>96</v>
      </c>
      <c r="F163" s="18" t="s">
        <v>9052</v>
      </c>
      <c r="G163" s="18" t="s">
        <v>292</v>
      </c>
      <c r="H163" s="18" t="s">
        <v>494</v>
      </c>
      <c r="I163" s="18" t="s">
        <v>9053</v>
      </c>
      <c r="J163" s="18" t="s">
        <v>95</v>
      </c>
      <c r="K163" s="18" t="s">
        <v>7970</v>
      </c>
      <c r="L163" s="18" t="s">
        <v>9054</v>
      </c>
      <c r="M163" s="18" t="s">
        <v>9055</v>
      </c>
      <c r="N163" s="18" t="s">
        <v>9056</v>
      </c>
      <c r="O163" s="18" t="s">
        <v>8584</v>
      </c>
      <c r="P163" s="18" t="s">
        <v>9057</v>
      </c>
      <c r="Q163" s="18" t="s">
        <v>7975</v>
      </c>
      <c r="R163" s="18" t="s">
        <v>7976</v>
      </c>
      <c r="S163" s="18" t="s">
        <v>8045</v>
      </c>
      <c r="T163" s="18" t="s">
        <v>8586</v>
      </c>
      <c r="U163" s="18" t="s">
        <v>8059</v>
      </c>
      <c r="V163" s="18" t="s">
        <v>6963</v>
      </c>
      <c r="W163" s="18" t="s">
        <v>95</v>
      </c>
      <c r="X163" s="18" t="s">
        <v>95</v>
      </c>
      <c r="Y163" s="18" t="s">
        <v>7980</v>
      </c>
      <c r="Z163" s="18" t="s">
        <v>6996</v>
      </c>
      <c r="AA163" s="69">
        <v>1</v>
      </c>
      <c r="AB163" s="18">
        <v>669.64286000000004</v>
      </c>
      <c r="AC163" s="18" t="s">
        <v>9058</v>
      </c>
      <c r="AD163" s="18" t="s">
        <v>7982</v>
      </c>
      <c r="AE163" s="18">
        <v>656.5</v>
      </c>
      <c r="AF163" s="18" t="s">
        <v>7983</v>
      </c>
      <c r="AG163" s="18">
        <v>656.5</v>
      </c>
      <c r="AH163" s="18" t="s">
        <v>95</v>
      </c>
      <c r="AI163" s="18" t="s">
        <v>8102</v>
      </c>
      <c r="AJ163" s="18" t="s">
        <v>8103</v>
      </c>
      <c r="AK163" s="18" t="s">
        <v>95</v>
      </c>
      <c r="AL163" s="18" t="s">
        <v>95</v>
      </c>
      <c r="AM163" s="18" t="s">
        <v>95</v>
      </c>
      <c r="AN163" s="18" t="s">
        <v>7984</v>
      </c>
      <c r="AO163" s="18" t="s">
        <v>139</v>
      </c>
      <c r="AP163" s="20" t="s">
        <v>377</v>
      </c>
      <c r="AQ163" s="18" t="s">
        <v>378</v>
      </c>
      <c r="AR163" s="18" t="s">
        <v>496</v>
      </c>
      <c r="AS163" s="18">
        <v>1</v>
      </c>
      <c r="AT163" s="18" t="s">
        <v>235</v>
      </c>
      <c r="AU163" s="18" t="s">
        <v>90</v>
      </c>
      <c r="AV163" s="18" t="s">
        <v>8588</v>
      </c>
      <c r="AW163" s="18" t="s">
        <v>8589</v>
      </c>
      <c r="AX163" s="18" t="s">
        <v>83</v>
      </c>
      <c r="AY163" s="18" t="s">
        <v>95</v>
      </c>
      <c r="AZ163" s="18" t="s">
        <v>95</v>
      </c>
      <c r="BA163" s="18" t="s">
        <v>95</v>
      </c>
      <c r="BB163" s="18" t="s">
        <v>95</v>
      </c>
      <c r="BC163" s="18" t="s">
        <v>118</v>
      </c>
      <c r="BD163" s="18" t="s">
        <v>95</v>
      </c>
      <c r="BE163" s="18" t="s">
        <v>95</v>
      </c>
      <c r="BF163" s="18" t="s">
        <v>95</v>
      </c>
      <c r="BG163" s="18" t="s">
        <v>95</v>
      </c>
      <c r="BH163" s="18" t="s">
        <v>95</v>
      </c>
      <c r="BI163" s="18">
        <v>12</v>
      </c>
      <c r="BJ163" s="18">
        <v>2022</v>
      </c>
      <c r="BK163" s="18" t="s">
        <v>95</v>
      </c>
      <c r="BL163" s="18" t="s">
        <v>95</v>
      </c>
      <c r="BM163" s="18" t="s">
        <v>95</v>
      </c>
      <c r="BN163" s="18" t="s">
        <v>85</v>
      </c>
      <c r="BO163" s="18" t="s">
        <v>86</v>
      </c>
      <c r="BP163" s="18" t="s">
        <v>90</v>
      </c>
      <c r="BQ163" s="18" t="s">
        <v>8016</v>
      </c>
      <c r="BR163" s="18" t="s">
        <v>139</v>
      </c>
      <c r="BS163" s="18" t="s">
        <v>8074</v>
      </c>
      <c r="BT163" s="18" t="s">
        <v>7989</v>
      </c>
      <c r="BU163" s="18" t="s">
        <v>496</v>
      </c>
      <c r="BV163" s="18" t="str">
        <f>Terminales[[#This Row],[IMEI]]&amp;"SI"</f>
        <v>352755852301350SI</v>
      </c>
      <c r="BW163" s="18" t="str">
        <f>VLOOKUP(Terminales[[#This Row],[OFICINA_USUARIO]],[1]!Locales[#Data],3,0)</f>
        <v>TIENDA CONDADO</v>
      </c>
      <c r="BX163" s="18" t="str">
        <f>VLOOKUP(Terminales[[#This Row],[USUARIO_FINAL]],'[1]Personal Ppto vs Real'!$A:$F,6,0)</f>
        <v>MELCHIADE ISAAC VALMORE</v>
      </c>
      <c r="BY16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6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63" s="18">
        <f>DAY(Terminales[[#This Row],[FECHA_FACTURA]])</f>
        <v>8</v>
      </c>
      <c r="CB163" s="65">
        <f>IF(Terminales[[#This Row],[CANTIDAD]] = 1,INDEX([1]!Comisiones[#Data],MATCH("Terminales",[1]!Comisiones[Producto],0),MATCH(Terminales[[#This Row],[TIPO ALTA COMISIONES]],[1]!Comisiones[#Headers],0))*Terminales[[#This Row],[MONTO]],0)</f>
        <v>66.964286000000001</v>
      </c>
      <c r="CC163" s="65">
        <f>IFERROR(IF(AND(Terminales[[#This Row],[CANTIDAD]] = 1,Terminales[[#This Row],[MOVIMIENTO]] = "RENOVACION"),Terminales[[#This Row],[TARIFA_BASICA]]*0.5,),)</f>
        <v>0</v>
      </c>
      <c r="CD163" s="65">
        <f>IF('[1]Resumen TM'!$AW$20 &lt; 0.4,0,Terminales[[#This Row],[MONTO]]*0.02)</f>
        <v>13.392857200000002</v>
      </c>
      <c r="CE163" s="66">
        <f>Terminales[[#This Row],[COMISIONES TERMINALES]]+Terminales[[#This Row],[COMISIONES RENOVACIONES]]+Terminales[[#This Row],[COMISIONES BONO]]</f>
        <v>80.357143199999996</v>
      </c>
      <c r="CF163" s="67">
        <f>(Terminales[[#This Row],[COMISIONES TERMINALES]]*VLOOKUP(Terminales[[#This Row],[LOCALES]],[1]!Calendario[#Data],3,0))/VLOOKUP(Terminales[[#This Row],[LOCALES]],[1]!Calendario[#Data],2,0)</f>
        <v>110.16705116129032</v>
      </c>
      <c r="CG163" s="67">
        <f>(Terminales[[#This Row],[COMISIONES RENOVACIONES]]*VLOOKUP(Terminales[[#This Row],[LOCALES]],[1]!Calendario[#Data],3,0))/VLOOKUP(Terminales[[#This Row],[LOCALES]],[1]!Calendario[#Data],2,0)</f>
        <v>0</v>
      </c>
      <c r="CH163" s="67">
        <f>(Terminales[[#This Row],[COMISIONES BONO]]*VLOOKUP(Terminales[[#This Row],[LOCALES]],[1]!Calendario[#Data],3,0))/VLOOKUP(Terminales[[#This Row],[LOCALES]],[1]!Calendario[#Data],2,0)</f>
        <v>22.03341023225807</v>
      </c>
      <c r="CI163" s="67">
        <f>Terminales[[#This Row],[PROY. COM. TERMINALES]]+Terminales[[#This Row],[PROY. COM. RENOV.]]+Terminales[[#This Row],[PROY. COM. 2%]]</f>
        <v>132.20046139354838</v>
      </c>
    </row>
    <row r="164" spans="1:87" x14ac:dyDescent="0.25">
      <c r="A164" s="68">
        <v>44926</v>
      </c>
      <c r="B164" s="68">
        <v>44904</v>
      </c>
      <c r="C164" s="18" t="s">
        <v>291</v>
      </c>
      <c r="D164" s="18" t="s">
        <v>78</v>
      </c>
      <c r="E164" s="18" t="s">
        <v>231</v>
      </c>
      <c r="F164" s="18" t="s">
        <v>9059</v>
      </c>
      <c r="G164" s="18" t="s">
        <v>292</v>
      </c>
      <c r="H164" s="18" t="s">
        <v>494</v>
      </c>
      <c r="I164" s="18" t="s">
        <v>9060</v>
      </c>
      <c r="J164" s="18" t="s">
        <v>95</v>
      </c>
      <c r="K164" s="18" t="s">
        <v>7970</v>
      </c>
      <c r="L164" s="18" t="s">
        <v>9061</v>
      </c>
      <c r="M164" s="18" t="s">
        <v>9062</v>
      </c>
      <c r="N164" s="18" t="s">
        <v>9063</v>
      </c>
      <c r="O164" s="18" t="s">
        <v>8466</v>
      </c>
      <c r="P164" s="18" t="s">
        <v>9064</v>
      </c>
      <c r="Q164" s="18" t="s">
        <v>7975</v>
      </c>
      <c r="R164" s="18" t="s">
        <v>7976</v>
      </c>
      <c r="S164" s="18" t="s">
        <v>8045</v>
      </c>
      <c r="T164" s="18" t="s">
        <v>8457</v>
      </c>
      <c r="U164" s="18" t="s">
        <v>8100</v>
      </c>
      <c r="V164" s="18" t="s">
        <v>6963</v>
      </c>
      <c r="W164" s="18" t="s">
        <v>95</v>
      </c>
      <c r="X164" s="18" t="s">
        <v>95</v>
      </c>
      <c r="Y164" s="18" t="s">
        <v>7980</v>
      </c>
      <c r="Z164" s="18" t="s">
        <v>6996</v>
      </c>
      <c r="AA164" s="69">
        <v>1</v>
      </c>
      <c r="AB164" s="18">
        <v>558.03570999999999</v>
      </c>
      <c r="AC164" s="18" t="s">
        <v>9065</v>
      </c>
      <c r="AD164" s="18" t="s">
        <v>7982</v>
      </c>
      <c r="AE164" s="18">
        <v>550</v>
      </c>
      <c r="AF164" s="18" t="s">
        <v>7983</v>
      </c>
      <c r="AG164" s="18">
        <v>550</v>
      </c>
      <c r="AH164" s="18" t="s">
        <v>95</v>
      </c>
      <c r="AI164" s="18" t="s">
        <v>3972</v>
      </c>
      <c r="AJ164" s="18" t="s">
        <v>3973</v>
      </c>
      <c r="AK164" s="18">
        <v>26.78</v>
      </c>
      <c r="AL164" s="18" t="s">
        <v>95</v>
      </c>
      <c r="AM164" s="18" t="s">
        <v>95</v>
      </c>
      <c r="AN164" s="18" t="s">
        <v>7984</v>
      </c>
      <c r="AO164" s="18" t="s">
        <v>139</v>
      </c>
      <c r="AP164" s="20" t="s">
        <v>866</v>
      </c>
      <c r="AQ164" s="18" t="s">
        <v>867</v>
      </c>
      <c r="AR164" s="18" t="s">
        <v>496</v>
      </c>
      <c r="AS164" s="18">
        <v>1</v>
      </c>
      <c r="AT164" s="18" t="s">
        <v>138</v>
      </c>
      <c r="AU164" s="18" t="s">
        <v>90</v>
      </c>
      <c r="AV164" s="18" t="s">
        <v>8469</v>
      </c>
      <c r="AW164" s="18" t="s">
        <v>8470</v>
      </c>
      <c r="AX164" s="18" t="s">
        <v>83</v>
      </c>
      <c r="AY164" s="18" t="s">
        <v>95</v>
      </c>
      <c r="AZ164" s="18" t="s">
        <v>95</v>
      </c>
      <c r="BA164" s="18" t="s">
        <v>95</v>
      </c>
      <c r="BB164" s="18" t="s">
        <v>95</v>
      </c>
      <c r="BC164" s="18" t="s">
        <v>118</v>
      </c>
      <c r="BD164" s="18" t="s">
        <v>95</v>
      </c>
      <c r="BE164" s="18" t="s">
        <v>8560</v>
      </c>
      <c r="BF164" s="18" t="s">
        <v>8064</v>
      </c>
      <c r="BG164" s="18" t="s">
        <v>95</v>
      </c>
      <c r="BH164" s="18" t="s">
        <v>95</v>
      </c>
      <c r="BI164" s="18">
        <v>12</v>
      </c>
      <c r="BJ164" s="18">
        <v>2022</v>
      </c>
      <c r="BK164" s="18" t="s">
        <v>95</v>
      </c>
      <c r="BL164" s="18" t="s">
        <v>95</v>
      </c>
      <c r="BM164" s="18" t="s">
        <v>95</v>
      </c>
      <c r="BN164" s="18" t="s">
        <v>85</v>
      </c>
      <c r="BO164" s="18" t="s">
        <v>86</v>
      </c>
      <c r="BP164" s="18" t="s">
        <v>90</v>
      </c>
      <c r="BQ164" s="18" t="s">
        <v>7987</v>
      </c>
      <c r="BR164" s="18" t="s">
        <v>139</v>
      </c>
      <c r="BS164" s="18" t="s">
        <v>8003</v>
      </c>
      <c r="BT164" s="18" t="s">
        <v>7989</v>
      </c>
      <c r="BU164" s="18" t="s">
        <v>496</v>
      </c>
      <c r="BV164" s="18" t="str">
        <f>Terminales[[#This Row],[IMEI]]&amp;"SI"</f>
        <v>355180120282968SI</v>
      </c>
      <c r="BW164" s="18" t="str">
        <f>VLOOKUP(Terminales[[#This Row],[OFICINA_USUARIO]],[1]!Locales[#Data],3,0)</f>
        <v>TIENDA AMERICA</v>
      </c>
      <c r="BX164" s="18" t="str">
        <f>VLOOKUP(Terminales[[#This Row],[USUARIO_FINAL]],'[1]Personal Ppto vs Real'!$A:$F,6,0)</f>
        <v>ORTEGA RUIZ GABRIEL ANTONIO</v>
      </c>
      <c r="BY16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6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64" s="18">
        <f>DAY(Terminales[[#This Row],[FECHA_FACTURA]])</f>
        <v>9</v>
      </c>
      <c r="CB164" s="65">
        <f>IF(Terminales[[#This Row],[CANTIDAD]] = 1,INDEX([1]!Comisiones[#Data],MATCH("Terminales",[1]!Comisiones[Producto],0),MATCH(Terminales[[#This Row],[TIPO ALTA COMISIONES]],[1]!Comisiones[#Headers],0))*Terminales[[#This Row],[MONTO]],0)</f>
        <v>55.803571000000005</v>
      </c>
      <c r="CC164" s="65">
        <f>IFERROR(IF(AND(Terminales[[#This Row],[CANTIDAD]] = 1,Terminales[[#This Row],[MOVIMIENTO]] = "RENOVACION"),Terminales[[#This Row],[TARIFA_BASICA]]*0.5,),)</f>
        <v>13.39</v>
      </c>
      <c r="CD164" s="65">
        <f>IF('[1]Resumen TM'!$AW$20 &lt; 0.4,0,Terminales[[#This Row],[MONTO]]*0.02)</f>
        <v>11.160714199999999</v>
      </c>
      <c r="CE164" s="66">
        <f>Terminales[[#This Row],[COMISIONES TERMINALES]]+Terminales[[#This Row],[COMISIONES RENOVACIONES]]+Terminales[[#This Row],[COMISIONES BONO]]</f>
        <v>80.354285200000007</v>
      </c>
      <c r="CF164" s="67">
        <f>(Terminales[[#This Row],[COMISIONES TERMINALES]]*VLOOKUP(Terminales[[#This Row],[LOCALES]],[1]!Calendario[#Data],3,0))/VLOOKUP(Terminales[[#This Row],[LOCALES]],[1]!Calendario[#Data],2,0)</f>
        <v>91.677295214285735</v>
      </c>
      <c r="CG164" s="67">
        <f>(Terminales[[#This Row],[COMISIONES RENOVACIONES]]*VLOOKUP(Terminales[[#This Row],[LOCALES]],[1]!Calendario[#Data],3,0))/VLOOKUP(Terminales[[#This Row],[LOCALES]],[1]!Calendario[#Data],2,0)</f>
        <v>21.997857142857146</v>
      </c>
      <c r="CH164" s="67">
        <f>(Terminales[[#This Row],[COMISIONES BONO]]*VLOOKUP(Terminales[[#This Row],[LOCALES]],[1]!Calendario[#Data],3,0))/VLOOKUP(Terminales[[#This Row],[LOCALES]],[1]!Calendario[#Data],2,0)</f>
        <v>18.335459042857142</v>
      </c>
      <c r="CI164" s="67">
        <f>Terminales[[#This Row],[PROY. COM. TERMINALES]]+Terminales[[#This Row],[PROY. COM. RENOV.]]+Terminales[[#This Row],[PROY. COM. 2%]]</f>
        <v>132.01061140000002</v>
      </c>
    </row>
    <row r="165" spans="1:87" x14ac:dyDescent="0.25">
      <c r="A165" s="68">
        <v>44926</v>
      </c>
      <c r="B165" s="68">
        <v>44904</v>
      </c>
      <c r="C165" s="18" t="s">
        <v>291</v>
      </c>
      <c r="D165" s="18" t="s">
        <v>78</v>
      </c>
      <c r="E165" s="18" t="s">
        <v>1532</v>
      </c>
      <c r="F165" s="18" t="s">
        <v>9066</v>
      </c>
      <c r="G165" s="18" t="s">
        <v>292</v>
      </c>
      <c r="H165" s="18" t="s">
        <v>293</v>
      </c>
      <c r="I165" s="18" t="s">
        <v>9067</v>
      </c>
      <c r="J165" s="18" t="s">
        <v>95</v>
      </c>
      <c r="K165" s="18" t="s">
        <v>7970</v>
      </c>
      <c r="L165" s="18" t="s">
        <v>9068</v>
      </c>
      <c r="M165" s="18" t="s">
        <v>9069</v>
      </c>
      <c r="N165" s="18" t="s">
        <v>9070</v>
      </c>
      <c r="O165" s="18" t="s">
        <v>4380</v>
      </c>
      <c r="P165" s="18" t="s">
        <v>9071</v>
      </c>
      <c r="Q165" s="18" t="s">
        <v>7975</v>
      </c>
      <c r="R165" s="18" t="s">
        <v>7976</v>
      </c>
      <c r="S165" s="18" t="s">
        <v>7994</v>
      </c>
      <c r="T165" s="18" t="s">
        <v>7995</v>
      </c>
      <c r="U165" s="18" t="s">
        <v>7996</v>
      </c>
      <c r="V165" s="18" t="s">
        <v>6963</v>
      </c>
      <c r="W165" s="18" t="s">
        <v>95</v>
      </c>
      <c r="X165" s="18" t="s">
        <v>95</v>
      </c>
      <c r="Y165" s="18" t="s">
        <v>7980</v>
      </c>
      <c r="Z165" s="18" t="s">
        <v>6996</v>
      </c>
      <c r="AA165" s="69">
        <v>1</v>
      </c>
      <c r="AB165" s="18">
        <v>169.64286000000001</v>
      </c>
      <c r="AC165" s="18" t="s">
        <v>9072</v>
      </c>
      <c r="AD165" s="18" t="s">
        <v>7982</v>
      </c>
      <c r="AE165" s="18">
        <v>102</v>
      </c>
      <c r="AF165" s="18" t="s">
        <v>7983</v>
      </c>
      <c r="AG165" s="18">
        <v>102</v>
      </c>
      <c r="AH165" s="18" t="s">
        <v>95</v>
      </c>
      <c r="AI165" s="18" t="s">
        <v>574</v>
      </c>
      <c r="AJ165" s="18" t="s">
        <v>575</v>
      </c>
      <c r="AK165" s="18">
        <v>17.850000000000001</v>
      </c>
      <c r="AL165" s="18" t="s">
        <v>95</v>
      </c>
      <c r="AM165" s="18" t="s">
        <v>95</v>
      </c>
      <c r="AN165" s="18" t="s">
        <v>7984</v>
      </c>
      <c r="AO165" s="18" t="s">
        <v>139</v>
      </c>
      <c r="AP165" s="20" t="s">
        <v>404</v>
      </c>
      <c r="AQ165" s="18" t="s">
        <v>405</v>
      </c>
      <c r="AR165" s="18" t="s">
        <v>295</v>
      </c>
      <c r="AS165" s="18">
        <v>12</v>
      </c>
      <c r="AT165" s="18" t="s">
        <v>177</v>
      </c>
      <c r="AU165" s="18" t="s">
        <v>90</v>
      </c>
      <c r="AV165" s="18" t="s">
        <v>7998</v>
      </c>
      <c r="AW165" s="18" t="s">
        <v>7999</v>
      </c>
      <c r="AX165" s="18" t="s">
        <v>83</v>
      </c>
      <c r="AY165" s="18" t="s">
        <v>95</v>
      </c>
      <c r="AZ165" s="18" t="s">
        <v>95</v>
      </c>
      <c r="BA165" s="18" t="s">
        <v>95</v>
      </c>
      <c r="BB165" s="18" t="s">
        <v>95</v>
      </c>
      <c r="BC165" s="18" t="s">
        <v>84</v>
      </c>
      <c r="BD165" s="18">
        <v>34</v>
      </c>
      <c r="BE165" s="18" t="s">
        <v>95</v>
      </c>
      <c r="BF165" s="18" t="s">
        <v>95</v>
      </c>
      <c r="BG165" s="18" t="s">
        <v>95</v>
      </c>
      <c r="BH165" s="18" t="s">
        <v>95</v>
      </c>
      <c r="BI165" s="18">
        <v>12</v>
      </c>
      <c r="BJ165" s="18">
        <v>2022</v>
      </c>
      <c r="BK165" s="18" t="s">
        <v>95</v>
      </c>
      <c r="BL165" s="18" t="s">
        <v>95</v>
      </c>
      <c r="BM165" s="18" t="s">
        <v>95</v>
      </c>
      <c r="BN165" s="18" t="s">
        <v>85</v>
      </c>
      <c r="BO165" s="18" t="s">
        <v>86</v>
      </c>
      <c r="BP165" s="18" t="s">
        <v>90</v>
      </c>
      <c r="BQ165" s="18" t="s">
        <v>8002</v>
      </c>
      <c r="BR165" s="18" t="s">
        <v>139</v>
      </c>
      <c r="BS165" s="18" t="s">
        <v>7988</v>
      </c>
      <c r="BT165" s="18" t="s">
        <v>7989</v>
      </c>
      <c r="BU165" s="18" t="s">
        <v>7990</v>
      </c>
      <c r="BV165" s="18" t="str">
        <f>Terminales[[#This Row],[IMEI]]&amp;"SI"</f>
        <v>357321213173742SI</v>
      </c>
      <c r="BW165" s="18" t="str">
        <f>VLOOKUP(Terminales[[#This Row],[OFICINA_USUARIO]],[1]!Locales[#Data],3,0)</f>
        <v>TIENDA RECREO</v>
      </c>
      <c r="BX165" s="18" t="str">
        <f>VLOOKUP(Terminales[[#This Row],[USUARIO_FINAL]],'[1]Personal Ppto vs Real'!$A:$F,6,0)</f>
        <v>OTERO YEPEZ ANDREA SOLEDAD</v>
      </c>
      <c r="BY16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6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65" s="18">
        <f>DAY(Terminales[[#This Row],[FECHA_FACTURA]])</f>
        <v>9</v>
      </c>
      <c r="CB165" s="65">
        <f>IF(Terminales[[#This Row],[CANTIDAD]] = 1,INDEX([1]!Comisiones[#Data],MATCH("Terminales",[1]!Comisiones[Producto],0),MATCH(Terminales[[#This Row],[TIPO ALTA COMISIONES]],[1]!Comisiones[#Headers],0))*Terminales[[#This Row],[MONTO]],0)</f>
        <v>10.1785716</v>
      </c>
      <c r="CC165" s="65">
        <f>IFERROR(IF(AND(Terminales[[#This Row],[CANTIDAD]] = 1,Terminales[[#This Row],[MOVIMIENTO]] = "RENOVACION"),Terminales[[#This Row],[TARIFA_BASICA]]*0.5,),)</f>
        <v>8.9250000000000007</v>
      </c>
      <c r="CD165" s="65">
        <f>IF('[1]Resumen TM'!$AW$20 &lt; 0.4,0,Terminales[[#This Row],[MONTO]]*0.02)</f>
        <v>3.3928572000000004</v>
      </c>
      <c r="CE165" s="66">
        <f>Terminales[[#This Row],[COMISIONES TERMINALES]]+Terminales[[#This Row],[COMISIONES RENOVACIONES]]+Terminales[[#This Row],[COMISIONES BONO]]</f>
        <v>22.496428800000004</v>
      </c>
      <c r="CF165" s="67">
        <f>(Terminales[[#This Row],[COMISIONES TERMINALES]]*VLOOKUP(Terminales[[#This Row],[LOCALES]],[1]!Calendario[#Data],3,0))/VLOOKUP(Terminales[[#This Row],[LOCALES]],[1]!Calendario[#Data],2,0)</f>
        <v>16.745391987096774</v>
      </c>
      <c r="CG165" s="67">
        <f>(Terminales[[#This Row],[COMISIONES RENOVACIONES]]*VLOOKUP(Terminales[[#This Row],[LOCALES]],[1]!Calendario[#Data],3,0))/VLOOKUP(Terminales[[#This Row],[LOCALES]],[1]!Calendario[#Data],2,0)</f>
        <v>14.683064516129033</v>
      </c>
      <c r="CH165" s="67">
        <f>(Terminales[[#This Row],[COMISIONES BONO]]*VLOOKUP(Terminales[[#This Row],[LOCALES]],[1]!Calendario[#Data],3,0))/VLOOKUP(Terminales[[#This Row],[LOCALES]],[1]!Calendario[#Data],2,0)</f>
        <v>5.5817973290322591</v>
      </c>
      <c r="CI165" s="67">
        <f>Terminales[[#This Row],[PROY. COM. TERMINALES]]+Terminales[[#This Row],[PROY. COM. RENOV.]]+Terminales[[#This Row],[PROY. COM. 2%]]</f>
        <v>37.010253832258066</v>
      </c>
    </row>
    <row r="166" spans="1:87" x14ac:dyDescent="0.25">
      <c r="A166" s="68">
        <v>44926</v>
      </c>
      <c r="B166" s="68">
        <v>44904</v>
      </c>
      <c r="C166" s="18" t="s">
        <v>291</v>
      </c>
      <c r="D166" s="18" t="s">
        <v>78</v>
      </c>
      <c r="E166" s="18" t="s">
        <v>1378</v>
      </c>
      <c r="F166" s="18" t="s">
        <v>9073</v>
      </c>
      <c r="G166" s="18" t="s">
        <v>292</v>
      </c>
      <c r="H166" s="18" t="s">
        <v>293</v>
      </c>
      <c r="I166" s="18" t="s">
        <v>9074</v>
      </c>
      <c r="J166" s="18" t="s">
        <v>95</v>
      </c>
      <c r="K166" s="18" t="s">
        <v>7970</v>
      </c>
      <c r="L166" s="18" t="s">
        <v>9075</v>
      </c>
      <c r="M166" s="18" t="s">
        <v>9076</v>
      </c>
      <c r="N166" s="18" t="s">
        <v>9077</v>
      </c>
      <c r="O166" s="18" t="s">
        <v>1691</v>
      </c>
      <c r="P166" s="18" t="s">
        <v>9078</v>
      </c>
      <c r="Q166" s="18" t="s">
        <v>7975</v>
      </c>
      <c r="R166" s="18" t="s">
        <v>7976</v>
      </c>
      <c r="S166" s="18" t="s">
        <v>8045</v>
      </c>
      <c r="T166" s="18" t="s">
        <v>8225</v>
      </c>
      <c r="U166" s="18" t="s">
        <v>8012</v>
      </c>
      <c r="V166" s="18" t="s">
        <v>6963</v>
      </c>
      <c r="W166" s="18" t="s">
        <v>95</v>
      </c>
      <c r="X166" s="18" t="s">
        <v>95</v>
      </c>
      <c r="Y166" s="18" t="s">
        <v>7980</v>
      </c>
      <c r="Z166" s="18" t="s">
        <v>6996</v>
      </c>
      <c r="AA166" s="69">
        <v>1</v>
      </c>
      <c r="AB166" s="18">
        <v>375</v>
      </c>
      <c r="AC166" s="18" t="s">
        <v>9079</v>
      </c>
      <c r="AD166" s="18" t="s">
        <v>7982</v>
      </c>
      <c r="AE166" s="18">
        <v>232</v>
      </c>
      <c r="AF166" s="18" t="s">
        <v>7983</v>
      </c>
      <c r="AG166" s="18">
        <v>232</v>
      </c>
      <c r="AH166" s="18" t="s">
        <v>95</v>
      </c>
      <c r="AI166" s="18" t="s">
        <v>7127</v>
      </c>
      <c r="AJ166" s="18" t="s">
        <v>7128</v>
      </c>
      <c r="AK166" s="18">
        <v>13.79</v>
      </c>
      <c r="AL166" s="18" t="s">
        <v>95</v>
      </c>
      <c r="AM166" s="18" t="s">
        <v>95</v>
      </c>
      <c r="AN166" s="18" t="s">
        <v>7984</v>
      </c>
      <c r="AO166" s="18" t="s">
        <v>139</v>
      </c>
      <c r="AP166" s="20" t="s">
        <v>262</v>
      </c>
      <c r="AQ166" s="18" t="s">
        <v>263</v>
      </c>
      <c r="AR166" s="18" t="s">
        <v>295</v>
      </c>
      <c r="AS166" s="18">
        <v>12</v>
      </c>
      <c r="AT166" s="18" t="s">
        <v>177</v>
      </c>
      <c r="AU166" s="18" t="s">
        <v>90</v>
      </c>
      <c r="AV166" s="18" t="s">
        <v>8228</v>
      </c>
      <c r="AW166" s="18" t="s">
        <v>8229</v>
      </c>
      <c r="AX166" s="18" t="s">
        <v>83</v>
      </c>
      <c r="AY166" s="18" t="s">
        <v>95</v>
      </c>
      <c r="AZ166" s="18" t="s">
        <v>95</v>
      </c>
      <c r="BA166" s="18" t="s">
        <v>95</v>
      </c>
      <c r="BB166" s="18" t="s">
        <v>95</v>
      </c>
      <c r="BC166" s="18" t="s">
        <v>84</v>
      </c>
      <c r="BD166" s="18">
        <v>75</v>
      </c>
      <c r="BE166" s="18" t="s">
        <v>95</v>
      </c>
      <c r="BF166" s="18" t="s">
        <v>95</v>
      </c>
      <c r="BG166" s="18" t="s">
        <v>95</v>
      </c>
      <c r="BH166" s="18" t="s">
        <v>95</v>
      </c>
      <c r="BI166" s="18">
        <v>12</v>
      </c>
      <c r="BJ166" s="18">
        <v>2022</v>
      </c>
      <c r="BK166" s="18" t="s">
        <v>95</v>
      </c>
      <c r="BL166" s="18" t="s">
        <v>95</v>
      </c>
      <c r="BM166" s="18" t="s">
        <v>95</v>
      </c>
      <c r="BN166" s="18" t="s">
        <v>85</v>
      </c>
      <c r="BO166" s="18" t="s">
        <v>86</v>
      </c>
      <c r="BP166" s="18" t="s">
        <v>90</v>
      </c>
      <c r="BQ166" s="18" t="s">
        <v>8002</v>
      </c>
      <c r="BR166" s="18" t="s">
        <v>139</v>
      </c>
      <c r="BS166" s="18" t="s">
        <v>7988</v>
      </c>
      <c r="BT166" s="18" t="s">
        <v>7989</v>
      </c>
      <c r="BU166" s="18" t="s">
        <v>7990</v>
      </c>
      <c r="BV166" s="18" t="str">
        <f>Terminales[[#This Row],[IMEI]]&amp;"SI"</f>
        <v>356795951374037SI</v>
      </c>
      <c r="BW166" s="18" t="str">
        <f>VLOOKUP(Terminales[[#This Row],[OFICINA_USUARIO]],[1]!Locales[#Data],3,0)</f>
        <v>TIENDA RECREO</v>
      </c>
      <c r="BX166" s="18" t="str">
        <f>VLOOKUP(Terminales[[#This Row],[USUARIO_FINAL]],'[1]Personal Ppto vs Real'!$A:$F,6,0)</f>
        <v>CHICAIZA TOAPANTA ALEX DANILO</v>
      </c>
      <c r="BY16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6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66" s="18">
        <f>DAY(Terminales[[#This Row],[FECHA_FACTURA]])</f>
        <v>9</v>
      </c>
      <c r="CB166" s="65">
        <f>IF(Terminales[[#This Row],[CANTIDAD]] = 1,INDEX([1]!Comisiones[#Data],MATCH("Terminales",[1]!Comisiones[Producto],0),MATCH(Terminales[[#This Row],[TIPO ALTA COMISIONES]],[1]!Comisiones[#Headers],0))*Terminales[[#This Row],[MONTO]],0)</f>
        <v>22.5</v>
      </c>
      <c r="CC166" s="65">
        <f>IFERROR(IF(AND(Terminales[[#This Row],[CANTIDAD]] = 1,Terminales[[#This Row],[MOVIMIENTO]] = "RENOVACION"),Terminales[[#This Row],[TARIFA_BASICA]]*0.5,),)</f>
        <v>6.8949999999999996</v>
      </c>
      <c r="CD166" s="65">
        <f>IF('[1]Resumen TM'!$AW$20 &lt; 0.4,0,Terminales[[#This Row],[MONTO]]*0.02)</f>
        <v>7.5</v>
      </c>
      <c r="CE166" s="66">
        <f>Terminales[[#This Row],[COMISIONES TERMINALES]]+Terminales[[#This Row],[COMISIONES RENOVACIONES]]+Terminales[[#This Row],[COMISIONES BONO]]</f>
        <v>36.894999999999996</v>
      </c>
      <c r="CF166" s="67">
        <f>(Terminales[[#This Row],[COMISIONES TERMINALES]]*VLOOKUP(Terminales[[#This Row],[LOCALES]],[1]!Calendario[#Data],3,0))/VLOOKUP(Terminales[[#This Row],[LOCALES]],[1]!Calendario[#Data],2,0)</f>
        <v>37.016129032258064</v>
      </c>
      <c r="CG166" s="67">
        <f>(Terminales[[#This Row],[COMISIONES RENOVACIONES]]*VLOOKUP(Terminales[[#This Row],[LOCALES]],[1]!Calendario[#Data],3,0))/VLOOKUP(Terminales[[#This Row],[LOCALES]],[1]!Calendario[#Data],2,0)</f>
        <v>11.343387096774192</v>
      </c>
      <c r="CH166" s="67">
        <f>(Terminales[[#This Row],[COMISIONES BONO]]*VLOOKUP(Terminales[[#This Row],[LOCALES]],[1]!Calendario[#Data],3,0))/VLOOKUP(Terminales[[#This Row],[LOCALES]],[1]!Calendario[#Data],2,0)</f>
        <v>12.338709677419354</v>
      </c>
      <c r="CI166" s="67">
        <f>Terminales[[#This Row],[PROY. COM. TERMINALES]]+Terminales[[#This Row],[PROY. COM. RENOV.]]+Terminales[[#This Row],[PROY. COM. 2%]]</f>
        <v>60.69822580645161</v>
      </c>
    </row>
    <row r="167" spans="1:87" x14ac:dyDescent="0.25">
      <c r="A167" s="68">
        <v>44926</v>
      </c>
      <c r="B167" s="68">
        <v>44904</v>
      </c>
      <c r="C167" s="18" t="s">
        <v>291</v>
      </c>
      <c r="D167" s="18" t="s">
        <v>78</v>
      </c>
      <c r="E167" s="18" t="s">
        <v>2241</v>
      </c>
      <c r="F167" s="18" t="s">
        <v>9080</v>
      </c>
      <c r="G167" s="18" t="s">
        <v>292</v>
      </c>
      <c r="H167" s="18" t="s">
        <v>494</v>
      </c>
      <c r="I167" s="18" t="s">
        <v>9081</v>
      </c>
      <c r="J167" s="18" t="s">
        <v>95</v>
      </c>
      <c r="K167" s="18" t="s">
        <v>7970</v>
      </c>
      <c r="L167" s="18" t="s">
        <v>6194</v>
      </c>
      <c r="M167" s="18" t="s">
        <v>6195</v>
      </c>
      <c r="N167" s="18" t="s">
        <v>6196</v>
      </c>
      <c r="O167" s="18" t="s">
        <v>1881</v>
      </c>
      <c r="P167" s="18" t="s">
        <v>9082</v>
      </c>
      <c r="Q167" s="18" t="s">
        <v>7975</v>
      </c>
      <c r="R167" s="18" t="s">
        <v>7976</v>
      </c>
      <c r="S167" s="18" t="s">
        <v>8070</v>
      </c>
      <c r="T167" s="18" t="s">
        <v>8397</v>
      </c>
      <c r="U167" s="18" t="s">
        <v>8012</v>
      </c>
      <c r="V167" s="18" t="s">
        <v>6963</v>
      </c>
      <c r="W167" s="18" t="s">
        <v>95</v>
      </c>
      <c r="X167" s="18" t="s">
        <v>95</v>
      </c>
      <c r="Y167" s="18" t="s">
        <v>7980</v>
      </c>
      <c r="Z167" s="18" t="s">
        <v>6996</v>
      </c>
      <c r="AA167" s="69">
        <v>1</v>
      </c>
      <c r="AB167" s="18">
        <v>200.89286000000001</v>
      </c>
      <c r="AC167" s="18" t="s">
        <v>9083</v>
      </c>
      <c r="AD167" s="18" t="s">
        <v>7982</v>
      </c>
      <c r="AE167" s="18">
        <v>173.7</v>
      </c>
      <c r="AF167" s="18" t="s">
        <v>7983</v>
      </c>
      <c r="AG167" s="18">
        <v>173.7</v>
      </c>
      <c r="AH167" s="18" t="s">
        <v>95</v>
      </c>
      <c r="AI167" s="18" t="s">
        <v>71</v>
      </c>
      <c r="AJ167" s="18" t="s">
        <v>258</v>
      </c>
      <c r="AK167" s="18">
        <v>11.42</v>
      </c>
      <c r="AL167" s="18" t="s">
        <v>95</v>
      </c>
      <c r="AM167" s="18" t="s">
        <v>95</v>
      </c>
      <c r="AN167" s="18" t="s">
        <v>7984</v>
      </c>
      <c r="AO167" s="18" t="s">
        <v>139</v>
      </c>
      <c r="AP167" s="20" t="s">
        <v>665</v>
      </c>
      <c r="AQ167" s="18" t="s">
        <v>666</v>
      </c>
      <c r="AR167" s="18" t="s">
        <v>496</v>
      </c>
      <c r="AS167" s="18">
        <v>1</v>
      </c>
      <c r="AT167" s="18" t="s">
        <v>138</v>
      </c>
      <c r="AU167" s="18" t="s">
        <v>90</v>
      </c>
      <c r="AV167" s="18" t="s">
        <v>8399</v>
      </c>
      <c r="AW167" s="18" t="s">
        <v>8400</v>
      </c>
      <c r="AX167" s="18" t="s">
        <v>83</v>
      </c>
      <c r="AY167" s="18" t="s">
        <v>95</v>
      </c>
      <c r="AZ167" s="18" t="s">
        <v>95</v>
      </c>
      <c r="BA167" s="18" t="s">
        <v>95</v>
      </c>
      <c r="BB167" s="18" t="s">
        <v>95</v>
      </c>
      <c r="BC167" s="18" t="s">
        <v>84</v>
      </c>
      <c r="BD167" s="18" t="s">
        <v>95</v>
      </c>
      <c r="BE167" s="18" t="s">
        <v>8476</v>
      </c>
      <c r="BF167" s="18" t="s">
        <v>8064</v>
      </c>
      <c r="BG167" s="18" t="s">
        <v>95</v>
      </c>
      <c r="BH167" s="18" t="s">
        <v>95</v>
      </c>
      <c r="BI167" s="18">
        <v>12</v>
      </c>
      <c r="BJ167" s="18">
        <v>2022</v>
      </c>
      <c r="BK167" s="18" t="s">
        <v>95</v>
      </c>
      <c r="BL167" s="18" t="s">
        <v>95</v>
      </c>
      <c r="BM167" s="18" t="s">
        <v>95</v>
      </c>
      <c r="BN167" s="18" t="s">
        <v>85</v>
      </c>
      <c r="BO167" s="18" t="s">
        <v>86</v>
      </c>
      <c r="BP167" s="18" t="s">
        <v>90</v>
      </c>
      <c r="BQ167" s="18" t="s">
        <v>7987</v>
      </c>
      <c r="BR167" s="18" t="s">
        <v>139</v>
      </c>
      <c r="BS167" s="18" t="s">
        <v>8003</v>
      </c>
      <c r="BT167" s="18" t="s">
        <v>7989</v>
      </c>
      <c r="BU167" s="18" t="s">
        <v>496</v>
      </c>
      <c r="BV167" s="18" t="str">
        <f>Terminales[[#This Row],[IMEI]]&amp;"SI"</f>
        <v>864050068809128SI</v>
      </c>
      <c r="BW167" s="18" t="str">
        <f>VLOOKUP(Terminales[[#This Row],[OFICINA_USUARIO]],[1]!Locales[#Data],3,0)</f>
        <v>TIENDA AMERICA</v>
      </c>
      <c r="BX167" s="18" t="str">
        <f>VLOOKUP(Terminales[[#This Row],[USUARIO_FINAL]],'[1]Personal Ppto vs Real'!$A:$F,6,0)</f>
        <v>ROSERO CAICEDO JAIRO STEFANO</v>
      </c>
      <c r="BY16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6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67" s="18">
        <f>DAY(Terminales[[#This Row],[FECHA_FACTURA]])</f>
        <v>9</v>
      </c>
      <c r="CB167" s="65">
        <f>IF(Terminales[[#This Row],[CANTIDAD]] = 1,INDEX([1]!Comisiones[#Data],MATCH("Terminales",[1]!Comisiones[Producto],0),MATCH(Terminales[[#This Row],[TIPO ALTA COMISIONES]],[1]!Comisiones[#Headers],0))*Terminales[[#This Row],[MONTO]],0)</f>
        <v>20.089286000000001</v>
      </c>
      <c r="CC167" s="65">
        <f>IFERROR(IF(AND(Terminales[[#This Row],[CANTIDAD]] = 1,Terminales[[#This Row],[MOVIMIENTO]] = "RENOVACION"),Terminales[[#This Row],[TARIFA_BASICA]]*0.5,),)</f>
        <v>5.71</v>
      </c>
      <c r="CD167" s="65">
        <f>IF('[1]Resumen TM'!$AW$20 &lt; 0.4,0,Terminales[[#This Row],[MONTO]]*0.02)</f>
        <v>4.0178571999999999</v>
      </c>
      <c r="CE167" s="66">
        <f>Terminales[[#This Row],[COMISIONES TERMINALES]]+Terminales[[#This Row],[COMISIONES RENOVACIONES]]+Terminales[[#This Row],[COMISIONES BONO]]</f>
        <v>29.817143200000004</v>
      </c>
      <c r="CF167" s="67">
        <f>(Terminales[[#This Row],[COMISIONES TERMINALES]]*VLOOKUP(Terminales[[#This Row],[LOCALES]],[1]!Calendario[#Data],3,0))/VLOOKUP(Terminales[[#This Row],[LOCALES]],[1]!Calendario[#Data],2,0)</f>
        <v>33.003827000000001</v>
      </c>
      <c r="CG167" s="67">
        <f>(Terminales[[#This Row],[COMISIONES RENOVACIONES]]*VLOOKUP(Terminales[[#This Row],[LOCALES]],[1]!Calendario[#Data],3,0))/VLOOKUP(Terminales[[#This Row],[LOCALES]],[1]!Calendario[#Data],2,0)</f>
        <v>9.3807142857142871</v>
      </c>
      <c r="CH167" s="67">
        <f>(Terminales[[#This Row],[COMISIONES BONO]]*VLOOKUP(Terminales[[#This Row],[LOCALES]],[1]!Calendario[#Data],3,0))/VLOOKUP(Terminales[[#This Row],[LOCALES]],[1]!Calendario[#Data],2,0)</f>
        <v>6.6007654000000002</v>
      </c>
      <c r="CI167" s="67">
        <f>Terminales[[#This Row],[PROY. COM. TERMINALES]]+Terminales[[#This Row],[PROY. COM. RENOV.]]+Terminales[[#This Row],[PROY. COM. 2%]]</f>
        <v>48.985306685714292</v>
      </c>
    </row>
    <row r="168" spans="1:87" x14ac:dyDescent="0.25">
      <c r="A168" s="68">
        <v>44926</v>
      </c>
      <c r="B168" s="68">
        <v>44904</v>
      </c>
      <c r="C168" s="18" t="s">
        <v>96</v>
      </c>
      <c r="D168" s="18" t="s">
        <v>96</v>
      </c>
      <c r="E168" s="18" t="s">
        <v>96</v>
      </c>
      <c r="F168" s="18" t="s">
        <v>9084</v>
      </c>
      <c r="G168" s="18" t="s">
        <v>292</v>
      </c>
      <c r="H168" s="18" t="s">
        <v>494</v>
      </c>
      <c r="I168" s="18" t="s">
        <v>9085</v>
      </c>
      <c r="J168" s="18" t="s">
        <v>95</v>
      </c>
      <c r="K168" s="18" t="s">
        <v>7970</v>
      </c>
      <c r="L168" s="18" t="s">
        <v>9086</v>
      </c>
      <c r="M168" s="18" t="s">
        <v>9087</v>
      </c>
      <c r="N168" s="18" t="s">
        <v>9088</v>
      </c>
      <c r="O168" s="18" t="s">
        <v>4907</v>
      </c>
      <c r="P168" s="18" t="s">
        <v>9089</v>
      </c>
      <c r="Q168" s="18" t="s">
        <v>7975</v>
      </c>
      <c r="R168" s="18" t="s">
        <v>7976</v>
      </c>
      <c r="S168" s="18" t="s">
        <v>8045</v>
      </c>
      <c r="T168" s="18" t="s">
        <v>8099</v>
      </c>
      <c r="U168" s="18" t="s">
        <v>8100</v>
      </c>
      <c r="V168" s="18" t="s">
        <v>6963</v>
      </c>
      <c r="W168" s="18" t="s">
        <v>95</v>
      </c>
      <c r="X168" s="18" t="s">
        <v>95</v>
      </c>
      <c r="Y168" s="18" t="s">
        <v>7980</v>
      </c>
      <c r="Z168" s="18" t="s">
        <v>6996</v>
      </c>
      <c r="AA168" s="69">
        <v>1</v>
      </c>
      <c r="AB168" s="18">
        <v>406.25</v>
      </c>
      <c r="AC168" s="18" t="s">
        <v>9090</v>
      </c>
      <c r="AD168" s="18" t="s">
        <v>7982</v>
      </c>
      <c r="AE168" s="18">
        <v>397</v>
      </c>
      <c r="AF168" s="18" t="s">
        <v>7983</v>
      </c>
      <c r="AG168" s="18">
        <v>397</v>
      </c>
      <c r="AH168" s="18" t="s">
        <v>95</v>
      </c>
      <c r="AI168" s="18" t="s">
        <v>8102</v>
      </c>
      <c r="AJ168" s="18" t="s">
        <v>8103</v>
      </c>
      <c r="AK168" s="18" t="s">
        <v>95</v>
      </c>
      <c r="AL168" s="18" t="s">
        <v>95</v>
      </c>
      <c r="AM168" s="18" t="s">
        <v>95</v>
      </c>
      <c r="AN168" s="18" t="s">
        <v>7984</v>
      </c>
      <c r="AO168" s="18" t="s">
        <v>92</v>
      </c>
      <c r="AP168" s="20" t="s">
        <v>120</v>
      </c>
      <c r="AQ168" s="18" t="s">
        <v>121</v>
      </c>
      <c r="AR168" s="18" t="s">
        <v>496</v>
      </c>
      <c r="AS168" s="18">
        <v>1</v>
      </c>
      <c r="AT168" s="18" t="s">
        <v>122</v>
      </c>
      <c r="AU168" s="18" t="s">
        <v>90</v>
      </c>
      <c r="AV168" s="18" t="s">
        <v>8660</v>
      </c>
      <c r="AW168" s="18" t="s">
        <v>8661</v>
      </c>
      <c r="AX168" s="18" t="s">
        <v>83</v>
      </c>
      <c r="AY168" s="18" t="s">
        <v>95</v>
      </c>
      <c r="AZ168" s="18" t="s">
        <v>95</v>
      </c>
      <c r="BA168" s="18" t="s">
        <v>95</v>
      </c>
      <c r="BB168" s="18" t="s">
        <v>95</v>
      </c>
      <c r="BC168" s="18" t="s">
        <v>118</v>
      </c>
      <c r="BD168" s="18" t="s">
        <v>95</v>
      </c>
      <c r="BE168" s="18" t="s">
        <v>8767</v>
      </c>
      <c r="BF168" s="18" t="s">
        <v>8171</v>
      </c>
      <c r="BG168" s="18" t="s">
        <v>95</v>
      </c>
      <c r="BH168" s="18" t="s">
        <v>95</v>
      </c>
      <c r="BI168" s="18">
        <v>12</v>
      </c>
      <c r="BJ168" s="18">
        <v>2022</v>
      </c>
      <c r="BK168" s="18" t="s">
        <v>95</v>
      </c>
      <c r="BL168" s="18" t="s">
        <v>95</v>
      </c>
      <c r="BM168" s="18" t="s">
        <v>95</v>
      </c>
      <c r="BN168" s="18" t="s">
        <v>85</v>
      </c>
      <c r="BO168" s="18" t="s">
        <v>86</v>
      </c>
      <c r="BP168" s="18" t="s">
        <v>90</v>
      </c>
      <c r="BQ168" s="18" t="s">
        <v>8050</v>
      </c>
      <c r="BR168" s="18" t="s">
        <v>92</v>
      </c>
      <c r="BS168" s="18" t="s">
        <v>8003</v>
      </c>
      <c r="BT168" s="18" t="s">
        <v>7989</v>
      </c>
      <c r="BU168" s="18" t="s">
        <v>496</v>
      </c>
      <c r="BV168" s="18" t="str">
        <f>Terminales[[#This Row],[IMEI]]&amp;"SI"</f>
        <v>353842194893275SI</v>
      </c>
      <c r="BW168" s="18" t="str">
        <f>VLOOKUP(Terminales[[#This Row],[OFICINA_USUARIO]],[1]!Locales[#Data],3,0)</f>
        <v>TIENDA MACHALA</v>
      </c>
      <c r="BX168" s="18" t="str">
        <f>VLOOKUP(Terminales[[#This Row],[USUARIO_FINAL]],'[1]Personal Ppto vs Real'!$A:$F,6,0)</f>
        <v>ARROBO VICENTE YADIRA ESPERANZA</v>
      </c>
      <c r="BY16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6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68" s="18">
        <f>DAY(Terminales[[#This Row],[FECHA_FACTURA]])</f>
        <v>9</v>
      </c>
      <c r="CB168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168" s="65">
        <f>IFERROR(IF(AND(Terminales[[#This Row],[CANTIDAD]] = 1,Terminales[[#This Row],[MOVIMIENTO]] = "RENOVACION"),Terminales[[#This Row],[TARIFA_BASICA]]*0.5,),)</f>
        <v>0</v>
      </c>
      <c r="CD168" s="65">
        <f>IF('[1]Resumen TM'!$AW$20 &lt; 0.4,0,Terminales[[#This Row],[MONTO]]*0.02)</f>
        <v>8.125</v>
      </c>
      <c r="CE168" s="66">
        <f>Terminales[[#This Row],[COMISIONES TERMINALES]]+Terminales[[#This Row],[COMISIONES RENOVACIONES]]+Terminales[[#This Row],[COMISIONES BONO]]</f>
        <v>48.75</v>
      </c>
      <c r="CF168" s="67">
        <f>(Terminales[[#This Row],[COMISIONES TERMINALES]]*VLOOKUP(Terminales[[#This Row],[LOCALES]],[1]!Calendario[#Data],3,0))/VLOOKUP(Terminales[[#This Row],[LOCALES]],[1]!Calendario[#Data],2,0)</f>
        <v>65.840517241379317</v>
      </c>
      <c r="CG168" s="67">
        <f>(Terminales[[#This Row],[COMISIONES RENOVACIONES]]*VLOOKUP(Terminales[[#This Row],[LOCALES]],[1]!Calendario[#Data],3,0))/VLOOKUP(Terminales[[#This Row],[LOCALES]],[1]!Calendario[#Data],2,0)</f>
        <v>0</v>
      </c>
      <c r="CH168" s="67">
        <f>(Terminales[[#This Row],[COMISIONES BONO]]*VLOOKUP(Terminales[[#This Row],[LOCALES]],[1]!Calendario[#Data],3,0))/VLOOKUP(Terminales[[#This Row],[LOCALES]],[1]!Calendario[#Data],2,0)</f>
        <v>13.168103448275861</v>
      </c>
      <c r="CI168" s="67">
        <f>Terminales[[#This Row],[PROY. COM. TERMINALES]]+Terminales[[#This Row],[PROY. COM. RENOV.]]+Terminales[[#This Row],[PROY. COM. 2%]]</f>
        <v>79.008620689655174</v>
      </c>
    </row>
    <row r="169" spans="1:87" x14ac:dyDescent="0.25">
      <c r="A169" s="68">
        <v>44926</v>
      </c>
      <c r="B169" s="68">
        <v>44898</v>
      </c>
      <c r="C169" s="18" t="s">
        <v>291</v>
      </c>
      <c r="D169" s="18" t="s">
        <v>521</v>
      </c>
      <c r="E169" s="18" t="s">
        <v>8017</v>
      </c>
      <c r="F169" s="18" t="s">
        <v>9091</v>
      </c>
      <c r="G169" s="18" t="s">
        <v>292</v>
      </c>
      <c r="H169" s="18" t="s">
        <v>293</v>
      </c>
      <c r="I169" s="18" t="s">
        <v>9092</v>
      </c>
      <c r="J169" s="18" t="s">
        <v>95</v>
      </c>
      <c r="K169" s="18" t="s">
        <v>7970</v>
      </c>
      <c r="L169" s="18" t="s">
        <v>9093</v>
      </c>
      <c r="M169" s="18" t="s">
        <v>9094</v>
      </c>
      <c r="N169" s="18" t="s">
        <v>9095</v>
      </c>
      <c r="O169" s="18" t="s">
        <v>9096</v>
      </c>
      <c r="P169" s="18" t="s">
        <v>9097</v>
      </c>
      <c r="Q169" s="18" t="s">
        <v>7975</v>
      </c>
      <c r="R169" s="18" t="s">
        <v>7976</v>
      </c>
      <c r="S169" s="18" t="s">
        <v>8045</v>
      </c>
      <c r="T169" s="18" t="s">
        <v>8129</v>
      </c>
      <c r="U169" s="18" t="s">
        <v>8012</v>
      </c>
      <c r="V169" s="18" t="s">
        <v>6963</v>
      </c>
      <c r="W169" s="18" t="s">
        <v>95</v>
      </c>
      <c r="X169" s="18" t="s">
        <v>95</v>
      </c>
      <c r="Y169" s="18" t="s">
        <v>7980</v>
      </c>
      <c r="Z169" s="18" t="s">
        <v>6996</v>
      </c>
      <c r="AA169" s="69">
        <v>1</v>
      </c>
      <c r="AB169" s="18">
        <v>262.85714000000002</v>
      </c>
      <c r="AC169" s="18" t="s">
        <v>9098</v>
      </c>
      <c r="AD169" s="18" t="s">
        <v>7982</v>
      </c>
      <c r="AE169" s="18">
        <v>194.5</v>
      </c>
      <c r="AF169" s="18" t="s">
        <v>7983</v>
      </c>
      <c r="AG169" s="18">
        <v>194.5</v>
      </c>
      <c r="AH169" s="18" t="s">
        <v>95</v>
      </c>
      <c r="AI169" s="18" t="s">
        <v>7454</v>
      </c>
      <c r="AJ169" s="18" t="s">
        <v>7511</v>
      </c>
      <c r="AK169" s="18">
        <v>20</v>
      </c>
      <c r="AL169" s="18" t="s">
        <v>95</v>
      </c>
      <c r="AM169" s="18" t="s">
        <v>95</v>
      </c>
      <c r="AN169" s="18" t="s">
        <v>7984</v>
      </c>
      <c r="AO169" s="18" t="s">
        <v>8121</v>
      </c>
      <c r="AP169" s="20" t="s">
        <v>149</v>
      </c>
      <c r="AQ169" s="18" t="s">
        <v>150</v>
      </c>
      <c r="AR169" s="18" t="s">
        <v>295</v>
      </c>
      <c r="AS169" s="18">
        <v>6</v>
      </c>
      <c r="AT169" s="18" t="s">
        <v>151</v>
      </c>
      <c r="AU169" s="18" t="s">
        <v>90</v>
      </c>
      <c r="AV169" s="18" t="s">
        <v>9099</v>
      </c>
      <c r="AW169" s="18" t="s">
        <v>9100</v>
      </c>
      <c r="AX169" s="18" t="s">
        <v>83</v>
      </c>
      <c r="AY169" s="18" t="s">
        <v>95</v>
      </c>
      <c r="AZ169" s="18" t="s">
        <v>95</v>
      </c>
      <c r="BA169" s="18" t="s">
        <v>95</v>
      </c>
      <c r="BB169" s="18" t="s">
        <v>95</v>
      </c>
      <c r="BC169" s="18" t="s">
        <v>215</v>
      </c>
      <c r="BD169" s="18">
        <v>58</v>
      </c>
      <c r="BE169" s="18" t="s">
        <v>95</v>
      </c>
      <c r="BF169" s="18" t="s">
        <v>95</v>
      </c>
      <c r="BG169" s="18" t="s">
        <v>95</v>
      </c>
      <c r="BH169" s="18" t="s">
        <v>95</v>
      </c>
      <c r="BI169" s="18">
        <v>12</v>
      </c>
      <c r="BJ169" s="18">
        <v>2022</v>
      </c>
      <c r="BK169" s="18" t="s">
        <v>95</v>
      </c>
      <c r="BL169" s="18" t="s">
        <v>95</v>
      </c>
      <c r="BM169" s="18" t="s">
        <v>95</v>
      </c>
      <c r="BN169" s="18" t="s">
        <v>85</v>
      </c>
      <c r="BO169" s="18" t="s">
        <v>86</v>
      </c>
      <c r="BP169" s="18" t="s">
        <v>90</v>
      </c>
      <c r="BQ169" s="18" t="s">
        <v>8141</v>
      </c>
      <c r="BR169" s="18" t="s">
        <v>8121</v>
      </c>
      <c r="BS169" s="18" t="s">
        <v>8027</v>
      </c>
      <c r="BT169" s="18" t="s">
        <v>7989</v>
      </c>
      <c r="BU169" s="18" t="s">
        <v>7990</v>
      </c>
      <c r="BV169" s="18" t="str">
        <f>Terminales[[#This Row],[IMEI]]&amp;"SI"</f>
        <v>350068480543902SI</v>
      </c>
      <c r="BW169" s="18" t="str">
        <f>VLOOKUP(Terminales[[#This Row],[OFICINA_USUARIO]],[1]!Locales[#Data],3,0)</f>
        <v>TIENDA CUENCA REMIGIO</v>
      </c>
      <c r="BX169" s="18" t="str">
        <f>VLOOKUP(Terminales[[#This Row],[USUARIO_FINAL]],'[1]Personal Ppto vs Real'!$A:$F,6,0)</f>
        <v>OSORIO TEJADA ANA ESTEFANIA</v>
      </c>
      <c r="BY169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6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69" s="18">
        <f>DAY(Terminales[[#This Row],[FECHA_FACTURA]])</f>
        <v>3</v>
      </c>
      <c r="CB169" s="65">
        <f>IF(Terminales[[#This Row],[CANTIDAD]] = 1,INDEX([1]!Comisiones[#Data],MATCH("Terminales",[1]!Comisiones[Producto],0),MATCH(Terminales[[#This Row],[TIPO ALTA COMISIONES]],[1]!Comisiones[#Headers],0))*Terminales[[#This Row],[MONTO]],0)</f>
        <v>21.028571200000002</v>
      </c>
      <c r="CC169" s="65">
        <f>IFERROR(IF(AND(Terminales[[#This Row],[CANTIDAD]] = 1,Terminales[[#This Row],[MOVIMIENTO]] = "RENOVACION"),Terminales[[#This Row],[TARIFA_BASICA]]*0.5,),)</f>
        <v>10</v>
      </c>
      <c r="CD169" s="65">
        <f>IF('[1]Resumen TM'!$AW$20 &lt; 0.4,0,Terminales[[#This Row],[MONTO]]*0.02)</f>
        <v>5.2571428000000004</v>
      </c>
      <c r="CE169" s="66">
        <f>Terminales[[#This Row],[COMISIONES TERMINALES]]+Terminales[[#This Row],[COMISIONES RENOVACIONES]]+Terminales[[#This Row],[COMISIONES BONO]]</f>
        <v>36.285713999999999</v>
      </c>
      <c r="CF169" s="67">
        <f>(Terminales[[#This Row],[COMISIONES TERMINALES]]*VLOOKUP(Terminales[[#This Row],[LOCALES]],[1]!Calendario[#Data],3,0))/VLOOKUP(Terminales[[#This Row],[LOCALES]],[1]!Calendario[#Data],2,0)</f>
        <v>34.080787806896552</v>
      </c>
      <c r="CG169" s="67">
        <f>(Terminales[[#This Row],[COMISIONES RENOVACIONES]]*VLOOKUP(Terminales[[#This Row],[LOCALES]],[1]!Calendario[#Data],3,0))/VLOOKUP(Terminales[[#This Row],[LOCALES]],[1]!Calendario[#Data],2,0)</f>
        <v>16.206896551724139</v>
      </c>
      <c r="CH169" s="67">
        <f>(Terminales[[#This Row],[COMISIONES BONO]]*VLOOKUP(Terminales[[#This Row],[LOCALES]],[1]!Calendario[#Data],3,0))/VLOOKUP(Terminales[[#This Row],[LOCALES]],[1]!Calendario[#Data],2,0)</f>
        <v>8.520196951724138</v>
      </c>
      <c r="CI169" s="67">
        <f>Terminales[[#This Row],[PROY. COM. TERMINALES]]+Terminales[[#This Row],[PROY. COM. RENOV.]]+Terminales[[#This Row],[PROY. COM. 2%]]</f>
        <v>58.807881310344833</v>
      </c>
    </row>
    <row r="170" spans="1:87" x14ac:dyDescent="0.25">
      <c r="A170" s="68">
        <v>44926</v>
      </c>
      <c r="B170" s="68">
        <v>44904</v>
      </c>
      <c r="C170" s="18" t="s">
        <v>291</v>
      </c>
      <c r="D170" s="18" t="s">
        <v>78</v>
      </c>
      <c r="E170" s="18" t="s">
        <v>1378</v>
      </c>
      <c r="F170" s="18" t="s">
        <v>9101</v>
      </c>
      <c r="G170" s="18" t="s">
        <v>292</v>
      </c>
      <c r="H170" s="18" t="s">
        <v>293</v>
      </c>
      <c r="I170" s="18" t="s">
        <v>9102</v>
      </c>
      <c r="J170" s="18" t="s">
        <v>95</v>
      </c>
      <c r="K170" s="18" t="s">
        <v>7970</v>
      </c>
      <c r="L170" s="18" t="s">
        <v>9103</v>
      </c>
      <c r="M170" s="18" t="s">
        <v>9104</v>
      </c>
      <c r="N170" s="18" t="s">
        <v>9105</v>
      </c>
      <c r="O170" s="18" t="s">
        <v>2260</v>
      </c>
      <c r="P170" s="18" t="s">
        <v>9106</v>
      </c>
      <c r="Q170" s="18" t="s">
        <v>7975</v>
      </c>
      <c r="R170" s="18" t="s">
        <v>7976</v>
      </c>
      <c r="S170" s="18" t="s">
        <v>8010</v>
      </c>
      <c r="T170" s="18" t="s">
        <v>8011</v>
      </c>
      <c r="U170" s="18" t="s">
        <v>8012</v>
      </c>
      <c r="V170" s="18" t="s">
        <v>6963</v>
      </c>
      <c r="W170" s="18" t="s">
        <v>95</v>
      </c>
      <c r="X170" s="18" t="s">
        <v>95</v>
      </c>
      <c r="Y170" s="18" t="s">
        <v>7980</v>
      </c>
      <c r="Z170" s="18" t="s">
        <v>6996</v>
      </c>
      <c r="AA170" s="69">
        <v>1</v>
      </c>
      <c r="AB170" s="18">
        <v>245.53570999999999</v>
      </c>
      <c r="AC170" s="18" t="s">
        <v>9107</v>
      </c>
      <c r="AD170" s="18" t="s">
        <v>7982</v>
      </c>
      <c r="AE170" s="18">
        <v>168.8</v>
      </c>
      <c r="AF170" s="18" t="s">
        <v>7983</v>
      </c>
      <c r="AG170" s="18">
        <v>168.8</v>
      </c>
      <c r="AH170" s="18" t="s">
        <v>95</v>
      </c>
      <c r="AI170" s="18" t="s">
        <v>7595</v>
      </c>
      <c r="AJ170" s="18" t="s">
        <v>7630</v>
      </c>
      <c r="AK170" s="18">
        <v>24.99</v>
      </c>
      <c r="AL170" s="18" t="s">
        <v>95</v>
      </c>
      <c r="AM170" s="18" t="s">
        <v>95</v>
      </c>
      <c r="AN170" s="18" t="s">
        <v>7984</v>
      </c>
      <c r="AO170" s="18" t="s">
        <v>139</v>
      </c>
      <c r="AP170" s="20" t="s">
        <v>769</v>
      </c>
      <c r="AQ170" s="18" t="s">
        <v>770</v>
      </c>
      <c r="AR170" s="18" t="s">
        <v>295</v>
      </c>
      <c r="AS170" s="18">
        <v>6</v>
      </c>
      <c r="AT170" s="18" t="s">
        <v>235</v>
      </c>
      <c r="AU170" s="18" t="s">
        <v>90</v>
      </c>
      <c r="AV170" s="18" t="s">
        <v>8014</v>
      </c>
      <c r="AW170" s="18" t="s">
        <v>8015</v>
      </c>
      <c r="AX170" s="18" t="s">
        <v>83</v>
      </c>
      <c r="AY170" s="18" t="s">
        <v>95</v>
      </c>
      <c r="AZ170" s="18" t="s">
        <v>95</v>
      </c>
      <c r="BA170" s="18" t="s">
        <v>95</v>
      </c>
      <c r="BB170" s="18" t="s">
        <v>95</v>
      </c>
      <c r="BC170" s="18" t="s">
        <v>84</v>
      </c>
      <c r="BD170" s="18">
        <v>50</v>
      </c>
      <c r="BE170" s="18" t="s">
        <v>95</v>
      </c>
      <c r="BF170" s="18" t="s">
        <v>95</v>
      </c>
      <c r="BG170" s="18" t="s">
        <v>95</v>
      </c>
      <c r="BH170" s="18" t="s">
        <v>95</v>
      </c>
      <c r="BI170" s="18">
        <v>12</v>
      </c>
      <c r="BJ170" s="18">
        <v>2022</v>
      </c>
      <c r="BK170" s="18" t="s">
        <v>95</v>
      </c>
      <c r="BL170" s="18" t="s">
        <v>95</v>
      </c>
      <c r="BM170" s="18" t="s">
        <v>95</v>
      </c>
      <c r="BN170" s="18" t="s">
        <v>85</v>
      </c>
      <c r="BO170" s="18" t="s">
        <v>86</v>
      </c>
      <c r="BP170" s="18" t="s">
        <v>90</v>
      </c>
      <c r="BQ170" s="18" t="s">
        <v>8016</v>
      </c>
      <c r="BR170" s="18" t="s">
        <v>139</v>
      </c>
      <c r="BS170" s="18" t="s">
        <v>8027</v>
      </c>
      <c r="BT170" s="18" t="s">
        <v>7989</v>
      </c>
      <c r="BU170" s="18" t="s">
        <v>7990</v>
      </c>
      <c r="BV170" s="18" t="str">
        <f>Terminales[[#This Row],[IMEI]]&amp;"SI"</f>
        <v>359694275330345SI</v>
      </c>
      <c r="BW170" s="18" t="str">
        <f>VLOOKUP(Terminales[[#This Row],[OFICINA_USUARIO]],[1]!Locales[#Data],3,0)</f>
        <v>TIENDA CONDADO</v>
      </c>
      <c r="BX170" s="18" t="str">
        <f>VLOOKUP(Terminales[[#This Row],[USUARIO_FINAL]],'[1]Personal Ppto vs Real'!$A:$F,6,0)</f>
        <v>ROJAS VEGA JHOSMERY MICHELE</v>
      </c>
      <c r="BY17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7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70" s="18">
        <f>DAY(Terminales[[#This Row],[FECHA_FACTURA]])</f>
        <v>9</v>
      </c>
      <c r="CB170" s="65">
        <f>IF(Terminales[[#This Row],[CANTIDAD]] = 1,INDEX([1]!Comisiones[#Data],MATCH("Terminales",[1]!Comisiones[Producto],0),MATCH(Terminales[[#This Row],[TIPO ALTA COMISIONES]],[1]!Comisiones[#Headers],0))*Terminales[[#This Row],[MONTO]],0)</f>
        <v>19.642856800000001</v>
      </c>
      <c r="CC170" s="65">
        <f>IFERROR(IF(AND(Terminales[[#This Row],[CANTIDAD]] = 1,Terminales[[#This Row],[MOVIMIENTO]] = "RENOVACION"),Terminales[[#This Row],[TARIFA_BASICA]]*0.5,),)</f>
        <v>12.494999999999999</v>
      </c>
      <c r="CD170" s="65">
        <f>IF('[1]Resumen TM'!$AW$20 &lt; 0.4,0,Terminales[[#This Row],[MONTO]]*0.02)</f>
        <v>4.9107142000000001</v>
      </c>
      <c r="CE170" s="66">
        <f>Terminales[[#This Row],[COMISIONES TERMINALES]]+Terminales[[#This Row],[COMISIONES RENOVACIONES]]+Terminales[[#This Row],[COMISIONES BONO]]</f>
        <v>37.048571000000003</v>
      </c>
      <c r="CF170" s="67">
        <f>(Terminales[[#This Row],[COMISIONES TERMINALES]]*VLOOKUP(Terminales[[#This Row],[LOCALES]],[1]!Calendario[#Data],3,0))/VLOOKUP(Terminales[[#This Row],[LOCALES]],[1]!Calendario[#Data],2,0)</f>
        <v>32.315667638709677</v>
      </c>
      <c r="CG170" s="67">
        <f>(Terminales[[#This Row],[COMISIONES RENOVACIONES]]*VLOOKUP(Terminales[[#This Row],[LOCALES]],[1]!Calendario[#Data],3,0))/VLOOKUP(Terminales[[#This Row],[LOCALES]],[1]!Calendario[#Data],2,0)</f>
        <v>20.556290322580644</v>
      </c>
      <c r="CH170" s="67">
        <f>(Terminales[[#This Row],[COMISIONES BONO]]*VLOOKUP(Terminales[[#This Row],[LOCALES]],[1]!Calendario[#Data],3,0))/VLOOKUP(Terminales[[#This Row],[LOCALES]],[1]!Calendario[#Data],2,0)</f>
        <v>8.0789169096774192</v>
      </c>
      <c r="CI170" s="67">
        <f>Terminales[[#This Row],[PROY. COM. TERMINALES]]+Terminales[[#This Row],[PROY. COM. RENOV.]]+Terminales[[#This Row],[PROY. COM. 2%]]</f>
        <v>60.950874870967738</v>
      </c>
    </row>
    <row r="171" spans="1:87" x14ac:dyDescent="0.25">
      <c r="A171" s="68">
        <v>44926</v>
      </c>
      <c r="B171" s="68">
        <v>44904</v>
      </c>
      <c r="C171" s="18" t="s">
        <v>291</v>
      </c>
      <c r="D171" s="18" t="s">
        <v>78</v>
      </c>
      <c r="E171" s="18" t="s">
        <v>164</v>
      </c>
      <c r="F171" s="18" t="s">
        <v>1875</v>
      </c>
      <c r="G171" s="18" t="s">
        <v>292</v>
      </c>
      <c r="H171" s="18" t="s">
        <v>293</v>
      </c>
      <c r="I171" s="18" t="s">
        <v>9108</v>
      </c>
      <c r="J171" s="18" t="s">
        <v>95</v>
      </c>
      <c r="K171" s="18" t="s">
        <v>7970</v>
      </c>
      <c r="L171" s="18" t="s">
        <v>1876</v>
      </c>
      <c r="M171" s="18" t="s">
        <v>1877</v>
      </c>
      <c r="N171" s="18" t="s">
        <v>1878</v>
      </c>
      <c r="O171" s="18" t="s">
        <v>1881</v>
      </c>
      <c r="P171" s="18" t="s">
        <v>1879</v>
      </c>
      <c r="Q171" s="18" t="s">
        <v>7975</v>
      </c>
      <c r="R171" s="18" t="s">
        <v>7976</v>
      </c>
      <c r="S171" s="18" t="s">
        <v>8070</v>
      </c>
      <c r="T171" s="18" t="s">
        <v>8397</v>
      </c>
      <c r="U171" s="18" t="s">
        <v>8012</v>
      </c>
      <c r="V171" s="18" t="s">
        <v>6963</v>
      </c>
      <c r="W171" s="18" t="s">
        <v>95</v>
      </c>
      <c r="X171" s="18" t="s">
        <v>95</v>
      </c>
      <c r="Y171" s="18" t="s">
        <v>7980</v>
      </c>
      <c r="Z171" s="18" t="s">
        <v>6996</v>
      </c>
      <c r="AA171" s="69">
        <v>1</v>
      </c>
      <c r="AB171" s="18">
        <v>250</v>
      </c>
      <c r="AC171" s="18" t="s">
        <v>9109</v>
      </c>
      <c r="AD171" s="18" t="s">
        <v>8151</v>
      </c>
      <c r="AE171" s="18">
        <v>173.7</v>
      </c>
      <c r="AF171" s="18" t="s">
        <v>7983</v>
      </c>
      <c r="AG171" s="18">
        <v>173.7</v>
      </c>
      <c r="AH171" s="18" t="s">
        <v>95</v>
      </c>
      <c r="AI171" s="18" t="s">
        <v>160</v>
      </c>
      <c r="AJ171" s="18" t="s">
        <v>161</v>
      </c>
      <c r="AK171" s="18">
        <v>14.28</v>
      </c>
      <c r="AL171" s="18" t="s">
        <v>95</v>
      </c>
      <c r="AM171" s="18" t="s">
        <v>95</v>
      </c>
      <c r="AN171" s="18" t="s">
        <v>7984</v>
      </c>
      <c r="AO171" s="18" t="s">
        <v>92</v>
      </c>
      <c r="AP171" s="20" t="s">
        <v>352</v>
      </c>
      <c r="AQ171" s="18" t="s">
        <v>353</v>
      </c>
      <c r="AR171" s="18" t="s">
        <v>295</v>
      </c>
      <c r="AS171" s="18">
        <v>6</v>
      </c>
      <c r="AT171" s="18" t="s">
        <v>122</v>
      </c>
      <c r="AU171" s="18" t="s">
        <v>90</v>
      </c>
      <c r="AV171" s="18" t="s">
        <v>8399</v>
      </c>
      <c r="AW171" s="18" t="s">
        <v>8400</v>
      </c>
      <c r="AX171" s="18" t="s">
        <v>83</v>
      </c>
      <c r="AY171" s="18" t="s">
        <v>95</v>
      </c>
      <c r="AZ171" s="18" t="s">
        <v>95</v>
      </c>
      <c r="BA171" s="18" t="s">
        <v>95</v>
      </c>
      <c r="BB171" s="18" t="s">
        <v>95</v>
      </c>
      <c r="BC171" s="18" t="s">
        <v>84</v>
      </c>
      <c r="BD171" s="18">
        <v>48</v>
      </c>
      <c r="BE171" s="18" t="s">
        <v>95</v>
      </c>
      <c r="BF171" s="18" t="s">
        <v>95</v>
      </c>
      <c r="BG171" s="18" t="s">
        <v>95</v>
      </c>
      <c r="BH171" s="18" t="s">
        <v>95</v>
      </c>
      <c r="BI171" s="18">
        <v>12</v>
      </c>
      <c r="BJ171" s="18">
        <v>2022</v>
      </c>
      <c r="BK171" s="18" t="s">
        <v>95</v>
      </c>
      <c r="BL171" s="18" t="s">
        <v>95</v>
      </c>
      <c r="BM171" s="18" t="s">
        <v>95</v>
      </c>
      <c r="BN171" s="18" t="s">
        <v>85</v>
      </c>
      <c r="BO171" s="18" t="s">
        <v>86</v>
      </c>
      <c r="BP171" s="18" t="s">
        <v>90</v>
      </c>
      <c r="BQ171" s="18" t="s">
        <v>8050</v>
      </c>
      <c r="BR171" s="18" t="s">
        <v>92</v>
      </c>
      <c r="BS171" s="18" t="s">
        <v>8027</v>
      </c>
      <c r="BT171" s="18" t="s">
        <v>7989</v>
      </c>
      <c r="BU171" s="18" t="s">
        <v>7990</v>
      </c>
      <c r="BV171" s="18" t="str">
        <f>Terminales[[#This Row],[IMEI]]&amp;"SI"</f>
        <v>864050068764943SI</v>
      </c>
      <c r="BW171" s="18" t="str">
        <f>VLOOKUP(Terminales[[#This Row],[OFICINA_USUARIO]],[1]!Locales[#Data],3,0)</f>
        <v>TIENDA MACHALA</v>
      </c>
      <c r="BX171" s="18" t="str">
        <f>VLOOKUP(Terminales[[#This Row],[USUARIO_FINAL]],'[1]Personal Ppto vs Real'!$A:$F,6,0)</f>
        <v>TENORIO MARIA DEL PILAR</v>
      </c>
      <c r="BY171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17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71" s="18">
        <f>DAY(Terminales[[#This Row],[FECHA_FACTURA]])</f>
        <v>9</v>
      </c>
      <c r="CB171" s="65">
        <f>IF(Terminales[[#This Row],[CANTIDAD]] = 1,INDEX([1]!Comisiones[#Data],MATCH("Terminales",[1]!Comisiones[Producto],0),MATCH(Terminales[[#This Row],[TIPO ALTA COMISIONES]],[1]!Comisiones[#Headers],0))*Terminales[[#This Row],[MONTO]],0)</f>
        <v>20</v>
      </c>
      <c r="CC171" s="65">
        <f>IFERROR(IF(AND(Terminales[[#This Row],[CANTIDAD]] = 1,Terminales[[#This Row],[MOVIMIENTO]] = "RENOVACION"),Terminales[[#This Row],[TARIFA_BASICA]]*0.5,),)</f>
        <v>0</v>
      </c>
      <c r="CD171" s="65">
        <f>IF('[1]Resumen TM'!$AW$20 &lt; 0.4,0,Terminales[[#This Row],[MONTO]]*0.02)</f>
        <v>5</v>
      </c>
      <c r="CE171" s="66">
        <f>Terminales[[#This Row],[COMISIONES TERMINALES]]+Terminales[[#This Row],[COMISIONES RENOVACIONES]]+Terminales[[#This Row],[COMISIONES BONO]]</f>
        <v>25</v>
      </c>
      <c r="CF171" s="67">
        <f>(Terminales[[#This Row],[COMISIONES TERMINALES]]*VLOOKUP(Terminales[[#This Row],[LOCALES]],[1]!Calendario[#Data],3,0))/VLOOKUP(Terminales[[#This Row],[LOCALES]],[1]!Calendario[#Data],2,0)</f>
        <v>32.413793103448278</v>
      </c>
      <c r="CG171" s="67">
        <f>(Terminales[[#This Row],[COMISIONES RENOVACIONES]]*VLOOKUP(Terminales[[#This Row],[LOCALES]],[1]!Calendario[#Data],3,0))/VLOOKUP(Terminales[[#This Row],[LOCALES]],[1]!Calendario[#Data],2,0)</f>
        <v>0</v>
      </c>
      <c r="CH171" s="67">
        <f>(Terminales[[#This Row],[COMISIONES BONO]]*VLOOKUP(Terminales[[#This Row],[LOCALES]],[1]!Calendario[#Data],3,0))/VLOOKUP(Terminales[[#This Row],[LOCALES]],[1]!Calendario[#Data],2,0)</f>
        <v>8.1034482758620694</v>
      </c>
      <c r="CI171" s="67">
        <f>Terminales[[#This Row],[PROY. COM. TERMINALES]]+Terminales[[#This Row],[PROY. COM. RENOV.]]+Terminales[[#This Row],[PROY. COM. 2%]]</f>
        <v>40.517241379310349</v>
      </c>
    </row>
    <row r="172" spans="1:87" x14ac:dyDescent="0.25">
      <c r="A172" s="68">
        <v>44926</v>
      </c>
      <c r="B172" s="68">
        <v>44904</v>
      </c>
      <c r="C172" s="18" t="s">
        <v>96</v>
      </c>
      <c r="D172" s="18" t="s">
        <v>96</v>
      </c>
      <c r="E172" s="18" t="s">
        <v>96</v>
      </c>
      <c r="F172" s="18" t="s">
        <v>95</v>
      </c>
      <c r="G172" s="18" t="s">
        <v>292</v>
      </c>
      <c r="H172" s="18" t="s">
        <v>494</v>
      </c>
      <c r="I172" s="18" t="s">
        <v>9110</v>
      </c>
      <c r="J172" s="18" t="s">
        <v>95</v>
      </c>
      <c r="K172" s="18" t="s">
        <v>7970</v>
      </c>
      <c r="L172" s="18" t="s">
        <v>9111</v>
      </c>
      <c r="M172" s="18" t="s">
        <v>9112</v>
      </c>
      <c r="N172" s="18" t="s">
        <v>9113</v>
      </c>
      <c r="O172" s="18" t="s">
        <v>9021</v>
      </c>
      <c r="P172" s="18" t="s">
        <v>9114</v>
      </c>
      <c r="Q172" s="18" t="s">
        <v>7975</v>
      </c>
      <c r="R172" s="18" t="s">
        <v>7976</v>
      </c>
      <c r="S172" s="18" t="s">
        <v>8250</v>
      </c>
      <c r="T172" s="18" t="s">
        <v>9023</v>
      </c>
      <c r="U172" s="18" t="s">
        <v>8059</v>
      </c>
      <c r="V172" s="18" t="s">
        <v>6963</v>
      </c>
      <c r="W172" s="18" t="s">
        <v>95</v>
      </c>
      <c r="X172" s="18" t="s">
        <v>95</v>
      </c>
      <c r="Y172" s="18" t="s">
        <v>7980</v>
      </c>
      <c r="Z172" s="18" t="s">
        <v>6996</v>
      </c>
      <c r="AA172" s="69">
        <v>1</v>
      </c>
      <c r="AB172" s="18">
        <v>1321.42857</v>
      </c>
      <c r="AC172" s="18" t="s">
        <v>95</v>
      </c>
      <c r="AD172" s="18" t="s">
        <v>96</v>
      </c>
      <c r="AE172" s="18">
        <v>1166.1500000000001</v>
      </c>
      <c r="AF172" s="18" t="s">
        <v>7983</v>
      </c>
      <c r="AG172" s="18">
        <v>1166.1500000000001</v>
      </c>
      <c r="AH172" s="18" t="s">
        <v>95</v>
      </c>
      <c r="AI172" s="18" t="s">
        <v>95</v>
      </c>
      <c r="AJ172" s="18" t="s">
        <v>95</v>
      </c>
      <c r="AK172" s="18" t="s">
        <v>95</v>
      </c>
      <c r="AL172" s="18" t="s">
        <v>95</v>
      </c>
      <c r="AM172" s="18" t="s">
        <v>95</v>
      </c>
      <c r="AN172" s="18" t="s">
        <v>7984</v>
      </c>
      <c r="AO172" s="18" t="s">
        <v>92</v>
      </c>
      <c r="AP172" s="20" t="s">
        <v>352</v>
      </c>
      <c r="AQ172" s="18" t="s">
        <v>353</v>
      </c>
      <c r="AR172" s="18" t="s">
        <v>496</v>
      </c>
      <c r="AS172" s="18">
        <v>1</v>
      </c>
      <c r="AT172" s="18" t="s">
        <v>122</v>
      </c>
      <c r="AU172" s="18" t="s">
        <v>90</v>
      </c>
      <c r="AV172" s="18" t="s">
        <v>9024</v>
      </c>
      <c r="AW172" s="18" t="s">
        <v>9025</v>
      </c>
      <c r="AX172" s="18" t="s">
        <v>83</v>
      </c>
      <c r="AY172" s="18" t="s">
        <v>95</v>
      </c>
      <c r="AZ172" s="18" t="s">
        <v>95</v>
      </c>
      <c r="BA172" s="18" t="s">
        <v>95</v>
      </c>
      <c r="BB172" s="18" t="s">
        <v>95</v>
      </c>
      <c r="BC172" s="18" t="s">
        <v>95</v>
      </c>
      <c r="BD172" s="18" t="s">
        <v>95</v>
      </c>
      <c r="BE172" s="18" t="s">
        <v>95</v>
      </c>
      <c r="BF172" s="18" t="s">
        <v>95</v>
      </c>
      <c r="BG172" s="18" t="s">
        <v>95</v>
      </c>
      <c r="BH172" s="18" t="s">
        <v>95</v>
      </c>
      <c r="BI172" s="18">
        <v>12</v>
      </c>
      <c r="BJ172" s="18">
        <v>2022</v>
      </c>
      <c r="BK172" s="18" t="s">
        <v>95</v>
      </c>
      <c r="BL172" s="18" t="s">
        <v>95</v>
      </c>
      <c r="BM172" s="18" t="s">
        <v>95</v>
      </c>
      <c r="BN172" s="18" t="s">
        <v>85</v>
      </c>
      <c r="BO172" s="18" t="s">
        <v>86</v>
      </c>
      <c r="BP172" s="18" t="s">
        <v>90</v>
      </c>
      <c r="BQ172" s="18" t="s">
        <v>8050</v>
      </c>
      <c r="BR172" s="18" t="s">
        <v>92</v>
      </c>
      <c r="BS172" s="18" t="s">
        <v>8074</v>
      </c>
      <c r="BT172" s="18" t="s">
        <v>7989</v>
      </c>
      <c r="BU172" s="18" t="s">
        <v>496</v>
      </c>
      <c r="BV172" s="18" t="str">
        <f>Terminales[[#This Row],[IMEI]]&amp;"SI"</f>
        <v>350302398845319SI</v>
      </c>
      <c r="BW172" s="18" t="str">
        <f>VLOOKUP(Terminales[[#This Row],[OFICINA_USUARIO]],[1]!Locales[#Data],3,0)</f>
        <v>TIENDA MACHALA</v>
      </c>
      <c r="BX172" s="18" t="str">
        <f>VLOOKUP(Terminales[[#This Row],[USUARIO_FINAL]],'[1]Personal Ppto vs Real'!$A:$F,6,0)</f>
        <v>TENORIO MARIA DEL PILAR</v>
      </c>
      <c r="BY17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7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72" s="18">
        <f>DAY(Terminales[[#This Row],[FECHA_FACTURA]])</f>
        <v>9</v>
      </c>
      <c r="CB172" s="65">
        <f>IF(Terminales[[#This Row],[CANTIDAD]] = 1,INDEX([1]!Comisiones[#Data],MATCH("Terminales",[1]!Comisiones[Producto],0),MATCH(Terminales[[#This Row],[TIPO ALTA COMISIONES]],[1]!Comisiones[#Headers],0))*Terminales[[#This Row],[MONTO]],0)</f>
        <v>132.14285700000002</v>
      </c>
      <c r="CC172" s="65">
        <f>IFERROR(IF(AND(Terminales[[#This Row],[CANTIDAD]] = 1,Terminales[[#This Row],[MOVIMIENTO]] = "RENOVACION"),Terminales[[#This Row],[TARIFA_BASICA]]*0.5,),)</f>
        <v>0</v>
      </c>
      <c r="CD172" s="65">
        <f>IF('[1]Resumen TM'!$AW$20 &lt; 0.4,0,Terminales[[#This Row],[MONTO]]*0.02)</f>
        <v>26.428571400000003</v>
      </c>
      <c r="CE172" s="66">
        <f>Terminales[[#This Row],[COMISIONES TERMINALES]]+Terminales[[#This Row],[COMISIONES RENOVACIONES]]+Terminales[[#This Row],[COMISIONES BONO]]</f>
        <v>158.57142840000003</v>
      </c>
      <c r="CF172" s="67">
        <f>(Terminales[[#This Row],[COMISIONES TERMINALES]]*VLOOKUP(Terminales[[#This Row],[LOCALES]],[1]!Calendario[#Data],3,0))/VLOOKUP(Terminales[[#This Row],[LOCALES]],[1]!Calendario[#Data],2,0)</f>
        <v>214.16256134482762</v>
      </c>
      <c r="CG172" s="67">
        <f>(Terminales[[#This Row],[COMISIONES RENOVACIONES]]*VLOOKUP(Terminales[[#This Row],[LOCALES]],[1]!Calendario[#Data],3,0))/VLOOKUP(Terminales[[#This Row],[LOCALES]],[1]!Calendario[#Data],2,0)</f>
        <v>0</v>
      </c>
      <c r="CH172" s="67">
        <f>(Terminales[[#This Row],[COMISIONES BONO]]*VLOOKUP(Terminales[[#This Row],[LOCALES]],[1]!Calendario[#Data],3,0))/VLOOKUP(Terminales[[#This Row],[LOCALES]],[1]!Calendario[#Data],2,0)</f>
        <v>42.832512268965523</v>
      </c>
      <c r="CI172" s="67">
        <f>Terminales[[#This Row],[PROY. COM. TERMINALES]]+Terminales[[#This Row],[PROY. COM. RENOV.]]+Terminales[[#This Row],[PROY. COM. 2%]]</f>
        <v>256.99507361379312</v>
      </c>
    </row>
    <row r="173" spans="1:87" x14ac:dyDescent="0.25">
      <c r="A173" s="68">
        <v>44926</v>
      </c>
      <c r="B173" s="68">
        <v>44904</v>
      </c>
      <c r="C173" s="18" t="s">
        <v>96</v>
      </c>
      <c r="D173" s="18" t="s">
        <v>96</v>
      </c>
      <c r="E173" s="18" t="s">
        <v>96</v>
      </c>
      <c r="F173" s="18" t="s">
        <v>9115</v>
      </c>
      <c r="G173" s="18" t="s">
        <v>292</v>
      </c>
      <c r="H173" s="18" t="s">
        <v>494</v>
      </c>
      <c r="I173" s="18" t="s">
        <v>9116</v>
      </c>
      <c r="J173" s="18" t="s">
        <v>95</v>
      </c>
      <c r="K173" s="18" t="s">
        <v>7970</v>
      </c>
      <c r="L173" s="18" t="s">
        <v>9117</v>
      </c>
      <c r="M173" s="18" t="s">
        <v>9118</v>
      </c>
      <c r="N173" s="18" t="s">
        <v>9119</v>
      </c>
      <c r="O173" s="18" t="s">
        <v>543</v>
      </c>
      <c r="P173" s="18" t="s">
        <v>9120</v>
      </c>
      <c r="Q173" s="18" t="s">
        <v>7975</v>
      </c>
      <c r="R173" s="18" t="s">
        <v>7976</v>
      </c>
      <c r="S173" s="18" t="s">
        <v>7994</v>
      </c>
      <c r="T173" s="18" t="s">
        <v>8245</v>
      </c>
      <c r="U173" s="18" t="s">
        <v>8012</v>
      </c>
      <c r="V173" s="18" t="s">
        <v>6963</v>
      </c>
      <c r="W173" s="18" t="s">
        <v>95</v>
      </c>
      <c r="X173" s="18" t="s">
        <v>95</v>
      </c>
      <c r="Y173" s="18" t="s">
        <v>7980</v>
      </c>
      <c r="Z173" s="18" t="s">
        <v>6996</v>
      </c>
      <c r="AA173" s="69">
        <v>1</v>
      </c>
      <c r="AB173" s="18">
        <v>156.25</v>
      </c>
      <c r="AC173" s="18" t="s">
        <v>9121</v>
      </c>
      <c r="AD173" s="18" t="s">
        <v>96</v>
      </c>
      <c r="AE173" s="18">
        <v>156</v>
      </c>
      <c r="AF173" s="18" t="s">
        <v>7983</v>
      </c>
      <c r="AG173" s="18">
        <v>156</v>
      </c>
      <c r="AH173" s="18" t="s">
        <v>95</v>
      </c>
      <c r="AI173" s="18" t="s">
        <v>8102</v>
      </c>
      <c r="AJ173" s="18" t="s">
        <v>8103</v>
      </c>
      <c r="AK173" s="18" t="s">
        <v>95</v>
      </c>
      <c r="AL173" s="18" t="s">
        <v>95</v>
      </c>
      <c r="AM173" s="18" t="s">
        <v>95</v>
      </c>
      <c r="AN173" s="18" t="s">
        <v>7984</v>
      </c>
      <c r="AO173" s="18" t="s">
        <v>92</v>
      </c>
      <c r="AP173" s="20" t="s">
        <v>610</v>
      </c>
      <c r="AQ173" s="18" t="s">
        <v>611</v>
      </c>
      <c r="AR173" s="18" t="s">
        <v>496</v>
      </c>
      <c r="AS173" s="18">
        <v>1</v>
      </c>
      <c r="AT173" s="18" t="s">
        <v>151</v>
      </c>
      <c r="AU173" s="18" t="s">
        <v>90</v>
      </c>
      <c r="AV173" s="18" t="s">
        <v>8247</v>
      </c>
      <c r="AW173" s="18" t="s">
        <v>8248</v>
      </c>
      <c r="AX173" s="18" t="s">
        <v>83</v>
      </c>
      <c r="AY173" s="18" t="s">
        <v>95</v>
      </c>
      <c r="AZ173" s="18" t="s">
        <v>95</v>
      </c>
      <c r="BA173" s="18" t="s">
        <v>95</v>
      </c>
      <c r="BB173" s="18" t="s">
        <v>95</v>
      </c>
      <c r="BC173" s="18" t="s">
        <v>118</v>
      </c>
      <c r="BD173" s="18" t="s">
        <v>95</v>
      </c>
      <c r="BE173" s="18" t="s">
        <v>8140</v>
      </c>
      <c r="BF173" s="18" t="s">
        <v>8064</v>
      </c>
      <c r="BG173" s="18" t="s">
        <v>95</v>
      </c>
      <c r="BH173" s="18" t="s">
        <v>95</v>
      </c>
      <c r="BI173" s="18">
        <v>12</v>
      </c>
      <c r="BJ173" s="18">
        <v>2022</v>
      </c>
      <c r="BK173" s="18" t="s">
        <v>95</v>
      </c>
      <c r="BL173" s="18" t="s">
        <v>95</v>
      </c>
      <c r="BM173" s="18" t="s">
        <v>95</v>
      </c>
      <c r="BN173" s="18" t="s">
        <v>85</v>
      </c>
      <c r="BO173" s="18" t="s">
        <v>86</v>
      </c>
      <c r="BP173" s="18" t="s">
        <v>90</v>
      </c>
      <c r="BQ173" s="18" t="s">
        <v>8141</v>
      </c>
      <c r="BR173" s="18" t="s">
        <v>92</v>
      </c>
      <c r="BS173" s="18" t="s">
        <v>8003</v>
      </c>
      <c r="BT173" s="18" t="s">
        <v>7989</v>
      </c>
      <c r="BU173" s="18" t="s">
        <v>496</v>
      </c>
      <c r="BV173" s="18" t="str">
        <f>Terminales[[#This Row],[IMEI]]&amp;"SI"</f>
        <v>355108340318940SI</v>
      </c>
      <c r="BW173" s="18" t="str">
        <f>VLOOKUP(Terminales[[#This Row],[OFICINA_USUARIO]],[1]!Locales[#Data],3,0)</f>
        <v>TIENDA CUENCA REMIGIO</v>
      </c>
      <c r="BX173" s="18" t="str">
        <f>VLOOKUP(Terminales[[#This Row],[USUARIO_FINAL]],'[1]Personal Ppto vs Real'!$A:$F,6,0)</f>
        <v>PATIÑO TAPIA ANDRES SANTIAGO</v>
      </c>
      <c r="BY17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7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73" s="18">
        <f>DAY(Terminales[[#This Row],[FECHA_FACTURA]])</f>
        <v>9</v>
      </c>
      <c r="CB173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173" s="65">
        <f>IFERROR(IF(AND(Terminales[[#This Row],[CANTIDAD]] = 1,Terminales[[#This Row],[MOVIMIENTO]] = "RENOVACION"),Terminales[[#This Row],[TARIFA_BASICA]]*0.5,),)</f>
        <v>0</v>
      </c>
      <c r="CD173" s="65">
        <f>IF('[1]Resumen TM'!$AW$20 &lt; 0.4,0,Terminales[[#This Row],[MONTO]]*0.02)</f>
        <v>3.125</v>
      </c>
      <c r="CE173" s="66">
        <f>Terminales[[#This Row],[COMISIONES TERMINALES]]+Terminales[[#This Row],[COMISIONES RENOVACIONES]]+Terminales[[#This Row],[COMISIONES BONO]]</f>
        <v>18.75</v>
      </c>
      <c r="CF173" s="67">
        <f>(Terminales[[#This Row],[COMISIONES TERMINALES]]*VLOOKUP(Terminales[[#This Row],[LOCALES]],[1]!Calendario[#Data],3,0))/VLOOKUP(Terminales[[#This Row],[LOCALES]],[1]!Calendario[#Data],2,0)</f>
        <v>25.323275862068964</v>
      </c>
      <c r="CG173" s="67">
        <f>(Terminales[[#This Row],[COMISIONES RENOVACIONES]]*VLOOKUP(Terminales[[#This Row],[LOCALES]],[1]!Calendario[#Data],3,0))/VLOOKUP(Terminales[[#This Row],[LOCALES]],[1]!Calendario[#Data],2,0)</f>
        <v>0</v>
      </c>
      <c r="CH173" s="67">
        <f>(Terminales[[#This Row],[COMISIONES BONO]]*VLOOKUP(Terminales[[#This Row],[LOCALES]],[1]!Calendario[#Data],3,0))/VLOOKUP(Terminales[[#This Row],[LOCALES]],[1]!Calendario[#Data],2,0)</f>
        <v>5.0646551724137927</v>
      </c>
      <c r="CI173" s="67">
        <f>Terminales[[#This Row],[PROY. COM. TERMINALES]]+Terminales[[#This Row],[PROY. COM. RENOV.]]+Terminales[[#This Row],[PROY. COM. 2%]]</f>
        <v>30.387931034482758</v>
      </c>
    </row>
    <row r="174" spans="1:87" x14ac:dyDescent="0.25">
      <c r="A174" s="68">
        <v>44926</v>
      </c>
      <c r="B174" s="68">
        <v>44904</v>
      </c>
      <c r="C174" s="18" t="s">
        <v>291</v>
      </c>
      <c r="D174" s="18" t="s">
        <v>78</v>
      </c>
      <c r="E174" s="18" t="s">
        <v>164</v>
      </c>
      <c r="F174" s="18" t="s">
        <v>5662</v>
      </c>
      <c r="G174" s="18" t="s">
        <v>292</v>
      </c>
      <c r="H174" s="18" t="s">
        <v>494</v>
      </c>
      <c r="I174" s="18" t="s">
        <v>9122</v>
      </c>
      <c r="J174" s="18" t="s">
        <v>95</v>
      </c>
      <c r="K174" s="18" t="s">
        <v>7970</v>
      </c>
      <c r="L174" s="18" t="s">
        <v>5663</v>
      </c>
      <c r="M174" s="18" t="s">
        <v>5664</v>
      </c>
      <c r="N174" s="18" t="s">
        <v>5665</v>
      </c>
      <c r="O174" s="18" t="s">
        <v>1022</v>
      </c>
      <c r="P174" s="18" t="s">
        <v>5666</v>
      </c>
      <c r="Q174" s="18" t="s">
        <v>7975</v>
      </c>
      <c r="R174" s="18" t="s">
        <v>7976</v>
      </c>
      <c r="S174" s="18" t="s">
        <v>8045</v>
      </c>
      <c r="T174" s="18" t="s">
        <v>8225</v>
      </c>
      <c r="U174" s="18" t="s">
        <v>8012</v>
      </c>
      <c r="V174" s="18" t="s">
        <v>6963</v>
      </c>
      <c r="W174" s="18" t="s">
        <v>95</v>
      </c>
      <c r="X174" s="18" t="s">
        <v>95</v>
      </c>
      <c r="Y174" s="18" t="s">
        <v>7980</v>
      </c>
      <c r="Z174" s="18" t="s">
        <v>6996</v>
      </c>
      <c r="AA174" s="69">
        <v>1</v>
      </c>
      <c r="AB174" s="18">
        <v>241.07142999999999</v>
      </c>
      <c r="AC174" s="18" t="s">
        <v>9123</v>
      </c>
      <c r="AD174" s="18" t="s">
        <v>8151</v>
      </c>
      <c r="AE174" s="18">
        <v>232</v>
      </c>
      <c r="AF174" s="18" t="s">
        <v>7983</v>
      </c>
      <c r="AG174" s="18">
        <v>232</v>
      </c>
      <c r="AH174" s="18" t="s">
        <v>95</v>
      </c>
      <c r="AI174" s="18" t="s">
        <v>130</v>
      </c>
      <c r="AJ174" s="18" t="s">
        <v>433</v>
      </c>
      <c r="AK174" s="18">
        <v>15</v>
      </c>
      <c r="AL174" s="18" t="s">
        <v>95</v>
      </c>
      <c r="AM174" s="18" t="s">
        <v>95</v>
      </c>
      <c r="AN174" s="18" t="s">
        <v>7984</v>
      </c>
      <c r="AO174" s="18" t="s">
        <v>139</v>
      </c>
      <c r="AP174" s="20" t="s">
        <v>926</v>
      </c>
      <c r="AQ174" s="18" t="s">
        <v>927</v>
      </c>
      <c r="AR174" s="18" t="s">
        <v>496</v>
      </c>
      <c r="AS174" s="18">
        <v>1</v>
      </c>
      <c r="AT174" s="18" t="s">
        <v>177</v>
      </c>
      <c r="AU174" s="18" t="s">
        <v>90</v>
      </c>
      <c r="AV174" s="18" t="s">
        <v>8392</v>
      </c>
      <c r="AW174" s="18" t="s">
        <v>8393</v>
      </c>
      <c r="AX174" s="18" t="s">
        <v>83</v>
      </c>
      <c r="AY174" s="18" t="s">
        <v>95</v>
      </c>
      <c r="AZ174" s="18" t="s">
        <v>95</v>
      </c>
      <c r="BA174" s="18" t="s">
        <v>95</v>
      </c>
      <c r="BB174" s="18" t="s">
        <v>95</v>
      </c>
      <c r="BC174" s="18" t="s">
        <v>118</v>
      </c>
      <c r="BD174" s="18" t="s">
        <v>95</v>
      </c>
      <c r="BE174" s="18" t="s">
        <v>95</v>
      </c>
      <c r="BF174" s="18" t="s">
        <v>95</v>
      </c>
      <c r="BG174" s="18" t="s">
        <v>95</v>
      </c>
      <c r="BH174" s="18" t="s">
        <v>95</v>
      </c>
      <c r="BI174" s="18">
        <v>12</v>
      </c>
      <c r="BJ174" s="18">
        <v>2022</v>
      </c>
      <c r="BK174" s="18" t="s">
        <v>95</v>
      </c>
      <c r="BL174" s="18" t="s">
        <v>95</v>
      </c>
      <c r="BM174" s="18" t="s">
        <v>95</v>
      </c>
      <c r="BN174" s="18" t="s">
        <v>85</v>
      </c>
      <c r="BO174" s="18" t="s">
        <v>86</v>
      </c>
      <c r="BP174" s="18" t="s">
        <v>90</v>
      </c>
      <c r="BQ174" s="18" t="s">
        <v>8002</v>
      </c>
      <c r="BR174" s="18" t="s">
        <v>139</v>
      </c>
      <c r="BS174" s="18" t="s">
        <v>8074</v>
      </c>
      <c r="BT174" s="18" t="s">
        <v>7989</v>
      </c>
      <c r="BU174" s="18" t="s">
        <v>496</v>
      </c>
      <c r="BV174" s="18" t="str">
        <f>Terminales[[#This Row],[IMEI]]&amp;"SI"</f>
        <v>356795951097653SI</v>
      </c>
      <c r="BW174" s="18" t="str">
        <f>VLOOKUP(Terminales[[#This Row],[OFICINA_USUARIO]],[1]!Locales[#Data],3,0)</f>
        <v>TIENDA RECREO</v>
      </c>
      <c r="BX174" s="18" t="str">
        <f>VLOOKUP(Terminales[[#This Row],[USUARIO_FINAL]],'[1]Personal Ppto vs Real'!$A:$F,6,0)</f>
        <v>CABEZAS LOPEZ ROBERTO ALEJANDRO</v>
      </c>
      <c r="BY174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7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74" s="18">
        <f>DAY(Terminales[[#This Row],[FECHA_FACTURA]])</f>
        <v>9</v>
      </c>
      <c r="CB174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74" s="65">
        <f>IFERROR(IF(AND(Terminales[[#This Row],[CANTIDAD]] = 1,Terminales[[#This Row],[MOVIMIENTO]] = "RENOVACION"),Terminales[[#This Row],[TARIFA_BASICA]]*0.5,),)</f>
        <v>0</v>
      </c>
      <c r="CD174" s="65">
        <f>IF('[1]Resumen TM'!$AW$20 &lt; 0.4,0,Terminales[[#This Row],[MONTO]]*0.02)</f>
        <v>4.8214286</v>
      </c>
      <c r="CE174" s="66">
        <f>Terminales[[#This Row],[COMISIONES TERMINALES]]+Terminales[[#This Row],[COMISIONES RENOVACIONES]]+Terminales[[#This Row],[COMISIONES BONO]]</f>
        <v>28.928571600000001</v>
      </c>
      <c r="CF174" s="67">
        <f>(Terminales[[#This Row],[COMISIONES TERMINALES]]*VLOOKUP(Terminales[[#This Row],[LOCALES]],[1]!Calendario[#Data],3,0))/VLOOKUP(Terminales[[#This Row],[LOCALES]],[1]!Calendario[#Data],2,0)</f>
        <v>39.660138483870966</v>
      </c>
      <c r="CG174" s="67">
        <f>(Terminales[[#This Row],[COMISIONES RENOVACIONES]]*VLOOKUP(Terminales[[#This Row],[LOCALES]],[1]!Calendario[#Data],3,0))/VLOOKUP(Terminales[[#This Row],[LOCALES]],[1]!Calendario[#Data],2,0)</f>
        <v>0</v>
      </c>
      <c r="CH174" s="67">
        <f>(Terminales[[#This Row],[COMISIONES BONO]]*VLOOKUP(Terminales[[#This Row],[LOCALES]],[1]!Calendario[#Data],3,0))/VLOOKUP(Terminales[[#This Row],[LOCALES]],[1]!Calendario[#Data],2,0)</f>
        <v>7.9320276967741936</v>
      </c>
      <c r="CI174" s="67">
        <f>Terminales[[#This Row],[PROY. COM. TERMINALES]]+Terminales[[#This Row],[PROY. COM. RENOV.]]+Terminales[[#This Row],[PROY. COM. 2%]]</f>
        <v>47.592166180645158</v>
      </c>
    </row>
    <row r="175" spans="1:87" x14ac:dyDescent="0.25">
      <c r="A175" s="68">
        <v>44926</v>
      </c>
      <c r="B175" s="68">
        <v>44904</v>
      </c>
      <c r="C175" s="18" t="s">
        <v>291</v>
      </c>
      <c r="D175" s="18" t="s">
        <v>78</v>
      </c>
      <c r="E175" s="18" t="s">
        <v>231</v>
      </c>
      <c r="F175" s="18" t="s">
        <v>9124</v>
      </c>
      <c r="G175" s="18" t="s">
        <v>292</v>
      </c>
      <c r="H175" s="18" t="s">
        <v>293</v>
      </c>
      <c r="I175" s="18" t="s">
        <v>9125</v>
      </c>
      <c r="J175" s="18" t="s">
        <v>95</v>
      </c>
      <c r="K175" s="18" t="s">
        <v>7970</v>
      </c>
      <c r="L175" s="18" t="s">
        <v>9126</v>
      </c>
      <c r="M175" s="18" t="s">
        <v>9127</v>
      </c>
      <c r="N175" s="18" t="s">
        <v>9128</v>
      </c>
      <c r="O175" s="18" t="s">
        <v>3770</v>
      </c>
      <c r="P175" s="18" t="s">
        <v>9129</v>
      </c>
      <c r="Q175" s="18" t="s">
        <v>7975</v>
      </c>
      <c r="R175" s="18" t="s">
        <v>7976</v>
      </c>
      <c r="S175" s="18" t="s">
        <v>8045</v>
      </c>
      <c r="T175" s="18" t="s">
        <v>8099</v>
      </c>
      <c r="U175" s="18" t="s">
        <v>8100</v>
      </c>
      <c r="V175" s="18" t="s">
        <v>6963</v>
      </c>
      <c r="W175" s="18" t="s">
        <v>95</v>
      </c>
      <c r="X175" s="18" t="s">
        <v>95</v>
      </c>
      <c r="Y175" s="18" t="s">
        <v>7980</v>
      </c>
      <c r="Z175" s="18" t="s">
        <v>6996</v>
      </c>
      <c r="AA175" s="69">
        <v>1</v>
      </c>
      <c r="AB175" s="18">
        <v>616.07142999999996</v>
      </c>
      <c r="AC175" s="18" t="s">
        <v>9130</v>
      </c>
      <c r="AD175" s="18" t="s">
        <v>7982</v>
      </c>
      <c r="AE175" s="18">
        <v>402.5</v>
      </c>
      <c r="AF175" s="18" t="s">
        <v>7983</v>
      </c>
      <c r="AG175" s="18">
        <v>402.5</v>
      </c>
      <c r="AH175" s="18" t="s">
        <v>95</v>
      </c>
      <c r="AI175" s="18" t="s">
        <v>7213</v>
      </c>
      <c r="AJ175" s="18" t="s">
        <v>7477</v>
      </c>
      <c r="AK175" s="18">
        <v>24.99</v>
      </c>
      <c r="AL175" s="18" t="s">
        <v>95</v>
      </c>
      <c r="AM175" s="18" t="s">
        <v>95</v>
      </c>
      <c r="AN175" s="18" t="s">
        <v>7984</v>
      </c>
      <c r="AO175" s="18" t="s">
        <v>92</v>
      </c>
      <c r="AP175" s="20" t="s">
        <v>651</v>
      </c>
      <c r="AQ175" s="18" t="s">
        <v>652</v>
      </c>
      <c r="AR175" s="18" t="s">
        <v>295</v>
      </c>
      <c r="AS175" s="18">
        <v>12</v>
      </c>
      <c r="AT175" s="18" t="s">
        <v>122</v>
      </c>
      <c r="AU175" s="18" t="s">
        <v>90</v>
      </c>
      <c r="AV175" s="18" t="s">
        <v>8104</v>
      </c>
      <c r="AW175" s="18" t="s">
        <v>8105</v>
      </c>
      <c r="AX175" s="18" t="s">
        <v>83</v>
      </c>
      <c r="AY175" s="18" t="s">
        <v>95</v>
      </c>
      <c r="AZ175" s="18" t="s">
        <v>95</v>
      </c>
      <c r="BA175" s="18" t="s">
        <v>95</v>
      </c>
      <c r="BB175" s="18" t="s">
        <v>95</v>
      </c>
      <c r="BC175" s="18" t="s">
        <v>84</v>
      </c>
      <c r="BD175" s="18">
        <v>125</v>
      </c>
      <c r="BE175" s="18" t="s">
        <v>95</v>
      </c>
      <c r="BF175" s="18" t="s">
        <v>95</v>
      </c>
      <c r="BG175" s="18" t="s">
        <v>95</v>
      </c>
      <c r="BH175" s="18" t="s">
        <v>95</v>
      </c>
      <c r="BI175" s="18">
        <v>12</v>
      </c>
      <c r="BJ175" s="18">
        <v>2022</v>
      </c>
      <c r="BK175" s="18" t="s">
        <v>95</v>
      </c>
      <c r="BL175" s="18" t="s">
        <v>95</v>
      </c>
      <c r="BM175" s="18" t="s">
        <v>95</v>
      </c>
      <c r="BN175" s="18" t="s">
        <v>85</v>
      </c>
      <c r="BO175" s="18" t="s">
        <v>86</v>
      </c>
      <c r="BP175" s="18" t="s">
        <v>90</v>
      </c>
      <c r="BQ175" s="18" t="s">
        <v>8050</v>
      </c>
      <c r="BR175" s="18" t="s">
        <v>92</v>
      </c>
      <c r="BS175" s="18" t="s">
        <v>7988</v>
      </c>
      <c r="BT175" s="18" t="s">
        <v>7989</v>
      </c>
      <c r="BU175" s="18" t="s">
        <v>7990</v>
      </c>
      <c r="BV175" s="18" t="str">
        <f>Terminales[[#This Row],[IMEI]]&amp;"SI"</f>
        <v>353842192168571SI</v>
      </c>
      <c r="BW175" s="18" t="str">
        <f>VLOOKUP(Terminales[[#This Row],[OFICINA_USUARIO]],[1]!Locales[#Data],3,0)</f>
        <v>TIENDA MACHALA</v>
      </c>
      <c r="BX175" s="18" t="str">
        <f>VLOOKUP(Terminales[[#This Row],[USUARIO_FINAL]],'[1]Personal Ppto vs Real'!$A:$F,6,0)</f>
        <v>SANCHEZ SARITAMA JOEL LUIS</v>
      </c>
      <c r="BY17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7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75" s="18">
        <f>DAY(Terminales[[#This Row],[FECHA_FACTURA]])</f>
        <v>9</v>
      </c>
      <c r="CB175" s="65">
        <f>IF(Terminales[[#This Row],[CANTIDAD]] = 1,INDEX([1]!Comisiones[#Data],MATCH("Terminales",[1]!Comisiones[Producto],0),MATCH(Terminales[[#This Row],[TIPO ALTA COMISIONES]],[1]!Comisiones[#Headers],0))*Terminales[[#This Row],[MONTO]],0)</f>
        <v>36.964285799999999</v>
      </c>
      <c r="CC175" s="65">
        <f>IFERROR(IF(AND(Terminales[[#This Row],[CANTIDAD]] = 1,Terminales[[#This Row],[MOVIMIENTO]] = "RENOVACION"),Terminales[[#This Row],[TARIFA_BASICA]]*0.5,),)</f>
        <v>12.494999999999999</v>
      </c>
      <c r="CD175" s="65">
        <f>IF('[1]Resumen TM'!$AW$20 &lt; 0.4,0,Terminales[[#This Row],[MONTO]]*0.02)</f>
        <v>12.321428599999999</v>
      </c>
      <c r="CE175" s="66">
        <f>Terminales[[#This Row],[COMISIONES TERMINALES]]+Terminales[[#This Row],[COMISIONES RENOVACIONES]]+Terminales[[#This Row],[COMISIONES BONO]]</f>
        <v>61.780714399999994</v>
      </c>
      <c r="CF175" s="67">
        <f>(Terminales[[#This Row],[COMISIONES TERMINALES]]*VLOOKUP(Terminales[[#This Row],[LOCALES]],[1]!Calendario[#Data],3,0))/VLOOKUP(Terminales[[#This Row],[LOCALES]],[1]!Calendario[#Data],2,0)</f>
        <v>59.907635606896548</v>
      </c>
      <c r="CG175" s="67">
        <f>(Terminales[[#This Row],[COMISIONES RENOVACIONES]]*VLOOKUP(Terminales[[#This Row],[LOCALES]],[1]!Calendario[#Data],3,0))/VLOOKUP(Terminales[[#This Row],[LOCALES]],[1]!Calendario[#Data],2,0)</f>
        <v>20.25051724137931</v>
      </c>
      <c r="CH175" s="67">
        <f>(Terminales[[#This Row],[COMISIONES BONO]]*VLOOKUP(Terminales[[#This Row],[LOCALES]],[1]!Calendario[#Data],3,0))/VLOOKUP(Terminales[[#This Row],[LOCALES]],[1]!Calendario[#Data],2,0)</f>
        <v>19.969211868965516</v>
      </c>
      <c r="CI175" s="67">
        <f>Terminales[[#This Row],[PROY. COM. TERMINALES]]+Terminales[[#This Row],[PROY. COM. RENOV.]]+Terminales[[#This Row],[PROY. COM. 2%]]</f>
        <v>100.12736471724138</v>
      </c>
    </row>
    <row r="176" spans="1:87" x14ac:dyDescent="0.25">
      <c r="A176" s="68">
        <v>44926</v>
      </c>
      <c r="B176" s="68">
        <v>44904</v>
      </c>
      <c r="C176" s="18" t="s">
        <v>291</v>
      </c>
      <c r="D176" s="18" t="s">
        <v>78</v>
      </c>
      <c r="E176" s="18" t="s">
        <v>231</v>
      </c>
      <c r="F176" s="18" t="s">
        <v>9131</v>
      </c>
      <c r="G176" s="18" t="s">
        <v>292</v>
      </c>
      <c r="H176" s="18" t="s">
        <v>293</v>
      </c>
      <c r="I176" s="18" t="s">
        <v>9132</v>
      </c>
      <c r="J176" s="18" t="s">
        <v>95</v>
      </c>
      <c r="K176" s="18" t="s">
        <v>7970</v>
      </c>
      <c r="L176" s="18" t="s">
        <v>9133</v>
      </c>
      <c r="M176" s="18" t="s">
        <v>9134</v>
      </c>
      <c r="N176" s="18" t="s">
        <v>9135</v>
      </c>
      <c r="O176" s="18" t="s">
        <v>4907</v>
      </c>
      <c r="P176" s="18" t="s">
        <v>9136</v>
      </c>
      <c r="Q176" s="18" t="s">
        <v>7975</v>
      </c>
      <c r="R176" s="18" t="s">
        <v>7976</v>
      </c>
      <c r="S176" s="18" t="s">
        <v>8045</v>
      </c>
      <c r="T176" s="18" t="s">
        <v>8099</v>
      </c>
      <c r="U176" s="18" t="s">
        <v>8100</v>
      </c>
      <c r="V176" s="18" t="s">
        <v>6963</v>
      </c>
      <c r="W176" s="18" t="s">
        <v>95</v>
      </c>
      <c r="X176" s="18" t="s">
        <v>95</v>
      </c>
      <c r="Y176" s="18" t="s">
        <v>7980</v>
      </c>
      <c r="Z176" s="18" t="s">
        <v>6996</v>
      </c>
      <c r="AA176" s="69">
        <v>1</v>
      </c>
      <c r="AB176" s="18">
        <v>767.85713999999996</v>
      </c>
      <c r="AC176" s="18" t="s">
        <v>9137</v>
      </c>
      <c r="AD176" s="18" t="s">
        <v>7982</v>
      </c>
      <c r="AE176" s="18">
        <v>402.5</v>
      </c>
      <c r="AF176" s="18" t="s">
        <v>7983</v>
      </c>
      <c r="AG176" s="18">
        <v>402.5</v>
      </c>
      <c r="AH176" s="18" t="s">
        <v>95</v>
      </c>
      <c r="AI176" s="18" t="s">
        <v>7213</v>
      </c>
      <c r="AJ176" s="18" t="s">
        <v>7214</v>
      </c>
      <c r="AK176" s="18">
        <v>24.99</v>
      </c>
      <c r="AL176" s="18" t="s">
        <v>95</v>
      </c>
      <c r="AM176" s="18" t="s">
        <v>95</v>
      </c>
      <c r="AN176" s="18" t="s">
        <v>7984</v>
      </c>
      <c r="AO176" s="18" t="s">
        <v>139</v>
      </c>
      <c r="AP176" s="20" t="s">
        <v>187</v>
      </c>
      <c r="AQ176" s="18" t="s">
        <v>188</v>
      </c>
      <c r="AR176" s="18" t="s">
        <v>295</v>
      </c>
      <c r="AS176" s="18">
        <v>18</v>
      </c>
      <c r="AT176" s="18" t="s">
        <v>177</v>
      </c>
      <c r="AU176" s="18" t="s">
        <v>90</v>
      </c>
      <c r="AV176" s="18" t="s">
        <v>8660</v>
      </c>
      <c r="AW176" s="18" t="s">
        <v>8661</v>
      </c>
      <c r="AX176" s="18" t="s">
        <v>83</v>
      </c>
      <c r="AY176" s="18" t="s">
        <v>95</v>
      </c>
      <c r="AZ176" s="18" t="s">
        <v>95</v>
      </c>
      <c r="BA176" s="18" t="s">
        <v>95</v>
      </c>
      <c r="BB176" s="18" t="s">
        <v>95</v>
      </c>
      <c r="BC176" s="18" t="s">
        <v>118</v>
      </c>
      <c r="BD176" s="18">
        <v>154</v>
      </c>
      <c r="BE176" s="18" t="s">
        <v>95</v>
      </c>
      <c r="BF176" s="18" t="s">
        <v>95</v>
      </c>
      <c r="BG176" s="18" t="s">
        <v>95</v>
      </c>
      <c r="BH176" s="18" t="s">
        <v>95</v>
      </c>
      <c r="BI176" s="18">
        <v>12</v>
      </c>
      <c r="BJ176" s="18">
        <v>2022</v>
      </c>
      <c r="BK176" s="18" t="s">
        <v>95</v>
      </c>
      <c r="BL176" s="18" t="s">
        <v>95</v>
      </c>
      <c r="BM176" s="18" t="s">
        <v>95</v>
      </c>
      <c r="BN176" s="18" t="s">
        <v>85</v>
      </c>
      <c r="BO176" s="18" t="s">
        <v>86</v>
      </c>
      <c r="BP176" s="18" t="s">
        <v>90</v>
      </c>
      <c r="BQ176" s="18" t="s">
        <v>8002</v>
      </c>
      <c r="BR176" s="18" t="s">
        <v>139</v>
      </c>
      <c r="BS176" s="18" t="s">
        <v>8329</v>
      </c>
      <c r="BT176" s="18" t="s">
        <v>7989</v>
      </c>
      <c r="BU176" s="18" t="s">
        <v>7990</v>
      </c>
      <c r="BV176" s="18" t="str">
        <f>Terminales[[#This Row],[IMEI]]&amp;"SI"</f>
        <v>353842194256697SI</v>
      </c>
      <c r="BW176" s="18" t="str">
        <f>VLOOKUP(Terminales[[#This Row],[OFICINA_USUARIO]],[1]!Locales[#Data],3,0)</f>
        <v>TIENDA RECREO</v>
      </c>
      <c r="BX176" s="18" t="str">
        <f>VLOOKUP(Terminales[[#This Row],[USUARIO_FINAL]],'[1]Personal Ppto vs Real'!$A:$F,6,0)</f>
        <v>ESPINOZA MARTINES LAURA XIOMARA</v>
      </c>
      <c r="BY17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7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18</v>
      </c>
      <c r="CA176" s="18">
        <f>DAY(Terminales[[#This Row],[FECHA_FACTURA]])</f>
        <v>9</v>
      </c>
      <c r="CB176" s="65">
        <f>IF(Terminales[[#This Row],[CANTIDAD]] = 1,INDEX([1]!Comisiones[#Data],MATCH("Terminales",[1]!Comisiones[Producto],0),MATCH(Terminales[[#This Row],[TIPO ALTA COMISIONES]],[1]!Comisiones[#Headers],0))*Terminales[[#This Row],[MONTO]],0)</f>
        <v>23.035714199999997</v>
      </c>
      <c r="CC176" s="65">
        <f>IFERROR(IF(AND(Terminales[[#This Row],[CANTIDAD]] = 1,Terminales[[#This Row],[MOVIMIENTO]] = "RENOVACION"),Terminales[[#This Row],[TARIFA_BASICA]]*0.5,),)</f>
        <v>12.494999999999999</v>
      </c>
      <c r="CD176" s="65">
        <f>IF('[1]Resumen TM'!$AW$20 &lt; 0.4,0,Terminales[[#This Row],[MONTO]]*0.02)</f>
        <v>15.3571428</v>
      </c>
      <c r="CE176" s="66">
        <f>Terminales[[#This Row],[COMISIONES TERMINALES]]+Terminales[[#This Row],[COMISIONES RENOVACIONES]]+Terminales[[#This Row],[COMISIONES BONO]]</f>
        <v>50.887856999999997</v>
      </c>
      <c r="CF176" s="67">
        <f>(Terminales[[#This Row],[COMISIONES TERMINALES]]*VLOOKUP(Terminales[[#This Row],[LOCALES]],[1]!Calendario[#Data],3,0))/VLOOKUP(Terminales[[#This Row],[LOCALES]],[1]!Calendario[#Data],2,0)</f>
        <v>37.897465296774193</v>
      </c>
      <c r="CG176" s="67">
        <f>(Terminales[[#This Row],[COMISIONES RENOVACIONES]]*VLOOKUP(Terminales[[#This Row],[LOCALES]],[1]!Calendario[#Data],3,0))/VLOOKUP(Terminales[[#This Row],[LOCALES]],[1]!Calendario[#Data],2,0)</f>
        <v>20.556290322580644</v>
      </c>
      <c r="CH176" s="67">
        <f>(Terminales[[#This Row],[COMISIONES BONO]]*VLOOKUP(Terminales[[#This Row],[LOCALES]],[1]!Calendario[#Data],3,0))/VLOOKUP(Terminales[[#This Row],[LOCALES]],[1]!Calendario[#Data],2,0)</f>
        <v>25.264976864516129</v>
      </c>
      <c r="CI176" s="67">
        <f>Terminales[[#This Row],[PROY. COM. TERMINALES]]+Terminales[[#This Row],[PROY. COM. RENOV.]]+Terminales[[#This Row],[PROY. COM. 2%]]</f>
        <v>83.718732483870966</v>
      </c>
    </row>
    <row r="177" spans="1:87" x14ac:dyDescent="0.25">
      <c r="A177" s="68">
        <v>44926</v>
      </c>
      <c r="B177" s="68">
        <v>44904</v>
      </c>
      <c r="C177" s="18" t="s">
        <v>96</v>
      </c>
      <c r="D177" s="18" t="s">
        <v>96</v>
      </c>
      <c r="E177" s="18" t="s">
        <v>96</v>
      </c>
      <c r="F177" s="18" t="s">
        <v>4544</v>
      </c>
      <c r="G177" s="18" t="s">
        <v>292</v>
      </c>
      <c r="H177" s="18" t="s">
        <v>494</v>
      </c>
      <c r="I177" s="18" t="s">
        <v>9138</v>
      </c>
      <c r="J177" s="18" t="s">
        <v>95</v>
      </c>
      <c r="K177" s="18" t="s">
        <v>7970</v>
      </c>
      <c r="L177" s="18" t="s">
        <v>9139</v>
      </c>
      <c r="M177" s="18" t="s">
        <v>4546</v>
      </c>
      <c r="N177" s="18" t="s">
        <v>4547</v>
      </c>
      <c r="O177" s="18" t="s">
        <v>4907</v>
      </c>
      <c r="P177" s="18" t="s">
        <v>9140</v>
      </c>
      <c r="Q177" s="18" t="s">
        <v>7975</v>
      </c>
      <c r="R177" s="18" t="s">
        <v>7976</v>
      </c>
      <c r="S177" s="18" t="s">
        <v>8045</v>
      </c>
      <c r="T177" s="18" t="s">
        <v>8099</v>
      </c>
      <c r="U177" s="18" t="s">
        <v>8100</v>
      </c>
      <c r="V177" s="18" t="s">
        <v>6963</v>
      </c>
      <c r="W177" s="18" t="s">
        <v>95</v>
      </c>
      <c r="X177" s="18" t="s">
        <v>95</v>
      </c>
      <c r="Y177" s="18" t="s">
        <v>7980</v>
      </c>
      <c r="Z177" s="18" t="s">
        <v>6996</v>
      </c>
      <c r="AA177" s="69">
        <v>1</v>
      </c>
      <c r="AB177" s="18">
        <v>406.25</v>
      </c>
      <c r="AC177" s="18" t="s">
        <v>9141</v>
      </c>
      <c r="AD177" s="18" t="s">
        <v>7982</v>
      </c>
      <c r="AE177" s="18">
        <v>397</v>
      </c>
      <c r="AF177" s="18" t="s">
        <v>7983</v>
      </c>
      <c r="AG177" s="18">
        <v>397</v>
      </c>
      <c r="AH177" s="18" t="s">
        <v>95</v>
      </c>
      <c r="AI177" s="18" t="s">
        <v>160</v>
      </c>
      <c r="AJ177" s="18" t="s">
        <v>161</v>
      </c>
      <c r="AK177" s="18">
        <v>14.28</v>
      </c>
      <c r="AL177" s="18" t="s">
        <v>95</v>
      </c>
      <c r="AM177" s="18" t="s">
        <v>95</v>
      </c>
      <c r="AN177" s="18" t="s">
        <v>7984</v>
      </c>
      <c r="AO177" s="18" t="s">
        <v>139</v>
      </c>
      <c r="AP177" s="20" t="s">
        <v>1545</v>
      </c>
      <c r="AQ177" s="18" t="s">
        <v>1546</v>
      </c>
      <c r="AR177" s="18" t="s">
        <v>496</v>
      </c>
      <c r="AS177" s="18">
        <v>1</v>
      </c>
      <c r="AT177" s="18" t="s">
        <v>138</v>
      </c>
      <c r="AU177" s="18" t="s">
        <v>90</v>
      </c>
      <c r="AV177" s="18" t="s">
        <v>8660</v>
      </c>
      <c r="AW177" s="18" t="s">
        <v>8661</v>
      </c>
      <c r="AX177" s="18" t="s">
        <v>83</v>
      </c>
      <c r="AY177" s="18" t="s">
        <v>95</v>
      </c>
      <c r="AZ177" s="18" t="s">
        <v>95</v>
      </c>
      <c r="BA177" s="18" t="s">
        <v>95</v>
      </c>
      <c r="BB177" s="18" t="s">
        <v>95</v>
      </c>
      <c r="BC177" s="18" t="s">
        <v>118</v>
      </c>
      <c r="BD177" s="18" t="s">
        <v>95</v>
      </c>
      <c r="BE177" s="18" t="s">
        <v>95</v>
      </c>
      <c r="BF177" s="18" t="s">
        <v>95</v>
      </c>
      <c r="BG177" s="18" t="s">
        <v>95</v>
      </c>
      <c r="BH177" s="18" t="s">
        <v>95</v>
      </c>
      <c r="BI177" s="18">
        <v>12</v>
      </c>
      <c r="BJ177" s="18">
        <v>2022</v>
      </c>
      <c r="BK177" s="18" t="s">
        <v>95</v>
      </c>
      <c r="BL177" s="18" t="s">
        <v>95</v>
      </c>
      <c r="BM177" s="18" t="s">
        <v>95</v>
      </c>
      <c r="BN177" s="18" t="s">
        <v>85</v>
      </c>
      <c r="BO177" s="18" t="s">
        <v>86</v>
      </c>
      <c r="BP177" s="18" t="s">
        <v>90</v>
      </c>
      <c r="BQ177" s="18" t="s">
        <v>7987</v>
      </c>
      <c r="BR177" s="18" t="s">
        <v>139</v>
      </c>
      <c r="BS177" s="18" t="s">
        <v>8074</v>
      </c>
      <c r="BT177" s="18" t="s">
        <v>7989</v>
      </c>
      <c r="BU177" s="18" t="s">
        <v>496</v>
      </c>
      <c r="BV177" s="18" t="str">
        <f>Terminales[[#This Row],[IMEI]]&amp;"SI"</f>
        <v>353842194901185SI</v>
      </c>
      <c r="BW177" s="18" t="str">
        <f>VLOOKUP(Terminales[[#This Row],[OFICINA_USUARIO]],[1]!Locales[#Data],3,0)</f>
        <v>TIENDA AMERICA</v>
      </c>
      <c r="BX177" s="18" t="str">
        <f>VLOOKUP(Terminales[[#This Row],[USUARIO_FINAL]],'[1]Personal Ppto vs Real'!$A:$F,6,0)</f>
        <v>GRANDA ESPINOZA ANDRES SEBASTIAN</v>
      </c>
      <c r="BY17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7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77" s="18">
        <f>DAY(Terminales[[#This Row],[FECHA_FACTURA]])</f>
        <v>9</v>
      </c>
      <c r="CB177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177" s="65">
        <f>IFERROR(IF(AND(Terminales[[#This Row],[CANTIDAD]] = 1,Terminales[[#This Row],[MOVIMIENTO]] = "RENOVACION"),Terminales[[#This Row],[TARIFA_BASICA]]*0.5,),)</f>
        <v>7.14</v>
      </c>
      <c r="CD177" s="65">
        <f>IF('[1]Resumen TM'!$AW$20 &lt; 0.4,0,Terminales[[#This Row],[MONTO]]*0.02)</f>
        <v>8.125</v>
      </c>
      <c r="CE177" s="66">
        <f>Terminales[[#This Row],[COMISIONES TERMINALES]]+Terminales[[#This Row],[COMISIONES RENOVACIONES]]+Terminales[[#This Row],[COMISIONES BONO]]</f>
        <v>55.89</v>
      </c>
      <c r="CF177" s="67">
        <f>(Terminales[[#This Row],[COMISIONES TERMINALES]]*VLOOKUP(Terminales[[#This Row],[LOCALES]],[1]!Calendario[#Data],3,0))/VLOOKUP(Terminales[[#This Row],[LOCALES]],[1]!Calendario[#Data],2,0)</f>
        <v>66.741071428571431</v>
      </c>
      <c r="CG177" s="67">
        <f>(Terminales[[#This Row],[COMISIONES RENOVACIONES]]*VLOOKUP(Terminales[[#This Row],[LOCALES]],[1]!Calendario[#Data],3,0))/VLOOKUP(Terminales[[#This Row],[LOCALES]],[1]!Calendario[#Data],2,0)</f>
        <v>11.73</v>
      </c>
      <c r="CH177" s="67">
        <f>(Terminales[[#This Row],[COMISIONES BONO]]*VLOOKUP(Terminales[[#This Row],[LOCALES]],[1]!Calendario[#Data],3,0))/VLOOKUP(Terminales[[#This Row],[LOCALES]],[1]!Calendario[#Data],2,0)</f>
        <v>13.348214285714286</v>
      </c>
      <c r="CI177" s="67">
        <f>Terminales[[#This Row],[PROY. COM. TERMINALES]]+Terminales[[#This Row],[PROY. COM. RENOV.]]+Terminales[[#This Row],[PROY. COM. 2%]]</f>
        <v>91.819285714285726</v>
      </c>
    </row>
    <row r="178" spans="1:87" x14ac:dyDescent="0.25">
      <c r="A178" s="68">
        <v>44926</v>
      </c>
      <c r="B178" s="68">
        <v>44904</v>
      </c>
      <c r="C178" s="18" t="s">
        <v>291</v>
      </c>
      <c r="D178" s="18" t="s">
        <v>78</v>
      </c>
      <c r="E178" s="18" t="s">
        <v>1532</v>
      </c>
      <c r="F178" s="18" t="s">
        <v>9142</v>
      </c>
      <c r="G178" s="18" t="s">
        <v>292</v>
      </c>
      <c r="H178" s="18" t="s">
        <v>293</v>
      </c>
      <c r="I178" s="18" t="s">
        <v>9143</v>
      </c>
      <c r="J178" s="18" t="s">
        <v>95</v>
      </c>
      <c r="K178" s="18" t="s">
        <v>7970</v>
      </c>
      <c r="L178" s="18" t="s">
        <v>9144</v>
      </c>
      <c r="M178" s="18" t="s">
        <v>9145</v>
      </c>
      <c r="N178" s="18" t="s">
        <v>9146</v>
      </c>
      <c r="O178" s="18" t="s">
        <v>1881</v>
      </c>
      <c r="P178" s="18" t="s">
        <v>9147</v>
      </c>
      <c r="Q178" s="18" t="s">
        <v>7975</v>
      </c>
      <c r="R178" s="18" t="s">
        <v>7976</v>
      </c>
      <c r="S178" s="18" t="s">
        <v>8070</v>
      </c>
      <c r="T178" s="18" t="s">
        <v>8397</v>
      </c>
      <c r="U178" s="18" t="s">
        <v>8012</v>
      </c>
      <c r="V178" s="18" t="s">
        <v>6963</v>
      </c>
      <c r="W178" s="18" t="s">
        <v>95</v>
      </c>
      <c r="X178" s="18" t="s">
        <v>95</v>
      </c>
      <c r="Y178" s="18" t="s">
        <v>7980</v>
      </c>
      <c r="Z178" s="18" t="s">
        <v>6996</v>
      </c>
      <c r="AA178" s="69">
        <v>1</v>
      </c>
      <c r="AB178" s="18">
        <v>290.17856999999998</v>
      </c>
      <c r="AC178" s="18" t="s">
        <v>9148</v>
      </c>
      <c r="AD178" s="18" t="s">
        <v>7982</v>
      </c>
      <c r="AE178" s="18">
        <v>173.7</v>
      </c>
      <c r="AF178" s="18" t="s">
        <v>7983</v>
      </c>
      <c r="AG178" s="18">
        <v>173.7</v>
      </c>
      <c r="AH178" s="18" t="s">
        <v>95</v>
      </c>
      <c r="AI178" s="18" t="s">
        <v>7247</v>
      </c>
      <c r="AJ178" s="18" t="s">
        <v>7248</v>
      </c>
      <c r="AK178" s="18">
        <v>19.989999999999998</v>
      </c>
      <c r="AL178" s="18" t="s">
        <v>95</v>
      </c>
      <c r="AM178" s="18" t="s">
        <v>95</v>
      </c>
      <c r="AN178" s="18" t="s">
        <v>7984</v>
      </c>
      <c r="AO178" s="18" t="s">
        <v>92</v>
      </c>
      <c r="AP178" s="20" t="s">
        <v>352</v>
      </c>
      <c r="AQ178" s="18" t="s">
        <v>353</v>
      </c>
      <c r="AR178" s="18" t="s">
        <v>295</v>
      </c>
      <c r="AS178" s="18">
        <v>12</v>
      </c>
      <c r="AT178" s="18" t="s">
        <v>122</v>
      </c>
      <c r="AU178" s="18" t="s">
        <v>90</v>
      </c>
      <c r="AV178" s="18" t="s">
        <v>8399</v>
      </c>
      <c r="AW178" s="18" t="s">
        <v>8400</v>
      </c>
      <c r="AX178" s="18" t="s">
        <v>83</v>
      </c>
      <c r="AY178" s="18" t="s">
        <v>95</v>
      </c>
      <c r="AZ178" s="18" t="s">
        <v>95</v>
      </c>
      <c r="BA178" s="18" t="s">
        <v>95</v>
      </c>
      <c r="BB178" s="18" t="s">
        <v>95</v>
      </c>
      <c r="BC178" s="18" t="s">
        <v>118</v>
      </c>
      <c r="BD178" s="18">
        <v>60</v>
      </c>
      <c r="BE178" s="18" t="s">
        <v>95</v>
      </c>
      <c r="BF178" s="18" t="s">
        <v>95</v>
      </c>
      <c r="BG178" s="18" t="s">
        <v>95</v>
      </c>
      <c r="BH178" s="18" t="s">
        <v>95</v>
      </c>
      <c r="BI178" s="18">
        <v>12</v>
      </c>
      <c r="BJ178" s="18">
        <v>2022</v>
      </c>
      <c r="BK178" s="18" t="s">
        <v>95</v>
      </c>
      <c r="BL178" s="18" t="s">
        <v>95</v>
      </c>
      <c r="BM178" s="18" t="s">
        <v>95</v>
      </c>
      <c r="BN178" s="18" t="s">
        <v>85</v>
      </c>
      <c r="BO178" s="18" t="s">
        <v>86</v>
      </c>
      <c r="BP178" s="18" t="s">
        <v>90</v>
      </c>
      <c r="BQ178" s="18" t="s">
        <v>8050</v>
      </c>
      <c r="BR178" s="18" t="s">
        <v>92</v>
      </c>
      <c r="BS178" s="18" t="s">
        <v>7988</v>
      </c>
      <c r="BT178" s="18" t="s">
        <v>7989</v>
      </c>
      <c r="BU178" s="18" t="s">
        <v>7990</v>
      </c>
      <c r="BV178" s="18" t="str">
        <f>Terminales[[#This Row],[IMEI]]&amp;"SI"</f>
        <v>864050069259026SI</v>
      </c>
      <c r="BW178" s="18" t="str">
        <f>VLOOKUP(Terminales[[#This Row],[OFICINA_USUARIO]],[1]!Locales[#Data],3,0)</f>
        <v>TIENDA MACHALA</v>
      </c>
      <c r="BX178" s="18" t="str">
        <f>VLOOKUP(Terminales[[#This Row],[USUARIO_FINAL]],'[1]Personal Ppto vs Real'!$A:$F,6,0)</f>
        <v>TENORIO MARIA DEL PILAR</v>
      </c>
      <c r="BY17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7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78" s="18">
        <f>DAY(Terminales[[#This Row],[FECHA_FACTURA]])</f>
        <v>9</v>
      </c>
      <c r="CB178" s="65">
        <f>IF(Terminales[[#This Row],[CANTIDAD]] = 1,INDEX([1]!Comisiones[#Data],MATCH("Terminales",[1]!Comisiones[Producto],0),MATCH(Terminales[[#This Row],[TIPO ALTA COMISIONES]],[1]!Comisiones[#Headers],0))*Terminales[[#This Row],[MONTO]],0)</f>
        <v>17.410714199999997</v>
      </c>
      <c r="CC178" s="65">
        <f>IFERROR(IF(AND(Terminales[[#This Row],[CANTIDAD]] = 1,Terminales[[#This Row],[MOVIMIENTO]] = "RENOVACION"),Terminales[[#This Row],[TARIFA_BASICA]]*0.5,),)</f>
        <v>9.9949999999999992</v>
      </c>
      <c r="CD178" s="65">
        <f>IF('[1]Resumen TM'!$AW$20 &lt; 0.4,0,Terminales[[#This Row],[MONTO]]*0.02)</f>
        <v>5.8035714</v>
      </c>
      <c r="CE178" s="66">
        <f>Terminales[[#This Row],[COMISIONES TERMINALES]]+Terminales[[#This Row],[COMISIONES RENOVACIONES]]+Terminales[[#This Row],[COMISIONES BONO]]</f>
        <v>33.209285600000001</v>
      </c>
      <c r="CF178" s="67">
        <f>(Terminales[[#This Row],[COMISIONES TERMINALES]]*VLOOKUP(Terminales[[#This Row],[LOCALES]],[1]!Calendario[#Data],3,0))/VLOOKUP(Terminales[[#This Row],[LOCALES]],[1]!Calendario[#Data],2,0)</f>
        <v>28.217364393103445</v>
      </c>
      <c r="CG178" s="67">
        <f>(Terminales[[#This Row],[COMISIONES RENOVACIONES]]*VLOOKUP(Terminales[[#This Row],[LOCALES]],[1]!Calendario[#Data],3,0))/VLOOKUP(Terminales[[#This Row],[LOCALES]],[1]!Calendario[#Data],2,0)</f>
        <v>16.198793103448274</v>
      </c>
      <c r="CH178" s="67">
        <f>(Terminales[[#This Row],[COMISIONES BONO]]*VLOOKUP(Terminales[[#This Row],[LOCALES]],[1]!Calendario[#Data],3,0))/VLOOKUP(Terminales[[#This Row],[LOCALES]],[1]!Calendario[#Data],2,0)</f>
        <v>9.4057881310344822</v>
      </c>
      <c r="CI178" s="67">
        <f>Terminales[[#This Row],[PROY. COM. TERMINALES]]+Terminales[[#This Row],[PROY. COM. RENOV.]]+Terminales[[#This Row],[PROY. COM. 2%]]</f>
        <v>53.821945627586203</v>
      </c>
    </row>
    <row r="179" spans="1:87" x14ac:dyDescent="0.25">
      <c r="A179" s="68">
        <v>44926</v>
      </c>
      <c r="B179" s="68">
        <v>44904</v>
      </c>
      <c r="C179" s="18" t="s">
        <v>291</v>
      </c>
      <c r="D179" s="18" t="s">
        <v>78</v>
      </c>
      <c r="E179" s="18" t="s">
        <v>2241</v>
      </c>
      <c r="F179" s="18" t="s">
        <v>3748</v>
      </c>
      <c r="G179" s="18" t="s">
        <v>292</v>
      </c>
      <c r="H179" s="18" t="s">
        <v>494</v>
      </c>
      <c r="I179" s="18" t="s">
        <v>9149</v>
      </c>
      <c r="J179" s="18" t="s">
        <v>95</v>
      </c>
      <c r="K179" s="18" t="s">
        <v>7970</v>
      </c>
      <c r="L179" s="18" t="s">
        <v>3749</v>
      </c>
      <c r="M179" s="18" t="s">
        <v>3750</v>
      </c>
      <c r="N179" s="18" t="s">
        <v>3751</v>
      </c>
      <c r="O179" s="18" t="s">
        <v>3754</v>
      </c>
      <c r="P179" s="18" t="s">
        <v>3752</v>
      </c>
      <c r="Q179" s="18" t="s">
        <v>7975</v>
      </c>
      <c r="R179" s="18" t="s">
        <v>9150</v>
      </c>
      <c r="S179" s="18" t="s">
        <v>8198</v>
      </c>
      <c r="T179" s="18" t="s">
        <v>9151</v>
      </c>
      <c r="U179" s="18" t="s">
        <v>9150</v>
      </c>
      <c r="V179" s="18" t="s">
        <v>9150</v>
      </c>
      <c r="W179" s="18" t="s">
        <v>95</v>
      </c>
      <c r="X179" s="18" t="s">
        <v>95</v>
      </c>
      <c r="Y179" s="18" t="s">
        <v>7980</v>
      </c>
      <c r="Z179" s="18" t="s">
        <v>6996</v>
      </c>
      <c r="AA179" s="69">
        <v>1</v>
      </c>
      <c r="AB179" s="18">
        <v>60.714289999999998</v>
      </c>
      <c r="AC179" s="18" t="s">
        <v>9152</v>
      </c>
      <c r="AD179" s="18" t="s">
        <v>8151</v>
      </c>
      <c r="AE179" s="18">
        <v>50</v>
      </c>
      <c r="AF179" s="18" t="s">
        <v>7983</v>
      </c>
      <c r="AG179" s="18">
        <v>50</v>
      </c>
      <c r="AH179" s="18" t="s">
        <v>95</v>
      </c>
      <c r="AI179" s="18" t="s">
        <v>211</v>
      </c>
      <c r="AJ179" s="18" t="s">
        <v>212</v>
      </c>
      <c r="AK179" s="18">
        <v>25</v>
      </c>
      <c r="AL179" s="18" t="s">
        <v>95</v>
      </c>
      <c r="AM179" s="18" t="s">
        <v>95</v>
      </c>
      <c r="AN179" s="18" t="s">
        <v>7984</v>
      </c>
      <c r="AO179" s="18" t="s">
        <v>92</v>
      </c>
      <c r="AP179" s="20" t="s">
        <v>1043</v>
      </c>
      <c r="AQ179" s="18" t="s">
        <v>1044</v>
      </c>
      <c r="AR179" s="18" t="s">
        <v>496</v>
      </c>
      <c r="AS179" s="18">
        <v>1</v>
      </c>
      <c r="AT179" s="18" t="s">
        <v>122</v>
      </c>
      <c r="AU179" s="18" t="s">
        <v>90</v>
      </c>
      <c r="AV179" s="18" t="s">
        <v>9153</v>
      </c>
      <c r="AW179" s="18" t="s">
        <v>9154</v>
      </c>
      <c r="AX179" s="18" t="s">
        <v>83</v>
      </c>
      <c r="AY179" s="18" t="s">
        <v>95</v>
      </c>
      <c r="AZ179" s="18" t="s">
        <v>95</v>
      </c>
      <c r="BA179" s="18" t="s">
        <v>95</v>
      </c>
      <c r="BB179" s="18" t="s">
        <v>95</v>
      </c>
      <c r="BC179" s="18" t="s">
        <v>118</v>
      </c>
      <c r="BD179" s="18" t="s">
        <v>95</v>
      </c>
      <c r="BE179" s="18" t="s">
        <v>95</v>
      </c>
      <c r="BF179" s="18" t="s">
        <v>95</v>
      </c>
      <c r="BG179" s="18" t="s">
        <v>95</v>
      </c>
      <c r="BH179" s="18" t="s">
        <v>95</v>
      </c>
      <c r="BI179" s="18">
        <v>12</v>
      </c>
      <c r="BJ179" s="18">
        <v>2022</v>
      </c>
      <c r="BK179" s="18" t="s">
        <v>95</v>
      </c>
      <c r="BL179" s="18" t="s">
        <v>95</v>
      </c>
      <c r="BM179" s="18" t="s">
        <v>95</v>
      </c>
      <c r="BN179" s="18" t="s">
        <v>85</v>
      </c>
      <c r="BO179" s="18" t="s">
        <v>86</v>
      </c>
      <c r="BP179" s="18" t="s">
        <v>90</v>
      </c>
      <c r="BQ179" s="18" t="s">
        <v>8050</v>
      </c>
      <c r="BR179" s="18" t="s">
        <v>92</v>
      </c>
      <c r="BS179" s="18" t="s">
        <v>8074</v>
      </c>
      <c r="BT179" s="18" t="s">
        <v>7989</v>
      </c>
      <c r="BU179" s="18" t="s">
        <v>496</v>
      </c>
      <c r="BV179" s="18" t="str">
        <f>Terminales[[#This Row],[IMEI]]&amp;"SI"</f>
        <v>866688042841895SI</v>
      </c>
      <c r="BW179" s="18" t="str">
        <f>VLOOKUP(Terminales[[#This Row],[OFICINA_USUARIO]],[1]!Locales[#Data],3,0)</f>
        <v>TIENDA MACHALA</v>
      </c>
      <c r="BX179" s="18" t="str">
        <f>VLOOKUP(Terminales[[#This Row],[USUARIO_FINAL]],'[1]Personal Ppto vs Real'!$A:$F,6,0)</f>
        <v>GONZAGA YUPANGUI LIZBETH KATHERINE</v>
      </c>
      <c r="BY179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17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79" s="18">
        <f>DAY(Terminales[[#This Row],[FECHA_FACTURA]])</f>
        <v>9</v>
      </c>
      <c r="CB179" s="65">
        <f>IF(Terminales[[#This Row],[CANTIDAD]] = 1,INDEX([1]!Comisiones[#Data],MATCH("Terminales",[1]!Comisiones[Producto],0),MATCH(Terminales[[#This Row],[TIPO ALTA COMISIONES]],[1]!Comisiones[#Headers],0))*Terminales[[#This Row],[MONTO]],0)</f>
        <v>6.0714290000000002</v>
      </c>
      <c r="CC179" s="65">
        <f>IFERROR(IF(AND(Terminales[[#This Row],[CANTIDAD]] = 1,Terminales[[#This Row],[MOVIMIENTO]] = "RENOVACION"),Terminales[[#This Row],[TARIFA_BASICA]]*0.5,),)</f>
        <v>0</v>
      </c>
      <c r="CD179" s="65">
        <f>IF('[1]Resumen TM'!$AW$20 &lt; 0.4,0,Terminales[[#This Row],[MONTO]]*0.02)</f>
        <v>1.2142858000000001</v>
      </c>
      <c r="CE179" s="66">
        <f>Terminales[[#This Row],[COMISIONES TERMINALES]]+Terminales[[#This Row],[COMISIONES RENOVACIONES]]+Terminales[[#This Row],[COMISIONES BONO]]</f>
        <v>7.2857148</v>
      </c>
      <c r="CF179" s="67">
        <f>(Terminales[[#This Row],[COMISIONES TERMINALES]]*VLOOKUP(Terminales[[#This Row],[LOCALES]],[1]!Calendario[#Data],3,0))/VLOOKUP(Terminales[[#This Row],[LOCALES]],[1]!Calendario[#Data],2,0)</f>
        <v>9.8399021724137938</v>
      </c>
      <c r="CG179" s="67">
        <f>(Terminales[[#This Row],[COMISIONES RENOVACIONES]]*VLOOKUP(Terminales[[#This Row],[LOCALES]],[1]!Calendario[#Data],3,0))/VLOOKUP(Terminales[[#This Row],[LOCALES]],[1]!Calendario[#Data],2,0)</f>
        <v>0</v>
      </c>
      <c r="CH179" s="67">
        <f>(Terminales[[#This Row],[COMISIONES BONO]]*VLOOKUP(Terminales[[#This Row],[LOCALES]],[1]!Calendario[#Data],3,0))/VLOOKUP(Terminales[[#This Row],[LOCALES]],[1]!Calendario[#Data],2,0)</f>
        <v>1.9679804344827587</v>
      </c>
      <c r="CI179" s="67">
        <f>Terminales[[#This Row],[PROY. COM. TERMINALES]]+Terminales[[#This Row],[PROY. COM. RENOV.]]+Terminales[[#This Row],[PROY. COM. 2%]]</f>
        <v>11.807882606896552</v>
      </c>
    </row>
    <row r="180" spans="1:87" x14ac:dyDescent="0.25">
      <c r="A180" s="68">
        <v>44926</v>
      </c>
      <c r="B180" s="68">
        <v>44904</v>
      </c>
      <c r="C180" s="18" t="s">
        <v>291</v>
      </c>
      <c r="D180" s="18" t="s">
        <v>78</v>
      </c>
      <c r="E180" s="18" t="s">
        <v>2241</v>
      </c>
      <c r="F180" s="18" t="s">
        <v>9155</v>
      </c>
      <c r="G180" s="18" t="s">
        <v>292</v>
      </c>
      <c r="H180" s="18" t="s">
        <v>494</v>
      </c>
      <c r="I180" s="18" t="s">
        <v>9156</v>
      </c>
      <c r="J180" s="18" t="s">
        <v>95</v>
      </c>
      <c r="K180" s="18" t="s">
        <v>7970</v>
      </c>
      <c r="L180" s="18" t="s">
        <v>9157</v>
      </c>
      <c r="M180" s="18" t="s">
        <v>9158</v>
      </c>
      <c r="N180" s="18" t="s">
        <v>9159</v>
      </c>
      <c r="O180" s="18" t="s">
        <v>2260</v>
      </c>
      <c r="P180" s="18" t="s">
        <v>9160</v>
      </c>
      <c r="Q180" s="18" t="s">
        <v>7975</v>
      </c>
      <c r="R180" s="18" t="s">
        <v>7976</v>
      </c>
      <c r="S180" s="18" t="s">
        <v>8010</v>
      </c>
      <c r="T180" s="18" t="s">
        <v>8011</v>
      </c>
      <c r="U180" s="18" t="s">
        <v>8012</v>
      </c>
      <c r="V180" s="18" t="s">
        <v>6963</v>
      </c>
      <c r="W180" s="18" t="s">
        <v>95</v>
      </c>
      <c r="X180" s="18" t="s">
        <v>95</v>
      </c>
      <c r="Y180" s="18" t="s">
        <v>7980</v>
      </c>
      <c r="Z180" s="18" t="s">
        <v>6996</v>
      </c>
      <c r="AA180" s="69">
        <v>1</v>
      </c>
      <c r="AB180" s="18">
        <v>196.42857000000001</v>
      </c>
      <c r="AC180" s="18" t="s">
        <v>9161</v>
      </c>
      <c r="AD180" s="18" t="s">
        <v>7982</v>
      </c>
      <c r="AE180" s="18">
        <v>168.8</v>
      </c>
      <c r="AF180" s="18" t="s">
        <v>7983</v>
      </c>
      <c r="AG180" s="18">
        <v>168.8</v>
      </c>
      <c r="AH180" s="18" t="s">
        <v>95</v>
      </c>
      <c r="AI180" s="18" t="s">
        <v>7090</v>
      </c>
      <c r="AJ180" s="18" t="s">
        <v>7091</v>
      </c>
      <c r="AK180" s="18">
        <v>17.03</v>
      </c>
      <c r="AL180" s="18" t="s">
        <v>95</v>
      </c>
      <c r="AM180" s="18" t="s">
        <v>95</v>
      </c>
      <c r="AN180" s="18" t="s">
        <v>7984</v>
      </c>
      <c r="AO180" s="18" t="s">
        <v>92</v>
      </c>
      <c r="AP180" s="20" t="s">
        <v>318</v>
      </c>
      <c r="AQ180" s="18" t="s">
        <v>319</v>
      </c>
      <c r="AR180" s="18" t="s">
        <v>496</v>
      </c>
      <c r="AS180" s="18">
        <v>1</v>
      </c>
      <c r="AT180" s="18" t="s">
        <v>151</v>
      </c>
      <c r="AU180" s="18" t="s">
        <v>90</v>
      </c>
      <c r="AV180" s="18" t="s">
        <v>8014</v>
      </c>
      <c r="AW180" s="18" t="s">
        <v>8015</v>
      </c>
      <c r="AX180" s="18" t="s">
        <v>83</v>
      </c>
      <c r="AY180" s="18" t="s">
        <v>95</v>
      </c>
      <c r="AZ180" s="18" t="s">
        <v>95</v>
      </c>
      <c r="BA180" s="18" t="s">
        <v>95</v>
      </c>
      <c r="BB180" s="18" t="s">
        <v>95</v>
      </c>
      <c r="BC180" s="18" t="s">
        <v>84</v>
      </c>
      <c r="BD180" s="18" t="s">
        <v>95</v>
      </c>
      <c r="BE180" s="18" t="s">
        <v>95</v>
      </c>
      <c r="BF180" s="18" t="s">
        <v>95</v>
      </c>
      <c r="BG180" s="18" t="s">
        <v>95</v>
      </c>
      <c r="BH180" s="18" t="s">
        <v>95</v>
      </c>
      <c r="BI180" s="18">
        <v>12</v>
      </c>
      <c r="BJ180" s="18">
        <v>2022</v>
      </c>
      <c r="BK180" s="18" t="s">
        <v>95</v>
      </c>
      <c r="BL180" s="18" t="s">
        <v>95</v>
      </c>
      <c r="BM180" s="18" t="s">
        <v>95</v>
      </c>
      <c r="BN180" s="18" t="s">
        <v>85</v>
      </c>
      <c r="BO180" s="18" t="s">
        <v>86</v>
      </c>
      <c r="BP180" s="18" t="s">
        <v>90</v>
      </c>
      <c r="BQ180" s="18" t="s">
        <v>8141</v>
      </c>
      <c r="BR180" s="18" t="s">
        <v>92</v>
      </c>
      <c r="BS180" s="18" t="s">
        <v>8074</v>
      </c>
      <c r="BT180" s="18" t="s">
        <v>7989</v>
      </c>
      <c r="BU180" s="18" t="s">
        <v>496</v>
      </c>
      <c r="BV180" s="18" t="str">
        <f>Terminales[[#This Row],[IMEI]]&amp;"SI"</f>
        <v>359694275330527SI</v>
      </c>
      <c r="BW180" s="18" t="str">
        <f>VLOOKUP(Terminales[[#This Row],[OFICINA_USUARIO]],[1]!Locales[#Data],3,0)</f>
        <v>TIENDA CUENCA REMIGIO</v>
      </c>
      <c r="BX180" s="18" t="str">
        <f>VLOOKUP(Terminales[[#This Row],[USUARIO_FINAL]],'[1]Personal Ppto vs Real'!$A:$F,6,0)</f>
        <v>RODRIGUEZ QUITO JESSICA GABRIELA</v>
      </c>
      <c r="BY18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8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80" s="18">
        <f>DAY(Terminales[[#This Row],[FECHA_FACTURA]])</f>
        <v>9</v>
      </c>
      <c r="CB180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180" s="65">
        <f>IFERROR(IF(AND(Terminales[[#This Row],[CANTIDAD]] = 1,Terminales[[#This Row],[MOVIMIENTO]] = "RENOVACION"),Terminales[[#This Row],[TARIFA_BASICA]]*0.5,),)</f>
        <v>8.5150000000000006</v>
      </c>
      <c r="CD180" s="65">
        <f>IF('[1]Resumen TM'!$AW$20 &lt; 0.4,0,Terminales[[#This Row],[MONTO]]*0.02)</f>
        <v>3.9285714</v>
      </c>
      <c r="CE180" s="66">
        <f>Terminales[[#This Row],[COMISIONES TERMINALES]]+Terminales[[#This Row],[COMISIONES RENOVACIONES]]+Terminales[[#This Row],[COMISIONES BONO]]</f>
        <v>32.086428400000003</v>
      </c>
      <c r="CF180" s="67">
        <f>(Terminales[[#This Row],[COMISIONES TERMINALES]]*VLOOKUP(Terminales[[#This Row],[LOCALES]],[1]!Calendario[#Data],3,0))/VLOOKUP(Terminales[[#This Row],[LOCALES]],[1]!Calendario[#Data],2,0)</f>
        <v>31.834975137931039</v>
      </c>
      <c r="CG180" s="67">
        <f>(Terminales[[#This Row],[COMISIONES RENOVACIONES]]*VLOOKUP(Terminales[[#This Row],[LOCALES]],[1]!Calendario[#Data],3,0))/VLOOKUP(Terminales[[#This Row],[LOCALES]],[1]!Calendario[#Data],2,0)</f>
        <v>13.800172413793105</v>
      </c>
      <c r="CH180" s="67">
        <f>(Terminales[[#This Row],[COMISIONES BONO]]*VLOOKUP(Terminales[[#This Row],[LOCALES]],[1]!Calendario[#Data],3,0))/VLOOKUP(Terminales[[#This Row],[LOCALES]],[1]!Calendario[#Data],2,0)</f>
        <v>6.3669950275862073</v>
      </c>
      <c r="CI180" s="67">
        <f>Terminales[[#This Row],[PROY. COM. TERMINALES]]+Terminales[[#This Row],[PROY. COM. RENOV.]]+Terminales[[#This Row],[PROY. COM. 2%]]</f>
        <v>52.002142579310352</v>
      </c>
    </row>
    <row r="181" spans="1:87" x14ac:dyDescent="0.25">
      <c r="A181" s="68">
        <v>44926</v>
      </c>
      <c r="B181" s="68">
        <v>44904</v>
      </c>
      <c r="C181" s="18" t="s">
        <v>291</v>
      </c>
      <c r="D181" s="18" t="s">
        <v>78</v>
      </c>
      <c r="E181" s="18" t="s">
        <v>164</v>
      </c>
      <c r="F181" s="18" t="s">
        <v>4105</v>
      </c>
      <c r="G181" s="18" t="s">
        <v>292</v>
      </c>
      <c r="H181" s="18" t="s">
        <v>293</v>
      </c>
      <c r="I181" s="18" t="s">
        <v>9162</v>
      </c>
      <c r="J181" s="18" t="s">
        <v>95</v>
      </c>
      <c r="K181" s="18" t="s">
        <v>7970</v>
      </c>
      <c r="L181" s="18" t="s">
        <v>4106</v>
      </c>
      <c r="M181" s="18" t="s">
        <v>4107</v>
      </c>
      <c r="N181" s="18" t="s">
        <v>4108</v>
      </c>
      <c r="O181" s="18" t="s">
        <v>338</v>
      </c>
      <c r="P181" s="18" t="s">
        <v>4109</v>
      </c>
      <c r="Q181" s="18" t="s">
        <v>7975</v>
      </c>
      <c r="R181" s="18" t="s">
        <v>7976</v>
      </c>
      <c r="S181" s="18" t="s">
        <v>7977</v>
      </c>
      <c r="T181" s="18" t="s">
        <v>7978</v>
      </c>
      <c r="U181" s="18" t="s">
        <v>7979</v>
      </c>
      <c r="V181" s="18" t="s">
        <v>6963</v>
      </c>
      <c r="W181" s="18" t="s">
        <v>95</v>
      </c>
      <c r="X181" s="18" t="s">
        <v>95</v>
      </c>
      <c r="Y181" s="18" t="s">
        <v>7980</v>
      </c>
      <c r="Z181" s="18" t="s">
        <v>6996</v>
      </c>
      <c r="AA181" s="69">
        <v>1</v>
      </c>
      <c r="AB181" s="18">
        <v>339.28570999999999</v>
      </c>
      <c r="AC181" s="18" t="s">
        <v>9163</v>
      </c>
      <c r="AD181" s="18" t="s">
        <v>8151</v>
      </c>
      <c r="AE181" s="18">
        <v>249</v>
      </c>
      <c r="AF181" s="18" t="s">
        <v>7983</v>
      </c>
      <c r="AG181" s="18">
        <v>249</v>
      </c>
      <c r="AH181" s="18" t="s">
        <v>95</v>
      </c>
      <c r="AI181" s="18" t="s">
        <v>160</v>
      </c>
      <c r="AJ181" s="18" t="s">
        <v>161</v>
      </c>
      <c r="AK181" s="18">
        <v>14.28</v>
      </c>
      <c r="AL181" s="18" t="s">
        <v>95</v>
      </c>
      <c r="AM181" s="18" t="s">
        <v>95</v>
      </c>
      <c r="AN181" s="18" t="s">
        <v>7984</v>
      </c>
      <c r="AO181" s="18" t="s">
        <v>92</v>
      </c>
      <c r="AP181" s="20" t="s">
        <v>120</v>
      </c>
      <c r="AQ181" s="18" t="s">
        <v>121</v>
      </c>
      <c r="AR181" s="18" t="s">
        <v>295</v>
      </c>
      <c r="AS181" s="18">
        <v>6</v>
      </c>
      <c r="AT181" s="18" t="s">
        <v>122</v>
      </c>
      <c r="AU181" s="18" t="s">
        <v>90</v>
      </c>
      <c r="AV181" s="18" t="s">
        <v>7985</v>
      </c>
      <c r="AW181" s="18" t="s">
        <v>7986</v>
      </c>
      <c r="AX181" s="18" t="s">
        <v>83</v>
      </c>
      <c r="AY181" s="18" t="s">
        <v>95</v>
      </c>
      <c r="AZ181" s="18" t="s">
        <v>95</v>
      </c>
      <c r="BA181" s="18" t="s">
        <v>95</v>
      </c>
      <c r="BB181" s="18" t="s">
        <v>95</v>
      </c>
      <c r="BC181" s="18" t="s">
        <v>84</v>
      </c>
      <c r="BD181" s="18">
        <v>73</v>
      </c>
      <c r="BE181" s="18" t="s">
        <v>95</v>
      </c>
      <c r="BF181" s="18" t="s">
        <v>95</v>
      </c>
      <c r="BG181" s="18" t="s">
        <v>95</v>
      </c>
      <c r="BH181" s="18" t="s">
        <v>95</v>
      </c>
      <c r="BI181" s="18">
        <v>12</v>
      </c>
      <c r="BJ181" s="18">
        <v>2022</v>
      </c>
      <c r="BK181" s="18" t="s">
        <v>95</v>
      </c>
      <c r="BL181" s="18" t="s">
        <v>95</v>
      </c>
      <c r="BM181" s="18" t="s">
        <v>95</v>
      </c>
      <c r="BN181" s="18" t="s">
        <v>85</v>
      </c>
      <c r="BO181" s="18" t="s">
        <v>86</v>
      </c>
      <c r="BP181" s="18" t="s">
        <v>90</v>
      </c>
      <c r="BQ181" s="18" t="s">
        <v>8050</v>
      </c>
      <c r="BR181" s="18" t="s">
        <v>92</v>
      </c>
      <c r="BS181" s="18" t="s">
        <v>8027</v>
      </c>
      <c r="BT181" s="18" t="s">
        <v>7989</v>
      </c>
      <c r="BU181" s="18" t="s">
        <v>7990</v>
      </c>
      <c r="BV181" s="18" t="str">
        <f>Terminales[[#This Row],[IMEI]]&amp;"SI"</f>
        <v>864331068690159SI</v>
      </c>
      <c r="BW181" s="18" t="str">
        <f>VLOOKUP(Terminales[[#This Row],[OFICINA_USUARIO]],[1]!Locales[#Data],3,0)</f>
        <v>TIENDA MACHALA</v>
      </c>
      <c r="BX181" s="18" t="str">
        <f>VLOOKUP(Terminales[[#This Row],[USUARIO_FINAL]],'[1]Personal Ppto vs Real'!$A:$F,6,0)</f>
        <v>ARROBO VICENTE YADIRA ESPERANZA</v>
      </c>
      <c r="BY181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18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81" s="18">
        <f>DAY(Terminales[[#This Row],[FECHA_FACTURA]])</f>
        <v>9</v>
      </c>
      <c r="CB181" s="65">
        <f>IF(Terminales[[#This Row],[CANTIDAD]] = 1,INDEX([1]!Comisiones[#Data],MATCH("Terminales",[1]!Comisiones[Producto],0),MATCH(Terminales[[#This Row],[TIPO ALTA COMISIONES]],[1]!Comisiones[#Headers],0))*Terminales[[#This Row],[MONTO]],0)</f>
        <v>27.142856800000001</v>
      </c>
      <c r="CC181" s="65">
        <f>IFERROR(IF(AND(Terminales[[#This Row],[CANTIDAD]] = 1,Terminales[[#This Row],[MOVIMIENTO]] = "RENOVACION"),Terminales[[#This Row],[TARIFA_BASICA]]*0.5,),)</f>
        <v>0</v>
      </c>
      <c r="CD181" s="65">
        <f>IF('[1]Resumen TM'!$AW$20 &lt; 0.4,0,Terminales[[#This Row],[MONTO]]*0.02)</f>
        <v>6.7857142000000001</v>
      </c>
      <c r="CE181" s="66">
        <f>Terminales[[#This Row],[COMISIONES TERMINALES]]+Terminales[[#This Row],[COMISIONES RENOVACIONES]]+Terminales[[#This Row],[COMISIONES BONO]]</f>
        <v>33.928570999999998</v>
      </c>
      <c r="CF181" s="67">
        <f>(Terminales[[#This Row],[COMISIONES TERMINALES]]*VLOOKUP(Terminales[[#This Row],[LOCALES]],[1]!Calendario[#Data],3,0))/VLOOKUP(Terminales[[#This Row],[LOCALES]],[1]!Calendario[#Data],2,0)</f>
        <v>43.990147227586206</v>
      </c>
      <c r="CG181" s="67">
        <f>(Terminales[[#This Row],[COMISIONES RENOVACIONES]]*VLOOKUP(Terminales[[#This Row],[LOCALES]],[1]!Calendario[#Data],3,0))/VLOOKUP(Terminales[[#This Row],[LOCALES]],[1]!Calendario[#Data],2,0)</f>
        <v>0</v>
      </c>
      <c r="CH181" s="67">
        <f>(Terminales[[#This Row],[COMISIONES BONO]]*VLOOKUP(Terminales[[#This Row],[LOCALES]],[1]!Calendario[#Data],3,0))/VLOOKUP(Terminales[[#This Row],[LOCALES]],[1]!Calendario[#Data],2,0)</f>
        <v>10.997536806896552</v>
      </c>
      <c r="CI181" s="67">
        <f>Terminales[[#This Row],[PROY. COM. TERMINALES]]+Terminales[[#This Row],[PROY. COM. RENOV.]]+Terminales[[#This Row],[PROY. COM. 2%]]</f>
        <v>54.987684034482754</v>
      </c>
    </row>
    <row r="182" spans="1:87" x14ac:dyDescent="0.25">
      <c r="A182" s="68">
        <v>44926</v>
      </c>
      <c r="B182" s="68">
        <v>44904</v>
      </c>
      <c r="C182" s="18" t="s">
        <v>96</v>
      </c>
      <c r="D182" s="18" t="s">
        <v>96</v>
      </c>
      <c r="E182" s="18" t="s">
        <v>96</v>
      </c>
      <c r="F182" s="18" t="s">
        <v>9164</v>
      </c>
      <c r="G182" s="18" t="s">
        <v>292</v>
      </c>
      <c r="H182" s="18" t="s">
        <v>494</v>
      </c>
      <c r="I182" s="18" t="s">
        <v>9165</v>
      </c>
      <c r="J182" s="18" t="s">
        <v>95</v>
      </c>
      <c r="K182" s="18" t="s">
        <v>7970</v>
      </c>
      <c r="L182" s="18" t="s">
        <v>9166</v>
      </c>
      <c r="M182" s="18" t="s">
        <v>9167</v>
      </c>
      <c r="N182" s="18" t="s">
        <v>9168</v>
      </c>
      <c r="O182" s="18" t="s">
        <v>9169</v>
      </c>
      <c r="P182" s="18" t="s">
        <v>9170</v>
      </c>
      <c r="Q182" s="18" t="s">
        <v>7975</v>
      </c>
      <c r="R182" s="18" t="s">
        <v>7976</v>
      </c>
      <c r="S182" s="18" t="s">
        <v>8045</v>
      </c>
      <c r="T182" s="18" t="s">
        <v>9171</v>
      </c>
      <c r="U182" s="18" t="s">
        <v>7979</v>
      </c>
      <c r="V182" s="18" t="s">
        <v>6963</v>
      </c>
      <c r="W182" s="18" t="s">
        <v>95</v>
      </c>
      <c r="X182" s="18" t="s">
        <v>95</v>
      </c>
      <c r="Y182" s="18" t="s">
        <v>7980</v>
      </c>
      <c r="Z182" s="18" t="s">
        <v>6996</v>
      </c>
      <c r="AA182" s="69">
        <v>1</v>
      </c>
      <c r="AB182" s="18">
        <v>375</v>
      </c>
      <c r="AC182" s="18" t="s">
        <v>9172</v>
      </c>
      <c r="AD182" s="18" t="s">
        <v>96</v>
      </c>
      <c r="AE182" s="18">
        <v>330</v>
      </c>
      <c r="AF182" s="18" t="s">
        <v>7983</v>
      </c>
      <c r="AG182" s="18">
        <v>330</v>
      </c>
      <c r="AH182" s="18" t="s">
        <v>95</v>
      </c>
      <c r="AI182" s="18" t="s">
        <v>8102</v>
      </c>
      <c r="AJ182" s="18" t="s">
        <v>8103</v>
      </c>
      <c r="AK182" s="18" t="s">
        <v>95</v>
      </c>
      <c r="AL182" s="18" t="s">
        <v>95</v>
      </c>
      <c r="AM182" s="18" t="s">
        <v>95</v>
      </c>
      <c r="AN182" s="18" t="s">
        <v>7984</v>
      </c>
      <c r="AO182" s="18" t="s">
        <v>139</v>
      </c>
      <c r="AP182" s="20" t="s">
        <v>377</v>
      </c>
      <c r="AQ182" s="18" t="s">
        <v>378</v>
      </c>
      <c r="AR182" s="18" t="s">
        <v>496</v>
      </c>
      <c r="AS182" s="18">
        <v>1</v>
      </c>
      <c r="AT182" s="18" t="s">
        <v>235</v>
      </c>
      <c r="AU182" s="18" t="s">
        <v>90</v>
      </c>
      <c r="AV182" s="18" t="s">
        <v>9173</v>
      </c>
      <c r="AW182" s="18" t="s">
        <v>9174</v>
      </c>
      <c r="AX182" s="18" t="s">
        <v>83</v>
      </c>
      <c r="AY182" s="18" t="s">
        <v>95</v>
      </c>
      <c r="AZ182" s="18" t="s">
        <v>95</v>
      </c>
      <c r="BA182" s="18" t="s">
        <v>95</v>
      </c>
      <c r="BB182" s="18" t="s">
        <v>95</v>
      </c>
      <c r="BC182" s="18" t="s">
        <v>118</v>
      </c>
      <c r="BD182" s="18" t="s">
        <v>95</v>
      </c>
      <c r="BE182" s="18" t="s">
        <v>95</v>
      </c>
      <c r="BF182" s="18" t="s">
        <v>95</v>
      </c>
      <c r="BG182" s="18" t="s">
        <v>95</v>
      </c>
      <c r="BH182" s="18" t="s">
        <v>95</v>
      </c>
      <c r="BI182" s="18">
        <v>12</v>
      </c>
      <c r="BJ182" s="18">
        <v>2022</v>
      </c>
      <c r="BK182" s="18" t="s">
        <v>95</v>
      </c>
      <c r="BL182" s="18" t="s">
        <v>95</v>
      </c>
      <c r="BM182" s="18" t="s">
        <v>95</v>
      </c>
      <c r="BN182" s="18" t="s">
        <v>85</v>
      </c>
      <c r="BO182" s="18" t="s">
        <v>86</v>
      </c>
      <c r="BP182" s="18" t="s">
        <v>90</v>
      </c>
      <c r="BQ182" s="18" t="s">
        <v>8016</v>
      </c>
      <c r="BR182" s="18" t="s">
        <v>139</v>
      </c>
      <c r="BS182" s="18" t="s">
        <v>8074</v>
      </c>
      <c r="BT182" s="18" t="s">
        <v>7989</v>
      </c>
      <c r="BU182" s="18" t="s">
        <v>496</v>
      </c>
      <c r="BV182" s="18" t="str">
        <f>Terminales[[#This Row],[IMEI]]&amp;"SI"</f>
        <v>352429892848370SI</v>
      </c>
      <c r="BW182" s="18" t="str">
        <f>VLOOKUP(Terminales[[#This Row],[OFICINA_USUARIO]],[1]!Locales[#Data],3,0)</f>
        <v>TIENDA CONDADO</v>
      </c>
      <c r="BX182" s="18" t="str">
        <f>VLOOKUP(Terminales[[#This Row],[USUARIO_FINAL]],'[1]Personal Ppto vs Real'!$A:$F,6,0)</f>
        <v>MELCHIADE ISAAC VALMORE</v>
      </c>
      <c r="BY18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8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82" s="18">
        <f>DAY(Terminales[[#This Row],[FECHA_FACTURA]])</f>
        <v>9</v>
      </c>
      <c r="CB182" s="65">
        <f>IF(Terminales[[#This Row],[CANTIDAD]] = 1,INDEX([1]!Comisiones[#Data],MATCH("Terminales",[1]!Comisiones[Producto],0),MATCH(Terminales[[#This Row],[TIPO ALTA COMISIONES]],[1]!Comisiones[#Headers],0))*Terminales[[#This Row],[MONTO]],0)</f>
        <v>37.5</v>
      </c>
      <c r="CC182" s="65">
        <f>IFERROR(IF(AND(Terminales[[#This Row],[CANTIDAD]] = 1,Terminales[[#This Row],[MOVIMIENTO]] = "RENOVACION"),Terminales[[#This Row],[TARIFA_BASICA]]*0.5,),)</f>
        <v>0</v>
      </c>
      <c r="CD182" s="65">
        <f>IF('[1]Resumen TM'!$AW$20 &lt; 0.4,0,Terminales[[#This Row],[MONTO]]*0.02)</f>
        <v>7.5</v>
      </c>
      <c r="CE182" s="66">
        <f>Terminales[[#This Row],[COMISIONES TERMINALES]]+Terminales[[#This Row],[COMISIONES RENOVACIONES]]+Terminales[[#This Row],[COMISIONES BONO]]</f>
        <v>45</v>
      </c>
      <c r="CF182" s="67">
        <f>(Terminales[[#This Row],[COMISIONES TERMINALES]]*VLOOKUP(Terminales[[#This Row],[LOCALES]],[1]!Calendario[#Data],3,0))/VLOOKUP(Terminales[[#This Row],[LOCALES]],[1]!Calendario[#Data],2,0)</f>
        <v>61.693548387096776</v>
      </c>
      <c r="CG182" s="67">
        <f>(Terminales[[#This Row],[COMISIONES RENOVACIONES]]*VLOOKUP(Terminales[[#This Row],[LOCALES]],[1]!Calendario[#Data],3,0))/VLOOKUP(Terminales[[#This Row],[LOCALES]],[1]!Calendario[#Data],2,0)</f>
        <v>0</v>
      </c>
      <c r="CH182" s="67">
        <f>(Terminales[[#This Row],[COMISIONES BONO]]*VLOOKUP(Terminales[[#This Row],[LOCALES]],[1]!Calendario[#Data],3,0))/VLOOKUP(Terminales[[#This Row],[LOCALES]],[1]!Calendario[#Data],2,0)</f>
        <v>12.338709677419354</v>
      </c>
      <c r="CI182" s="67">
        <f>Terminales[[#This Row],[PROY. COM. TERMINALES]]+Terminales[[#This Row],[PROY. COM. RENOV.]]+Terminales[[#This Row],[PROY. COM. 2%]]</f>
        <v>74.032258064516128</v>
      </c>
    </row>
    <row r="183" spans="1:87" x14ac:dyDescent="0.25">
      <c r="A183" s="68">
        <v>44926</v>
      </c>
      <c r="B183" s="68">
        <v>44904</v>
      </c>
      <c r="C183" s="18" t="s">
        <v>96</v>
      </c>
      <c r="D183" s="18" t="s">
        <v>96</v>
      </c>
      <c r="E183" s="18" t="s">
        <v>96</v>
      </c>
      <c r="F183" s="18" t="s">
        <v>95</v>
      </c>
      <c r="G183" s="18" t="s">
        <v>292</v>
      </c>
      <c r="H183" s="18" t="s">
        <v>494</v>
      </c>
      <c r="I183" s="18" t="s">
        <v>9175</v>
      </c>
      <c r="J183" s="18" t="s">
        <v>95</v>
      </c>
      <c r="K183" s="18" t="s">
        <v>7970</v>
      </c>
      <c r="L183" s="18" t="s">
        <v>9176</v>
      </c>
      <c r="M183" s="18" t="s">
        <v>9177</v>
      </c>
      <c r="N183" s="18" t="s">
        <v>9178</v>
      </c>
      <c r="O183" s="18" t="s">
        <v>543</v>
      </c>
      <c r="P183" s="18" t="s">
        <v>9179</v>
      </c>
      <c r="Q183" s="18" t="s">
        <v>7975</v>
      </c>
      <c r="R183" s="18" t="s">
        <v>7976</v>
      </c>
      <c r="S183" s="18" t="s">
        <v>7994</v>
      </c>
      <c r="T183" s="18" t="s">
        <v>8245</v>
      </c>
      <c r="U183" s="18" t="s">
        <v>8012</v>
      </c>
      <c r="V183" s="18" t="s">
        <v>6963</v>
      </c>
      <c r="W183" s="18" t="s">
        <v>95</v>
      </c>
      <c r="X183" s="18" t="s">
        <v>95</v>
      </c>
      <c r="Y183" s="18" t="s">
        <v>7980</v>
      </c>
      <c r="Z183" s="18" t="s">
        <v>6996</v>
      </c>
      <c r="AA183" s="69">
        <v>1</v>
      </c>
      <c r="AB183" s="18">
        <v>156.25</v>
      </c>
      <c r="AC183" s="18" t="s">
        <v>95</v>
      </c>
      <c r="AD183" s="18" t="s">
        <v>96</v>
      </c>
      <c r="AE183" s="18">
        <v>156</v>
      </c>
      <c r="AF183" s="18" t="s">
        <v>7983</v>
      </c>
      <c r="AG183" s="18">
        <v>156</v>
      </c>
      <c r="AH183" s="18" t="s">
        <v>95</v>
      </c>
      <c r="AI183" s="18" t="s">
        <v>95</v>
      </c>
      <c r="AJ183" s="18" t="s">
        <v>95</v>
      </c>
      <c r="AK183" s="18" t="s">
        <v>95</v>
      </c>
      <c r="AL183" s="18" t="s">
        <v>95</v>
      </c>
      <c r="AM183" s="18" t="s">
        <v>95</v>
      </c>
      <c r="AN183" s="18" t="s">
        <v>7984</v>
      </c>
      <c r="AO183" s="18" t="s">
        <v>139</v>
      </c>
      <c r="AP183" s="20" t="s">
        <v>262</v>
      </c>
      <c r="AQ183" s="18" t="s">
        <v>263</v>
      </c>
      <c r="AR183" s="18" t="s">
        <v>496</v>
      </c>
      <c r="AS183" s="18">
        <v>1</v>
      </c>
      <c r="AT183" s="18" t="s">
        <v>177</v>
      </c>
      <c r="AU183" s="18" t="s">
        <v>90</v>
      </c>
      <c r="AV183" s="18" t="s">
        <v>8247</v>
      </c>
      <c r="AW183" s="18" t="s">
        <v>8248</v>
      </c>
      <c r="AX183" s="18" t="s">
        <v>83</v>
      </c>
      <c r="AY183" s="18" t="s">
        <v>95</v>
      </c>
      <c r="AZ183" s="18" t="s">
        <v>95</v>
      </c>
      <c r="BA183" s="18" t="s">
        <v>95</v>
      </c>
      <c r="BB183" s="18" t="s">
        <v>95</v>
      </c>
      <c r="BC183" s="18" t="s">
        <v>95</v>
      </c>
      <c r="BD183" s="18" t="s">
        <v>95</v>
      </c>
      <c r="BE183" s="18" t="s">
        <v>8140</v>
      </c>
      <c r="BF183" s="18" t="s">
        <v>8064</v>
      </c>
      <c r="BG183" s="18" t="s">
        <v>95</v>
      </c>
      <c r="BH183" s="18" t="s">
        <v>95</v>
      </c>
      <c r="BI183" s="18">
        <v>12</v>
      </c>
      <c r="BJ183" s="18">
        <v>2022</v>
      </c>
      <c r="BK183" s="18" t="s">
        <v>95</v>
      </c>
      <c r="BL183" s="18" t="s">
        <v>95</v>
      </c>
      <c r="BM183" s="18" t="s">
        <v>95</v>
      </c>
      <c r="BN183" s="18" t="s">
        <v>85</v>
      </c>
      <c r="BO183" s="18" t="s">
        <v>86</v>
      </c>
      <c r="BP183" s="18" t="s">
        <v>90</v>
      </c>
      <c r="BQ183" s="18" t="s">
        <v>8002</v>
      </c>
      <c r="BR183" s="18" t="s">
        <v>139</v>
      </c>
      <c r="BS183" s="18" t="s">
        <v>8003</v>
      </c>
      <c r="BT183" s="18" t="s">
        <v>7989</v>
      </c>
      <c r="BU183" s="18" t="s">
        <v>496</v>
      </c>
      <c r="BV183" s="18" t="str">
        <f>Terminales[[#This Row],[IMEI]]&amp;"SI"</f>
        <v>355108340300682SI</v>
      </c>
      <c r="BW183" s="18" t="str">
        <f>VLOOKUP(Terminales[[#This Row],[OFICINA_USUARIO]],[1]!Locales[#Data],3,0)</f>
        <v>TIENDA RECREO</v>
      </c>
      <c r="BX183" s="18" t="str">
        <f>VLOOKUP(Terminales[[#This Row],[USUARIO_FINAL]],'[1]Personal Ppto vs Real'!$A:$F,6,0)</f>
        <v>CHICAIZA TOAPANTA ALEX DANILO</v>
      </c>
      <c r="BY18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8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83" s="18">
        <f>DAY(Terminales[[#This Row],[FECHA_FACTURA]])</f>
        <v>9</v>
      </c>
      <c r="CB183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183" s="65">
        <f>IFERROR(IF(AND(Terminales[[#This Row],[CANTIDAD]] = 1,Terminales[[#This Row],[MOVIMIENTO]] = "RENOVACION"),Terminales[[#This Row],[TARIFA_BASICA]]*0.5,),)</f>
        <v>0</v>
      </c>
      <c r="CD183" s="65">
        <f>IF('[1]Resumen TM'!$AW$20 &lt; 0.4,0,Terminales[[#This Row],[MONTO]]*0.02)</f>
        <v>3.125</v>
      </c>
      <c r="CE183" s="66">
        <f>Terminales[[#This Row],[COMISIONES TERMINALES]]+Terminales[[#This Row],[COMISIONES RENOVACIONES]]+Terminales[[#This Row],[COMISIONES BONO]]</f>
        <v>18.75</v>
      </c>
      <c r="CF183" s="67">
        <f>(Terminales[[#This Row],[COMISIONES TERMINALES]]*VLOOKUP(Terminales[[#This Row],[LOCALES]],[1]!Calendario[#Data],3,0))/VLOOKUP(Terminales[[#This Row],[LOCALES]],[1]!Calendario[#Data],2,0)</f>
        <v>25.705645161290324</v>
      </c>
      <c r="CG183" s="67">
        <f>(Terminales[[#This Row],[COMISIONES RENOVACIONES]]*VLOOKUP(Terminales[[#This Row],[LOCALES]],[1]!Calendario[#Data],3,0))/VLOOKUP(Terminales[[#This Row],[LOCALES]],[1]!Calendario[#Data],2,0)</f>
        <v>0</v>
      </c>
      <c r="CH183" s="67">
        <f>(Terminales[[#This Row],[COMISIONES BONO]]*VLOOKUP(Terminales[[#This Row],[LOCALES]],[1]!Calendario[#Data],3,0))/VLOOKUP(Terminales[[#This Row],[LOCALES]],[1]!Calendario[#Data],2,0)</f>
        <v>5.1411290322580649</v>
      </c>
      <c r="CI183" s="67">
        <f>Terminales[[#This Row],[PROY. COM. TERMINALES]]+Terminales[[#This Row],[PROY. COM. RENOV.]]+Terminales[[#This Row],[PROY. COM. 2%]]</f>
        <v>30.846774193548388</v>
      </c>
    </row>
    <row r="184" spans="1:87" x14ac:dyDescent="0.25">
      <c r="A184" s="68">
        <v>44926</v>
      </c>
      <c r="B184" s="68">
        <v>44904</v>
      </c>
      <c r="C184" s="18" t="s">
        <v>291</v>
      </c>
      <c r="D184" s="18" t="s">
        <v>78</v>
      </c>
      <c r="E184" s="18" t="s">
        <v>1532</v>
      </c>
      <c r="F184" s="18" t="s">
        <v>9180</v>
      </c>
      <c r="G184" s="18" t="s">
        <v>292</v>
      </c>
      <c r="H184" s="18" t="s">
        <v>494</v>
      </c>
      <c r="I184" s="18" t="s">
        <v>9181</v>
      </c>
      <c r="J184" s="18" t="s">
        <v>95</v>
      </c>
      <c r="K184" s="18" t="s">
        <v>7970</v>
      </c>
      <c r="L184" s="18" t="s">
        <v>9182</v>
      </c>
      <c r="M184" s="18" t="s">
        <v>9183</v>
      </c>
      <c r="N184" s="18" t="s">
        <v>9184</v>
      </c>
      <c r="O184" s="18" t="s">
        <v>9185</v>
      </c>
      <c r="P184" s="18" t="s">
        <v>9186</v>
      </c>
      <c r="Q184" s="18" t="s">
        <v>7975</v>
      </c>
      <c r="R184" s="18" t="s">
        <v>7976</v>
      </c>
      <c r="S184" s="18" t="s">
        <v>8045</v>
      </c>
      <c r="T184" s="18" t="s">
        <v>8225</v>
      </c>
      <c r="U184" s="18" t="s">
        <v>8012</v>
      </c>
      <c r="V184" s="18" t="s">
        <v>6963</v>
      </c>
      <c r="W184" s="18" t="s">
        <v>95</v>
      </c>
      <c r="X184" s="18" t="s">
        <v>95</v>
      </c>
      <c r="Y184" s="18" t="s">
        <v>7980</v>
      </c>
      <c r="Z184" s="18" t="s">
        <v>6996</v>
      </c>
      <c r="AA184" s="69">
        <v>1</v>
      </c>
      <c r="AB184" s="18">
        <v>241.07142999999999</v>
      </c>
      <c r="AC184" s="18" t="s">
        <v>9187</v>
      </c>
      <c r="AD184" s="18" t="s">
        <v>7982</v>
      </c>
      <c r="AE184" s="18">
        <v>234</v>
      </c>
      <c r="AF184" s="18" t="s">
        <v>7983</v>
      </c>
      <c r="AG184" s="18">
        <v>234</v>
      </c>
      <c r="AH184" s="18" t="s">
        <v>95</v>
      </c>
      <c r="AI184" s="18" t="s">
        <v>671</v>
      </c>
      <c r="AJ184" s="18" t="s">
        <v>672</v>
      </c>
      <c r="AK184" s="18">
        <v>15</v>
      </c>
      <c r="AL184" s="18" t="s">
        <v>95</v>
      </c>
      <c r="AM184" s="18" t="s">
        <v>95</v>
      </c>
      <c r="AN184" s="18" t="s">
        <v>7984</v>
      </c>
      <c r="AO184" s="18" t="s">
        <v>139</v>
      </c>
      <c r="AP184" s="20" t="s">
        <v>199</v>
      </c>
      <c r="AQ184" s="18" t="s">
        <v>200</v>
      </c>
      <c r="AR184" s="18" t="s">
        <v>496</v>
      </c>
      <c r="AS184" s="18">
        <v>1</v>
      </c>
      <c r="AT184" s="18" t="s">
        <v>177</v>
      </c>
      <c r="AU184" s="18" t="s">
        <v>90</v>
      </c>
      <c r="AV184" s="18" t="s">
        <v>9188</v>
      </c>
      <c r="AW184" s="18" t="s">
        <v>9189</v>
      </c>
      <c r="AX184" s="18" t="s">
        <v>83</v>
      </c>
      <c r="AY184" s="18" t="s">
        <v>95</v>
      </c>
      <c r="AZ184" s="18" t="s">
        <v>95</v>
      </c>
      <c r="BA184" s="18" t="s">
        <v>95</v>
      </c>
      <c r="BB184" s="18" t="s">
        <v>95</v>
      </c>
      <c r="BC184" s="18" t="s">
        <v>84</v>
      </c>
      <c r="BD184" s="18" t="s">
        <v>95</v>
      </c>
      <c r="BE184" s="18" t="s">
        <v>95</v>
      </c>
      <c r="BF184" s="18" t="s">
        <v>95</v>
      </c>
      <c r="BG184" s="18" t="s">
        <v>95</v>
      </c>
      <c r="BH184" s="18" t="s">
        <v>95</v>
      </c>
      <c r="BI184" s="18">
        <v>12</v>
      </c>
      <c r="BJ184" s="18">
        <v>2022</v>
      </c>
      <c r="BK184" s="18" t="s">
        <v>95</v>
      </c>
      <c r="BL184" s="18" t="s">
        <v>95</v>
      </c>
      <c r="BM184" s="18" t="s">
        <v>95</v>
      </c>
      <c r="BN184" s="18" t="s">
        <v>85</v>
      </c>
      <c r="BO184" s="18" t="s">
        <v>86</v>
      </c>
      <c r="BP184" s="18" t="s">
        <v>90</v>
      </c>
      <c r="BQ184" s="18" t="s">
        <v>8002</v>
      </c>
      <c r="BR184" s="18" t="s">
        <v>139</v>
      </c>
      <c r="BS184" s="18" t="s">
        <v>8074</v>
      </c>
      <c r="BT184" s="18" t="s">
        <v>7989</v>
      </c>
      <c r="BU184" s="18" t="s">
        <v>496</v>
      </c>
      <c r="BV184" s="18" t="str">
        <f>Terminales[[#This Row],[IMEI]]&amp;"SI"</f>
        <v>353568691477136SI</v>
      </c>
      <c r="BW184" s="18" t="str">
        <f>VLOOKUP(Terminales[[#This Row],[OFICINA_USUARIO]],[1]!Locales[#Data],3,0)</f>
        <v>TIENDA RECREO</v>
      </c>
      <c r="BX184" s="18" t="str">
        <f>VLOOKUP(Terminales[[#This Row],[USUARIO_FINAL]],'[1]Personal Ppto vs Real'!$A:$F,6,0)</f>
        <v>MEDINA LAPO DAYANNA CAROLINA</v>
      </c>
      <c r="BY18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8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84" s="18">
        <f>DAY(Terminales[[#This Row],[FECHA_FACTURA]])</f>
        <v>9</v>
      </c>
      <c r="CB184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84" s="65">
        <f>IFERROR(IF(AND(Terminales[[#This Row],[CANTIDAD]] = 1,Terminales[[#This Row],[MOVIMIENTO]] = "RENOVACION"),Terminales[[#This Row],[TARIFA_BASICA]]*0.5,),)</f>
        <v>7.5</v>
      </c>
      <c r="CD184" s="65">
        <f>IF('[1]Resumen TM'!$AW$20 &lt; 0.4,0,Terminales[[#This Row],[MONTO]]*0.02)</f>
        <v>4.8214286</v>
      </c>
      <c r="CE184" s="66">
        <f>Terminales[[#This Row],[COMISIONES TERMINALES]]+Terminales[[#This Row],[COMISIONES RENOVACIONES]]+Terminales[[#This Row],[COMISIONES BONO]]</f>
        <v>36.428571599999998</v>
      </c>
      <c r="CF184" s="67">
        <f>(Terminales[[#This Row],[COMISIONES TERMINALES]]*VLOOKUP(Terminales[[#This Row],[LOCALES]],[1]!Calendario[#Data],3,0))/VLOOKUP(Terminales[[#This Row],[LOCALES]],[1]!Calendario[#Data],2,0)</f>
        <v>39.660138483870966</v>
      </c>
      <c r="CG184" s="67">
        <f>(Terminales[[#This Row],[COMISIONES RENOVACIONES]]*VLOOKUP(Terminales[[#This Row],[LOCALES]],[1]!Calendario[#Data],3,0))/VLOOKUP(Terminales[[#This Row],[LOCALES]],[1]!Calendario[#Data],2,0)</f>
        <v>12.338709677419354</v>
      </c>
      <c r="CH184" s="67">
        <f>(Terminales[[#This Row],[COMISIONES BONO]]*VLOOKUP(Terminales[[#This Row],[LOCALES]],[1]!Calendario[#Data],3,0))/VLOOKUP(Terminales[[#This Row],[LOCALES]],[1]!Calendario[#Data],2,0)</f>
        <v>7.9320276967741936</v>
      </c>
      <c r="CI184" s="67">
        <f>Terminales[[#This Row],[PROY. COM. TERMINALES]]+Terminales[[#This Row],[PROY. COM. RENOV.]]+Terminales[[#This Row],[PROY. COM. 2%]]</f>
        <v>59.93087585806451</v>
      </c>
    </row>
    <row r="185" spans="1:87" x14ac:dyDescent="0.25">
      <c r="A185" s="68">
        <v>44926</v>
      </c>
      <c r="B185" s="68">
        <v>44904</v>
      </c>
      <c r="C185" s="18" t="s">
        <v>96</v>
      </c>
      <c r="D185" s="18" t="s">
        <v>96</v>
      </c>
      <c r="E185" s="18" t="s">
        <v>96</v>
      </c>
      <c r="F185" s="18" t="s">
        <v>95</v>
      </c>
      <c r="G185" s="18" t="s">
        <v>292</v>
      </c>
      <c r="H185" s="18" t="s">
        <v>494</v>
      </c>
      <c r="I185" s="18" t="s">
        <v>9190</v>
      </c>
      <c r="J185" s="18" t="s">
        <v>95</v>
      </c>
      <c r="K185" s="18" t="s">
        <v>7970</v>
      </c>
      <c r="L185" s="18" t="s">
        <v>9191</v>
      </c>
      <c r="M185" s="18" t="s">
        <v>9192</v>
      </c>
      <c r="N185" s="18" t="s">
        <v>9193</v>
      </c>
      <c r="O185" s="18" t="s">
        <v>9169</v>
      </c>
      <c r="P185" s="18" t="s">
        <v>9194</v>
      </c>
      <c r="Q185" s="18" t="s">
        <v>7975</v>
      </c>
      <c r="R185" s="18" t="s">
        <v>7976</v>
      </c>
      <c r="S185" s="18" t="s">
        <v>8045</v>
      </c>
      <c r="T185" s="18" t="s">
        <v>9171</v>
      </c>
      <c r="U185" s="18" t="s">
        <v>7979</v>
      </c>
      <c r="V185" s="18" t="s">
        <v>6963</v>
      </c>
      <c r="W185" s="18" t="s">
        <v>95</v>
      </c>
      <c r="X185" s="18" t="s">
        <v>95</v>
      </c>
      <c r="Y185" s="18" t="s">
        <v>7980</v>
      </c>
      <c r="Z185" s="18" t="s">
        <v>6996</v>
      </c>
      <c r="AA185" s="69">
        <v>1</v>
      </c>
      <c r="AB185" s="18">
        <v>375</v>
      </c>
      <c r="AC185" s="18" t="s">
        <v>95</v>
      </c>
      <c r="AD185" s="18" t="s">
        <v>96</v>
      </c>
      <c r="AE185" s="18">
        <v>330</v>
      </c>
      <c r="AF185" s="18" t="s">
        <v>7983</v>
      </c>
      <c r="AG185" s="18">
        <v>330</v>
      </c>
      <c r="AH185" s="18" t="s">
        <v>95</v>
      </c>
      <c r="AI185" s="18" t="s">
        <v>95</v>
      </c>
      <c r="AJ185" s="18" t="s">
        <v>95</v>
      </c>
      <c r="AK185" s="18" t="s">
        <v>95</v>
      </c>
      <c r="AL185" s="18" t="s">
        <v>95</v>
      </c>
      <c r="AM185" s="18" t="s">
        <v>95</v>
      </c>
      <c r="AN185" s="18" t="s">
        <v>7984</v>
      </c>
      <c r="AO185" s="18" t="s">
        <v>139</v>
      </c>
      <c r="AP185" s="20" t="s">
        <v>1315</v>
      </c>
      <c r="AQ185" s="18" t="s">
        <v>1316</v>
      </c>
      <c r="AR185" s="18" t="s">
        <v>496</v>
      </c>
      <c r="AS185" s="18">
        <v>1</v>
      </c>
      <c r="AT185" s="18" t="s">
        <v>177</v>
      </c>
      <c r="AU185" s="18" t="s">
        <v>90</v>
      </c>
      <c r="AV185" s="18" t="s">
        <v>9173</v>
      </c>
      <c r="AW185" s="18" t="s">
        <v>9174</v>
      </c>
      <c r="AX185" s="18" t="s">
        <v>83</v>
      </c>
      <c r="AY185" s="18" t="s">
        <v>95</v>
      </c>
      <c r="AZ185" s="18" t="s">
        <v>95</v>
      </c>
      <c r="BA185" s="18" t="s">
        <v>95</v>
      </c>
      <c r="BB185" s="18" t="s">
        <v>95</v>
      </c>
      <c r="BC185" s="18" t="s">
        <v>95</v>
      </c>
      <c r="BD185" s="18" t="s">
        <v>95</v>
      </c>
      <c r="BE185" s="18" t="s">
        <v>95</v>
      </c>
      <c r="BF185" s="18" t="s">
        <v>95</v>
      </c>
      <c r="BG185" s="18" t="s">
        <v>95</v>
      </c>
      <c r="BH185" s="18" t="s">
        <v>95</v>
      </c>
      <c r="BI185" s="18">
        <v>12</v>
      </c>
      <c r="BJ185" s="18">
        <v>2022</v>
      </c>
      <c r="BK185" s="18" t="s">
        <v>95</v>
      </c>
      <c r="BL185" s="18" t="s">
        <v>95</v>
      </c>
      <c r="BM185" s="18" t="s">
        <v>95</v>
      </c>
      <c r="BN185" s="18" t="s">
        <v>85</v>
      </c>
      <c r="BO185" s="18" t="s">
        <v>86</v>
      </c>
      <c r="BP185" s="18" t="s">
        <v>90</v>
      </c>
      <c r="BQ185" s="18" t="s">
        <v>8002</v>
      </c>
      <c r="BR185" s="18" t="s">
        <v>139</v>
      </c>
      <c r="BS185" s="18" t="s">
        <v>8074</v>
      </c>
      <c r="BT185" s="18" t="s">
        <v>7989</v>
      </c>
      <c r="BU185" s="18" t="s">
        <v>496</v>
      </c>
      <c r="BV185" s="18" t="str">
        <f>Terminales[[#This Row],[IMEI]]&amp;"SI"</f>
        <v>352429892583472SI</v>
      </c>
      <c r="BW185" s="18" t="str">
        <f>VLOOKUP(Terminales[[#This Row],[OFICINA_USUARIO]],[1]!Locales[#Data],3,0)</f>
        <v>TIENDA RECREO</v>
      </c>
      <c r="BX185" s="18" t="str">
        <f>VLOOKUP(Terminales[[#This Row],[USUARIO_FINAL]],'[1]Personal Ppto vs Real'!$A:$F,6,0)</f>
        <v>ORTEGA  NATALIE MÉNDEZ</v>
      </c>
      <c r="BY18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8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85" s="18">
        <f>DAY(Terminales[[#This Row],[FECHA_FACTURA]])</f>
        <v>9</v>
      </c>
      <c r="CB185" s="65">
        <f>IF(Terminales[[#This Row],[CANTIDAD]] = 1,INDEX([1]!Comisiones[#Data],MATCH("Terminales",[1]!Comisiones[Producto],0),MATCH(Terminales[[#This Row],[TIPO ALTA COMISIONES]],[1]!Comisiones[#Headers],0))*Terminales[[#This Row],[MONTO]],0)</f>
        <v>37.5</v>
      </c>
      <c r="CC185" s="65">
        <f>IFERROR(IF(AND(Terminales[[#This Row],[CANTIDAD]] = 1,Terminales[[#This Row],[MOVIMIENTO]] = "RENOVACION"),Terminales[[#This Row],[TARIFA_BASICA]]*0.5,),)</f>
        <v>0</v>
      </c>
      <c r="CD185" s="65">
        <f>IF('[1]Resumen TM'!$AW$20 &lt; 0.4,0,Terminales[[#This Row],[MONTO]]*0.02)</f>
        <v>7.5</v>
      </c>
      <c r="CE185" s="66">
        <f>Terminales[[#This Row],[COMISIONES TERMINALES]]+Terminales[[#This Row],[COMISIONES RENOVACIONES]]+Terminales[[#This Row],[COMISIONES BONO]]</f>
        <v>45</v>
      </c>
      <c r="CF185" s="67">
        <f>(Terminales[[#This Row],[COMISIONES TERMINALES]]*VLOOKUP(Terminales[[#This Row],[LOCALES]],[1]!Calendario[#Data],3,0))/VLOOKUP(Terminales[[#This Row],[LOCALES]],[1]!Calendario[#Data],2,0)</f>
        <v>61.693548387096776</v>
      </c>
      <c r="CG185" s="67">
        <f>(Terminales[[#This Row],[COMISIONES RENOVACIONES]]*VLOOKUP(Terminales[[#This Row],[LOCALES]],[1]!Calendario[#Data],3,0))/VLOOKUP(Terminales[[#This Row],[LOCALES]],[1]!Calendario[#Data],2,0)</f>
        <v>0</v>
      </c>
      <c r="CH185" s="67">
        <f>(Terminales[[#This Row],[COMISIONES BONO]]*VLOOKUP(Terminales[[#This Row],[LOCALES]],[1]!Calendario[#Data],3,0))/VLOOKUP(Terminales[[#This Row],[LOCALES]],[1]!Calendario[#Data],2,0)</f>
        <v>12.338709677419354</v>
      </c>
      <c r="CI185" s="67">
        <f>Terminales[[#This Row],[PROY. COM. TERMINALES]]+Terminales[[#This Row],[PROY. COM. RENOV.]]+Terminales[[#This Row],[PROY. COM. 2%]]</f>
        <v>74.032258064516128</v>
      </c>
    </row>
    <row r="186" spans="1:87" x14ac:dyDescent="0.25">
      <c r="A186" s="68">
        <v>44926</v>
      </c>
      <c r="B186" s="68">
        <v>44904</v>
      </c>
      <c r="C186" s="18" t="s">
        <v>96</v>
      </c>
      <c r="D186" s="18" t="s">
        <v>96</v>
      </c>
      <c r="E186" s="18" t="s">
        <v>96</v>
      </c>
      <c r="F186" s="18" t="s">
        <v>9195</v>
      </c>
      <c r="G186" s="18" t="s">
        <v>292</v>
      </c>
      <c r="H186" s="18" t="s">
        <v>494</v>
      </c>
      <c r="I186" s="18" t="s">
        <v>9196</v>
      </c>
      <c r="J186" s="18" t="s">
        <v>95</v>
      </c>
      <c r="K186" s="18" t="s">
        <v>7970</v>
      </c>
      <c r="L186" s="18" t="s">
        <v>9197</v>
      </c>
      <c r="M186" s="18" t="s">
        <v>9198</v>
      </c>
      <c r="N186" s="18" t="s">
        <v>9199</v>
      </c>
      <c r="O186" s="18" t="s">
        <v>9200</v>
      </c>
      <c r="P186" s="18" t="s">
        <v>9201</v>
      </c>
      <c r="Q186" s="18" t="s">
        <v>7975</v>
      </c>
      <c r="R186" s="18" t="s">
        <v>7976</v>
      </c>
      <c r="S186" s="18" t="s">
        <v>8045</v>
      </c>
      <c r="T186" s="18" t="s">
        <v>9171</v>
      </c>
      <c r="U186" s="18" t="s">
        <v>7979</v>
      </c>
      <c r="V186" s="18" t="s">
        <v>6963</v>
      </c>
      <c r="W186" s="18" t="s">
        <v>95</v>
      </c>
      <c r="X186" s="18" t="s">
        <v>95</v>
      </c>
      <c r="Y186" s="18" t="s">
        <v>7980</v>
      </c>
      <c r="Z186" s="18" t="s">
        <v>6996</v>
      </c>
      <c r="AA186" s="69">
        <v>1</v>
      </c>
      <c r="AB186" s="18">
        <v>375</v>
      </c>
      <c r="AC186" s="18" t="s">
        <v>9202</v>
      </c>
      <c r="AD186" s="18" t="s">
        <v>96</v>
      </c>
      <c r="AE186" s="18">
        <v>329.5</v>
      </c>
      <c r="AF186" s="18" t="s">
        <v>7983</v>
      </c>
      <c r="AG186" s="18">
        <v>329.5</v>
      </c>
      <c r="AH186" s="18" t="s">
        <v>95</v>
      </c>
      <c r="AI186" s="18" t="s">
        <v>8102</v>
      </c>
      <c r="AJ186" s="18" t="s">
        <v>8103</v>
      </c>
      <c r="AK186" s="18" t="s">
        <v>95</v>
      </c>
      <c r="AL186" s="18" t="s">
        <v>95</v>
      </c>
      <c r="AM186" s="18" t="s">
        <v>95</v>
      </c>
      <c r="AN186" s="18" t="s">
        <v>7984</v>
      </c>
      <c r="AO186" s="18" t="s">
        <v>139</v>
      </c>
      <c r="AP186" s="20" t="s">
        <v>396</v>
      </c>
      <c r="AQ186" s="18" t="s">
        <v>397</v>
      </c>
      <c r="AR186" s="18" t="s">
        <v>496</v>
      </c>
      <c r="AS186" s="18">
        <v>1</v>
      </c>
      <c r="AT186" s="18" t="s">
        <v>177</v>
      </c>
      <c r="AU186" s="18" t="s">
        <v>90</v>
      </c>
      <c r="AV186" s="18" t="s">
        <v>9203</v>
      </c>
      <c r="AW186" s="18" t="s">
        <v>9204</v>
      </c>
      <c r="AX186" s="18" t="s">
        <v>83</v>
      </c>
      <c r="AY186" s="18" t="s">
        <v>95</v>
      </c>
      <c r="AZ186" s="18" t="s">
        <v>95</v>
      </c>
      <c r="BA186" s="18" t="s">
        <v>95</v>
      </c>
      <c r="BB186" s="18" t="s">
        <v>95</v>
      </c>
      <c r="BC186" s="18" t="s">
        <v>118</v>
      </c>
      <c r="BD186" s="18" t="s">
        <v>95</v>
      </c>
      <c r="BE186" s="18" t="s">
        <v>8140</v>
      </c>
      <c r="BF186" s="18" t="s">
        <v>8064</v>
      </c>
      <c r="BG186" s="18" t="s">
        <v>95</v>
      </c>
      <c r="BH186" s="18" t="s">
        <v>95</v>
      </c>
      <c r="BI186" s="18">
        <v>12</v>
      </c>
      <c r="BJ186" s="18">
        <v>2022</v>
      </c>
      <c r="BK186" s="18" t="s">
        <v>95</v>
      </c>
      <c r="BL186" s="18" t="s">
        <v>95</v>
      </c>
      <c r="BM186" s="18" t="s">
        <v>95</v>
      </c>
      <c r="BN186" s="18" t="s">
        <v>85</v>
      </c>
      <c r="BO186" s="18" t="s">
        <v>86</v>
      </c>
      <c r="BP186" s="18" t="s">
        <v>90</v>
      </c>
      <c r="BQ186" s="18" t="s">
        <v>8002</v>
      </c>
      <c r="BR186" s="18" t="s">
        <v>139</v>
      </c>
      <c r="BS186" s="18" t="s">
        <v>8003</v>
      </c>
      <c r="BT186" s="18" t="s">
        <v>7989</v>
      </c>
      <c r="BU186" s="18" t="s">
        <v>496</v>
      </c>
      <c r="BV186" s="18" t="str">
        <f>Terminales[[#This Row],[IMEI]]&amp;"SI"</f>
        <v>352429893122775SI</v>
      </c>
      <c r="BW186" s="18" t="str">
        <f>VLOOKUP(Terminales[[#This Row],[OFICINA_USUARIO]],[1]!Locales[#Data],3,0)</f>
        <v>TIENDA RECREO</v>
      </c>
      <c r="BX186" s="18" t="str">
        <f>VLOOKUP(Terminales[[#This Row],[USUARIO_FINAL]],'[1]Personal Ppto vs Real'!$A:$F,6,0)</f>
        <v>VINUEZA VELASCO ANGY DAYANA</v>
      </c>
      <c r="BY18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8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86" s="18">
        <f>DAY(Terminales[[#This Row],[FECHA_FACTURA]])</f>
        <v>9</v>
      </c>
      <c r="CB186" s="65">
        <f>IF(Terminales[[#This Row],[CANTIDAD]] = 1,INDEX([1]!Comisiones[#Data],MATCH("Terminales",[1]!Comisiones[Producto],0),MATCH(Terminales[[#This Row],[TIPO ALTA COMISIONES]],[1]!Comisiones[#Headers],0))*Terminales[[#This Row],[MONTO]],0)</f>
        <v>37.5</v>
      </c>
      <c r="CC186" s="65">
        <f>IFERROR(IF(AND(Terminales[[#This Row],[CANTIDAD]] = 1,Terminales[[#This Row],[MOVIMIENTO]] = "RENOVACION"),Terminales[[#This Row],[TARIFA_BASICA]]*0.5,),)</f>
        <v>0</v>
      </c>
      <c r="CD186" s="65">
        <f>IF('[1]Resumen TM'!$AW$20 &lt; 0.4,0,Terminales[[#This Row],[MONTO]]*0.02)</f>
        <v>7.5</v>
      </c>
      <c r="CE186" s="66">
        <f>Terminales[[#This Row],[COMISIONES TERMINALES]]+Terminales[[#This Row],[COMISIONES RENOVACIONES]]+Terminales[[#This Row],[COMISIONES BONO]]</f>
        <v>45</v>
      </c>
      <c r="CF186" s="67">
        <f>(Terminales[[#This Row],[COMISIONES TERMINALES]]*VLOOKUP(Terminales[[#This Row],[LOCALES]],[1]!Calendario[#Data],3,0))/VLOOKUP(Terminales[[#This Row],[LOCALES]],[1]!Calendario[#Data],2,0)</f>
        <v>61.693548387096776</v>
      </c>
      <c r="CG186" s="67">
        <f>(Terminales[[#This Row],[COMISIONES RENOVACIONES]]*VLOOKUP(Terminales[[#This Row],[LOCALES]],[1]!Calendario[#Data],3,0))/VLOOKUP(Terminales[[#This Row],[LOCALES]],[1]!Calendario[#Data],2,0)</f>
        <v>0</v>
      </c>
      <c r="CH186" s="67">
        <f>(Terminales[[#This Row],[COMISIONES BONO]]*VLOOKUP(Terminales[[#This Row],[LOCALES]],[1]!Calendario[#Data],3,0))/VLOOKUP(Terminales[[#This Row],[LOCALES]],[1]!Calendario[#Data],2,0)</f>
        <v>12.338709677419354</v>
      </c>
      <c r="CI186" s="67">
        <f>Terminales[[#This Row],[PROY. COM. TERMINALES]]+Terminales[[#This Row],[PROY. COM. RENOV.]]+Terminales[[#This Row],[PROY. COM. 2%]]</f>
        <v>74.032258064516128</v>
      </c>
    </row>
    <row r="187" spans="1:87" x14ac:dyDescent="0.25">
      <c r="A187" s="68">
        <v>44926</v>
      </c>
      <c r="B187" s="68">
        <v>44905</v>
      </c>
      <c r="C187" s="18" t="s">
        <v>291</v>
      </c>
      <c r="D187" s="18" t="s">
        <v>78</v>
      </c>
      <c r="E187" s="18" t="s">
        <v>164</v>
      </c>
      <c r="F187" s="18" t="s">
        <v>345</v>
      </c>
      <c r="G187" s="18" t="s">
        <v>292</v>
      </c>
      <c r="H187" s="18" t="s">
        <v>293</v>
      </c>
      <c r="I187" s="18" t="s">
        <v>9205</v>
      </c>
      <c r="J187" s="18" t="s">
        <v>95</v>
      </c>
      <c r="K187" s="18" t="s">
        <v>7970</v>
      </c>
      <c r="L187" s="18" t="s">
        <v>346</v>
      </c>
      <c r="M187" s="18" t="s">
        <v>347</v>
      </c>
      <c r="N187" s="18" t="s">
        <v>348</v>
      </c>
      <c r="O187" s="18" t="s">
        <v>354</v>
      </c>
      <c r="P187" s="18" t="s">
        <v>350</v>
      </c>
      <c r="Q187" s="18" t="s">
        <v>7975</v>
      </c>
      <c r="R187" s="18" t="s">
        <v>7976</v>
      </c>
      <c r="S187" s="18" t="s">
        <v>8070</v>
      </c>
      <c r="T187" s="18" t="s">
        <v>8071</v>
      </c>
      <c r="U187" s="18" t="s">
        <v>8012</v>
      </c>
      <c r="V187" s="18" t="s">
        <v>6963</v>
      </c>
      <c r="W187" s="18" t="s">
        <v>95</v>
      </c>
      <c r="X187" s="18" t="s">
        <v>95</v>
      </c>
      <c r="Y187" s="18" t="s">
        <v>7980</v>
      </c>
      <c r="Z187" s="18" t="s">
        <v>6996</v>
      </c>
      <c r="AA187" s="69">
        <v>1</v>
      </c>
      <c r="AB187" s="18">
        <v>285.71429000000001</v>
      </c>
      <c r="AC187" s="18" t="s">
        <v>9206</v>
      </c>
      <c r="AD187" s="18" t="s">
        <v>8151</v>
      </c>
      <c r="AE187" s="18">
        <v>199.79</v>
      </c>
      <c r="AF187" s="18" t="s">
        <v>7983</v>
      </c>
      <c r="AG187" s="18">
        <v>199.79</v>
      </c>
      <c r="AH187" s="18" t="s">
        <v>95</v>
      </c>
      <c r="AI187" s="18" t="s">
        <v>160</v>
      </c>
      <c r="AJ187" s="18" t="s">
        <v>161</v>
      </c>
      <c r="AK187" s="18">
        <v>14.28</v>
      </c>
      <c r="AL187" s="18" t="s">
        <v>95</v>
      </c>
      <c r="AM187" s="18" t="s">
        <v>95</v>
      </c>
      <c r="AN187" s="18" t="s">
        <v>7984</v>
      </c>
      <c r="AO187" s="18" t="s">
        <v>92</v>
      </c>
      <c r="AP187" s="20" t="s">
        <v>352</v>
      </c>
      <c r="AQ187" s="18" t="s">
        <v>353</v>
      </c>
      <c r="AR187" s="18" t="s">
        <v>295</v>
      </c>
      <c r="AS187" s="18">
        <v>6</v>
      </c>
      <c r="AT187" s="18" t="s">
        <v>122</v>
      </c>
      <c r="AU187" s="18" t="s">
        <v>90</v>
      </c>
      <c r="AV187" s="18" t="s">
        <v>8072</v>
      </c>
      <c r="AW187" s="18" t="s">
        <v>8073</v>
      </c>
      <c r="AX187" s="18" t="s">
        <v>83</v>
      </c>
      <c r="AY187" s="18" t="s">
        <v>95</v>
      </c>
      <c r="AZ187" s="18" t="s">
        <v>95</v>
      </c>
      <c r="BA187" s="18" t="s">
        <v>95</v>
      </c>
      <c r="BB187" s="18" t="s">
        <v>95</v>
      </c>
      <c r="BC187" s="18" t="s">
        <v>84</v>
      </c>
      <c r="BD187" s="18">
        <v>60</v>
      </c>
      <c r="BE187" s="18" t="s">
        <v>95</v>
      </c>
      <c r="BF187" s="18" t="s">
        <v>95</v>
      </c>
      <c r="BG187" s="18" t="s">
        <v>95</v>
      </c>
      <c r="BH187" s="18" t="s">
        <v>95</v>
      </c>
      <c r="BI187" s="18">
        <v>12</v>
      </c>
      <c r="BJ187" s="18">
        <v>2022</v>
      </c>
      <c r="BK187" s="18" t="s">
        <v>95</v>
      </c>
      <c r="BL187" s="18" t="s">
        <v>95</v>
      </c>
      <c r="BM187" s="18" t="s">
        <v>95</v>
      </c>
      <c r="BN187" s="18" t="s">
        <v>85</v>
      </c>
      <c r="BO187" s="18" t="s">
        <v>86</v>
      </c>
      <c r="BP187" s="18" t="s">
        <v>90</v>
      </c>
      <c r="BQ187" s="18" t="s">
        <v>8050</v>
      </c>
      <c r="BR187" s="18" t="s">
        <v>92</v>
      </c>
      <c r="BS187" s="18" t="s">
        <v>8027</v>
      </c>
      <c r="BT187" s="18" t="s">
        <v>7989</v>
      </c>
      <c r="BU187" s="18" t="s">
        <v>7990</v>
      </c>
      <c r="BV187" s="18" t="str">
        <f>Terminales[[#This Row],[IMEI]]&amp;"SI"</f>
        <v>869113065816648SI</v>
      </c>
      <c r="BW187" s="18" t="str">
        <f>VLOOKUP(Terminales[[#This Row],[OFICINA_USUARIO]],[1]!Locales[#Data],3,0)</f>
        <v>TIENDA MACHALA</v>
      </c>
      <c r="BX187" s="18" t="str">
        <f>VLOOKUP(Terminales[[#This Row],[USUARIO_FINAL]],'[1]Personal Ppto vs Real'!$A:$F,6,0)</f>
        <v>TENORIO MARIA DEL PILAR</v>
      </c>
      <c r="BY187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18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87" s="18">
        <f>DAY(Terminales[[#This Row],[FECHA_FACTURA]])</f>
        <v>10</v>
      </c>
      <c r="CB187" s="65">
        <f>IF(Terminales[[#This Row],[CANTIDAD]] = 1,INDEX([1]!Comisiones[#Data],MATCH("Terminales",[1]!Comisiones[Producto],0),MATCH(Terminales[[#This Row],[TIPO ALTA COMISIONES]],[1]!Comisiones[#Headers],0))*Terminales[[#This Row],[MONTO]],0)</f>
        <v>22.857143199999999</v>
      </c>
      <c r="CC187" s="65">
        <f>IFERROR(IF(AND(Terminales[[#This Row],[CANTIDAD]] = 1,Terminales[[#This Row],[MOVIMIENTO]] = "RENOVACION"),Terminales[[#This Row],[TARIFA_BASICA]]*0.5,),)</f>
        <v>0</v>
      </c>
      <c r="CD187" s="65">
        <f>IF('[1]Resumen TM'!$AW$20 &lt; 0.4,0,Terminales[[#This Row],[MONTO]]*0.02)</f>
        <v>5.7142857999999999</v>
      </c>
      <c r="CE187" s="66">
        <f>Terminales[[#This Row],[COMISIONES TERMINALES]]+Terminales[[#This Row],[COMISIONES RENOVACIONES]]+Terminales[[#This Row],[COMISIONES BONO]]</f>
        <v>28.571428999999998</v>
      </c>
      <c r="CF187" s="67">
        <f>(Terminales[[#This Row],[COMISIONES TERMINALES]]*VLOOKUP(Terminales[[#This Row],[LOCALES]],[1]!Calendario[#Data],3,0))/VLOOKUP(Terminales[[#This Row],[LOCALES]],[1]!Calendario[#Data],2,0)</f>
        <v>37.044335531034477</v>
      </c>
      <c r="CG187" s="67">
        <f>(Terminales[[#This Row],[COMISIONES RENOVACIONES]]*VLOOKUP(Terminales[[#This Row],[LOCALES]],[1]!Calendario[#Data],3,0))/VLOOKUP(Terminales[[#This Row],[LOCALES]],[1]!Calendario[#Data],2,0)</f>
        <v>0</v>
      </c>
      <c r="CH187" s="67">
        <f>(Terminales[[#This Row],[COMISIONES BONO]]*VLOOKUP(Terminales[[#This Row],[LOCALES]],[1]!Calendario[#Data],3,0))/VLOOKUP(Terminales[[#This Row],[LOCALES]],[1]!Calendario[#Data],2,0)</f>
        <v>9.2610838827586193</v>
      </c>
      <c r="CI187" s="67">
        <f>Terminales[[#This Row],[PROY. COM. TERMINALES]]+Terminales[[#This Row],[PROY. COM. RENOV.]]+Terminales[[#This Row],[PROY. COM. 2%]]</f>
        <v>46.305419413793096</v>
      </c>
    </row>
    <row r="188" spans="1:87" x14ac:dyDescent="0.25">
      <c r="A188" s="68">
        <v>44926</v>
      </c>
      <c r="B188" s="68">
        <v>44905</v>
      </c>
      <c r="C188" s="18" t="s">
        <v>291</v>
      </c>
      <c r="D188" s="18" t="s">
        <v>78</v>
      </c>
      <c r="E188" s="18" t="s">
        <v>231</v>
      </c>
      <c r="F188" s="18" t="s">
        <v>9207</v>
      </c>
      <c r="G188" s="18" t="s">
        <v>292</v>
      </c>
      <c r="H188" s="18" t="s">
        <v>293</v>
      </c>
      <c r="I188" s="18" t="s">
        <v>9208</v>
      </c>
      <c r="J188" s="18" t="s">
        <v>95</v>
      </c>
      <c r="K188" s="18" t="s">
        <v>7970</v>
      </c>
      <c r="L188" s="18" t="s">
        <v>9209</v>
      </c>
      <c r="M188" s="18" t="s">
        <v>9210</v>
      </c>
      <c r="N188" s="18" t="s">
        <v>9211</v>
      </c>
      <c r="O188" s="18" t="s">
        <v>543</v>
      </c>
      <c r="P188" s="18" t="s">
        <v>9212</v>
      </c>
      <c r="Q188" s="18" t="s">
        <v>7975</v>
      </c>
      <c r="R188" s="18" t="s">
        <v>7976</v>
      </c>
      <c r="S188" s="18" t="s">
        <v>7994</v>
      </c>
      <c r="T188" s="18" t="s">
        <v>8245</v>
      </c>
      <c r="U188" s="18" t="s">
        <v>8012</v>
      </c>
      <c r="V188" s="18" t="s">
        <v>6963</v>
      </c>
      <c r="W188" s="18" t="s">
        <v>95</v>
      </c>
      <c r="X188" s="18" t="s">
        <v>95</v>
      </c>
      <c r="Y188" s="18" t="s">
        <v>7980</v>
      </c>
      <c r="Z188" s="18" t="s">
        <v>6996</v>
      </c>
      <c r="AA188" s="69">
        <v>1</v>
      </c>
      <c r="AB188" s="18">
        <v>241.07142999999999</v>
      </c>
      <c r="AC188" s="18" t="s">
        <v>9213</v>
      </c>
      <c r="AD188" s="18" t="s">
        <v>7982</v>
      </c>
      <c r="AE188" s="18">
        <v>156</v>
      </c>
      <c r="AF188" s="18" t="s">
        <v>7983</v>
      </c>
      <c r="AG188" s="18">
        <v>156</v>
      </c>
      <c r="AH188" s="18" t="s">
        <v>95</v>
      </c>
      <c r="AI188" s="18" t="s">
        <v>7213</v>
      </c>
      <c r="AJ188" s="18" t="s">
        <v>7214</v>
      </c>
      <c r="AK188" s="18">
        <v>24.99</v>
      </c>
      <c r="AL188" s="18" t="s">
        <v>95</v>
      </c>
      <c r="AM188" s="18" t="s">
        <v>95</v>
      </c>
      <c r="AN188" s="18" t="s">
        <v>7984</v>
      </c>
      <c r="AO188" s="18" t="s">
        <v>92</v>
      </c>
      <c r="AP188" s="20" t="s">
        <v>318</v>
      </c>
      <c r="AQ188" s="18" t="s">
        <v>319</v>
      </c>
      <c r="AR188" s="18" t="s">
        <v>295</v>
      </c>
      <c r="AS188" s="18">
        <v>12</v>
      </c>
      <c r="AT188" s="18" t="s">
        <v>151</v>
      </c>
      <c r="AU188" s="18" t="s">
        <v>90</v>
      </c>
      <c r="AV188" s="18" t="s">
        <v>8247</v>
      </c>
      <c r="AW188" s="18" t="s">
        <v>8248</v>
      </c>
      <c r="AX188" s="18" t="s">
        <v>83</v>
      </c>
      <c r="AY188" s="18" t="s">
        <v>95</v>
      </c>
      <c r="AZ188" s="18" t="s">
        <v>95</v>
      </c>
      <c r="BA188" s="18" t="s">
        <v>95</v>
      </c>
      <c r="BB188" s="18" t="s">
        <v>95</v>
      </c>
      <c r="BC188" s="18" t="s">
        <v>84</v>
      </c>
      <c r="BD188" s="18">
        <v>50</v>
      </c>
      <c r="BE188" s="18" t="s">
        <v>95</v>
      </c>
      <c r="BF188" s="18" t="s">
        <v>95</v>
      </c>
      <c r="BG188" s="18" t="s">
        <v>95</v>
      </c>
      <c r="BH188" s="18" t="s">
        <v>95</v>
      </c>
      <c r="BI188" s="18">
        <v>12</v>
      </c>
      <c r="BJ188" s="18">
        <v>2022</v>
      </c>
      <c r="BK188" s="18" t="s">
        <v>95</v>
      </c>
      <c r="BL188" s="18" t="s">
        <v>95</v>
      </c>
      <c r="BM188" s="18" t="s">
        <v>95</v>
      </c>
      <c r="BN188" s="18" t="s">
        <v>85</v>
      </c>
      <c r="BO188" s="18" t="s">
        <v>86</v>
      </c>
      <c r="BP188" s="18" t="s">
        <v>90</v>
      </c>
      <c r="BQ188" s="18" t="s">
        <v>8141</v>
      </c>
      <c r="BR188" s="18" t="s">
        <v>92</v>
      </c>
      <c r="BS188" s="18" t="s">
        <v>7988</v>
      </c>
      <c r="BT188" s="18" t="s">
        <v>7989</v>
      </c>
      <c r="BU188" s="18" t="s">
        <v>7990</v>
      </c>
      <c r="BV188" s="18" t="str">
        <f>Terminales[[#This Row],[IMEI]]&amp;"SI"</f>
        <v>355108340319955SI</v>
      </c>
      <c r="BW188" s="18" t="str">
        <f>VLOOKUP(Terminales[[#This Row],[OFICINA_USUARIO]],[1]!Locales[#Data],3,0)</f>
        <v>TIENDA CUENCA REMIGIO</v>
      </c>
      <c r="BX188" s="18" t="str">
        <f>VLOOKUP(Terminales[[#This Row],[USUARIO_FINAL]],'[1]Personal Ppto vs Real'!$A:$F,6,0)</f>
        <v>RODRIGUEZ QUITO JESSICA GABRIELA</v>
      </c>
      <c r="BY18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8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88" s="18">
        <f>DAY(Terminales[[#This Row],[FECHA_FACTURA]])</f>
        <v>10</v>
      </c>
      <c r="CB188" s="65">
        <f>IF(Terminales[[#This Row],[CANTIDAD]] = 1,INDEX([1]!Comisiones[#Data],MATCH("Terminales",[1]!Comisiones[Producto],0),MATCH(Terminales[[#This Row],[TIPO ALTA COMISIONES]],[1]!Comisiones[#Headers],0))*Terminales[[#This Row],[MONTO]],0)</f>
        <v>14.464285799999999</v>
      </c>
      <c r="CC188" s="65">
        <f>IFERROR(IF(AND(Terminales[[#This Row],[CANTIDAD]] = 1,Terminales[[#This Row],[MOVIMIENTO]] = "RENOVACION"),Terminales[[#This Row],[TARIFA_BASICA]]*0.5,),)</f>
        <v>12.494999999999999</v>
      </c>
      <c r="CD188" s="65">
        <f>IF('[1]Resumen TM'!$AW$20 &lt; 0.4,0,Terminales[[#This Row],[MONTO]]*0.02)</f>
        <v>4.8214286</v>
      </c>
      <c r="CE188" s="66">
        <f>Terminales[[#This Row],[COMISIONES TERMINALES]]+Terminales[[#This Row],[COMISIONES RENOVACIONES]]+Terminales[[#This Row],[COMISIONES BONO]]</f>
        <v>31.780714399999997</v>
      </c>
      <c r="CF188" s="67">
        <f>(Terminales[[#This Row],[COMISIONES TERMINALES]]*VLOOKUP(Terminales[[#This Row],[LOCALES]],[1]!Calendario[#Data],3,0))/VLOOKUP(Terminales[[#This Row],[LOCALES]],[1]!Calendario[#Data],2,0)</f>
        <v>23.442118365517242</v>
      </c>
      <c r="CG188" s="67">
        <f>(Terminales[[#This Row],[COMISIONES RENOVACIONES]]*VLOOKUP(Terminales[[#This Row],[LOCALES]],[1]!Calendario[#Data],3,0))/VLOOKUP(Terminales[[#This Row],[LOCALES]],[1]!Calendario[#Data],2,0)</f>
        <v>20.25051724137931</v>
      </c>
      <c r="CH188" s="67">
        <f>(Terminales[[#This Row],[COMISIONES BONO]]*VLOOKUP(Terminales[[#This Row],[LOCALES]],[1]!Calendario[#Data],3,0))/VLOOKUP(Terminales[[#This Row],[LOCALES]],[1]!Calendario[#Data],2,0)</f>
        <v>7.8140394551724137</v>
      </c>
      <c r="CI188" s="67">
        <f>Terminales[[#This Row],[PROY. COM. TERMINALES]]+Terminales[[#This Row],[PROY. COM. RENOV.]]+Terminales[[#This Row],[PROY. COM. 2%]]</f>
        <v>51.506675062068965</v>
      </c>
    </row>
    <row r="189" spans="1:87" x14ac:dyDescent="0.25">
      <c r="A189" s="68">
        <v>44926</v>
      </c>
      <c r="B189" s="68">
        <v>44905</v>
      </c>
      <c r="C189" s="18" t="s">
        <v>96</v>
      </c>
      <c r="D189" s="18" t="s">
        <v>96</v>
      </c>
      <c r="E189" s="18" t="s">
        <v>96</v>
      </c>
      <c r="F189" s="18" t="s">
        <v>9214</v>
      </c>
      <c r="G189" s="18" t="s">
        <v>292</v>
      </c>
      <c r="H189" s="18" t="s">
        <v>494</v>
      </c>
      <c r="I189" s="18" t="s">
        <v>9215</v>
      </c>
      <c r="J189" s="18" t="s">
        <v>95</v>
      </c>
      <c r="K189" s="18" t="s">
        <v>7970</v>
      </c>
      <c r="L189" s="18" t="s">
        <v>9216</v>
      </c>
      <c r="M189" s="18" t="s">
        <v>9217</v>
      </c>
      <c r="N189" s="18" t="s">
        <v>9218</v>
      </c>
      <c r="O189" s="18" t="s">
        <v>543</v>
      </c>
      <c r="P189" s="18" t="s">
        <v>9219</v>
      </c>
      <c r="Q189" s="18" t="s">
        <v>7975</v>
      </c>
      <c r="R189" s="18" t="s">
        <v>7976</v>
      </c>
      <c r="S189" s="18" t="s">
        <v>7994</v>
      </c>
      <c r="T189" s="18" t="s">
        <v>8245</v>
      </c>
      <c r="U189" s="18" t="s">
        <v>8012</v>
      </c>
      <c r="V189" s="18" t="s">
        <v>6963</v>
      </c>
      <c r="W189" s="18" t="s">
        <v>95</v>
      </c>
      <c r="X189" s="18" t="s">
        <v>95</v>
      </c>
      <c r="Y189" s="18" t="s">
        <v>7980</v>
      </c>
      <c r="Z189" s="18" t="s">
        <v>6996</v>
      </c>
      <c r="AA189" s="69">
        <v>1</v>
      </c>
      <c r="AB189" s="18">
        <v>156.25</v>
      </c>
      <c r="AC189" s="18" t="s">
        <v>9220</v>
      </c>
      <c r="AD189" s="18" t="s">
        <v>7982</v>
      </c>
      <c r="AE189" s="18">
        <v>163</v>
      </c>
      <c r="AF189" s="18" t="s">
        <v>7983</v>
      </c>
      <c r="AG189" s="18">
        <v>163</v>
      </c>
      <c r="AH189" s="18" t="s">
        <v>95</v>
      </c>
      <c r="AI189" s="18" t="s">
        <v>8102</v>
      </c>
      <c r="AJ189" s="18" t="s">
        <v>8103</v>
      </c>
      <c r="AK189" s="18" t="s">
        <v>95</v>
      </c>
      <c r="AL189" s="18" t="s">
        <v>95</v>
      </c>
      <c r="AM189" s="18" t="s">
        <v>95</v>
      </c>
      <c r="AN189" s="18" t="s">
        <v>7984</v>
      </c>
      <c r="AO189" s="18" t="s">
        <v>92</v>
      </c>
      <c r="AP189" s="20" t="s">
        <v>808</v>
      </c>
      <c r="AQ189" s="18" t="s">
        <v>809</v>
      </c>
      <c r="AR189" s="18" t="s">
        <v>496</v>
      </c>
      <c r="AS189" s="18">
        <v>1</v>
      </c>
      <c r="AT189" s="18" t="s">
        <v>122</v>
      </c>
      <c r="AU189" s="18" t="s">
        <v>90</v>
      </c>
      <c r="AV189" s="18" t="s">
        <v>8247</v>
      </c>
      <c r="AW189" s="18" t="s">
        <v>8248</v>
      </c>
      <c r="AX189" s="18" t="s">
        <v>83</v>
      </c>
      <c r="AY189" s="18" t="s">
        <v>95</v>
      </c>
      <c r="AZ189" s="18" t="s">
        <v>95</v>
      </c>
      <c r="BA189" s="18" t="s">
        <v>95</v>
      </c>
      <c r="BB189" s="18" t="s">
        <v>95</v>
      </c>
      <c r="BC189" s="18" t="s">
        <v>118</v>
      </c>
      <c r="BD189" s="18" t="s">
        <v>95</v>
      </c>
      <c r="BE189" s="18" t="s">
        <v>95</v>
      </c>
      <c r="BF189" s="18" t="s">
        <v>95</v>
      </c>
      <c r="BG189" s="18" t="s">
        <v>95</v>
      </c>
      <c r="BH189" s="18" t="s">
        <v>95</v>
      </c>
      <c r="BI189" s="18">
        <v>12</v>
      </c>
      <c r="BJ189" s="18">
        <v>2022</v>
      </c>
      <c r="BK189" s="18" t="s">
        <v>95</v>
      </c>
      <c r="BL189" s="18" t="s">
        <v>95</v>
      </c>
      <c r="BM189" s="18" t="s">
        <v>95</v>
      </c>
      <c r="BN189" s="18" t="s">
        <v>85</v>
      </c>
      <c r="BO189" s="18" t="s">
        <v>86</v>
      </c>
      <c r="BP189" s="18" t="s">
        <v>90</v>
      </c>
      <c r="BQ189" s="18" t="s">
        <v>8050</v>
      </c>
      <c r="BR189" s="18" t="s">
        <v>92</v>
      </c>
      <c r="BS189" s="18" t="s">
        <v>8074</v>
      </c>
      <c r="BT189" s="18" t="s">
        <v>7989</v>
      </c>
      <c r="BU189" s="18" t="s">
        <v>496</v>
      </c>
      <c r="BV189" s="18" t="str">
        <f>Terminales[[#This Row],[IMEI]]&amp;"SI"</f>
        <v>355108340304767SI</v>
      </c>
      <c r="BW189" s="18" t="str">
        <f>VLOOKUP(Terminales[[#This Row],[OFICINA_USUARIO]],[1]!Locales[#Data],3,0)</f>
        <v>TIENDA MACHALA</v>
      </c>
      <c r="BX189" s="18" t="str">
        <f>VLOOKUP(Terminales[[#This Row],[USUARIO_FINAL]],'[1]Personal Ppto vs Real'!$A:$F,6,0)</f>
        <v>ALICIA ROMINA GONZALEZ SANDOYA</v>
      </c>
      <c r="BY18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8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89" s="18">
        <f>DAY(Terminales[[#This Row],[FECHA_FACTURA]])</f>
        <v>10</v>
      </c>
      <c r="CB189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189" s="65">
        <f>IFERROR(IF(AND(Terminales[[#This Row],[CANTIDAD]] = 1,Terminales[[#This Row],[MOVIMIENTO]] = "RENOVACION"),Terminales[[#This Row],[TARIFA_BASICA]]*0.5,),)</f>
        <v>0</v>
      </c>
      <c r="CD189" s="65">
        <f>IF('[1]Resumen TM'!$AW$20 &lt; 0.4,0,Terminales[[#This Row],[MONTO]]*0.02)</f>
        <v>3.125</v>
      </c>
      <c r="CE189" s="66">
        <f>Terminales[[#This Row],[COMISIONES TERMINALES]]+Terminales[[#This Row],[COMISIONES RENOVACIONES]]+Terminales[[#This Row],[COMISIONES BONO]]</f>
        <v>18.75</v>
      </c>
      <c r="CF189" s="67">
        <f>(Terminales[[#This Row],[COMISIONES TERMINALES]]*VLOOKUP(Terminales[[#This Row],[LOCALES]],[1]!Calendario[#Data],3,0))/VLOOKUP(Terminales[[#This Row],[LOCALES]],[1]!Calendario[#Data],2,0)</f>
        <v>25.323275862068964</v>
      </c>
      <c r="CG189" s="67">
        <f>(Terminales[[#This Row],[COMISIONES RENOVACIONES]]*VLOOKUP(Terminales[[#This Row],[LOCALES]],[1]!Calendario[#Data],3,0))/VLOOKUP(Terminales[[#This Row],[LOCALES]],[1]!Calendario[#Data],2,0)</f>
        <v>0</v>
      </c>
      <c r="CH189" s="67">
        <f>(Terminales[[#This Row],[COMISIONES BONO]]*VLOOKUP(Terminales[[#This Row],[LOCALES]],[1]!Calendario[#Data],3,0))/VLOOKUP(Terminales[[#This Row],[LOCALES]],[1]!Calendario[#Data],2,0)</f>
        <v>5.0646551724137927</v>
      </c>
      <c r="CI189" s="67">
        <f>Terminales[[#This Row],[PROY. COM. TERMINALES]]+Terminales[[#This Row],[PROY. COM. RENOV.]]+Terminales[[#This Row],[PROY. COM. 2%]]</f>
        <v>30.387931034482758</v>
      </c>
    </row>
    <row r="190" spans="1:87" x14ac:dyDescent="0.25">
      <c r="A190" s="68">
        <v>44926</v>
      </c>
      <c r="B190" s="68">
        <v>44905</v>
      </c>
      <c r="C190" s="18" t="s">
        <v>96</v>
      </c>
      <c r="D190" s="18" t="s">
        <v>96</v>
      </c>
      <c r="E190" s="18" t="s">
        <v>96</v>
      </c>
      <c r="F190" s="18" t="s">
        <v>9221</v>
      </c>
      <c r="G190" s="18" t="s">
        <v>292</v>
      </c>
      <c r="H190" s="18" t="s">
        <v>494</v>
      </c>
      <c r="I190" s="18" t="s">
        <v>9222</v>
      </c>
      <c r="J190" s="18" t="s">
        <v>95</v>
      </c>
      <c r="K190" s="18" t="s">
        <v>7970</v>
      </c>
      <c r="L190" s="18" t="s">
        <v>9223</v>
      </c>
      <c r="M190" s="18" t="s">
        <v>9224</v>
      </c>
      <c r="N190" s="18" t="s">
        <v>9225</v>
      </c>
      <c r="O190" s="18" t="s">
        <v>8640</v>
      </c>
      <c r="P190" s="18" t="s">
        <v>9226</v>
      </c>
      <c r="Q190" s="18" t="s">
        <v>7975</v>
      </c>
      <c r="R190" s="18" t="s">
        <v>7976</v>
      </c>
      <c r="S190" s="18" t="s">
        <v>8045</v>
      </c>
      <c r="T190" s="18" t="s">
        <v>8642</v>
      </c>
      <c r="U190" s="18" t="s">
        <v>8059</v>
      </c>
      <c r="V190" s="18" t="s">
        <v>6963</v>
      </c>
      <c r="W190" s="18" t="s">
        <v>95</v>
      </c>
      <c r="X190" s="18" t="s">
        <v>95</v>
      </c>
      <c r="Y190" s="18" t="s">
        <v>7980</v>
      </c>
      <c r="Z190" s="18" t="s">
        <v>6996</v>
      </c>
      <c r="AA190" s="69">
        <v>1</v>
      </c>
      <c r="AB190" s="18">
        <v>1204.4642899999999</v>
      </c>
      <c r="AC190" s="18" t="s">
        <v>9227</v>
      </c>
      <c r="AD190" s="18" t="s">
        <v>96</v>
      </c>
      <c r="AE190" s="18">
        <v>1244</v>
      </c>
      <c r="AF190" s="18" t="s">
        <v>7983</v>
      </c>
      <c r="AG190" s="18">
        <v>1244</v>
      </c>
      <c r="AH190" s="18" t="s">
        <v>95</v>
      </c>
      <c r="AI190" s="18" t="s">
        <v>8102</v>
      </c>
      <c r="AJ190" s="18" t="s">
        <v>8103</v>
      </c>
      <c r="AK190" s="18" t="s">
        <v>95</v>
      </c>
      <c r="AL190" s="18" t="s">
        <v>95</v>
      </c>
      <c r="AM190" s="18" t="s">
        <v>95</v>
      </c>
      <c r="AN190" s="18" t="s">
        <v>7984</v>
      </c>
      <c r="AO190" s="18" t="s">
        <v>92</v>
      </c>
      <c r="AP190" s="20" t="s">
        <v>352</v>
      </c>
      <c r="AQ190" s="18" t="s">
        <v>353</v>
      </c>
      <c r="AR190" s="18" t="s">
        <v>496</v>
      </c>
      <c r="AS190" s="18">
        <v>1</v>
      </c>
      <c r="AT190" s="18" t="s">
        <v>122</v>
      </c>
      <c r="AU190" s="18" t="s">
        <v>90</v>
      </c>
      <c r="AV190" s="18" t="s">
        <v>8644</v>
      </c>
      <c r="AW190" s="18" t="s">
        <v>8645</v>
      </c>
      <c r="AX190" s="18" t="s">
        <v>83</v>
      </c>
      <c r="AY190" s="18" t="s">
        <v>95</v>
      </c>
      <c r="AZ190" s="18" t="s">
        <v>95</v>
      </c>
      <c r="BA190" s="18" t="s">
        <v>95</v>
      </c>
      <c r="BB190" s="18" t="s">
        <v>95</v>
      </c>
      <c r="BC190" s="18" t="s">
        <v>118</v>
      </c>
      <c r="BD190" s="18" t="s">
        <v>95</v>
      </c>
      <c r="BE190" s="18" t="s">
        <v>8212</v>
      </c>
      <c r="BF190" s="18" t="s">
        <v>8064</v>
      </c>
      <c r="BG190" s="18" t="s">
        <v>95</v>
      </c>
      <c r="BH190" s="18" t="s">
        <v>95</v>
      </c>
      <c r="BI190" s="18">
        <v>12</v>
      </c>
      <c r="BJ190" s="18">
        <v>2022</v>
      </c>
      <c r="BK190" s="18" t="s">
        <v>95</v>
      </c>
      <c r="BL190" s="18" t="s">
        <v>95</v>
      </c>
      <c r="BM190" s="18" t="s">
        <v>95</v>
      </c>
      <c r="BN190" s="18" t="s">
        <v>85</v>
      </c>
      <c r="BO190" s="18" t="s">
        <v>86</v>
      </c>
      <c r="BP190" s="18" t="s">
        <v>90</v>
      </c>
      <c r="BQ190" s="18" t="s">
        <v>8050</v>
      </c>
      <c r="BR190" s="18" t="s">
        <v>92</v>
      </c>
      <c r="BS190" s="18" t="s">
        <v>8003</v>
      </c>
      <c r="BT190" s="18" t="s">
        <v>7989</v>
      </c>
      <c r="BU190" s="18" t="s">
        <v>496</v>
      </c>
      <c r="BV190" s="18" t="str">
        <f>Terminales[[#This Row],[IMEI]]&amp;"SI"</f>
        <v>351338912483087SI</v>
      </c>
      <c r="BW190" s="18" t="str">
        <f>VLOOKUP(Terminales[[#This Row],[OFICINA_USUARIO]],[1]!Locales[#Data],3,0)</f>
        <v>TIENDA MACHALA</v>
      </c>
      <c r="BX190" s="18" t="str">
        <f>VLOOKUP(Terminales[[#This Row],[USUARIO_FINAL]],'[1]Personal Ppto vs Real'!$A:$F,6,0)</f>
        <v>TENORIO MARIA DEL PILAR</v>
      </c>
      <c r="BY19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19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90" s="18">
        <f>DAY(Terminales[[#This Row],[FECHA_FACTURA]])</f>
        <v>10</v>
      </c>
      <c r="CB190" s="65">
        <f>IF(Terminales[[#This Row],[CANTIDAD]] = 1,INDEX([1]!Comisiones[#Data],MATCH("Terminales",[1]!Comisiones[Producto],0),MATCH(Terminales[[#This Row],[TIPO ALTA COMISIONES]],[1]!Comisiones[#Headers],0))*Terminales[[#This Row],[MONTO]],0)</f>
        <v>120.44642899999999</v>
      </c>
      <c r="CC190" s="65">
        <f>IFERROR(IF(AND(Terminales[[#This Row],[CANTIDAD]] = 1,Terminales[[#This Row],[MOVIMIENTO]] = "RENOVACION"),Terminales[[#This Row],[TARIFA_BASICA]]*0.5,),)</f>
        <v>0</v>
      </c>
      <c r="CD190" s="65">
        <f>IF('[1]Resumen TM'!$AW$20 &lt; 0.4,0,Terminales[[#This Row],[MONTO]]*0.02)</f>
        <v>24.089285799999999</v>
      </c>
      <c r="CE190" s="66">
        <f>Terminales[[#This Row],[COMISIONES TERMINALES]]+Terminales[[#This Row],[COMISIONES RENOVACIONES]]+Terminales[[#This Row],[COMISIONES BONO]]</f>
        <v>144.53571479999999</v>
      </c>
      <c r="CF190" s="67">
        <f>(Terminales[[#This Row],[COMISIONES TERMINALES]]*VLOOKUP(Terminales[[#This Row],[LOCALES]],[1]!Calendario[#Data],3,0))/VLOOKUP(Terminales[[#This Row],[LOCALES]],[1]!Calendario[#Data],2,0)</f>
        <v>195.20628148275861</v>
      </c>
      <c r="CG190" s="67">
        <f>(Terminales[[#This Row],[COMISIONES RENOVACIONES]]*VLOOKUP(Terminales[[#This Row],[LOCALES]],[1]!Calendario[#Data],3,0))/VLOOKUP(Terminales[[#This Row],[LOCALES]],[1]!Calendario[#Data],2,0)</f>
        <v>0</v>
      </c>
      <c r="CH190" s="67">
        <f>(Terminales[[#This Row],[COMISIONES BONO]]*VLOOKUP(Terminales[[#This Row],[LOCALES]],[1]!Calendario[#Data],3,0))/VLOOKUP(Terminales[[#This Row],[LOCALES]],[1]!Calendario[#Data],2,0)</f>
        <v>39.041256296551722</v>
      </c>
      <c r="CI190" s="67">
        <f>Terminales[[#This Row],[PROY. COM. TERMINALES]]+Terminales[[#This Row],[PROY. COM. RENOV.]]+Terminales[[#This Row],[PROY. COM. 2%]]</f>
        <v>234.24753777931033</v>
      </c>
    </row>
    <row r="191" spans="1:87" x14ac:dyDescent="0.25">
      <c r="A191" s="68">
        <v>44926</v>
      </c>
      <c r="B191" s="68">
        <v>44905</v>
      </c>
      <c r="C191" s="18" t="s">
        <v>291</v>
      </c>
      <c r="D191" s="18" t="s">
        <v>78</v>
      </c>
      <c r="E191" s="18" t="s">
        <v>768</v>
      </c>
      <c r="F191" s="18" t="s">
        <v>9228</v>
      </c>
      <c r="G191" s="18" t="s">
        <v>292</v>
      </c>
      <c r="H191" s="18" t="s">
        <v>293</v>
      </c>
      <c r="I191" s="18" t="s">
        <v>9229</v>
      </c>
      <c r="J191" s="18" t="s">
        <v>95</v>
      </c>
      <c r="K191" s="18" t="s">
        <v>7970</v>
      </c>
      <c r="L191" s="18" t="s">
        <v>9230</v>
      </c>
      <c r="M191" s="18" t="s">
        <v>9231</v>
      </c>
      <c r="N191" s="18" t="s">
        <v>9232</v>
      </c>
      <c r="O191" s="18" t="s">
        <v>1691</v>
      </c>
      <c r="P191" s="18" t="s">
        <v>9233</v>
      </c>
      <c r="Q191" s="18" t="s">
        <v>7975</v>
      </c>
      <c r="R191" s="18" t="s">
        <v>7976</v>
      </c>
      <c r="S191" s="18" t="s">
        <v>8045</v>
      </c>
      <c r="T191" s="18" t="s">
        <v>8225</v>
      </c>
      <c r="U191" s="18" t="s">
        <v>8012</v>
      </c>
      <c r="V191" s="18" t="s">
        <v>6963</v>
      </c>
      <c r="W191" s="18" t="s">
        <v>95</v>
      </c>
      <c r="X191" s="18" t="s">
        <v>95</v>
      </c>
      <c r="Y191" s="18" t="s">
        <v>7980</v>
      </c>
      <c r="Z191" s="18" t="s">
        <v>6996</v>
      </c>
      <c r="AA191" s="69">
        <v>1</v>
      </c>
      <c r="AB191" s="18">
        <v>334.82143000000002</v>
      </c>
      <c r="AC191" s="18" t="s">
        <v>9234</v>
      </c>
      <c r="AD191" s="18" t="s">
        <v>7982</v>
      </c>
      <c r="AE191" s="18">
        <v>232</v>
      </c>
      <c r="AF191" s="18" t="s">
        <v>7983</v>
      </c>
      <c r="AG191" s="18">
        <v>232</v>
      </c>
      <c r="AH191" s="18" t="s">
        <v>95</v>
      </c>
      <c r="AI191" s="18" t="s">
        <v>7404</v>
      </c>
      <c r="AJ191" s="18" t="s">
        <v>7553</v>
      </c>
      <c r="AK191" s="18">
        <v>29.99</v>
      </c>
      <c r="AL191" s="18" t="s">
        <v>95</v>
      </c>
      <c r="AM191" s="18" t="s">
        <v>95</v>
      </c>
      <c r="AN191" s="18" t="s">
        <v>7984</v>
      </c>
      <c r="AO191" s="18" t="s">
        <v>92</v>
      </c>
      <c r="AP191" s="20" t="s">
        <v>1043</v>
      </c>
      <c r="AQ191" s="18" t="s">
        <v>1044</v>
      </c>
      <c r="AR191" s="18" t="s">
        <v>295</v>
      </c>
      <c r="AS191" s="18">
        <v>6</v>
      </c>
      <c r="AT191" s="18" t="s">
        <v>122</v>
      </c>
      <c r="AU191" s="18" t="s">
        <v>90</v>
      </c>
      <c r="AV191" s="18" t="s">
        <v>8228</v>
      </c>
      <c r="AW191" s="18" t="s">
        <v>8229</v>
      </c>
      <c r="AX191" s="18" t="s">
        <v>83</v>
      </c>
      <c r="AY191" s="18" t="s">
        <v>95</v>
      </c>
      <c r="AZ191" s="18" t="s">
        <v>95</v>
      </c>
      <c r="BA191" s="18" t="s">
        <v>95</v>
      </c>
      <c r="BB191" s="18" t="s">
        <v>95</v>
      </c>
      <c r="BC191" s="18" t="s">
        <v>118</v>
      </c>
      <c r="BD191" s="18">
        <v>67</v>
      </c>
      <c r="BE191" s="18" t="s">
        <v>95</v>
      </c>
      <c r="BF191" s="18" t="s">
        <v>95</v>
      </c>
      <c r="BG191" s="18" t="s">
        <v>95</v>
      </c>
      <c r="BH191" s="18" t="s">
        <v>95</v>
      </c>
      <c r="BI191" s="18">
        <v>12</v>
      </c>
      <c r="BJ191" s="18">
        <v>2022</v>
      </c>
      <c r="BK191" s="18" t="s">
        <v>95</v>
      </c>
      <c r="BL191" s="18" t="s">
        <v>95</v>
      </c>
      <c r="BM191" s="18" t="s">
        <v>95</v>
      </c>
      <c r="BN191" s="18" t="s">
        <v>85</v>
      </c>
      <c r="BO191" s="18" t="s">
        <v>86</v>
      </c>
      <c r="BP191" s="18" t="s">
        <v>90</v>
      </c>
      <c r="BQ191" s="18" t="s">
        <v>8050</v>
      </c>
      <c r="BR191" s="18" t="s">
        <v>92</v>
      </c>
      <c r="BS191" s="18" t="s">
        <v>8027</v>
      </c>
      <c r="BT191" s="18" t="s">
        <v>7989</v>
      </c>
      <c r="BU191" s="18" t="s">
        <v>7990</v>
      </c>
      <c r="BV191" s="18" t="str">
        <f>Terminales[[#This Row],[IMEI]]&amp;"SI"</f>
        <v>356795951169577SI</v>
      </c>
      <c r="BW191" s="18" t="str">
        <f>VLOOKUP(Terminales[[#This Row],[OFICINA_USUARIO]],[1]!Locales[#Data],3,0)</f>
        <v>TIENDA MACHALA</v>
      </c>
      <c r="BX191" s="18" t="str">
        <f>VLOOKUP(Terminales[[#This Row],[USUARIO_FINAL]],'[1]Personal Ppto vs Real'!$A:$F,6,0)</f>
        <v>GONZAGA YUPANGUI LIZBETH KATHERINE</v>
      </c>
      <c r="BY191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9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91" s="18">
        <f>DAY(Terminales[[#This Row],[FECHA_FACTURA]])</f>
        <v>10</v>
      </c>
      <c r="CB191" s="65">
        <f>IF(Terminales[[#This Row],[CANTIDAD]] = 1,INDEX([1]!Comisiones[#Data],MATCH("Terminales",[1]!Comisiones[Producto],0),MATCH(Terminales[[#This Row],[TIPO ALTA COMISIONES]],[1]!Comisiones[#Headers],0))*Terminales[[#This Row],[MONTO]],0)</f>
        <v>26.785714400000003</v>
      </c>
      <c r="CC191" s="65">
        <f>IFERROR(IF(AND(Terminales[[#This Row],[CANTIDAD]] = 1,Terminales[[#This Row],[MOVIMIENTO]] = "RENOVACION"),Terminales[[#This Row],[TARIFA_BASICA]]*0.5,),)</f>
        <v>14.994999999999999</v>
      </c>
      <c r="CD191" s="65">
        <f>IF('[1]Resumen TM'!$AW$20 &lt; 0.4,0,Terminales[[#This Row],[MONTO]]*0.02)</f>
        <v>6.6964286000000008</v>
      </c>
      <c r="CE191" s="66">
        <f>Terminales[[#This Row],[COMISIONES TERMINALES]]+Terminales[[#This Row],[COMISIONES RENOVACIONES]]+Terminales[[#This Row],[COMISIONES BONO]]</f>
        <v>48.477142999999998</v>
      </c>
      <c r="CF191" s="67">
        <f>(Terminales[[#This Row],[COMISIONES TERMINALES]]*VLOOKUP(Terminales[[#This Row],[LOCALES]],[1]!Calendario[#Data],3,0))/VLOOKUP(Terminales[[#This Row],[LOCALES]],[1]!Calendario[#Data],2,0)</f>
        <v>43.411330234482769</v>
      </c>
      <c r="CG191" s="67">
        <f>(Terminales[[#This Row],[COMISIONES RENOVACIONES]]*VLOOKUP(Terminales[[#This Row],[LOCALES]],[1]!Calendario[#Data],3,0))/VLOOKUP(Terminales[[#This Row],[LOCALES]],[1]!Calendario[#Data],2,0)</f>
        <v>24.302241379310345</v>
      </c>
      <c r="CH191" s="67">
        <f>(Terminales[[#This Row],[COMISIONES BONO]]*VLOOKUP(Terminales[[#This Row],[LOCALES]],[1]!Calendario[#Data],3,0))/VLOOKUP(Terminales[[#This Row],[LOCALES]],[1]!Calendario[#Data],2,0)</f>
        <v>10.852832558620692</v>
      </c>
      <c r="CI191" s="67">
        <f>Terminales[[#This Row],[PROY. COM. TERMINALES]]+Terminales[[#This Row],[PROY. COM. RENOV.]]+Terminales[[#This Row],[PROY. COM. 2%]]</f>
        <v>78.566404172413797</v>
      </c>
    </row>
    <row r="192" spans="1:87" x14ac:dyDescent="0.25">
      <c r="A192" s="68">
        <v>44926</v>
      </c>
      <c r="B192" s="68">
        <v>44905</v>
      </c>
      <c r="C192" s="18" t="s">
        <v>291</v>
      </c>
      <c r="D192" s="18" t="s">
        <v>521</v>
      </c>
      <c r="E192" s="18" t="s">
        <v>8017</v>
      </c>
      <c r="F192" s="18" t="s">
        <v>9235</v>
      </c>
      <c r="G192" s="18" t="s">
        <v>292</v>
      </c>
      <c r="H192" s="18" t="s">
        <v>494</v>
      </c>
      <c r="I192" s="18" t="s">
        <v>9236</v>
      </c>
      <c r="J192" s="18" t="s">
        <v>95</v>
      </c>
      <c r="K192" s="18" t="s">
        <v>7970</v>
      </c>
      <c r="L192" s="18" t="s">
        <v>9237</v>
      </c>
      <c r="M192" s="18" t="s">
        <v>9238</v>
      </c>
      <c r="N192" s="18" t="s">
        <v>9239</v>
      </c>
      <c r="O192" s="18" t="s">
        <v>3299</v>
      </c>
      <c r="P192" s="18" t="s">
        <v>9240</v>
      </c>
      <c r="Q192" s="18" t="s">
        <v>7975</v>
      </c>
      <c r="R192" s="18" t="s">
        <v>7976</v>
      </c>
      <c r="S192" s="18" t="s">
        <v>8070</v>
      </c>
      <c r="T192" s="18" t="s">
        <v>8189</v>
      </c>
      <c r="U192" s="18" t="s">
        <v>8100</v>
      </c>
      <c r="V192" s="18" t="s">
        <v>6963</v>
      </c>
      <c r="W192" s="18" t="s">
        <v>95</v>
      </c>
      <c r="X192" s="18" t="s">
        <v>95</v>
      </c>
      <c r="Y192" s="18" t="s">
        <v>7980</v>
      </c>
      <c r="Z192" s="18" t="s">
        <v>6996</v>
      </c>
      <c r="AA192" s="69">
        <v>1</v>
      </c>
      <c r="AB192" s="18">
        <v>437.5</v>
      </c>
      <c r="AC192" s="18" t="s">
        <v>9241</v>
      </c>
      <c r="AD192" s="18" t="s">
        <v>7982</v>
      </c>
      <c r="AE192" s="18">
        <v>399.99</v>
      </c>
      <c r="AF192" s="18" t="s">
        <v>7983</v>
      </c>
      <c r="AG192" s="18">
        <v>399.99</v>
      </c>
      <c r="AH192" s="18" t="s">
        <v>95</v>
      </c>
      <c r="AI192" s="18" t="s">
        <v>7055</v>
      </c>
      <c r="AJ192" s="18" t="s">
        <v>7056</v>
      </c>
      <c r="AK192" s="18">
        <v>15</v>
      </c>
      <c r="AL192" s="18" t="s">
        <v>95</v>
      </c>
      <c r="AM192" s="18" t="s">
        <v>95</v>
      </c>
      <c r="AN192" s="18" t="s">
        <v>7984</v>
      </c>
      <c r="AO192" s="18" t="s">
        <v>8121</v>
      </c>
      <c r="AP192" s="20" t="s">
        <v>280</v>
      </c>
      <c r="AQ192" s="18" t="s">
        <v>281</v>
      </c>
      <c r="AR192" s="18" t="s">
        <v>496</v>
      </c>
      <c r="AS192" s="18">
        <v>1</v>
      </c>
      <c r="AT192" s="18" t="s">
        <v>235</v>
      </c>
      <c r="AU192" s="18" t="s">
        <v>90</v>
      </c>
      <c r="AV192" s="18" t="s">
        <v>8191</v>
      </c>
      <c r="AW192" s="18" t="s">
        <v>8192</v>
      </c>
      <c r="AX192" s="18" t="s">
        <v>83</v>
      </c>
      <c r="AY192" s="18" t="s">
        <v>95</v>
      </c>
      <c r="AZ192" s="18" t="s">
        <v>95</v>
      </c>
      <c r="BA192" s="18" t="s">
        <v>95</v>
      </c>
      <c r="BB192" s="18" t="s">
        <v>95</v>
      </c>
      <c r="BC192" s="18" t="s">
        <v>118</v>
      </c>
      <c r="BD192" s="18" t="s">
        <v>95</v>
      </c>
      <c r="BE192" s="18" t="s">
        <v>95</v>
      </c>
      <c r="BF192" s="18" t="s">
        <v>95</v>
      </c>
      <c r="BG192" s="18" t="s">
        <v>95</v>
      </c>
      <c r="BH192" s="18" t="s">
        <v>95</v>
      </c>
      <c r="BI192" s="18">
        <v>12</v>
      </c>
      <c r="BJ192" s="18">
        <v>2022</v>
      </c>
      <c r="BK192" s="18" t="s">
        <v>95</v>
      </c>
      <c r="BL192" s="18" t="s">
        <v>95</v>
      </c>
      <c r="BM192" s="18" t="s">
        <v>95</v>
      </c>
      <c r="BN192" s="18" t="s">
        <v>85</v>
      </c>
      <c r="BO192" s="18" t="s">
        <v>86</v>
      </c>
      <c r="BP192" s="18" t="s">
        <v>90</v>
      </c>
      <c r="BQ192" s="18" t="s">
        <v>8016</v>
      </c>
      <c r="BR192" s="18" t="s">
        <v>8121</v>
      </c>
      <c r="BS192" s="18" t="s">
        <v>8074</v>
      </c>
      <c r="BT192" s="18" t="s">
        <v>7989</v>
      </c>
      <c r="BU192" s="18" t="s">
        <v>496</v>
      </c>
      <c r="BV192" s="18" t="str">
        <f>Terminales[[#This Row],[IMEI]]&amp;"SI"</f>
        <v>861267061002005SI</v>
      </c>
      <c r="BW192" s="18" t="str">
        <f>VLOOKUP(Terminales[[#This Row],[OFICINA_USUARIO]],[1]!Locales[#Data],3,0)</f>
        <v>TIENDA CONDADO</v>
      </c>
      <c r="BX192" s="18" t="str">
        <f>VLOOKUP(Terminales[[#This Row],[USUARIO_FINAL]],'[1]Personal Ppto vs Real'!$A:$F,6,0)</f>
        <v>GUACHAMIN CAZA HUGO ADRIAN</v>
      </c>
      <c r="BY19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9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92" s="18">
        <f>DAY(Terminales[[#This Row],[FECHA_FACTURA]])</f>
        <v>10</v>
      </c>
      <c r="CB192" s="65">
        <f>IF(Terminales[[#This Row],[CANTIDAD]] = 1,INDEX([1]!Comisiones[#Data],MATCH("Terminales",[1]!Comisiones[Producto],0),MATCH(Terminales[[#This Row],[TIPO ALTA COMISIONES]],[1]!Comisiones[#Headers],0))*Terminales[[#This Row],[MONTO]],0)</f>
        <v>43.75</v>
      </c>
      <c r="CC192" s="65">
        <f>IFERROR(IF(AND(Terminales[[#This Row],[CANTIDAD]] = 1,Terminales[[#This Row],[MOVIMIENTO]] = "RENOVACION"),Terminales[[#This Row],[TARIFA_BASICA]]*0.5,),)</f>
        <v>7.5</v>
      </c>
      <c r="CD192" s="65">
        <f>IF('[1]Resumen TM'!$AW$20 &lt; 0.4,0,Terminales[[#This Row],[MONTO]]*0.02)</f>
        <v>8.75</v>
      </c>
      <c r="CE192" s="66">
        <f>Terminales[[#This Row],[COMISIONES TERMINALES]]+Terminales[[#This Row],[COMISIONES RENOVACIONES]]+Terminales[[#This Row],[COMISIONES BONO]]</f>
        <v>60</v>
      </c>
      <c r="CF192" s="67">
        <f>(Terminales[[#This Row],[COMISIONES TERMINALES]]*VLOOKUP(Terminales[[#This Row],[LOCALES]],[1]!Calendario[#Data],3,0))/VLOOKUP(Terminales[[#This Row],[LOCALES]],[1]!Calendario[#Data],2,0)</f>
        <v>71.975806451612897</v>
      </c>
      <c r="CG192" s="67">
        <f>(Terminales[[#This Row],[COMISIONES RENOVACIONES]]*VLOOKUP(Terminales[[#This Row],[LOCALES]],[1]!Calendario[#Data],3,0))/VLOOKUP(Terminales[[#This Row],[LOCALES]],[1]!Calendario[#Data],2,0)</f>
        <v>12.338709677419354</v>
      </c>
      <c r="CH192" s="67">
        <f>(Terminales[[#This Row],[COMISIONES BONO]]*VLOOKUP(Terminales[[#This Row],[LOCALES]],[1]!Calendario[#Data],3,0))/VLOOKUP(Terminales[[#This Row],[LOCALES]],[1]!Calendario[#Data],2,0)</f>
        <v>14.39516129032258</v>
      </c>
      <c r="CI192" s="67">
        <f>Terminales[[#This Row],[PROY. COM. TERMINALES]]+Terminales[[#This Row],[PROY. COM. RENOV.]]+Terminales[[#This Row],[PROY. COM. 2%]]</f>
        <v>98.709677419354833</v>
      </c>
    </row>
    <row r="193" spans="1:87" x14ac:dyDescent="0.25">
      <c r="A193" s="68">
        <v>44926</v>
      </c>
      <c r="B193" s="68">
        <v>44905</v>
      </c>
      <c r="C193" s="18" t="s">
        <v>291</v>
      </c>
      <c r="D193" s="18" t="s">
        <v>78</v>
      </c>
      <c r="E193" s="18" t="s">
        <v>311</v>
      </c>
      <c r="F193" s="18" t="s">
        <v>7893</v>
      </c>
      <c r="G193" s="18" t="s">
        <v>292</v>
      </c>
      <c r="H193" s="18" t="s">
        <v>494</v>
      </c>
      <c r="I193" s="18" t="s">
        <v>9242</v>
      </c>
      <c r="J193" s="18" t="s">
        <v>95</v>
      </c>
      <c r="K193" s="18" t="s">
        <v>7970</v>
      </c>
      <c r="L193" s="18" t="s">
        <v>9243</v>
      </c>
      <c r="M193" s="18" t="s">
        <v>307</v>
      </c>
      <c r="N193" s="18" t="s">
        <v>308</v>
      </c>
      <c r="O193" s="18" t="s">
        <v>4907</v>
      </c>
      <c r="P193" s="18" t="s">
        <v>9244</v>
      </c>
      <c r="Q193" s="18" t="s">
        <v>7975</v>
      </c>
      <c r="R193" s="18" t="s">
        <v>7976</v>
      </c>
      <c r="S193" s="18" t="s">
        <v>8045</v>
      </c>
      <c r="T193" s="18" t="s">
        <v>8099</v>
      </c>
      <c r="U193" s="18" t="s">
        <v>8100</v>
      </c>
      <c r="V193" s="18" t="s">
        <v>6963</v>
      </c>
      <c r="W193" s="18" t="s">
        <v>95</v>
      </c>
      <c r="X193" s="18" t="s">
        <v>95</v>
      </c>
      <c r="Y193" s="18" t="s">
        <v>7980</v>
      </c>
      <c r="Z193" s="18" t="s">
        <v>6996</v>
      </c>
      <c r="AA193" s="69">
        <v>1</v>
      </c>
      <c r="AB193" s="18">
        <v>406.25</v>
      </c>
      <c r="AC193" s="18" t="s">
        <v>7894</v>
      </c>
      <c r="AD193" s="18" t="s">
        <v>7982</v>
      </c>
      <c r="AE193" s="18">
        <v>402.5</v>
      </c>
      <c r="AF193" s="18" t="s">
        <v>7983</v>
      </c>
      <c r="AG193" s="18">
        <v>402.5</v>
      </c>
      <c r="AH193" s="18" t="s">
        <v>95</v>
      </c>
      <c r="AI193" s="18" t="s">
        <v>3972</v>
      </c>
      <c r="AJ193" s="18" t="s">
        <v>3973</v>
      </c>
      <c r="AK193" s="18">
        <v>26.78</v>
      </c>
      <c r="AL193" s="18" t="s">
        <v>95</v>
      </c>
      <c r="AM193" s="18" t="s">
        <v>95</v>
      </c>
      <c r="AN193" s="18" t="s">
        <v>7984</v>
      </c>
      <c r="AO193" s="18" t="s">
        <v>139</v>
      </c>
      <c r="AP193" s="20" t="s">
        <v>136</v>
      </c>
      <c r="AQ193" s="18" t="s">
        <v>137</v>
      </c>
      <c r="AR193" s="18" t="s">
        <v>496</v>
      </c>
      <c r="AS193" s="18">
        <v>1</v>
      </c>
      <c r="AT193" s="18" t="s">
        <v>138</v>
      </c>
      <c r="AU193" s="18" t="s">
        <v>90</v>
      </c>
      <c r="AV193" s="18" t="s">
        <v>8660</v>
      </c>
      <c r="AW193" s="18" t="s">
        <v>8661</v>
      </c>
      <c r="AX193" s="18" t="s">
        <v>83</v>
      </c>
      <c r="AY193" s="18" t="s">
        <v>95</v>
      </c>
      <c r="AZ193" s="18" t="s">
        <v>95</v>
      </c>
      <c r="BA193" s="18" t="s">
        <v>95</v>
      </c>
      <c r="BB193" s="18" t="s">
        <v>95</v>
      </c>
      <c r="BC193" s="18" t="s">
        <v>215</v>
      </c>
      <c r="BD193" s="18" t="s">
        <v>95</v>
      </c>
      <c r="BE193" s="18" t="s">
        <v>8000</v>
      </c>
      <c r="BF193" s="18" t="s">
        <v>8001</v>
      </c>
      <c r="BG193" s="18" t="s">
        <v>95</v>
      </c>
      <c r="BH193" s="18" t="s">
        <v>95</v>
      </c>
      <c r="BI193" s="18">
        <v>12</v>
      </c>
      <c r="BJ193" s="18">
        <v>2022</v>
      </c>
      <c r="BK193" s="18" t="s">
        <v>95</v>
      </c>
      <c r="BL193" s="18" t="s">
        <v>95</v>
      </c>
      <c r="BM193" s="18" t="s">
        <v>95</v>
      </c>
      <c r="BN193" s="18" t="s">
        <v>85</v>
      </c>
      <c r="BO193" s="18" t="s">
        <v>86</v>
      </c>
      <c r="BP193" s="18" t="s">
        <v>90</v>
      </c>
      <c r="BQ193" s="18" t="s">
        <v>7987</v>
      </c>
      <c r="BR193" s="18" t="s">
        <v>139</v>
      </c>
      <c r="BS193" s="18" t="s">
        <v>8003</v>
      </c>
      <c r="BT193" s="18" t="s">
        <v>7989</v>
      </c>
      <c r="BU193" s="18" t="s">
        <v>496</v>
      </c>
      <c r="BV193" s="18" t="str">
        <f>Terminales[[#This Row],[IMEI]]&amp;"SI"</f>
        <v>353842194256325SI</v>
      </c>
      <c r="BW193" s="18" t="str">
        <f>VLOOKUP(Terminales[[#This Row],[OFICINA_USUARIO]],[1]!Locales[#Data],3,0)</f>
        <v>TIENDA AMERICA</v>
      </c>
      <c r="BX193" s="18" t="str">
        <f>VLOOKUP(Terminales[[#This Row],[USUARIO_FINAL]],'[1]Personal Ppto vs Real'!$A:$F,6,0)</f>
        <v>SALVATIERRA GUERRA JULIAN ENRIQUE</v>
      </c>
      <c r="BY19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9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93" s="18">
        <f>DAY(Terminales[[#This Row],[FECHA_FACTURA]])</f>
        <v>10</v>
      </c>
      <c r="CB193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193" s="65">
        <f>IFERROR(IF(AND(Terminales[[#This Row],[CANTIDAD]] = 1,Terminales[[#This Row],[MOVIMIENTO]] = "RENOVACION"),Terminales[[#This Row],[TARIFA_BASICA]]*0.5,),)</f>
        <v>13.39</v>
      </c>
      <c r="CD193" s="65">
        <f>IF('[1]Resumen TM'!$AW$20 &lt; 0.4,0,Terminales[[#This Row],[MONTO]]*0.02)</f>
        <v>8.125</v>
      </c>
      <c r="CE193" s="66">
        <f>Terminales[[#This Row],[COMISIONES TERMINALES]]+Terminales[[#This Row],[COMISIONES RENOVACIONES]]+Terminales[[#This Row],[COMISIONES BONO]]</f>
        <v>62.14</v>
      </c>
      <c r="CF193" s="67">
        <f>(Terminales[[#This Row],[COMISIONES TERMINALES]]*VLOOKUP(Terminales[[#This Row],[LOCALES]],[1]!Calendario[#Data],3,0))/VLOOKUP(Terminales[[#This Row],[LOCALES]],[1]!Calendario[#Data],2,0)</f>
        <v>66.741071428571431</v>
      </c>
      <c r="CG193" s="67">
        <f>(Terminales[[#This Row],[COMISIONES RENOVACIONES]]*VLOOKUP(Terminales[[#This Row],[LOCALES]],[1]!Calendario[#Data],3,0))/VLOOKUP(Terminales[[#This Row],[LOCALES]],[1]!Calendario[#Data],2,0)</f>
        <v>21.997857142857146</v>
      </c>
      <c r="CH193" s="67">
        <f>(Terminales[[#This Row],[COMISIONES BONO]]*VLOOKUP(Terminales[[#This Row],[LOCALES]],[1]!Calendario[#Data],3,0))/VLOOKUP(Terminales[[#This Row],[LOCALES]],[1]!Calendario[#Data],2,0)</f>
        <v>13.348214285714286</v>
      </c>
      <c r="CI193" s="67">
        <f>Terminales[[#This Row],[PROY. COM. TERMINALES]]+Terminales[[#This Row],[PROY. COM. RENOV.]]+Terminales[[#This Row],[PROY. COM. 2%]]</f>
        <v>102.08714285714287</v>
      </c>
    </row>
    <row r="194" spans="1:87" x14ac:dyDescent="0.25">
      <c r="A194" s="68">
        <v>44926</v>
      </c>
      <c r="B194" s="68">
        <v>44905</v>
      </c>
      <c r="C194" s="18" t="s">
        <v>291</v>
      </c>
      <c r="D194" s="18" t="s">
        <v>78</v>
      </c>
      <c r="E194" s="18" t="s">
        <v>231</v>
      </c>
      <c r="F194" s="18" t="s">
        <v>9245</v>
      </c>
      <c r="G194" s="18" t="s">
        <v>292</v>
      </c>
      <c r="H194" s="18" t="s">
        <v>494</v>
      </c>
      <c r="I194" s="18" t="s">
        <v>9246</v>
      </c>
      <c r="J194" s="18" t="s">
        <v>95</v>
      </c>
      <c r="K194" s="18" t="s">
        <v>7970</v>
      </c>
      <c r="L194" s="18" t="s">
        <v>9247</v>
      </c>
      <c r="M194" s="18" t="s">
        <v>9248</v>
      </c>
      <c r="N194" s="18" t="s">
        <v>9249</v>
      </c>
      <c r="O194" s="18" t="s">
        <v>1691</v>
      </c>
      <c r="P194" s="18" t="s">
        <v>9250</v>
      </c>
      <c r="Q194" s="18" t="s">
        <v>7975</v>
      </c>
      <c r="R194" s="18" t="s">
        <v>7976</v>
      </c>
      <c r="S194" s="18" t="s">
        <v>8045</v>
      </c>
      <c r="T194" s="18" t="s">
        <v>8225</v>
      </c>
      <c r="U194" s="18" t="s">
        <v>8012</v>
      </c>
      <c r="V194" s="18" t="s">
        <v>6963</v>
      </c>
      <c r="W194" s="18" t="s">
        <v>95</v>
      </c>
      <c r="X194" s="18" t="s">
        <v>95</v>
      </c>
      <c r="Y194" s="18" t="s">
        <v>7980</v>
      </c>
      <c r="Z194" s="18" t="s">
        <v>6996</v>
      </c>
      <c r="AA194" s="69">
        <v>1</v>
      </c>
      <c r="AB194" s="18">
        <v>241.07142999999999</v>
      </c>
      <c r="AC194" s="18" t="s">
        <v>9251</v>
      </c>
      <c r="AD194" s="18" t="s">
        <v>7982</v>
      </c>
      <c r="AE194" s="18">
        <v>232</v>
      </c>
      <c r="AF194" s="18" t="s">
        <v>7983</v>
      </c>
      <c r="AG194" s="18">
        <v>232</v>
      </c>
      <c r="AH194" s="18" t="s">
        <v>95</v>
      </c>
      <c r="AI194" s="18" t="s">
        <v>7213</v>
      </c>
      <c r="AJ194" s="18" t="s">
        <v>7477</v>
      </c>
      <c r="AK194" s="18">
        <v>24.99</v>
      </c>
      <c r="AL194" s="18" t="s">
        <v>95</v>
      </c>
      <c r="AM194" s="18" t="s">
        <v>95</v>
      </c>
      <c r="AN194" s="18" t="s">
        <v>7984</v>
      </c>
      <c r="AO194" s="18" t="s">
        <v>92</v>
      </c>
      <c r="AP194" s="20" t="s">
        <v>242</v>
      </c>
      <c r="AQ194" s="18" t="s">
        <v>243</v>
      </c>
      <c r="AR194" s="18" t="s">
        <v>496</v>
      </c>
      <c r="AS194" s="18">
        <v>1</v>
      </c>
      <c r="AT194" s="18" t="s">
        <v>91</v>
      </c>
      <c r="AU194" s="18" t="s">
        <v>90</v>
      </c>
      <c r="AV194" s="18" t="s">
        <v>8228</v>
      </c>
      <c r="AW194" s="18" t="s">
        <v>8229</v>
      </c>
      <c r="AX194" s="18" t="s">
        <v>83</v>
      </c>
      <c r="AY194" s="18" t="s">
        <v>95</v>
      </c>
      <c r="AZ194" s="18" t="s">
        <v>95</v>
      </c>
      <c r="BA194" s="18" t="s">
        <v>95</v>
      </c>
      <c r="BB194" s="18" t="s">
        <v>95</v>
      </c>
      <c r="BC194" s="18" t="s">
        <v>215</v>
      </c>
      <c r="BD194" s="18" t="s">
        <v>95</v>
      </c>
      <c r="BE194" s="18" t="s">
        <v>95</v>
      </c>
      <c r="BF194" s="18" t="s">
        <v>95</v>
      </c>
      <c r="BG194" s="18" t="s">
        <v>95</v>
      </c>
      <c r="BH194" s="18" t="s">
        <v>95</v>
      </c>
      <c r="BI194" s="18">
        <v>12</v>
      </c>
      <c r="BJ194" s="18">
        <v>2022</v>
      </c>
      <c r="BK194" s="18" t="s">
        <v>95</v>
      </c>
      <c r="BL194" s="18" t="s">
        <v>95</v>
      </c>
      <c r="BM194" s="18" t="s">
        <v>95</v>
      </c>
      <c r="BN194" s="18" t="s">
        <v>85</v>
      </c>
      <c r="BO194" s="18" t="s">
        <v>86</v>
      </c>
      <c r="BP194" s="18" t="s">
        <v>90</v>
      </c>
      <c r="BQ194" s="18" t="s">
        <v>8106</v>
      </c>
      <c r="BR194" s="18" t="s">
        <v>92</v>
      </c>
      <c r="BS194" s="18" t="s">
        <v>8074</v>
      </c>
      <c r="BT194" s="18" t="s">
        <v>7989</v>
      </c>
      <c r="BU194" s="18" t="s">
        <v>496</v>
      </c>
      <c r="BV194" s="18" t="str">
        <f>Terminales[[#This Row],[IMEI]]&amp;"SI"</f>
        <v>356795951301212SI</v>
      </c>
      <c r="BW194" s="18" t="str">
        <f>VLOOKUP(Terminales[[#This Row],[OFICINA_USUARIO]],[1]!Locales[#Data],3,0)</f>
        <v>TIENDA CUENCA CENTRO</v>
      </c>
      <c r="BX194" s="18" t="str">
        <f>VLOOKUP(Terminales[[#This Row],[USUARIO_FINAL]],'[1]Personal Ppto vs Real'!$A:$F,6,0)</f>
        <v>VALLEJO DELEG ROMAN NICOLAS</v>
      </c>
      <c r="BY19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9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194" s="18">
        <f>DAY(Terminales[[#This Row],[FECHA_FACTURA]])</f>
        <v>10</v>
      </c>
      <c r="CB194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94" s="65">
        <f>IFERROR(IF(AND(Terminales[[#This Row],[CANTIDAD]] = 1,Terminales[[#This Row],[MOVIMIENTO]] = "RENOVACION"),Terminales[[#This Row],[TARIFA_BASICA]]*0.5,),)</f>
        <v>12.494999999999999</v>
      </c>
      <c r="CD194" s="65">
        <f>IF('[1]Resumen TM'!$AW$20 &lt; 0.4,0,Terminales[[#This Row],[MONTO]]*0.02)</f>
        <v>4.8214286</v>
      </c>
      <c r="CE194" s="66">
        <f>Terminales[[#This Row],[COMISIONES TERMINALES]]+Terminales[[#This Row],[COMISIONES RENOVACIONES]]+Terminales[[#This Row],[COMISIONES BONO]]</f>
        <v>41.423571599999995</v>
      </c>
      <c r="CF194" s="67">
        <f>(Terminales[[#This Row],[COMISIONES TERMINALES]]*VLOOKUP(Terminales[[#This Row],[LOCALES]],[1]!Calendario[#Data],3,0))/VLOOKUP(Terminales[[#This Row],[LOCALES]],[1]!Calendario[#Data],2,0)</f>
        <v>39.070197275862071</v>
      </c>
      <c r="CG194" s="67">
        <f>(Terminales[[#This Row],[COMISIONES RENOVACIONES]]*VLOOKUP(Terminales[[#This Row],[LOCALES]],[1]!Calendario[#Data],3,0))/VLOOKUP(Terminales[[#This Row],[LOCALES]],[1]!Calendario[#Data],2,0)</f>
        <v>20.25051724137931</v>
      </c>
      <c r="CH194" s="67">
        <f>(Terminales[[#This Row],[COMISIONES BONO]]*VLOOKUP(Terminales[[#This Row],[LOCALES]],[1]!Calendario[#Data],3,0))/VLOOKUP(Terminales[[#This Row],[LOCALES]],[1]!Calendario[#Data],2,0)</f>
        <v>7.8140394551724137</v>
      </c>
      <c r="CI194" s="67">
        <f>Terminales[[#This Row],[PROY. COM. TERMINALES]]+Terminales[[#This Row],[PROY. COM. RENOV.]]+Terminales[[#This Row],[PROY. COM. 2%]]</f>
        <v>67.134753972413804</v>
      </c>
    </row>
    <row r="195" spans="1:87" x14ac:dyDescent="0.25">
      <c r="A195" s="68">
        <v>44926</v>
      </c>
      <c r="B195" s="68">
        <v>44905</v>
      </c>
      <c r="C195" s="18" t="s">
        <v>291</v>
      </c>
      <c r="D195" s="18" t="s">
        <v>78</v>
      </c>
      <c r="E195" s="18" t="s">
        <v>164</v>
      </c>
      <c r="F195" s="18" t="s">
        <v>9252</v>
      </c>
      <c r="G195" s="18" t="s">
        <v>292</v>
      </c>
      <c r="H195" s="18" t="s">
        <v>293</v>
      </c>
      <c r="I195" s="18" t="s">
        <v>9253</v>
      </c>
      <c r="J195" s="18" t="s">
        <v>95</v>
      </c>
      <c r="K195" s="18" t="s">
        <v>7970</v>
      </c>
      <c r="L195" s="18" t="s">
        <v>9254</v>
      </c>
      <c r="M195" s="18" t="s">
        <v>9255</v>
      </c>
      <c r="N195" s="18" t="s">
        <v>9256</v>
      </c>
      <c r="O195" s="18" t="s">
        <v>2260</v>
      </c>
      <c r="P195" s="18" t="s">
        <v>9257</v>
      </c>
      <c r="Q195" s="18" t="s">
        <v>7975</v>
      </c>
      <c r="R195" s="18" t="s">
        <v>7976</v>
      </c>
      <c r="S195" s="18" t="s">
        <v>8010</v>
      </c>
      <c r="T195" s="18" t="s">
        <v>8011</v>
      </c>
      <c r="U195" s="18" t="s">
        <v>8012</v>
      </c>
      <c r="V195" s="18" t="s">
        <v>6963</v>
      </c>
      <c r="W195" s="18" t="s">
        <v>95</v>
      </c>
      <c r="X195" s="18" t="s">
        <v>95</v>
      </c>
      <c r="Y195" s="18" t="s">
        <v>7980</v>
      </c>
      <c r="Z195" s="18" t="s">
        <v>6996</v>
      </c>
      <c r="AA195" s="69">
        <v>1</v>
      </c>
      <c r="AB195" s="18">
        <v>245.53570999999999</v>
      </c>
      <c r="AC195" s="18" t="s">
        <v>9258</v>
      </c>
      <c r="AD195" s="18" t="s">
        <v>7982</v>
      </c>
      <c r="AE195" s="18">
        <v>168.8</v>
      </c>
      <c r="AF195" s="18" t="s">
        <v>7983</v>
      </c>
      <c r="AG195" s="18">
        <v>168.8</v>
      </c>
      <c r="AH195" s="18" t="s">
        <v>95</v>
      </c>
      <c r="AI195" s="18" t="s">
        <v>160</v>
      </c>
      <c r="AJ195" s="18" t="s">
        <v>161</v>
      </c>
      <c r="AK195" s="18">
        <v>14.28</v>
      </c>
      <c r="AL195" s="18" t="s">
        <v>95</v>
      </c>
      <c r="AM195" s="18" t="s">
        <v>95</v>
      </c>
      <c r="AN195" s="18" t="s">
        <v>7984</v>
      </c>
      <c r="AO195" s="18" t="s">
        <v>139</v>
      </c>
      <c r="AP195" s="20" t="s">
        <v>280</v>
      </c>
      <c r="AQ195" s="18" t="s">
        <v>281</v>
      </c>
      <c r="AR195" s="18" t="s">
        <v>295</v>
      </c>
      <c r="AS195" s="18">
        <v>6</v>
      </c>
      <c r="AT195" s="18" t="s">
        <v>235</v>
      </c>
      <c r="AU195" s="18" t="s">
        <v>90</v>
      </c>
      <c r="AV195" s="18" t="s">
        <v>8014</v>
      </c>
      <c r="AW195" s="18" t="s">
        <v>8015</v>
      </c>
      <c r="AX195" s="18" t="s">
        <v>83</v>
      </c>
      <c r="AY195" s="18" t="s">
        <v>95</v>
      </c>
      <c r="AZ195" s="18" t="s">
        <v>95</v>
      </c>
      <c r="BA195" s="18" t="s">
        <v>95</v>
      </c>
      <c r="BB195" s="18" t="s">
        <v>95</v>
      </c>
      <c r="BC195" s="18" t="s">
        <v>118</v>
      </c>
      <c r="BD195" s="18">
        <v>50</v>
      </c>
      <c r="BE195" s="18" t="s">
        <v>95</v>
      </c>
      <c r="BF195" s="18" t="s">
        <v>95</v>
      </c>
      <c r="BG195" s="18" t="s">
        <v>95</v>
      </c>
      <c r="BH195" s="18" t="s">
        <v>95</v>
      </c>
      <c r="BI195" s="18">
        <v>12</v>
      </c>
      <c r="BJ195" s="18">
        <v>2022</v>
      </c>
      <c r="BK195" s="18" t="s">
        <v>95</v>
      </c>
      <c r="BL195" s="18" t="s">
        <v>95</v>
      </c>
      <c r="BM195" s="18" t="s">
        <v>95</v>
      </c>
      <c r="BN195" s="18" t="s">
        <v>85</v>
      </c>
      <c r="BO195" s="18" t="s">
        <v>86</v>
      </c>
      <c r="BP195" s="18" t="s">
        <v>90</v>
      </c>
      <c r="BQ195" s="18" t="s">
        <v>8016</v>
      </c>
      <c r="BR195" s="18" t="s">
        <v>139</v>
      </c>
      <c r="BS195" s="18" t="s">
        <v>8027</v>
      </c>
      <c r="BT195" s="18" t="s">
        <v>7989</v>
      </c>
      <c r="BU195" s="18" t="s">
        <v>7990</v>
      </c>
      <c r="BV195" s="18" t="str">
        <f>Terminales[[#This Row],[IMEI]]&amp;"SI"</f>
        <v>359694275283981SI</v>
      </c>
      <c r="BW195" s="18" t="str">
        <f>VLOOKUP(Terminales[[#This Row],[OFICINA_USUARIO]],[1]!Locales[#Data],3,0)</f>
        <v>TIENDA CONDADO</v>
      </c>
      <c r="BX195" s="18" t="str">
        <f>VLOOKUP(Terminales[[#This Row],[USUARIO_FINAL]],'[1]Personal Ppto vs Real'!$A:$F,6,0)</f>
        <v>GUACHAMIN CAZA HUGO ADRIAN</v>
      </c>
      <c r="BY19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9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195" s="18">
        <f>DAY(Terminales[[#This Row],[FECHA_FACTURA]])</f>
        <v>10</v>
      </c>
      <c r="CB195" s="65">
        <f>IF(Terminales[[#This Row],[CANTIDAD]] = 1,INDEX([1]!Comisiones[#Data],MATCH("Terminales",[1]!Comisiones[Producto],0),MATCH(Terminales[[#This Row],[TIPO ALTA COMISIONES]],[1]!Comisiones[#Headers],0))*Terminales[[#This Row],[MONTO]],0)</f>
        <v>19.642856800000001</v>
      </c>
      <c r="CC195" s="65">
        <f>IFERROR(IF(AND(Terminales[[#This Row],[CANTIDAD]] = 1,Terminales[[#This Row],[MOVIMIENTO]] = "RENOVACION"),Terminales[[#This Row],[TARIFA_BASICA]]*0.5,),)</f>
        <v>7.14</v>
      </c>
      <c r="CD195" s="65">
        <f>IF('[1]Resumen TM'!$AW$20 &lt; 0.4,0,Terminales[[#This Row],[MONTO]]*0.02)</f>
        <v>4.9107142000000001</v>
      </c>
      <c r="CE195" s="66">
        <f>Terminales[[#This Row],[COMISIONES TERMINALES]]+Terminales[[#This Row],[COMISIONES RENOVACIONES]]+Terminales[[#This Row],[COMISIONES BONO]]</f>
        <v>31.693571000000002</v>
      </c>
      <c r="CF195" s="67">
        <f>(Terminales[[#This Row],[COMISIONES TERMINALES]]*VLOOKUP(Terminales[[#This Row],[LOCALES]],[1]!Calendario[#Data],3,0))/VLOOKUP(Terminales[[#This Row],[LOCALES]],[1]!Calendario[#Data],2,0)</f>
        <v>32.315667638709677</v>
      </c>
      <c r="CG195" s="67">
        <f>(Terminales[[#This Row],[COMISIONES RENOVACIONES]]*VLOOKUP(Terminales[[#This Row],[LOCALES]],[1]!Calendario[#Data],3,0))/VLOOKUP(Terminales[[#This Row],[LOCALES]],[1]!Calendario[#Data],2,0)</f>
        <v>11.746451612903225</v>
      </c>
      <c r="CH195" s="67">
        <f>(Terminales[[#This Row],[COMISIONES BONO]]*VLOOKUP(Terminales[[#This Row],[LOCALES]],[1]!Calendario[#Data],3,0))/VLOOKUP(Terminales[[#This Row],[LOCALES]],[1]!Calendario[#Data],2,0)</f>
        <v>8.0789169096774192</v>
      </c>
      <c r="CI195" s="67">
        <f>Terminales[[#This Row],[PROY. COM. TERMINALES]]+Terminales[[#This Row],[PROY. COM. RENOV.]]+Terminales[[#This Row],[PROY. COM. 2%]]</f>
        <v>52.141036161290316</v>
      </c>
    </row>
    <row r="196" spans="1:87" x14ac:dyDescent="0.25">
      <c r="A196" s="68">
        <v>44926</v>
      </c>
      <c r="B196" s="68">
        <v>44905</v>
      </c>
      <c r="C196" s="18" t="s">
        <v>291</v>
      </c>
      <c r="D196" s="18" t="s">
        <v>78</v>
      </c>
      <c r="E196" s="18" t="s">
        <v>311</v>
      </c>
      <c r="F196" s="18" t="s">
        <v>9259</v>
      </c>
      <c r="G196" s="18" t="s">
        <v>292</v>
      </c>
      <c r="H196" s="18" t="s">
        <v>293</v>
      </c>
      <c r="I196" s="18" t="s">
        <v>9260</v>
      </c>
      <c r="J196" s="18" t="s">
        <v>95</v>
      </c>
      <c r="K196" s="18" t="s">
        <v>7970</v>
      </c>
      <c r="L196" s="18" t="s">
        <v>4673</v>
      </c>
      <c r="M196" s="18" t="s">
        <v>4674</v>
      </c>
      <c r="N196" s="18" t="s">
        <v>4675</v>
      </c>
      <c r="O196" s="18" t="s">
        <v>9169</v>
      </c>
      <c r="P196" s="18" t="s">
        <v>9261</v>
      </c>
      <c r="Q196" s="18" t="s">
        <v>7975</v>
      </c>
      <c r="R196" s="18" t="s">
        <v>7976</v>
      </c>
      <c r="S196" s="18" t="s">
        <v>8045</v>
      </c>
      <c r="T196" s="18" t="s">
        <v>9171</v>
      </c>
      <c r="U196" s="18" t="s">
        <v>7979</v>
      </c>
      <c r="V196" s="18" t="s">
        <v>6963</v>
      </c>
      <c r="W196" s="18" t="s">
        <v>95</v>
      </c>
      <c r="X196" s="18" t="s">
        <v>95</v>
      </c>
      <c r="Y196" s="18" t="s">
        <v>7980</v>
      </c>
      <c r="Z196" s="18" t="s">
        <v>6996</v>
      </c>
      <c r="AA196" s="69">
        <v>1</v>
      </c>
      <c r="AB196" s="18">
        <v>517.85713999999996</v>
      </c>
      <c r="AC196" s="18" t="s">
        <v>9262</v>
      </c>
      <c r="AD196" s="18" t="s">
        <v>7982</v>
      </c>
      <c r="AE196" s="18">
        <v>330</v>
      </c>
      <c r="AF196" s="18" t="s">
        <v>7983</v>
      </c>
      <c r="AG196" s="18">
        <v>330</v>
      </c>
      <c r="AH196" s="18" t="s">
        <v>95</v>
      </c>
      <c r="AI196" s="18" t="s">
        <v>7147</v>
      </c>
      <c r="AJ196" s="18" t="s">
        <v>7148</v>
      </c>
      <c r="AK196" s="18">
        <v>13.79</v>
      </c>
      <c r="AL196" s="18" t="s">
        <v>95</v>
      </c>
      <c r="AM196" s="18" t="s">
        <v>95</v>
      </c>
      <c r="AN196" s="18" t="s">
        <v>7984</v>
      </c>
      <c r="AO196" s="18" t="s">
        <v>139</v>
      </c>
      <c r="AP196" s="20" t="s">
        <v>457</v>
      </c>
      <c r="AQ196" s="18" t="s">
        <v>458</v>
      </c>
      <c r="AR196" s="18" t="s">
        <v>3771</v>
      </c>
      <c r="AS196" s="18">
        <v>12</v>
      </c>
      <c r="AT196" s="18" t="s">
        <v>177</v>
      </c>
      <c r="AU196" s="18" t="s">
        <v>90</v>
      </c>
      <c r="AV196" s="18" t="s">
        <v>9173</v>
      </c>
      <c r="AW196" s="18" t="s">
        <v>9174</v>
      </c>
      <c r="AX196" s="18" t="s">
        <v>83</v>
      </c>
      <c r="AY196" s="18" t="s">
        <v>95</v>
      </c>
      <c r="AZ196" s="18" t="s">
        <v>95</v>
      </c>
      <c r="BA196" s="18" t="s">
        <v>95</v>
      </c>
      <c r="BB196" s="18" t="s">
        <v>95</v>
      </c>
      <c r="BC196" s="18" t="s">
        <v>215</v>
      </c>
      <c r="BD196" s="18" t="s">
        <v>95</v>
      </c>
      <c r="BE196" s="18" t="s">
        <v>95</v>
      </c>
      <c r="BF196" s="18" t="s">
        <v>95</v>
      </c>
      <c r="BG196" s="18" t="s">
        <v>95</v>
      </c>
      <c r="BH196" s="18" t="s">
        <v>95</v>
      </c>
      <c r="BI196" s="18">
        <v>12</v>
      </c>
      <c r="BJ196" s="18">
        <v>2022</v>
      </c>
      <c r="BK196" s="18" t="s">
        <v>95</v>
      </c>
      <c r="BL196" s="18" t="s">
        <v>95</v>
      </c>
      <c r="BM196" s="18" t="s">
        <v>95</v>
      </c>
      <c r="BN196" s="18" t="s">
        <v>85</v>
      </c>
      <c r="BO196" s="18" t="s">
        <v>86</v>
      </c>
      <c r="BP196" s="18" t="s">
        <v>90</v>
      </c>
      <c r="BQ196" s="18" t="s">
        <v>8002</v>
      </c>
      <c r="BR196" s="18" t="s">
        <v>139</v>
      </c>
      <c r="BS196" s="18" t="s">
        <v>7988</v>
      </c>
      <c r="BT196" s="18" t="s">
        <v>7989</v>
      </c>
      <c r="BU196" s="18" t="s">
        <v>7990</v>
      </c>
      <c r="BV196" s="18" t="str">
        <f>Terminales[[#This Row],[IMEI]]&amp;"SI"</f>
        <v>352429892573168SI</v>
      </c>
      <c r="BW196" s="18" t="str">
        <f>VLOOKUP(Terminales[[#This Row],[OFICINA_USUARIO]],[1]!Locales[#Data],3,0)</f>
        <v>TIENDA RECREO</v>
      </c>
      <c r="BX196" s="18" t="str">
        <f>VLOOKUP(Terminales[[#This Row],[USUARIO_FINAL]],'[1]Personal Ppto vs Real'!$A:$F,6,0)</f>
        <v>LOZADA REYES BERTHA MARIBEL</v>
      </c>
      <c r="BY19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9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96" s="18">
        <f>DAY(Terminales[[#This Row],[FECHA_FACTURA]])</f>
        <v>10</v>
      </c>
      <c r="CB196" s="65">
        <f>IF(Terminales[[#This Row],[CANTIDAD]] = 1,INDEX([1]!Comisiones[#Data],MATCH("Terminales",[1]!Comisiones[Producto],0),MATCH(Terminales[[#This Row],[TIPO ALTA COMISIONES]],[1]!Comisiones[#Headers],0))*Terminales[[#This Row],[MONTO]],0)</f>
        <v>31.071428399999995</v>
      </c>
      <c r="CC196" s="65">
        <f>IFERROR(IF(AND(Terminales[[#This Row],[CANTIDAD]] = 1,Terminales[[#This Row],[MOVIMIENTO]] = "RENOVACION"),Terminales[[#This Row],[TARIFA_BASICA]]*0.5,),)</f>
        <v>6.8949999999999996</v>
      </c>
      <c r="CD196" s="65">
        <f>IF('[1]Resumen TM'!$AW$20 &lt; 0.4,0,Terminales[[#This Row],[MONTO]]*0.02)</f>
        <v>10.3571428</v>
      </c>
      <c r="CE196" s="66">
        <f>Terminales[[#This Row],[COMISIONES TERMINALES]]+Terminales[[#This Row],[COMISIONES RENOVACIONES]]+Terminales[[#This Row],[COMISIONES BONO]]</f>
        <v>48.323571199999996</v>
      </c>
      <c r="CF196" s="67">
        <f>(Terminales[[#This Row],[COMISIONES TERMINALES]]*VLOOKUP(Terminales[[#This Row],[LOCALES]],[1]!Calendario[#Data],3,0))/VLOOKUP(Terminales[[#This Row],[LOCALES]],[1]!Calendario[#Data],2,0)</f>
        <v>51.117511238709675</v>
      </c>
      <c r="CG196" s="67">
        <f>(Terminales[[#This Row],[COMISIONES RENOVACIONES]]*VLOOKUP(Terminales[[#This Row],[LOCALES]],[1]!Calendario[#Data],3,0))/VLOOKUP(Terminales[[#This Row],[LOCALES]],[1]!Calendario[#Data],2,0)</f>
        <v>11.343387096774192</v>
      </c>
      <c r="CH196" s="67">
        <f>(Terminales[[#This Row],[COMISIONES BONO]]*VLOOKUP(Terminales[[#This Row],[LOCALES]],[1]!Calendario[#Data],3,0))/VLOOKUP(Terminales[[#This Row],[LOCALES]],[1]!Calendario[#Data],2,0)</f>
        <v>17.039170412903225</v>
      </c>
      <c r="CI196" s="67">
        <f>Terminales[[#This Row],[PROY. COM. TERMINALES]]+Terminales[[#This Row],[PROY. COM. RENOV.]]+Terminales[[#This Row],[PROY. COM. 2%]]</f>
        <v>79.500068748387093</v>
      </c>
    </row>
    <row r="197" spans="1:87" x14ac:dyDescent="0.25">
      <c r="A197" s="68">
        <v>44926</v>
      </c>
      <c r="B197" s="68">
        <v>44905</v>
      </c>
      <c r="C197" s="18" t="s">
        <v>96</v>
      </c>
      <c r="D197" s="18" t="s">
        <v>96</v>
      </c>
      <c r="E197" s="18" t="s">
        <v>96</v>
      </c>
      <c r="F197" s="18" t="s">
        <v>9263</v>
      </c>
      <c r="G197" s="18" t="s">
        <v>292</v>
      </c>
      <c r="H197" s="18" t="s">
        <v>494</v>
      </c>
      <c r="I197" s="18" t="s">
        <v>9264</v>
      </c>
      <c r="J197" s="18" t="s">
        <v>95</v>
      </c>
      <c r="K197" s="18" t="s">
        <v>7970</v>
      </c>
      <c r="L197" s="18" t="s">
        <v>9265</v>
      </c>
      <c r="M197" s="18" t="s">
        <v>9266</v>
      </c>
      <c r="N197" s="18" t="s">
        <v>9267</v>
      </c>
      <c r="O197" s="18" t="s">
        <v>1691</v>
      </c>
      <c r="P197" s="18" t="s">
        <v>9268</v>
      </c>
      <c r="Q197" s="18" t="s">
        <v>7975</v>
      </c>
      <c r="R197" s="18" t="s">
        <v>7976</v>
      </c>
      <c r="S197" s="18" t="s">
        <v>8045</v>
      </c>
      <c r="T197" s="18" t="s">
        <v>8225</v>
      </c>
      <c r="U197" s="18" t="s">
        <v>8012</v>
      </c>
      <c r="V197" s="18" t="s">
        <v>6963</v>
      </c>
      <c r="W197" s="18" t="s">
        <v>95</v>
      </c>
      <c r="X197" s="18" t="s">
        <v>95</v>
      </c>
      <c r="Y197" s="18" t="s">
        <v>7980</v>
      </c>
      <c r="Z197" s="18" t="s">
        <v>6996</v>
      </c>
      <c r="AA197" s="69">
        <v>1</v>
      </c>
      <c r="AB197" s="18">
        <v>241.07142999999999</v>
      </c>
      <c r="AC197" s="18" t="s">
        <v>9269</v>
      </c>
      <c r="AD197" s="18" t="s">
        <v>7982</v>
      </c>
      <c r="AE197" s="18">
        <v>232</v>
      </c>
      <c r="AF197" s="18" t="s">
        <v>7983</v>
      </c>
      <c r="AG197" s="18">
        <v>232</v>
      </c>
      <c r="AH197" s="18" t="s">
        <v>95</v>
      </c>
      <c r="AI197" s="18" t="s">
        <v>8102</v>
      </c>
      <c r="AJ197" s="18" t="s">
        <v>8103</v>
      </c>
      <c r="AK197" s="18" t="s">
        <v>95</v>
      </c>
      <c r="AL197" s="18" t="s">
        <v>95</v>
      </c>
      <c r="AM197" s="18" t="s">
        <v>95</v>
      </c>
      <c r="AN197" s="18" t="s">
        <v>7984</v>
      </c>
      <c r="AO197" s="18" t="s">
        <v>139</v>
      </c>
      <c r="AP197" s="20" t="s">
        <v>251</v>
      </c>
      <c r="AQ197" s="18" t="s">
        <v>252</v>
      </c>
      <c r="AR197" s="18" t="s">
        <v>496</v>
      </c>
      <c r="AS197" s="18">
        <v>1</v>
      </c>
      <c r="AT197" s="18" t="s">
        <v>177</v>
      </c>
      <c r="AU197" s="18" t="s">
        <v>90</v>
      </c>
      <c r="AV197" s="18" t="s">
        <v>8228</v>
      </c>
      <c r="AW197" s="18" t="s">
        <v>8229</v>
      </c>
      <c r="AX197" s="18" t="s">
        <v>83</v>
      </c>
      <c r="AY197" s="18" t="s">
        <v>95</v>
      </c>
      <c r="AZ197" s="18" t="s">
        <v>95</v>
      </c>
      <c r="BA197" s="18" t="s">
        <v>95</v>
      </c>
      <c r="BB197" s="18" t="s">
        <v>95</v>
      </c>
      <c r="BC197" s="18" t="s">
        <v>118</v>
      </c>
      <c r="BD197" s="18" t="s">
        <v>95</v>
      </c>
      <c r="BE197" s="18" t="s">
        <v>9270</v>
      </c>
      <c r="BF197" s="18" t="s">
        <v>8064</v>
      </c>
      <c r="BG197" s="18" t="s">
        <v>95</v>
      </c>
      <c r="BH197" s="18" t="s">
        <v>95</v>
      </c>
      <c r="BI197" s="18">
        <v>12</v>
      </c>
      <c r="BJ197" s="18">
        <v>2022</v>
      </c>
      <c r="BK197" s="18" t="s">
        <v>95</v>
      </c>
      <c r="BL197" s="18" t="s">
        <v>95</v>
      </c>
      <c r="BM197" s="18" t="s">
        <v>95</v>
      </c>
      <c r="BN197" s="18" t="s">
        <v>85</v>
      </c>
      <c r="BO197" s="18" t="s">
        <v>86</v>
      </c>
      <c r="BP197" s="18" t="s">
        <v>90</v>
      </c>
      <c r="BQ197" s="18" t="s">
        <v>8002</v>
      </c>
      <c r="BR197" s="18" t="s">
        <v>139</v>
      </c>
      <c r="BS197" s="18" t="s">
        <v>8003</v>
      </c>
      <c r="BT197" s="18" t="s">
        <v>7989</v>
      </c>
      <c r="BU197" s="18" t="s">
        <v>496</v>
      </c>
      <c r="BV197" s="18" t="str">
        <f>Terminales[[#This Row],[IMEI]]&amp;"SI"</f>
        <v>356795951335236SI</v>
      </c>
      <c r="BW197" s="18" t="str">
        <f>VLOOKUP(Terminales[[#This Row],[OFICINA_USUARIO]],[1]!Locales[#Data],3,0)</f>
        <v>TIENDA RECREO</v>
      </c>
      <c r="BX197" s="18" t="str">
        <f>VLOOKUP(Terminales[[#This Row],[USUARIO_FINAL]],'[1]Personal Ppto vs Real'!$A:$F,6,0)</f>
        <v>CRUZ MONTUFAR KATHERINE ALEJANDRA</v>
      </c>
      <c r="BY19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19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197" s="18">
        <f>DAY(Terminales[[#This Row],[FECHA_FACTURA]])</f>
        <v>10</v>
      </c>
      <c r="CB197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197" s="65">
        <f>IFERROR(IF(AND(Terminales[[#This Row],[CANTIDAD]] = 1,Terminales[[#This Row],[MOVIMIENTO]] = "RENOVACION"),Terminales[[#This Row],[TARIFA_BASICA]]*0.5,),)</f>
        <v>0</v>
      </c>
      <c r="CD197" s="65">
        <f>IF('[1]Resumen TM'!$AW$20 &lt; 0.4,0,Terminales[[#This Row],[MONTO]]*0.02)</f>
        <v>4.8214286</v>
      </c>
      <c r="CE197" s="66">
        <f>Terminales[[#This Row],[COMISIONES TERMINALES]]+Terminales[[#This Row],[COMISIONES RENOVACIONES]]+Terminales[[#This Row],[COMISIONES BONO]]</f>
        <v>28.928571600000001</v>
      </c>
      <c r="CF197" s="67">
        <f>(Terminales[[#This Row],[COMISIONES TERMINALES]]*VLOOKUP(Terminales[[#This Row],[LOCALES]],[1]!Calendario[#Data],3,0))/VLOOKUP(Terminales[[#This Row],[LOCALES]],[1]!Calendario[#Data],2,0)</f>
        <v>39.660138483870966</v>
      </c>
      <c r="CG197" s="67">
        <f>(Terminales[[#This Row],[COMISIONES RENOVACIONES]]*VLOOKUP(Terminales[[#This Row],[LOCALES]],[1]!Calendario[#Data],3,0))/VLOOKUP(Terminales[[#This Row],[LOCALES]],[1]!Calendario[#Data],2,0)</f>
        <v>0</v>
      </c>
      <c r="CH197" s="67">
        <f>(Terminales[[#This Row],[COMISIONES BONO]]*VLOOKUP(Terminales[[#This Row],[LOCALES]],[1]!Calendario[#Data],3,0))/VLOOKUP(Terminales[[#This Row],[LOCALES]],[1]!Calendario[#Data],2,0)</f>
        <v>7.9320276967741936</v>
      </c>
      <c r="CI197" s="67">
        <f>Terminales[[#This Row],[PROY. COM. TERMINALES]]+Terminales[[#This Row],[PROY. COM. RENOV.]]+Terminales[[#This Row],[PROY. COM. 2%]]</f>
        <v>47.592166180645158</v>
      </c>
    </row>
    <row r="198" spans="1:87" x14ac:dyDescent="0.25">
      <c r="A198" s="68">
        <v>44926</v>
      </c>
      <c r="B198" s="68">
        <v>44905</v>
      </c>
      <c r="C198" s="18" t="s">
        <v>291</v>
      </c>
      <c r="D198" s="18" t="s">
        <v>78</v>
      </c>
      <c r="E198" s="18" t="s">
        <v>7125</v>
      </c>
      <c r="F198" s="18" t="s">
        <v>9271</v>
      </c>
      <c r="G198" s="18" t="s">
        <v>292</v>
      </c>
      <c r="H198" s="18" t="s">
        <v>293</v>
      </c>
      <c r="I198" s="18" t="s">
        <v>9272</v>
      </c>
      <c r="J198" s="18" t="s">
        <v>95</v>
      </c>
      <c r="K198" s="18" t="s">
        <v>7970</v>
      </c>
      <c r="L198" s="18" t="s">
        <v>9273</v>
      </c>
      <c r="M198" s="18" t="s">
        <v>9274</v>
      </c>
      <c r="N198" s="18" t="s">
        <v>9275</v>
      </c>
      <c r="O198" s="18" t="s">
        <v>543</v>
      </c>
      <c r="P198" s="18" t="s">
        <v>9276</v>
      </c>
      <c r="Q198" s="18" t="s">
        <v>7975</v>
      </c>
      <c r="R198" s="18" t="s">
        <v>7976</v>
      </c>
      <c r="S198" s="18" t="s">
        <v>7994</v>
      </c>
      <c r="T198" s="18" t="s">
        <v>8245</v>
      </c>
      <c r="U198" s="18" t="s">
        <v>8012</v>
      </c>
      <c r="V198" s="18" t="s">
        <v>6963</v>
      </c>
      <c r="W198" s="18" t="s">
        <v>95</v>
      </c>
      <c r="X198" s="18" t="s">
        <v>95</v>
      </c>
      <c r="Y198" s="18" t="s">
        <v>7980</v>
      </c>
      <c r="Z198" s="18" t="s">
        <v>6996</v>
      </c>
      <c r="AA198" s="69">
        <v>1</v>
      </c>
      <c r="AB198" s="18">
        <v>241.07142999999999</v>
      </c>
      <c r="AC198" s="18" t="s">
        <v>9277</v>
      </c>
      <c r="AD198" s="18" t="s">
        <v>7982</v>
      </c>
      <c r="AE198" s="18">
        <v>156</v>
      </c>
      <c r="AF198" s="18" t="s">
        <v>7983</v>
      </c>
      <c r="AG198" s="18">
        <v>156</v>
      </c>
      <c r="AH198" s="18" t="s">
        <v>95</v>
      </c>
      <c r="AI198" s="18" t="s">
        <v>227</v>
      </c>
      <c r="AJ198" s="18" t="s">
        <v>426</v>
      </c>
      <c r="AK198" s="18">
        <v>21.42</v>
      </c>
      <c r="AL198" s="18" t="s">
        <v>95</v>
      </c>
      <c r="AM198" s="18" t="s">
        <v>95</v>
      </c>
      <c r="AN198" s="18" t="s">
        <v>7984</v>
      </c>
      <c r="AO198" s="18" t="s">
        <v>139</v>
      </c>
      <c r="AP198" s="20" t="s">
        <v>396</v>
      </c>
      <c r="AQ198" s="18" t="s">
        <v>397</v>
      </c>
      <c r="AR198" s="18" t="s">
        <v>295</v>
      </c>
      <c r="AS198" s="18">
        <v>12</v>
      </c>
      <c r="AT198" s="18" t="s">
        <v>177</v>
      </c>
      <c r="AU198" s="18" t="s">
        <v>90</v>
      </c>
      <c r="AV198" s="18" t="s">
        <v>8247</v>
      </c>
      <c r="AW198" s="18" t="s">
        <v>8248</v>
      </c>
      <c r="AX198" s="18" t="s">
        <v>83</v>
      </c>
      <c r="AY198" s="18" t="s">
        <v>95</v>
      </c>
      <c r="AZ198" s="18" t="s">
        <v>95</v>
      </c>
      <c r="BA198" s="18" t="s">
        <v>95</v>
      </c>
      <c r="BB198" s="18" t="s">
        <v>95</v>
      </c>
      <c r="BC198" s="18" t="s">
        <v>84</v>
      </c>
      <c r="BD198" s="18">
        <v>49</v>
      </c>
      <c r="BE198" s="18" t="s">
        <v>95</v>
      </c>
      <c r="BF198" s="18" t="s">
        <v>95</v>
      </c>
      <c r="BG198" s="18" t="s">
        <v>95</v>
      </c>
      <c r="BH198" s="18" t="s">
        <v>95</v>
      </c>
      <c r="BI198" s="18">
        <v>12</v>
      </c>
      <c r="BJ198" s="18">
        <v>2022</v>
      </c>
      <c r="BK198" s="18" t="s">
        <v>95</v>
      </c>
      <c r="BL198" s="18" t="s">
        <v>95</v>
      </c>
      <c r="BM198" s="18" t="s">
        <v>95</v>
      </c>
      <c r="BN198" s="18" t="s">
        <v>85</v>
      </c>
      <c r="BO198" s="18" t="s">
        <v>86</v>
      </c>
      <c r="BP198" s="18" t="s">
        <v>90</v>
      </c>
      <c r="BQ198" s="18" t="s">
        <v>8002</v>
      </c>
      <c r="BR198" s="18" t="s">
        <v>139</v>
      </c>
      <c r="BS198" s="18" t="s">
        <v>7988</v>
      </c>
      <c r="BT198" s="18" t="s">
        <v>7989</v>
      </c>
      <c r="BU198" s="18" t="s">
        <v>7990</v>
      </c>
      <c r="BV198" s="18" t="str">
        <f>Terminales[[#This Row],[IMEI]]&amp;"SI"</f>
        <v>355108340319765SI</v>
      </c>
      <c r="BW198" s="18" t="str">
        <f>VLOOKUP(Terminales[[#This Row],[OFICINA_USUARIO]],[1]!Locales[#Data],3,0)</f>
        <v>TIENDA RECREO</v>
      </c>
      <c r="BX198" s="18" t="str">
        <f>VLOOKUP(Terminales[[#This Row],[USUARIO_FINAL]],'[1]Personal Ppto vs Real'!$A:$F,6,0)</f>
        <v>VINUEZA VELASCO ANGY DAYANA</v>
      </c>
      <c r="BY19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9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198" s="18">
        <f>DAY(Terminales[[#This Row],[FECHA_FACTURA]])</f>
        <v>10</v>
      </c>
      <c r="CB198" s="65">
        <f>IF(Terminales[[#This Row],[CANTIDAD]] = 1,INDEX([1]!Comisiones[#Data],MATCH("Terminales",[1]!Comisiones[Producto],0),MATCH(Terminales[[#This Row],[TIPO ALTA COMISIONES]],[1]!Comisiones[#Headers],0))*Terminales[[#This Row],[MONTO]],0)</f>
        <v>14.464285799999999</v>
      </c>
      <c r="CC198" s="65">
        <f>IFERROR(IF(AND(Terminales[[#This Row],[CANTIDAD]] = 1,Terminales[[#This Row],[MOVIMIENTO]] = "RENOVACION"),Terminales[[#This Row],[TARIFA_BASICA]]*0.5,),)</f>
        <v>10.71</v>
      </c>
      <c r="CD198" s="65">
        <f>IF('[1]Resumen TM'!$AW$20 &lt; 0.4,0,Terminales[[#This Row],[MONTO]]*0.02)</f>
        <v>4.8214286</v>
      </c>
      <c r="CE198" s="66">
        <f>Terminales[[#This Row],[COMISIONES TERMINALES]]+Terminales[[#This Row],[COMISIONES RENOVACIONES]]+Terminales[[#This Row],[COMISIONES BONO]]</f>
        <v>29.995714400000001</v>
      </c>
      <c r="CF198" s="67">
        <f>(Terminales[[#This Row],[COMISIONES TERMINALES]]*VLOOKUP(Terminales[[#This Row],[LOCALES]],[1]!Calendario[#Data],3,0))/VLOOKUP(Terminales[[#This Row],[LOCALES]],[1]!Calendario[#Data],2,0)</f>
        <v>23.796083090322579</v>
      </c>
      <c r="CG198" s="67">
        <f>(Terminales[[#This Row],[COMISIONES RENOVACIONES]]*VLOOKUP(Terminales[[#This Row],[LOCALES]],[1]!Calendario[#Data],3,0))/VLOOKUP(Terminales[[#This Row],[LOCALES]],[1]!Calendario[#Data],2,0)</f>
        <v>17.61967741935484</v>
      </c>
      <c r="CH198" s="67">
        <f>(Terminales[[#This Row],[COMISIONES BONO]]*VLOOKUP(Terminales[[#This Row],[LOCALES]],[1]!Calendario[#Data],3,0))/VLOOKUP(Terminales[[#This Row],[LOCALES]],[1]!Calendario[#Data],2,0)</f>
        <v>7.9320276967741936</v>
      </c>
      <c r="CI198" s="67">
        <f>Terminales[[#This Row],[PROY. COM. TERMINALES]]+Terminales[[#This Row],[PROY. COM. RENOV.]]+Terminales[[#This Row],[PROY. COM. 2%]]</f>
        <v>49.347788206451611</v>
      </c>
    </row>
    <row r="199" spans="1:87" x14ac:dyDescent="0.25">
      <c r="A199" s="68">
        <v>44926</v>
      </c>
      <c r="B199" s="68">
        <v>44905</v>
      </c>
      <c r="C199" s="18" t="s">
        <v>291</v>
      </c>
      <c r="D199" s="18" t="s">
        <v>78</v>
      </c>
      <c r="E199" s="18" t="s">
        <v>2241</v>
      </c>
      <c r="F199" s="18" t="s">
        <v>7371</v>
      </c>
      <c r="G199" s="18" t="s">
        <v>292</v>
      </c>
      <c r="H199" s="18" t="s">
        <v>293</v>
      </c>
      <c r="I199" s="18" t="s">
        <v>9278</v>
      </c>
      <c r="J199" s="18" t="s">
        <v>95</v>
      </c>
      <c r="K199" s="18" t="s">
        <v>7970</v>
      </c>
      <c r="L199" s="18" t="s">
        <v>9279</v>
      </c>
      <c r="M199" s="18" t="s">
        <v>9280</v>
      </c>
      <c r="N199" s="18" t="s">
        <v>7373</v>
      </c>
      <c r="O199" s="18" t="s">
        <v>2260</v>
      </c>
      <c r="P199" s="18" t="s">
        <v>9281</v>
      </c>
      <c r="Q199" s="18" t="s">
        <v>7975</v>
      </c>
      <c r="R199" s="18" t="s">
        <v>7976</v>
      </c>
      <c r="S199" s="18" t="s">
        <v>8010</v>
      </c>
      <c r="T199" s="18" t="s">
        <v>8011</v>
      </c>
      <c r="U199" s="18" t="s">
        <v>8012</v>
      </c>
      <c r="V199" s="18" t="s">
        <v>6963</v>
      </c>
      <c r="W199" s="18" t="s">
        <v>95</v>
      </c>
      <c r="X199" s="18" t="s">
        <v>95</v>
      </c>
      <c r="Y199" s="18" t="s">
        <v>7980</v>
      </c>
      <c r="Z199" s="18" t="s">
        <v>6996</v>
      </c>
      <c r="AA199" s="69">
        <v>1</v>
      </c>
      <c r="AB199" s="18">
        <v>357.14285999999998</v>
      </c>
      <c r="AC199" s="18" t="s">
        <v>7372</v>
      </c>
      <c r="AD199" s="18" t="s">
        <v>7982</v>
      </c>
      <c r="AE199" s="18">
        <v>168.8</v>
      </c>
      <c r="AF199" s="18" t="s">
        <v>7983</v>
      </c>
      <c r="AG199" s="18">
        <v>168.8</v>
      </c>
      <c r="AH199" s="18" t="s">
        <v>95</v>
      </c>
      <c r="AI199" s="18" t="s">
        <v>160</v>
      </c>
      <c r="AJ199" s="18" t="s">
        <v>161</v>
      </c>
      <c r="AK199" s="18">
        <v>14.28</v>
      </c>
      <c r="AL199" s="18" t="s">
        <v>95</v>
      </c>
      <c r="AM199" s="18" t="s">
        <v>95</v>
      </c>
      <c r="AN199" s="18" t="s">
        <v>7984</v>
      </c>
      <c r="AO199" s="18" t="s">
        <v>139</v>
      </c>
      <c r="AP199" s="20" t="s">
        <v>233</v>
      </c>
      <c r="AQ199" s="18" t="s">
        <v>234</v>
      </c>
      <c r="AR199" s="18" t="s">
        <v>295</v>
      </c>
      <c r="AS199" s="18">
        <v>18</v>
      </c>
      <c r="AT199" s="18" t="s">
        <v>235</v>
      </c>
      <c r="AU199" s="18" t="s">
        <v>90</v>
      </c>
      <c r="AV199" s="18" t="s">
        <v>8014</v>
      </c>
      <c r="AW199" s="18" t="s">
        <v>8015</v>
      </c>
      <c r="AX199" s="18" t="s">
        <v>83</v>
      </c>
      <c r="AY199" s="18" t="s">
        <v>95</v>
      </c>
      <c r="AZ199" s="18" t="s">
        <v>95</v>
      </c>
      <c r="BA199" s="18" t="s">
        <v>95</v>
      </c>
      <c r="BB199" s="18" t="s">
        <v>95</v>
      </c>
      <c r="BC199" s="18" t="s">
        <v>118</v>
      </c>
      <c r="BD199" s="18">
        <v>72</v>
      </c>
      <c r="BE199" s="18" t="s">
        <v>95</v>
      </c>
      <c r="BF199" s="18" t="s">
        <v>95</v>
      </c>
      <c r="BG199" s="18" t="s">
        <v>95</v>
      </c>
      <c r="BH199" s="18" t="s">
        <v>95</v>
      </c>
      <c r="BI199" s="18">
        <v>12</v>
      </c>
      <c r="BJ199" s="18">
        <v>2022</v>
      </c>
      <c r="BK199" s="18" t="s">
        <v>95</v>
      </c>
      <c r="BL199" s="18" t="s">
        <v>95</v>
      </c>
      <c r="BM199" s="18" t="s">
        <v>95</v>
      </c>
      <c r="BN199" s="18" t="s">
        <v>85</v>
      </c>
      <c r="BO199" s="18" t="s">
        <v>86</v>
      </c>
      <c r="BP199" s="18" t="s">
        <v>90</v>
      </c>
      <c r="BQ199" s="18" t="s">
        <v>8016</v>
      </c>
      <c r="BR199" s="18" t="s">
        <v>139</v>
      </c>
      <c r="BS199" s="18" t="s">
        <v>8329</v>
      </c>
      <c r="BT199" s="18" t="s">
        <v>7989</v>
      </c>
      <c r="BU199" s="18" t="s">
        <v>7990</v>
      </c>
      <c r="BV199" s="18" t="str">
        <f>Terminales[[#This Row],[IMEI]]&amp;"SI"</f>
        <v>359694275282231SI</v>
      </c>
      <c r="BW199" s="18" t="str">
        <f>VLOOKUP(Terminales[[#This Row],[OFICINA_USUARIO]],[1]!Locales[#Data],3,0)</f>
        <v>TIENDA CONDADO</v>
      </c>
      <c r="BX199" s="18" t="str">
        <f>VLOOKUP(Terminales[[#This Row],[USUARIO_FINAL]],'[1]Personal Ppto vs Real'!$A:$F,6,0)</f>
        <v>ROSALES MALDONADO JESSICA GABRIELA</v>
      </c>
      <c r="BY199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19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18</v>
      </c>
      <c r="CA199" s="18">
        <f>DAY(Terminales[[#This Row],[FECHA_FACTURA]])</f>
        <v>10</v>
      </c>
      <c r="CB199" s="65">
        <f>IF(Terminales[[#This Row],[CANTIDAD]] = 1,INDEX([1]!Comisiones[#Data],MATCH("Terminales",[1]!Comisiones[Producto],0),MATCH(Terminales[[#This Row],[TIPO ALTA COMISIONES]],[1]!Comisiones[#Headers],0))*Terminales[[#This Row],[MONTO]],0)</f>
        <v>10.714285799999999</v>
      </c>
      <c r="CC199" s="65">
        <f>IFERROR(IF(AND(Terminales[[#This Row],[CANTIDAD]] = 1,Terminales[[#This Row],[MOVIMIENTO]] = "RENOVACION"),Terminales[[#This Row],[TARIFA_BASICA]]*0.5,),)</f>
        <v>7.14</v>
      </c>
      <c r="CD199" s="65">
        <f>IF('[1]Resumen TM'!$AW$20 &lt; 0.4,0,Terminales[[#This Row],[MONTO]]*0.02)</f>
        <v>7.1428571999999999</v>
      </c>
      <c r="CE199" s="66">
        <f>Terminales[[#This Row],[COMISIONES TERMINALES]]+Terminales[[#This Row],[COMISIONES RENOVACIONES]]+Terminales[[#This Row],[COMISIONES BONO]]</f>
        <v>24.997143000000001</v>
      </c>
      <c r="CF199" s="67">
        <f>(Terminales[[#This Row],[COMISIONES TERMINALES]]*VLOOKUP(Terminales[[#This Row],[LOCALES]],[1]!Calendario[#Data],3,0))/VLOOKUP(Terminales[[#This Row],[LOCALES]],[1]!Calendario[#Data],2,0)</f>
        <v>17.626728251612903</v>
      </c>
      <c r="CG199" s="67">
        <f>(Terminales[[#This Row],[COMISIONES RENOVACIONES]]*VLOOKUP(Terminales[[#This Row],[LOCALES]],[1]!Calendario[#Data],3,0))/VLOOKUP(Terminales[[#This Row],[LOCALES]],[1]!Calendario[#Data],2,0)</f>
        <v>11.746451612903225</v>
      </c>
      <c r="CH199" s="67">
        <f>(Terminales[[#This Row],[COMISIONES BONO]]*VLOOKUP(Terminales[[#This Row],[LOCALES]],[1]!Calendario[#Data],3,0))/VLOOKUP(Terminales[[#This Row],[LOCALES]],[1]!Calendario[#Data],2,0)</f>
        <v>11.751152167741937</v>
      </c>
      <c r="CI199" s="67">
        <f>Terminales[[#This Row],[PROY. COM. TERMINALES]]+Terminales[[#This Row],[PROY. COM. RENOV.]]+Terminales[[#This Row],[PROY. COM. 2%]]</f>
        <v>41.124332032258067</v>
      </c>
    </row>
    <row r="200" spans="1:87" x14ac:dyDescent="0.25">
      <c r="A200" s="68">
        <v>44926</v>
      </c>
      <c r="B200" s="68">
        <v>44905</v>
      </c>
      <c r="C200" s="18" t="s">
        <v>96</v>
      </c>
      <c r="D200" s="18" t="s">
        <v>96</v>
      </c>
      <c r="E200" s="18" t="s">
        <v>96</v>
      </c>
      <c r="F200" s="18" t="s">
        <v>9282</v>
      </c>
      <c r="G200" s="18" t="s">
        <v>292</v>
      </c>
      <c r="H200" s="18" t="s">
        <v>494</v>
      </c>
      <c r="I200" s="18" t="s">
        <v>9283</v>
      </c>
      <c r="J200" s="18" t="s">
        <v>95</v>
      </c>
      <c r="K200" s="18" t="s">
        <v>7970</v>
      </c>
      <c r="L200" s="18" t="s">
        <v>9284</v>
      </c>
      <c r="M200" s="18" t="s">
        <v>9285</v>
      </c>
      <c r="N200" s="18" t="s">
        <v>9286</v>
      </c>
      <c r="O200" s="18" t="s">
        <v>4346</v>
      </c>
      <c r="P200" s="18" t="s">
        <v>9287</v>
      </c>
      <c r="Q200" s="18" t="s">
        <v>7975</v>
      </c>
      <c r="R200" s="18" t="s">
        <v>7976</v>
      </c>
      <c r="S200" s="18" t="s">
        <v>8250</v>
      </c>
      <c r="T200" s="18" t="s">
        <v>8251</v>
      </c>
      <c r="U200" s="18" t="s">
        <v>8059</v>
      </c>
      <c r="V200" s="18" t="s">
        <v>6963</v>
      </c>
      <c r="W200" s="18" t="s">
        <v>95</v>
      </c>
      <c r="X200" s="18" t="s">
        <v>95</v>
      </c>
      <c r="Y200" s="18" t="s">
        <v>7980</v>
      </c>
      <c r="Z200" s="18" t="s">
        <v>6996</v>
      </c>
      <c r="AA200" s="69">
        <v>1</v>
      </c>
      <c r="AB200" s="18">
        <v>1151.7857100000001</v>
      </c>
      <c r="AC200" s="18" t="s">
        <v>9288</v>
      </c>
      <c r="AD200" s="18" t="s">
        <v>7982</v>
      </c>
      <c r="AE200" s="18">
        <v>1017.37</v>
      </c>
      <c r="AF200" s="18" t="s">
        <v>7983</v>
      </c>
      <c r="AG200" s="18">
        <v>1017.37</v>
      </c>
      <c r="AH200" s="18" t="s">
        <v>95</v>
      </c>
      <c r="AI200" s="18" t="s">
        <v>8102</v>
      </c>
      <c r="AJ200" s="18" t="s">
        <v>8103</v>
      </c>
      <c r="AK200" s="18" t="s">
        <v>95</v>
      </c>
      <c r="AL200" s="18" t="s">
        <v>95</v>
      </c>
      <c r="AM200" s="18" t="s">
        <v>95</v>
      </c>
      <c r="AN200" s="18" t="s">
        <v>7984</v>
      </c>
      <c r="AO200" s="18" t="s">
        <v>139</v>
      </c>
      <c r="AP200" s="20" t="s">
        <v>822</v>
      </c>
      <c r="AQ200" s="18" t="s">
        <v>823</v>
      </c>
      <c r="AR200" s="18" t="s">
        <v>496</v>
      </c>
      <c r="AS200" s="18">
        <v>1</v>
      </c>
      <c r="AT200" s="18" t="s">
        <v>177</v>
      </c>
      <c r="AU200" s="18" t="s">
        <v>90</v>
      </c>
      <c r="AV200" s="18" t="s">
        <v>8253</v>
      </c>
      <c r="AW200" s="18" t="s">
        <v>8254</v>
      </c>
      <c r="AX200" s="18" t="s">
        <v>83</v>
      </c>
      <c r="AY200" s="18" t="s">
        <v>95</v>
      </c>
      <c r="AZ200" s="18" t="s">
        <v>95</v>
      </c>
      <c r="BA200" s="18" t="s">
        <v>95</v>
      </c>
      <c r="BB200" s="18" t="s">
        <v>95</v>
      </c>
      <c r="BC200" s="18" t="s">
        <v>118</v>
      </c>
      <c r="BD200" s="18" t="s">
        <v>95</v>
      </c>
      <c r="BE200" s="18" t="s">
        <v>8000</v>
      </c>
      <c r="BF200" s="18" t="s">
        <v>8064</v>
      </c>
      <c r="BG200" s="18" t="s">
        <v>95</v>
      </c>
      <c r="BH200" s="18" t="s">
        <v>95</v>
      </c>
      <c r="BI200" s="18">
        <v>12</v>
      </c>
      <c r="BJ200" s="18">
        <v>2022</v>
      </c>
      <c r="BK200" s="18" t="s">
        <v>95</v>
      </c>
      <c r="BL200" s="18" t="s">
        <v>95</v>
      </c>
      <c r="BM200" s="18" t="s">
        <v>95</v>
      </c>
      <c r="BN200" s="18" t="s">
        <v>85</v>
      </c>
      <c r="BO200" s="18" t="s">
        <v>86</v>
      </c>
      <c r="BP200" s="18" t="s">
        <v>90</v>
      </c>
      <c r="BQ200" s="18" t="s">
        <v>8002</v>
      </c>
      <c r="BR200" s="18" t="s">
        <v>139</v>
      </c>
      <c r="BS200" s="18" t="s">
        <v>8003</v>
      </c>
      <c r="BT200" s="18" t="s">
        <v>7989</v>
      </c>
      <c r="BU200" s="18" t="s">
        <v>496</v>
      </c>
      <c r="BV200" s="18" t="str">
        <f>Terminales[[#This Row],[IMEI]]&amp;"SI"</f>
        <v>350979735201262SI</v>
      </c>
      <c r="BW200" s="18" t="str">
        <f>VLOOKUP(Terminales[[#This Row],[OFICINA_USUARIO]],[1]!Locales[#Data],3,0)</f>
        <v>TIENDA RECREO</v>
      </c>
      <c r="BX200" s="18" t="str">
        <f>VLOOKUP(Terminales[[#This Row],[USUARIO_FINAL]],'[1]Personal Ppto vs Real'!$A:$F,6,0)</f>
        <v>SALAS PARRA MARIA JOSE</v>
      </c>
      <c r="BY20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0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00" s="18">
        <f>DAY(Terminales[[#This Row],[FECHA_FACTURA]])</f>
        <v>10</v>
      </c>
      <c r="CB200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200" s="65">
        <f>IFERROR(IF(AND(Terminales[[#This Row],[CANTIDAD]] = 1,Terminales[[#This Row],[MOVIMIENTO]] = "RENOVACION"),Terminales[[#This Row],[TARIFA_BASICA]]*0.5,),)</f>
        <v>0</v>
      </c>
      <c r="CD200" s="65">
        <f>IF('[1]Resumen TM'!$AW$20 &lt; 0.4,0,Terminales[[#This Row],[MONTO]]*0.02)</f>
        <v>23.035714200000001</v>
      </c>
      <c r="CE200" s="66">
        <f>Terminales[[#This Row],[COMISIONES TERMINALES]]+Terminales[[#This Row],[COMISIONES RENOVACIONES]]+Terminales[[#This Row],[COMISIONES BONO]]</f>
        <v>138.21428520000001</v>
      </c>
      <c r="CF200" s="67">
        <f>(Terminales[[#This Row],[COMISIONES TERMINALES]]*VLOOKUP(Terminales[[#This Row],[LOCALES]],[1]!Calendario[#Data],3,0))/VLOOKUP(Terminales[[#This Row],[LOCALES]],[1]!Calendario[#Data],2,0)</f>
        <v>189.48732648387099</v>
      </c>
      <c r="CG200" s="67">
        <f>(Terminales[[#This Row],[COMISIONES RENOVACIONES]]*VLOOKUP(Terminales[[#This Row],[LOCALES]],[1]!Calendario[#Data],3,0))/VLOOKUP(Terminales[[#This Row],[LOCALES]],[1]!Calendario[#Data],2,0)</f>
        <v>0</v>
      </c>
      <c r="CH200" s="67">
        <f>(Terminales[[#This Row],[COMISIONES BONO]]*VLOOKUP(Terminales[[#This Row],[LOCALES]],[1]!Calendario[#Data],3,0))/VLOOKUP(Terminales[[#This Row],[LOCALES]],[1]!Calendario[#Data],2,0)</f>
        <v>37.8974652967742</v>
      </c>
      <c r="CI200" s="67">
        <f>Terminales[[#This Row],[PROY. COM. TERMINALES]]+Terminales[[#This Row],[PROY. COM. RENOV.]]+Terminales[[#This Row],[PROY. COM. 2%]]</f>
        <v>227.38479178064517</v>
      </c>
    </row>
    <row r="201" spans="1:87" x14ac:dyDescent="0.25">
      <c r="A201" s="68">
        <v>44926</v>
      </c>
      <c r="B201" s="68">
        <v>44905</v>
      </c>
      <c r="C201" s="18" t="s">
        <v>96</v>
      </c>
      <c r="D201" s="18" t="s">
        <v>96</v>
      </c>
      <c r="E201" s="18" t="s">
        <v>96</v>
      </c>
      <c r="F201" s="18" t="s">
        <v>9289</v>
      </c>
      <c r="G201" s="18" t="s">
        <v>292</v>
      </c>
      <c r="H201" s="18" t="s">
        <v>494</v>
      </c>
      <c r="I201" s="18" t="s">
        <v>9290</v>
      </c>
      <c r="J201" s="18" t="s">
        <v>95</v>
      </c>
      <c r="K201" s="18" t="s">
        <v>7970</v>
      </c>
      <c r="L201" s="18" t="s">
        <v>9291</v>
      </c>
      <c r="M201" s="18" t="s">
        <v>9292</v>
      </c>
      <c r="N201" s="18" t="s">
        <v>9293</v>
      </c>
      <c r="O201" s="18" t="s">
        <v>543</v>
      </c>
      <c r="P201" s="18" t="s">
        <v>9294</v>
      </c>
      <c r="Q201" s="18" t="s">
        <v>7975</v>
      </c>
      <c r="R201" s="18" t="s">
        <v>7976</v>
      </c>
      <c r="S201" s="18" t="s">
        <v>7994</v>
      </c>
      <c r="T201" s="18" t="s">
        <v>8245</v>
      </c>
      <c r="U201" s="18" t="s">
        <v>8012</v>
      </c>
      <c r="V201" s="18" t="s">
        <v>6963</v>
      </c>
      <c r="W201" s="18" t="s">
        <v>95</v>
      </c>
      <c r="X201" s="18" t="s">
        <v>95</v>
      </c>
      <c r="Y201" s="18" t="s">
        <v>7980</v>
      </c>
      <c r="Z201" s="18" t="s">
        <v>6996</v>
      </c>
      <c r="AA201" s="69">
        <v>1</v>
      </c>
      <c r="AB201" s="18">
        <v>156.25</v>
      </c>
      <c r="AC201" s="18" t="s">
        <v>9295</v>
      </c>
      <c r="AD201" s="18" t="s">
        <v>7982</v>
      </c>
      <c r="AE201" s="18">
        <v>156</v>
      </c>
      <c r="AF201" s="18" t="s">
        <v>7983</v>
      </c>
      <c r="AG201" s="18">
        <v>156</v>
      </c>
      <c r="AH201" s="18" t="s">
        <v>95</v>
      </c>
      <c r="AI201" s="18" t="s">
        <v>8102</v>
      </c>
      <c r="AJ201" s="18" t="s">
        <v>8103</v>
      </c>
      <c r="AK201" s="18" t="s">
        <v>95</v>
      </c>
      <c r="AL201" s="18" t="s">
        <v>95</v>
      </c>
      <c r="AM201" s="18" t="s">
        <v>95</v>
      </c>
      <c r="AN201" s="18" t="s">
        <v>7984</v>
      </c>
      <c r="AO201" s="18" t="s">
        <v>139</v>
      </c>
      <c r="AP201" s="20" t="s">
        <v>369</v>
      </c>
      <c r="AQ201" s="18" t="s">
        <v>370</v>
      </c>
      <c r="AR201" s="18" t="s">
        <v>496</v>
      </c>
      <c r="AS201" s="18">
        <v>1</v>
      </c>
      <c r="AT201" s="18" t="s">
        <v>177</v>
      </c>
      <c r="AU201" s="18" t="s">
        <v>90</v>
      </c>
      <c r="AV201" s="18" t="s">
        <v>8247</v>
      </c>
      <c r="AW201" s="18" t="s">
        <v>8248</v>
      </c>
      <c r="AX201" s="18" t="s">
        <v>83</v>
      </c>
      <c r="AY201" s="18" t="s">
        <v>95</v>
      </c>
      <c r="AZ201" s="18" t="s">
        <v>95</v>
      </c>
      <c r="BA201" s="18" t="s">
        <v>95</v>
      </c>
      <c r="BB201" s="18" t="s">
        <v>95</v>
      </c>
      <c r="BC201" s="18" t="s">
        <v>118</v>
      </c>
      <c r="BD201" s="18" t="s">
        <v>95</v>
      </c>
      <c r="BE201" s="18" t="s">
        <v>8140</v>
      </c>
      <c r="BF201" s="18" t="s">
        <v>8064</v>
      </c>
      <c r="BG201" s="18" t="s">
        <v>95</v>
      </c>
      <c r="BH201" s="18" t="s">
        <v>95</v>
      </c>
      <c r="BI201" s="18">
        <v>12</v>
      </c>
      <c r="BJ201" s="18">
        <v>2022</v>
      </c>
      <c r="BK201" s="18" t="s">
        <v>95</v>
      </c>
      <c r="BL201" s="18" t="s">
        <v>95</v>
      </c>
      <c r="BM201" s="18" t="s">
        <v>95</v>
      </c>
      <c r="BN201" s="18" t="s">
        <v>85</v>
      </c>
      <c r="BO201" s="18" t="s">
        <v>86</v>
      </c>
      <c r="BP201" s="18" t="s">
        <v>90</v>
      </c>
      <c r="BQ201" s="18" t="s">
        <v>8002</v>
      </c>
      <c r="BR201" s="18" t="s">
        <v>139</v>
      </c>
      <c r="BS201" s="18" t="s">
        <v>8003</v>
      </c>
      <c r="BT201" s="18" t="s">
        <v>7989</v>
      </c>
      <c r="BU201" s="18" t="s">
        <v>496</v>
      </c>
      <c r="BV201" s="18" t="str">
        <f>Terminales[[#This Row],[IMEI]]&amp;"SI"</f>
        <v>355108340319310SI</v>
      </c>
      <c r="BW201" s="18" t="str">
        <f>VLOOKUP(Terminales[[#This Row],[OFICINA_USUARIO]],[1]!Locales[#Data],3,0)</f>
        <v>TIENDA RECREO</v>
      </c>
      <c r="BX201" s="18" t="str">
        <f>VLOOKUP(Terminales[[#This Row],[USUARIO_FINAL]],'[1]Personal Ppto vs Real'!$A:$F,6,0)</f>
        <v>GUAIGUA REINOSO GENESIS CAROLINA</v>
      </c>
      <c r="BY20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0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01" s="18">
        <f>DAY(Terminales[[#This Row],[FECHA_FACTURA]])</f>
        <v>10</v>
      </c>
      <c r="CB201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01" s="65">
        <f>IFERROR(IF(AND(Terminales[[#This Row],[CANTIDAD]] = 1,Terminales[[#This Row],[MOVIMIENTO]] = "RENOVACION"),Terminales[[#This Row],[TARIFA_BASICA]]*0.5,),)</f>
        <v>0</v>
      </c>
      <c r="CD201" s="65">
        <f>IF('[1]Resumen TM'!$AW$20 &lt; 0.4,0,Terminales[[#This Row],[MONTO]]*0.02)</f>
        <v>3.125</v>
      </c>
      <c r="CE201" s="66">
        <f>Terminales[[#This Row],[COMISIONES TERMINALES]]+Terminales[[#This Row],[COMISIONES RENOVACIONES]]+Terminales[[#This Row],[COMISIONES BONO]]</f>
        <v>18.75</v>
      </c>
      <c r="CF201" s="67">
        <f>(Terminales[[#This Row],[COMISIONES TERMINALES]]*VLOOKUP(Terminales[[#This Row],[LOCALES]],[1]!Calendario[#Data],3,0))/VLOOKUP(Terminales[[#This Row],[LOCALES]],[1]!Calendario[#Data],2,0)</f>
        <v>25.705645161290324</v>
      </c>
      <c r="CG201" s="67">
        <f>(Terminales[[#This Row],[COMISIONES RENOVACIONES]]*VLOOKUP(Terminales[[#This Row],[LOCALES]],[1]!Calendario[#Data],3,0))/VLOOKUP(Terminales[[#This Row],[LOCALES]],[1]!Calendario[#Data],2,0)</f>
        <v>0</v>
      </c>
      <c r="CH201" s="67">
        <f>(Terminales[[#This Row],[COMISIONES BONO]]*VLOOKUP(Terminales[[#This Row],[LOCALES]],[1]!Calendario[#Data],3,0))/VLOOKUP(Terminales[[#This Row],[LOCALES]],[1]!Calendario[#Data],2,0)</f>
        <v>5.1411290322580649</v>
      </c>
      <c r="CI201" s="67">
        <f>Terminales[[#This Row],[PROY. COM. TERMINALES]]+Terminales[[#This Row],[PROY. COM. RENOV.]]+Terminales[[#This Row],[PROY. COM. 2%]]</f>
        <v>30.846774193548388</v>
      </c>
    </row>
    <row r="202" spans="1:87" x14ac:dyDescent="0.25">
      <c r="A202" s="68">
        <v>44926</v>
      </c>
      <c r="B202" s="68">
        <v>44905</v>
      </c>
      <c r="C202" s="18" t="s">
        <v>96</v>
      </c>
      <c r="D202" s="18" t="s">
        <v>96</v>
      </c>
      <c r="E202" s="18" t="s">
        <v>96</v>
      </c>
      <c r="F202" s="18" t="s">
        <v>9296</v>
      </c>
      <c r="G202" s="18" t="s">
        <v>292</v>
      </c>
      <c r="H202" s="18" t="s">
        <v>494</v>
      </c>
      <c r="I202" s="18" t="s">
        <v>9297</v>
      </c>
      <c r="J202" s="18" t="s">
        <v>95</v>
      </c>
      <c r="K202" s="18" t="s">
        <v>7970</v>
      </c>
      <c r="L202" s="18" t="s">
        <v>9298</v>
      </c>
      <c r="M202" s="18" t="s">
        <v>9299</v>
      </c>
      <c r="N202" s="18" t="s">
        <v>9300</v>
      </c>
      <c r="O202" s="18" t="s">
        <v>2260</v>
      </c>
      <c r="P202" s="18" t="s">
        <v>9301</v>
      </c>
      <c r="Q202" s="18" t="s">
        <v>7975</v>
      </c>
      <c r="R202" s="18" t="s">
        <v>7976</v>
      </c>
      <c r="S202" s="18" t="s">
        <v>8010</v>
      </c>
      <c r="T202" s="18" t="s">
        <v>8011</v>
      </c>
      <c r="U202" s="18" t="s">
        <v>8012</v>
      </c>
      <c r="V202" s="18" t="s">
        <v>6963</v>
      </c>
      <c r="W202" s="18" t="s">
        <v>95</v>
      </c>
      <c r="X202" s="18" t="s">
        <v>95</v>
      </c>
      <c r="Y202" s="18" t="s">
        <v>7980</v>
      </c>
      <c r="Z202" s="18" t="s">
        <v>6996</v>
      </c>
      <c r="AA202" s="69">
        <v>1</v>
      </c>
      <c r="AB202" s="18">
        <v>196.42857000000001</v>
      </c>
      <c r="AC202" s="18" t="s">
        <v>9302</v>
      </c>
      <c r="AD202" s="18" t="s">
        <v>7982</v>
      </c>
      <c r="AE202" s="18">
        <v>168.8</v>
      </c>
      <c r="AF202" s="18" t="s">
        <v>7983</v>
      </c>
      <c r="AG202" s="18">
        <v>168.8</v>
      </c>
      <c r="AH202" s="18" t="s">
        <v>95</v>
      </c>
      <c r="AI202" s="18" t="s">
        <v>8102</v>
      </c>
      <c r="AJ202" s="18" t="s">
        <v>8103</v>
      </c>
      <c r="AK202" s="18" t="s">
        <v>95</v>
      </c>
      <c r="AL202" s="18" t="s">
        <v>95</v>
      </c>
      <c r="AM202" s="18" t="s">
        <v>95</v>
      </c>
      <c r="AN202" s="18" t="s">
        <v>7984</v>
      </c>
      <c r="AO202" s="18" t="s">
        <v>139</v>
      </c>
      <c r="AP202" s="20" t="s">
        <v>262</v>
      </c>
      <c r="AQ202" s="18" t="s">
        <v>263</v>
      </c>
      <c r="AR202" s="18" t="s">
        <v>496</v>
      </c>
      <c r="AS202" s="18">
        <v>1</v>
      </c>
      <c r="AT202" s="18" t="s">
        <v>177</v>
      </c>
      <c r="AU202" s="18" t="s">
        <v>90</v>
      </c>
      <c r="AV202" s="18" t="s">
        <v>8014</v>
      </c>
      <c r="AW202" s="18" t="s">
        <v>8015</v>
      </c>
      <c r="AX202" s="18" t="s">
        <v>83</v>
      </c>
      <c r="AY202" s="18" t="s">
        <v>95</v>
      </c>
      <c r="AZ202" s="18" t="s">
        <v>95</v>
      </c>
      <c r="BA202" s="18" t="s">
        <v>95</v>
      </c>
      <c r="BB202" s="18" t="s">
        <v>95</v>
      </c>
      <c r="BC202" s="18" t="s">
        <v>118</v>
      </c>
      <c r="BD202" s="18" t="s">
        <v>95</v>
      </c>
      <c r="BE202" s="18" t="s">
        <v>8000</v>
      </c>
      <c r="BF202" s="18" t="s">
        <v>8064</v>
      </c>
      <c r="BG202" s="18" t="s">
        <v>95</v>
      </c>
      <c r="BH202" s="18" t="s">
        <v>95</v>
      </c>
      <c r="BI202" s="18">
        <v>12</v>
      </c>
      <c r="BJ202" s="18">
        <v>2022</v>
      </c>
      <c r="BK202" s="18" t="s">
        <v>95</v>
      </c>
      <c r="BL202" s="18" t="s">
        <v>95</v>
      </c>
      <c r="BM202" s="18" t="s">
        <v>95</v>
      </c>
      <c r="BN202" s="18" t="s">
        <v>85</v>
      </c>
      <c r="BO202" s="18" t="s">
        <v>86</v>
      </c>
      <c r="BP202" s="18" t="s">
        <v>90</v>
      </c>
      <c r="BQ202" s="18" t="s">
        <v>8002</v>
      </c>
      <c r="BR202" s="18" t="s">
        <v>139</v>
      </c>
      <c r="BS202" s="18" t="s">
        <v>8003</v>
      </c>
      <c r="BT202" s="18" t="s">
        <v>7989</v>
      </c>
      <c r="BU202" s="18" t="s">
        <v>496</v>
      </c>
      <c r="BV202" s="18" t="str">
        <f>Terminales[[#This Row],[IMEI]]&amp;"SI"</f>
        <v>359694275281944SI</v>
      </c>
      <c r="BW202" s="18" t="str">
        <f>VLOOKUP(Terminales[[#This Row],[OFICINA_USUARIO]],[1]!Locales[#Data],3,0)</f>
        <v>TIENDA RECREO</v>
      </c>
      <c r="BX202" s="18" t="str">
        <f>VLOOKUP(Terminales[[#This Row],[USUARIO_FINAL]],'[1]Personal Ppto vs Real'!$A:$F,6,0)</f>
        <v>CHICAIZA TOAPANTA ALEX DANILO</v>
      </c>
      <c r="BY20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0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02" s="18">
        <f>DAY(Terminales[[#This Row],[FECHA_FACTURA]])</f>
        <v>10</v>
      </c>
      <c r="CB202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202" s="65">
        <f>IFERROR(IF(AND(Terminales[[#This Row],[CANTIDAD]] = 1,Terminales[[#This Row],[MOVIMIENTO]] = "RENOVACION"),Terminales[[#This Row],[TARIFA_BASICA]]*0.5,),)</f>
        <v>0</v>
      </c>
      <c r="CD202" s="65">
        <f>IF('[1]Resumen TM'!$AW$20 &lt; 0.4,0,Terminales[[#This Row],[MONTO]]*0.02)</f>
        <v>3.9285714</v>
      </c>
      <c r="CE202" s="66">
        <f>Terminales[[#This Row],[COMISIONES TERMINALES]]+Terminales[[#This Row],[COMISIONES RENOVACIONES]]+Terminales[[#This Row],[COMISIONES BONO]]</f>
        <v>23.571428400000002</v>
      </c>
      <c r="CF202" s="67">
        <f>(Terminales[[#This Row],[COMISIONES TERMINALES]]*VLOOKUP(Terminales[[#This Row],[LOCALES]],[1]!Calendario[#Data],3,0))/VLOOKUP(Terminales[[#This Row],[LOCALES]],[1]!Calendario[#Data],2,0)</f>
        <v>32.315667967741938</v>
      </c>
      <c r="CG202" s="67">
        <f>(Terminales[[#This Row],[COMISIONES RENOVACIONES]]*VLOOKUP(Terminales[[#This Row],[LOCALES]],[1]!Calendario[#Data],3,0))/VLOOKUP(Terminales[[#This Row],[LOCALES]],[1]!Calendario[#Data],2,0)</f>
        <v>0</v>
      </c>
      <c r="CH202" s="67">
        <f>(Terminales[[#This Row],[COMISIONES BONO]]*VLOOKUP(Terminales[[#This Row],[LOCALES]],[1]!Calendario[#Data],3,0))/VLOOKUP(Terminales[[#This Row],[LOCALES]],[1]!Calendario[#Data],2,0)</f>
        <v>6.4631335935483865</v>
      </c>
      <c r="CI202" s="67">
        <f>Terminales[[#This Row],[PROY. COM. TERMINALES]]+Terminales[[#This Row],[PROY. COM. RENOV.]]+Terminales[[#This Row],[PROY. COM. 2%]]</f>
        <v>38.778801561290322</v>
      </c>
    </row>
    <row r="203" spans="1:87" x14ac:dyDescent="0.25">
      <c r="A203" s="68">
        <v>44926</v>
      </c>
      <c r="B203" s="68">
        <v>44905</v>
      </c>
      <c r="C203" s="18" t="s">
        <v>96</v>
      </c>
      <c r="D203" s="18" t="s">
        <v>96</v>
      </c>
      <c r="E203" s="18" t="s">
        <v>96</v>
      </c>
      <c r="F203" s="18" t="s">
        <v>9303</v>
      </c>
      <c r="G203" s="18" t="s">
        <v>292</v>
      </c>
      <c r="H203" s="18" t="s">
        <v>494</v>
      </c>
      <c r="I203" s="18" t="s">
        <v>9304</v>
      </c>
      <c r="J203" s="18" t="s">
        <v>95</v>
      </c>
      <c r="K203" s="18" t="s">
        <v>7970</v>
      </c>
      <c r="L203" s="18" t="s">
        <v>9305</v>
      </c>
      <c r="M203" s="18" t="s">
        <v>9306</v>
      </c>
      <c r="N203" s="18" t="s">
        <v>9307</v>
      </c>
      <c r="O203" s="18" t="s">
        <v>543</v>
      </c>
      <c r="P203" s="18" t="s">
        <v>9308</v>
      </c>
      <c r="Q203" s="18" t="s">
        <v>7975</v>
      </c>
      <c r="R203" s="18" t="s">
        <v>7976</v>
      </c>
      <c r="S203" s="18" t="s">
        <v>7994</v>
      </c>
      <c r="T203" s="18" t="s">
        <v>8245</v>
      </c>
      <c r="U203" s="18" t="s">
        <v>8012</v>
      </c>
      <c r="V203" s="18" t="s">
        <v>6963</v>
      </c>
      <c r="W203" s="18" t="s">
        <v>95</v>
      </c>
      <c r="X203" s="18" t="s">
        <v>95</v>
      </c>
      <c r="Y203" s="18" t="s">
        <v>7980</v>
      </c>
      <c r="Z203" s="18" t="s">
        <v>6996</v>
      </c>
      <c r="AA203" s="69">
        <v>1</v>
      </c>
      <c r="AB203" s="18">
        <v>156.25</v>
      </c>
      <c r="AC203" s="18" t="s">
        <v>9309</v>
      </c>
      <c r="AD203" s="18" t="s">
        <v>7982</v>
      </c>
      <c r="AE203" s="18">
        <v>156</v>
      </c>
      <c r="AF203" s="18" t="s">
        <v>7983</v>
      </c>
      <c r="AG203" s="18">
        <v>156</v>
      </c>
      <c r="AH203" s="18" t="s">
        <v>95</v>
      </c>
      <c r="AI203" s="18" t="s">
        <v>8102</v>
      </c>
      <c r="AJ203" s="18" t="s">
        <v>8103</v>
      </c>
      <c r="AK203" s="18" t="s">
        <v>95</v>
      </c>
      <c r="AL203" s="18" t="s">
        <v>95</v>
      </c>
      <c r="AM203" s="18" t="s">
        <v>95</v>
      </c>
      <c r="AN203" s="18" t="s">
        <v>7984</v>
      </c>
      <c r="AO203" s="18" t="s">
        <v>139</v>
      </c>
      <c r="AP203" s="20" t="s">
        <v>369</v>
      </c>
      <c r="AQ203" s="18" t="s">
        <v>370</v>
      </c>
      <c r="AR203" s="18" t="s">
        <v>496</v>
      </c>
      <c r="AS203" s="18">
        <v>1</v>
      </c>
      <c r="AT203" s="18" t="s">
        <v>177</v>
      </c>
      <c r="AU203" s="18" t="s">
        <v>90</v>
      </c>
      <c r="AV203" s="18" t="s">
        <v>8247</v>
      </c>
      <c r="AW203" s="18" t="s">
        <v>8248</v>
      </c>
      <c r="AX203" s="18" t="s">
        <v>83</v>
      </c>
      <c r="AY203" s="18" t="s">
        <v>95</v>
      </c>
      <c r="AZ203" s="18" t="s">
        <v>95</v>
      </c>
      <c r="BA203" s="18" t="s">
        <v>95</v>
      </c>
      <c r="BB203" s="18" t="s">
        <v>95</v>
      </c>
      <c r="BC203" s="18" t="s">
        <v>118</v>
      </c>
      <c r="BD203" s="18" t="s">
        <v>95</v>
      </c>
      <c r="BE203" s="18" t="s">
        <v>8140</v>
      </c>
      <c r="BF203" s="18" t="s">
        <v>8064</v>
      </c>
      <c r="BG203" s="18" t="s">
        <v>95</v>
      </c>
      <c r="BH203" s="18" t="s">
        <v>95</v>
      </c>
      <c r="BI203" s="18">
        <v>12</v>
      </c>
      <c r="BJ203" s="18">
        <v>2022</v>
      </c>
      <c r="BK203" s="18" t="s">
        <v>95</v>
      </c>
      <c r="BL203" s="18" t="s">
        <v>95</v>
      </c>
      <c r="BM203" s="18" t="s">
        <v>95</v>
      </c>
      <c r="BN203" s="18" t="s">
        <v>85</v>
      </c>
      <c r="BO203" s="18" t="s">
        <v>86</v>
      </c>
      <c r="BP203" s="18" t="s">
        <v>90</v>
      </c>
      <c r="BQ203" s="18" t="s">
        <v>8002</v>
      </c>
      <c r="BR203" s="18" t="s">
        <v>139</v>
      </c>
      <c r="BS203" s="18" t="s">
        <v>8003</v>
      </c>
      <c r="BT203" s="18" t="s">
        <v>7989</v>
      </c>
      <c r="BU203" s="18" t="s">
        <v>496</v>
      </c>
      <c r="BV203" s="18" t="str">
        <f>Terminales[[#This Row],[IMEI]]&amp;"SI"</f>
        <v>355108340319724SI</v>
      </c>
      <c r="BW203" s="18" t="str">
        <f>VLOOKUP(Terminales[[#This Row],[OFICINA_USUARIO]],[1]!Locales[#Data],3,0)</f>
        <v>TIENDA RECREO</v>
      </c>
      <c r="BX203" s="18" t="str">
        <f>VLOOKUP(Terminales[[#This Row],[USUARIO_FINAL]],'[1]Personal Ppto vs Real'!$A:$F,6,0)</f>
        <v>GUAIGUA REINOSO GENESIS CAROLINA</v>
      </c>
      <c r="BY20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0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03" s="18">
        <f>DAY(Terminales[[#This Row],[FECHA_FACTURA]])</f>
        <v>10</v>
      </c>
      <c r="CB203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03" s="65">
        <f>IFERROR(IF(AND(Terminales[[#This Row],[CANTIDAD]] = 1,Terminales[[#This Row],[MOVIMIENTO]] = "RENOVACION"),Terminales[[#This Row],[TARIFA_BASICA]]*0.5,),)</f>
        <v>0</v>
      </c>
      <c r="CD203" s="65">
        <f>IF('[1]Resumen TM'!$AW$20 &lt; 0.4,0,Terminales[[#This Row],[MONTO]]*0.02)</f>
        <v>3.125</v>
      </c>
      <c r="CE203" s="66">
        <f>Terminales[[#This Row],[COMISIONES TERMINALES]]+Terminales[[#This Row],[COMISIONES RENOVACIONES]]+Terminales[[#This Row],[COMISIONES BONO]]</f>
        <v>18.75</v>
      </c>
      <c r="CF203" s="67">
        <f>(Terminales[[#This Row],[COMISIONES TERMINALES]]*VLOOKUP(Terminales[[#This Row],[LOCALES]],[1]!Calendario[#Data],3,0))/VLOOKUP(Terminales[[#This Row],[LOCALES]],[1]!Calendario[#Data],2,0)</f>
        <v>25.705645161290324</v>
      </c>
      <c r="CG203" s="67">
        <f>(Terminales[[#This Row],[COMISIONES RENOVACIONES]]*VLOOKUP(Terminales[[#This Row],[LOCALES]],[1]!Calendario[#Data],3,0))/VLOOKUP(Terminales[[#This Row],[LOCALES]],[1]!Calendario[#Data],2,0)</f>
        <v>0</v>
      </c>
      <c r="CH203" s="67">
        <f>(Terminales[[#This Row],[COMISIONES BONO]]*VLOOKUP(Terminales[[#This Row],[LOCALES]],[1]!Calendario[#Data],3,0))/VLOOKUP(Terminales[[#This Row],[LOCALES]],[1]!Calendario[#Data],2,0)</f>
        <v>5.1411290322580649</v>
      </c>
      <c r="CI203" s="67">
        <f>Terminales[[#This Row],[PROY. COM. TERMINALES]]+Terminales[[#This Row],[PROY. COM. RENOV.]]+Terminales[[#This Row],[PROY. COM. 2%]]</f>
        <v>30.846774193548388</v>
      </c>
    </row>
    <row r="204" spans="1:87" x14ac:dyDescent="0.25">
      <c r="A204" s="68">
        <v>44926</v>
      </c>
      <c r="B204" s="68">
        <v>44905</v>
      </c>
      <c r="C204" s="18" t="s">
        <v>291</v>
      </c>
      <c r="D204" s="18" t="s">
        <v>78</v>
      </c>
      <c r="E204" s="18" t="s">
        <v>231</v>
      </c>
      <c r="F204" s="18" t="s">
        <v>9310</v>
      </c>
      <c r="G204" s="18" t="s">
        <v>292</v>
      </c>
      <c r="H204" s="18" t="s">
        <v>494</v>
      </c>
      <c r="I204" s="18" t="s">
        <v>9311</v>
      </c>
      <c r="J204" s="18" t="s">
        <v>95</v>
      </c>
      <c r="K204" s="18" t="s">
        <v>7970</v>
      </c>
      <c r="L204" s="18" t="s">
        <v>9312</v>
      </c>
      <c r="M204" s="18" t="s">
        <v>9313</v>
      </c>
      <c r="N204" s="18" t="s">
        <v>9314</v>
      </c>
      <c r="O204" s="18" t="s">
        <v>543</v>
      </c>
      <c r="P204" s="18" t="s">
        <v>9315</v>
      </c>
      <c r="Q204" s="18" t="s">
        <v>7975</v>
      </c>
      <c r="R204" s="18" t="s">
        <v>7976</v>
      </c>
      <c r="S204" s="18" t="s">
        <v>7994</v>
      </c>
      <c r="T204" s="18" t="s">
        <v>8245</v>
      </c>
      <c r="U204" s="18" t="s">
        <v>8012</v>
      </c>
      <c r="V204" s="18" t="s">
        <v>6963</v>
      </c>
      <c r="W204" s="18" t="s">
        <v>95</v>
      </c>
      <c r="X204" s="18" t="s">
        <v>95</v>
      </c>
      <c r="Y204" s="18" t="s">
        <v>7980</v>
      </c>
      <c r="Z204" s="18" t="s">
        <v>6996</v>
      </c>
      <c r="AA204" s="69">
        <v>1</v>
      </c>
      <c r="AB204" s="18">
        <v>156.25</v>
      </c>
      <c r="AC204" s="18" t="s">
        <v>9316</v>
      </c>
      <c r="AD204" s="18" t="s">
        <v>7982</v>
      </c>
      <c r="AE204" s="18">
        <v>156</v>
      </c>
      <c r="AF204" s="18" t="s">
        <v>7983</v>
      </c>
      <c r="AG204" s="18">
        <v>156</v>
      </c>
      <c r="AH204" s="18" t="s">
        <v>95</v>
      </c>
      <c r="AI204" s="18" t="s">
        <v>7069</v>
      </c>
      <c r="AJ204" s="18" t="s">
        <v>7070</v>
      </c>
      <c r="AK204" s="18">
        <v>21.42</v>
      </c>
      <c r="AL204" s="18" t="s">
        <v>95</v>
      </c>
      <c r="AM204" s="18" t="s">
        <v>95</v>
      </c>
      <c r="AN204" s="18" t="s">
        <v>7984</v>
      </c>
      <c r="AO204" s="18" t="s">
        <v>139</v>
      </c>
      <c r="AP204" s="20" t="s">
        <v>492</v>
      </c>
      <c r="AQ204" s="18" t="s">
        <v>493</v>
      </c>
      <c r="AR204" s="18" t="s">
        <v>496</v>
      </c>
      <c r="AS204" s="18">
        <v>1</v>
      </c>
      <c r="AT204" s="18" t="s">
        <v>177</v>
      </c>
      <c r="AU204" s="18" t="s">
        <v>90</v>
      </c>
      <c r="AV204" s="18" t="s">
        <v>8247</v>
      </c>
      <c r="AW204" s="18" t="s">
        <v>8248</v>
      </c>
      <c r="AX204" s="18" t="s">
        <v>83</v>
      </c>
      <c r="AY204" s="18" t="s">
        <v>95</v>
      </c>
      <c r="AZ204" s="18" t="s">
        <v>95</v>
      </c>
      <c r="BA204" s="18" t="s">
        <v>95</v>
      </c>
      <c r="BB204" s="18" t="s">
        <v>95</v>
      </c>
      <c r="BC204" s="18" t="s">
        <v>84</v>
      </c>
      <c r="BD204" s="18" t="s">
        <v>95</v>
      </c>
      <c r="BE204" s="18" t="s">
        <v>8278</v>
      </c>
      <c r="BF204" s="18" t="s">
        <v>8064</v>
      </c>
      <c r="BG204" s="18" t="s">
        <v>95</v>
      </c>
      <c r="BH204" s="18" t="s">
        <v>95</v>
      </c>
      <c r="BI204" s="18">
        <v>12</v>
      </c>
      <c r="BJ204" s="18">
        <v>2022</v>
      </c>
      <c r="BK204" s="18" t="s">
        <v>95</v>
      </c>
      <c r="BL204" s="18" t="s">
        <v>95</v>
      </c>
      <c r="BM204" s="18" t="s">
        <v>95</v>
      </c>
      <c r="BN204" s="18" t="s">
        <v>85</v>
      </c>
      <c r="BO204" s="18" t="s">
        <v>86</v>
      </c>
      <c r="BP204" s="18" t="s">
        <v>90</v>
      </c>
      <c r="BQ204" s="18" t="s">
        <v>8002</v>
      </c>
      <c r="BR204" s="18" t="s">
        <v>139</v>
      </c>
      <c r="BS204" s="18" t="s">
        <v>8003</v>
      </c>
      <c r="BT204" s="18" t="s">
        <v>7989</v>
      </c>
      <c r="BU204" s="18" t="s">
        <v>496</v>
      </c>
      <c r="BV204" s="18" t="str">
        <f>Terminales[[#This Row],[IMEI]]&amp;"SI"</f>
        <v>355108340299025SI</v>
      </c>
      <c r="BW204" s="18" t="str">
        <f>VLOOKUP(Terminales[[#This Row],[OFICINA_USUARIO]],[1]!Locales[#Data],3,0)</f>
        <v>TIENDA RECREO</v>
      </c>
      <c r="BX204" s="18" t="str">
        <f>VLOOKUP(Terminales[[#This Row],[USUARIO_FINAL]],'[1]Personal Ppto vs Real'!$A:$F,6,0)</f>
        <v>CONDO GARCIA NICOLAS MATIAS</v>
      </c>
      <c r="BY20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0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04" s="18">
        <f>DAY(Terminales[[#This Row],[FECHA_FACTURA]])</f>
        <v>10</v>
      </c>
      <c r="CB204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04" s="65">
        <f>IFERROR(IF(AND(Terminales[[#This Row],[CANTIDAD]] = 1,Terminales[[#This Row],[MOVIMIENTO]] = "RENOVACION"),Terminales[[#This Row],[TARIFA_BASICA]]*0.5,),)</f>
        <v>10.71</v>
      </c>
      <c r="CD204" s="65">
        <f>IF('[1]Resumen TM'!$AW$20 &lt; 0.4,0,Terminales[[#This Row],[MONTO]]*0.02)</f>
        <v>3.125</v>
      </c>
      <c r="CE204" s="66">
        <f>Terminales[[#This Row],[COMISIONES TERMINALES]]+Terminales[[#This Row],[COMISIONES RENOVACIONES]]+Terminales[[#This Row],[COMISIONES BONO]]</f>
        <v>29.46</v>
      </c>
      <c r="CF204" s="67">
        <f>(Terminales[[#This Row],[COMISIONES TERMINALES]]*VLOOKUP(Terminales[[#This Row],[LOCALES]],[1]!Calendario[#Data],3,0))/VLOOKUP(Terminales[[#This Row],[LOCALES]],[1]!Calendario[#Data],2,0)</f>
        <v>25.705645161290324</v>
      </c>
      <c r="CG204" s="67">
        <f>(Terminales[[#This Row],[COMISIONES RENOVACIONES]]*VLOOKUP(Terminales[[#This Row],[LOCALES]],[1]!Calendario[#Data],3,0))/VLOOKUP(Terminales[[#This Row],[LOCALES]],[1]!Calendario[#Data],2,0)</f>
        <v>17.61967741935484</v>
      </c>
      <c r="CH204" s="67">
        <f>(Terminales[[#This Row],[COMISIONES BONO]]*VLOOKUP(Terminales[[#This Row],[LOCALES]],[1]!Calendario[#Data],3,0))/VLOOKUP(Terminales[[#This Row],[LOCALES]],[1]!Calendario[#Data],2,0)</f>
        <v>5.1411290322580649</v>
      </c>
      <c r="CI204" s="67">
        <f>Terminales[[#This Row],[PROY. COM. TERMINALES]]+Terminales[[#This Row],[PROY. COM. RENOV.]]+Terminales[[#This Row],[PROY. COM. 2%]]</f>
        <v>48.466451612903228</v>
      </c>
    </row>
    <row r="205" spans="1:87" x14ac:dyDescent="0.25">
      <c r="A205" s="68">
        <v>44926</v>
      </c>
      <c r="B205" s="68">
        <v>44905</v>
      </c>
      <c r="C205" s="18" t="s">
        <v>291</v>
      </c>
      <c r="D205" s="18" t="s">
        <v>78</v>
      </c>
      <c r="E205" s="18" t="s">
        <v>2241</v>
      </c>
      <c r="F205" s="18" t="s">
        <v>9317</v>
      </c>
      <c r="G205" s="18" t="s">
        <v>292</v>
      </c>
      <c r="H205" s="18" t="s">
        <v>494</v>
      </c>
      <c r="I205" s="18" t="s">
        <v>9318</v>
      </c>
      <c r="J205" s="18" t="s">
        <v>95</v>
      </c>
      <c r="K205" s="18" t="s">
        <v>7970</v>
      </c>
      <c r="L205" s="18" t="s">
        <v>9319</v>
      </c>
      <c r="M205" s="18" t="s">
        <v>9320</v>
      </c>
      <c r="N205" s="18" t="s">
        <v>9321</v>
      </c>
      <c r="O205" s="18" t="s">
        <v>338</v>
      </c>
      <c r="P205" s="18" t="s">
        <v>9322</v>
      </c>
      <c r="Q205" s="18" t="s">
        <v>7975</v>
      </c>
      <c r="R205" s="18" t="s">
        <v>7976</v>
      </c>
      <c r="S205" s="18" t="s">
        <v>7977</v>
      </c>
      <c r="T205" s="18" t="s">
        <v>7978</v>
      </c>
      <c r="U205" s="18" t="s">
        <v>7979</v>
      </c>
      <c r="V205" s="18" t="s">
        <v>6963</v>
      </c>
      <c r="W205" s="18" t="s">
        <v>95</v>
      </c>
      <c r="X205" s="18" t="s">
        <v>95</v>
      </c>
      <c r="Y205" s="18" t="s">
        <v>7980</v>
      </c>
      <c r="Z205" s="18" t="s">
        <v>6996</v>
      </c>
      <c r="AA205" s="69">
        <v>1</v>
      </c>
      <c r="AB205" s="18">
        <v>276.78570999999999</v>
      </c>
      <c r="AC205" s="18" t="s">
        <v>9323</v>
      </c>
      <c r="AD205" s="18" t="s">
        <v>7982</v>
      </c>
      <c r="AE205" s="18">
        <v>249</v>
      </c>
      <c r="AF205" s="18" t="s">
        <v>7983</v>
      </c>
      <c r="AG205" s="18">
        <v>249</v>
      </c>
      <c r="AH205" s="18" t="s">
        <v>95</v>
      </c>
      <c r="AI205" s="18" t="s">
        <v>71</v>
      </c>
      <c r="AJ205" s="18" t="s">
        <v>258</v>
      </c>
      <c r="AK205" s="18">
        <v>11.42</v>
      </c>
      <c r="AL205" s="18" t="s">
        <v>95</v>
      </c>
      <c r="AM205" s="18" t="s">
        <v>95</v>
      </c>
      <c r="AN205" s="18" t="s">
        <v>7984</v>
      </c>
      <c r="AO205" s="18" t="s">
        <v>139</v>
      </c>
      <c r="AP205" s="20" t="s">
        <v>251</v>
      </c>
      <c r="AQ205" s="18" t="s">
        <v>252</v>
      </c>
      <c r="AR205" s="18" t="s">
        <v>496</v>
      </c>
      <c r="AS205" s="18">
        <v>1</v>
      </c>
      <c r="AT205" s="18" t="s">
        <v>177</v>
      </c>
      <c r="AU205" s="18" t="s">
        <v>90</v>
      </c>
      <c r="AV205" s="18" t="s">
        <v>7985</v>
      </c>
      <c r="AW205" s="18" t="s">
        <v>7986</v>
      </c>
      <c r="AX205" s="18" t="s">
        <v>83</v>
      </c>
      <c r="AY205" s="18" t="s">
        <v>95</v>
      </c>
      <c r="AZ205" s="18" t="s">
        <v>95</v>
      </c>
      <c r="BA205" s="18" t="s">
        <v>95</v>
      </c>
      <c r="BB205" s="18" t="s">
        <v>95</v>
      </c>
      <c r="BC205" s="18" t="s">
        <v>118</v>
      </c>
      <c r="BD205" s="18" t="s">
        <v>95</v>
      </c>
      <c r="BE205" s="18" t="s">
        <v>8000</v>
      </c>
      <c r="BF205" s="18" t="s">
        <v>8064</v>
      </c>
      <c r="BG205" s="18" t="s">
        <v>95</v>
      </c>
      <c r="BH205" s="18" t="s">
        <v>95</v>
      </c>
      <c r="BI205" s="18">
        <v>12</v>
      </c>
      <c r="BJ205" s="18">
        <v>2022</v>
      </c>
      <c r="BK205" s="18" t="s">
        <v>95</v>
      </c>
      <c r="BL205" s="18" t="s">
        <v>95</v>
      </c>
      <c r="BM205" s="18" t="s">
        <v>95</v>
      </c>
      <c r="BN205" s="18" t="s">
        <v>85</v>
      </c>
      <c r="BO205" s="18" t="s">
        <v>86</v>
      </c>
      <c r="BP205" s="18" t="s">
        <v>90</v>
      </c>
      <c r="BQ205" s="18" t="s">
        <v>8002</v>
      </c>
      <c r="BR205" s="18" t="s">
        <v>139</v>
      </c>
      <c r="BS205" s="18" t="s">
        <v>8003</v>
      </c>
      <c r="BT205" s="18" t="s">
        <v>7989</v>
      </c>
      <c r="BU205" s="18" t="s">
        <v>496</v>
      </c>
      <c r="BV205" s="18" t="str">
        <f>Terminales[[#This Row],[IMEI]]&amp;"SI"</f>
        <v>864331068690480SI</v>
      </c>
      <c r="BW205" s="18" t="str">
        <f>VLOOKUP(Terminales[[#This Row],[OFICINA_USUARIO]],[1]!Locales[#Data],3,0)</f>
        <v>TIENDA RECREO</v>
      </c>
      <c r="BX205" s="18" t="str">
        <f>VLOOKUP(Terminales[[#This Row],[USUARIO_FINAL]],'[1]Personal Ppto vs Real'!$A:$F,6,0)</f>
        <v>CRUZ MONTUFAR KATHERINE ALEJANDRA</v>
      </c>
      <c r="BY20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0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05" s="18">
        <f>DAY(Terminales[[#This Row],[FECHA_FACTURA]])</f>
        <v>10</v>
      </c>
      <c r="CB205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205" s="65">
        <f>IFERROR(IF(AND(Terminales[[#This Row],[CANTIDAD]] = 1,Terminales[[#This Row],[MOVIMIENTO]] = "RENOVACION"),Terminales[[#This Row],[TARIFA_BASICA]]*0.5,),)</f>
        <v>5.71</v>
      </c>
      <c r="CD205" s="65">
        <f>IF('[1]Resumen TM'!$AW$20 &lt; 0.4,0,Terminales[[#This Row],[MONTO]]*0.02)</f>
        <v>5.5357142000000001</v>
      </c>
      <c r="CE205" s="66">
        <f>Terminales[[#This Row],[COMISIONES TERMINALES]]+Terminales[[#This Row],[COMISIONES RENOVACIONES]]+Terminales[[#This Row],[COMISIONES BONO]]</f>
        <v>38.9242852</v>
      </c>
      <c r="CF205" s="67">
        <f>(Terminales[[#This Row],[COMISIONES TERMINALES]]*VLOOKUP(Terminales[[#This Row],[LOCALES]],[1]!Calendario[#Data],3,0))/VLOOKUP(Terminales[[#This Row],[LOCALES]],[1]!Calendario[#Data],2,0)</f>
        <v>45.535713580645158</v>
      </c>
      <c r="CG205" s="67">
        <f>(Terminales[[#This Row],[COMISIONES RENOVACIONES]]*VLOOKUP(Terminales[[#This Row],[LOCALES]],[1]!Calendario[#Data],3,0))/VLOOKUP(Terminales[[#This Row],[LOCALES]],[1]!Calendario[#Data],2,0)</f>
        <v>9.3938709677419343</v>
      </c>
      <c r="CH205" s="67">
        <f>(Terminales[[#This Row],[COMISIONES BONO]]*VLOOKUP(Terminales[[#This Row],[LOCALES]],[1]!Calendario[#Data],3,0))/VLOOKUP(Terminales[[#This Row],[LOCALES]],[1]!Calendario[#Data],2,0)</f>
        <v>9.107142716129033</v>
      </c>
      <c r="CI205" s="67">
        <f>Terminales[[#This Row],[PROY. COM. TERMINALES]]+Terminales[[#This Row],[PROY. COM. RENOV.]]+Terminales[[#This Row],[PROY. COM. 2%]]</f>
        <v>64.036727264516117</v>
      </c>
    </row>
    <row r="206" spans="1:87" x14ac:dyDescent="0.25">
      <c r="A206" s="68">
        <v>44926</v>
      </c>
      <c r="B206" s="68">
        <v>44905</v>
      </c>
      <c r="C206" s="18" t="s">
        <v>96</v>
      </c>
      <c r="D206" s="18" t="s">
        <v>96</v>
      </c>
      <c r="E206" s="18" t="s">
        <v>96</v>
      </c>
      <c r="F206" s="18" t="s">
        <v>95</v>
      </c>
      <c r="G206" s="18" t="s">
        <v>292</v>
      </c>
      <c r="H206" s="18" t="s">
        <v>494</v>
      </c>
      <c r="I206" s="18" t="s">
        <v>9324</v>
      </c>
      <c r="J206" s="18" t="s">
        <v>95</v>
      </c>
      <c r="K206" s="18" t="s">
        <v>7970</v>
      </c>
      <c r="L206" s="18" t="s">
        <v>9325</v>
      </c>
      <c r="M206" s="18" t="s">
        <v>9320</v>
      </c>
      <c r="N206" s="18" t="s">
        <v>9321</v>
      </c>
      <c r="O206" s="18" t="s">
        <v>338</v>
      </c>
      <c r="P206" s="18" t="s">
        <v>9326</v>
      </c>
      <c r="Q206" s="18" t="s">
        <v>7975</v>
      </c>
      <c r="R206" s="18" t="s">
        <v>7976</v>
      </c>
      <c r="S206" s="18" t="s">
        <v>7977</v>
      </c>
      <c r="T206" s="18" t="s">
        <v>7978</v>
      </c>
      <c r="U206" s="18" t="s">
        <v>7979</v>
      </c>
      <c r="V206" s="18" t="s">
        <v>6963</v>
      </c>
      <c r="W206" s="18" t="s">
        <v>95</v>
      </c>
      <c r="X206" s="18" t="s">
        <v>95</v>
      </c>
      <c r="Y206" s="18" t="s">
        <v>7980</v>
      </c>
      <c r="Z206" s="18" t="s">
        <v>6996</v>
      </c>
      <c r="AA206" s="69">
        <v>1</v>
      </c>
      <c r="AB206" s="18">
        <v>276.78570999999999</v>
      </c>
      <c r="AC206" s="18" t="s">
        <v>95</v>
      </c>
      <c r="AD206" s="18" t="s">
        <v>96</v>
      </c>
      <c r="AE206" s="18">
        <v>235</v>
      </c>
      <c r="AF206" s="18" t="s">
        <v>7983</v>
      </c>
      <c r="AG206" s="18">
        <v>235</v>
      </c>
      <c r="AH206" s="18" t="s">
        <v>95</v>
      </c>
      <c r="AI206" s="18" t="s">
        <v>95</v>
      </c>
      <c r="AJ206" s="18" t="s">
        <v>95</v>
      </c>
      <c r="AK206" s="18" t="s">
        <v>95</v>
      </c>
      <c r="AL206" s="18" t="s">
        <v>95</v>
      </c>
      <c r="AM206" s="18" t="s">
        <v>95</v>
      </c>
      <c r="AN206" s="18" t="s">
        <v>7984</v>
      </c>
      <c r="AO206" s="18" t="s">
        <v>139</v>
      </c>
      <c r="AP206" s="20" t="s">
        <v>251</v>
      </c>
      <c r="AQ206" s="18" t="s">
        <v>252</v>
      </c>
      <c r="AR206" s="18" t="s">
        <v>496</v>
      </c>
      <c r="AS206" s="18">
        <v>1</v>
      </c>
      <c r="AT206" s="18" t="s">
        <v>177</v>
      </c>
      <c r="AU206" s="18" t="s">
        <v>90</v>
      </c>
      <c r="AV206" s="18" t="s">
        <v>7985</v>
      </c>
      <c r="AW206" s="18" t="s">
        <v>7986</v>
      </c>
      <c r="AX206" s="18" t="s">
        <v>83</v>
      </c>
      <c r="AY206" s="18" t="s">
        <v>95</v>
      </c>
      <c r="AZ206" s="18" t="s">
        <v>95</v>
      </c>
      <c r="BA206" s="18" t="s">
        <v>95</v>
      </c>
      <c r="BB206" s="18" t="s">
        <v>95</v>
      </c>
      <c r="BC206" s="18" t="s">
        <v>95</v>
      </c>
      <c r="BD206" s="18" t="s">
        <v>95</v>
      </c>
      <c r="BE206" s="18" t="s">
        <v>8000</v>
      </c>
      <c r="BF206" s="18" t="s">
        <v>8064</v>
      </c>
      <c r="BG206" s="18" t="s">
        <v>95</v>
      </c>
      <c r="BH206" s="18" t="s">
        <v>95</v>
      </c>
      <c r="BI206" s="18">
        <v>12</v>
      </c>
      <c r="BJ206" s="18">
        <v>2022</v>
      </c>
      <c r="BK206" s="18" t="s">
        <v>95</v>
      </c>
      <c r="BL206" s="18" t="s">
        <v>95</v>
      </c>
      <c r="BM206" s="18" t="s">
        <v>95</v>
      </c>
      <c r="BN206" s="18" t="s">
        <v>85</v>
      </c>
      <c r="BO206" s="18" t="s">
        <v>86</v>
      </c>
      <c r="BP206" s="18" t="s">
        <v>90</v>
      </c>
      <c r="BQ206" s="18" t="s">
        <v>8002</v>
      </c>
      <c r="BR206" s="18" t="s">
        <v>139</v>
      </c>
      <c r="BS206" s="18" t="s">
        <v>8003</v>
      </c>
      <c r="BT206" s="18" t="s">
        <v>7989</v>
      </c>
      <c r="BU206" s="18" t="s">
        <v>496</v>
      </c>
      <c r="BV206" s="18" t="str">
        <f>Terminales[[#This Row],[IMEI]]&amp;"SI"</f>
        <v>866184060683211SI</v>
      </c>
      <c r="BW206" s="18" t="str">
        <f>VLOOKUP(Terminales[[#This Row],[OFICINA_USUARIO]],[1]!Locales[#Data],3,0)</f>
        <v>TIENDA RECREO</v>
      </c>
      <c r="BX206" s="18" t="str">
        <f>VLOOKUP(Terminales[[#This Row],[USUARIO_FINAL]],'[1]Personal Ppto vs Real'!$A:$F,6,0)</f>
        <v>CRUZ MONTUFAR KATHERINE ALEJANDRA</v>
      </c>
      <c r="BY20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0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06" s="18">
        <f>DAY(Terminales[[#This Row],[FECHA_FACTURA]])</f>
        <v>10</v>
      </c>
      <c r="CB206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206" s="65">
        <f>IFERROR(IF(AND(Terminales[[#This Row],[CANTIDAD]] = 1,Terminales[[#This Row],[MOVIMIENTO]] = "RENOVACION"),Terminales[[#This Row],[TARIFA_BASICA]]*0.5,),)</f>
        <v>0</v>
      </c>
      <c r="CD206" s="65">
        <f>IF('[1]Resumen TM'!$AW$20 &lt; 0.4,0,Terminales[[#This Row],[MONTO]]*0.02)</f>
        <v>5.5357142000000001</v>
      </c>
      <c r="CE206" s="66">
        <f>Terminales[[#This Row],[COMISIONES TERMINALES]]+Terminales[[#This Row],[COMISIONES RENOVACIONES]]+Terminales[[#This Row],[COMISIONES BONO]]</f>
        <v>33.214285199999999</v>
      </c>
      <c r="CF206" s="67">
        <f>(Terminales[[#This Row],[COMISIONES TERMINALES]]*VLOOKUP(Terminales[[#This Row],[LOCALES]],[1]!Calendario[#Data],3,0))/VLOOKUP(Terminales[[#This Row],[LOCALES]],[1]!Calendario[#Data],2,0)</f>
        <v>45.535713580645158</v>
      </c>
      <c r="CG206" s="67">
        <f>(Terminales[[#This Row],[COMISIONES RENOVACIONES]]*VLOOKUP(Terminales[[#This Row],[LOCALES]],[1]!Calendario[#Data],3,0))/VLOOKUP(Terminales[[#This Row],[LOCALES]],[1]!Calendario[#Data],2,0)</f>
        <v>0</v>
      </c>
      <c r="CH206" s="67">
        <f>(Terminales[[#This Row],[COMISIONES BONO]]*VLOOKUP(Terminales[[#This Row],[LOCALES]],[1]!Calendario[#Data],3,0))/VLOOKUP(Terminales[[#This Row],[LOCALES]],[1]!Calendario[#Data],2,0)</f>
        <v>9.107142716129033</v>
      </c>
      <c r="CI206" s="67">
        <f>Terminales[[#This Row],[PROY. COM. TERMINALES]]+Terminales[[#This Row],[PROY. COM. RENOV.]]+Terminales[[#This Row],[PROY. COM. 2%]]</f>
        <v>54.642856296774191</v>
      </c>
    </row>
    <row r="207" spans="1:87" x14ac:dyDescent="0.25">
      <c r="A207" s="68">
        <v>44926</v>
      </c>
      <c r="B207" s="68">
        <v>44905</v>
      </c>
      <c r="C207" s="18" t="s">
        <v>96</v>
      </c>
      <c r="D207" s="18" t="s">
        <v>96</v>
      </c>
      <c r="E207" s="18" t="s">
        <v>96</v>
      </c>
      <c r="F207" s="18" t="s">
        <v>9327</v>
      </c>
      <c r="G207" s="18" t="s">
        <v>292</v>
      </c>
      <c r="H207" s="18" t="s">
        <v>494</v>
      </c>
      <c r="I207" s="18" t="s">
        <v>9328</v>
      </c>
      <c r="J207" s="18" t="s">
        <v>95</v>
      </c>
      <c r="K207" s="18" t="s">
        <v>7970</v>
      </c>
      <c r="L207" s="18" t="s">
        <v>9329</v>
      </c>
      <c r="M207" s="18" t="s">
        <v>9330</v>
      </c>
      <c r="N207" s="18" t="s">
        <v>9331</v>
      </c>
      <c r="O207" s="18" t="s">
        <v>8379</v>
      </c>
      <c r="P207" s="18" t="s">
        <v>9332</v>
      </c>
      <c r="Q207" s="18" t="s">
        <v>7975</v>
      </c>
      <c r="R207" s="18" t="s">
        <v>7976</v>
      </c>
      <c r="S207" s="18" t="s">
        <v>8010</v>
      </c>
      <c r="T207" s="18" t="s">
        <v>8381</v>
      </c>
      <c r="U207" s="18" t="s">
        <v>7979</v>
      </c>
      <c r="V207" s="18" t="s">
        <v>6963</v>
      </c>
      <c r="W207" s="18" t="s">
        <v>95</v>
      </c>
      <c r="X207" s="18" t="s">
        <v>95</v>
      </c>
      <c r="Y207" s="18" t="s">
        <v>7980</v>
      </c>
      <c r="Z207" s="18" t="s">
        <v>6996</v>
      </c>
      <c r="AA207" s="69">
        <v>1</v>
      </c>
      <c r="AB207" s="18">
        <v>267.85714000000002</v>
      </c>
      <c r="AC207" s="18" t="s">
        <v>9333</v>
      </c>
      <c r="AD207" s="18" t="s">
        <v>96</v>
      </c>
      <c r="AE207" s="18">
        <v>291.2</v>
      </c>
      <c r="AF207" s="18" t="s">
        <v>7983</v>
      </c>
      <c r="AG207" s="18">
        <v>291.2</v>
      </c>
      <c r="AH207" s="18" t="s">
        <v>95</v>
      </c>
      <c r="AI207" s="18" t="s">
        <v>8102</v>
      </c>
      <c r="AJ207" s="18" t="s">
        <v>8103</v>
      </c>
      <c r="AK207" s="18" t="s">
        <v>95</v>
      </c>
      <c r="AL207" s="18" t="s">
        <v>95</v>
      </c>
      <c r="AM207" s="18" t="s">
        <v>95</v>
      </c>
      <c r="AN207" s="18" t="s">
        <v>7984</v>
      </c>
      <c r="AO207" s="18" t="s">
        <v>139</v>
      </c>
      <c r="AP207" s="20" t="s">
        <v>271</v>
      </c>
      <c r="AQ207" s="18" t="s">
        <v>272</v>
      </c>
      <c r="AR207" s="18" t="s">
        <v>496</v>
      </c>
      <c r="AS207" s="18">
        <v>1</v>
      </c>
      <c r="AT207" s="18" t="s">
        <v>235</v>
      </c>
      <c r="AU207" s="18" t="s">
        <v>90</v>
      </c>
      <c r="AV207" s="18" t="s">
        <v>8383</v>
      </c>
      <c r="AW207" s="18" t="s">
        <v>8384</v>
      </c>
      <c r="AX207" s="18" t="s">
        <v>83</v>
      </c>
      <c r="AY207" s="18" t="s">
        <v>95</v>
      </c>
      <c r="AZ207" s="18" t="s">
        <v>95</v>
      </c>
      <c r="BA207" s="18" t="s">
        <v>95</v>
      </c>
      <c r="BB207" s="18" t="s">
        <v>95</v>
      </c>
      <c r="BC207" s="18" t="s">
        <v>118</v>
      </c>
      <c r="BD207" s="18" t="s">
        <v>95</v>
      </c>
      <c r="BE207" s="18" t="s">
        <v>95</v>
      </c>
      <c r="BF207" s="18" t="s">
        <v>95</v>
      </c>
      <c r="BG207" s="18" t="s">
        <v>95</v>
      </c>
      <c r="BH207" s="18" t="s">
        <v>95</v>
      </c>
      <c r="BI207" s="18">
        <v>12</v>
      </c>
      <c r="BJ207" s="18">
        <v>2022</v>
      </c>
      <c r="BK207" s="18" t="s">
        <v>95</v>
      </c>
      <c r="BL207" s="18" t="s">
        <v>95</v>
      </c>
      <c r="BM207" s="18" t="s">
        <v>95</v>
      </c>
      <c r="BN207" s="18" t="s">
        <v>85</v>
      </c>
      <c r="BO207" s="18" t="s">
        <v>86</v>
      </c>
      <c r="BP207" s="18" t="s">
        <v>90</v>
      </c>
      <c r="BQ207" s="18" t="s">
        <v>8016</v>
      </c>
      <c r="BR207" s="18" t="s">
        <v>139</v>
      </c>
      <c r="BS207" s="18" t="s">
        <v>8074</v>
      </c>
      <c r="BT207" s="18" t="s">
        <v>7989</v>
      </c>
      <c r="BU207" s="18" t="s">
        <v>496</v>
      </c>
      <c r="BV207" s="18" t="str">
        <f>Terminales[[#This Row],[IMEI]]&amp;"SI"</f>
        <v>354911551802598SI</v>
      </c>
      <c r="BW207" s="18" t="str">
        <f>VLOOKUP(Terminales[[#This Row],[OFICINA_USUARIO]],[1]!Locales[#Data],3,0)</f>
        <v>TIENDA CONDADO</v>
      </c>
      <c r="BX207" s="18" t="str">
        <f>VLOOKUP(Terminales[[#This Row],[USUARIO_FINAL]],'[1]Personal Ppto vs Real'!$A:$F,6,0)</f>
        <v>CASTILLO AGUIRRE EDWIN MODESTO</v>
      </c>
      <c r="BY20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0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07" s="18">
        <f>DAY(Terminales[[#This Row],[FECHA_FACTURA]])</f>
        <v>10</v>
      </c>
      <c r="CB207" s="65">
        <f>IF(Terminales[[#This Row],[CANTIDAD]] = 1,INDEX([1]!Comisiones[#Data],MATCH("Terminales",[1]!Comisiones[Producto],0),MATCH(Terminales[[#This Row],[TIPO ALTA COMISIONES]],[1]!Comisiones[#Headers],0))*Terminales[[#This Row],[MONTO]],0)</f>
        <v>26.785714000000002</v>
      </c>
      <c r="CC207" s="65">
        <f>IFERROR(IF(AND(Terminales[[#This Row],[CANTIDAD]] = 1,Terminales[[#This Row],[MOVIMIENTO]] = "RENOVACION"),Terminales[[#This Row],[TARIFA_BASICA]]*0.5,),)</f>
        <v>0</v>
      </c>
      <c r="CD207" s="65">
        <f>IF('[1]Resumen TM'!$AW$20 &lt; 0.4,0,Terminales[[#This Row],[MONTO]]*0.02)</f>
        <v>5.3571428000000001</v>
      </c>
      <c r="CE207" s="66">
        <f>Terminales[[#This Row],[COMISIONES TERMINALES]]+Terminales[[#This Row],[COMISIONES RENOVACIONES]]+Terminales[[#This Row],[COMISIONES BONO]]</f>
        <v>32.142856800000004</v>
      </c>
      <c r="CF207" s="67">
        <f>(Terminales[[#This Row],[COMISIONES TERMINALES]]*VLOOKUP(Terminales[[#This Row],[LOCALES]],[1]!Calendario[#Data],3,0))/VLOOKUP(Terminales[[#This Row],[LOCALES]],[1]!Calendario[#Data],2,0)</f>
        <v>44.066819806451612</v>
      </c>
      <c r="CG207" s="67">
        <f>(Terminales[[#This Row],[COMISIONES RENOVACIONES]]*VLOOKUP(Terminales[[#This Row],[LOCALES]],[1]!Calendario[#Data],3,0))/VLOOKUP(Terminales[[#This Row],[LOCALES]],[1]!Calendario[#Data],2,0)</f>
        <v>0</v>
      </c>
      <c r="CH207" s="67">
        <f>(Terminales[[#This Row],[COMISIONES BONO]]*VLOOKUP(Terminales[[#This Row],[LOCALES]],[1]!Calendario[#Data],3,0))/VLOOKUP(Terminales[[#This Row],[LOCALES]],[1]!Calendario[#Data],2,0)</f>
        <v>8.8133639612903227</v>
      </c>
      <c r="CI207" s="67">
        <f>Terminales[[#This Row],[PROY. COM. TERMINALES]]+Terminales[[#This Row],[PROY. COM. RENOV.]]+Terminales[[#This Row],[PROY. COM. 2%]]</f>
        <v>52.880183767741933</v>
      </c>
    </row>
    <row r="208" spans="1:87" x14ac:dyDescent="0.25">
      <c r="A208" s="68">
        <v>44926</v>
      </c>
      <c r="B208" s="68">
        <v>44906</v>
      </c>
      <c r="C208" s="18" t="s">
        <v>291</v>
      </c>
      <c r="D208" s="18" t="s">
        <v>78</v>
      </c>
      <c r="E208" s="18" t="s">
        <v>164</v>
      </c>
      <c r="F208" s="18" t="s">
        <v>1303</v>
      </c>
      <c r="G208" s="18" t="s">
        <v>292</v>
      </c>
      <c r="H208" s="18" t="s">
        <v>494</v>
      </c>
      <c r="I208" s="18" t="s">
        <v>9334</v>
      </c>
      <c r="J208" s="18" t="s">
        <v>95</v>
      </c>
      <c r="K208" s="18" t="s">
        <v>7970</v>
      </c>
      <c r="L208" s="18" t="s">
        <v>1304</v>
      </c>
      <c r="M208" s="18" t="s">
        <v>1305</v>
      </c>
      <c r="N208" s="18" t="s">
        <v>1306</v>
      </c>
      <c r="O208" s="18" t="s">
        <v>543</v>
      </c>
      <c r="P208" s="18" t="s">
        <v>1307</v>
      </c>
      <c r="Q208" s="18" t="s">
        <v>7975</v>
      </c>
      <c r="R208" s="18" t="s">
        <v>7976</v>
      </c>
      <c r="S208" s="18" t="s">
        <v>7994</v>
      </c>
      <c r="T208" s="18" t="s">
        <v>8245</v>
      </c>
      <c r="U208" s="18" t="s">
        <v>8012</v>
      </c>
      <c r="V208" s="18" t="s">
        <v>6963</v>
      </c>
      <c r="W208" s="18" t="s">
        <v>95</v>
      </c>
      <c r="X208" s="18" t="s">
        <v>95</v>
      </c>
      <c r="Y208" s="18" t="s">
        <v>7980</v>
      </c>
      <c r="Z208" s="18" t="s">
        <v>6996</v>
      </c>
      <c r="AA208" s="69">
        <v>1</v>
      </c>
      <c r="AB208" s="18">
        <v>156.25</v>
      </c>
      <c r="AC208" s="18" t="s">
        <v>9335</v>
      </c>
      <c r="AD208" s="18" t="s">
        <v>8151</v>
      </c>
      <c r="AE208" s="18">
        <v>156</v>
      </c>
      <c r="AF208" s="18" t="s">
        <v>7983</v>
      </c>
      <c r="AG208" s="18">
        <v>156</v>
      </c>
      <c r="AH208" s="18" t="s">
        <v>95</v>
      </c>
      <c r="AI208" s="18" t="s">
        <v>194</v>
      </c>
      <c r="AJ208" s="18" t="s">
        <v>268</v>
      </c>
      <c r="AK208" s="18">
        <v>14.28</v>
      </c>
      <c r="AL208" s="18" t="s">
        <v>95</v>
      </c>
      <c r="AM208" s="18" t="s">
        <v>95</v>
      </c>
      <c r="AN208" s="18" t="s">
        <v>7984</v>
      </c>
      <c r="AO208" s="18" t="s">
        <v>139</v>
      </c>
      <c r="AP208" s="20" t="s">
        <v>280</v>
      </c>
      <c r="AQ208" s="18" t="s">
        <v>281</v>
      </c>
      <c r="AR208" s="18" t="s">
        <v>496</v>
      </c>
      <c r="AS208" s="18">
        <v>1</v>
      </c>
      <c r="AT208" s="18" t="s">
        <v>235</v>
      </c>
      <c r="AU208" s="18" t="s">
        <v>90</v>
      </c>
      <c r="AV208" s="18" t="s">
        <v>8247</v>
      </c>
      <c r="AW208" s="18" t="s">
        <v>8248</v>
      </c>
      <c r="AX208" s="18" t="s">
        <v>83</v>
      </c>
      <c r="AY208" s="18" t="s">
        <v>95</v>
      </c>
      <c r="AZ208" s="18" t="s">
        <v>95</v>
      </c>
      <c r="BA208" s="18" t="s">
        <v>95</v>
      </c>
      <c r="BB208" s="18" t="s">
        <v>95</v>
      </c>
      <c r="BC208" s="18" t="s">
        <v>118</v>
      </c>
      <c r="BD208" s="18" t="s">
        <v>95</v>
      </c>
      <c r="BE208" s="18" t="s">
        <v>95</v>
      </c>
      <c r="BF208" s="18" t="s">
        <v>95</v>
      </c>
      <c r="BG208" s="18" t="s">
        <v>95</v>
      </c>
      <c r="BH208" s="18" t="s">
        <v>95</v>
      </c>
      <c r="BI208" s="18">
        <v>12</v>
      </c>
      <c r="BJ208" s="18">
        <v>2022</v>
      </c>
      <c r="BK208" s="18" t="s">
        <v>95</v>
      </c>
      <c r="BL208" s="18" t="s">
        <v>95</v>
      </c>
      <c r="BM208" s="18" t="s">
        <v>95</v>
      </c>
      <c r="BN208" s="18" t="s">
        <v>85</v>
      </c>
      <c r="BO208" s="18" t="s">
        <v>86</v>
      </c>
      <c r="BP208" s="18" t="s">
        <v>90</v>
      </c>
      <c r="BQ208" s="18" t="s">
        <v>8016</v>
      </c>
      <c r="BR208" s="18" t="s">
        <v>139</v>
      </c>
      <c r="BS208" s="18" t="s">
        <v>8074</v>
      </c>
      <c r="BT208" s="18" t="s">
        <v>7989</v>
      </c>
      <c r="BU208" s="18" t="s">
        <v>496</v>
      </c>
      <c r="BV208" s="18" t="str">
        <f>Terminales[[#This Row],[IMEI]]&amp;"SI"</f>
        <v>355108340312273SI</v>
      </c>
      <c r="BW208" s="18" t="str">
        <f>VLOOKUP(Terminales[[#This Row],[OFICINA_USUARIO]],[1]!Locales[#Data],3,0)</f>
        <v>TIENDA CONDADO</v>
      </c>
      <c r="BX208" s="18" t="str">
        <f>VLOOKUP(Terminales[[#This Row],[USUARIO_FINAL]],'[1]Personal Ppto vs Real'!$A:$F,6,0)</f>
        <v>GUACHAMIN CAZA HUGO ADRIAN</v>
      </c>
      <c r="BY208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20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08" s="18">
        <f>DAY(Terminales[[#This Row],[FECHA_FACTURA]])</f>
        <v>11</v>
      </c>
      <c r="CB208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08" s="65">
        <f>IFERROR(IF(AND(Terminales[[#This Row],[CANTIDAD]] = 1,Terminales[[#This Row],[MOVIMIENTO]] = "RENOVACION"),Terminales[[#This Row],[TARIFA_BASICA]]*0.5,),)</f>
        <v>0</v>
      </c>
      <c r="CD208" s="65">
        <f>IF('[1]Resumen TM'!$AW$20 &lt; 0.4,0,Terminales[[#This Row],[MONTO]]*0.02)</f>
        <v>3.125</v>
      </c>
      <c r="CE208" s="66">
        <f>Terminales[[#This Row],[COMISIONES TERMINALES]]+Terminales[[#This Row],[COMISIONES RENOVACIONES]]+Terminales[[#This Row],[COMISIONES BONO]]</f>
        <v>18.75</v>
      </c>
      <c r="CF208" s="67">
        <f>(Terminales[[#This Row],[COMISIONES TERMINALES]]*VLOOKUP(Terminales[[#This Row],[LOCALES]],[1]!Calendario[#Data],3,0))/VLOOKUP(Terminales[[#This Row],[LOCALES]],[1]!Calendario[#Data],2,0)</f>
        <v>25.705645161290324</v>
      </c>
      <c r="CG208" s="67">
        <f>(Terminales[[#This Row],[COMISIONES RENOVACIONES]]*VLOOKUP(Terminales[[#This Row],[LOCALES]],[1]!Calendario[#Data],3,0))/VLOOKUP(Terminales[[#This Row],[LOCALES]],[1]!Calendario[#Data],2,0)</f>
        <v>0</v>
      </c>
      <c r="CH208" s="67">
        <f>(Terminales[[#This Row],[COMISIONES BONO]]*VLOOKUP(Terminales[[#This Row],[LOCALES]],[1]!Calendario[#Data],3,0))/VLOOKUP(Terminales[[#This Row],[LOCALES]],[1]!Calendario[#Data],2,0)</f>
        <v>5.1411290322580649</v>
      </c>
      <c r="CI208" s="67">
        <f>Terminales[[#This Row],[PROY. COM. TERMINALES]]+Terminales[[#This Row],[PROY. COM. RENOV.]]+Terminales[[#This Row],[PROY. COM. 2%]]</f>
        <v>30.846774193548388</v>
      </c>
    </row>
    <row r="209" spans="1:87" x14ac:dyDescent="0.25">
      <c r="A209" s="68">
        <v>44926</v>
      </c>
      <c r="B209" s="68">
        <v>44906</v>
      </c>
      <c r="C209" s="18" t="s">
        <v>96</v>
      </c>
      <c r="D209" s="18" t="s">
        <v>96</v>
      </c>
      <c r="E209" s="18" t="s">
        <v>96</v>
      </c>
      <c r="F209" s="18" t="s">
        <v>9336</v>
      </c>
      <c r="G209" s="18" t="s">
        <v>292</v>
      </c>
      <c r="H209" s="18" t="s">
        <v>494</v>
      </c>
      <c r="I209" s="18" t="s">
        <v>9337</v>
      </c>
      <c r="J209" s="18" t="s">
        <v>95</v>
      </c>
      <c r="K209" s="18" t="s">
        <v>7970</v>
      </c>
      <c r="L209" s="18" t="s">
        <v>9338</v>
      </c>
      <c r="M209" s="18" t="s">
        <v>9339</v>
      </c>
      <c r="N209" s="18" t="s">
        <v>9340</v>
      </c>
      <c r="O209" s="18" t="s">
        <v>9200</v>
      </c>
      <c r="P209" s="18" t="s">
        <v>9341</v>
      </c>
      <c r="Q209" s="18" t="s">
        <v>7975</v>
      </c>
      <c r="R209" s="18" t="s">
        <v>7976</v>
      </c>
      <c r="S209" s="18" t="s">
        <v>8045</v>
      </c>
      <c r="T209" s="18" t="s">
        <v>9171</v>
      </c>
      <c r="U209" s="18" t="s">
        <v>7979</v>
      </c>
      <c r="V209" s="18" t="s">
        <v>6963</v>
      </c>
      <c r="W209" s="18" t="s">
        <v>95</v>
      </c>
      <c r="X209" s="18" t="s">
        <v>95</v>
      </c>
      <c r="Y209" s="18" t="s">
        <v>7980</v>
      </c>
      <c r="Z209" s="18" t="s">
        <v>6996</v>
      </c>
      <c r="AA209" s="69">
        <v>1</v>
      </c>
      <c r="AB209" s="18">
        <v>375</v>
      </c>
      <c r="AC209" s="18" t="s">
        <v>9342</v>
      </c>
      <c r="AD209" s="18" t="s">
        <v>96</v>
      </c>
      <c r="AE209" s="18">
        <v>329.5</v>
      </c>
      <c r="AF209" s="18" t="s">
        <v>7983</v>
      </c>
      <c r="AG209" s="18">
        <v>329.5</v>
      </c>
      <c r="AH209" s="18" t="s">
        <v>95</v>
      </c>
      <c r="AI209" s="18" t="s">
        <v>8102</v>
      </c>
      <c r="AJ209" s="18" t="s">
        <v>8103</v>
      </c>
      <c r="AK209" s="18" t="s">
        <v>95</v>
      </c>
      <c r="AL209" s="18" t="s">
        <v>95</v>
      </c>
      <c r="AM209" s="18" t="s">
        <v>95</v>
      </c>
      <c r="AN209" s="18" t="s">
        <v>7984</v>
      </c>
      <c r="AO209" s="18" t="s">
        <v>139</v>
      </c>
      <c r="AP209" s="20" t="s">
        <v>303</v>
      </c>
      <c r="AQ209" s="18" t="s">
        <v>304</v>
      </c>
      <c r="AR209" s="18" t="s">
        <v>496</v>
      </c>
      <c r="AS209" s="18">
        <v>1</v>
      </c>
      <c r="AT209" s="18" t="s">
        <v>177</v>
      </c>
      <c r="AU209" s="18" t="s">
        <v>90</v>
      </c>
      <c r="AV209" s="18" t="s">
        <v>9203</v>
      </c>
      <c r="AW209" s="18" t="s">
        <v>9204</v>
      </c>
      <c r="AX209" s="18" t="s">
        <v>83</v>
      </c>
      <c r="AY209" s="18" t="s">
        <v>95</v>
      </c>
      <c r="AZ209" s="18" t="s">
        <v>95</v>
      </c>
      <c r="BA209" s="18" t="s">
        <v>95</v>
      </c>
      <c r="BB209" s="18" t="s">
        <v>95</v>
      </c>
      <c r="BC209" s="18" t="s">
        <v>118</v>
      </c>
      <c r="BD209" s="18" t="s">
        <v>95</v>
      </c>
      <c r="BE209" s="18" t="s">
        <v>95</v>
      </c>
      <c r="BF209" s="18" t="s">
        <v>95</v>
      </c>
      <c r="BG209" s="18" t="s">
        <v>95</v>
      </c>
      <c r="BH209" s="18" t="s">
        <v>95</v>
      </c>
      <c r="BI209" s="18">
        <v>12</v>
      </c>
      <c r="BJ209" s="18">
        <v>2022</v>
      </c>
      <c r="BK209" s="18" t="s">
        <v>95</v>
      </c>
      <c r="BL209" s="18" t="s">
        <v>95</v>
      </c>
      <c r="BM209" s="18" t="s">
        <v>95</v>
      </c>
      <c r="BN209" s="18" t="s">
        <v>85</v>
      </c>
      <c r="BO209" s="18" t="s">
        <v>86</v>
      </c>
      <c r="BP209" s="18" t="s">
        <v>90</v>
      </c>
      <c r="BQ209" s="18" t="s">
        <v>8002</v>
      </c>
      <c r="BR209" s="18" t="s">
        <v>139</v>
      </c>
      <c r="BS209" s="18" t="s">
        <v>8074</v>
      </c>
      <c r="BT209" s="18" t="s">
        <v>7989</v>
      </c>
      <c r="BU209" s="18" t="s">
        <v>496</v>
      </c>
      <c r="BV209" s="18" t="str">
        <f>Terminales[[#This Row],[IMEI]]&amp;"SI"</f>
        <v>352429893056916SI</v>
      </c>
      <c r="BW209" s="18" t="str">
        <f>VLOOKUP(Terminales[[#This Row],[OFICINA_USUARIO]],[1]!Locales[#Data],3,0)</f>
        <v>TIENDA RECREO</v>
      </c>
      <c r="BX209" s="18" t="str">
        <f>VLOOKUP(Terminales[[#This Row],[USUARIO_FINAL]],'[1]Personal Ppto vs Real'!$A:$F,6,0)</f>
        <v>CORDOVA GAIBOR JONATHAN HERNAN</v>
      </c>
      <c r="BY20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0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09" s="18">
        <f>DAY(Terminales[[#This Row],[FECHA_FACTURA]])</f>
        <v>11</v>
      </c>
      <c r="CB209" s="65">
        <f>IF(Terminales[[#This Row],[CANTIDAD]] = 1,INDEX([1]!Comisiones[#Data],MATCH("Terminales",[1]!Comisiones[Producto],0),MATCH(Terminales[[#This Row],[TIPO ALTA COMISIONES]],[1]!Comisiones[#Headers],0))*Terminales[[#This Row],[MONTO]],0)</f>
        <v>37.5</v>
      </c>
      <c r="CC209" s="65">
        <f>IFERROR(IF(AND(Terminales[[#This Row],[CANTIDAD]] = 1,Terminales[[#This Row],[MOVIMIENTO]] = "RENOVACION"),Terminales[[#This Row],[TARIFA_BASICA]]*0.5,),)</f>
        <v>0</v>
      </c>
      <c r="CD209" s="65">
        <f>IF('[1]Resumen TM'!$AW$20 &lt; 0.4,0,Terminales[[#This Row],[MONTO]]*0.02)</f>
        <v>7.5</v>
      </c>
      <c r="CE209" s="66">
        <f>Terminales[[#This Row],[COMISIONES TERMINALES]]+Terminales[[#This Row],[COMISIONES RENOVACIONES]]+Terminales[[#This Row],[COMISIONES BONO]]</f>
        <v>45</v>
      </c>
      <c r="CF209" s="67">
        <f>(Terminales[[#This Row],[COMISIONES TERMINALES]]*VLOOKUP(Terminales[[#This Row],[LOCALES]],[1]!Calendario[#Data],3,0))/VLOOKUP(Terminales[[#This Row],[LOCALES]],[1]!Calendario[#Data],2,0)</f>
        <v>61.693548387096776</v>
      </c>
      <c r="CG209" s="67">
        <f>(Terminales[[#This Row],[COMISIONES RENOVACIONES]]*VLOOKUP(Terminales[[#This Row],[LOCALES]],[1]!Calendario[#Data],3,0))/VLOOKUP(Terminales[[#This Row],[LOCALES]],[1]!Calendario[#Data],2,0)</f>
        <v>0</v>
      </c>
      <c r="CH209" s="67">
        <f>(Terminales[[#This Row],[COMISIONES BONO]]*VLOOKUP(Terminales[[#This Row],[LOCALES]],[1]!Calendario[#Data],3,0))/VLOOKUP(Terminales[[#This Row],[LOCALES]],[1]!Calendario[#Data],2,0)</f>
        <v>12.338709677419354</v>
      </c>
      <c r="CI209" s="67">
        <f>Terminales[[#This Row],[PROY. COM. TERMINALES]]+Terminales[[#This Row],[PROY. COM. RENOV.]]+Terminales[[#This Row],[PROY. COM. 2%]]</f>
        <v>74.032258064516128</v>
      </c>
    </row>
    <row r="210" spans="1:87" x14ac:dyDescent="0.25">
      <c r="A210" s="68">
        <v>44926</v>
      </c>
      <c r="B210" s="68">
        <v>44906</v>
      </c>
      <c r="C210" s="18" t="s">
        <v>96</v>
      </c>
      <c r="D210" s="18" t="s">
        <v>96</v>
      </c>
      <c r="E210" s="18" t="s">
        <v>96</v>
      </c>
      <c r="F210" s="18" t="s">
        <v>9343</v>
      </c>
      <c r="G210" s="18" t="s">
        <v>292</v>
      </c>
      <c r="H210" s="18" t="s">
        <v>494</v>
      </c>
      <c r="I210" s="18" t="s">
        <v>9344</v>
      </c>
      <c r="J210" s="18" t="s">
        <v>95</v>
      </c>
      <c r="K210" s="18" t="s">
        <v>7970</v>
      </c>
      <c r="L210" s="18" t="s">
        <v>9345</v>
      </c>
      <c r="M210" s="18" t="s">
        <v>9346</v>
      </c>
      <c r="N210" s="18" t="s">
        <v>9347</v>
      </c>
      <c r="O210" s="18" t="s">
        <v>354</v>
      </c>
      <c r="P210" s="18" t="s">
        <v>9348</v>
      </c>
      <c r="Q210" s="18" t="s">
        <v>7975</v>
      </c>
      <c r="R210" s="18" t="s">
        <v>7976</v>
      </c>
      <c r="S210" s="18" t="s">
        <v>8070</v>
      </c>
      <c r="T210" s="18" t="s">
        <v>8071</v>
      </c>
      <c r="U210" s="18" t="s">
        <v>8012</v>
      </c>
      <c r="V210" s="18" t="s">
        <v>6963</v>
      </c>
      <c r="W210" s="18" t="s">
        <v>95</v>
      </c>
      <c r="X210" s="18" t="s">
        <v>95</v>
      </c>
      <c r="Y210" s="18" t="s">
        <v>7980</v>
      </c>
      <c r="Z210" s="18" t="s">
        <v>6996</v>
      </c>
      <c r="AA210" s="69">
        <v>1</v>
      </c>
      <c r="AB210" s="18">
        <v>205.35713999999999</v>
      </c>
      <c r="AC210" s="18" t="s">
        <v>9349</v>
      </c>
      <c r="AD210" s="18" t="s">
        <v>96</v>
      </c>
      <c r="AE210" s="18">
        <v>199.79</v>
      </c>
      <c r="AF210" s="18" t="s">
        <v>7983</v>
      </c>
      <c r="AG210" s="18">
        <v>199.79</v>
      </c>
      <c r="AH210" s="18" t="s">
        <v>95</v>
      </c>
      <c r="AI210" s="18" t="s">
        <v>8102</v>
      </c>
      <c r="AJ210" s="18" t="s">
        <v>8103</v>
      </c>
      <c r="AK210" s="18" t="s">
        <v>95</v>
      </c>
      <c r="AL210" s="18" t="s">
        <v>95</v>
      </c>
      <c r="AM210" s="18" t="s">
        <v>95</v>
      </c>
      <c r="AN210" s="18" t="s">
        <v>7984</v>
      </c>
      <c r="AO210" s="18" t="s">
        <v>139</v>
      </c>
      <c r="AP210" s="20" t="s">
        <v>271</v>
      </c>
      <c r="AQ210" s="18" t="s">
        <v>272</v>
      </c>
      <c r="AR210" s="18" t="s">
        <v>496</v>
      </c>
      <c r="AS210" s="18">
        <v>1</v>
      </c>
      <c r="AT210" s="18" t="s">
        <v>235</v>
      </c>
      <c r="AU210" s="18" t="s">
        <v>90</v>
      </c>
      <c r="AV210" s="18" t="s">
        <v>8072</v>
      </c>
      <c r="AW210" s="18" t="s">
        <v>8073</v>
      </c>
      <c r="AX210" s="18" t="s">
        <v>83</v>
      </c>
      <c r="AY210" s="18" t="s">
        <v>95</v>
      </c>
      <c r="AZ210" s="18" t="s">
        <v>95</v>
      </c>
      <c r="BA210" s="18" t="s">
        <v>95</v>
      </c>
      <c r="BB210" s="18" t="s">
        <v>95</v>
      </c>
      <c r="BC210" s="18" t="s">
        <v>118</v>
      </c>
      <c r="BD210" s="18" t="s">
        <v>95</v>
      </c>
      <c r="BE210" s="18" t="s">
        <v>95</v>
      </c>
      <c r="BF210" s="18" t="s">
        <v>95</v>
      </c>
      <c r="BG210" s="18" t="s">
        <v>95</v>
      </c>
      <c r="BH210" s="18" t="s">
        <v>95</v>
      </c>
      <c r="BI210" s="18">
        <v>12</v>
      </c>
      <c r="BJ210" s="18">
        <v>2022</v>
      </c>
      <c r="BK210" s="18" t="s">
        <v>95</v>
      </c>
      <c r="BL210" s="18" t="s">
        <v>95</v>
      </c>
      <c r="BM210" s="18" t="s">
        <v>95</v>
      </c>
      <c r="BN210" s="18" t="s">
        <v>85</v>
      </c>
      <c r="BO210" s="18" t="s">
        <v>86</v>
      </c>
      <c r="BP210" s="18" t="s">
        <v>90</v>
      </c>
      <c r="BQ210" s="18" t="s">
        <v>8016</v>
      </c>
      <c r="BR210" s="18" t="s">
        <v>139</v>
      </c>
      <c r="BS210" s="18" t="s">
        <v>8074</v>
      </c>
      <c r="BT210" s="18" t="s">
        <v>7989</v>
      </c>
      <c r="BU210" s="18" t="s">
        <v>496</v>
      </c>
      <c r="BV210" s="18" t="str">
        <f>Terminales[[#This Row],[IMEI]]&amp;"SI"</f>
        <v>869113065751027SI</v>
      </c>
      <c r="BW210" s="18" t="str">
        <f>VLOOKUP(Terminales[[#This Row],[OFICINA_USUARIO]],[1]!Locales[#Data],3,0)</f>
        <v>TIENDA CONDADO</v>
      </c>
      <c r="BX210" s="18" t="str">
        <f>VLOOKUP(Terminales[[#This Row],[USUARIO_FINAL]],'[1]Personal Ppto vs Real'!$A:$F,6,0)</f>
        <v>CASTILLO AGUIRRE EDWIN MODESTO</v>
      </c>
      <c r="BY21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1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10" s="18">
        <f>DAY(Terminales[[#This Row],[FECHA_FACTURA]])</f>
        <v>11</v>
      </c>
      <c r="CB210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210" s="65">
        <f>IFERROR(IF(AND(Terminales[[#This Row],[CANTIDAD]] = 1,Terminales[[#This Row],[MOVIMIENTO]] = "RENOVACION"),Terminales[[#This Row],[TARIFA_BASICA]]*0.5,),)</f>
        <v>0</v>
      </c>
      <c r="CD210" s="65">
        <f>IF('[1]Resumen TM'!$AW$20 &lt; 0.4,0,Terminales[[#This Row],[MONTO]]*0.02)</f>
        <v>4.1071428000000001</v>
      </c>
      <c r="CE210" s="66">
        <f>Terminales[[#This Row],[COMISIONES TERMINALES]]+Terminales[[#This Row],[COMISIONES RENOVACIONES]]+Terminales[[#This Row],[COMISIONES BONO]]</f>
        <v>24.642856799999997</v>
      </c>
      <c r="CF210" s="67">
        <f>(Terminales[[#This Row],[COMISIONES TERMINALES]]*VLOOKUP(Terminales[[#This Row],[LOCALES]],[1]!Calendario[#Data],3,0))/VLOOKUP(Terminales[[#This Row],[LOCALES]],[1]!Calendario[#Data],2,0)</f>
        <v>33.784561741935484</v>
      </c>
      <c r="CG210" s="67">
        <f>(Terminales[[#This Row],[COMISIONES RENOVACIONES]]*VLOOKUP(Terminales[[#This Row],[LOCALES]],[1]!Calendario[#Data],3,0))/VLOOKUP(Terminales[[#This Row],[LOCALES]],[1]!Calendario[#Data],2,0)</f>
        <v>0</v>
      </c>
      <c r="CH210" s="67">
        <f>(Terminales[[#This Row],[COMISIONES BONO]]*VLOOKUP(Terminales[[#This Row],[LOCALES]],[1]!Calendario[#Data],3,0))/VLOOKUP(Terminales[[#This Row],[LOCALES]],[1]!Calendario[#Data],2,0)</f>
        <v>6.7569123483870968</v>
      </c>
      <c r="CI210" s="67">
        <f>Terminales[[#This Row],[PROY. COM. TERMINALES]]+Terminales[[#This Row],[PROY. COM. RENOV.]]+Terminales[[#This Row],[PROY. COM. 2%]]</f>
        <v>40.541474090322581</v>
      </c>
    </row>
    <row r="211" spans="1:87" x14ac:dyDescent="0.25">
      <c r="A211" s="68">
        <v>44926</v>
      </c>
      <c r="B211" s="68">
        <v>44906</v>
      </c>
      <c r="C211" s="18" t="s">
        <v>291</v>
      </c>
      <c r="D211" s="18" t="s">
        <v>78</v>
      </c>
      <c r="E211" s="18" t="s">
        <v>1532</v>
      </c>
      <c r="F211" s="18" t="s">
        <v>9350</v>
      </c>
      <c r="G211" s="18" t="s">
        <v>292</v>
      </c>
      <c r="H211" s="18" t="s">
        <v>494</v>
      </c>
      <c r="I211" s="18" t="s">
        <v>9351</v>
      </c>
      <c r="J211" s="18" t="s">
        <v>95</v>
      </c>
      <c r="K211" s="18" t="s">
        <v>7970</v>
      </c>
      <c r="L211" s="18" t="s">
        <v>9352</v>
      </c>
      <c r="M211" s="18" t="s">
        <v>9353</v>
      </c>
      <c r="N211" s="18" t="s">
        <v>9354</v>
      </c>
      <c r="O211" s="18" t="s">
        <v>9355</v>
      </c>
      <c r="P211" s="18" t="s">
        <v>9356</v>
      </c>
      <c r="Q211" s="18" t="s">
        <v>7975</v>
      </c>
      <c r="R211" s="18" t="s">
        <v>7976</v>
      </c>
      <c r="S211" s="18" t="s">
        <v>7977</v>
      </c>
      <c r="T211" s="18" t="s">
        <v>8035</v>
      </c>
      <c r="U211" s="18" t="s">
        <v>7996</v>
      </c>
      <c r="V211" s="18" t="s">
        <v>6963</v>
      </c>
      <c r="W211" s="18" t="s">
        <v>95</v>
      </c>
      <c r="X211" s="18" t="s">
        <v>95</v>
      </c>
      <c r="Y211" s="18" t="s">
        <v>7980</v>
      </c>
      <c r="Z211" s="18" t="s">
        <v>6996</v>
      </c>
      <c r="AA211" s="69">
        <v>1</v>
      </c>
      <c r="AB211" s="18">
        <v>165.17857000000001</v>
      </c>
      <c r="AC211" s="18" t="s">
        <v>9357</v>
      </c>
      <c r="AD211" s="18" t="s">
        <v>7982</v>
      </c>
      <c r="AE211" s="18">
        <v>147</v>
      </c>
      <c r="AF211" s="18" t="s">
        <v>7983</v>
      </c>
      <c r="AG211" s="18">
        <v>147</v>
      </c>
      <c r="AH211" s="18" t="s">
        <v>95</v>
      </c>
      <c r="AI211" s="18" t="s">
        <v>7281</v>
      </c>
      <c r="AJ211" s="18" t="s">
        <v>7282</v>
      </c>
      <c r="AK211" s="18">
        <v>17.03</v>
      </c>
      <c r="AL211" s="18" t="s">
        <v>95</v>
      </c>
      <c r="AM211" s="18" t="s">
        <v>95</v>
      </c>
      <c r="AN211" s="18" t="s">
        <v>7984</v>
      </c>
      <c r="AO211" s="18" t="s">
        <v>139</v>
      </c>
      <c r="AP211" s="20" t="s">
        <v>457</v>
      </c>
      <c r="AQ211" s="18" t="s">
        <v>458</v>
      </c>
      <c r="AR211" s="18" t="s">
        <v>496</v>
      </c>
      <c r="AS211" s="18">
        <v>1</v>
      </c>
      <c r="AT211" s="18" t="s">
        <v>177</v>
      </c>
      <c r="AU211" s="18" t="s">
        <v>90</v>
      </c>
      <c r="AV211" s="18" t="s">
        <v>9358</v>
      </c>
      <c r="AW211" s="18" t="s">
        <v>9359</v>
      </c>
      <c r="AX211" s="18" t="s">
        <v>83</v>
      </c>
      <c r="AY211" s="18" t="s">
        <v>95</v>
      </c>
      <c r="AZ211" s="18" t="s">
        <v>95</v>
      </c>
      <c r="BA211" s="18" t="s">
        <v>95</v>
      </c>
      <c r="BB211" s="18" t="s">
        <v>95</v>
      </c>
      <c r="BC211" s="18" t="s">
        <v>118</v>
      </c>
      <c r="BD211" s="18" t="s">
        <v>95</v>
      </c>
      <c r="BE211" s="18" t="s">
        <v>95</v>
      </c>
      <c r="BF211" s="18" t="s">
        <v>95</v>
      </c>
      <c r="BG211" s="18" t="s">
        <v>95</v>
      </c>
      <c r="BH211" s="18" t="s">
        <v>95</v>
      </c>
      <c r="BI211" s="18">
        <v>12</v>
      </c>
      <c r="BJ211" s="18">
        <v>2022</v>
      </c>
      <c r="BK211" s="18" t="s">
        <v>95</v>
      </c>
      <c r="BL211" s="18" t="s">
        <v>95</v>
      </c>
      <c r="BM211" s="18" t="s">
        <v>95</v>
      </c>
      <c r="BN211" s="18" t="s">
        <v>85</v>
      </c>
      <c r="BO211" s="18" t="s">
        <v>86</v>
      </c>
      <c r="BP211" s="18" t="s">
        <v>90</v>
      </c>
      <c r="BQ211" s="18" t="s">
        <v>8002</v>
      </c>
      <c r="BR211" s="18" t="s">
        <v>139</v>
      </c>
      <c r="BS211" s="18" t="s">
        <v>8074</v>
      </c>
      <c r="BT211" s="18" t="s">
        <v>7989</v>
      </c>
      <c r="BU211" s="18" t="s">
        <v>496</v>
      </c>
      <c r="BV211" s="18" t="str">
        <f>Terminales[[#This Row],[IMEI]]&amp;"SI"</f>
        <v>862800060811940SI</v>
      </c>
      <c r="BW211" s="18" t="str">
        <f>VLOOKUP(Terminales[[#This Row],[OFICINA_USUARIO]],[1]!Locales[#Data],3,0)</f>
        <v>TIENDA RECREO</v>
      </c>
      <c r="BX211" s="18" t="str">
        <f>VLOOKUP(Terminales[[#This Row],[USUARIO_FINAL]],'[1]Personal Ppto vs Real'!$A:$F,6,0)</f>
        <v>LOZADA REYES BERTHA MARIBEL</v>
      </c>
      <c r="BY21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1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11" s="18">
        <f>DAY(Terminales[[#This Row],[FECHA_FACTURA]])</f>
        <v>11</v>
      </c>
      <c r="CB211" s="65">
        <f>IF(Terminales[[#This Row],[CANTIDAD]] = 1,INDEX([1]!Comisiones[#Data],MATCH("Terminales",[1]!Comisiones[Producto],0),MATCH(Terminales[[#This Row],[TIPO ALTA COMISIONES]],[1]!Comisiones[#Headers],0))*Terminales[[#This Row],[MONTO]],0)</f>
        <v>16.517857000000003</v>
      </c>
      <c r="CC211" s="65">
        <f>IFERROR(IF(AND(Terminales[[#This Row],[CANTIDAD]] = 1,Terminales[[#This Row],[MOVIMIENTO]] = "RENOVACION"),Terminales[[#This Row],[TARIFA_BASICA]]*0.5,),)</f>
        <v>8.5150000000000006</v>
      </c>
      <c r="CD211" s="65">
        <f>IF('[1]Resumen TM'!$AW$20 &lt; 0.4,0,Terminales[[#This Row],[MONTO]]*0.02)</f>
        <v>3.3035714</v>
      </c>
      <c r="CE211" s="66">
        <f>Terminales[[#This Row],[COMISIONES TERMINALES]]+Terminales[[#This Row],[COMISIONES RENOVACIONES]]+Terminales[[#This Row],[COMISIONES BONO]]</f>
        <v>28.336428400000003</v>
      </c>
      <c r="CF211" s="67">
        <f>(Terminales[[#This Row],[COMISIONES TERMINALES]]*VLOOKUP(Terminales[[#This Row],[LOCALES]],[1]!Calendario[#Data],3,0))/VLOOKUP(Terminales[[#This Row],[LOCALES]],[1]!Calendario[#Data],2,0)</f>
        <v>27.174538935483874</v>
      </c>
      <c r="CG211" s="67">
        <f>(Terminales[[#This Row],[COMISIONES RENOVACIONES]]*VLOOKUP(Terminales[[#This Row],[LOCALES]],[1]!Calendario[#Data],3,0))/VLOOKUP(Terminales[[#This Row],[LOCALES]],[1]!Calendario[#Data],2,0)</f>
        <v>14.008548387096775</v>
      </c>
      <c r="CH211" s="67">
        <f>(Terminales[[#This Row],[COMISIONES BONO]]*VLOOKUP(Terminales[[#This Row],[LOCALES]],[1]!Calendario[#Data],3,0))/VLOOKUP(Terminales[[#This Row],[LOCALES]],[1]!Calendario[#Data],2,0)</f>
        <v>5.4349077870967735</v>
      </c>
      <c r="CI211" s="67">
        <f>Terminales[[#This Row],[PROY. COM. TERMINALES]]+Terminales[[#This Row],[PROY. COM. RENOV.]]+Terminales[[#This Row],[PROY. COM. 2%]]</f>
        <v>46.617995109677423</v>
      </c>
    </row>
    <row r="212" spans="1:87" x14ac:dyDescent="0.25">
      <c r="A212" s="68">
        <v>44926</v>
      </c>
      <c r="B212" s="68">
        <v>44906</v>
      </c>
      <c r="C212" s="18" t="s">
        <v>291</v>
      </c>
      <c r="D212" s="18" t="s">
        <v>78</v>
      </c>
      <c r="E212" s="18" t="s">
        <v>311</v>
      </c>
      <c r="F212" s="18" t="s">
        <v>9360</v>
      </c>
      <c r="G212" s="18" t="s">
        <v>292</v>
      </c>
      <c r="H212" s="18" t="s">
        <v>293</v>
      </c>
      <c r="I212" s="18" t="s">
        <v>9361</v>
      </c>
      <c r="J212" s="18" t="s">
        <v>95</v>
      </c>
      <c r="K212" s="18" t="s">
        <v>7970</v>
      </c>
      <c r="L212" s="18" t="s">
        <v>9362</v>
      </c>
      <c r="M212" s="18" t="s">
        <v>9363</v>
      </c>
      <c r="N212" s="18" t="s">
        <v>9364</v>
      </c>
      <c r="O212" s="18" t="s">
        <v>4907</v>
      </c>
      <c r="P212" s="18" t="s">
        <v>9365</v>
      </c>
      <c r="Q212" s="18" t="s">
        <v>7975</v>
      </c>
      <c r="R212" s="18" t="s">
        <v>7976</v>
      </c>
      <c r="S212" s="18" t="s">
        <v>8045</v>
      </c>
      <c r="T212" s="18" t="s">
        <v>8099</v>
      </c>
      <c r="U212" s="18" t="s">
        <v>8100</v>
      </c>
      <c r="V212" s="18" t="s">
        <v>6963</v>
      </c>
      <c r="W212" s="18" t="s">
        <v>95</v>
      </c>
      <c r="X212" s="18" t="s">
        <v>95</v>
      </c>
      <c r="Y212" s="18" t="s">
        <v>7980</v>
      </c>
      <c r="Z212" s="18" t="s">
        <v>6996</v>
      </c>
      <c r="AA212" s="69">
        <v>1</v>
      </c>
      <c r="AB212" s="18">
        <v>553.57142999999996</v>
      </c>
      <c r="AC212" s="18" t="s">
        <v>9366</v>
      </c>
      <c r="AD212" s="18" t="s">
        <v>7982</v>
      </c>
      <c r="AE212" s="18">
        <v>397</v>
      </c>
      <c r="AF212" s="18" t="s">
        <v>7983</v>
      </c>
      <c r="AG212" s="18">
        <v>397</v>
      </c>
      <c r="AH212" s="18" t="s">
        <v>95</v>
      </c>
      <c r="AI212" s="18" t="s">
        <v>7067</v>
      </c>
      <c r="AJ212" s="18" t="s">
        <v>7068</v>
      </c>
      <c r="AK212" s="18">
        <v>51.78</v>
      </c>
      <c r="AL212" s="18" t="s">
        <v>95</v>
      </c>
      <c r="AM212" s="18" t="s">
        <v>95</v>
      </c>
      <c r="AN212" s="18" t="s">
        <v>7984</v>
      </c>
      <c r="AO212" s="18" t="s">
        <v>139</v>
      </c>
      <c r="AP212" s="20" t="s">
        <v>280</v>
      </c>
      <c r="AQ212" s="18" t="s">
        <v>281</v>
      </c>
      <c r="AR212" s="18" t="s">
        <v>295</v>
      </c>
      <c r="AS212" s="18">
        <v>6</v>
      </c>
      <c r="AT212" s="18" t="s">
        <v>235</v>
      </c>
      <c r="AU212" s="18" t="s">
        <v>90</v>
      </c>
      <c r="AV212" s="18" t="s">
        <v>8660</v>
      </c>
      <c r="AW212" s="18" t="s">
        <v>8661</v>
      </c>
      <c r="AX212" s="18" t="s">
        <v>83</v>
      </c>
      <c r="AY212" s="18" t="s">
        <v>95</v>
      </c>
      <c r="AZ212" s="18" t="s">
        <v>95</v>
      </c>
      <c r="BA212" s="18" t="s">
        <v>95</v>
      </c>
      <c r="BB212" s="18" t="s">
        <v>95</v>
      </c>
      <c r="BC212" s="18" t="s">
        <v>84</v>
      </c>
      <c r="BD212" s="18">
        <v>111</v>
      </c>
      <c r="BE212" s="18" t="s">
        <v>95</v>
      </c>
      <c r="BF212" s="18" t="s">
        <v>95</v>
      </c>
      <c r="BG212" s="18" t="s">
        <v>95</v>
      </c>
      <c r="BH212" s="18" t="s">
        <v>95</v>
      </c>
      <c r="BI212" s="18">
        <v>12</v>
      </c>
      <c r="BJ212" s="18">
        <v>2022</v>
      </c>
      <c r="BK212" s="18" t="s">
        <v>95</v>
      </c>
      <c r="BL212" s="18" t="s">
        <v>95</v>
      </c>
      <c r="BM212" s="18" t="s">
        <v>95</v>
      </c>
      <c r="BN212" s="18" t="s">
        <v>85</v>
      </c>
      <c r="BO212" s="18" t="s">
        <v>86</v>
      </c>
      <c r="BP212" s="18" t="s">
        <v>90</v>
      </c>
      <c r="BQ212" s="18" t="s">
        <v>8016</v>
      </c>
      <c r="BR212" s="18" t="s">
        <v>139</v>
      </c>
      <c r="BS212" s="18" t="s">
        <v>8027</v>
      </c>
      <c r="BT212" s="18" t="s">
        <v>7989</v>
      </c>
      <c r="BU212" s="18" t="s">
        <v>7990</v>
      </c>
      <c r="BV212" s="18" t="str">
        <f>Terminales[[#This Row],[IMEI]]&amp;"SI"</f>
        <v>353842194791537SI</v>
      </c>
      <c r="BW212" s="18" t="str">
        <f>VLOOKUP(Terminales[[#This Row],[OFICINA_USUARIO]],[1]!Locales[#Data],3,0)</f>
        <v>TIENDA CONDADO</v>
      </c>
      <c r="BX212" s="18" t="str">
        <f>VLOOKUP(Terminales[[#This Row],[USUARIO_FINAL]],'[1]Personal Ppto vs Real'!$A:$F,6,0)</f>
        <v>GUACHAMIN CAZA HUGO ADRIAN</v>
      </c>
      <c r="BY21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1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12" s="18">
        <f>DAY(Terminales[[#This Row],[FECHA_FACTURA]])</f>
        <v>11</v>
      </c>
      <c r="CB212" s="65">
        <f>IF(Terminales[[#This Row],[CANTIDAD]] = 1,INDEX([1]!Comisiones[#Data],MATCH("Terminales",[1]!Comisiones[Producto],0),MATCH(Terminales[[#This Row],[TIPO ALTA COMISIONES]],[1]!Comisiones[#Headers],0))*Terminales[[#This Row],[MONTO]],0)</f>
        <v>44.285714399999996</v>
      </c>
      <c r="CC212" s="65">
        <f>IFERROR(IF(AND(Terminales[[#This Row],[CANTIDAD]] = 1,Terminales[[#This Row],[MOVIMIENTO]] = "RENOVACION"),Terminales[[#This Row],[TARIFA_BASICA]]*0.5,),)</f>
        <v>25.89</v>
      </c>
      <c r="CD212" s="65">
        <f>IF('[1]Resumen TM'!$AW$20 &lt; 0.4,0,Terminales[[#This Row],[MONTO]]*0.02)</f>
        <v>11.071428599999999</v>
      </c>
      <c r="CE212" s="66">
        <f>Terminales[[#This Row],[COMISIONES TERMINALES]]+Terminales[[#This Row],[COMISIONES RENOVACIONES]]+Terminales[[#This Row],[COMISIONES BONO]]</f>
        <v>81.247143000000008</v>
      </c>
      <c r="CF212" s="67">
        <f>(Terminales[[#This Row],[COMISIONES TERMINALES]]*VLOOKUP(Terminales[[#This Row],[LOCALES]],[1]!Calendario[#Data],3,0))/VLOOKUP(Terminales[[#This Row],[LOCALES]],[1]!Calendario[#Data],2,0)</f>
        <v>72.85714304516128</v>
      </c>
      <c r="CG212" s="67">
        <f>(Terminales[[#This Row],[COMISIONES RENOVACIONES]]*VLOOKUP(Terminales[[#This Row],[LOCALES]],[1]!Calendario[#Data],3,0))/VLOOKUP(Terminales[[#This Row],[LOCALES]],[1]!Calendario[#Data],2,0)</f>
        <v>42.593225806451613</v>
      </c>
      <c r="CH212" s="67">
        <f>(Terminales[[#This Row],[COMISIONES BONO]]*VLOOKUP(Terminales[[#This Row],[LOCALES]],[1]!Calendario[#Data],3,0))/VLOOKUP(Terminales[[#This Row],[LOCALES]],[1]!Calendario[#Data],2,0)</f>
        <v>18.21428576129032</v>
      </c>
      <c r="CI212" s="67">
        <f>Terminales[[#This Row],[PROY. COM. TERMINALES]]+Terminales[[#This Row],[PROY. COM. RENOV.]]+Terminales[[#This Row],[PROY. COM. 2%]]</f>
        <v>133.66465461290321</v>
      </c>
    </row>
    <row r="213" spans="1:87" x14ac:dyDescent="0.25">
      <c r="A213" s="68">
        <v>44926</v>
      </c>
      <c r="B213" s="68">
        <v>44906</v>
      </c>
      <c r="C213" s="18" t="s">
        <v>96</v>
      </c>
      <c r="D213" s="18" t="s">
        <v>96</v>
      </c>
      <c r="E213" s="18" t="s">
        <v>96</v>
      </c>
      <c r="F213" s="18" t="s">
        <v>9367</v>
      </c>
      <c r="G213" s="18" t="s">
        <v>292</v>
      </c>
      <c r="H213" s="18" t="s">
        <v>494</v>
      </c>
      <c r="I213" s="18" t="s">
        <v>9368</v>
      </c>
      <c r="J213" s="18" t="s">
        <v>95</v>
      </c>
      <c r="K213" s="18" t="s">
        <v>7970</v>
      </c>
      <c r="L213" s="18" t="s">
        <v>9369</v>
      </c>
      <c r="M213" s="18" t="s">
        <v>9370</v>
      </c>
      <c r="N213" s="18" t="s">
        <v>9371</v>
      </c>
      <c r="O213" s="18" t="s">
        <v>4907</v>
      </c>
      <c r="P213" s="18" t="s">
        <v>9372</v>
      </c>
      <c r="Q213" s="18" t="s">
        <v>7975</v>
      </c>
      <c r="R213" s="18" t="s">
        <v>7976</v>
      </c>
      <c r="S213" s="18" t="s">
        <v>8045</v>
      </c>
      <c r="T213" s="18" t="s">
        <v>8099</v>
      </c>
      <c r="U213" s="18" t="s">
        <v>8100</v>
      </c>
      <c r="V213" s="18" t="s">
        <v>6963</v>
      </c>
      <c r="W213" s="18" t="s">
        <v>95</v>
      </c>
      <c r="X213" s="18" t="s">
        <v>95</v>
      </c>
      <c r="Y213" s="18" t="s">
        <v>7980</v>
      </c>
      <c r="Z213" s="18" t="s">
        <v>6996</v>
      </c>
      <c r="AA213" s="69">
        <v>1</v>
      </c>
      <c r="AB213" s="18">
        <v>406.25</v>
      </c>
      <c r="AC213" s="18" t="s">
        <v>9373</v>
      </c>
      <c r="AD213" s="18" t="s">
        <v>7982</v>
      </c>
      <c r="AE213" s="18">
        <v>397</v>
      </c>
      <c r="AF213" s="18" t="s">
        <v>7983</v>
      </c>
      <c r="AG213" s="18">
        <v>397</v>
      </c>
      <c r="AH213" s="18" t="s">
        <v>95</v>
      </c>
      <c r="AI213" s="18" t="s">
        <v>8102</v>
      </c>
      <c r="AJ213" s="18" t="s">
        <v>8103</v>
      </c>
      <c r="AK213" s="18" t="s">
        <v>95</v>
      </c>
      <c r="AL213" s="18" t="s">
        <v>95</v>
      </c>
      <c r="AM213" s="18" t="s">
        <v>95</v>
      </c>
      <c r="AN213" s="18" t="s">
        <v>7984</v>
      </c>
      <c r="AO213" s="18" t="s">
        <v>139</v>
      </c>
      <c r="AP213" s="20" t="s">
        <v>251</v>
      </c>
      <c r="AQ213" s="18" t="s">
        <v>252</v>
      </c>
      <c r="AR213" s="18" t="s">
        <v>496</v>
      </c>
      <c r="AS213" s="18">
        <v>1</v>
      </c>
      <c r="AT213" s="18" t="s">
        <v>177</v>
      </c>
      <c r="AU213" s="18" t="s">
        <v>90</v>
      </c>
      <c r="AV213" s="18" t="s">
        <v>8660</v>
      </c>
      <c r="AW213" s="18" t="s">
        <v>8661</v>
      </c>
      <c r="AX213" s="18" t="s">
        <v>83</v>
      </c>
      <c r="AY213" s="18" t="s">
        <v>95</v>
      </c>
      <c r="AZ213" s="18" t="s">
        <v>95</v>
      </c>
      <c r="BA213" s="18" t="s">
        <v>95</v>
      </c>
      <c r="BB213" s="18" t="s">
        <v>95</v>
      </c>
      <c r="BC213" s="18" t="s">
        <v>118</v>
      </c>
      <c r="BD213" s="18" t="s">
        <v>95</v>
      </c>
      <c r="BE213" s="18" t="s">
        <v>8170</v>
      </c>
      <c r="BF213" s="18" t="s">
        <v>8064</v>
      </c>
      <c r="BG213" s="18" t="s">
        <v>95</v>
      </c>
      <c r="BH213" s="18" t="s">
        <v>95</v>
      </c>
      <c r="BI213" s="18">
        <v>12</v>
      </c>
      <c r="BJ213" s="18">
        <v>2022</v>
      </c>
      <c r="BK213" s="18" t="s">
        <v>95</v>
      </c>
      <c r="BL213" s="18" t="s">
        <v>95</v>
      </c>
      <c r="BM213" s="18" t="s">
        <v>95</v>
      </c>
      <c r="BN213" s="18" t="s">
        <v>85</v>
      </c>
      <c r="BO213" s="18" t="s">
        <v>86</v>
      </c>
      <c r="BP213" s="18" t="s">
        <v>90</v>
      </c>
      <c r="BQ213" s="18" t="s">
        <v>8002</v>
      </c>
      <c r="BR213" s="18" t="s">
        <v>139</v>
      </c>
      <c r="BS213" s="18" t="s">
        <v>8003</v>
      </c>
      <c r="BT213" s="18" t="s">
        <v>7989</v>
      </c>
      <c r="BU213" s="18" t="s">
        <v>496</v>
      </c>
      <c r="BV213" s="18" t="str">
        <f>Terminales[[#This Row],[IMEI]]&amp;"SI"</f>
        <v>353842194899090SI</v>
      </c>
      <c r="BW213" s="18" t="str">
        <f>VLOOKUP(Terminales[[#This Row],[OFICINA_USUARIO]],[1]!Locales[#Data],3,0)</f>
        <v>TIENDA RECREO</v>
      </c>
      <c r="BX213" s="18" t="str">
        <f>VLOOKUP(Terminales[[#This Row],[USUARIO_FINAL]],'[1]Personal Ppto vs Real'!$A:$F,6,0)</f>
        <v>CRUZ MONTUFAR KATHERINE ALEJANDRA</v>
      </c>
      <c r="BY21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1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13" s="18">
        <f>DAY(Terminales[[#This Row],[FECHA_FACTURA]])</f>
        <v>11</v>
      </c>
      <c r="CB213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213" s="65">
        <f>IFERROR(IF(AND(Terminales[[#This Row],[CANTIDAD]] = 1,Terminales[[#This Row],[MOVIMIENTO]] = "RENOVACION"),Terminales[[#This Row],[TARIFA_BASICA]]*0.5,),)</f>
        <v>0</v>
      </c>
      <c r="CD213" s="65">
        <f>IF('[1]Resumen TM'!$AW$20 &lt; 0.4,0,Terminales[[#This Row],[MONTO]]*0.02)</f>
        <v>8.125</v>
      </c>
      <c r="CE213" s="66">
        <f>Terminales[[#This Row],[COMISIONES TERMINALES]]+Terminales[[#This Row],[COMISIONES RENOVACIONES]]+Terminales[[#This Row],[COMISIONES BONO]]</f>
        <v>48.75</v>
      </c>
      <c r="CF213" s="67">
        <f>(Terminales[[#This Row],[COMISIONES TERMINALES]]*VLOOKUP(Terminales[[#This Row],[LOCALES]],[1]!Calendario[#Data],3,0))/VLOOKUP(Terminales[[#This Row],[LOCALES]],[1]!Calendario[#Data],2,0)</f>
        <v>66.834677419354833</v>
      </c>
      <c r="CG213" s="67">
        <f>(Terminales[[#This Row],[COMISIONES RENOVACIONES]]*VLOOKUP(Terminales[[#This Row],[LOCALES]],[1]!Calendario[#Data],3,0))/VLOOKUP(Terminales[[#This Row],[LOCALES]],[1]!Calendario[#Data],2,0)</f>
        <v>0</v>
      </c>
      <c r="CH213" s="67">
        <f>(Terminales[[#This Row],[COMISIONES BONO]]*VLOOKUP(Terminales[[#This Row],[LOCALES]],[1]!Calendario[#Data],3,0))/VLOOKUP(Terminales[[#This Row],[LOCALES]],[1]!Calendario[#Data],2,0)</f>
        <v>13.366935483870968</v>
      </c>
      <c r="CI213" s="67">
        <f>Terminales[[#This Row],[PROY. COM. TERMINALES]]+Terminales[[#This Row],[PROY. COM. RENOV.]]+Terminales[[#This Row],[PROY. COM. 2%]]</f>
        <v>80.201612903225794</v>
      </c>
    </row>
    <row r="214" spans="1:87" x14ac:dyDescent="0.25">
      <c r="A214" s="68">
        <v>44926</v>
      </c>
      <c r="B214" s="68">
        <v>44906</v>
      </c>
      <c r="C214" s="18" t="s">
        <v>291</v>
      </c>
      <c r="D214" s="18" t="s">
        <v>78</v>
      </c>
      <c r="E214" s="18" t="s">
        <v>164</v>
      </c>
      <c r="F214" s="18" t="s">
        <v>5031</v>
      </c>
      <c r="G214" s="18" t="s">
        <v>292</v>
      </c>
      <c r="H214" s="18" t="s">
        <v>293</v>
      </c>
      <c r="I214" s="18" t="s">
        <v>9374</v>
      </c>
      <c r="J214" s="18" t="s">
        <v>95</v>
      </c>
      <c r="K214" s="18" t="s">
        <v>7970</v>
      </c>
      <c r="L214" s="18" t="s">
        <v>5032</v>
      </c>
      <c r="M214" s="18" t="s">
        <v>5033</v>
      </c>
      <c r="N214" s="18" t="s">
        <v>5034</v>
      </c>
      <c r="O214" s="18" t="s">
        <v>354</v>
      </c>
      <c r="P214" s="18" t="s">
        <v>5035</v>
      </c>
      <c r="Q214" s="18" t="s">
        <v>7975</v>
      </c>
      <c r="R214" s="18" t="s">
        <v>7976</v>
      </c>
      <c r="S214" s="18" t="s">
        <v>8070</v>
      </c>
      <c r="T214" s="18" t="s">
        <v>8071</v>
      </c>
      <c r="U214" s="18" t="s">
        <v>8012</v>
      </c>
      <c r="V214" s="18" t="s">
        <v>6963</v>
      </c>
      <c r="W214" s="18" t="s">
        <v>95</v>
      </c>
      <c r="X214" s="18" t="s">
        <v>95</v>
      </c>
      <c r="Y214" s="18" t="s">
        <v>7980</v>
      </c>
      <c r="Z214" s="18" t="s">
        <v>6996</v>
      </c>
      <c r="AA214" s="69">
        <v>1</v>
      </c>
      <c r="AB214" s="18">
        <v>285.71429000000001</v>
      </c>
      <c r="AC214" s="18" t="s">
        <v>9375</v>
      </c>
      <c r="AD214" s="18" t="s">
        <v>8151</v>
      </c>
      <c r="AE214" s="18">
        <v>199.79</v>
      </c>
      <c r="AF214" s="18" t="s">
        <v>7983</v>
      </c>
      <c r="AG214" s="18">
        <v>199.79</v>
      </c>
      <c r="AH214" s="18" t="s">
        <v>95</v>
      </c>
      <c r="AI214" s="18" t="s">
        <v>160</v>
      </c>
      <c r="AJ214" s="18" t="s">
        <v>161</v>
      </c>
      <c r="AK214" s="18">
        <v>14.28</v>
      </c>
      <c r="AL214" s="18" t="s">
        <v>95</v>
      </c>
      <c r="AM214" s="18" t="s">
        <v>95</v>
      </c>
      <c r="AN214" s="18" t="s">
        <v>7984</v>
      </c>
      <c r="AO214" s="18" t="s">
        <v>139</v>
      </c>
      <c r="AP214" s="20" t="s">
        <v>271</v>
      </c>
      <c r="AQ214" s="18" t="s">
        <v>272</v>
      </c>
      <c r="AR214" s="18" t="s">
        <v>295</v>
      </c>
      <c r="AS214" s="18">
        <v>6</v>
      </c>
      <c r="AT214" s="18" t="s">
        <v>235</v>
      </c>
      <c r="AU214" s="18" t="s">
        <v>90</v>
      </c>
      <c r="AV214" s="18" t="s">
        <v>8072</v>
      </c>
      <c r="AW214" s="18" t="s">
        <v>8073</v>
      </c>
      <c r="AX214" s="18" t="s">
        <v>83</v>
      </c>
      <c r="AY214" s="18" t="s">
        <v>95</v>
      </c>
      <c r="AZ214" s="18" t="s">
        <v>95</v>
      </c>
      <c r="BA214" s="18" t="s">
        <v>95</v>
      </c>
      <c r="BB214" s="18" t="s">
        <v>95</v>
      </c>
      <c r="BC214" s="18" t="s">
        <v>84</v>
      </c>
      <c r="BD214" s="18">
        <v>57.14</v>
      </c>
      <c r="BE214" s="18" t="s">
        <v>95</v>
      </c>
      <c r="BF214" s="18" t="s">
        <v>95</v>
      </c>
      <c r="BG214" s="18" t="s">
        <v>95</v>
      </c>
      <c r="BH214" s="18" t="s">
        <v>95</v>
      </c>
      <c r="BI214" s="18">
        <v>12</v>
      </c>
      <c r="BJ214" s="18">
        <v>2022</v>
      </c>
      <c r="BK214" s="18" t="s">
        <v>95</v>
      </c>
      <c r="BL214" s="18" t="s">
        <v>95</v>
      </c>
      <c r="BM214" s="18" t="s">
        <v>95</v>
      </c>
      <c r="BN214" s="18" t="s">
        <v>85</v>
      </c>
      <c r="BO214" s="18" t="s">
        <v>86</v>
      </c>
      <c r="BP214" s="18" t="s">
        <v>90</v>
      </c>
      <c r="BQ214" s="18" t="s">
        <v>8016</v>
      </c>
      <c r="BR214" s="18" t="s">
        <v>139</v>
      </c>
      <c r="BS214" s="18" t="s">
        <v>8027</v>
      </c>
      <c r="BT214" s="18" t="s">
        <v>7989</v>
      </c>
      <c r="BU214" s="18" t="s">
        <v>7990</v>
      </c>
      <c r="BV214" s="18" t="str">
        <f>Terminales[[#This Row],[IMEI]]&amp;"SI"</f>
        <v>869113064474282SI</v>
      </c>
      <c r="BW214" s="18" t="str">
        <f>VLOOKUP(Terminales[[#This Row],[OFICINA_USUARIO]],[1]!Locales[#Data],3,0)</f>
        <v>TIENDA CONDADO</v>
      </c>
      <c r="BX214" s="18" t="str">
        <f>VLOOKUP(Terminales[[#This Row],[USUARIO_FINAL]],'[1]Personal Ppto vs Real'!$A:$F,6,0)</f>
        <v>CASTILLO AGUIRRE EDWIN MODESTO</v>
      </c>
      <c r="BY214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21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14" s="18">
        <f>DAY(Terminales[[#This Row],[FECHA_FACTURA]])</f>
        <v>11</v>
      </c>
      <c r="CB214" s="65">
        <f>IF(Terminales[[#This Row],[CANTIDAD]] = 1,INDEX([1]!Comisiones[#Data],MATCH("Terminales",[1]!Comisiones[Producto],0),MATCH(Terminales[[#This Row],[TIPO ALTA COMISIONES]],[1]!Comisiones[#Headers],0))*Terminales[[#This Row],[MONTO]],0)</f>
        <v>22.857143199999999</v>
      </c>
      <c r="CC214" s="65">
        <f>IFERROR(IF(AND(Terminales[[#This Row],[CANTIDAD]] = 1,Terminales[[#This Row],[MOVIMIENTO]] = "RENOVACION"),Terminales[[#This Row],[TARIFA_BASICA]]*0.5,),)</f>
        <v>0</v>
      </c>
      <c r="CD214" s="65">
        <f>IF('[1]Resumen TM'!$AW$20 &lt; 0.4,0,Terminales[[#This Row],[MONTO]]*0.02)</f>
        <v>5.7142857999999999</v>
      </c>
      <c r="CE214" s="66">
        <f>Terminales[[#This Row],[COMISIONES TERMINALES]]+Terminales[[#This Row],[COMISIONES RENOVACIONES]]+Terminales[[#This Row],[COMISIONES BONO]]</f>
        <v>28.571428999999998</v>
      </c>
      <c r="CF214" s="67">
        <f>(Terminales[[#This Row],[COMISIONES TERMINALES]]*VLOOKUP(Terminales[[#This Row],[LOCALES]],[1]!Calendario[#Data],3,0))/VLOOKUP(Terminales[[#This Row],[LOCALES]],[1]!Calendario[#Data],2,0)</f>
        <v>37.603687199999996</v>
      </c>
      <c r="CG214" s="67">
        <f>(Terminales[[#This Row],[COMISIONES RENOVACIONES]]*VLOOKUP(Terminales[[#This Row],[LOCALES]],[1]!Calendario[#Data],3,0))/VLOOKUP(Terminales[[#This Row],[LOCALES]],[1]!Calendario[#Data],2,0)</f>
        <v>0</v>
      </c>
      <c r="CH214" s="67">
        <f>(Terminales[[#This Row],[COMISIONES BONO]]*VLOOKUP(Terminales[[#This Row],[LOCALES]],[1]!Calendario[#Data],3,0))/VLOOKUP(Terminales[[#This Row],[LOCALES]],[1]!Calendario[#Data],2,0)</f>
        <v>9.400921799999999</v>
      </c>
      <c r="CI214" s="67">
        <f>Terminales[[#This Row],[PROY. COM. TERMINALES]]+Terminales[[#This Row],[PROY. COM. RENOV.]]+Terminales[[#This Row],[PROY. COM. 2%]]</f>
        <v>47.004608999999995</v>
      </c>
    </row>
    <row r="215" spans="1:87" x14ac:dyDescent="0.25">
      <c r="A215" s="68">
        <v>44926</v>
      </c>
      <c r="B215" s="68">
        <v>44906</v>
      </c>
      <c r="C215" s="18" t="s">
        <v>96</v>
      </c>
      <c r="D215" s="18" t="s">
        <v>96</v>
      </c>
      <c r="E215" s="18" t="s">
        <v>96</v>
      </c>
      <c r="F215" s="18" t="s">
        <v>9376</v>
      </c>
      <c r="G215" s="18" t="s">
        <v>292</v>
      </c>
      <c r="H215" s="18" t="s">
        <v>494</v>
      </c>
      <c r="I215" s="18" t="s">
        <v>9377</v>
      </c>
      <c r="J215" s="18" t="s">
        <v>95</v>
      </c>
      <c r="K215" s="18" t="s">
        <v>7970</v>
      </c>
      <c r="L215" s="18" t="s">
        <v>9378</v>
      </c>
      <c r="M215" s="18" t="s">
        <v>9379</v>
      </c>
      <c r="N215" s="18" t="s">
        <v>9380</v>
      </c>
      <c r="O215" s="18" t="s">
        <v>1691</v>
      </c>
      <c r="P215" s="18" t="s">
        <v>9381</v>
      </c>
      <c r="Q215" s="18" t="s">
        <v>7975</v>
      </c>
      <c r="R215" s="18" t="s">
        <v>7976</v>
      </c>
      <c r="S215" s="18" t="s">
        <v>8045</v>
      </c>
      <c r="T215" s="18" t="s">
        <v>8225</v>
      </c>
      <c r="U215" s="18" t="s">
        <v>8012</v>
      </c>
      <c r="V215" s="18" t="s">
        <v>6963</v>
      </c>
      <c r="W215" s="18" t="s">
        <v>95</v>
      </c>
      <c r="X215" s="18" t="s">
        <v>95</v>
      </c>
      <c r="Y215" s="18" t="s">
        <v>7980</v>
      </c>
      <c r="Z215" s="18" t="s">
        <v>6996</v>
      </c>
      <c r="AA215" s="69">
        <v>1</v>
      </c>
      <c r="AB215" s="18">
        <v>241.07142999999999</v>
      </c>
      <c r="AC215" s="18" t="s">
        <v>9382</v>
      </c>
      <c r="AD215" s="18" t="s">
        <v>96</v>
      </c>
      <c r="AE215" s="18">
        <v>232</v>
      </c>
      <c r="AF215" s="18" t="s">
        <v>7983</v>
      </c>
      <c r="AG215" s="18">
        <v>232</v>
      </c>
      <c r="AH215" s="18" t="s">
        <v>95</v>
      </c>
      <c r="AI215" s="18" t="s">
        <v>8102</v>
      </c>
      <c r="AJ215" s="18" t="s">
        <v>8103</v>
      </c>
      <c r="AK215" s="18" t="s">
        <v>95</v>
      </c>
      <c r="AL215" s="18" t="s">
        <v>95</v>
      </c>
      <c r="AM215" s="18" t="s">
        <v>95</v>
      </c>
      <c r="AN215" s="18" t="s">
        <v>7984</v>
      </c>
      <c r="AO215" s="18" t="s">
        <v>139</v>
      </c>
      <c r="AP215" s="20" t="s">
        <v>2103</v>
      </c>
      <c r="AQ215" s="18" t="s">
        <v>2104</v>
      </c>
      <c r="AR215" s="18" t="s">
        <v>496</v>
      </c>
      <c r="AS215" s="18">
        <v>1</v>
      </c>
      <c r="AT215" s="18" t="s">
        <v>177</v>
      </c>
      <c r="AU215" s="18" t="s">
        <v>90</v>
      </c>
      <c r="AV215" s="18" t="s">
        <v>8228</v>
      </c>
      <c r="AW215" s="18" t="s">
        <v>8229</v>
      </c>
      <c r="AX215" s="18" t="s">
        <v>83</v>
      </c>
      <c r="AY215" s="18" t="s">
        <v>95</v>
      </c>
      <c r="AZ215" s="18" t="s">
        <v>95</v>
      </c>
      <c r="BA215" s="18" t="s">
        <v>95</v>
      </c>
      <c r="BB215" s="18" t="s">
        <v>95</v>
      </c>
      <c r="BC215" s="18" t="s">
        <v>118</v>
      </c>
      <c r="BD215" s="18" t="s">
        <v>95</v>
      </c>
      <c r="BE215" s="18" t="s">
        <v>8606</v>
      </c>
      <c r="BF215" s="18" t="s">
        <v>8279</v>
      </c>
      <c r="BG215" s="18" t="s">
        <v>95</v>
      </c>
      <c r="BH215" s="18" t="s">
        <v>95</v>
      </c>
      <c r="BI215" s="18">
        <v>12</v>
      </c>
      <c r="BJ215" s="18">
        <v>2022</v>
      </c>
      <c r="BK215" s="18" t="s">
        <v>95</v>
      </c>
      <c r="BL215" s="18" t="s">
        <v>95</v>
      </c>
      <c r="BM215" s="18" t="s">
        <v>95</v>
      </c>
      <c r="BN215" s="18" t="s">
        <v>85</v>
      </c>
      <c r="BO215" s="18" t="s">
        <v>86</v>
      </c>
      <c r="BP215" s="18" t="s">
        <v>90</v>
      </c>
      <c r="BQ215" s="18" t="s">
        <v>8002</v>
      </c>
      <c r="BR215" s="18" t="s">
        <v>139</v>
      </c>
      <c r="BS215" s="18" t="s">
        <v>8003</v>
      </c>
      <c r="BT215" s="18" t="s">
        <v>7989</v>
      </c>
      <c r="BU215" s="18" t="s">
        <v>496</v>
      </c>
      <c r="BV215" s="18" t="str">
        <f>Terminales[[#This Row],[IMEI]]&amp;"SI"</f>
        <v>356795951220586SI</v>
      </c>
      <c r="BW215" s="18" t="str">
        <f>VLOOKUP(Terminales[[#This Row],[OFICINA_USUARIO]],[1]!Locales[#Data],3,0)</f>
        <v>TIENDA RECREO</v>
      </c>
      <c r="BX215" s="18" t="str">
        <f>VLOOKUP(Terminales[[#This Row],[USUARIO_FINAL]],'[1]Personal Ppto vs Real'!$A:$F,6,0)</f>
        <v>CORDOVA BRUCIL LUIS EDUARDO</v>
      </c>
      <c r="BY21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1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15" s="18">
        <f>DAY(Terminales[[#This Row],[FECHA_FACTURA]])</f>
        <v>11</v>
      </c>
      <c r="CB215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15" s="65">
        <f>IFERROR(IF(AND(Terminales[[#This Row],[CANTIDAD]] = 1,Terminales[[#This Row],[MOVIMIENTO]] = "RENOVACION"),Terminales[[#This Row],[TARIFA_BASICA]]*0.5,),)</f>
        <v>0</v>
      </c>
      <c r="CD215" s="65">
        <f>IF('[1]Resumen TM'!$AW$20 &lt; 0.4,0,Terminales[[#This Row],[MONTO]]*0.02)</f>
        <v>4.8214286</v>
      </c>
      <c r="CE215" s="66">
        <f>Terminales[[#This Row],[COMISIONES TERMINALES]]+Terminales[[#This Row],[COMISIONES RENOVACIONES]]+Terminales[[#This Row],[COMISIONES BONO]]</f>
        <v>28.928571600000001</v>
      </c>
      <c r="CF215" s="67">
        <f>(Terminales[[#This Row],[COMISIONES TERMINALES]]*VLOOKUP(Terminales[[#This Row],[LOCALES]],[1]!Calendario[#Data],3,0))/VLOOKUP(Terminales[[#This Row],[LOCALES]],[1]!Calendario[#Data],2,0)</f>
        <v>39.660138483870966</v>
      </c>
      <c r="CG215" s="67">
        <f>(Terminales[[#This Row],[COMISIONES RENOVACIONES]]*VLOOKUP(Terminales[[#This Row],[LOCALES]],[1]!Calendario[#Data],3,0))/VLOOKUP(Terminales[[#This Row],[LOCALES]],[1]!Calendario[#Data],2,0)</f>
        <v>0</v>
      </c>
      <c r="CH215" s="67">
        <f>(Terminales[[#This Row],[COMISIONES BONO]]*VLOOKUP(Terminales[[#This Row],[LOCALES]],[1]!Calendario[#Data],3,0))/VLOOKUP(Terminales[[#This Row],[LOCALES]],[1]!Calendario[#Data],2,0)</f>
        <v>7.9320276967741936</v>
      </c>
      <c r="CI215" s="67">
        <f>Terminales[[#This Row],[PROY. COM. TERMINALES]]+Terminales[[#This Row],[PROY. COM. RENOV.]]+Terminales[[#This Row],[PROY. COM. 2%]]</f>
        <v>47.592166180645158</v>
      </c>
    </row>
    <row r="216" spans="1:87" x14ac:dyDescent="0.25">
      <c r="A216" s="68">
        <v>44926</v>
      </c>
      <c r="B216" s="68">
        <v>44906</v>
      </c>
      <c r="C216" s="18" t="s">
        <v>96</v>
      </c>
      <c r="D216" s="18" t="s">
        <v>96</v>
      </c>
      <c r="E216" s="18" t="s">
        <v>96</v>
      </c>
      <c r="F216" s="18" t="s">
        <v>95</v>
      </c>
      <c r="G216" s="18" t="s">
        <v>292</v>
      </c>
      <c r="H216" s="18" t="s">
        <v>494</v>
      </c>
      <c r="I216" s="18" t="s">
        <v>9383</v>
      </c>
      <c r="J216" s="18" t="s">
        <v>95</v>
      </c>
      <c r="K216" s="18" t="s">
        <v>7970</v>
      </c>
      <c r="L216" s="18" t="s">
        <v>9384</v>
      </c>
      <c r="M216" s="18" t="s">
        <v>9385</v>
      </c>
      <c r="N216" s="18" t="s">
        <v>9386</v>
      </c>
      <c r="O216" s="18" t="s">
        <v>1691</v>
      </c>
      <c r="P216" s="18" t="s">
        <v>9387</v>
      </c>
      <c r="Q216" s="18" t="s">
        <v>7975</v>
      </c>
      <c r="R216" s="18" t="s">
        <v>7976</v>
      </c>
      <c r="S216" s="18" t="s">
        <v>8045</v>
      </c>
      <c r="T216" s="18" t="s">
        <v>8225</v>
      </c>
      <c r="U216" s="18" t="s">
        <v>8012</v>
      </c>
      <c r="V216" s="18" t="s">
        <v>6963</v>
      </c>
      <c r="W216" s="18" t="s">
        <v>95</v>
      </c>
      <c r="X216" s="18" t="s">
        <v>95</v>
      </c>
      <c r="Y216" s="18" t="s">
        <v>7980</v>
      </c>
      <c r="Z216" s="18" t="s">
        <v>6996</v>
      </c>
      <c r="AA216" s="69">
        <v>1</v>
      </c>
      <c r="AB216" s="18">
        <v>241.07142999999999</v>
      </c>
      <c r="AC216" s="18" t="s">
        <v>95</v>
      </c>
      <c r="AD216" s="18" t="s">
        <v>96</v>
      </c>
      <c r="AE216" s="18">
        <v>232</v>
      </c>
      <c r="AF216" s="18" t="s">
        <v>7983</v>
      </c>
      <c r="AG216" s="18">
        <v>232</v>
      </c>
      <c r="AH216" s="18" t="s">
        <v>95</v>
      </c>
      <c r="AI216" s="18" t="s">
        <v>95</v>
      </c>
      <c r="AJ216" s="18" t="s">
        <v>95</v>
      </c>
      <c r="AK216" s="18" t="s">
        <v>95</v>
      </c>
      <c r="AL216" s="18" t="s">
        <v>95</v>
      </c>
      <c r="AM216" s="18" t="s">
        <v>95</v>
      </c>
      <c r="AN216" s="18" t="s">
        <v>7984</v>
      </c>
      <c r="AO216" s="18" t="s">
        <v>139</v>
      </c>
      <c r="AP216" s="20" t="s">
        <v>740</v>
      </c>
      <c r="AQ216" s="18" t="s">
        <v>741</v>
      </c>
      <c r="AR216" s="18" t="s">
        <v>496</v>
      </c>
      <c r="AS216" s="18">
        <v>1</v>
      </c>
      <c r="AT216" s="18" t="s">
        <v>177</v>
      </c>
      <c r="AU216" s="18" t="s">
        <v>90</v>
      </c>
      <c r="AV216" s="18" t="s">
        <v>8228</v>
      </c>
      <c r="AW216" s="18" t="s">
        <v>8229</v>
      </c>
      <c r="AX216" s="18" t="s">
        <v>83</v>
      </c>
      <c r="AY216" s="18" t="s">
        <v>95</v>
      </c>
      <c r="AZ216" s="18" t="s">
        <v>95</v>
      </c>
      <c r="BA216" s="18" t="s">
        <v>95</v>
      </c>
      <c r="BB216" s="18" t="s">
        <v>95</v>
      </c>
      <c r="BC216" s="18" t="s">
        <v>95</v>
      </c>
      <c r="BD216" s="18" t="s">
        <v>95</v>
      </c>
      <c r="BE216" s="18" t="s">
        <v>8278</v>
      </c>
      <c r="BF216" s="18" t="s">
        <v>8279</v>
      </c>
      <c r="BG216" s="18" t="s">
        <v>95</v>
      </c>
      <c r="BH216" s="18" t="s">
        <v>95</v>
      </c>
      <c r="BI216" s="18">
        <v>12</v>
      </c>
      <c r="BJ216" s="18">
        <v>2022</v>
      </c>
      <c r="BK216" s="18" t="s">
        <v>95</v>
      </c>
      <c r="BL216" s="18" t="s">
        <v>95</v>
      </c>
      <c r="BM216" s="18" t="s">
        <v>95</v>
      </c>
      <c r="BN216" s="18" t="s">
        <v>85</v>
      </c>
      <c r="BO216" s="18" t="s">
        <v>86</v>
      </c>
      <c r="BP216" s="18" t="s">
        <v>90</v>
      </c>
      <c r="BQ216" s="18" t="s">
        <v>8002</v>
      </c>
      <c r="BR216" s="18" t="s">
        <v>139</v>
      </c>
      <c r="BS216" s="18" t="s">
        <v>8003</v>
      </c>
      <c r="BT216" s="18" t="s">
        <v>7989</v>
      </c>
      <c r="BU216" s="18" t="s">
        <v>496</v>
      </c>
      <c r="BV216" s="18" t="str">
        <f>Terminales[[#This Row],[IMEI]]&amp;"SI"</f>
        <v>356795951373328SI</v>
      </c>
      <c r="BW216" s="18" t="str">
        <f>VLOOKUP(Terminales[[#This Row],[OFICINA_USUARIO]],[1]!Locales[#Data],3,0)</f>
        <v>TIENDA RECREO</v>
      </c>
      <c r="BX216" s="18" t="str">
        <f>VLOOKUP(Terminales[[#This Row],[USUARIO_FINAL]],'[1]Personal Ppto vs Real'!$A:$F,6,0)</f>
        <v>CHAVEZ VASQUEZ YESSENIA KATHERINE</v>
      </c>
      <c r="BY21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1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16" s="18">
        <f>DAY(Terminales[[#This Row],[FECHA_FACTURA]])</f>
        <v>11</v>
      </c>
      <c r="CB216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16" s="65">
        <f>IFERROR(IF(AND(Terminales[[#This Row],[CANTIDAD]] = 1,Terminales[[#This Row],[MOVIMIENTO]] = "RENOVACION"),Terminales[[#This Row],[TARIFA_BASICA]]*0.5,),)</f>
        <v>0</v>
      </c>
      <c r="CD216" s="65">
        <f>IF('[1]Resumen TM'!$AW$20 &lt; 0.4,0,Terminales[[#This Row],[MONTO]]*0.02)</f>
        <v>4.8214286</v>
      </c>
      <c r="CE216" s="66">
        <f>Terminales[[#This Row],[COMISIONES TERMINALES]]+Terminales[[#This Row],[COMISIONES RENOVACIONES]]+Terminales[[#This Row],[COMISIONES BONO]]</f>
        <v>28.928571600000001</v>
      </c>
      <c r="CF216" s="67">
        <f>(Terminales[[#This Row],[COMISIONES TERMINALES]]*VLOOKUP(Terminales[[#This Row],[LOCALES]],[1]!Calendario[#Data],3,0))/VLOOKUP(Terminales[[#This Row],[LOCALES]],[1]!Calendario[#Data],2,0)</f>
        <v>39.660138483870966</v>
      </c>
      <c r="CG216" s="67">
        <f>(Terminales[[#This Row],[COMISIONES RENOVACIONES]]*VLOOKUP(Terminales[[#This Row],[LOCALES]],[1]!Calendario[#Data],3,0))/VLOOKUP(Terminales[[#This Row],[LOCALES]],[1]!Calendario[#Data],2,0)</f>
        <v>0</v>
      </c>
      <c r="CH216" s="67">
        <f>(Terminales[[#This Row],[COMISIONES BONO]]*VLOOKUP(Terminales[[#This Row],[LOCALES]],[1]!Calendario[#Data],3,0))/VLOOKUP(Terminales[[#This Row],[LOCALES]],[1]!Calendario[#Data],2,0)</f>
        <v>7.9320276967741936</v>
      </c>
      <c r="CI216" s="67">
        <f>Terminales[[#This Row],[PROY. COM. TERMINALES]]+Terminales[[#This Row],[PROY. COM. RENOV.]]+Terminales[[#This Row],[PROY. COM. 2%]]</f>
        <v>47.592166180645158</v>
      </c>
    </row>
    <row r="217" spans="1:87" x14ac:dyDescent="0.25">
      <c r="A217" s="68">
        <v>44926</v>
      </c>
      <c r="B217" s="68">
        <v>44906</v>
      </c>
      <c r="C217" s="18" t="s">
        <v>96</v>
      </c>
      <c r="D217" s="18" t="s">
        <v>96</v>
      </c>
      <c r="E217" s="18" t="s">
        <v>96</v>
      </c>
      <c r="F217" s="18" t="s">
        <v>9388</v>
      </c>
      <c r="G217" s="18" t="s">
        <v>292</v>
      </c>
      <c r="H217" s="18" t="s">
        <v>494</v>
      </c>
      <c r="I217" s="18" t="s">
        <v>9389</v>
      </c>
      <c r="J217" s="18" t="s">
        <v>95</v>
      </c>
      <c r="K217" s="18" t="s">
        <v>7970</v>
      </c>
      <c r="L217" s="18" t="s">
        <v>9390</v>
      </c>
      <c r="M217" s="18" t="s">
        <v>1107</v>
      </c>
      <c r="N217" s="18" t="s">
        <v>1108</v>
      </c>
      <c r="O217" s="18" t="s">
        <v>543</v>
      </c>
      <c r="P217" s="18" t="s">
        <v>9391</v>
      </c>
      <c r="Q217" s="18" t="s">
        <v>7975</v>
      </c>
      <c r="R217" s="18" t="s">
        <v>7976</v>
      </c>
      <c r="S217" s="18" t="s">
        <v>7994</v>
      </c>
      <c r="T217" s="18" t="s">
        <v>8245</v>
      </c>
      <c r="U217" s="18" t="s">
        <v>8012</v>
      </c>
      <c r="V217" s="18" t="s">
        <v>6963</v>
      </c>
      <c r="W217" s="18" t="s">
        <v>95</v>
      </c>
      <c r="X217" s="18" t="s">
        <v>95</v>
      </c>
      <c r="Y217" s="18" t="s">
        <v>7980</v>
      </c>
      <c r="Z217" s="18" t="s">
        <v>6996</v>
      </c>
      <c r="AA217" s="69">
        <v>1</v>
      </c>
      <c r="AB217" s="18">
        <v>156.25</v>
      </c>
      <c r="AC217" s="18" t="s">
        <v>9392</v>
      </c>
      <c r="AD217" s="18" t="s">
        <v>7982</v>
      </c>
      <c r="AE217" s="18">
        <v>156</v>
      </c>
      <c r="AF217" s="18" t="s">
        <v>7983</v>
      </c>
      <c r="AG217" s="18">
        <v>156</v>
      </c>
      <c r="AH217" s="18" t="s">
        <v>95</v>
      </c>
      <c r="AI217" s="18" t="s">
        <v>8102</v>
      </c>
      <c r="AJ217" s="18" t="s">
        <v>8103</v>
      </c>
      <c r="AK217" s="18" t="s">
        <v>95</v>
      </c>
      <c r="AL217" s="18" t="s">
        <v>95</v>
      </c>
      <c r="AM217" s="18" t="s">
        <v>95</v>
      </c>
      <c r="AN217" s="18" t="s">
        <v>7984</v>
      </c>
      <c r="AO217" s="18" t="s">
        <v>139</v>
      </c>
      <c r="AP217" s="20" t="s">
        <v>303</v>
      </c>
      <c r="AQ217" s="18" t="s">
        <v>304</v>
      </c>
      <c r="AR217" s="18" t="s">
        <v>496</v>
      </c>
      <c r="AS217" s="18">
        <v>1</v>
      </c>
      <c r="AT217" s="18" t="s">
        <v>177</v>
      </c>
      <c r="AU217" s="18" t="s">
        <v>90</v>
      </c>
      <c r="AV217" s="18" t="s">
        <v>8247</v>
      </c>
      <c r="AW217" s="18" t="s">
        <v>8248</v>
      </c>
      <c r="AX217" s="18" t="s">
        <v>83</v>
      </c>
      <c r="AY217" s="18" t="s">
        <v>95</v>
      </c>
      <c r="AZ217" s="18" t="s">
        <v>95</v>
      </c>
      <c r="BA217" s="18" t="s">
        <v>95</v>
      </c>
      <c r="BB217" s="18" t="s">
        <v>95</v>
      </c>
      <c r="BC217" s="18" t="s">
        <v>118</v>
      </c>
      <c r="BD217" s="18" t="s">
        <v>95</v>
      </c>
      <c r="BE217" s="18" t="s">
        <v>8000</v>
      </c>
      <c r="BF217" s="18" t="s">
        <v>8064</v>
      </c>
      <c r="BG217" s="18" t="s">
        <v>95</v>
      </c>
      <c r="BH217" s="18" t="s">
        <v>95</v>
      </c>
      <c r="BI217" s="18">
        <v>12</v>
      </c>
      <c r="BJ217" s="18">
        <v>2022</v>
      </c>
      <c r="BK217" s="18" t="s">
        <v>95</v>
      </c>
      <c r="BL217" s="18" t="s">
        <v>95</v>
      </c>
      <c r="BM217" s="18" t="s">
        <v>95</v>
      </c>
      <c r="BN217" s="18" t="s">
        <v>85</v>
      </c>
      <c r="BO217" s="18" t="s">
        <v>86</v>
      </c>
      <c r="BP217" s="18" t="s">
        <v>90</v>
      </c>
      <c r="BQ217" s="18" t="s">
        <v>8002</v>
      </c>
      <c r="BR217" s="18" t="s">
        <v>139</v>
      </c>
      <c r="BS217" s="18" t="s">
        <v>8003</v>
      </c>
      <c r="BT217" s="18" t="s">
        <v>7989</v>
      </c>
      <c r="BU217" s="18" t="s">
        <v>496</v>
      </c>
      <c r="BV217" s="18" t="str">
        <f>Terminales[[#This Row],[IMEI]]&amp;"SI"</f>
        <v>355108340315961SI</v>
      </c>
      <c r="BW217" s="18" t="str">
        <f>VLOOKUP(Terminales[[#This Row],[OFICINA_USUARIO]],[1]!Locales[#Data],3,0)</f>
        <v>TIENDA RECREO</v>
      </c>
      <c r="BX217" s="18" t="str">
        <f>VLOOKUP(Terminales[[#This Row],[USUARIO_FINAL]],'[1]Personal Ppto vs Real'!$A:$F,6,0)</f>
        <v>CORDOVA GAIBOR JONATHAN HERNAN</v>
      </c>
      <c r="BY21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1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17" s="18">
        <f>DAY(Terminales[[#This Row],[FECHA_FACTURA]])</f>
        <v>11</v>
      </c>
      <c r="CB217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17" s="65">
        <f>IFERROR(IF(AND(Terminales[[#This Row],[CANTIDAD]] = 1,Terminales[[#This Row],[MOVIMIENTO]] = "RENOVACION"),Terminales[[#This Row],[TARIFA_BASICA]]*0.5,),)</f>
        <v>0</v>
      </c>
      <c r="CD217" s="65">
        <f>IF('[1]Resumen TM'!$AW$20 &lt; 0.4,0,Terminales[[#This Row],[MONTO]]*0.02)</f>
        <v>3.125</v>
      </c>
      <c r="CE217" s="66">
        <f>Terminales[[#This Row],[COMISIONES TERMINALES]]+Terminales[[#This Row],[COMISIONES RENOVACIONES]]+Terminales[[#This Row],[COMISIONES BONO]]</f>
        <v>18.75</v>
      </c>
      <c r="CF217" s="67">
        <f>(Terminales[[#This Row],[COMISIONES TERMINALES]]*VLOOKUP(Terminales[[#This Row],[LOCALES]],[1]!Calendario[#Data],3,0))/VLOOKUP(Terminales[[#This Row],[LOCALES]],[1]!Calendario[#Data],2,0)</f>
        <v>25.705645161290324</v>
      </c>
      <c r="CG217" s="67">
        <f>(Terminales[[#This Row],[COMISIONES RENOVACIONES]]*VLOOKUP(Terminales[[#This Row],[LOCALES]],[1]!Calendario[#Data],3,0))/VLOOKUP(Terminales[[#This Row],[LOCALES]],[1]!Calendario[#Data],2,0)</f>
        <v>0</v>
      </c>
      <c r="CH217" s="67">
        <f>(Terminales[[#This Row],[COMISIONES BONO]]*VLOOKUP(Terminales[[#This Row],[LOCALES]],[1]!Calendario[#Data],3,0))/VLOOKUP(Terminales[[#This Row],[LOCALES]],[1]!Calendario[#Data],2,0)</f>
        <v>5.1411290322580649</v>
      </c>
      <c r="CI217" s="67">
        <f>Terminales[[#This Row],[PROY. COM. TERMINALES]]+Terminales[[#This Row],[PROY. COM. RENOV.]]+Terminales[[#This Row],[PROY. COM. 2%]]</f>
        <v>30.846774193548388</v>
      </c>
    </row>
    <row r="218" spans="1:87" x14ac:dyDescent="0.25">
      <c r="A218" s="68">
        <v>44926</v>
      </c>
      <c r="B218" s="68">
        <v>44906</v>
      </c>
      <c r="C218" s="18" t="s">
        <v>291</v>
      </c>
      <c r="D218" s="18" t="s">
        <v>78</v>
      </c>
      <c r="E218" s="18" t="s">
        <v>311</v>
      </c>
      <c r="F218" s="18" t="s">
        <v>9393</v>
      </c>
      <c r="G218" s="18" t="s">
        <v>292</v>
      </c>
      <c r="H218" s="18" t="s">
        <v>293</v>
      </c>
      <c r="I218" s="18" t="s">
        <v>9394</v>
      </c>
      <c r="J218" s="18" t="s">
        <v>95</v>
      </c>
      <c r="K218" s="18" t="s">
        <v>7970</v>
      </c>
      <c r="L218" s="18" t="s">
        <v>9395</v>
      </c>
      <c r="M218" s="18" t="s">
        <v>9396</v>
      </c>
      <c r="N218" s="18" t="s">
        <v>9397</v>
      </c>
      <c r="O218" s="18" t="s">
        <v>543</v>
      </c>
      <c r="P218" s="18" t="s">
        <v>9398</v>
      </c>
      <c r="Q218" s="18" t="s">
        <v>7975</v>
      </c>
      <c r="R218" s="18" t="s">
        <v>7976</v>
      </c>
      <c r="S218" s="18" t="s">
        <v>7994</v>
      </c>
      <c r="T218" s="18" t="s">
        <v>8245</v>
      </c>
      <c r="U218" s="18" t="s">
        <v>8012</v>
      </c>
      <c r="V218" s="18" t="s">
        <v>6963</v>
      </c>
      <c r="W218" s="18" t="s">
        <v>95</v>
      </c>
      <c r="X218" s="18" t="s">
        <v>95</v>
      </c>
      <c r="Y218" s="18" t="s">
        <v>7980</v>
      </c>
      <c r="Z218" s="18" t="s">
        <v>6996</v>
      </c>
      <c r="AA218" s="69">
        <v>1</v>
      </c>
      <c r="AB218" s="18">
        <v>205.35713999999999</v>
      </c>
      <c r="AC218" s="18" t="s">
        <v>9399</v>
      </c>
      <c r="AD218" s="18" t="s">
        <v>7982</v>
      </c>
      <c r="AE218" s="18">
        <v>156</v>
      </c>
      <c r="AF218" s="18" t="s">
        <v>7983</v>
      </c>
      <c r="AG218" s="18">
        <v>156</v>
      </c>
      <c r="AH218" s="18" t="s">
        <v>95</v>
      </c>
      <c r="AI218" s="18" t="s">
        <v>7213</v>
      </c>
      <c r="AJ218" s="18" t="s">
        <v>7214</v>
      </c>
      <c r="AK218" s="18">
        <v>24.99</v>
      </c>
      <c r="AL218" s="18" t="s">
        <v>95</v>
      </c>
      <c r="AM218" s="18" t="s">
        <v>95</v>
      </c>
      <c r="AN218" s="18" t="s">
        <v>7984</v>
      </c>
      <c r="AO218" s="18" t="s">
        <v>139</v>
      </c>
      <c r="AP218" s="20" t="s">
        <v>271</v>
      </c>
      <c r="AQ218" s="18" t="s">
        <v>272</v>
      </c>
      <c r="AR218" s="18" t="s">
        <v>3771</v>
      </c>
      <c r="AS218" s="18">
        <v>6</v>
      </c>
      <c r="AT218" s="18" t="s">
        <v>235</v>
      </c>
      <c r="AU218" s="18" t="s">
        <v>90</v>
      </c>
      <c r="AV218" s="18" t="s">
        <v>8247</v>
      </c>
      <c r="AW218" s="18" t="s">
        <v>8248</v>
      </c>
      <c r="AX218" s="18" t="s">
        <v>83</v>
      </c>
      <c r="AY218" s="18" t="s">
        <v>95</v>
      </c>
      <c r="AZ218" s="18" t="s">
        <v>95</v>
      </c>
      <c r="BA218" s="18" t="s">
        <v>95</v>
      </c>
      <c r="BB218" s="18" t="s">
        <v>95</v>
      </c>
      <c r="BC218" s="18" t="s">
        <v>215</v>
      </c>
      <c r="BD218" s="18" t="s">
        <v>95</v>
      </c>
      <c r="BE218" s="18" t="s">
        <v>95</v>
      </c>
      <c r="BF218" s="18" t="s">
        <v>95</v>
      </c>
      <c r="BG218" s="18" t="s">
        <v>95</v>
      </c>
      <c r="BH218" s="18" t="s">
        <v>95</v>
      </c>
      <c r="BI218" s="18">
        <v>12</v>
      </c>
      <c r="BJ218" s="18">
        <v>2022</v>
      </c>
      <c r="BK218" s="18" t="s">
        <v>95</v>
      </c>
      <c r="BL218" s="18" t="s">
        <v>95</v>
      </c>
      <c r="BM218" s="18" t="s">
        <v>95</v>
      </c>
      <c r="BN218" s="18" t="s">
        <v>85</v>
      </c>
      <c r="BO218" s="18" t="s">
        <v>86</v>
      </c>
      <c r="BP218" s="18" t="s">
        <v>90</v>
      </c>
      <c r="BQ218" s="18" t="s">
        <v>8016</v>
      </c>
      <c r="BR218" s="18" t="s">
        <v>139</v>
      </c>
      <c r="BS218" s="18" t="s">
        <v>8027</v>
      </c>
      <c r="BT218" s="18" t="s">
        <v>7989</v>
      </c>
      <c r="BU218" s="18" t="s">
        <v>7990</v>
      </c>
      <c r="BV218" s="18" t="str">
        <f>Terminales[[#This Row],[IMEI]]&amp;"SI"</f>
        <v>355108340298969SI</v>
      </c>
      <c r="BW218" s="18" t="str">
        <f>VLOOKUP(Terminales[[#This Row],[OFICINA_USUARIO]],[1]!Locales[#Data],3,0)</f>
        <v>TIENDA CONDADO</v>
      </c>
      <c r="BX218" s="18" t="str">
        <f>VLOOKUP(Terminales[[#This Row],[USUARIO_FINAL]],'[1]Personal Ppto vs Real'!$A:$F,6,0)</f>
        <v>CASTILLO AGUIRRE EDWIN MODESTO</v>
      </c>
      <c r="BY21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1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18" s="18">
        <f>DAY(Terminales[[#This Row],[FECHA_FACTURA]])</f>
        <v>11</v>
      </c>
      <c r="CB218" s="65">
        <f>IF(Terminales[[#This Row],[CANTIDAD]] = 1,INDEX([1]!Comisiones[#Data],MATCH("Terminales",[1]!Comisiones[Producto],0),MATCH(Terminales[[#This Row],[TIPO ALTA COMISIONES]],[1]!Comisiones[#Headers],0))*Terminales[[#This Row],[MONTO]],0)</f>
        <v>16.4285712</v>
      </c>
      <c r="CC218" s="65">
        <f>IFERROR(IF(AND(Terminales[[#This Row],[CANTIDAD]] = 1,Terminales[[#This Row],[MOVIMIENTO]] = "RENOVACION"),Terminales[[#This Row],[TARIFA_BASICA]]*0.5,),)</f>
        <v>12.494999999999999</v>
      </c>
      <c r="CD218" s="65">
        <f>IF('[1]Resumen TM'!$AW$20 &lt; 0.4,0,Terminales[[#This Row],[MONTO]]*0.02)</f>
        <v>4.1071428000000001</v>
      </c>
      <c r="CE218" s="66">
        <f>Terminales[[#This Row],[COMISIONES TERMINALES]]+Terminales[[#This Row],[COMISIONES RENOVACIONES]]+Terminales[[#This Row],[COMISIONES BONO]]</f>
        <v>33.030713999999996</v>
      </c>
      <c r="CF218" s="67">
        <f>(Terminales[[#This Row],[COMISIONES TERMINALES]]*VLOOKUP(Terminales[[#This Row],[LOCALES]],[1]!Calendario[#Data],3,0))/VLOOKUP(Terminales[[#This Row],[LOCALES]],[1]!Calendario[#Data],2,0)</f>
        <v>27.027649393548387</v>
      </c>
      <c r="CG218" s="67">
        <f>(Terminales[[#This Row],[COMISIONES RENOVACIONES]]*VLOOKUP(Terminales[[#This Row],[LOCALES]],[1]!Calendario[#Data],3,0))/VLOOKUP(Terminales[[#This Row],[LOCALES]],[1]!Calendario[#Data],2,0)</f>
        <v>20.556290322580644</v>
      </c>
      <c r="CH218" s="67">
        <f>(Terminales[[#This Row],[COMISIONES BONO]]*VLOOKUP(Terminales[[#This Row],[LOCALES]],[1]!Calendario[#Data],3,0))/VLOOKUP(Terminales[[#This Row],[LOCALES]],[1]!Calendario[#Data],2,0)</f>
        <v>6.7569123483870968</v>
      </c>
      <c r="CI218" s="67">
        <f>Terminales[[#This Row],[PROY. COM. TERMINALES]]+Terminales[[#This Row],[PROY. COM. RENOV.]]+Terminales[[#This Row],[PROY. COM. 2%]]</f>
        <v>54.340852064516127</v>
      </c>
    </row>
    <row r="219" spans="1:87" x14ac:dyDescent="0.25">
      <c r="A219" s="68">
        <v>44926</v>
      </c>
      <c r="B219" s="68">
        <v>44906</v>
      </c>
      <c r="C219" s="18" t="s">
        <v>291</v>
      </c>
      <c r="D219" s="18" t="s">
        <v>78</v>
      </c>
      <c r="E219" s="18" t="s">
        <v>2241</v>
      </c>
      <c r="F219" s="18" t="s">
        <v>9400</v>
      </c>
      <c r="G219" s="18" t="s">
        <v>292</v>
      </c>
      <c r="H219" s="18" t="s">
        <v>494</v>
      </c>
      <c r="I219" s="18" t="s">
        <v>9401</v>
      </c>
      <c r="J219" s="18" t="s">
        <v>95</v>
      </c>
      <c r="K219" s="18" t="s">
        <v>7970</v>
      </c>
      <c r="L219" s="18" t="s">
        <v>9402</v>
      </c>
      <c r="M219" s="18" t="s">
        <v>9403</v>
      </c>
      <c r="N219" s="18" t="s">
        <v>9404</v>
      </c>
      <c r="O219" s="18" t="s">
        <v>354</v>
      </c>
      <c r="P219" s="18" t="s">
        <v>9405</v>
      </c>
      <c r="Q219" s="18" t="s">
        <v>7975</v>
      </c>
      <c r="R219" s="18" t="s">
        <v>7976</v>
      </c>
      <c r="S219" s="18" t="s">
        <v>8070</v>
      </c>
      <c r="T219" s="18" t="s">
        <v>8071</v>
      </c>
      <c r="U219" s="18" t="s">
        <v>8012</v>
      </c>
      <c r="V219" s="18" t="s">
        <v>6963</v>
      </c>
      <c r="W219" s="18" t="s">
        <v>95</v>
      </c>
      <c r="X219" s="18" t="s">
        <v>95</v>
      </c>
      <c r="Y219" s="18" t="s">
        <v>7980</v>
      </c>
      <c r="Z219" s="18" t="s">
        <v>6996</v>
      </c>
      <c r="AA219" s="69">
        <v>1</v>
      </c>
      <c r="AB219" s="18">
        <v>205.35713999999999</v>
      </c>
      <c r="AC219" s="18" t="s">
        <v>9406</v>
      </c>
      <c r="AD219" s="18" t="s">
        <v>7982</v>
      </c>
      <c r="AE219" s="18">
        <v>199.79</v>
      </c>
      <c r="AF219" s="18" t="s">
        <v>7983</v>
      </c>
      <c r="AG219" s="18">
        <v>199.79</v>
      </c>
      <c r="AH219" s="18" t="s">
        <v>95</v>
      </c>
      <c r="AI219" s="18" t="s">
        <v>160</v>
      </c>
      <c r="AJ219" s="18" t="s">
        <v>161</v>
      </c>
      <c r="AK219" s="18">
        <v>14.28</v>
      </c>
      <c r="AL219" s="18" t="s">
        <v>95</v>
      </c>
      <c r="AM219" s="18" t="s">
        <v>95</v>
      </c>
      <c r="AN219" s="18" t="s">
        <v>7984</v>
      </c>
      <c r="AO219" s="18" t="s">
        <v>139</v>
      </c>
      <c r="AP219" s="20" t="s">
        <v>251</v>
      </c>
      <c r="AQ219" s="18" t="s">
        <v>252</v>
      </c>
      <c r="AR219" s="18" t="s">
        <v>496</v>
      </c>
      <c r="AS219" s="18">
        <v>1</v>
      </c>
      <c r="AT219" s="18" t="s">
        <v>177</v>
      </c>
      <c r="AU219" s="18" t="s">
        <v>90</v>
      </c>
      <c r="AV219" s="18" t="s">
        <v>8072</v>
      </c>
      <c r="AW219" s="18" t="s">
        <v>8073</v>
      </c>
      <c r="AX219" s="18" t="s">
        <v>83</v>
      </c>
      <c r="AY219" s="18" t="s">
        <v>95</v>
      </c>
      <c r="AZ219" s="18" t="s">
        <v>95</v>
      </c>
      <c r="BA219" s="18" t="s">
        <v>95</v>
      </c>
      <c r="BB219" s="18" t="s">
        <v>95</v>
      </c>
      <c r="BC219" s="18" t="s">
        <v>118</v>
      </c>
      <c r="BD219" s="18" t="s">
        <v>95</v>
      </c>
      <c r="BE219" s="18" t="s">
        <v>8000</v>
      </c>
      <c r="BF219" s="18" t="s">
        <v>8064</v>
      </c>
      <c r="BG219" s="18" t="s">
        <v>95</v>
      </c>
      <c r="BH219" s="18" t="s">
        <v>95</v>
      </c>
      <c r="BI219" s="18">
        <v>12</v>
      </c>
      <c r="BJ219" s="18">
        <v>2022</v>
      </c>
      <c r="BK219" s="18" t="s">
        <v>95</v>
      </c>
      <c r="BL219" s="18" t="s">
        <v>95</v>
      </c>
      <c r="BM219" s="18" t="s">
        <v>95</v>
      </c>
      <c r="BN219" s="18" t="s">
        <v>85</v>
      </c>
      <c r="BO219" s="18" t="s">
        <v>86</v>
      </c>
      <c r="BP219" s="18" t="s">
        <v>90</v>
      </c>
      <c r="BQ219" s="18" t="s">
        <v>8002</v>
      </c>
      <c r="BR219" s="18" t="s">
        <v>139</v>
      </c>
      <c r="BS219" s="18" t="s">
        <v>8003</v>
      </c>
      <c r="BT219" s="18" t="s">
        <v>7989</v>
      </c>
      <c r="BU219" s="18" t="s">
        <v>496</v>
      </c>
      <c r="BV219" s="18" t="str">
        <f>Terminales[[#This Row],[IMEI]]&amp;"SI"</f>
        <v>869113065777584SI</v>
      </c>
      <c r="BW219" s="18" t="str">
        <f>VLOOKUP(Terminales[[#This Row],[OFICINA_USUARIO]],[1]!Locales[#Data],3,0)</f>
        <v>TIENDA RECREO</v>
      </c>
      <c r="BX219" s="18" t="str">
        <f>VLOOKUP(Terminales[[#This Row],[USUARIO_FINAL]],'[1]Personal Ppto vs Real'!$A:$F,6,0)</f>
        <v>CRUZ MONTUFAR KATHERINE ALEJANDRA</v>
      </c>
      <c r="BY21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1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19" s="18">
        <f>DAY(Terminales[[#This Row],[FECHA_FACTURA]])</f>
        <v>11</v>
      </c>
      <c r="CB219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219" s="65">
        <f>IFERROR(IF(AND(Terminales[[#This Row],[CANTIDAD]] = 1,Terminales[[#This Row],[MOVIMIENTO]] = "RENOVACION"),Terminales[[#This Row],[TARIFA_BASICA]]*0.5,),)</f>
        <v>7.14</v>
      </c>
      <c r="CD219" s="65">
        <f>IF('[1]Resumen TM'!$AW$20 &lt; 0.4,0,Terminales[[#This Row],[MONTO]]*0.02)</f>
        <v>4.1071428000000001</v>
      </c>
      <c r="CE219" s="66">
        <f>Terminales[[#This Row],[COMISIONES TERMINALES]]+Terminales[[#This Row],[COMISIONES RENOVACIONES]]+Terminales[[#This Row],[COMISIONES BONO]]</f>
        <v>31.782856799999998</v>
      </c>
      <c r="CF219" s="67">
        <f>(Terminales[[#This Row],[COMISIONES TERMINALES]]*VLOOKUP(Terminales[[#This Row],[LOCALES]],[1]!Calendario[#Data],3,0))/VLOOKUP(Terminales[[#This Row],[LOCALES]],[1]!Calendario[#Data],2,0)</f>
        <v>33.784561741935484</v>
      </c>
      <c r="CG219" s="67">
        <f>(Terminales[[#This Row],[COMISIONES RENOVACIONES]]*VLOOKUP(Terminales[[#This Row],[LOCALES]],[1]!Calendario[#Data],3,0))/VLOOKUP(Terminales[[#This Row],[LOCALES]],[1]!Calendario[#Data],2,0)</f>
        <v>11.746451612903225</v>
      </c>
      <c r="CH219" s="67">
        <f>(Terminales[[#This Row],[COMISIONES BONO]]*VLOOKUP(Terminales[[#This Row],[LOCALES]],[1]!Calendario[#Data],3,0))/VLOOKUP(Terminales[[#This Row],[LOCALES]],[1]!Calendario[#Data],2,0)</f>
        <v>6.7569123483870968</v>
      </c>
      <c r="CI219" s="67">
        <f>Terminales[[#This Row],[PROY. COM. TERMINALES]]+Terminales[[#This Row],[PROY. COM. RENOV.]]+Terminales[[#This Row],[PROY. COM. 2%]]</f>
        <v>52.287925703225802</v>
      </c>
    </row>
    <row r="220" spans="1:87" x14ac:dyDescent="0.25">
      <c r="A220" s="68">
        <v>44926</v>
      </c>
      <c r="B220" s="68">
        <v>44906</v>
      </c>
      <c r="C220" s="18" t="s">
        <v>96</v>
      </c>
      <c r="D220" s="18" t="s">
        <v>96</v>
      </c>
      <c r="E220" s="18" t="s">
        <v>96</v>
      </c>
      <c r="F220" s="18" t="s">
        <v>9407</v>
      </c>
      <c r="G220" s="18" t="s">
        <v>292</v>
      </c>
      <c r="H220" s="18" t="s">
        <v>494</v>
      </c>
      <c r="I220" s="18" t="s">
        <v>9408</v>
      </c>
      <c r="J220" s="18" t="s">
        <v>95</v>
      </c>
      <c r="K220" s="18" t="s">
        <v>7970</v>
      </c>
      <c r="L220" s="18" t="s">
        <v>9409</v>
      </c>
      <c r="M220" s="18" t="s">
        <v>9410</v>
      </c>
      <c r="N220" s="18" t="s">
        <v>9411</v>
      </c>
      <c r="O220" s="18" t="s">
        <v>8438</v>
      </c>
      <c r="P220" s="18" t="s">
        <v>9412</v>
      </c>
      <c r="Q220" s="18" t="s">
        <v>7975</v>
      </c>
      <c r="R220" s="18" t="s">
        <v>7976</v>
      </c>
      <c r="S220" s="18" t="s">
        <v>8070</v>
      </c>
      <c r="T220" s="18" t="s">
        <v>8364</v>
      </c>
      <c r="U220" s="18" t="s">
        <v>8012</v>
      </c>
      <c r="V220" s="18" t="s">
        <v>6963</v>
      </c>
      <c r="W220" s="18" t="s">
        <v>95</v>
      </c>
      <c r="X220" s="18" t="s">
        <v>95</v>
      </c>
      <c r="Y220" s="18" t="s">
        <v>7980</v>
      </c>
      <c r="Z220" s="18" t="s">
        <v>6996</v>
      </c>
      <c r="AA220" s="69">
        <v>1</v>
      </c>
      <c r="AB220" s="18">
        <v>281.25</v>
      </c>
      <c r="AC220" s="18" t="s">
        <v>9413</v>
      </c>
      <c r="AD220" s="18" t="s">
        <v>7982</v>
      </c>
      <c r="AE220" s="18">
        <v>259.99</v>
      </c>
      <c r="AF220" s="18" t="s">
        <v>7983</v>
      </c>
      <c r="AG220" s="18">
        <v>259.99</v>
      </c>
      <c r="AH220" s="18" t="s">
        <v>95</v>
      </c>
      <c r="AI220" s="18" t="s">
        <v>8102</v>
      </c>
      <c r="AJ220" s="18" t="s">
        <v>8103</v>
      </c>
      <c r="AK220" s="18" t="s">
        <v>95</v>
      </c>
      <c r="AL220" s="18" t="s">
        <v>95</v>
      </c>
      <c r="AM220" s="18" t="s">
        <v>95</v>
      </c>
      <c r="AN220" s="18" t="s">
        <v>7984</v>
      </c>
      <c r="AO220" s="18" t="s">
        <v>139</v>
      </c>
      <c r="AP220" s="20" t="s">
        <v>233</v>
      </c>
      <c r="AQ220" s="18" t="s">
        <v>234</v>
      </c>
      <c r="AR220" s="18" t="s">
        <v>496</v>
      </c>
      <c r="AS220" s="18">
        <v>1</v>
      </c>
      <c r="AT220" s="18" t="s">
        <v>235</v>
      </c>
      <c r="AU220" s="18" t="s">
        <v>90</v>
      </c>
      <c r="AV220" s="18" t="s">
        <v>8441</v>
      </c>
      <c r="AW220" s="18" t="s">
        <v>8442</v>
      </c>
      <c r="AX220" s="18" t="s">
        <v>83</v>
      </c>
      <c r="AY220" s="18" t="s">
        <v>95</v>
      </c>
      <c r="AZ220" s="18" t="s">
        <v>95</v>
      </c>
      <c r="BA220" s="18" t="s">
        <v>95</v>
      </c>
      <c r="BB220" s="18" t="s">
        <v>95</v>
      </c>
      <c r="BC220" s="18" t="s">
        <v>118</v>
      </c>
      <c r="BD220" s="18" t="s">
        <v>95</v>
      </c>
      <c r="BE220" s="18" t="s">
        <v>95</v>
      </c>
      <c r="BF220" s="18" t="s">
        <v>95</v>
      </c>
      <c r="BG220" s="18" t="s">
        <v>95</v>
      </c>
      <c r="BH220" s="18" t="s">
        <v>95</v>
      </c>
      <c r="BI220" s="18">
        <v>12</v>
      </c>
      <c r="BJ220" s="18">
        <v>2022</v>
      </c>
      <c r="BK220" s="18" t="s">
        <v>95</v>
      </c>
      <c r="BL220" s="18" t="s">
        <v>95</v>
      </c>
      <c r="BM220" s="18" t="s">
        <v>95</v>
      </c>
      <c r="BN220" s="18" t="s">
        <v>85</v>
      </c>
      <c r="BO220" s="18" t="s">
        <v>86</v>
      </c>
      <c r="BP220" s="18" t="s">
        <v>90</v>
      </c>
      <c r="BQ220" s="18" t="s">
        <v>8016</v>
      </c>
      <c r="BR220" s="18" t="s">
        <v>139</v>
      </c>
      <c r="BS220" s="18" t="s">
        <v>8074</v>
      </c>
      <c r="BT220" s="18" t="s">
        <v>7989</v>
      </c>
      <c r="BU220" s="18" t="s">
        <v>496</v>
      </c>
      <c r="BV220" s="18" t="str">
        <f>Terminales[[#This Row],[IMEI]]&amp;"SI"</f>
        <v>863837056637144SI</v>
      </c>
      <c r="BW220" s="18" t="str">
        <f>VLOOKUP(Terminales[[#This Row],[OFICINA_USUARIO]],[1]!Locales[#Data],3,0)</f>
        <v>TIENDA CONDADO</v>
      </c>
      <c r="BX220" s="18" t="str">
        <f>VLOOKUP(Terminales[[#This Row],[USUARIO_FINAL]],'[1]Personal Ppto vs Real'!$A:$F,6,0)</f>
        <v>ROSALES MALDONADO JESSICA GABRIELA</v>
      </c>
      <c r="BY22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2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20" s="18">
        <f>DAY(Terminales[[#This Row],[FECHA_FACTURA]])</f>
        <v>11</v>
      </c>
      <c r="CB220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220" s="65">
        <f>IFERROR(IF(AND(Terminales[[#This Row],[CANTIDAD]] = 1,Terminales[[#This Row],[MOVIMIENTO]] = "RENOVACION"),Terminales[[#This Row],[TARIFA_BASICA]]*0.5,),)</f>
        <v>0</v>
      </c>
      <c r="CD220" s="65">
        <f>IF('[1]Resumen TM'!$AW$20 &lt; 0.4,0,Terminales[[#This Row],[MONTO]]*0.02)</f>
        <v>5.625</v>
      </c>
      <c r="CE220" s="66">
        <f>Terminales[[#This Row],[COMISIONES TERMINALES]]+Terminales[[#This Row],[COMISIONES RENOVACIONES]]+Terminales[[#This Row],[COMISIONES BONO]]</f>
        <v>33.75</v>
      </c>
      <c r="CF220" s="67">
        <f>(Terminales[[#This Row],[COMISIONES TERMINALES]]*VLOOKUP(Terminales[[#This Row],[LOCALES]],[1]!Calendario[#Data],3,0))/VLOOKUP(Terminales[[#This Row],[LOCALES]],[1]!Calendario[#Data],2,0)</f>
        <v>46.270161290322584</v>
      </c>
      <c r="CG220" s="67">
        <f>(Terminales[[#This Row],[COMISIONES RENOVACIONES]]*VLOOKUP(Terminales[[#This Row],[LOCALES]],[1]!Calendario[#Data],3,0))/VLOOKUP(Terminales[[#This Row],[LOCALES]],[1]!Calendario[#Data],2,0)</f>
        <v>0</v>
      </c>
      <c r="CH220" s="67">
        <f>(Terminales[[#This Row],[COMISIONES BONO]]*VLOOKUP(Terminales[[#This Row],[LOCALES]],[1]!Calendario[#Data],3,0))/VLOOKUP(Terminales[[#This Row],[LOCALES]],[1]!Calendario[#Data],2,0)</f>
        <v>9.254032258064516</v>
      </c>
      <c r="CI220" s="67">
        <f>Terminales[[#This Row],[PROY. COM. TERMINALES]]+Terminales[[#This Row],[PROY. COM. RENOV.]]+Terminales[[#This Row],[PROY. COM. 2%]]</f>
        <v>55.524193548387103</v>
      </c>
    </row>
    <row r="221" spans="1:87" x14ac:dyDescent="0.25">
      <c r="A221" s="68">
        <v>44926</v>
      </c>
      <c r="B221" s="68">
        <v>44907</v>
      </c>
      <c r="C221" s="18" t="s">
        <v>96</v>
      </c>
      <c r="D221" s="18" t="s">
        <v>96</v>
      </c>
      <c r="E221" s="18" t="s">
        <v>96</v>
      </c>
      <c r="F221" s="18" t="s">
        <v>9414</v>
      </c>
      <c r="G221" s="18" t="s">
        <v>292</v>
      </c>
      <c r="H221" s="18" t="s">
        <v>494</v>
      </c>
      <c r="I221" s="18" t="s">
        <v>9415</v>
      </c>
      <c r="J221" s="18" t="s">
        <v>95</v>
      </c>
      <c r="K221" s="18" t="s">
        <v>7970</v>
      </c>
      <c r="L221" s="18" t="s">
        <v>9416</v>
      </c>
      <c r="M221" s="18" t="s">
        <v>9417</v>
      </c>
      <c r="N221" s="18" t="s">
        <v>9418</v>
      </c>
      <c r="O221" s="18" t="s">
        <v>1022</v>
      </c>
      <c r="P221" s="18" t="s">
        <v>9419</v>
      </c>
      <c r="Q221" s="18" t="s">
        <v>7975</v>
      </c>
      <c r="R221" s="18" t="s">
        <v>7976</v>
      </c>
      <c r="S221" s="18" t="s">
        <v>8045</v>
      </c>
      <c r="T221" s="18" t="s">
        <v>8225</v>
      </c>
      <c r="U221" s="18" t="s">
        <v>8012</v>
      </c>
      <c r="V221" s="18" t="s">
        <v>6963</v>
      </c>
      <c r="W221" s="18" t="s">
        <v>95</v>
      </c>
      <c r="X221" s="18" t="s">
        <v>95</v>
      </c>
      <c r="Y221" s="18" t="s">
        <v>7980</v>
      </c>
      <c r="Z221" s="18" t="s">
        <v>6996</v>
      </c>
      <c r="AA221" s="69">
        <v>1</v>
      </c>
      <c r="AB221" s="18">
        <v>241.07142999999999</v>
      </c>
      <c r="AC221" s="18" t="s">
        <v>9420</v>
      </c>
      <c r="AD221" s="18" t="s">
        <v>7982</v>
      </c>
      <c r="AE221" s="18">
        <v>232</v>
      </c>
      <c r="AF221" s="18" t="s">
        <v>7983</v>
      </c>
      <c r="AG221" s="18">
        <v>232</v>
      </c>
      <c r="AH221" s="18" t="s">
        <v>95</v>
      </c>
      <c r="AI221" s="18" t="s">
        <v>8102</v>
      </c>
      <c r="AJ221" s="18" t="s">
        <v>8103</v>
      </c>
      <c r="AK221" s="18" t="s">
        <v>95</v>
      </c>
      <c r="AL221" s="18" t="s">
        <v>95</v>
      </c>
      <c r="AM221" s="18" t="s">
        <v>95</v>
      </c>
      <c r="AN221" s="18" t="s">
        <v>7984</v>
      </c>
      <c r="AO221" s="18" t="s">
        <v>139</v>
      </c>
      <c r="AP221" s="20" t="s">
        <v>175</v>
      </c>
      <c r="AQ221" s="18" t="s">
        <v>176</v>
      </c>
      <c r="AR221" s="18" t="s">
        <v>496</v>
      </c>
      <c r="AS221" s="18">
        <v>1</v>
      </c>
      <c r="AT221" s="18" t="s">
        <v>177</v>
      </c>
      <c r="AU221" s="18" t="s">
        <v>90</v>
      </c>
      <c r="AV221" s="18" t="s">
        <v>8392</v>
      </c>
      <c r="AW221" s="18" t="s">
        <v>8393</v>
      </c>
      <c r="AX221" s="18" t="s">
        <v>83</v>
      </c>
      <c r="AY221" s="18" t="s">
        <v>95</v>
      </c>
      <c r="AZ221" s="18" t="s">
        <v>95</v>
      </c>
      <c r="BA221" s="18" t="s">
        <v>95</v>
      </c>
      <c r="BB221" s="18" t="s">
        <v>95</v>
      </c>
      <c r="BC221" s="18" t="s">
        <v>118</v>
      </c>
      <c r="BD221" s="18" t="s">
        <v>95</v>
      </c>
      <c r="BE221" s="18" t="s">
        <v>8212</v>
      </c>
      <c r="BF221" s="18" t="s">
        <v>8064</v>
      </c>
      <c r="BG221" s="18" t="s">
        <v>95</v>
      </c>
      <c r="BH221" s="18" t="s">
        <v>95</v>
      </c>
      <c r="BI221" s="18">
        <v>12</v>
      </c>
      <c r="BJ221" s="18">
        <v>2022</v>
      </c>
      <c r="BK221" s="18" t="s">
        <v>95</v>
      </c>
      <c r="BL221" s="18" t="s">
        <v>95</v>
      </c>
      <c r="BM221" s="18" t="s">
        <v>95</v>
      </c>
      <c r="BN221" s="18" t="s">
        <v>85</v>
      </c>
      <c r="BO221" s="18" t="s">
        <v>86</v>
      </c>
      <c r="BP221" s="18" t="s">
        <v>90</v>
      </c>
      <c r="BQ221" s="18" t="s">
        <v>8002</v>
      </c>
      <c r="BR221" s="18" t="s">
        <v>139</v>
      </c>
      <c r="BS221" s="18" t="s">
        <v>8003</v>
      </c>
      <c r="BT221" s="18" t="s">
        <v>7989</v>
      </c>
      <c r="BU221" s="18" t="s">
        <v>496</v>
      </c>
      <c r="BV221" s="18" t="str">
        <f>Terminales[[#This Row],[IMEI]]&amp;"SI"</f>
        <v>356795951104723SI</v>
      </c>
      <c r="BW221" s="18" t="str">
        <f>VLOOKUP(Terminales[[#This Row],[OFICINA_USUARIO]],[1]!Locales[#Data],3,0)</f>
        <v>TIENDA RECREO</v>
      </c>
      <c r="BX221" s="18" t="str">
        <f>VLOOKUP(Terminales[[#This Row],[USUARIO_FINAL]],'[1]Personal Ppto vs Real'!$A:$F,6,0)</f>
        <v>VARGAS REYES LUIS EDUARDO</v>
      </c>
      <c r="BY22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2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21" s="18">
        <f>DAY(Terminales[[#This Row],[FECHA_FACTURA]])</f>
        <v>12</v>
      </c>
      <c r="CB221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21" s="65">
        <f>IFERROR(IF(AND(Terminales[[#This Row],[CANTIDAD]] = 1,Terminales[[#This Row],[MOVIMIENTO]] = "RENOVACION"),Terminales[[#This Row],[TARIFA_BASICA]]*0.5,),)</f>
        <v>0</v>
      </c>
      <c r="CD221" s="65">
        <f>IF('[1]Resumen TM'!$AW$20 &lt; 0.4,0,Terminales[[#This Row],[MONTO]]*0.02)</f>
        <v>4.8214286</v>
      </c>
      <c r="CE221" s="66">
        <f>Terminales[[#This Row],[COMISIONES TERMINALES]]+Terminales[[#This Row],[COMISIONES RENOVACIONES]]+Terminales[[#This Row],[COMISIONES BONO]]</f>
        <v>28.928571600000001</v>
      </c>
      <c r="CF221" s="67">
        <f>(Terminales[[#This Row],[COMISIONES TERMINALES]]*VLOOKUP(Terminales[[#This Row],[LOCALES]],[1]!Calendario[#Data],3,0))/VLOOKUP(Terminales[[#This Row],[LOCALES]],[1]!Calendario[#Data],2,0)</f>
        <v>39.660138483870966</v>
      </c>
      <c r="CG221" s="67">
        <f>(Terminales[[#This Row],[COMISIONES RENOVACIONES]]*VLOOKUP(Terminales[[#This Row],[LOCALES]],[1]!Calendario[#Data],3,0))/VLOOKUP(Terminales[[#This Row],[LOCALES]],[1]!Calendario[#Data],2,0)</f>
        <v>0</v>
      </c>
      <c r="CH221" s="67">
        <f>(Terminales[[#This Row],[COMISIONES BONO]]*VLOOKUP(Terminales[[#This Row],[LOCALES]],[1]!Calendario[#Data],3,0))/VLOOKUP(Terminales[[#This Row],[LOCALES]],[1]!Calendario[#Data],2,0)</f>
        <v>7.9320276967741936</v>
      </c>
      <c r="CI221" s="67">
        <f>Terminales[[#This Row],[PROY. COM. TERMINALES]]+Terminales[[#This Row],[PROY. COM. RENOV.]]+Terminales[[#This Row],[PROY. COM. 2%]]</f>
        <v>47.592166180645158</v>
      </c>
    </row>
    <row r="222" spans="1:87" x14ac:dyDescent="0.25">
      <c r="A222" s="68">
        <v>44926</v>
      </c>
      <c r="B222" s="68">
        <v>44907</v>
      </c>
      <c r="C222" s="18" t="s">
        <v>291</v>
      </c>
      <c r="D222" s="18" t="s">
        <v>78</v>
      </c>
      <c r="E222" s="18" t="s">
        <v>768</v>
      </c>
      <c r="F222" s="18" t="s">
        <v>9421</v>
      </c>
      <c r="G222" s="18" t="s">
        <v>292</v>
      </c>
      <c r="H222" s="18" t="s">
        <v>494</v>
      </c>
      <c r="I222" s="18" t="s">
        <v>9422</v>
      </c>
      <c r="J222" s="18" t="s">
        <v>95</v>
      </c>
      <c r="K222" s="18" t="s">
        <v>7970</v>
      </c>
      <c r="L222" s="18" t="s">
        <v>9423</v>
      </c>
      <c r="M222" s="18" t="s">
        <v>9424</v>
      </c>
      <c r="N222" s="18" t="s">
        <v>9425</v>
      </c>
      <c r="O222" s="18" t="s">
        <v>8438</v>
      </c>
      <c r="P222" s="18" t="s">
        <v>9426</v>
      </c>
      <c r="Q222" s="18" t="s">
        <v>7975</v>
      </c>
      <c r="R222" s="18" t="s">
        <v>7976</v>
      </c>
      <c r="S222" s="18" t="s">
        <v>8070</v>
      </c>
      <c r="T222" s="18" t="s">
        <v>8364</v>
      </c>
      <c r="U222" s="18" t="s">
        <v>8012</v>
      </c>
      <c r="V222" s="18" t="s">
        <v>6963</v>
      </c>
      <c r="W222" s="18" t="s">
        <v>95</v>
      </c>
      <c r="X222" s="18" t="s">
        <v>95</v>
      </c>
      <c r="Y222" s="18" t="s">
        <v>7980</v>
      </c>
      <c r="Z222" s="18" t="s">
        <v>6996</v>
      </c>
      <c r="AA222" s="69">
        <v>1</v>
      </c>
      <c r="AB222" s="18">
        <v>281.25</v>
      </c>
      <c r="AC222" s="18" t="s">
        <v>9427</v>
      </c>
      <c r="AD222" s="18" t="s">
        <v>7982</v>
      </c>
      <c r="AE222" s="18">
        <v>269.92</v>
      </c>
      <c r="AF222" s="18" t="s">
        <v>7983</v>
      </c>
      <c r="AG222" s="18">
        <v>269.92</v>
      </c>
      <c r="AH222" s="18" t="s">
        <v>95</v>
      </c>
      <c r="AI222" s="18" t="s">
        <v>9428</v>
      </c>
      <c r="AJ222" s="18" t="s">
        <v>9429</v>
      </c>
      <c r="AK222" s="18">
        <v>49.99</v>
      </c>
      <c r="AL222" s="18" t="s">
        <v>95</v>
      </c>
      <c r="AM222" s="18" t="s">
        <v>95</v>
      </c>
      <c r="AN222" s="18" t="s">
        <v>7984</v>
      </c>
      <c r="AO222" s="18" t="s">
        <v>92</v>
      </c>
      <c r="AP222" s="20" t="s">
        <v>149</v>
      </c>
      <c r="AQ222" s="18" t="s">
        <v>150</v>
      </c>
      <c r="AR222" s="18" t="s">
        <v>496</v>
      </c>
      <c r="AS222" s="18">
        <v>1</v>
      </c>
      <c r="AT222" s="18" t="s">
        <v>151</v>
      </c>
      <c r="AU222" s="18" t="s">
        <v>90</v>
      </c>
      <c r="AV222" s="18" t="s">
        <v>8441</v>
      </c>
      <c r="AW222" s="18" t="s">
        <v>8442</v>
      </c>
      <c r="AX222" s="18" t="s">
        <v>83</v>
      </c>
      <c r="AY222" s="18" t="s">
        <v>95</v>
      </c>
      <c r="AZ222" s="18" t="s">
        <v>95</v>
      </c>
      <c r="BA222" s="18" t="s">
        <v>95</v>
      </c>
      <c r="BB222" s="18" t="s">
        <v>95</v>
      </c>
      <c r="BC222" s="18" t="s">
        <v>84</v>
      </c>
      <c r="BD222" s="18" t="s">
        <v>95</v>
      </c>
      <c r="BE222" s="18" t="s">
        <v>8000</v>
      </c>
      <c r="BF222" s="18" t="s">
        <v>8064</v>
      </c>
      <c r="BG222" s="18" t="s">
        <v>95</v>
      </c>
      <c r="BH222" s="18" t="s">
        <v>95</v>
      </c>
      <c r="BI222" s="18">
        <v>12</v>
      </c>
      <c r="BJ222" s="18">
        <v>2022</v>
      </c>
      <c r="BK222" s="18" t="s">
        <v>95</v>
      </c>
      <c r="BL222" s="18" t="s">
        <v>95</v>
      </c>
      <c r="BM222" s="18" t="s">
        <v>95</v>
      </c>
      <c r="BN222" s="18" t="s">
        <v>85</v>
      </c>
      <c r="BO222" s="18" t="s">
        <v>86</v>
      </c>
      <c r="BP222" s="18" t="s">
        <v>90</v>
      </c>
      <c r="BQ222" s="18" t="s">
        <v>8141</v>
      </c>
      <c r="BR222" s="18" t="s">
        <v>92</v>
      </c>
      <c r="BS222" s="18" t="s">
        <v>8003</v>
      </c>
      <c r="BT222" s="18" t="s">
        <v>7989</v>
      </c>
      <c r="BU222" s="18" t="s">
        <v>496</v>
      </c>
      <c r="BV222" s="18" t="str">
        <f>Terminales[[#This Row],[IMEI]]&amp;"SI"</f>
        <v>863837054464327SI</v>
      </c>
      <c r="BW222" s="18" t="str">
        <f>VLOOKUP(Terminales[[#This Row],[OFICINA_USUARIO]],[1]!Locales[#Data],3,0)</f>
        <v>TIENDA CUENCA REMIGIO</v>
      </c>
      <c r="BX222" s="18" t="str">
        <f>VLOOKUP(Terminales[[#This Row],[USUARIO_FINAL]],'[1]Personal Ppto vs Real'!$A:$F,6,0)</f>
        <v>OSORIO TEJADA ANA ESTEFANIA</v>
      </c>
      <c r="BY22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2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22" s="18">
        <f>DAY(Terminales[[#This Row],[FECHA_FACTURA]])</f>
        <v>12</v>
      </c>
      <c r="CB222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222" s="65">
        <f>IFERROR(IF(AND(Terminales[[#This Row],[CANTIDAD]] = 1,Terminales[[#This Row],[MOVIMIENTO]] = "RENOVACION"),Terminales[[#This Row],[TARIFA_BASICA]]*0.5,),)</f>
        <v>24.995000000000001</v>
      </c>
      <c r="CD222" s="65">
        <f>IF('[1]Resumen TM'!$AW$20 &lt; 0.4,0,Terminales[[#This Row],[MONTO]]*0.02)</f>
        <v>5.625</v>
      </c>
      <c r="CE222" s="66">
        <f>Terminales[[#This Row],[COMISIONES TERMINALES]]+Terminales[[#This Row],[COMISIONES RENOVACIONES]]+Terminales[[#This Row],[COMISIONES BONO]]</f>
        <v>58.745000000000005</v>
      </c>
      <c r="CF222" s="67">
        <f>(Terminales[[#This Row],[COMISIONES TERMINALES]]*VLOOKUP(Terminales[[#This Row],[LOCALES]],[1]!Calendario[#Data],3,0))/VLOOKUP(Terminales[[#This Row],[LOCALES]],[1]!Calendario[#Data],2,0)</f>
        <v>45.581896551724135</v>
      </c>
      <c r="CG222" s="67">
        <f>(Terminales[[#This Row],[COMISIONES RENOVACIONES]]*VLOOKUP(Terminales[[#This Row],[LOCALES]],[1]!Calendario[#Data],3,0))/VLOOKUP(Terminales[[#This Row],[LOCALES]],[1]!Calendario[#Data],2,0)</f>
        <v>40.509137931034488</v>
      </c>
      <c r="CH222" s="67">
        <f>(Terminales[[#This Row],[COMISIONES BONO]]*VLOOKUP(Terminales[[#This Row],[LOCALES]],[1]!Calendario[#Data],3,0))/VLOOKUP(Terminales[[#This Row],[LOCALES]],[1]!Calendario[#Data],2,0)</f>
        <v>9.1163793103448274</v>
      </c>
      <c r="CI222" s="67">
        <f>Terminales[[#This Row],[PROY. COM. TERMINALES]]+Terminales[[#This Row],[PROY. COM. RENOV.]]+Terminales[[#This Row],[PROY. COM. 2%]]</f>
        <v>95.207413793103456</v>
      </c>
    </row>
    <row r="223" spans="1:87" x14ac:dyDescent="0.25">
      <c r="A223" s="68">
        <v>44926</v>
      </c>
      <c r="B223" s="68">
        <v>44907</v>
      </c>
      <c r="C223" s="18" t="s">
        <v>291</v>
      </c>
      <c r="D223" s="18" t="s">
        <v>78</v>
      </c>
      <c r="E223" s="18" t="s">
        <v>231</v>
      </c>
      <c r="F223" s="18" t="s">
        <v>9430</v>
      </c>
      <c r="G223" s="18" t="s">
        <v>292</v>
      </c>
      <c r="H223" s="18" t="s">
        <v>494</v>
      </c>
      <c r="I223" s="18" t="s">
        <v>9431</v>
      </c>
      <c r="J223" s="18" t="s">
        <v>95</v>
      </c>
      <c r="K223" s="18" t="s">
        <v>7970</v>
      </c>
      <c r="L223" s="18" t="s">
        <v>9432</v>
      </c>
      <c r="M223" s="18" t="s">
        <v>9433</v>
      </c>
      <c r="N223" s="18" t="s">
        <v>9434</v>
      </c>
      <c r="O223" s="18" t="s">
        <v>2260</v>
      </c>
      <c r="P223" s="18" t="s">
        <v>9435</v>
      </c>
      <c r="Q223" s="18" t="s">
        <v>7975</v>
      </c>
      <c r="R223" s="18" t="s">
        <v>7976</v>
      </c>
      <c r="S223" s="18" t="s">
        <v>8010</v>
      </c>
      <c r="T223" s="18" t="s">
        <v>8011</v>
      </c>
      <c r="U223" s="18" t="s">
        <v>8012</v>
      </c>
      <c r="V223" s="18" t="s">
        <v>6963</v>
      </c>
      <c r="W223" s="18" t="s">
        <v>95</v>
      </c>
      <c r="X223" s="18" t="s">
        <v>95</v>
      </c>
      <c r="Y223" s="18" t="s">
        <v>7980</v>
      </c>
      <c r="Z223" s="18" t="s">
        <v>6996</v>
      </c>
      <c r="AA223" s="69">
        <v>1</v>
      </c>
      <c r="AB223" s="18">
        <v>196.42857000000001</v>
      </c>
      <c r="AC223" s="18" t="s">
        <v>9436</v>
      </c>
      <c r="AD223" s="18" t="s">
        <v>7982</v>
      </c>
      <c r="AE223" s="18">
        <v>168.8</v>
      </c>
      <c r="AF223" s="18" t="s">
        <v>7983</v>
      </c>
      <c r="AG223" s="18">
        <v>168.8</v>
      </c>
      <c r="AH223" s="18" t="s">
        <v>95</v>
      </c>
      <c r="AI223" s="18" t="s">
        <v>7203</v>
      </c>
      <c r="AJ223" s="18" t="s">
        <v>7204</v>
      </c>
      <c r="AK223" s="18">
        <v>15</v>
      </c>
      <c r="AL223" s="18" t="s">
        <v>95</v>
      </c>
      <c r="AM223" s="18" t="s">
        <v>95</v>
      </c>
      <c r="AN223" s="18" t="s">
        <v>7984</v>
      </c>
      <c r="AO223" s="18" t="s">
        <v>139</v>
      </c>
      <c r="AP223" s="20" t="s">
        <v>1545</v>
      </c>
      <c r="AQ223" s="18" t="s">
        <v>1546</v>
      </c>
      <c r="AR223" s="18" t="s">
        <v>496</v>
      </c>
      <c r="AS223" s="18">
        <v>1</v>
      </c>
      <c r="AT223" s="18" t="s">
        <v>138</v>
      </c>
      <c r="AU223" s="18" t="s">
        <v>90</v>
      </c>
      <c r="AV223" s="18" t="s">
        <v>8014</v>
      </c>
      <c r="AW223" s="18" t="s">
        <v>8015</v>
      </c>
      <c r="AX223" s="18" t="s">
        <v>83</v>
      </c>
      <c r="AY223" s="18" t="s">
        <v>95</v>
      </c>
      <c r="AZ223" s="18" t="s">
        <v>95</v>
      </c>
      <c r="BA223" s="18" t="s">
        <v>95</v>
      </c>
      <c r="BB223" s="18" t="s">
        <v>95</v>
      </c>
      <c r="BC223" s="18" t="s">
        <v>118</v>
      </c>
      <c r="BD223" s="18" t="s">
        <v>95</v>
      </c>
      <c r="BE223" s="18" t="s">
        <v>95</v>
      </c>
      <c r="BF223" s="18" t="s">
        <v>95</v>
      </c>
      <c r="BG223" s="18" t="s">
        <v>95</v>
      </c>
      <c r="BH223" s="18" t="s">
        <v>95</v>
      </c>
      <c r="BI223" s="18">
        <v>12</v>
      </c>
      <c r="BJ223" s="18">
        <v>2022</v>
      </c>
      <c r="BK223" s="18" t="s">
        <v>95</v>
      </c>
      <c r="BL223" s="18" t="s">
        <v>95</v>
      </c>
      <c r="BM223" s="18" t="s">
        <v>95</v>
      </c>
      <c r="BN223" s="18" t="s">
        <v>85</v>
      </c>
      <c r="BO223" s="18" t="s">
        <v>86</v>
      </c>
      <c r="BP223" s="18" t="s">
        <v>90</v>
      </c>
      <c r="BQ223" s="18" t="s">
        <v>7987</v>
      </c>
      <c r="BR223" s="18" t="s">
        <v>139</v>
      </c>
      <c r="BS223" s="18" t="s">
        <v>8074</v>
      </c>
      <c r="BT223" s="18" t="s">
        <v>7989</v>
      </c>
      <c r="BU223" s="18" t="s">
        <v>496</v>
      </c>
      <c r="BV223" s="18" t="str">
        <f>Terminales[[#This Row],[IMEI]]&amp;"SI"</f>
        <v>359694275328059SI</v>
      </c>
      <c r="BW223" s="18" t="str">
        <f>VLOOKUP(Terminales[[#This Row],[OFICINA_USUARIO]],[1]!Locales[#Data],3,0)</f>
        <v>TIENDA AMERICA</v>
      </c>
      <c r="BX223" s="18" t="str">
        <f>VLOOKUP(Terminales[[#This Row],[USUARIO_FINAL]],'[1]Personal Ppto vs Real'!$A:$F,6,0)</f>
        <v>GRANDA ESPINOZA ANDRES SEBASTIAN</v>
      </c>
      <c r="BY22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2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23" s="18">
        <f>DAY(Terminales[[#This Row],[FECHA_FACTURA]])</f>
        <v>12</v>
      </c>
      <c r="CB223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223" s="65">
        <f>IFERROR(IF(AND(Terminales[[#This Row],[CANTIDAD]] = 1,Terminales[[#This Row],[MOVIMIENTO]] = "RENOVACION"),Terminales[[#This Row],[TARIFA_BASICA]]*0.5,),)</f>
        <v>7.5</v>
      </c>
      <c r="CD223" s="65">
        <f>IF('[1]Resumen TM'!$AW$20 &lt; 0.4,0,Terminales[[#This Row],[MONTO]]*0.02)</f>
        <v>3.9285714</v>
      </c>
      <c r="CE223" s="66">
        <f>Terminales[[#This Row],[COMISIONES TERMINALES]]+Terminales[[#This Row],[COMISIONES RENOVACIONES]]+Terminales[[#This Row],[COMISIONES BONO]]</f>
        <v>31.071428400000002</v>
      </c>
      <c r="CF223" s="67">
        <f>(Terminales[[#This Row],[COMISIONES TERMINALES]]*VLOOKUP(Terminales[[#This Row],[LOCALES]],[1]!Calendario[#Data],3,0))/VLOOKUP(Terminales[[#This Row],[LOCALES]],[1]!Calendario[#Data],2,0)</f>
        <v>32.27040792857143</v>
      </c>
      <c r="CG223" s="67">
        <f>(Terminales[[#This Row],[COMISIONES RENOVACIONES]]*VLOOKUP(Terminales[[#This Row],[LOCALES]],[1]!Calendario[#Data],3,0))/VLOOKUP(Terminales[[#This Row],[LOCALES]],[1]!Calendario[#Data],2,0)</f>
        <v>12.321428571428571</v>
      </c>
      <c r="CH223" s="67">
        <f>(Terminales[[#This Row],[COMISIONES BONO]]*VLOOKUP(Terminales[[#This Row],[LOCALES]],[1]!Calendario[#Data],3,0))/VLOOKUP(Terminales[[#This Row],[LOCALES]],[1]!Calendario[#Data],2,0)</f>
        <v>6.4540815857142855</v>
      </c>
      <c r="CI223" s="67">
        <f>Terminales[[#This Row],[PROY. COM. TERMINALES]]+Terminales[[#This Row],[PROY. COM. RENOV.]]+Terminales[[#This Row],[PROY. COM. 2%]]</f>
        <v>51.045918085714284</v>
      </c>
    </row>
    <row r="224" spans="1:87" x14ac:dyDescent="0.25">
      <c r="A224" s="68">
        <v>44926</v>
      </c>
      <c r="B224" s="68">
        <v>44907</v>
      </c>
      <c r="C224" s="18" t="s">
        <v>291</v>
      </c>
      <c r="D224" s="18" t="s">
        <v>78</v>
      </c>
      <c r="E224" s="18" t="s">
        <v>2241</v>
      </c>
      <c r="F224" s="18" t="s">
        <v>535</v>
      </c>
      <c r="G224" s="18" t="s">
        <v>292</v>
      </c>
      <c r="H224" s="18" t="s">
        <v>494</v>
      </c>
      <c r="I224" s="18" t="s">
        <v>9437</v>
      </c>
      <c r="J224" s="18" t="s">
        <v>95</v>
      </c>
      <c r="K224" s="18" t="s">
        <v>7970</v>
      </c>
      <c r="L224" s="18" t="s">
        <v>536</v>
      </c>
      <c r="M224" s="18" t="s">
        <v>9438</v>
      </c>
      <c r="N224" s="18" t="s">
        <v>9439</v>
      </c>
      <c r="O224" s="18" t="s">
        <v>543</v>
      </c>
      <c r="P224" s="18" t="s">
        <v>539</v>
      </c>
      <c r="Q224" s="18" t="s">
        <v>7975</v>
      </c>
      <c r="R224" s="18" t="s">
        <v>7976</v>
      </c>
      <c r="S224" s="18" t="s">
        <v>7994</v>
      </c>
      <c r="T224" s="18" t="s">
        <v>8245</v>
      </c>
      <c r="U224" s="18" t="s">
        <v>8012</v>
      </c>
      <c r="V224" s="18" t="s">
        <v>6963</v>
      </c>
      <c r="W224" s="18" t="s">
        <v>95</v>
      </c>
      <c r="X224" s="18" t="s">
        <v>95</v>
      </c>
      <c r="Y224" s="18" t="s">
        <v>7980</v>
      </c>
      <c r="Z224" s="18" t="s">
        <v>6996</v>
      </c>
      <c r="AA224" s="69">
        <v>1</v>
      </c>
      <c r="AB224" s="18">
        <v>156.25</v>
      </c>
      <c r="AC224" s="18" t="s">
        <v>9440</v>
      </c>
      <c r="AD224" s="18" t="s">
        <v>8151</v>
      </c>
      <c r="AE224" s="18">
        <v>156</v>
      </c>
      <c r="AF224" s="18" t="s">
        <v>7983</v>
      </c>
      <c r="AG224" s="18">
        <v>156</v>
      </c>
      <c r="AH224" s="18" t="s">
        <v>95</v>
      </c>
      <c r="AI224" s="18" t="s">
        <v>194</v>
      </c>
      <c r="AJ224" s="18" t="s">
        <v>268</v>
      </c>
      <c r="AK224" s="18">
        <v>14.28</v>
      </c>
      <c r="AL224" s="18" t="s">
        <v>95</v>
      </c>
      <c r="AM224" s="18" t="s">
        <v>95</v>
      </c>
      <c r="AN224" s="18" t="s">
        <v>7984</v>
      </c>
      <c r="AO224" s="18" t="s">
        <v>139</v>
      </c>
      <c r="AP224" s="20" t="s">
        <v>541</v>
      </c>
      <c r="AQ224" s="18" t="s">
        <v>542</v>
      </c>
      <c r="AR224" s="18" t="s">
        <v>496</v>
      </c>
      <c r="AS224" s="18">
        <v>1</v>
      </c>
      <c r="AT224" s="18" t="s">
        <v>138</v>
      </c>
      <c r="AU224" s="18" t="s">
        <v>90</v>
      </c>
      <c r="AV224" s="18" t="s">
        <v>8247</v>
      </c>
      <c r="AW224" s="18" t="s">
        <v>8248</v>
      </c>
      <c r="AX224" s="18" t="s">
        <v>83</v>
      </c>
      <c r="AY224" s="18" t="s">
        <v>95</v>
      </c>
      <c r="AZ224" s="18" t="s">
        <v>95</v>
      </c>
      <c r="BA224" s="18" t="s">
        <v>95</v>
      </c>
      <c r="BB224" s="18" t="s">
        <v>95</v>
      </c>
      <c r="BC224" s="18" t="s">
        <v>118</v>
      </c>
      <c r="BD224" s="18" t="s">
        <v>95</v>
      </c>
      <c r="BE224" s="18" t="s">
        <v>95</v>
      </c>
      <c r="BF224" s="18" t="s">
        <v>95</v>
      </c>
      <c r="BG224" s="18" t="s">
        <v>95</v>
      </c>
      <c r="BH224" s="18" t="s">
        <v>95</v>
      </c>
      <c r="BI224" s="18">
        <v>12</v>
      </c>
      <c r="BJ224" s="18">
        <v>2022</v>
      </c>
      <c r="BK224" s="18" t="s">
        <v>95</v>
      </c>
      <c r="BL224" s="18" t="s">
        <v>95</v>
      </c>
      <c r="BM224" s="18" t="s">
        <v>95</v>
      </c>
      <c r="BN224" s="18" t="s">
        <v>85</v>
      </c>
      <c r="BO224" s="18" t="s">
        <v>86</v>
      </c>
      <c r="BP224" s="18" t="s">
        <v>90</v>
      </c>
      <c r="BQ224" s="18" t="s">
        <v>7987</v>
      </c>
      <c r="BR224" s="18" t="s">
        <v>139</v>
      </c>
      <c r="BS224" s="18" t="s">
        <v>8074</v>
      </c>
      <c r="BT224" s="18" t="s">
        <v>7989</v>
      </c>
      <c r="BU224" s="18" t="s">
        <v>496</v>
      </c>
      <c r="BV224" s="18" t="str">
        <f>Terminales[[#This Row],[IMEI]]&amp;"SI"</f>
        <v>355108340317702SI</v>
      </c>
      <c r="BW224" s="18" t="str">
        <f>VLOOKUP(Terminales[[#This Row],[OFICINA_USUARIO]],[1]!Locales[#Data],3,0)</f>
        <v>TIENDA AMERICA</v>
      </c>
      <c r="BX224" s="18" t="str">
        <f>VLOOKUP(Terminales[[#This Row],[USUARIO_FINAL]],'[1]Personal Ppto vs Real'!$A:$F,6,0)</f>
        <v>CEVALLOS PONCE DIANA CAROLINA</v>
      </c>
      <c r="BY224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22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24" s="18">
        <f>DAY(Terminales[[#This Row],[FECHA_FACTURA]])</f>
        <v>12</v>
      </c>
      <c r="CB224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24" s="65">
        <f>IFERROR(IF(AND(Terminales[[#This Row],[CANTIDAD]] = 1,Terminales[[#This Row],[MOVIMIENTO]] = "RENOVACION"),Terminales[[#This Row],[TARIFA_BASICA]]*0.5,),)</f>
        <v>0</v>
      </c>
      <c r="CD224" s="65">
        <f>IF('[1]Resumen TM'!$AW$20 &lt; 0.4,0,Terminales[[#This Row],[MONTO]]*0.02)</f>
        <v>3.125</v>
      </c>
      <c r="CE224" s="66">
        <f>Terminales[[#This Row],[COMISIONES TERMINALES]]+Terminales[[#This Row],[COMISIONES RENOVACIONES]]+Terminales[[#This Row],[COMISIONES BONO]]</f>
        <v>18.75</v>
      </c>
      <c r="CF224" s="67">
        <f>(Terminales[[#This Row],[COMISIONES TERMINALES]]*VLOOKUP(Terminales[[#This Row],[LOCALES]],[1]!Calendario[#Data],3,0))/VLOOKUP(Terminales[[#This Row],[LOCALES]],[1]!Calendario[#Data],2,0)</f>
        <v>25.669642857142858</v>
      </c>
      <c r="CG224" s="67">
        <f>(Terminales[[#This Row],[COMISIONES RENOVACIONES]]*VLOOKUP(Terminales[[#This Row],[LOCALES]],[1]!Calendario[#Data],3,0))/VLOOKUP(Terminales[[#This Row],[LOCALES]],[1]!Calendario[#Data],2,0)</f>
        <v>0</v>
      </c>
      <c r="CH224" s="67">
        <f>(Terminales[[#This Row],[COMISIONES BONO]]*VLOOKUP(Terminales[[#This Row],[LOCALES]],[1]!Calendario[#Data],3,0))/VLOOKUP(Terminales[[#This Row],[LOCALES]],[1]!Calendario[#Data],2,0)</f>
        <v>5.1339285714285712</v>
      </c>
      <c r="CI224" s="67">
        <f>Terminales[[#This Row],[PROY. COM. TERMINALES]]+Terminales[[#This Row],[PROY. COM. RENOV.]]+Terminales[[#This Row],[PROY. COM. 2%]]</f>
        <v>30.803571428571431</v>
      </c>
    </row>
    <row r="225" spans="1:87" x14ac:dyDescent="0.25">
      <c r="A225" s="68">
        <v>44926</v>
      </c>
      <c r="B225" s="68">
        <v>44907</v>
      </c>
      <c r="C225" s="18" t="s">
        <v>96</v>
      </c>
      <c r="D225" s="18" t="s">
        <v>96</v>
      </c>
      <c r="E225" s="18" t="s">
        <v>96</v>
      </c>
      <c r="F225" s="18" t="s">
        <v>9441</v>
      </c>
      <c r="G225" s="18" t="s">
        <v>292</v>
      </c>
      <c r="H225" s="18" t="s">
        <v>494</v>
      </c>
      <c r="I225" s="18" t="s">
        <v>9442</v>
      </c>
      <c r="J225" s="18" t="s">
        <v>95</v>
      </c>
      <c r="K225" s="18" t="s">
        <v>7970</v>
      </c>
      <c r="L225" s="18" t="s">
        <v>9443</v>
      </c>
      <c r="M225" s="18" t="s">
        <v>9444</v>
      </c>
      <c r="N225" s="18" t="s">
        <v>9445</v>
      </c>
      <c r="O225" s="18" t="s">
        <v>1691</v>
      </c>
      <c r="P225" s="18" t="s">
        <v>9446</v>
      </c>
      <c r="Q225" s="18" t="s">
        <v>7975</v>
      </c>
      <c r="R225" s="18" t="s">
        <v>7976</v>
      </c>
      <c r="S225" s="18" t="s">
        <v>8045</v>
      </c>
      <c r="T225" s="18" t="s">
        <v>8225</v>
      </c>
      <c r="U225" s="18" t="s">
        <v>8012</v>
      </c>
      <c r="V225" s="18" t="s">
        <v>6963</v>
      </c>
      <c r="W225" s="18" t="s">
        <v>95</v>
      </c>
      <c r="X225" s="18" t="s">
        <v>95</v>
      </c>
      <c r="Y225" s="18" t="s">
        <v>7980</v>
      </c>
      <c r="Z225" s="18" t="s">
        <v>6996</v>
      </c>
      <c r="AA225" s="69">
        <v>1</v>
      </c>
      <c r="AB225" s="18">
        <v>241.07142999999999</v>
      </c>
      <c r="AC225" s="18" t="s">
        <v>9447</v>
      </c>
      <c r="AD225" s="18" t="s">
        <v>96</v>
      </c>
      <c r="AE225" s="18">
        <v>232</v>
      </c>
      <c r="AF225" s="18" t="s">
        <v>7983</v>
      </c>
      <c r="AG225" s="18">
        <v>232</v>
      </c>
      <c r="AH225" s="18" t="s">
        <v>95</v>
      </c>
      <c r="AI225" s="18" t="s">
        <v>8102</v>
      </c>
      <c r="AJ225" s="18" t="s">
        <v>8103</v>
      </c>
      <c r="AK225" s="18" t="s">
        <v>95</v>
      </c>
      <c r="AL225" s="18" t="s">
        <v>95</v>
      </c>
      <c r="AM225" s="18" t="s">
        <v>95</v>
      </c>
      <c r="AN225" s="18" t="s">
        <v>7984</v>
      </c>
      <c r="AO225" s="18" t="s">
        <v>139</v>
      </c>
      <c r="AP225" s="20" t="s">
        <v>280</v>
      </c>
      <c r="AQ225" s="18" t="s">
        <v>281</v>
      </c>
      <c r="AR225" s="18" t="s">
        <v>496</v>
      </c>
      <c r="AS225" s="18">
        <v>1</v>
      </c>
      <c r="AT225" s="18" t="s">
        <v>235</v>
      </c>
      <c r="AU225" s="18" t="s">
        <v>90</v>
      </c>
      <c r="AV225" s="18" t="s">
        <v>8228</v>
      </c>
      <c r="AW225" s="18" t="s">
        <v>8229</v>
      </c>
      <c r="AX225" s="18" t="s">
        <v>83</v>
      </c>
      <c r="AY225" s="18" t="s">
        <v>95</v>
      </c>
      <c r="AZ225" s="18" t="s">
        <v>95</v>
      </c>
      <c r="BA225" s="18" t="s">
        <v>95</v>
      </c>
      <c r="BB225" s="18" t="s">
        <v>95</v>
      </c>
      <c r="BC225" s="18" t="s">
        <v>118</v>
      </c>
      <c r="BD225" s="18" t="s">
        <v>95</v>
      </c>
      <c r="BE225" s="18" t="s">
        <v>95</v>
      </c>
      <c r="BF225" s="18" t="s">
        <v>95</v>
      </c>
      <c r="BG225" s="18" t="s">
        <v>95</v>
      </c>
      <c r="BH225" s="18" t="s">
        <v>95</v>
      </c>
      <c r="BI225" s="18">
        <v>12</v>
      </c>
      <c r="BJ225" s="18">
        <v>2022</v>
      </c>
      <c r="BK225" s="18" t="s">
        <v>95</v>
      </c>
      <c r="BL225" s="18" t="s">
        <v>95</v>
      </c>
      <c r="BM225" s="18" t="s">
        <v>95</v>
      </c>
      <c r="BN225" s="18" t="s">
        <v>85</v>
      </c>
      <c r="BO225" s="18" t="s">
        <v>86</v>
      </c>
      <c r="BP225" s="18" t="s">
        <v>90</v>
      </c>
      <c r="BQ225" s="18" t="s">
        <v>8016</v>
      </c>
      <c r="BR225" s="18" t="s">
        <v>139</v>
      </c>
      <c r="BS225" s="18" t="s">
        <v>8074</v>
      </c>
      <c r="BT225" s="18" t="s">
        <v>7989</v>
      </c>
      <c r="BU225" s="18" t="s">
        <v>496</v>
      </c>
      <c r="BV225" s="18" t="str">
        <f>Terminales[[#This Row],[IMEI]]&amp;"SI"</f>
        <v>356795951298376SI</v>
      </c>
      <c r="BW225" s="18" t="str">
        <f>VLOOKUP(Terminales[[#This Row],[OFICINA_USUARIO]],[1]!Locales[#Data],3,0)</f>
        <v>TIENDA CONDADO</v>
      </c>
      <c r="BX225" s="18" t="str">
        <f>VLOOKUP(Terminales[[#This Row],[USUARIO_FINAL]],'[1]Personal Ppto vs Real'!$A:$F,6,0)</f>
        <v>GUACHAMIN CAZA HUGO ADRIAN</v>
      </c>
      <c r="BY22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2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25" s="18">
        <f>DAY(Terminales[[#This Row],[FECHA_FACTURA]])</f>
        <v>12</v>
      </c>
      <c r="CB225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25" s="65">
        <f>IFERROR(IF(AND(Terminales[[#This Row],[CANTIDAD]] = 1,Terminales[[#This Row],[MOVIMIENTO]] = "RENOVACION"),Terminales[[#This Row],[TARIFA_BASICA]]*0.5,),)</f>
        <v>0</v>
      </c>
      <c r="CD225" s="65">
        <f>IF('[1]Resumen TM'!$AW$20 &lt; 0.4,0,Terminales[[#This Row],[MONTO]]*0.02)</f>
        <v>4.8214286</v>
      </c>
      <c r="CE225" s="66">
        <f>Terminales[[#This Row],[COMISIONES TERMINALES]]+Terminales[[#This Row],[COMISIONES RENOVACIONES]]+Terminales[[#This Row],[COMISIONES BONO]]</f>
        <v>28.928571600000001</v>
      </c>
      <c r="CF225" s="67">
        <f>(Terminales[[#This Row],[COMISIONES TERMINALES]]*VLOOKUP(Terminales[[#This Row],[LOCALES]],[1]!Calendario[#Data],3,0))/VLOOKUP(Terminales[[#This Row],[LOCALES]],[1]!Calendario[#Data],2,0)</f>
        <v>39.660138483870966</v>
      </c>
      <c r="CG225" s="67">
        <f>(Terminales[[#This Row],[COMISIONES RENOVACIONES]]*VLOOKUP(Terminales[[#This Row],[LOCALES]],[1]!Calendario[#Data],3,0))/VLOOKUP(Terminales[[#This Row],[LOCALES]],[1]!Calendario[#Data],2,0)</f>
        <v>0</v>
      </c>
      <c r="CH225" s="67">
        <f>(Terminales[[#This Row],[COMISIONES BONO]]*VLOOKUP(Terminales[[#This Row],[LOCALES]],[1]!Calendario[#Data],3,0))/VLOOKUP(Terminales[[#This Row],[LOCALES]],[1]!Calendario[#Data],2,0)</f>
        <v>7.9320276967741936</v>
      </c>
      <c r="CI225" s="67">
        <f>Terminales[[#This Row],[PROY. COM. TERMINALES]]+Terminales[[#This Row],[PROY. COM. RENOV.]]+Terminales[[#This Row],[PROY. COM. 2%]]</f>
        <v>47.592166180645158</v>
      </c>
    </row>
    <row r="226" spans="1:87" x14ac:dyDescent="0.25">
      <c r="A226" s="68">
        <v>44926</v>
      </c>
      <c r="B226" s="68">
        <v>44907</v>
      </c>
      <c r="C226" s="18" t="s">
        <v>291</v>
      </c>
      <c r="D226" s="18" t="s">
        <v>78</v>
      </c>
      <c r="E226" s="18" t="s">
        <v>2241</v>
      </c>
      <c r="F226" s="18" t="s">
        <v>9448</v>
      </c>
      <c r="G226" s="18" t="s">
        <v>292</v>
      </c>
      <c r="H226" s="18" t="s">
        <v>494</v>
      </c>
      <c r="I226" s="18" t="s">
        <v>9449</v>
      </c>
      <c r="J226" s="18" t="s">
        <v>95</v>
      </c>
      <c r="K226" s="18" t="s">
        <v>7970</v>
      </c>
      <c r="L226" s="18" t="s">
        <v>4915</v>
      </c>
      <c r="M226" s="18" t="s">
        <v>4916</v>
      </c>
      <c r="N226" s="18" t="s">
        <v>4917</v>
      </c>
      <c r="O226" s="18" t="s">
        <v>9355</v>
      </c>
      <c r="P226" s="18" t="s">
        <v>9450</v>
      </c>
      <c r="Q226" s="18" t="s">
        <v>7975</v>
      </c>
      <c r="R226" s="18" t="s">
        <v>7976</v>
      </c>
      <c r="S226" s="18" t="s">
        <v>7977</v>
      </c>
      <c r="T226" s="18" t="s">
        <v>8035</v>
      </c>
      <c r="U226" s="18" t="s">
        <v>7996</v>
      </c>
      <c r="V226" s="18" t="s">
        <v>6963</v>
      </c>
      <c r="W226" s="18" t="s">
        <v>95</v>
      </c>
      <c r="X226" s="18" t="s">
        <v>95</v>
      </c>
      <c r="Y226" s="18" t="s">
        <v>7980</v>
      </c>
      <c r="Z226" s="18" t="s">
        <v>6996</v>
      </c>
      <c r="AA226" s="69">
        <v>1</v>
      </c>
      <c r="AB226" s="18">
        <v>165.17857000000001</v>
      </c>
      <c r="AC226" s="18" t="s">
        <v>9451</v>
      </c>
      <c r="AD226" s="18" t="s">
        <v>7982</v>
      </c>
      <c r="AE226" s="18">
        <v>147</v>
      </c>
      <c r="AF226" s="18" t="s">
        <v>7983</v>
      </c>
      <c r="AG226" s="18">
        <v>147</v>
      </c>
      <c r="AH226" s="18" t="s">
        <v>95</v>
      </c>
      <c r="AI226" s="18" t="s">
        <v>7127</v>
      </c>
      <c r="AJ226" s="18" t="s">
        <v>7128</v>
      </c>
      <c r="AK226" s="18">
        <v>13.79</v>
      </c>
      <c r="AL226" s="18" t="s">
        <v>95</v>
      </c>
      <c r="AM226" s="18" t="s">
        <v>95</v>
      </c>
      <c r="AN226" s="18" t="s">
        <v>7984</v>
      </c>
      <c r="AO226" s="18" t="s">
        <v>139</v>
      </c>
      <c r="AP226" s="20" t="s">
        <v>478</v>
      </c>
      <c r="AQ226" s="18" t="s">
        <v>479</v>
      </c>
      <c r="AR226" s="18" t="s">
        <v>496</v>
      </c>
      <c r="AS226" s="18">
        <v>1</v>
      </c>
      <c r="AT226" s="18" t="s">
        <v>138</v>
      </c>
      <c r="AU226" s="18" t="s">
        <v>90</v>
      </c>
      <c r="AV226" s="18" t="s">
        <v>9358</v>
      </c>
      <c r="AW226" s="18" t="s">
        <v>9359</v>
      </c>
      <c r="AX226" s="18" t="s">
        <v>83</v>
      </c>
      <c r="AY226" s="18" t="s">
        <v>95</v>
      </c>
      <c r="AZ226" s="18" t="s">
        <v>95</v>
      </c>
      <c r="BA226" s="18" t="s">
        <v>95</v>
      </c>
      <c r="BB226" s="18" t="s">
        <v>95</v>
      </c>
      <c r="BC226" s="18" t="s">
        <v>215</v>
      </c>
      <c r="BD226" s="18" t="s">
        <v>95</v>
      </c>
      <c r="BE226" s="18" t="s">
        <v>95</v>
      </c>
      <c r="BF226" s="18" t="s">
        <v>95</v>
      </c>
      <c r="BG226" s="18" t="s">
        <v>95</v>
      </c>
      <c r="BH226" s="18" t="s">
        <v>95</v>
      </c>
      <c r="BI226" s="18">
        <v>12</v>
      </c>
      <c r="BJ226" s="18">
        <v>2022</v>
      </c>
      <c r="BK226" s="18" t="s">
        <v>95</v>
      </c>
      <c r="BL226" s="18" t="s">
        <v>95</v>
      </c>
      <c r="BM226" s="18" t="s">
        <v>95</v>
      </c>
      <c r="BN226" s="18" t="s">
        <v>85</v>
      </c>
      <c r="BO226" s="18" t="s">
        <v>86</v>
      </c>
      <c r="BP226" s="18" t="s">
        <v>90</v>
      </c>
      <c r="BQ226" s="18" t="s">
        <v>7987</v>
      </c>
      <c r="BR226" s="18" t="s">
        <v>139</v>
      </c>
      <c r="BS226" s="18" t="s">
        <v>8074</v>
      </c>
      <c r="BT226" s="18" t="s">
        <v>7989</v>
      </c>
      <c r="BU226" s="18" t="s">
        <v>496</v>
      </c>
      <c r="BV226" s="18" t="str">
        <f>Terminales[[#This Row],[IMEI]]&amp;"SI"</f>
        <v>862800060815396SI</v>
      </c>
      <c r="BW226" s="18" t="str">
        <f>VLOOKUP(Terminales[[#This Row],[OFICINA_USUARIO]],[1]!Locales[#Data],3,0)</f>
        <v>TIENDA AMERICA</v>
      </c>
      <c r="BX226" s="18" t="str">
        <f>VLOOKUP(Terminales[[#This Row],[USUARIO_FINAL]],'[1]Personal Ppto vs Real'!$A:$F,6,0)</f>
        <v>REINO TUFINO PAULTEH KATHERINE</v>
      </c>
      <c r="BY22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2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26" s="18">
        <f>DAY(Terminales[[#This Row],[FECHA_FACTURA]])</f>
        <v>12</v>
      </c>
      <c r="CB226" s="65">
        <f>IF(Terminales[[#This Row],[CANTIDAD]] = 1,INDEX([1]!Comisiones[#Data],MATCH("Terminales",[1]!Comisiones[Producto],0),MATCH(Terminales[[#This Row],[TIPO ALTA COMISIONES]],[1]!Comisiones[#Headers],0))*Terminales[[#This Row],[MONTO]],0)</f>
        <v>16.517857000000003</v>
      </c>
      <c r="CC226" s="65">
        <f>IFERROR(IF(AND(Terminales[[#This Row],[CANTIDAD]] = 1,Terminales[[#This Row],[MOVIMIENTO]] = "RENOVACION"),Terminales[[#This Row],[TARIFA_BASICA]]*0.5,),)</f>
        <v>6.8949999999999996</v>
      </c>
      <c r="CD226" s="65">
        <f>IF('[1]Resumen TM'!$AW$20 &lt; 0.4,0,Terminales[[#This Row],[MONTO]]*0.02)</f>
        <v>3.3035714</v>
      </c>
      <c r="CE226" s="66">
        <f>Terminales[[#This Row],[COMISIONES TERMINALES]]+Terminales[[#This Row],[COMISIONES RENOVACIONES]]+Terminales[[#This Row],[COMISIONES BONO]]</f>
        <v>26.716428400000002</v>
      </c>
      <c r="CF226" s="67">
        <f>(Terminales[[#This Row],[COMISIONES TERMINALES]]*VLOOKUP(Terminales[[#This Row],[LOCALES]],[1]!Calendario[#Data],3,0))/VLOOKUP(Terminales[[#This Row],[LOCALES]],[1]!Calendario[#Data],2,0)</f>
        <v>27.136479357142861</v>
      </c>
      <c r="CG226" s="67">
        <f>(Terminales[[#This Row],[COMISIONES RENOVACIONES]]*VLOOKUP(Terminales[[#This Row],[LOCALES]],[1]!Calendario[#Data],3,0))/VLOOKUP(Terminales[[#This Row],[LOCALES]],[1]!Calendario[#Data],2,0)</f>
        <v>11.327499999999999</v>
      </c>
      <c r="CH226" s="67">
        <f>(Terminales[[#This Row],[COMISIONES BONO]]*VLOOKUP(Terminales[[#This Row],[LOCALES]],[1]!Calendario[#Data],3,0))/VLOOKUP(Terminales[[#This Row],[LOCALES]],[1]!Calendario[#Data],2,0)</f>
        <v>5.4272958714285711</v>
      </c>
      <c r="CI226" s="67">
        <f>Terminales[[#This Row],[PROY. COM. TERMINALES]]+Terminales[[#This Row],[PROY. COM. RENOV.]]+Terminales[[#This Row],[PROY. COM. 2%]]</f>
        <v>43.89127522857143</v>
      </c>
    </row>
    <row r="227" spans="1:87" x14ac:dyDescent="0.25">
      <c r="A227" s="68">
        <v>44926</v>
      </c>
      <c r="B227" s="68">
        <v>44907</v>
      </c>
      <c r="C227" s="18" t="s">
        <v>96</v>
      </c>
      <c r="D227" s="18" t="s">
        <v>96</v>
      </c>
      <c r="E227" s="18" t="s">
        <v>96</v>
      </c>
      <c r="F227" s="18" t="s">
        <v>9452</v>
      </c>
      <c r="G227" s="18" t="s">
        <v>292</v>
      </c>
      <c r="H227" s="18" t="s">
        <v>494</v>
      </c>
      <c r="I227" s="18" t="s">
        <v>9453</v>
      </c>
      <c r="J227" s="18" t="s">
        <v>95</v>
      </c>
      <c r="K227" s="18" t="s">
        <v>7970</v>
      </c>
      <c r="L227" s="18" t="s">
        <v>9454</v>
      </c>
      <c r="M227" s="18" t="s">
        <v>9455</v>
      </c>
      <c r="N227" s="18" t="s">
        <v>9456</v>
      </c>
      <c r="O227" s="18" t="s">
        <v>1704</v>
      </c>
      <c r="P227" s="18" t="s">
        <v>9457</v>
      </c>
      <c r="Q227" s="18" t="s">
        <v>7975</v>
      </c>
      <c r="R227" s="18" t="s">
        <v>7976</v>
      </c>
      <c r="S227" s="18" t="s">
        <v>8673</v>
      </c>
      <c r="T227" s="18" t="s">
        <v>8674</v>
      </c>
      <c r="U227" s="18" t="s">
        <v>8012</v>
      </c>
      <c r="V227" s="18" t="s">
        <v>6963</v>
      </c>
      <c r="W227" s="18" t="s">
        <v>95</v>
      </c>
      <c r="X227" s="18" t="s">
        <v>95</v>
      </c>
      <c r="Y227" s="18" t="s">
        <v>7980</v>
      </c>
      <c r="Z227" s="18" t="s">
        <v>6996</v>
      </c>
      <c r="AA227" s="69">
        <v>1</v>
      </c>
      <c r="AB227" s="18">
        <v>263.39285999999998</v>
      </c>
      <c r="AC227" s="18" t="s">
        <v>9458</v>
      </c>
      <c r="AD227" s="18" t="s">
        <v>7982</v>
      </c>
      <c r="AE227" s="18">
        <v>240.32</v>
      </c>
      <c r="AF227" s="18" t="s">
        <v>7983</v>
      </c>
      <c r="AG227" s="18">
        <v>240.32</v>
      </c>
      <c r="AH227" s="18" t="s">
        <v>95</v>
      </c>
      <c r="AI227" s="18" t="s">
        <v>8102</v>
      </c>
      <c r="AJ227" s="18" t="s">
        <v>8103</v>
      </c>
      <c r="AK227" s="18" t="s">
        <v>95</v>
      </c>
      <c r="AL227" s="18" t="s">
        <v>95</v>
      </c>
      <c r="AM227" s="18" t="s">
        <v>95</v>
      </c>
      <c r="AN227" s="18" t="s">
        <v>7984</v>
      </c>
      <c r="AO227" s="18" t="s">
        <v>139</v>
      </c>
      <c r="AP227" s="20" t="s">
        <v>303</v>
      </c>
      <c r="AQ227" s="18" t="s">
        <v>304</v>
      </c>
      <c r="AR227" s="18" t="s">
        <v>496</v>
      </c>
      <c r="AS227" s="18">
        <v>1</v>
      </c>
      <c r="AT227" s="18" t="s">
        <v>177</v>
      </c>
      <c r="AU227" s="18" t="s">
        <v>90</v>
      </c>
      <c r="AV227" s="18" t="s">
        <v>8676</v>
      </c>
      <c r="AW227" s="18" t="s">
        <v>8677</v>
      </c>
      <c r="AX227" s="18" t="s">
        <v>83</v>
      </c>
      <c r="AY227" s="18" t="s">
        <v>95</v>
      </c>
      <c r="AZ227" s="18" t="s">
        <v>95</v>
      </c>
      <c r="BA227" s="18" t="s">
        <v>95</v>
      </c>
      <c r="BB227" s="18" t="s">
        <v>95</v>
      </c>
      <c r="BC227" s="18" t="s">
        <v>118</v>
      </c>
      <c r="BD227" s="18" t="s">
        <v>95</v>
      </c>
      <c r="BE227" s="18" t="s">
        <v>95</v>
      </c>
      <c r="BF227" s="18" t="s">
        <v>95</v>
      </c>
      <c r="BG227" s="18" t="s">
        <v>95</v>
      </c>
      <c r="BH227" s="18" t="s">
        <v>95</v>
      </c>
      <c r="BI227" s="18">
        <v>12</v>
      </c>
      <c r="BJ227" s="18">
        <v>2022</v>
      </c>
      <c r="BK227" s="18" t="s">
        <v>95</v>
      </c>
      <c r="BL227" s="18" t="s">
        <v>95</v>
      </c>
      <c r="BM227" s="18" t="s">
        <v>95</v>
      </c>
      <c r="BN227" s="18" t="s">
        <v>85</v>
      </c>
      <c r="BO227" s="18" t="s">
        <v>86</v>
      </c>
      <c r="BP227" s="18" t="s">
        <v>90</v>
      </c>
      <c r="BQ227" s="18" t="s">
        <v>8002</v>
      </c>
      <c r="BR227" s="18" t="s">
        <v>139</v>
      </c>
      <c r="BS227" s="18" t="s">
        <v>8074</v>
      </c>
      <c r="BT227" s="18" t="s">
        <v>7989</v>
      </c>
      <c r="BU227" s="18" t="s">
        <v>496</v>
      </c>
      <c r="BV227" s="18" t="str">
        <f>Terminales[[#This Row],[IMEI]]&amp;"SI"</f>
        <v>869551050318411SI</v>
      </c>
      <c r="BW227" s="18" t="str">
        <f>VLOOKUP(Terminales[[#This Row],[OFICINA_USUARIO]],[1]!Locales[#Data],3,0)</f>
        <v>TIENDA RECREO</v>
      </c>
      <c r="BX227" s="18" t="str">
        <f>VLOOKUP(Terminales[[#This Row],[USUARIO_FINAL]],'[1]Personal Ppto vs Real'!$A:$F,6,0)</f>
        <v>CORDOVA GAIBOR JONATHAN HERNAN</v>
      </c>
      <c r="BY22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2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27" s="18">
        <f>DAY(Terminales[[#This Row],[FECHA_FACTURA]])</f>
        <v>12</v>
      </c>
      <c r="CB227" s="65">
        <f>IF(Terminales[[#This Row],[CANTIDAD]] = 1,INDEX([1]!Comisiones[#Data],MATCH("Terminales",[1]!Comisiones[Producto],0),MATCH(Terminales[[#This Row],[TIPO ALTA COMISIONES]],[1]!Comisiones[#Headers],0))*Terminales[[#This Row],[MONTO]],0)</f>
        <v>26.339286000000001</v>
      </c>
      <c r="CC227" s="65">
        <f>IFERROR(IF(AND(Terminales[[#This Row],[CANTIDAD]] = 1,Terminales[[#This Row],[MOVIMIENTO]] = "RENOVACION"),Terminales[[#This Row],[TARIFA_BASICA]]*0.5,),)</f>
        <v>0</v>
      </c>
      <c r="CD227" s="65">
        <f>IF('[1]Resumen TM'!$AW$20 &lt; 0.4,0,Terminales[[#This Row],[MONTO]]*0.02)</f>
        <v>5.2678571999999999</v>
      </c>
      <c r="CE227" s="66">
        <f>Terminales[[#This Row],[COMISIONES TERMINALES]]+Terminales[[#This Row],[COMISIONES RENOVACIONES]]+Terminales[[#This Row],[COMISIONES BONO]]</f>
        <v>31.607143200000003</v>
      </c>
      <c r="CF227" s="67">
        <f>(Terminales[[#This Row],[COMISIONES TERMINALES]]*VLOOKUP(Terminales[[#This Row],[LOCALES]],[1]!Calendario[#Data],3,0))/VLOOKUP(Terminales[[#This Row],[LOCALES]],[1]!Calendario[#Data],2,0)</f>
        <v>43.332373741935484</v>
      </c>
      <c r="CG227" s="67">
        <f>(Terminales[[#This Row],[COMISIONES RENOVACIONES]]*VLOOKUP(Terminales[[#This Row],[LOCALES]],[1]!Calendario[#Data],3,0))/VLOOKUP(Terminales[[#This Row],[LOCALES]],[1]!Calendario[#Data],2,0)</f>
        <v>0</v>
      </c>
      <c r="CH227" s="67">
        <f>(Terminales[[#This Row],[COMISIONES BONO]]*VLOOKUP(Terminales[[#This Row],[LOCALES]],[1]!Calendario[#Data],3,0))/VLOOKUP(Terminales[[#This Row],[LOCALES]],[1]!Calendario[#Data],2,0)</f>
        <v>8.6664747483870972</v>
      </c>
      <c r="CI227" s="67">
        <f>Terminales[[#This Row],[PROY. COM. TERMINALES]]+Terminales[[#This Row],[PROY. COM. RENOV.]]+Terminales[[#This Row],[PROY. COM. 2%]]</f>
        <v>51.99884849032258</v>
      </c>
    </row>
    <row r="228" spans="1:87" x14ac:dyDescent="0.25">
      <c r="A228" s="68">
        <v>44926</v>
      </c>
      <c r="B228" s="68">
        <v>44907</v>
      </c>
      <c r="C228" s="18" t="s">
        <v>96</v>
      </c>
      <c r="D228" s="18" t="s">
        <v>96</v>
      </c>
      <c r="E228" s="18" t="s">
        <v>96</v>
      </c>
      <c r="F228" s="18" t="s">
        <v>9459</v>
      </c>
      <c r="G228" s="18" t="s">
        <v>292</v>
      </c>
      <c r="H228" s="18" t="s">
        <v>494</v>
      </c>
      <c r="I228" s="18" t="s">
        <v>9460</v>
      </c>
      <c r="J228" s="18" t="s">
        <v>95</v>
      </c>
      <c r="K228" s="18" t="s">
        <v>7970</v>
      </c>
      <c r="L228" s="18" t="s">
        <v>9461</v>
      </c>
      <c r="M228" s="18" t="s">
        <v>9462</v>
      </c>
      <c r="N228" s="18" t="s">
        <v>7497</v>
      </c>
      <c r="O228" s="18" t="s">
        <v>8438</v>
      </c>
      <c r="P228" s="18" t="s">
        <v>9463</v>
      </c>
      <c r="Q228" s="18" t="s">
        <v>7975</v>
      </c>
      <c r="R228" s="18" t="s">
        <v>7976</v>
      </c>
      <c r="S228" s="18" t="s">
        <v>8070</v>
      </c>
      <c r="T228" s="18" t="s">
        <v>8364</v>
      </c>
      <c r="U228" s="18" t="s">
        <v>8012</v>
      </c>
      <c r="V228" s="18" t="s">
        <v>6963</v>
      </c>
      <c r="W228" s="18" t="s">
        <v>95</v>
      </c>
      <c r="X228" s="18" t="s">
        <v>95</v>
      </c>
      <c r="Y228" s="18" t="s">
        <v>7980</v>
      </c>
      <c r="Z228" s="18" t="s">
        <v>6996</v>
      </c>
      <c r="AA228" s="69">
        <v>1</v>
      </c>
      <c r="AB228" s="18">
        <v>281.25</v>
      </c>
      <c r="AC228" s="18" t="s">
        <v>9464</v>
      </c>
      <c r="AD228" s="18" t="s">
        <v>7982</v>
      </c>
      <c r="AE228" s="18">
        <v>269.92</v>
      </c>
      <c r="AF228" s="18" t="s">
        <v>7983</v>
      </c>
      <c r="AG228" s="18">
        <v>269.92</v>
      </c>
      <c r="AH228" s="18" t="s">
        <v>95</v>
      </c>
      <c r="AI228" s="18" t="s">
        <v>8102</v>
      </c>
      <c r="AJ228" s="18" t="s">
        <v>8103</v>
      </c>
      <c r="AK228" s="18" t="s">
        <v>95</v>
      </c>
      <c r="AL228" s="18" t="s">
        <v>95</v>
      </c>
      <c r="AM228" s="18" t="s">
        <v>95</v>
      </c>
      <c r="AN228" s="18" t="s">
        <v>7984</v>
      </c>
      <c r="AO228" s="18" t="s">
        <v>139</v>
      </c>
      <c r="AP228" s="20" t="s">
        <v>369</v>
      </c>
      <c r="AQ228" s="18" t="s">
        <v>370</v>
      </c>
      <c r="AR228" s="18" t="s">
        <v>496</v>
      </c>
      <c r="AS228" s="18">
        <v>1</v>
      </c>
      <c r="AT228" s="18" t="s">
        <v>177</v>
      </c>
      <c r="AU228" s="18" t="s">
        <v>90</v>
      </c>
      <c r="AV228" s="18" t="s">
        <v>8441</v>
      </c>
      <c r="AW228" s="18" t="s">
        <v>8442</v>
      </c>
      <c r="AX228" s="18" t="s">
        <v>83</v>
      </c>
      <c r="AY228" s="18" t="s">
        <v>95</v>
      </c>
      <c r="AZ228" s="18" t="s">
        <v>95</v>
      </c>
      <c r="BA228" s="18" t="s">
        <v>95</v>
      </c>
      <c r="BB228" s="18" t="s">
        <v>95</v>
      </c>
      <c r="BC228" s="18" t="s">
        <v>118</v>
      </c>
      <c r="BD228" s="18" t="s">
        <v>95</v>
      </c>
      <c r="BE228" s="18" t="s">
        <v>8000</v>
      </c>
      <c r="BF228" s="18" t="s">
        <v>8064</v>
      </c>
      <c r="BG228" s="18" t="s">
        <v>95</v>
      </c>
      <c r="BH228" s="18" t="s">
        <v>95</v>
      </c>
      <c r="BI228" s="18">
        <v>12</v>
      </c>
      <c r="BJ228" s="18">
        <v>2022</v>
      </c>
      <c r="BK228" s="18" t="s">
        <v>95</v>
      </c>
      <c r="BL228" s="18" t="s">
        <v>95</v>
      </c>
      <c r="BM228" s="18" t="s">
        <v>95</v>
      </c>
      <c r="BN228" s="18" t="s">
        <v>85</v>
      </c>
      <c r="BO228" s="18" t="s">
        <v>86</v>
      </c>
      <c r="BP228" s="18" t="s">
        <v>90</v>
      </c>
      <c r="BQ228" s="18" t="s">
        <v>8002</v>
      </c>
      <c r="BR228" s="18" t="s">
        <v>139</v>
      </c>
      <c r="BS228" s="18" t="s">
        <v>8003</v>
      </c>
      <c r="BT228" s="18" t="s">
        <v>7989</v>
      </c>
      <c r="BU228" s="18" t="s">
        <v>496</v>
      </c>
      <c r="BV228" s="18" t="str">
        <f>Terminales[[#This Row],[IMEI]]&amp;"SI"</f>
        <v>863837054681920SI</v>
      </c>
      <c r="BW228" s="18" t="str">
        <f>VLOOKUP(Terminales[[#This Row],[OFICINA_USUARIO]],[1]!Locales[#Data],3,0)</f>
        <v>TIENDA RECREO</v>
      </c>
      <c r="BX228" s="18" t="str">
        <f>VLOOKUP(Terminales[[#This Row],[USUARIO_FINAL]],'[1]Personal Ppto vs Real'!$A:$F,6,0)</f>
        <v>GUAIGUA REINOSO GENESIS CAROLINA</v>
      </c>
      <c r="BY22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2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28" s="18">
        <f>DAY(Terminales[[#This Row],[FECHA_FACTURA]])</f>
        <v>12</v>
      </c>
      <c r="CB228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228" s="65">
        <f>IFERROR(IF(AND(Terminales[[#This Row],[CANTIDAD]] = 1,Terminales[[#This Row],[MOVIMIENTO]] = "RENOVACION"),Terminales[[#This Row],[TARIFA_BASICA]]*0.5,),)</f>
        <v>0</v>
      </c>
      <c r="CD228" s="65">
        <f>IF('[1]Resumen TM'!$AW$20 &lt; 0.4,0,Terminales[[#This Row],[MONTO]]*0.02)</f>
        <v>5.625</v>
      </c>
      <c r="CE228" s="66">
        <f>Terminales[[#This Row],[COMISIONES TERMINALES]]+Terminales[[#This Row],[COMISIONES RENOVACIONES]]+Terminales[[#This Row],[COMISIONES BONO]]</f>
        <v>33.75</v>
      </c>
      <c r="CF228" s="67">
        <f>(Terminales[[#This Row],[COMISIONES TERMINALES]]*VLOOKUP(Terminales[[#This Row],[LOCALES]],[1]!Calendario[#Data],3,0))/VLOOKUP(Terminales[[#This Row],[LOCALES]],[1]!Calendario[#Data],2,0)</f>
        <v>46.270161290322584</v>
      </c>
      <c r="CG228" s="67">
        <f>(Terminales[[#This Row],[COMISIONES RENOVACIONES]]*VLOOKUP(Terminales[[#This Row],[LOCALES]],[1]!Calendario[#Data],3,0))/VLOOKUP(Terminales[[#This Row],[LOCALES]],[1]!Calendario[#Data],2,0)</f>
        <v>0</v>
      </c>
      <c r="CH228" s="67">
        <f>(Terminales[[#This Row],[COMISIONES BONO]]*VLOOKUP(Terminales[[#This Row],[LOCALES]],[1]!Calendario[#Data],3,0))/VLOOKUP(Terminales[[#This Row],[LOCALES]],[1]!Calendario[#Data],2,0)</f>
        <v>9.254032258064516</v>
      </c>
      <c r="CI228" s="67">
        <f>Terminales[[#This Row],[PROY. COM. TERMINALES]]+Terminales[[#This Row],[PROY. COM. RENOV.]]+Terminales[[#This Row],[PROY. COM. 2%]]</f>
        <v>55.524193548387103</v>
      </c>
    </row>
    <row r="229" spans="1:87" x14ac:dyDescent="0.25">
      <c r="A229" s="68">
        <v>44926</v>
      </c>
      <c r="B229" s="68">
        <v>44907</v>
      </c>
      <c r="C229" s="18" t="s">
        <v>291</v>
      </c>
      <c r="D229" s="18" t="s">
        <v>78</v>
      </c>
      <c r="E229" s="18" t="s">
        <v>164</v>
      </c>
      <c r="F229" s="18" t="s">
        <v>1014</v>
      </c>
      <c r="G229" s="18" t="s">
        <v>292</v>
      </c>
      <c r="H229" s="18" t="s">
        <v>293</v>
      </c>
      <c r="I229" s="18" t="s">
        <v>9465</v>
      </c>
      <c r="J229" s="18" t="s">
        <v>95</v>
      </c>
      <c r="K229" s="18" t="s">
        <v>7970</v>
      </c>
      <c r="L229" s="18" t="s">
        <v>1015</v>
      </c>
      <c r="M229" s="18" t="s">
        <v>1016</v>
      </c>
      <c r="N229" s="18" t="s">
        <v>1017</v>
      </c>
      <c r="O229" s="18" t="s">
        <v>1022</v>
      </c>
      <c r="P229" s="18" t="s">
        <v>1018</v>
      </c>
      <c r="Q229" s="18" t="s">
        <v>7975</v>
      </c>
      <c r="R229" s="18" t="s">
        <v>7976</v>
      </c>
      <c r="S229" s="18" t="s">
        <v>8045</v>
      </c>
      <c r="T229" s="18" t="s">
        <v>8225</v>
      </c>
      <c r="U229" s="18" t="s">
        <v>8012</v>
      </c>
      <c r="V229" s="18" t="s">
        <v>6963</v>
      </c>
      <c r="W229" s="18" t="s">
        <v>95</v>
      </c>
      <c r="X229" s="18" t="s">
        <v>95</v>
      </c>
      <c r="Y229" s="18" t="s">
        <v>7980</v>
      </c>
      <c r="Z229" s="18" t="s">
        <v>6996</v>
      </c>
      <c r="AA229" s="69">
        <v>1</v>
      </c>
      <c r="AB229" s="18">
        <v>334.82143000000002</v>
      </c>
      <c r="AC229" s="18" t="s">
        <v>9466</v>
      </c>
      <c r="AD229" s="18" t="s">
        <v>8151</v>
      </c>
      <c r="AE229" s="18">
        <v>232</v>
      </c>
      <c r="AF229" s="18" t="s">
        <v>7983</v>
      </c>
      <c r="AG229" s="18">
        <v>232</v>
      </c>
      <c r="AH229" s="18" t="s">
        <v>95</v>
      </c>
      <c r="AI229" s="18" t="s">
        <v>160</v>
      </c>
      <c r="AJ229" s="18" t="s">
        <v>161</v>
      </c>
      <c r="AK229" s="18">
        <v>14.28</v>
      </c>
      <c r="AL229" s="18" t="s">
        <v>95</v>
      </c>
      <c r="AM229" s="18" t="s">
        <v>95</v>
      </c>
      <c r="AN229" s="18" t="s">
        <v>7984</v>
      </c>
      <c r="AO229" s="18" t="s">
        <v>92</v>
      </c>
      <c r="AP229" s="20" t="s">
        <v>1020</v>
      </c>
      <c r="AQ229" s="18" t="s">
        <v>1021</v>
      </c>
      <c r="AR229" s="18" t="s">
        <v>295</v>
      </c>
      <c r="AS229" s="18">
        <v>6</v>
      </c>
      <c r="AT229" s="18" t="s">
        <v>91</v>
      </c>
      <c r="AU229" s="18" t="s">
        <v>90</v>
      </c>
      <c r="AV229" s="18" t="s">
        <v>8392</v>
      </c>
      <c r="AW229" s="18" t="s">
        <v>8393</v>
      </c>
      <c r="AX229" s="18" t="s">
        <v>83</v>
      </c>
      <c r="AY229" s="18" t="s">
        <v>95</v>
      </c>
      <c r="AZ229" s="18" t="s">
        <v>95</v>
      </c>
      <c r="BA229" s="18" t="s">
        <v>95</v>
      </c>
      <c r="BB229" s="18" t="s">
        <v>95</v>
      </c>
      <c r="BC229" s="18" t="s">
        <v>84</v>
      </c>
      <c r="BD229" s="18">
        <v>66.959999999999994</v>
      </c>
      <c r="BE229" s="18" t="s">
        <v>95</v>
      </c>
      <c r="BF229" s="18" t="s">
        <v>95</v>
      </c>
      <c r="BG229" s="18" t="s">
        <v>95</v>
      </c>
      <c r="BH229" s="18" t="s">
        <v>95</v>
      </c>
      <c r="BI229" s="18">
        <v>12</v>
      </c>
      <c r="BJ229" s="18">
        <v>2022</v>
      </c>
      <c r="BK229" s="18" t="s">
        <v>95</v>
      </c>
      <c r="BL229" s="18" t="s">
        <v>95</v>
      </c>
      <c r="BM229" s="18" t="s">
        <v>95</v>
      </c>
      <c r="BN229" s="18" t="s">
        <v>85</v>
      </c>
      <c r="BO229" s="18" t="s">
        <v>86</v>
      </c>
      <c r="BP229" s="18" t="s">
        <v>90</v>
      </c>
      <c r="BQ229" s="18" t="s">
        <v>8106</v>
      </c>
      <c r="BR229" s="18" t="s">
        <v>92</v>
      </c>
      <c r="BS229" s="18" t="s">
        <v>8027</v>
      </c>
      <c r="BT229" s="18" t="s">
        <v>7989</v>
      </c>
      <c r="BU229" s="18" t="s">
        <v>7990</v>
      </c>
      <c r="BV229" s="18" t="str">
        <f>Terminales[[#This Row],[IMEI]]&amp;"SI"</f>
        <v>356795951179196SI</v>
      </c>
      <c r="BW229" s="18" t="str">
        <f>VLOOKUP(Terminales[[#This Row],[OFICINA_USUARIO]],[1]!Locales[#Data],3,0)</f>
        <v>TIENDA CUENCA CENTRO</v>
      </c>
      <c r="BX229" s="18" t="str">
        <f>VLOOKUP(Terminales[[#This Row],[USUARIO_FINAL]],'[1]Personal Ppto vs Real'!$A:$F,6,0)</f>
        <v>GONZALES ALVARRACIN PAOLA YESSENIA</v>
      </c>
      <c r="BY229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22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29" s="18">
        <f>DAY(Terminales[[#This Row],[FECHA_FACTURA]])</f>
        <v>12</v>
      </c>
      <c r="CB229" s="65">
        <f>IF(Terminales[[#This Row],[CANTIDAD]] = 1,INDEX([1]!Comisiones[#Data],MATCH("Terminales",[1]!Comisiones[Producto],0),MATCH(Terminales[[#This Row],[TIPO ALTA COMISIONES]],[1]!Comisiones[#Headers],0))*Terminales[[#This Row],[MONTO]],0)</f>
        <v>26.785714400000003</v>
      </c>
      <c r="CC229" s="65">
        <f>IFERROR(IF(AND(Terminales[[#This Row],[CANTIDAD]] = 1,Terminales[[#This Row],[MOVIMIENTO]] = "RENOVACION"),Terminales[[#This Row],[TARIFA_BASICA]]*0.5,),)</f>
        <v>0</v>
      </c>
      <c r="CD229" s="65">
        <f>IF('[1]Resumen TM'!$AW$20 &lt; 0.4,0,Terminales[[#This Row],[MONTO]]*0.02)</f>
        <v>6.6964286000000008</v>
      </c>
      <c r="CE229" s="66">
        <f>Terminales[[#This Row],[COMISIONES TERMINALES]]+Terminales[[#This Row],[COMISIONES RENOVACIONES]]+Terminales[[#This Row],[COMISIONES BONO]]</f>
        <v>33.482143000000008</v>
      </c>
      <c r="CF229" s="67">
        <f>(Terminales[[#This Row],[COMISIONES TERMINALES]]*VLOOKUP(Terminales[[#This Row],[LOCALES]],[1]!Calendario[#Data],3,0))/VLOOKUP(Terminales[[#This Row],[LOCALES]],[1]!Calendario[#Data],2,0)</f>
        <v>43.411330234482769</v>
      </c>
      <c r="CG229" s="67">
        <f>(Terminales[[#This Row],[COMISIONES RENOVACIONES]]*VLOOKUP(Terminales[[#This Row],[LOCALES]],[1]!Calendario[#Data],3,0))/VLOOKUP(Terminales[[#This Row],[LOCALES]],[1]!Calendario[#Data],2,0)</f>
        <v>0</v>
      </c>
      <c r="CH229" s="67">
        <f>(Terminales[[#This Row],[COMISIONES BONO]]*VLOOKUP(Terminales[[#This Row],[LOCALES]],[1]!Calendario[#Data],3,0))/VLOOKUP(Terminales[[#This Row],[LOCALES]],[1]!Calendario[#Data],2,0)</f>
        <v>10.852832558620692</v>
      </c>
      <c r="CI229" s="67">
        <f>Terminales[[#This Row],[PROY. COM. TERMINALES]]+Terminales[[#This Row],[PROY. COM. RENOV.]]+Terminales[[#This Row],[PROY. COM. 2%]]</f>
        <v>54.264162793103459</v>
      </c>
    </row>
    <row r="230" spans="1:87" x14ac:dyDescent="0.25">
      <c r="A230" s="68">
        <v>44926</v>
      </c>
      <c r="B230" s="68">
        <v>44907</v>
      </c>
      <c r="C230" s="18" t="s">
        <v>291</v>
      </c>
      <c r="D230" s="18" t="s">
        <v>78</v>
      </c>
      <c r="E230" s="18" t="s">
        <v>231</v>
      </c>
      <c r="F230" s="18" t="s">
        <v>9467</v>
      </c>
      <c r="G230" s="18" t="s">
        <v>292</v>
      </c>
      <c r="H230" s="18" t="s">
        <v>293</v>
      </c>
      <c r="I230" s="18" t="s">
        <v>9468</v>
      </c>
      <c r="J230" s="18" t="s">
        <v>95</v>
      </c>
      <c r="K230" s="18" t="s">
        <v>7970</v>
      </c>
      <c r="L230" s="18" t="s">
        <v>9469</v>
      </c>
      <c r="M230" s="18" t="s">
        <v>9470</v>
      </c>
      <c r="N230" s="18" t="s">
        <v>9471</v>
      </c>
      <c r="O230" s="18" t="s">
        <v>1691</v>
      </c>
      <c r="P230" s="18" t="s">
        <v>9472</v>
      </c>
      <c r="Q230" s="18" t="s">
        <v>7975</v>
      </c>
      <c r="R230" s="18" t="s">
        <v>7976</v>
      </c>
      <c r="S230" s="18" t="s">
        <v>8045</v>
      </c>
      <c r="T230" s="18" t="s">
        <v>8225</v>
      </c>
      <c r="U230" s="18" t="s">
        <v>8012</v>
      </c>
      <c r="V230" s="18" t="s">
        <v>6963</v>
      </c>
      <c r="W230" s="18" t="s">
        <v>95</v>
      </c>
      <c r="X230" s="18" t="s">
        <v>95</v>
      </c>
      <c r="Y230" s="18" t="s">
        <v>7980</v>
      </c>
      <c r="Z230" s="18" t="s">
        <v>6996</v>
      </c>
      <c r="AA230" s="69">
        <v>1</v>
      </c>
      <c r="AB230" s="18">
        <v>375</v>
      </c>
      <c r="AC230" s="18" t="s">
        <v>9473</v>
      </c>
      <c r="AD230" s="18" t="s">
        <v>7982</v>
      </c>
      <c r="AE230" s="18">
        <v>232</v>
      </c>
      <c r="AF230" s="18" t="s">
        <v>7983</v>
      </c>
      <c r="AG230" s="18">
        <v>232</v>
      </c>
      <c r="AH230" s="18" t="s">
        <v>95</v>
      </c>
      <c r="AI230" s="18" t="s">
        <v>3972</v>
      </c>
      <c r="AJ230" s="18" t="s">
        <v>3973</v>
      </c>
      <c r="AK230" s="18">
        <v>26.78</v>
      </c>
      <c r="AL230" s="18" t="s">
        <v>95</v>
      </c>
      <c r="AM230" s="18" t="s">
        <v>95</v>
      </c>
      <c r="AN230" s="18" t="s">
        <v>7984</v>
      </c>
      <c r="AO230" s="18" t="s">
        <v>92</v>
      </c>
      <c r="AP230" s="20" t="s">
        <v>420</v>
      </c>
      <c r="AQ230" s="18" t="s">
        <v>421</v>
      </c>
      <c r="AR230" s="18" t="s">
        <v>295</v>
      </c>
      <c r="AS230" s="18">
        <v>12</v>
      </c>
      <c r="AT230" s="18" t="s">
        <v>151</v>
      </c>
      <c r="AU230" s="18" t="s">
        <v>90</v>
      </c>
      <c r="AV230" s="18" t="s">
        <v>8228</v>
      </c>
      <c r="AW230" s="18" t="s">
        <v>8229</v>
      </c>
      <c r="AX230" s="18" t="s">
        <v>83</v>
      </c>
      <c r="AY230" s="18" t="s">
        <v>95</v>
      </c>
      <c r="AZ230" s="18" t="s">
        <v>95</v>
      </c>
      <c r="BA230" s="18" t="s">
        <v>95</v>
      </c>
      <c r="BB230" s="18" t="s">
        <v>95</v>
      </c>
      <c r="BC230" s="18" t="s">
        <v>84</v>
      </c>
      <c r="BD230" s="18">
        <v>75</v>
      </c>
      <c r="BE230" s="18" t="s">
        <v>95</v>
      </c>
      <c r="BF230" s="18" t="s">
        <v>95</v>
      </c>
      <c r="BG230" s="18" t="s">
        <v>95</v>
      </c>
      <c r="BH230" s="18" t="s">
        <v>95</v>
      </c>
      <c r="BI230" s="18">
        <v>12</v>
      </c>
      <c r="BJ230" s="18">
        <v>2022</v>
      </c>
      <c r="BK230" s="18" t="s">
        <v>95</v>
      </c>
      <c r="BL230" s="18" t="s">
        <v>95</v>
      </c>
      <c r="BM230" s="18" t="s">
        <v>95</v>
      </c>
      <c r="BN230" s="18" t="s">
        <v>85</v>
      </c>
      <c r="BO230" s="18" t="s">
        <v>86</v>
      </c>
      <c r="BP230" s="18" t="s">
        <v>90</v>
      </c>
      <c r="BQ230" s="18" t="s">
        <v>8141</v>
      </c>
      <c r="BR230" s="18" t="s">
        <v>92</v>
      </c>
      <c r="BS230" s="18" t="s">
        <v>7988</v>
      </c>
      <c r="BT230" s="18" t="s">
        <v>7989</v>
      </c>
      <c r="BU230" s="18" t="s">
        <v>7990</v>
      </c>
      <c r="BV230" s="18" t="str">
        <f>Terminales[[#This Row],[IMEI]]&amp;"SI"</f>
        <v>356795951300958SI</v>
      </c>
      <c r="BW230" s="18" t="str">
        <f>VLOOKUP(Terminales[[#This Row],[OFICINA_USUARIO]],[1]!Locales[#Data],3,0)</f>
        <v>TIENDA CUENCA REMIGIO</v>
      </c>
      <c r="BX230" s="18" t="str">
        <f>VLOOKUP(Terminales[[#This Row],[USUARIO_FINAL]],'[1]Personal Ppto vs Real'!$A:$F,6,0)</f>
        <v>YEPEZ PALOMEQUE DIANA PATRICIA</v>
      </c>
      <c r="BY23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3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230" s="18">
        <f>DAY(Terminales[[#This Row],[FECHA_FACTURA]])</f>
        <v>12</v>
      </c>
      <c r="CB230" s="65">
        <f>IF(Terminales[[#This Row],[CANTIDAD]] = 1,INDEX([1]!Comisiones[#Data],MATCH("Terminales",[1]!Comisiones[Producto],0),MATCH(Terminales[[#This Row],[TIPO ALTA COMISIONES]],[1]!Comisiones[#Headers],0))*Terminales[[#This Row],[MONTO]],0)</f>
        <v>22.5</v>
      </c>
      <c r="CC230" s="65">
        <f>IFERROR(IF(AND(Terminales[[#This Row],[CANTIDAD]] = 1,Terminales[[#This Row],[MOVIMIENTO]] = "RENOVACION"),Terminales[[#This Row],[TARIFA_BASICA]]*0.5,),)</f>
        <v>13.39</v>
      </c>
      <c r="CD230" s="65">
        <f>IF('[1]Resumen TM'!$AW$20 &lt; 0.4,0,Terminales[[#This Row],[MONTO]]*0.02)</f>
        <v>7.5</v>
      </c>
      <c r="CE230" s="66">
        <f>Terminales[[#This Row],[COMISIONES TERMINALES]]+Terminales[[#This Row],[COMISIONES RENOVACIONES]]+Terminales[[#This Row],[COMISIONES BONO]]</f>
        <v>43.39</v>
      </c>
      <c r="CF230" s="67">
        <f>(Terminales[[#This Row],[COMISIONES TERMINALES]]*VLOOKUP(Terminales[[#This Row],[LOCALES]],[1]!Calendario[#Data],3,0))/VLOOKUP(Terminales[[#This Row],[LOCALES]],[1]!Calendario[#Data],2,0)</f>
        <v>36.46551724137931</v>
      </c>
      <c r="CG230" s="67">
        <f>(Terminales[[#This Row],[COMISIONES RENOVACIONES]]*VLOOKUP(Terminales[[#This Row],[LOCALES]],[1]!Calendario[#Data],3,0))/VLOOKUP(Terminales[[#This Row],[LOCALES]],[1]!Calendario[#Data],2,0)</f>
        <v>21.701034482758622</v>
      </c>
      <c r="CH230" s="67">
        <f>(Terminales[[#This Row],[COMISIONES BONO]]*VLOOKUP(Terminales[[#This Row],[LOCALES]],[1]!Calendario[#Data],3,0))/VLOOKUP(Terminales[[#This Row],[LOCALES]],[1]!Calendario[#Data],2,0)</f>
        <v>12.155172413793103</v>
      </c>
      <c r="CI230" s="67">
        <f>Terminales[[#This Row],[PROY. COM. TERMINALES]]+Terminales[[#This Row],[PROY. COM. RENOV.]]+Terminales[[#This Row],[PROY. COM. 2%]]</f>
        <v>70.321724137931028</v>
      </c>
    </row>
    <row r="231" spans="1:87" x14ac:dyDescent="0.25">
      <c r="A231" s="68">
        <v>44926</v>
      </c>
      <c r="B231" s="68">
        <v>44907</v>
      </c>
      <c r="C231" s="18" t="s">
        <v>96</v>
      </c>
      <c r="D231" s="18" t="s">
        <v>96</v>
      </c>
      <c r="E231" s="18" t="s">
        <v>96</v>
      </c>
      <c r="F231" s="18" t="s">
        <v>9474</v>
      </c>
      <c r="G231" s="18" t="s">
        <v>292</v>
      </c>
      <c r="H231" s="18" t="s">
        <v>494</v>
      </c>
      <c r="I231" s="18" t="s">
        <v>9475</v>
      </c>
      <c r="J231" s="18" t="s">
        <v>95</v>
      </c>
      <c r="K231" s="18" t="s">
        <v>7970</v>
      </c>
      <c r="L231" s="18" t="s">
        <v>9476</v>
      </c>
      <c r="M231" s="18" t="s">
        <v>9477</v>
      </c>
      <c r="N231" s="18" t="s">
        <v>9478</v>
      </c>
      <c r="O231" s="18" t="s">
        <v>354</v>
      </c>
      <c r="P231" s="18" t="s">
        <v>9479</v>
      </c>
      <c r="Q231" s="18" t="s">
        <v>7975</v>
      </c>
      <c r="R231" s="18" t="s">
        <v>7976</v>
      </c>
      <c r="S231" s="18" t="s">
        <v>8070</v>
      </c>
      <c r="T231" s="18" t="s">
        <v>8071</v>
      </c>
      <c r="U231" s="18" t="s">
        <v>8012</v>
      </c>
      <c r="V231" s="18" t="s">
        <v>6963</v>
      </c>
      <c r="W231" s="18" t="s">
        <v>95</v>
      </c>
      <c r="X231" s="18" t="s">
        <v>95</v>
      </c>
      <c r="Y231" s="18" t="s">
        <v>7980</v>
      </c>
      <c r="Z231" s="18" t="s">
        <v>6996</v>
      </c>
      <c r="AA231" s="69">
        <v>1</v>
      </c>
      <c r="AB231" s="18">
        <v>205.35713999999999</v>
      </c>
      <c r="AC231" s="18" t="s">
        <v>9480</v>
      </c>
      <c r="AD231" s="18" t="s">
        <v>7982</v>
      </c>
      <c r="AE231" s="18">
        <v>199.79</v>
      </c>
      <c r="AF231" s="18" t="s">
        <v>7983</v>
      </c>
      <c r="AG231" s="18">
        <v>199.79</v>
      </c>
      <c r="AH231" s="18" t="s">
        <v>95</v>
      </c>
      <c r="AI231" s="18" t="s">
        <v>8102</v>
      </c>
      <c r="AJ231" s="18" t="s">
        <v>8103</v>
      </c>
      <c r="AK231" s="18" t="s">
        <v>95</v>
      </c>
      <c r="AL231" s="18" t="s">
        <v>95</v>
      </c>
      <c r="AM231" s="18" t="s">
        <v>95</v>
      </c>
      <c r="AN231" s="18" t="s">
        <v>7984</v>
      </c>
      <c r="AO231" s="18" t="s">
        <v>92</v>
      </c>
      <c r="AP231" s="20" t="s">
        <v>880</v>
      </c>
      <c r="AQ231" s="18" t="s">
        <v>881</v>
      </c>
      <c r="AR231" s="18" t="s">
        <v>496</v>
      </c>
      <c r="AS231" s="18">
        <v>1</v>
      </c>
      <c r="AT231" s="18" t="s">
        <v>91</v>
      </c>
      <c r="AU231" s="18" t="s">
        <v>90</v>
      </c>
      <c r="AV231" s="18" t="s">
        <v>8072</v>
      </c>
      <c r="AW231" s="18" t="s">
        <v>8073</v>
      </c>
      <c r="AX231" s="18" t="s">
        <v>83</v>
      </c>
      <c r="AY231" s="18" t="s">
        <v>95</v>
      </c>
      <c r="AZ231" s="18" t="s">
        <v>95</v>
      </c>
      <c r="BA231" s="18" t="s">
        <v>95</v>
      </c>
      <c r="BB231" s="18" t="s">
        <v>95</v>
      </c>
      <c r="BC231" s="18" t="s">
        <v>118</v>
      </c>
      <c r="BD231" s="18" t="s">
        <v>95</v>
      </c>
      <c r="BE231" s="18" t="s">
        <v>95</v>
      </c>
      <c r="BF231" s="18" t="s">
        <v>95</v>
      </c>
      <c r="BG231" s="18" t="s">
        <v>95</v>
      </c>
      <c r="BH231" s="18" t="s">
        <v>95</v>
      </c>
      <c r="BI231" s="18">
        <v>12</v>
      </c>
      <c r="BJ231" s="18">
        <v>2022</v>
      </c>
      <c r="BK231" s="18" t="s">
        <v>95</v>
      </c>
      <c r="BL231" s="18" t="s">
        <v>95</v>
      </c>
      <c r="BM231" s="18" t="s">
        <v>95</v>
      </c>
      <c r="BN231" s="18" t="s">
        <v>85</v>
      </c>
      <c r="BO231" s="18" t="s">
        <v>86</v>
      </c>
      <c r="BP231" s="18" t="s">
        <v>90</v>
      </c>
      <c r="BQ231" s="18" t="s">
        <v>8106</v>
      </c>
      <c r="BR231" s="18" t="s">
        <v>92</v>
      </c>
      <c r="BS231" s="18" t="s">
        <v>8074</v>
      </c>
      <c r="BT231" s="18" t="s">
        <v>7989</v>
      </c>
      <c r="BU231" s="18" t="s">
        <v>496</v>
      </c>
      <c r="BV231" s="18" t="str">
        <f>Terminales[[#This Row],[IMEI]]&amp;"SI"</f>
        <v>869113065718927SI</v>
      </c>
      <c r="BW231" s="18" t="str">
        <f>VLOOKUP(Terminales[[#This Row],[OFICINA_USUARIO]],[1]!Locales[#Data],3,0)</f>
        <v>TIENDA CUENCA CENTRO</v>
      </c>
      <c r="BX231" s="18" t="str">
        <f>VLOOKUP(Terminales[[#This Row],[USUARIO_FINAL]],'[1]Personal Ppto vs Real'!$A:$F,6,0)</f>
        <v>LUNA JACHO ANDREA GABRIELA</v>
      </c>
      <c r="BY23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3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31" s="18">
        <f>DAY(Terminales[[#This Row],[FECHA_FACTURA]])</f>
        <v>12</v>
      </c>
      <c r="CB231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231" s="65">
        <f>IFERROR(IF(AND(Terminales[[#This Row],[CANTIDAD]] = 1,Terminales[[#This Row],[MOVIMIENTO]] = "RENOVACION"),Terminales[[#This Row],[TARIFA_BASICA]]*0.5,),)</f>
        <v>0</v>
      </c>
      <c r="CD231" s="65">
        <f>IF('[1]Resumen TM'!$AW$20 &lt; 0.4,0,Terminales[[#This Row],[MONTO]]*0.02)</f>
        <v>4.1071428000000001</v>
      </c>
      <c r="CE231" s="66">
        <f>Terminales[[#This Row],[COMISIONES TERMINALES]]+Terminales[[#This Row],[COMISIONES RENOVACIONES]]+Terminales[[#This Row],[COMISIONES BONO]]</f>
        <v>24.642856799999997</v>
      </c>
      <c r="CF231" s="67">
        <f>(Terminales[[#This Row],[COMISIONES TERMINALES]]*VLOOKUP(Terminales[[#This Row],[LOCALES]],[1]!Calendario[#Data],3,0))/VLOOKUP(Terminales[[#This Row],[LOCALES]],[1]!Calendario[#Data],2,0)</f>
        <v>33.282019241379309</v>
      </c>
      <c r="CG231" s="67">
        <f>(Terminales[[#This Row],[COMISIONES RENOVACIONES]]*VLOOKUP(Terminales[[#This Row],[LOCALES]],[1]!Calendario[#Data],3,0))/VLOOKUP(Terminales[[#This Row],[LOCALES]],[1]!Calendario[#Data],2,0)</f>
        <v>0</v>
      </c>
      <c r="CH231" s="67">
        <f>(Terminales[[#This Row],[COMISIONES BONO]]*VLOOKUP(Terminales[[#This Row],[LOCALES]],[1]!Calendario[#Data],3,0))/VLOOKUP(Terminales[[#This Row],[LOCALES]],[1]!Calendario[#Data],2,0)</f>
        <v>6.656403848275863</v>
      </c>
      <c r="CI231" s="67">
        <f>Terminales[[#This Row],[PROY. COM. TERMINALES]]+Terminales[[#This Row],[PROY. COM. RENOV.]]+Terminales[[#This Row],[PROY. COM. 2%]]</f>
        <v>39.938423089655174</v>
      </c>
    </row>
    <row r="232" spans="1:87" x14ac:dyDescent="0.25">
      <c r="A232" s="68">
        <v>44926</v>
      </c>
      <c r="B232" s="68">
        <v>44907</v>
      </c>
      <c r="C232" s="18" t="s">
        <v>96</v>
      </c>
      <c r="D232" s="18" t="s">
        <v>96</v>
      </c>
      <c r="E232" s="18" t="s">
        <v>96</v>
      </c>
      <c r="F232" s="18" t="s">
        <v>9481</v>
      </c>
      <c r="G232" s="18" t="s">
        <v>292</v>
      </c>
      <c r="H232" s="18" t="s">
        <v>494</v>
      </c>
      <c r="I232" s="18" t="s">
        <v>9482</v>
      </c>
      <c r="J232" s="18" t="s">
        <v>95</v>
      </c>
      <c r="K232" s="18" t="s">
        <v>7970</v>
      </c>
      <c r="L232" s="18" t="s">
        <v>9483</v>
      </c>
      <c r="M232" s="18" t="s">
        <v>9484</v>
      </c>
      <c r="N232" s="18" t="s">
        <v>9485</v>
      </c>
      <c r="O232" s="18" t="s">
        <v>543</v>
      </c>
      <c r="P232" s="18" t="s">
        <v>9486</v>
      </c>
      <c r="Q232" s="18" t="s">
        <v>7975</v>
      </c>
      <c r="R232" s="18" t="s">
        <v>7976</v>
      </c>
      <c r="S232" s="18" t="s">
        <v>7994</v>
      </c>
      <c r="T232" s="18" t="s">
        <v>8245</v>
      </c>
      <c r="U232" s="18" t="s">
        <v>8012</v>
      </c>
      <c r="V232" s="18" t="s">
        <v>6963</v>
      </c>
      <c r="W232" s="18" t="s">
        <v>95</v>
      </c>
      <c r="X232" s="18" t="s">
        <v>95</v>
      </c>
      <c r="Y232" s="18" t="s">
        <v>7980</v>
      </c>
      <c r="Z232" s="18" t="s">
        <v>6996</v>
      </c>
      <c r="AA232" s="69">
        <v>1</v>
      </c>
      <c r="AB232" s="18">
        <v>156.25</v>
      </c>
      <c r="AC232" s="18" t="s">
        <v>9487</v>
      </c>
      <c r="AD232" s="18" t="s">
        <v>96</v>
      </c>
      <c r="AE232" s="18">
        <v>156</v>
      </c>
      <c r="AF232" s="18" t="s">
        <v>7983</v>
      </c>
      <c r="AG232" s="18">
        <v>156</v>
      </c>
      <c r="AH232" s="18" t="s">
        <v>95</v>
      </c>
      <c r="AI232" s="18" t="s">
        <v>8102</v>
      </c>
      <c r="AJ232" s="18" t="s">
        <v>8103</v>
      </c>
      <c r="AK232" s="18" t="s">
        <v>95</v>
      </c>
      <c r="AL232" s="18" t="s">
        <v>95</v>
      </c>
      <c r="AM232" s="18" t="s">
        <v>95</v>
      </c>
      <c r="AN232" s="18" t="s">
        <v>7984</v>
      </c>
      <c r="AO232" s="18" t="s">
        <v>92</v>
      </c>
      <c r="AP232" s="20" t="s">
        <v>318</v>
      </c>
      <c r="AQ232" s="18" t="s">
        <v>319</v>
      </c>
      <c r="AR232" s="18" t="s">
        <v>496</v>
      </c>
      <c r="AS232" s="18">
        <v>1</v>
      </c>
      <c r="AT232" s="18" t="s">
        <v>151</v>
      </c>
      <c r="AU232" s="18" t="s">
        <v>90</v>
      </c>
      <c r="AV232" s="18" t="s">
        <v>8247</v>
      </c>
      <c r="AW232" s="18" t="s">
        <v>8248</v>
      </c>
      <c r="AX232" s="18" t="s">
        <v>83</v>
      </c>
      <c r="AY232" s="18" t="s">
        <v>95</v>
      </c>
      <c r="AZ232" s="18" t="s">
        <v>95</v>
      </c>
      <c r="BA232" s="18" t="s">
        <v>95</v>
      </c>
      <c r="BB232" s="18" t="s">
        <v>95</v>
      </c>
      <c r="BC232" s="18" t="s">
        <v>118</v>
      </c>
      <c r="BD232" s="18" t="s">
        <v>95</v>
      </c>
      <c r="BE232" s="18" t="s">
        <v>8560</v>
      </c>
      <c r="BF232" s="18" t="s">
        <v>8064</v>
      </c>
      <c r="BG232" s="18" t="s">
        <v>95</v>
      </c>
      <c r="BH232" s="18" t="s">
        <v>95</v>
      </c>
      <c r="BI232" s="18">
        <v>12</v>
      </c>
      <c r="BJ232" s="18">
        <v>2022</v>
      </c>
      <c r="BK232" s="18" t="s">
        <v>95</v>
      </c>
      <c r="BL232" s="18" t="s">
        <v>95</v>
      </c>
      <c r="BM232" s="18" t="s">
        <v>95</v>
      </c>
      <c r="BN232" s="18" t="s">
        <v>85</v>
      </c>
      <c r="BO232" s="18" t="s">
        <v>86</v>
      </c>
      <c r="BP232" s="18" t="s">
        <v>90</v>
      </c>
      <c r="BQ232" s="18" t="s">
        <v>8141</v>
      </c>
      <c r="BR232" s="18" t="s">
        <v>92</v>
      </c>
      <c r="BS232" s="18" t="s">
        <v>8003</v>
      </c>
      <c r="BT232" s="18" t="s">
        <v>7989</v>
      </c>
      <c r="BU232" s="18" t="s">
        <v>496</v>
      </c>
      <c r="BV232" s="18" t="str">
        <f>Terminales[[#This Row],[IMEI]]&amp;"SI"</f>
        <v>355108340320920SI</v>
      </c>
      <c r="BW232" s="18" t="str">
        <f>VLOOKUP(Terminales[[#This Row],[OFICINA_USUARIO]],[1]!Locales[#Data],3,0)</f>
        <v>TIENDA CUENCA REMIGIO</v>
      </c>
      <c r="BX232" s="18" t="str">
        <f>VLOOKUP(Terminales[[#This Row],[USUARIO_FINAL]],'[1]Personal Ppto vs Real'!$A:$F,6,0)</f>
        <v>RODRIGUEZ QUITO JESSICA GABRIELA</v>
      </c>
      <c r="BY23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3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32" s="18">
        <f>DAY(Terminales[[#This Row],[FECHA_FACTURA]])</f>
        <v>12</v>
      </c>
      <c r="CB232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32" s="65">
        <f>IFERROR(IF(AND(Terminales[[#This Row],[CANTIDAD]] = 1,Terminales[[#This Row],[MOVIMIENTO]] = "RENOVACION"),Terminales[[#This Row],[TARIFA_BASICA]]*0.5,),)</f>
        <v>0</v>
      </c>
      <c r="CD232" s="65">
        <f>IF('[1]Resumen TM'!$AW$20 &lt; 0.4,0,Terminales[[#This Row],[MONTO]]*0.02)</f>
        <v>3.125</v>
      </c>
      <c r="CE232" s="66">
        <f>Terminales[[#This Row],[COMISIONES TERMINALES]]+Terminales[[#This Row],[COMISIONES RENOVACIONES]]+Terminales[[#This Row],[COMISIONES BONO]]</f>
        <v>18.75</v>
      </c>
      <c r="CF232" s="67">
        <f>(Terminales[[#This Row],[COMISIONES TERMINALES]]*VLOOKUP(Terminales[[#This Row],[LOCALES]],[1]!Calendario[#Data],3,0))/VLOOKUP(Terminales[[#This Row],[LOCALES]],[1]!Calendario[#Data],2,0)</f>
        <v>25.323275862068964</v>
      </c>
      <c r="CG232" s="67">
        <f>(Terminales[[#This Row],[COMISIONES RENOVACIONES]]*VLOOKUP(Terminales[[#This Row],[LOCALES]],[1]!Calendario[#Data],3,0))/VLOOKUP(Terminales[[#This Row],[LOCALES]],[1]!Calendario[#Data],2,0)</f>
        <v>0</v>
      </c>
      <c r="CH232" s="67">
        <f>(Terminales[[#This Row],[COMISIONES BONO]]*VLOOKUP(Terminales[[#This Row],[LOCALES]],[1]!Calendario[#Data],3,0))/VLOOKUP(Terminales[[#This Row],[LOCALES]],[1]!Calendario[#Data],2,0)</f>
        <v>5.0646551724137927</v>
      </c>
      <c r="CI232" s="67">
        <f>Terminales[[#This Row],[PROY. COM. TERMINALES]]+Terminales[[#This Row],[PROY. COM. RENOV.]]+Terminales[[#This Row],[PROY. COM. 2%]]</f>
        <v>30.387931034482758</v>
      </c>
    </row>
    <row r="233" spans="1:87" x14ac:dyDescent="0.25">
      <c r="A233" s="68">
        <v>44926</v>
      </c>
      <c r="B233" s="68">
        <v>44907</v>
      </c>
      <c r="C233" s="18" t="s">
        <v>96</v>
      </c>
      <c r="D233" s="18" t="s">
        <v>96</v>
      </c>
      <c r="E233" s="18" t="s">
        <v>96</v>
      </c>
      <c r="F233" s="18" t="s">
        <v>9488</v>
      </c>
      <c r="G233" s="18" t="s">
        <v>292</v>
      </c>
      <c r="H233" s="18" t="s">
        <v>494</v>
      </c>
      <c r="I233" s="18" t="s">
        <v>9482</v>
      </c>
      <c r="J233" s="18" t="s">
        <v>95</v>
      </c>
      <c r="K233" s="18" t="s">
        <v>7970</v>
      </c>
      <c r="L233" s="18" t="s">
        <v>9483</v>
      </c>
      <c r="M233" s="18" t="s">
        <v>9484</v>
      </c>
      <c r="N233" s="18" t="s">
        <v>9485</v>
      </c>
      <c r="O233" s="18" t="s">
        <v>543</v>
      </c>
      <c r="P233" s="18" t="s">
        <v>9489</v>
      </c>
      <c r="Q233" s="18" t="s">
        <v>7975</v>
      </c>
      <c r="R233" s="18" t="s">
        <v>7976</v>
      </c>
      <c r="S233" s="18" t="s">
        <v>7994</v>
      </c>
      <c r="T233" s="18" t="s">
        <v>8245</v>
      </c>
      <c r="U233" s="18" t="s">
        <v>8012</v>
      </c>
      <c r="V233" s="18" t="s">
        <v>6963</v>
      </c>
      <c r="W233" s="18" t="s">
        <v>95</v>
      </c>
      <c r="X233" s="18" t="s">
        <v>95</v>
      </c>
      <c r="Y233" s="18" t="s">
        <v>7980</v>
      </c>
      <c r="Z233" s="18" t="s">
        <v>6996</v>
      </c>
      <c r="AA233" s="69">
        <v>1</v>
      </c>
      <c r="AB233" s="18">
        <v>156.25</v>
      </c>
      <c r="AC233" s="18" t="s">
        <v>9490</v>
      </c>
      <c r="AD233" s="18" t="s">
        <v>96</v>
      </c>
      <c r="AE233" s="18">
        <v>156</v>
      </c>
      <c r="AF233" s="18" t="s">
        <v>7983</v>
      </c>
      <c r="AG233" s="18">
        <v>156</v>
      </c>
      <c r="AH233" s="18" t="s">
        <v>95</v>
      </c>
      <c r="AI233" s="18" t="s">
        <v>8102</v>
      </c>
      <c r="AJ233" s="18" t="s">
        <v>8103</v>
      </c>
      <c r="AK233" s="18" t="s">
        <v>95</v>
      </c>
      <c r="AL233" s="18" t="s">
        <v>95</v>
      </c>
      <c r="AM233" s="18" t="s">
        <v>95</v>
      </c>
      <c r="AN233" s="18" t="s">
        <v>7984</v>
      </c>
      <c r="AO233" s="18" t="s">
        <v>92</v>
      </c>
      <c r="AP233" s="20" t="s">
        <v>318</v>
      </c>
      <c r="AQ233" s="18" t="s">
        <v>319</v>
      </c>
      <c r="AR233" s="18" t="s">
        <v>496</v>
      </c>
      <c r="AS233" s="18">
        <v>1</v>
      </c>
      <c r="AT233" s="18" t="s">
        <v>151</v>
      </c>
      <c r="AU233" s="18" t="s">
        <v>90</v>
      </c>
      <c r="AV233" s="18" t="s">
        <v>8247</v>
      </c>
      <c r="AW233" s="18" t="s">
        <v>8248</v>
      </c>
      <c r="AX233" s="18" t="s">
        <v>83</v>
      </c>
      <c r="AY233" s="18" t="s">
        <v>95</v>
      </c>
      <c r="AZ233" s="18" t="s">
        <v>95</v>
      </c>
      <c r="BA233" s="18" t="s">
        <v>95</v>
      </c>
      <c r="BB233" s="18" t="s">
        <v>95</v>
      </c>
      <c r="BC233" s="18" t="s">
        <v>118</v>
      </c>
      <c r="BD233" s="18" t="s">
        <v>95</v>
      </c>
      <c r="BE233" s="18" t="s">
        <v>8560</v>
      </c>
      <c r="BF233" s="18" t="s">
        <v>8064</v>
      </c>
      <c r="BG233" s="18" t="s">
        <v>95</v>
      </c>
      <c r="BH233" s="18" t="s">
        <v>95</v>
      </c>
      <c r="BI233" s="18">
        <v>12</v>
      </c>
      <c r="BJ233" s="18">
        <v>2022</v>
      </c>
      <c r="BK233" s="18" t="s">
        <v>95</v>
      </c>
      <c r="BL233" s="18" t="s">
        <v>95</v>
      </c>
      <c r="BM233" s="18" t="s">
        <v>95</v>
      </c>
      <c r="BN233" s="18" t="s">
        <v>85</v>
      </c>
      <c r="BO233" s="18" t="s">
        <v>86</v>
      </c>
      <c r="BP233" s="18" t="s">
        <v>90</v>
      </c>
      <c r="BQ233" s="18" t="s">
        <v>8141</v>
      </c>
      <c r="BR233" s="18" t="s">
        <v>92</v>
      </c>
      <c r="BS233" s="18" t="s">
        <v>8003</v>
      </c>
      <c r="BT233" s="18" t="s">
        <v>7989</v>
      </c>
      <c r="BU233" s="18" t="s">
        <v>496</v>
      </c>
      <c r="BV233" s="18" t="str">
        <f>Terminales[[#This Row],[IMEI]]&amp;"SI"</f>
        <v>355108340318544SI</v>
      </c>
      <c r="BW233" s="18" t="str">
        <f>VLOOKUP(Terminales[[#This Row],[OFICINA_USUARIO]],[1]!Locales[#Data],3,0)</f>
        <v>TIENDA CUENCA REMIGIO</v>
      </c>
      <c r="BX233" s="18" t="str">
        <f>VLOOKUP(Terminales[[#This Row],[USUARIO_FINAL]],'[1]Personal Ppto vs Real'!$A:$F,6,0)</f>
        <v>RODRIGUEZ QUITO JESSICA GABRIELA</v>
      </c>
      <c r="BY23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3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33" s="18">
        <f>DAY(Terminales[[#This Row],[FECHA_FACTURA]])</f>
        <v>12</v>
      </c>
      <c r="CB233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33" s="65">
        <f>IFERROR(IF(AND(Terminales[[#This Row],[CANTIDAD]] = 1,Terminales[[#This Row],[MOVIMIENTO]] = "RENOVACION"),Terminales[[#This Row],[TARIFA_BASICA]]*0.5,),)</f>
        <v>0</v>
      </c>
      <c r="CD233" s="65">
        <f>IF('[1]Resumen TM'!$AW$20 &lt; 0.4,0,Terminales[[#This Row],[MONTO]]*0.02)</f>
        <v>3.125</v>
      </c>
      <c r="CE233" s="66">
        <f>Terminales[[#This Row],[COMISIONES TERMINALES]]+Terminales[[#This Row],[COMISIONES RENOVACIONES]]+Terminales[[#This Row],[COMISIONES BONO]]</f>
        <v>18.75</v>
      </c>
      <c r="CF233" s="67">
        <f>(Terminales[[#This Row],[COMISIONES TERMINALES]]*VLOOKUP(Terminales[[#This Row],[LOCALES]],[1]!Calendario[#Data],3,0))/VLOOKUP(Terminales[[#This Row],[LOCALES]],[1]!Calendario[#Data],2,0)</f>
        <v>25.323275862068964</v>
      </c>
      <c r="CG233" s="67">
        <f>(Terminales[[#This Row],[COMISIONES RENOVACIONES]]*VLOOKUP(Terminales[[#This Row],[LOCALES]],[1]!Calendario[#Data],3,0))/VLOOKUP(Terminales[[#This Row],[LOCALES]],[1]!Calendario[#Data],2,0)</f>
        <v>0</v>
      </c>
      <c r="CH233" s="67">
        <f>(Terminales[[#This Row],[COMISIONES BONO]]*VLOOKUP(Terminales[[#This Row],[LOCALES]],[1]!Calendario[#Data],3,0))/VLOOKUP(Terminales[[#This Row],[LOCALES]],[1]!Calendario[#Data],2,0)</f>
        <v>5.0646551724137927</v>
      </c>
      <c r="CI233" s="67">
        <f>Terminales[[#This Row],[PROY. COM. TERMINALES]]+Terminales[[#This Row],[PROY. COM. RENOV.]]+Terminales[[#This Row],[PROY. COM. 2%]]</f>
        <v>30.387931034482758</v>
      </c>
    </row>
    <row r="234" spans="1:87" x14ac:dyDescent="0.25">
      <c r="A234" s="68">
        <v>44926</v>
      </c>
      <c r="B234" s="68">
        <v>44907</v>
      </c>
      <c r="C234" s="18" t="s">
        <v>291</v>
      </c>
      <c r="D234" s="18" t="s">
        <v>78</v>
      </c>
      <c r="E234" s="18" t="s">
        <v>1532</v>
      </c>
      <c r="F234" s="18" t="s">
        <v>9491</v>
      </c>
      <c r="G234" s="18" t="s">
        <v>292</v>
      </c>
      <c r="H234" s="18" t="s">
        <v>494</v>
      </c>
      <c r="I234" s="18" t="s">
        <v>9492</v>
      </c>
      <c r="J234" s="18" t="s">
        <v>95</v>
      </c>
      <c r="K234" s="18" t="s">
        <v>7970</v>
      </c>
      <c r="L234" s="18" t="s">
        <v>9493</v>
      </c>
      <c r="M234" s="18" t="s">
        <v>9494</v>
      </c>
      <c r="N234" s="18" t="s">
        <v>9495</v>
      </c>
      <c r="O234" s="18" t="s">
        <v>8640</v>
      </c>
      <c r="P234" s="18" t="s">
        <v>9496</v>
      </c>
      <c r="Q234" s="18" t="s">
        <v>7975</v>
      </c>
      <c r="R234" s="18" t="s">
        <v>7976</v>
      </c>
      <c r="S234" s="18" t="s">
        <v>8045</v>
      </c>
      <c r="T234" s="18" t="s">
        <v>8642</v>
      </c>
      <c r="U234" s="18" t="s">
        <v>8059</v>
      </c>
      <c r="V234" s="18" t="s">
        <v>6963</v>
      </c>
      <c r="W234" s="18" t="s">
        <v>95</v>
      </c>
      <c r="X234" s="18" t="s">
        <v>95</v>
      </c>
      <c r="Y234" s="18" t="s">
        <v>7980</v>
      </c>
      <c r="Z234" s="18" t="s">
        <v>6996</v>
      </c>
      <c r="AA234" s="69">
        <v>1</v>
      </c>
      <c r="AB234" s="18">
        <v>1204.4642899999999</v>
      </c>
      <c r="AC234" s="18" t="s">
        <v>9497</v>
      </c>
      <c r="AD234" s="18" t="s">
        <v>7982</v>
      </c>
      <c r="AE234" s="18">
        <v>1244</v>
      </c>
      <c r="AF234" s="18" t="s">
        <v>7983</v>
      </c>
      <c r="AG234" s="18">
        <v>1244</v>
      </c>
      <c r="AH234" s="18" t="s">
        <v>95</v>
      </c>
      <c r="AI234" s="18" t="s">
        <v>7147</v>
      </c>
      <c r="AJ234" s="18" t="s">
        <v>7148</v>
      </c>
      <c r="AK234" s="18">
        <v>13.79</v>
      </c>
      <c r="AL234" s="18" t="s">
        <v>95</v>
      </c>
      <c r="AM234" s="18" t="s">
        <v>95</v>
      </c>
      <c r="AN234" s="18" t="s">
        <v>7984</v>
      </c>
      <c r="AO234" s="18" t="s">
        <v>139</v>
      </c>
      <c r="AP234" s="20" t="s">
        <v>2103</v>
      </c>
      <c r="AQ234" s="18" t="s">
        <v>2104</v>
      </c>
      <c r="AR234" s="18" t="s">
        <v>496</v>
      </c>
      <c r="AS234" s="18">
        <v>1</v>
      </c>
      <c r="AT234" s="18" t="s">
        <v>177</v>
      </c>
      <c r="AU234" s="18" t="s">
        <v>90</v>
      </c>
      <c r="AV234" s="18" t="s">
        <v>8644</v>
      </c>
      <c r="AW234" s="18" t="s">
        <v>8645</v>
      </c>
      <c r="AX234" s="18" t="s">
        <v>83</v>
      </c>
      <c r="AY234" s="18" t="s">
        <v>95</v>
      </c>
      <c r="AZ234" s="18" t="s">
        <v>95</v>
      </c>
      <c r="BA234" s="18" t="s">
        <v>95</v>
      </c>
      <c r="BB234" s="18" t="s">
        <v>95</v>
      </c>
      <c r="BC234" s="18" t="s">
        <v>84</v>
      </c>
      <c r="BD234" s="18" t="s">
        <v>95</v>
      </c>
      <c r="BE234" s="18" t="s">
        <v>95</v>
      </c>
      <c r="BF234" s="18" t="s">
        <v>95</v>
      </c>
      <c r="BG234" s="18" t="s">
        <v>95</v>
      </c>
      <c r="BH234" s="18" t="s">
        <v>95</v>
      </c>
      <c r="BI234" s="18">
        <v>12</v>
      </c>
      <c r="BJ234" s="18">
        <v>2022</v>
      </c>
      <c r="BK234" s="18" t="s">
        <v>95</v>
      </c>
      <c r="BL234" s="18" t="s">
        <v>95</v>
      </c>
      <c r="BM234" s="18" t="s">
        <v>95</v>
      </c>
      <c r="BN234" s="18" t="s">
        <v>85</v>
      </c>
      <c r="BO234" s="18" t="s">
        <v>86</v>
      </c>
      <c r="BP234" s="18" t="s">
        <v>90</v>
      </c>
      <c r="BQ234" s="18" t="s">
        <v>8002</v>
      </c>
      <c r="BR234" s="18" t="s">
        <v>139</v>
      </c>
      <c r="BS234" s="18" t="s">
        <v>8074</v>
      </c>
      <c r="BT234" s="18" t="s">
        <v>7989</v>
      </c>
      <c r="BU234" s="18" t="s">
        <v>496</v>
      </c>
      <c r="BV234" s="18" t="str">
        <f>Terminales[[#This Row],[IMEI]]&amp;"SI"</f>
        <v>351338912483343SI</v>
      </c>
      <c r="BW234" s="18" t="str">
        <f>VLOOKUP(Terminales[[#This Row],[OFICINA_USUARIO]],[1]!Locales[#Data],3,0)</f>
        <v>TIENDA RECREO</v>
      </c>
      <c r="BX234" s="18" t="str">
        <f>VLOOKUP(Terminales[[#This Row],[USUARIO_FINAL]],'[1]Personal Ppto vs Real'!$A:$F,6,0)</f>
        <v>CORDOVA BRUCIL LUIS EDUARDO</v>
      </c>
      <c r="BY23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3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34" s="18">
        <f>DAY(Terminales[[#This Row],[FECHA_FACTURA]])</f>
        <v>12</v>
      </c>
      <c r="CB234" s="65">
        <f>IF(Terminales[[#This Row],[CANTIDAD]] = 1,INDEX([1]!Comisiones[#Data],MATCH("Terminales",[1]!Comisiones[Producto],0),MATCH(Terminales[[#This Row],[TIPO ALTA COMISIONES]],[1]!Comisiones[#Headers],0))*Terminales[[#This Row],[MONTO]],0)</f>
        <v>120.44642899999999</v>
      </c>
      <c r="CC234" s="65">
        <f>IFERROR(IF(AND(Terminales[[#This Row],[CANTIDAD]] = 1,Terminales[[#This Row],[MOVIMIENTO]] = "RENOVACION"),Terminales[[#This Row],[TARIFA_BASICA]]*0.5,),)</f>
        <v>6.8949999999999996</v>
      </c>
      <c r="CD234" s="65">
        <f>IF('[1]Resumen TM'!$AW$20 &lt; 0.4,0,Terminales[[#This Row],[MONTO]]*0.02)</f>
        <v>24.089285799999999</v>
      </c>
      <c r="CE234" s="66">
        <f>Terminales[[#This Row],[COMISIONES TERMINALES]]+Terminales[[#This Row],[COMISIONES RENOVACIONES]]+Terminales[[#This Row],[COMISIONES BONO]]</f>
        <v>151.43071479999998</v>
      </c>
      <c r="CF234" s="67">
        <f>(Terminales[[#This Row],[COMISIONES TERMINALES]]*VLOOKUP(Terminales[[#This Row],[LOCALES]],[1]!Calendario[#Data],3,0))/VLOOKUP(Terminales[[#This Row],[LOCALES]],[1]!Calendario[#Data],2,0)</f>
        <v>198.15380254838709</v>
      </c>
      <c r="CG234" s="67">
        <f>(Terminales[[#This Row],[COMISIONES RENOVACIONES]]*VLOOKUP(Terminales[[#This Row],[LOCALES]],[1]!Calendario[#Data],3,0))/VLOOKUP(Terminales[[#This Row],[LOCALES]],[1]!Calendario[#Data],2,0)</f>
        <v>11.343387096774192</v>
      </c>
      <c r="CH234" s="67">
        <f>(Terminales[[#This Row],[COMISIONES BONO]]*VLOOKUP(Terminales[[#This Row],[LOCALES]],[1]!Calendario[#Data],3,0))/VLOOKUP(Terminales[[#This Row],[LOCALES]],[1]!Calendario[#Data],2,0)</f>
        <v>39.630760509677415</v>
      </c>
      <c r="CI234" s="67">
        <f>Terminales[[#This Row],[PROY. COM. TERMINALES]]+Terminales[[#This Row],[PROY. COM. RENOV.]]+Terminales[[#This Row],[PROY. COM. 2%]]</f>
        <v>249.12795015483869</v>
      </c>
    </row>
    <row r="235" spans="1:87" x14ac:dyDescent="0.25">
      <c r="A235" s="68">
        <v>44926</v>
      </c>
      <c r="B235" s="68">
        <v>44907</v>
      </c>
      <c r="C235" s="18" t="s">
        <v>96</v>
      </c>
      <c r="D235" s="18" t="s">
        <v>96</v>
      </c>
      <c r="E235" s="18" t="s">
        <v>96</v>
      </c>
      <c r="F235" s="18" t="s">
        <v>9498</v>
      </c>
      <c r="G235" s="18" t="s">
        <v>292</v>
      </c>
      <c r="H235" s="18" t="s">
        <v>494</v>
      </c>
      <c r="I235" s="18" t="s">
        <v>9499</v>
      </c>
      <c r="J235" s="18" t="s">
        <v>95</v>
      </c>
      <c r="K235" s="18" t="s">
        <v>7970</v>
      </c>
      <c r="L235" s="18" t="s">
        <v>9500</v>
      </c>
      <c r="M235" s="18" t="s">
        <v>8916</v>
      </c>
      <c r="N235" s="18" t="s">
        <v>8917</v>
      </c>
      <c r="O235" s="18" t="s">
        <v>3770</v>
      </c>
      <c r="P235" s="18" t="s">
        <v>9501</v>
      </c>
      <c r="Q235" s="18" t="s">
        <v>7975</v>
      </c>
      <c r="R235" s="18" t="s">
        <v>7976</v>
      </c>
      <c r="S235" s="18" t="s">
        <v>8045</v>
      </c>
      <c r="T235" s="18" t="s">
        <v>8099</v>
      </c>
      <c r="U235" s="18" t="s">
        <v>8100</v>
      </c>
      <c r="V235" s="18" t="s">
        <v>6963</v>
      </c>
      <c r="W235" s="18" t="s">
        <v>95</v>
      </c>
      <c r="X235" s="18" t="s">
        <v>95</v>
      </c>
      <c r="Y235" s="18" t="s">
        <v>7980</v>
      </c>
      <c r="Z235" s="18" t="s">
        <v>6996</v>
      </c>
      <c r="AA235" s="69">
        <v>1</v>
      </c>
      <c r="AB235" s="18">
        <v>406.25</v>
      </c>
      <c r="AC235" s="18" t="s">
        <v>9502</v>
      </c>
      <c r="AD235" s="18" t="s">
        <v>96</v>
      </c>
      <c r="AE235" s="18">
        <v>397</v>
      </c>
      <c r="AF235" s="18" t="s">
        <v>7983</v>
      </c>
      <c r="AG235" s="18">
        <v>397</v>
      </c>
      <c r="AH235" s="18" t="s">
        <v>95</v>
      </c>
      <c r="AI235" s="18" t="s">
        <v>8102</v>
      </c>
      <c r="AJ235" s="18" t="s">
        <v>8103</v>
      </c>
      <c r="AK235" s="18" t="s">
        <v>95</v>
      </c>
      <c r="AL235" s="18" t="s">
        <v>95</v>
      </c>
      <c r="AM235" s="18" t="s">
        <v>95</v>
      </c>
      <c r="AN235" s="18" t="s">
        <v>7984</v>
      </c>
      <c r="AO235" s="18" t="s">
        <v>92</v>
      </c>
      <c r="AP235" s="20" t="s">
        <v>880</v>
      </c>
      <c r="AQ235" s="18" t="s">
        <v>881</v>
      </c>
      <c r="AR235" s="18" t="s">
        <v>496</v>
      </c>
      <c r="AS235" s="18">
        <v>1</v>
      </c>
      <c r="AT235" s="18" t="s">
        <v>91</v>
      </c>
      <c r="AU235" s="18" t="s">
        <v>90</v>
      </c>
      <c r="AV235" s="18" t="s">
        <v>8104</v>
      </c>
      <c r="AW235" s="18" t="s">
        <v>8105</v>
      </c>
      <c r="AX235" s="18" t="s">
        <v>83</v>
      </c>
      <c r="AY235" s="18" t="s">
        <v>95</v>
      </c>
      <c r="AZ235" s="18" t="s">
        <v>95</v>
      </c>
      <c r="BA235" s="18" t="s">
        <v>95</v>
      </c>
      <c r="BB235" s="18" t="s">
        <v>95</v>
      </c>
      <c r="BC235" s="18" t="s">
        <v>118</v>
      </c>
      <c r="BD235" s="18" t="s">
        <v>95</v>
      </c>
      <c r="BE235" s="18" t="s">
        <v>95</v>
      </c>
      <c r="BF235" s="18" t="s">
        <v>95</v>
      </c>
      <c r="BG235" s="18" t="s">
        <v>95</v>
      </c>
      <c r="BH235" s="18" t="s">
        <v>95</v>
      </c>
      <c r="BI235" s="18">
        <v>12</v>
      </c>
      <c r="BJ235" s="18">
        <v>2022</v>
      </c>
      <c r="BK235" s="18" t="s">
        <v>95</v>
      </c>
      <c r="BL235" s="18" t="s">
        <v>95</v>
      </c>
      <c r="BM235" s="18" t="s">
        <v>95</v>
      </c>
      <c r="BN235" s="18" t="s">
        <v>85</v>
      </c>
      <c r="BO235" s="18" t="s">
        <v>86</v>
      </c>
      <c r="BP235" s="18" t="s">
        <v>90</v>
      </c>
      <c r="BQ235" s="18" t="s">
        <v>8106</v>
      </c>
      <c r="BR235" s="18" t="s">
        <v>92</v>
      </c>
      <c r="BS235" s="18" t="s">
        <v>8074</v>
      </c>
      <c r="BT235" s="18" t="s">
        <v>7989</v>
      </c>
      <c r="BU235" s="18" t="s">
        <v>496</v>
      </c>
      <c r="BV235" s="18" t="str">
        <f>Terminales[[#This Row],[IMEI]]&amp;"SI"</f>
        <v>353842194946727SI</v>
      </c>
      <c r="BW235" s="18" t="str">
        <f>VLOOKUP(Terminales[[#This Row],[OFICINA_USUARIO]],[1]!Locales[#Data],3,0)</f>
        <v>TIENDA CUENCA CENTRO</v>
      </c>
      <c r="BX235" s="18" t="str">
        <f>VLOOKUP(Terminales[[#This Row],[USUARIO_FINAL]],'[1]Personal Ppto vs Real'!$A:$F,6,0)</f>
        <v>LUNA JACHO ANDREA GABRIELA</v>
      </c>
      <c r="BY23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3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35" s="18">
        <f>DAY(Terminales[[#This Row],[FECHA_FACTURA]])</f>
        <v>12</v>
      </c>
      <c r="CB235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235" s="65">
        <f>IFERROR(IF(AND(Terminales[[#This Row],[CANTIDAD]] = 1,Terminales[[#This Row],[MOVIMIENTO]] = "RENOVACION"),Terminales[[#This Row],[TARIFA_BASICA]]*0.5,),)</f>
        <v>0</v>
      </c>
      <c r="CD235" s="65">
        <f>IF('[1]Resumen TM'!$AW$20 &lt; 0.4,0,Terminales[[#This Row],[MONTO]]*0.02)</f>
        <v>8.125</v>
      </c>
      <c r="CE235" s="66">
        <f>Terminales[[#This Row],[COMISIONES TERMINALES]]+Terminales[[#This Row],[COMISIONES RENOVACIONES]]+Terminales[[#This Row],[COMISIONES BONO]]</f>
        <v>48.75</v>
      </c>
      <c r="CF235" s="67">
        <f>(Terminales[[#This Row],[COMISIONES TERMINALES]]*VLOOKUP(Terminales[[#This Row],[LOCALES]],[1]!Calendario[#Data],3,0))/VLOOKUP(Terminales[[#This Row],[LOCALES]],[1]!Calendario[#Data],2,0)</f>
        <v>65.840517241379317</v>
      </c>
      <c r="CG235" s="67">
        <f>(Terminales[[#This Row],[COMISIONES RENOVACIONES]]*VLOOKUP(Terminales[[#This Row],[LOCALES]],[1]!Calendario[#Data],3,0))/VLOOKUP(Terminales[[#This Row],[LOCALES]],[1]!Calendario[#Data],2,0)</f>
        <v>0</v>
      </c>
      <c r="CH235" s="67">
        <f>(Terminales[[#This Row],[COMISIONES BONO]]*VLOOKUP(Terminales[[#This Row],[LOCALES]],[1]!Calendario[#Data],3,0))/VLOOKUP(Terminales[[#This Row],[LOCALES]],[1]!Calendario[#Data],2,0)</f>
        <v>13.168103448275861</v>
      </c>
      <c r="CI235" s="67">
        <f>Terminales[[#This Row],[PROY. COM. TERMINALES]]+Terminales[[#This Row],[PROY. COM. RENOV.]]+Terminales[[#This Row],[PROY. COM. 2%]]</f>
        <v>79.008620689655174</v>
      </c>
    </row>
    <row r="236" spans="1:87" x14ac:dyDescent="0.25">
      <c r="A236" s="68">
        <v>44926</v>
      </c>
      <c r="B236" s="68">
        <v>44907</v>
      </c>
      <c r="C236" s="18" t="s">
        <v>291</v>
      </c>
      <c r="D236" s="18" t="s">
        <v>78</v>
      </c>
      <c r="E236" s="18" t="s">
        <v>231</v>
      </c>
      <c r="F236" s="18" t="s">
        <v>9503</v>
      </c>
      <c r="G236" s="18" t="s">
        <v>292</v>
      </c>
      <c r="H236" s="18" t="s">
        <v>293</v>
      </c>
      <c r="I236" s="18" t="s">
        <v>9504</v>
      </c>
      <c r="J236" s="18" t="s">
        <v>95</v>
      </c>
      <c r="K236" s="18" t="s">
        <v>7970</v>
      </c>
      <c r="L236" s="18" t="s">
        <v>9505</v>
      </c>
      <c r="M236" s="18" t="s">
        <v>2901</v>
      </c>
      <c r="N236" s="18" t="s">
        <v>2902</v>
      </c>
      <c r="O236" s="18" t="s">
        <v>338</v>
      </c>
      <c r="P236" s="18" t="s">
        <v>9506</v>
      </c>
      <c r="Q236" s="18" t="s">
        <v>7975</v>
      </c>
      <c r="R236" s="18" t="s">
        <v>7976</v>
      </c>
      <c r="S236" s="18" t="s">
        <v>7977</v>
      </c>
      <c r="T236" s="18" t="s">
        <v>7978</v>
      </c>
      <c r="U236" s="18" t="s">
        <v>7979</v>
      </c>
      <c r="V236" s="18" t="s">
        <v>6963</v>
      </c>
      <c r="W236" s="18" t="s">
        <v>95</v>
      </c>
      <c r="X236" s="18" t="s">
        <v>95</v>
      </c>
      <c r="Y236" s="18" t="s">
        <v>7980</v>
      </c>
      <c r="Z236" s="18" t="s">
        <v>6996</v>
      </c>
      <c r="AA236" s="69">
        <v>1</v>
      </c>
      <c r="AB236" s="18">
        <v>339.28570999999999</v>
      </c>
      <c r="AC236" s="18" t="s">
        <v>9507</v>
      </c>
      <c r="AD236" s="18" t="s">
        <v>7982</v>
      </c>
      <c r="AE236" s="18">
        <v>235</v>
      </c>
      <c r="AF236" s="18" t="s">
        <v>7983</v>
      </c>
      <c r="AG236" s="18">
        <v>235</v>
      </c>
      <c r="AH236" s="18" t="s">
        <v>95</v>
      </c>
      <c r="AI236" s="18" t="s">
        <v>4963</v>
      </c>
      <c r="AJ236" s="18" t="s">
        <v>4964</v>
      </c>
      <c r="AK236" s="18">
        <v>32.130000000000003</v>
      </c>
      <c r="AL236" s="18" t="s">
        <v>95</v>
      </c>
      <c r="AM236" s="18" t="s">
        <v>95</v>
      </c>
      <c r="AN236" s="18" t="s">
        <v>7984</v>
      </c>
      <c r="AO236" s="18" t="s">
        <v>139</v>
      </c>
      <c r="AP236" s="20" t="s">
        <v>280</v>
      </c>
      <c r="AQ236" s="18" t="s">
        <v>281</v>
      </c>
      <c r="AR236" s="18" t="s">
        <v>3771</v>
      </c>
      <c r="AS236" s="18">
        <v>6</v>
      </c>
      <c r="AT236" s="18" t="s">
        <v>235</v>
      </c>
      <c r="AU236" s="18" t="s">
        <v>90</v>
      </c>
      <c r="AV236" s="18" t="s">
        <v>7985</v>
      </c>
      <c r="AW236" s="18" t="s">
        <v>7986</v>
      </c>
      <c r="AX236" s="18" t="s">
        <v>83</v>
      </c>
      <c r="AY236" s="18" t="s">
        <v>95</v>
      </c>
      <c r="AZ236" s="18" t="s">
        <v>95</v>
      </c>
      <c r="BA236" s="18" t="s">
        <v>95</v>
      </c>
      <c r="BB236" s="18" t="s">
        <v>95</v>
      </c>
      <c r="BC236" s="18" t="s">
        <v>215</v>
      </c>
      <c r="BD236" s="18" t="s">
        <v>95</v>
      </c>
      <c r="BE236" s="18" t="s">
        <v>95</v>
      </c>
      <c r="BF236" s="18" t="s">
        <v>95</v>
      </c>
      <c r="BG236" s="18" t="s">
        <v>95</v>
      </c>
      <c r="BH236" s="18" t="s">
        <v>95</v>
      </c>
      <c r="BI236" s="18">
        <v>12</v>
      </c>
      <c r="BJ236" s="18">
        <v>2022</v>
      </c>
      <c r="BK236" s="18" t="s">
        <v>95</v>
      </c>
      <c r="BL236" s="18" t="s">
        <v>95</v>
      </c>
      <c r="BM236" s="18" t="s">
        <v>95</v>
      </c>
      <c r="BN236" s="18" t="s">
        <v>85</v>
      </c>
      <c r="BO236" s="18" t="s">
        <v>86</v>
      </c>
      <c r="BP236" s="18" t="s">
        <v>90</v>
      </c>
      <c r="BQ236" s="18" t="s">
        <v>8016</v>
      </c>
      <c r="BR236" s="18" t="s">
        <v>139</v>
      </c>
      <c r="BS236" s="18" t="s">
        <v>8027</v>
      </c>
      <c r="BT236" s="18" t="s">
        <v>7989</v>
      </c>
      <c r="BU236" s="18" t="s">
        <v>7990</v>
      </c>
      <c r="BV236" s="18" t="str">
        <f>Terminales[[#This Row],[IMEI]]&amp;"SI"</f>
        <v>866184060682197SI</v>
      </c>
      <c r="BW236" s="18" t="str">
        <f>VLOOKUP(Terminales[[#This Row],[OFICINA_USUARIO]],[1]!Locales[#Data],3,0)</f>
        <v>TIENDA CONDADO</v>
      </c>
      <c r="BX236" s="18" t="str">
        <f>VLOOKUP(Terminales[[#This Row],[USUARIO_FINAL]],'[1]Personal Ppto vs Real'!$A:$F,6,0)</f>
        <v>GUACHAMIN CAZA HUGO ADRIAN</v>
      </c>
      <c r="BY23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3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36" s="18">
        <f>DAY(Terminales[[#This Row],[FECHA_FACTURA]])</f>
        <v>12</v>
      </c>
      <c r="CB236" s="65">
        <f>IF(Terminales[[#This Row],[CANTIDAD]] = 1,INDEX([1]!Comisiones[#Data],MATCH("Terminales",[1]!Comisiones[Producto],0),MATCH(Terminales[[#This Row],[TIPO ALTA COMISIONES]],[1]!Comisiones[#Headers],0))*Terminales[[#This Row],[MONTO]],0)</f>
        <v>27.142856800000001</v>
      </c>
      <c r="CC236" s="65">
        <f>IFERROR(IF(AND(Terminales[[#This Row],[CANTIDAD]] = 1,Terminales[[#This Row],[MOVIMIENTO]] = "RENOVACION"),Terminales[[#This Row],[TARIFA_BASICA]]*0.5,),)</f>
        <v>16.065000000000001</v>
      </c>
      <c r="CD236" s="65">
        <f>IF('[1]Resumen TM'!$AW$20 &lt; 0.4,0,Terminales[[#This Row],[MONTO]]*0.02)</f>
        <v>6.7857142000000001</v>
      </c>
      <c r="CE236" s="66">
        <f>Terminales[[#This Row],[COMISIONES TERMINALES]]+Terminales[[#This Row],[COMISIONES RENOVACIONES]]+Terminales[[#This Row],[COMISIONES BONO]]</f>
        <v>49.993571000000003</v>
      </c>
      <c r="CF236" s="67">
        <f>(Terminales[[#This Row],[COMISIONES TERMINALES]]*VLOOKUP(Terminales[[#This Row],[LOCALES]],[1]!Calendario[#Data],3,0))/VLOOKUP(Terminales[[#This Row],[LOCALES]],[1]!Calendario[#Data],2,0)</f>
        <v>44.654377316129036</v>
      </c>
      <c r="CG236" s="67">
        <f>(Terminales[[#This Row],[COMISIONES RENOVACIONES]]*VLOOKUP(Terminales[[#This Row],[LOCALES]],[1]!Calendario[#Data],3,0))/VLOOKUP(Terminales[[#This Row],[LOCALES]],[1]!Calendario[#Data],2,0)</f>
        <v>26.429516129032258</v>
      </c>
      <c r="CH236" s="67">
        <f>(Terminales[[#This Row],[COMISIONES BONO]]*VLOOKUP(Terminales[[#This Row],[LOCALES]],[1]!Calendario[#Data],3,0))/VLOOKUP(Terminales[[#This Row],[LOCALES]],[1]!Calendario[#Data],2,0)</f>
        <v>11.163594329032259</v>
      </c>
      <c r="CI236" s="67">
        <f>Terminales[[#This Row],[PROY. COM. TERMINALES]]+Terminales[[#This Row],[PROY. COM. RENOV.]]+Terminales[[#This Row],[PROY. COM. 2%]]</f>
        <v>82.247487774193559</v>
      </c>
    </row>
    <row r="237" spans="1:87" x14ac:dyDescent="0.25">
      <c r="A237" s="68">
        <v>44926</v>
      </c>
      <c r="B237" s="68">
        <v>44907</v>
      </c>
      <c r="C237" s="18" t="s">
        <v>96</v>
      </c>
      <c r="D237" s="18" t="s">
        <v>96</v>
      </c>
      <c r="E237" s="18" t="s">
        <v>96</v>
      </c>
      <c r="F237" s="18" t="s">
        <v>9508</v>
      </c>
      <c r="G237" s="18" t="s">
        <v>292</v>
      </c>
      <c r="H237" s="18" t="s">
        <v>494</v>
      </c>
      <c r="I237" s="18" t="s">
        <v>9509</v>
      </c>
      <c r="J237" s="18" t="s">
        <v>95</v>
      </c>
      <c r="K237" s="18" t="s">
        <v>7970</v>
      </c>
      <c r="L237" s="18" t="s">
        <v>9510</v>
      </c>
      <c r="M237" s="18" t="s">
        <v>9511</v>
      </c>
      <c r="N237" s="18" t="s">
        <v>9512</v>
      </c>
      <c r="O237" s="18" t="s">
        <v>543</v>
      </c>
      <c r="P237" s="18" t="s">
        <v>9513</v>
      </c>
      <c r="Q237" s="18" t="s">
        <v>7975</v>
      </c>
      <c r="R237" s="18" t="s">
        <v>7976</v>
      </c>
      <c r="S237" s="18" t="s">
        <v>7994</v>
      </c>
      <c r="T237" s="18" t="s">
        <v>8245</v>
      </c>
      <c r="U237" s="18" t="s">
        <v>8012</v>
      </c>
      <c r="V237" s="18" t="s">
        <v>6963</v>
      </c>
      <c r="W237" s="18" t="s">
        <v>95</v>
      </c>
      <c r="X237" s="18" t="s">
        <v>95</v>
      </c>
      <c r="Y237" s="18" t="s">
        <v>7980</v>
      </c>
      <c r="Z237" s="18" t="s">
        <v>6996</v>
      </c>
      <c r="AA237" s="69">
        <v>1</v>
      </c>
      <c r="AB237" s="18">
        <v>156.25</v>
      </c>
      <c r="AC237" s="18" t="s">
        <v>9514</v>
      </c>
      <c r="AD237" s="18" t="s">
        <v>96</v>
      </c>
      <c r="AE237" s="18">
        <v>156</v>
      </c>
      <c r="AF237" s="18" t="s">
        <v>7983</v>
      </c>
      <c r="AG237" s="18">
        <v>156</v>
      </c>
      <c r="AH237" s="18" t="s">
        <v>95</v>
      </c>
      <c r="AI237" s="18" t="s">
        <v>8102</v>
      </c>
      <c r="AJ237" s="18" t="s">
        <v>8103</v>
      </c>
      <c r="AK237" s="18" t="s">
        <v>95</v>
      </c>
      <c r="AL237" s="18" t="s">
        <v>95</v>
      </c>
      <c r="AM237" s="18" t="s">
        <v>95</v>
      </c>
      <c r="AN237" s="18" t="s">
        <v>7984</v>
      </c>
      <c r="AO237" s="18" t="s">
        <v>92</v>
      </c>
      <c r="AP237" s="20" t="s">
        <v>420</v>
      </c>
      <c r="AQ237" s="18" t="s">
        <v>421</v>
      </c>
      <c r="AR237" s="18" t="s">
        <v>496</v>
      </c>
      <c r="AS237" s="18">
        <v>1</v>
      </c>
      <c r="AT237" s="18" t="s">
        <v>151</v>
      </c>
      <c r="AU237" s="18" t="s">
        <v>90</v>
      </c>
      <c r="AV237" s="18" t="s">
        <v>8247</v>
      </c>
      <c r="AW237" s="18" t="s">
        <v>8248</v>
      </c>
      <c r="AX237" s="18" t="s">
        <v>83</v>
      </c>
      <c r="AY237" s="18" t="s">
        <v>95</v>
      </c>
      <c r="AZ237" s="18" t="s">
        <v>95</v>
      </c>
      <c r="BA237" s="18" t="s">
        <v>95</v>
      </c>
      <c r="BB237" s="18" t="s">
        <v>95</v>
      </c>
      <c r="BC237" s="18" t="s">
        <v>118</v>
      </c>
      <c r="BD237" s="18" t="s">
        <v>95</v>
      </c>
      <c r="BE237" s="18" t="s">
        <v>95</v>
      </c>
      <c r="BF237" s="18" t="s">
        <v>95</v>
      </c>
      <c r="BG237" s="18" t="s">
        <v>95</v>
      </c>
      <c r="BH237" s="18" t="s">
        <v>95</v>
      </c>
      <c r="BI237" s="18">
        <v>12</v>
      </c>
      <c r="BJ237" s="18">
        <v>2022</v>
      </c>
      <c r="BK237" s="18" t="s">
        <v>95</v>
      </c>
      <c r="BL237" s="18" t="s">
        <v>95</v>
      </c>
      <c r="BM237" s="18" t="s">
        <v>95</v>
      </c>
      <c r="BN237" s="18" t="s">
        <v>85</v>
      </c>
      <c r="BO237" s="18" t="s">
        <v>86</v>
      </c>
      <c r="BP237" s="18" t="s">
        <v>90</v>
      </c>
      <c r="BQ237" s="18" t="s">
        <v>8141</v>
      </c>
      <c r="BR237" s="18" t="s">
        <v>92</v>
      </c>
      <c r="BS237" s="18" t="s">
        <v>8074</v>
      </c>
      <c r="BT237" s="18" t="s">
        <v>7989</v>
      </c>
      <c r="BU237" s="18" t="s">
        <v>496</v>
      </c>
      <c r="BV237" s="18" t="str">
        <f>Terminales[[#This Row],[IMEI]]&amp;"SI"</f>
        <v>355108340319336SI</v>
      </c>
      <c r="BW237" s="18" t="str">
        <f>VLOOKUP(Terminales[[#This Row],[OFICINA_USUARIO]],[1]!Locales[#Data],3,0)</f>
        <v>TIENDA CUENCA REMIGIO</v>
      </c>
      <c r="BX237" s="18" t="str">
        <f>VLOOKUP(Terminales[[#This Row],[USUARIO_FINAL]],'[1]Personal Ppto vs Real'!$A:$F,6,0)</f>
        <v>YEPEZ PALOMEQUE DIANA PATRICIA</v>
      </c>
      <c r="BY23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3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37" s="18">
        <f>DAY(Terminales[[#This Row],[FECHA_FACTURA]])</f>
        <v>12</v>
      </c>
      <c r="CB237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37" s="65">
        <f>IFERROR(IF(AND(Terminales[[#This Row],[CANTIDAD]] = 1,Terminales[[#This Row],[MOVIMIENTO]] = "RENOVACION"),Terminales[[#This Row],[TARIFA_BASICA]]*0.5,),)</f>
        <v>0</v>
      </c>
      <c r="CD237" s="65">
        <f>IF('[1]Resumen TM'!$AW$20 &lt; 0.4,0,Terminales[[#This Row],[MONTO]]*0.02)</f>
        <v>3.125</v>
      </c>
      <c r="CE237" s="66">
        <f>Terminales[[#This Row],[COMISIONES TERMINALES]]+Terminales[[#This Row],[COMISIONES RENOVACIONES]]+Terminales[[#This Row],[COMISIONES BONO]]</f>
        <v>18.75</v>
      </c>
      <c r="CF237" s="67">
        <f>(Terminales[[#This Row],[COMISIONES TERMINALES]]*VLOOKUP(Terminales[[#This Row],[LOCALES]],[1]!Calendario[#Data],3,0))/VLOOKUP(Terminales[[#This Row],[LOCALES]],[1]!Calendario[#Data],2,0)</f>
        <v>25.323275862068964</v>
      </c>
      <c r="CG237" s="67">
        <f>(Terminales[[#This Row],[COMISIONES RENOVACIONES]]*VLOOKUP(Terminales[[#This Row],[LOCALES]],[1]!Calendario[#Data],3,0))/VLOOKUP(Terminales[[#This Row],[LOCALES]],[1]!Calendario[#Data],2,0)</f>
        <v>0</v>
      </c>
      <c r="CH237" s="67">
        <f>(Terminales[[#This Row],[COMISIONES BONO]]*VLOOKUP(Terminales[[#This Row],[LOCALES]],[1]!Calendario[#Data],3,0))/VLOOKUP(Terminales[[#This Row],[LOCALES]],[1]!Calendario[#Data],2,0)</f>
        <v>5.0646551724137927</v>
      </c>
      <c r="CI237" s="67">
        <f>Terminales[[#This Row],[PROY. COM. TERMINALES]]+Terminales[[#This Row],[PROY. COM. RENOV.]]+Terminales[[#This Row],[PROY. COM. 2%]]</f>
        <v>30.387931034482758</v>
      </c>
    </row>
    <row r="238" spans="1:87" x14ac:dyDescent="0.25">
      <c r="A238" s="68">
        <v>44926</v>
      </c>
      <c r="B238" s="68">
        <v>44907</v>
      </c>
      <c r="C238" s="18" t="s">
        <v>96</v>
      </c>
      <c r="D238" s="18" t="s">
        <v>96</v>
      </c>
      <c r="E238" s="18" t="s">
        <v>96</v>
      </c>
      <c r="F238" s="18" t="s">
        <v>9515</v>
      </c>
      <c r="G238" s="18" t="s">
        <v>292</v>
      </c>
      <c r="H238" s="18" t="s">
        <v>494</v>
      </c>
      <c r="I238" s="18" t="s">
        <v>9516</v>
      </c>
      <c r="J238" s="18" t="s">
        <v>95</v>
      </c>
      <c r="K238" s="18" t="s">
        <v>7970</v>
      </c>
      <c r="L238" s="18" t="s">
        <v>9517</v>
      </c>
      <c r="M238" s="18" t="s">
        <v>9518</v>
      </c>
      <c r="N238" s="18" t="s">
        <v>9519</v>
      </c>
      <c r="O238" s="18" t="s">
        <v>1691</v>
      </c>
      <c r="P238" s="18" t="s">
        <v>9520</v>
      </c>
      <c r="Q238" s="18" t="s">
        <v>7975</v>
      </c>
      <c r="R238" s="18" t="s">
        <v>7976</v>
      </c>
      <c r="S238" s="18" t="s">
        <v>8045</v>
      </c>
      <c r="T238" s="18" t="s">
        <v>8225</v>
      </c>
      <c r="U238" s="18" t="s">
        <v>8012</v>
      </c>
      <c r="V238" s="18" t="s">
        <v>6963</v>
      </c>
      <c r="W238" s="18" t="s">
        <v>95</v>
      </c>
      <c r="X238" s="18" t="s">
        <v>95</v>
      </c>
      <c r="Y238" s="18" t="s">
        <v>7980</v>
      </c>
      <c r="Z238" s="18" t="s">
        <v>6996</v>
      </c>
      <c r="AA238" s="69">
        <v>1</v>
      </c>
      <c r="AB238" s="18">
        <v>241.07142999999999</v>
      </c>
      <c r="AC238" s="18" t="s">
        <v>9521</v>
      </c>
      <c r="AD238" s="18" t="s">
        <v>7982</v>
      </c>
      <c r="AE238" s="18">
        <v>232</v>
      </c>
      <c r="AF238" s="18" t="s">
        <v>7983</v>
      </c>
      <c r="AG238" s="18">
        <v>232</v>
      </c>
      <c r="AH238" s="18" t="s">
        <v>95</v>
      </c>
      <c r="AI238" s="18" t="s">
        <v>8102</v>
      </c>
      <c r="AJ238" s="18" t="s">
        <v>8103</v>
      </c>
      <c r="AK238" s="18" t="s">
        <v>95</v>
      </c>
      <c r="AL238" s="18" t="s">
        <v>95</v>
      </c>
      <c r="AM238" s="18" t="s">
        <v>95</v>
      </c>
      <c r="AN238" s="18" t="s">
        <v>7984</v>
      </c>
      <c r="AO238" s="18" t="s">
        <v>92</v>
      </c>
      <c r="AP238" s="20" t="s">
        <v>610</v>
      </c>
      <c r="AQ238" s="18" t="s">
        <v>611</v>
      </c>
      <c r="AR238" s="18" t="s">
        <v>496</v>
      </c>
      <c r="AS238" s="18">
        <v>1</v>
      </c>
      <c r="AT238" s="18" t="s">
        <v>151</v>
      </c>
      <c r="AU238" s="18" t="s">
        <v>90</v>
      </c>
      <c r="AV238" s="18" t="s">
        <v>8228</v>
      </c>
      <c r="AW238" s="18" t="s">
        <v>8229</v>
      </c>
      <c r="AX238" s="18" t="s">
        <v>83</v>
      </c>
      <c r="AY238" s="18" t="s">
        <v>95</v>
      </c>
      <c r="AZ238" s="18" t="s">
        <v>95</v>
      </c>
      <c r="BA238" s="18" t="s">
        <v>95</v>
      </c>
      <c r="BB238" s="18" t="s">
        <v>95</v>
      </c>
      <c r="BC238" s="18" t="s">
        <v>118</v>
      </c>
      <c r="BD238" s="18" t="s">
        <v>95</v>
      </c>
      <c r="BE238" s="18" t="s">
        <v>8606</v>
      </c>
      <c r="BF238" s="18" t="s">
        <v>8001</v>
      </c>
      <c r="BG238" s="18" t="s">
        <v>95</v>
      </c>
      <c r="BH238" s="18" t="s">
        <v>95</v>
      </c>
      <c r="BI238" s="18">
        <v>12</v>
      </c>
      <c r="BJ238" s="18">
        <v>2022</v>
      </c>
      <c r="BK238" s="18" t="s">
        <v>95</v>
      </c>
      <c r="BL238" s="18" t="s">
        <v>95</v>
      </c>
      <c r="BM238" s="18" t="s">
        <v>95</v>
      </c>
      <c r="BN238" s="18" t="s">
        <v>85</v>
      </c>
      <c r="BO238" s="18" t="s">
        <v>86</v>
      </c>
      <c r="BP238" s="18" t="s">
        <v>90</v>
      </c>
      <c r="BQ238" s="18" t="s">
        <v>8141</v>
      </c>
      <c r="BR238" s="18" t="s">
        <v>92</v>
      </c>
      <c r="BS238" s="18" t="s">
        <v>8003</v>
      </c>
      <c r="BT238" s="18" t="s">
        <v>7989</v>
      </c>
      <c r="BU238" s="18" t="s">
        <v>496</v>
      </c>
      <c r="BV238" s="18" t="str">
        <f>Terminales[[#This Row],[IMEI]]&amp;"SI"</f>
        <v>356795951333983SI</v>
      </c>
      <c r="BW238" s="18" t="str">
        <f>VLOOKUP(Terminales[[#This Row],[OFICINA_USUARIO]],[1]!Locales[#Data],3,0)</f>
        <v>TIENDA CUENCA REMIGIO</v>
      </c>
      <c r="BX238" s="18" t="str">
        <f>VLOOKUP(Terminales[[#This Row],[USUARIO_FINAL]],'[1]Personal Ppto vs Real'!$A:$F,6,0)</f>
        <v>PATIÑO TAPIA ANDRES SANTIAGO</v>
      </c>
      <c r="BY23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3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38" s="18">
        <f>DAY(Terminales[[#This Row],[FECHA_FACTURA]])</f>
        <v>12</v>
      </c>
      <c r="CB238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38" s="65">
        <f>IFERROR(IF(AND(Terminales[[#This Row],[CANTIDAD]] = 1,Terminales[[#This Row],[MOVIMIENTO]] = "RENOVACION"),Terminales[[#This Row],[TARIFA_BASICA]]*0.5,),)</f>
        <v>0</v>
      </c>
      <c r="CD238" s="65">
        <f>IF('[1]Resumen TM'!$AW$20 &lt; 0.4,0,Terminales[[#This Row],[MONTO]]*0.02)</f>
        <v>4.8214286</v>
      </c>
      <c r="CE238" s="66">
        <f>Terminales[[#This Row],[COMISIONES TERMINALES]]+Terminales[[#This Row],[COMISIONES RENOVACIONES]]+Terminales[[#This Row],[COMISIONES BONO]]</f>
        <v>28.928571600000001</v>
      </c>
      <c r="CF238" s="67">
        <f>(Terminales[[#This Row],[COMISIONES TERMINALES]]*VLOOKUP(Terminales[[#This Row],[LOCALES]],[1]!Calendario[#Data],3,0))/VLOOKUP(Terminales[[#This Row],[LOCALES]],[1]!Calendario[#Data],2,0)</f>
        <v>39.070197275862071</v>
      </c>
      <c r="CG238" s="67">
        <f>(Terminales[[#This Row],[COMISIONES RENOVACIONES]]*VLOOKUP(Terminales[[#This Row],[LOCALES]],[1]!Calendario[#Data],3,0))/VLOOKUP(Terminales[[#This Row],[LOCALES]],[1]!Calendario[#Data],2,0)</f>
        <v>0</v>
      </c>
      <c r="CH238" s="67">
        <f>(Terminales[[#This Row],[COMISIONES BONO]]*VLOOKUP(Terminales[[#This Row],[LOCALES]],[1]!Calendario[#Data],3,0))/VLOOKUP(Terminales[[#This Row],[LOCALES]],[1]!Calendario[#Data],2,0)</f>
        <v>7.8140394551724137</v>
      </c>
      <c r="CI238" s="67">
        <f>Terminales[[#This Row],[PROY. COM. TERMINALES]]+Terminales[[#This Row],[PROY. COM. RENOV.]]+Terminales[[#This Row],[PROY. COM. 2%]]</f>
        <v>46.884236731034484</v>
      </c>
    </row>
    <row r="239" spans="1:87" x14ac:dyDescent="0.25">
      <c r="A239" s="68">
        <v>44926</v>
      </c>
      <c r="B239" s="68">
        <v>44907</v>
      </c>
      <c r="C239" s="18" t="s">
        <v>96</v>
      </c>
      <c r="D239" s="18" t="s">
        <v>96</v>
      </c>
      <c r="E239" s="18" t="s">
        <v>96</v>
      </c>
      <c r="F239" s="18" t="s">
        <v>9522</v>
      </c>
      <c r="G239" s="18" t="s">
        <v>292</v>
      </c>
      <c r="H239" s="18" t="s">
        <v>494</v>
      </c>
      <c r="I239" s="18" t="s">
        <v>9523</v>
      </c>
      <c r="J239" s="18" t="s">
        <v>95</v>
      </c>
      <c r="K239" s="18" t="s">
        <v>7970</v>
      </c>
      <c r="L239" s="18" t="s">
        <v>9524</v>
      </c>
      <c r="M239" s="18" t="s">
        <v>9525</v>
      </c>
      <c r="N239" s="18" t="s">
        <v>9526</v>
      </c>
      <c r="O239" s="18" t="s">
        <v>8033</v>
      </c>
      <c r="P239" s="18" t="s">
        <v>9527</v>
      </c>
      <c r="Q239" s="18" t="s">
        <v>7975</v>
      </c>
      <c r="R239" s="18" t="s">
        <v>7976</v>
      </c>
      <c r="S239" s="18" t="s">
        <v>7977</v>
      </c>
      <c r="T239" s="18" t="s">
        <v>8035</v>
      </c>
      <c r="U239" s="18" t="s">
        <v>7996</v>
      </c>
      <c r="V239" s="18" t="s">
        <v>6963</v>
      </c>
      <c r="W239" s="18" t="s">
        <v>95</v>
      </c>
      <c r="X239" s="18" t="s">
        <v>95</v>
      </c>
      <c r="Y239" s="18" t="s">
        <v>7980</v>
      </c>
      <c r="Z239" s="18" t="s">
        <v>6996</v>
      </c>
      <c r="AA239" s="69">
        <v>1</v>
      </c>
      <c r="AB239" s="18">
        <v>165.17857000000001</v>
      </c>
      <c r="AC239" s="18" t="s">
        <v>9528</v>
      </c>
      <c r="AD239" s="18" t="s">
        <v>96</v>
      </c>
      <c r="AE239" s="18">
        <v>147</v>
      </c>
      <c r="AF239" s="18" t="s">
        <v>7983</v>
      </c>
      <c r="AG239" s="18">
        <v>147</v>
      </c>
      <c r="AH239" s="18" t="s">
        <v>95</v>
      </c>
      <c r="AI239" s="18" t="s">
        <v>8102</v>
      </c>
      <c r="AJ239" s="18" t="s">
        <v>8103</v>
      </c>
      <c r="AK239" s="18" t="s">
        <v>95</v>
      </c>
      <c r="AL239" s="18" t="s">
        <v>95</v>
      </c>
      <c r="AM239" s="18" t="s">
        <v>95</v>
      </c>
      <c r="AN239" s="18" t="s">
        <v>7984</v>
      </c>
      <c r="AO239" s="18" t="s">
        <v>139</v>
      </c>
      <c r="AP239" s="20" t="s">
        <v>1315</v>
      </c>
      <c r="AQ239" s="18" t="s">
        <v>1316</v>
      </c>
      <c r="AR239" s="18" t="s">
        <v>496</v>
      </c>
      <c r="AS239" s="18">
        <v>1</v>
      </c>
      <c r="AT239" s="18" t="s">
        <v>177</v>
      </c>
      <c r="AU239" s="18" t="s">
        <v>90</v>
      </c>
      <c r="AV239" s="18" t="s">
        <v>8037</v>
      </c>
      <c r="AW239" s="18" t="s">
        <v>8038</v>
      </c>
      <c r="AX239" s="18" t="s">
        <v>83</v>
      </c>
      <c r="AY239" s="18" t="s">
        <v>95</v>
      </c>
      <c r="AZ239" s="18" t="s">
        <v>95</v>
      </c>
      <c r="BA239" s="18" t="s">
        <v>95</v>
      </c>
      <c r="BB239" s="18" t="s">
        <v>95</v>
      </c>
      <c r="BC239" s="18" t="s">
        <v>118</v>
      </c>
      <c r="BD239" s="18" t="s">
        <v>95</v>
      </c>
      <c r="BE239" s="18" t="s">
        <v>95</v>
      </c>
      <c r="BF239" s="18" t="s">
        <v>95</v>
      </c>
      <c r="BG239" s="18" t="s">
        <v>95</v>
      </c>
      <c r="BH239" s="18" t="s">
        <v>95</v>
      </c>
      <c r="BI239" s="18">
        <v>12</v>
      </c>
      <c r="BJ239" s="18">
        <v>2022</v>
      </c>
      <c r="BK239" s="18" t="s">
        <v>95</v>
      </c>
      <c r="BL239" s="18" t="s">
        <v>95</v>
      </c>
      <c r="BM239" s="18" t="s">
        <v>95</v>
      </c>
      <c r="BN239" s="18" t="s">
        <v>85</v>
      </c>
      <c r="BO239" s="18" t="s">
        <v>86</v>
      </c>
      <c r="BP239" s="18" t="s">
        <v>90</v>
      </c>
      <c r="BQ239" s="18" t="s">
        <v>8002</v>
      </c>
      <c r="BR239" s="18" t="s">
        <v>139</v>
      </c>
      <c r="BS239" s="18" t="s">
        <v>8074</v>
      </c>
      <c r="BT239" s="18" t="s">
        <v>7989</v>
      </c>
      <c r="BU239" s="18" t="s">
        <v>496</v>
      </c>
      <c r="BV239" s="18" t="str">
        <f>Terminales[[#This Row],[IMEI]]&amp;"SI"</f>
        <v>862800062999636SI</v>
      </c>
      <c r="BW239" s="18" t="str">
        <f>VLOOKUP(Terminales[[#This Row],[OFICINA_USUARIO]],[1]!Locales[#Data],3,0)</f>
        <v>TIENDA RECREO</v>
      </c>
      <c r="BX239" s="18" t="str">
        <f>VLOOKUP(Terminales[[#This Row],[USUARIO_FINAL]],'[1]Personal Ppto vs Real'!$A:$F,6,0)</f>
        <v>ORTEGA  NATALIE MÉNDEZ</v>
      </c>
      <c r="BY23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3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39" s="18">
        <f>DAY(Terminales[[#This Row],[FECHA_FACTURA]])</f>
        <v>12</v>
      </c>
      <c r="CB239" s="65">
        <f>IF(Terminales[[#This Row],[CANTIDAD]] = 1,INDEX([1]!Comisiones[#Data],MATCH("Terminales",[1]!Comisiones[Producto],0),MATCH(Terminales[[#This Row],[TIPO ALTA COMISIONES]],[1]!Comisiones[#Headers],0))*Terminales[[#This Row],[MONTO]],0)</f>
        <v>16.517857000000003</v>
      </c>
      <c r="CC239" s="65">
        <f>IFERROR(IF(AND(Terminales[[#This Row],[CANTIDAD]] = 1,Terminales[[#This Row],[MOVIMIENTO]] = "RENOVACION"),Terminales[[#This Row],[TARIFA_BASICA]]*0.5,),)</f>
        <v>0</v>
      </c>
      <c r="CD239" s="65">
        <f>IF('[1]Resumen TM'!$AW$20 &lt; 0.4,0,Terminales[[#This Row],[MONTO]]*0.02)</f>
        <v>3.3035714</v>
      </c>
      <c r="CE239" s="66">
        <f>Terminales[[#This Row],[COMISIONES TERMINALES]]+Terminales[[#This Row],[COMISIONES RENOVACIONES]]+Terminales[[#This Row],[COMISIONES BONO]]</f>
        <v>19.821428400000002</v>
      </c>
      <c r="CF239" s="67">
        <f>(Terminales[[#This Row],[COMISIONES TERMINALES]]*VLOOKUP(Terminales[[#This Row],[LOCALES]],[1]!Calendario[#Data],3,0))/VLOOKUP(Terminales[[#This Row],[LOCALES]],[1]!Calendario[#Data],2,0)</f>
        <v>27.174538935483874</v>
      </c>
      <c r="CG239" s="67">
        <f>(Terminales[[#This Row],[COMISIONES RENOVACIONES]]*VLOOKUP(Terminales[[#This Row],[LOCALES]],[1]!Calendario[#Data],3,0))/VLOOKUP(Terminales[[#This Row],[LOCALES]],[1]!Calendario[#Data],2,0)</f>
        <v>0</v>
      </c>
      <c r="CH239" s="67">
        <f>(Terminales[[#This Row],[COMISIONES BONO]]*VLOOKUP(Terminales[[#This Row],[LOCALES]],[1]!Calendario[#Data],3,0))/VLOOKUP(Terminales[[#This Row],[LOCALES]],[1]!Calendario[#Data],2,0)</f>
        <v>5.4349077870967735</v>
      </c>
      <c r="CI239" s="67">
        <f>Terminales[[#This Row],[PROY. COM. TERMINALES]]+Terminales[[#This Row],[PROY. COM. RENOV.]]+Terminales[[#This Row],[PROY. COM. 2%]]</f>
        <v>32.60944672258065</v>
      </c>
    </row>
    <row r="240" spans="1:87" x14ac:dyDescent="0.25">
      <c r="A240" s="68">
        <v>44926</v>
      </c>
      <c r="B240" s="68">
        <v>44907</v>
      </c>
      <c r="C240" s="18" t="s">
        <v>291</v>
      </c>
      <c r="D240" s="18" t="s">
        <v>78</v>
      </c>
      <c r="E240" s="18" t="s">
        <v>1532</v>
      </c>
      <c r="F240" s="18" t="s">
        <v>9529</v>
      </c>
      <c r="G240" s="18" t="s">
        <v>292</v>
      </c>
      <c r="H240" s="18" t="s">
        <v>494</v>
      </c>
      <c r="I240" s="18" t="s">
        <v>9530</v>
      </c>
      <c r="J240" s="18" t="s">
        <v>95</v>
      </c>
      <c r="K240" s="18" t="s">
        <v>7970</v>
      </c>
      <c r="L240" s="18" t="s">
        <v>9531</v>
      </c>
      <c r="M240" s="18" t="s">
        <v>9532</v>
      </c>
      <c r="N240" s="18" t="s">
        <v>9533</v>
      </c>
      <c r="O240" s="18" t="s">
        <v>543</v>
      </c>
      <c r="P240" s="18" t="s">
        <v>9534</v>
      </c>
      <c r="Q240" s="18" t="s">
        <v>7975</v>
      </c>
      <c r="R240" s="18" t="s">
        <v>7976</v>
      </c>
      <c r="S240" s="18" t="s">
        <v>7994</v>
      </c>
      <c r="T240" s="18" t="s">
        <v>8245</v>
      </c>
      <c r="U240" s="18" t="s">
        <v>8012</v>
      </c>
      <c r="V240" s="18" t="s">
        <v>6963</v>
      </c>
      <c r="W240" s="18" t="s">
        <v>95</v>
      </c>
      <c r="X240" s="18" t="s">
        <v>95</v>
      </c>
      <c r="Y240" s="18" t="s">
        <v>7980</v>
      </c>
      <c r="Z240" s="18" t="s">
        <v>6996</v>
      </c>
      <c r="AA240" s="69">
        <v>1</v>
      </c>
      <c r="AB240" s="18">
        <v>156.25</v>
      </c>
      <c r="AC240" s="18" t="s">
        <v>9535</v>
      </c>
      <c r="AD240" s="18" t="s">
        <v>7982</v>
      </c>
      <c r="AE240" s="18">
        <v>156</v>
      </c>
      <c r="AF240" s="18" t="s">
        <v>7983</v>
      </c>
      <c r="AG240" s="18">
        <v>156</v>
      </c>
      <c r="AH240" s="18" t="s">
        <v>95</v>
      </c>
      <c r="AI240" s="18" t="s">
        <v>7227</v>
      </c>
      <c r="AJ240" s="18" t="s">
        <v>7228</v>
      </c>
      <c r="AK240" s="18">
        <v>9.99</v>
      </c>
      <c r="AL240" s="18" t="s">
        <v>95</v>
      </c>
      <c r="AM240" s="18" t="s">
        <v>95</v>
      </c>
      <c r="AN240" s="18" t="s">
        <v>7984</v>
      </c>
      <c r="AO240" s="18" t="s">
        <v>139</v>
      </c>
      <c r="AP240" s="20" t="s">
        <v>918</v>
      </c>
      <c r="AQ240" s="18" t="s">
        <v>919</v>
      </c>
      <c r="AR240" s="18" t="s">
        <v>496</v>
      </c>
      <c r="AS240" s="18">
        <v>1</v>
      </c>
      <c r="AT240" s="18" t="s">
        <v>177</v>
      </c>
      <c r="AU240" s="18" t="s">
        <v>90</v>
      </c>
      <c r="AV240" s="18" t="s">
        <v>8247</v>
      </c>
      <c r="AW240" s="18" t="s">
        <v>8248</v>
      </c>
      <c r="AX240" s="18" t="s">
        <v>83</v>
      </c>
      <c r="AY240" s="18" t="s">
        <v>95</v>
      </c>
      <c r="AZ240" s="18" t="s">
        <v>95</v>
      </c>
      <c r="BA240" s="18" t="s">
        <v>95</v>
      </c>
      <c r="BB240" s="18" t="s">
        <v>95</v>
      </c>
      <c r="BC240" s="18" t="s">
        <v>84</v>
      </c>
      <c r="BD240" s="18" t="s">
        <v>95</v>
      </c>
      <c r="BE240" s="18" t="s">
        <v>8527</v>
      </c>
      <c r="BF240" s="18" t="s">
        <v>8064</v>
      </c>
      <c r="BG240" s="18" t="s">
        <v>95</v>
      </c>
      <c r="BH240" s="18" t="s">
        <v>95</v>
      </c>
      <c r="BI240" s="18">
        <v>12</v>
      </c>
      <c r="BJ240" s="18">
        <v>2022</v>
      </c>
      <c r="BK240" s="18" t="s">
        <v>95</v>
      </c>
      <c r="BL240" s="18" t="s">
        <v>95</v>
      </c>
      <c r="BM240" s="18" t="s">
        <v>95</v>
      </c>
      <c r="BN240" s="18" t="s">
        <v>85</v>
      </c>
      <c r="BO240" s="18" t="s">
        <v>86</v>
      </c>
      <c r="BP240" s="18" t="s">
        <v>90</v>
      </c>
      <c r="BQ240" s="18" t="s">
        <v>8002</v>
      </c>
      <c r="BR240" s="18" t="s">
        <v>139</v>
      </c>
      <c r="BS240" s="18" t="s">
        <v>8003</v>
      </c>
      <c r="BT240" s="18" t="s">
        <v>7989</v>
      </c>
      <c r="BU240" s="18" t="s">
        <v>496</v>
      </c>
      <c r="BV240" s="18" t="str">
        <f>Terminales[[#This Row],[IMEI]]&amp;"SI"</f>
        <v>355108340320052SI</v>
      </c>
      <c r="BW240" s="18" t="str">
        <f>VLOOKUP(Terminales[[#This Row],[OFICINA_USUARIO]],[1]!Locales[#Data],3,0)</f>
        <v>TIENDA RECREO</v>
      </c>
      <c r="BX240" s="18" t="str">
        <f>VLOOKUP(Terminales[[#This Row],[USUARIO_FINAL]],'[1]Personal Ppto vs Real'!$A:$F,6,0)</f>
        <v>ORELLANA CARRERA MICHAEL ALEXANDER</v>
      </c>
      <c r="BY24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4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40" s="18">
        <f>DAY(Terminales[[#This Row],[FECHA_FACTURA]])</f>
        <v>12</v>
      </c>
      <c r="CB240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40" s="65">
        <f>IFERROR(IF(AND(Terminales[[#This Row],[CANTIDAD]] = 1,Terminales[[#This Row],[MOVIMIENTO]] = "RENOVACION"),Terminales[[#This Row],[TARIFA_BASICA]]*0.5,),)</f>
        <v>4.9950000000000001</v>
      </c>
      <c r="CD240" s="65">
        <f>IF('[1]Resumen TM'!$AW$20 &lt; 0.4,0,Terminales[[#This Row],[MONTO]]*0.02)</f>
        <v>3.125</v>
      </c>
      <c r="CE240" s="66">
        <f>Terminales[[#This Row],[COMISIONES TERMINALES]]+Terminales[[#This Row],[COMISIONES RENOVACIONES]]+Terminales[[#This Row],[COMISIONES BONO]]</f>
        <v>23.745000000000001</v>
      </c>
      <c r="CF240" s="67">
        <f>(Terminales[[#This Row],[COMISIONES TERMINALES]]*VLOOKUP(Terminales[[#This Row],[LOCALES]],[1]!Calendario[#Data],3,0))/VLOOKUP(Terminales[[#This Row],[LOCALES]],[1]!Calendario[#Data],2,0)</f>
        <v>25.705645161290324</v>
      </c>
      <c r="CG240" s="67">
        <f>(Terminales[[#This Row],[COMISIONES RENOVACIONES]]*VLOOKUP(Terminales[[#This Row],[LOCALES]],[1]!Calendario[#Data],3,0))/VLOOKUP(Terminales[[#This Row],[LOCALES]],[1]!Calendario[#Data],2,0)</f>
        <v>8.2175806451612896</v>
      </c>
      <c r="CH240" s="67">
        <f>(Terminales[[#This Row],[COMISIONES BONO]]*VLOOKUP(Terminales[[#This Row],[LOCALES]],[1]!Calendario[#Data],3,0))/VLOOKUP(Terminales[[#This Row],[LOCALES]],[1]!Calendario[#Data],2,0)</f>
        <v>5.1411290322580649</v>
      </c>
      <c r="CI240" s="67">
        <f>Terminales[[#This Row],[PROY. COM. TERMINALES]]+Terminales[[#This Row],[PROY. COM. RENOV.]]+Terminales[[#This Row],[PROY. COM. 2%]]</f>
        <v>39.064354838709676</v>
      </c>
    </row>
    <row r="241" spans="1:87" x14ac:dyDescent="0.25">
      <c r="A241" s="68">
        <v>44926</v>
      </c>
      <c r="B241" s="68">
        <v>44907</v>
      </c>
      <c r="C241" s="18" t="s">
        <v>291</v>
      </c>
      <c r="D241" s="18" t="s">
        <v>78</v>
      </c>
      <c r="E241" s="18" t="s">
        <v>164</v>
      </c>
      <c r="F241" s="18" t="s">
        <v>2012</v>
      </c>
      <c r="G241" s="18" t="s">
        <v>292</v>
      </c>
      <c r="H241" s="18" t="s">
        <v>293</v>
      </c>
      <c r="I241" s="18" t="s">
        <v>9536</v>
      </c>
      <c r="J241" s="18" t="s">
        <v>95</v>
      </c>
      <c r="K241" s="18" t="s">
        <v>7970</v>
      </c>
      <c r="L241" s="18" t="s">
        <v>2013</v>
      </c>
      <c r="M241" s="18" t="s">
        <v>2014</v>
      </c>
      <c r="N241" s="18" t="s">
        <v>2015</v>
      </c>
      <c r="O241" s="18" t="s">
        <v>354</v>
      </c>
      <c r="P241" s="18" t="s">
        <v>2016</v>
      </c>
      <c r="Q241" s="18" t="s">
        <v>7975</v>
      </c>
      <c r="R241" s="18" t="s">
        <v>7976</v>
      </c>
      <c r="S241" s="18" t="s">
        <v>8070</v>
      </c>
      <c r="T241" s="18" t="s">
        <v>8071</v>
      </c>
      <c r="U241" s="18" t="s">
        <v>8012</v>
      </c>
      <c r="V241" s="18" t="s">
        <v>6963</v>
      </c>
      <c r="W241" s="18" t="s">
        <v>95</v>
      </c>
      <c r="X241" s="18" t="s">
        <v>95</v>
      </c>
      <c r="Y241" s="18" t="s">
        <v>7980</v>
      </c>
      <c r="Z241" s="18" t="s">
        <v>6996</v>
      </c>
      <c r="AA241" s="69">
        <v>1</v>
      </c>
      <c r="AB241" s="18">
        <v>285.71429000000001</v>
      </c>
      <c r="AC241" s="18" t="s">
        <v>9537</v>
      </c>
      <c r="AD241" s="18" t="s">
        <v>8151</v>
      </c>
      <c r="AE241" s="18">
        <v>199.79</v>
      </c>
      <c r="AF241" s="18" t="s">
        <v>7983</v>
      </c>
      <c r="AG241" s="18">
        <v>199.79</v>
      </c>
      <c r="AH241" s="18" t="s">
        <v>95</v>
      </c>
      <c r="AI241" s="18" t="s">
        <v>160</v>
      </c>
      <c r="AJ241" s="18" t="s">
        <v>161</v>
      </c>
      <c r="AK241" s="18">
        <v>14.28</v>
      </c>
      <c r="AL241" s="18" t="s">
        <v>95</v>
      </c>
      <c r="AM241" s="18" t="s">
        <v>95</v>
      </c>
      <c r="AN241" s="18" t="s">
        <v>7984</v>
      </c>
      <c r="AO241" s="18" t="s">
        <v>139</v>
      </c>
      <c r="AP241" s="20" t="s">
        <v>233</v>
      </c>
      <c r="AQ241" s="18" t="s">
        <v>234</v>
      </c>
      <c r="AR241" s="18" t="s">
        <v>295</v>
      </c>
      <c r="AS241" s="18">
        <v>6</v>
      </c>
      <c r="AT241" s="18" t="s">
        <v>235</v>
      </c>
      <c r="AU241" s="18" t="s">
        <v>90</v>
      </c>
      <c r="AV241" s="18" t="s">
        <v>8072</v>
      </c>
      <c r="AW241" s="18" t="s">
        <v>8073</v>
      </c>
      <c r="AX241" s="18" t="s">
        <v>83</v>
      </c>
      <c r="AY241" s="18" t="s">
        <v>95</v>
      </c>
      <c r="AZ241" s="18" t="s">
        <v>95</v>
      </c>
      <c r="BA241" s="18" t="s">
        <v>95</v>
      </c>
      <c r="BB241" s="18" t="s">
        <v>95</v>
      </c>
      <c r="BC241" s="18" t="s">
        <v>84</v>
      </c>
      <c r="BD241" s="18">
        <v>58</v>
      </c>
      <c r="BE241" s="18" t="s">
        <v>95</v>
      </c>
      <c r="BF241" s="18" t="s">
        <v>95</v>
      </c>
      <c r="BG241" s="18" t="s">
        <v>95</v>
      </c>
      <c r="BH241" s="18" t="s">
        <v>95</v>
      </c>
      <c r="BI241" s="18">
        <v>12</v>
      </c>
      <c r="BJ241" s="18">
        <v>2022</v>
      </c>
      <c r="BK241" s="18" t="s">
        <v>95</v>
      </c>
      <c r="BL241" s="18" t="s">
        <v>95</v>
      </c>
      <c r="BM241" s="18" t="s">
        <v>95</v>
      </c>
      <c r="BN241" s="18" t="s">
        <v>85</v>
      </c>
      <c r="BO241" s="18" t="s">
        <v>86</v>
      </c>
      <c r="BP241" s="18" t="s">
        <v>90</v>
      </c>
      <c r="BQ241" s="18" t="s">
        <v>8016</v>
      </c>
      <c r="BR241" s="18" t="s">
        <v>139</v>
      </c>
      <c r="BS241" s="18" t="s">
        <v>8027</v>
      </c>
      <c r="BT241" s="18" t="s">
        <v>7989</v>
      </c>
      <c r="BU241" s="18" t="s">
        <v>7990</v>
      </c>
      <c r="BV241" s="18" t="str">
        <f>Terminales[[#This Row],[IMEI]]&amp;"SI"</f>
        <v>869113065934144SI</v>
      </c>
      <c r="BW241" s="18" t="str">
        <f>VLOOKUP(Terminales[[#This Row],[OFICINA_USUARIO]],[1]!Locales[#Data],3,0)</f>
        <v>TIENDA CONDADO</v>
      </c>
      <c r="BX241" s="18" t="str">
        <f>VLOOKUP(Terminales[[#This Row],[USUARIO_FINAL]],'[1]Personal Ppto vs Real'!$A:$F,6,0)</f>
        <v>ROSALES MALDONADO JESSICA GABRIELA</v>
      </c>
      <c r="BY241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24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41" s="18">
        <f>DAY(Terminales[[#This Row],[FECHA_FACTURA]])</f>
        <v>12</v>
      </c>
      <c r="CB241" s="65">
        <f>IF(Terminales[[#This Row],[CANTIDAD]] = 1,INDEX([1]!Comisiones[#Data],MATCH("Terminales",[1]!Comisiones[Producto],0),MATCH(Terminales[[#This Row],[TIPO ALTA COMISIONES]],[1]!Comisiones[#Headers],0))*Terminales[[#This Row],[MONTO]],0)</f>
        <v>22.857143199999999</v>
      </c>
      <c r="CC241" s="65">
        <f>IFERROR(IF(AND(Terminales[[#This Row],[CANTIDAD]] = 1,Terminales[[#This Row],[MOVIMIENTO]] = "RENOVACION"),Terminales[[#This Row],[TARIFA_BASICA]]*0.5,),)</f>
        <v>0</v>
      </c>
      <c r="CD241" s="65">
        <f>IF('[1]Resumen TM'!$AW$20 &lt; 0.4,0,Terminales[[#This Row],[MONTO]]*0.02)</f>
        <v>5.7142857999999999</v>
      </c>
      <c r="CE241" s="66">
        <f>Terminales[[#This Row],[COMISIONES TERMINALES]]+Terminales[[#This Row],[COMISIONES RENOVACIONES]]+Terminales[[#This Row],[COMISIONES BONO]]</f>
        <v>28.571428999999998</v>
      </c>
      <c r="CF241" s="67">
        <f>(Terminales[[#This Row],[COMISIONES TERMINALES]]*VLOOKUP(Terminales[[#This Row],[LOCALES]],[1]!Calendario[#Data],3,0))/VLOOKUP(Terminales[[#This Row],[LOCALES]],[1]!Calendario[#Data],2,0)</f>
        <v>37.603687199999996</v>
      </c>
      <c r="CG241" s="67">
        <f>(Terminales[[#This Row],[COMISIONES RENOVACIONES]]*VLOOKUP(Terminales[[#This Row],[LOCALES]],[1]!Calendario[#Data],3,0))/VLOOKUP(Terminales[[#This Row],[LOCALES]],[1]!Calendario[#Data],2,0)</f>
        <v>0</v>
      </c>
      <c r="CH241" s="67">
        <f>(Terminales[[#This Row],[COMISIONES BONO]]*VLOOKUP(Terminales[[#This Row],[LOCALES]],[1]!Calendario[#Data],3,0))/VLOOKUP(Terminales[[#This Row],[LOCALES]],[1]!Calendario[#Data],2,0)</f>
        <v>9.400921799999999</v>
      </c>
      <c r="CI241" s="67">
        <f>Terminales[[#This Row],[PROY. COM. TERMINALES]]+Terminales[[#This Row],[PROY. COM. RENOV.]]+Terminales[[#This Row],[PROY. COM. 2%]]</f>
        <v>47.004608999999995</v>
      </c>
    </row>
    <row r="242" spans="1:87" x14ac:dyDescent="0.25">
      <c r="A242" s="68">
        <v>44926</v>
      </c>
      <c r="B242" s="68">
        <v>44907</v>
      </c>
      <c r="C242" s="18" t="s">
        <v>291</v>
      </c>
      <c r="D242" s="18" t="s">
        <v>78</v>
      </c>
      <c r="E242" s="18" t="s">
        <v>164</v>
      </c>
      <c r="F242" s="18" t="s">
        <v>332</v>
      </c>
      <c r="G242" s="18" t="s">
        <v>292</v>
      </c>
      <c r="H242" s="18" t="s">
        <v>293</v>
      </c>
      <c r="I242" s="18" t="s">
        <v>9538</v>
      </c>
      <c r="J242" s="18" t="s">
        <v>95</v>
      </c>
      <c r="K242" s="18" t="s">
        <v>7970</v>
      </c>
      <c r="L242" s="18" t="s">
        <v>333</v>
      </c>
      <c r="M242" s="18" t="s">
        <v>334</v>
      </c>
      <c r="N242" s="18" t="s">
        <v>335</v>
      </c>
      <c r="O242" s="18" t="s">
        <v>338</v>
      </c>
      <c r="P242" s="18" t="s">
        <v>336</v>
      </c>
      <c r="Q242" s="18" t="s">
        <v>7975</v>
      </c>
      <c r="R242" s="18" t="s">
        <v>7976</v>
      </c>
      <c r="S242" s="18" t="s">
        <v>7977</v>
      </c>
      <c r="T242" s="18" t="s">
        <v>7978</v>
      </c>
      <c r="U242" s="18" t="s">
        <v>7979</v>
      </c>
      <c r="V242" s="18" t="s">
        <v>6963</v>
      </c>
      <c r="W242" s="18" t="s">
        <v>95</v>
      </c>
      <c r="X242" s="18" t="s">
        <v>95</v>
      </c>
      <c r="Y242" s="18" t="s">
        <v>7980</v>
      </c>
      <c r="Z242" s="18" t="s">
        <v>6996</v>
      </c>
      <c r="AA242" s="69">
        <v>1</v>
      </c>
      <c r="AB242" s="18">
        <v>339.28570999999999</v>
      </c>
      <c r="AC242" s="18" t="s">
        <v>9539</v>
      </c>
      <c r="AD242" s="18" t="s">
        <v>8151</v>
      </c>
      <c r="AE242" s="18">
        <v>235</v>
      </c>
      <c r="AF242" s="18" t="s">
        <v>7983</v>
      </c>
      <c r="AG242" s="18">
        <v>235</v>
      </c>
      <c r="AH242" s="18" t="s">
        <v>95</v>
      </c>
      <c r="AI242" s="18" t="s">
        <v>71</v>
      </c>
      <c r="AJ242" s="18" t="s">
        <v>258</v>
      </c>
      <c r="AK242" s="18">
        <v>11.42</v>
      </c>
      <c r="AL242" s="18" t="s">
        <v>95</v>
      </c>
      <c r="AM242" s="18" t="s">
        <v>95</v>
      </c>
      <c r="AN242" s="18" t="s">
        <v>7984</v>
      </c>
      <c r="AO242" s="18" t="s">
        <v>139</v>
      </c>
      <c r="AP242" s="20" t="s">
        <v>233</v>
      </c>
      <c r="AQ242" s="18" t="s">
        <v>234</v>
      </c>
      <c r="AR242" s="18" t="s">
        <v>295</v>
      </c>
      <c r="AS242" s="18">
        <v>6</v>
      </c>
      <c r="AT242" s="18" t="s">
        <v>235</v>
      </c>
      <c r="AU242" s="18" t="s">
        <v>90</v>
      </c>
      <c r="AV242" s="18" t="s">
        <v>7985</v>
      </c>
      <c r="AW242" s="18" t="s">
        <v>7986</v>
      </c>
      <c r="AX242" s="18" t="s">
        <v>83</v>
      </c>
      <c r="AY242" s="18" t="s">
        <v>95</v>
      </c>
      <c r="AZ242" s="18" t="s">
        <v>95</v>
      </c>
      <c r="BA242" s="18" t="s">
        <v>95</v>
      </c>
      <c r="BB242" s="18" t="s">
        <v>95</v>
      </c>
      <c r="BC242" s="18" t="s">
        <v>84</v>
      </c>
      <c r="BD242" s="18">
        <v>68</v>
      </c>
      <c r="BE242" s="18" t="s">
        <v>95</v>
      </c>
      <c r="BF242" s="18" t="s">
        <v>95</v>
      </c>
      <c r="BG242" s="18" t="s">
        <v>95</v>
      </c>
      <c r="BH242" s="18" t="s">
        <v>95</v>
      </c>
      <c r="BI242" s="18">
        <v>12</v>
      </c>
      <c r="BJ242" s="18">
        <v>2022</v>
      </c>
      <c r="BK242" s="18" t="s">
        <v>95</v>
      </c>
      <c r="BL242" s="18" t="s">
        <v>95</v>
      </c>
      <c r="BM242" s="18" t="s">
        <v>95</v>
      </c>
      <c r="BN242" s="18" t="s">
        <v>85</v>
      </c>
      <c r="BO242" s="18" t="s">
        <v>86</v>
      </c>
      <c r="BP242" s="18" t="s">
        <v>90</v>
      </c>
      <c r="BQ242" s="18" t="s">
        <v>8016</v>
      </c>
      <c r="BR242" s="18" t="s">
        <v>139</v>
      </c>
      <c r="BS242" s="18" t="s">
        <v>8027</v>
      </c>
      <c r="BT242" s="18" t="s">
        <v>7989</v>
      </c>
      <c r="BU242" s="18" t="s">
        <v>7990</v>
      </c>
      <c r="BV242" s="18" t="str">
        <f>Terminales[[#This Row],[IMEI]]&amp;"SI"</f>
        <v>866184060679490SI</v>
      </c>
      <c r="BW242" s="18" t="str">
        <f>VLOOKUP(Terminales[[#This Row],[OFICINA_USUARIO]],[1]!Locales[#Data],3,0)</f>
        <v>TIENDA CONDADO</v>
      </c>
      <c r="BX242" s="18" t="str">
        <f>VLOOKUP(Terminales[[#This Row],[USUARIO_FINAL]],'[1]Personal Ppto vs Real'!$A:$F,6,0)</f>
        <v>ROSALES MALDONADO JESSICA GABRIELA</v>
      </c>
      <c r="BY242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24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42" s="18">
        <f>DAY(Terminales[[#This Row],[FECHA_FACTURA]])</f>
        <v>12</v>
      </c>
      <c r="CB242" s="65">
        <f>IF(Terminales[[#This Row],[CANTIDAD]] = 1,INDEX([1]!Comisiones[#Data],MATCH("Terminales",[1]!Comisiones[Producto],0),MATCH(Terminales[[#This Row],[TIPO ALTA COMISIONES]],[1]!Comisiones[#Headers],0))*Terminales[[#This Row],[MONTO]],0)</f>
        <v>27.142856800000001</v>
      </c>
      <c r="CC242" s="65">
        <f>IFERROR(IF(AND(Terminales[[#This Row],[CANTIDAD]] = 1,Terminales[[#This Row],[MOVIMIENTO]] = "RENOVACION"),Terminales[[#This Row],[TARIFA_BASICA]]*0.5,),)</f>
        <v>0</v>
      </c>
      <c r="CD242" s="65">
        <f>IF('[1]Resumen TM'!$AW$20 &lt; 0.4,0,Terminales[[#This Row],[MONTO]]*0.02)</f>
        <v>6.7857142000000001</v>
      </c>
      <c r="CE242" s="66">
        <f>Terminales[[#This Row],[COMISIONES TERMINALES]]+Terminales[[#This Row],[COMISIONES RENOVACIONES]]+Terminales[[#This Row],[COMISIONES BONO]]</f>
        <v>33.928570999999998</v>
      </c>
      <c r="CF242" s="67">
        <f>(Terminales[[#This Row],[COMISIONES TERMINALES]]*VLOOKUP(Terminales[[#This Row],[LOCALES]],[1]!Calendario[#Data],3,0))/VLOOKUP(Terminales[[#This Row],[LOCALES]],[1]!Calendario[#Data],2,0)</f>
        <v>44.654377316129036</v>
      </c>
      <c r="CG242" s="67">
        <f>(Terminales[[#This Row],[COMISIONES RENOVACIONES]]*VLOOKUP(Terminales[[#This Row],[LOCALES]],[1]!Calendario[#Data],3,0))/VLOOKUP(Terminales[[#This Row],[LOCALES]],[1]!Calendario[#Data],2,0)</f>
        <v>0</v>
      </c>
      <c r="CH242" s="67">
        <f>(Terminales[[#This Row],[COMISIONES BONO]]*VLOOKUP(Terminales[[#This Row],[LOCALES]],[1]!Calendario[#Data],3,0))/VLOOKUP(Terminales[[#This Row],[LOCALES]],[1]!Calendario[#Data],2,0)</f>
        <v>11.163594329032259</v>
      </c>
      <c r="CI242" s="67">
        <f>Terminales[[#This Row],[PROY. COM. TERMINALES]]+Terminales[[#This Row],[PROY. COM. RENOV.]]+Terminales[[#This Row],[PROY. COM. 2%]]</f>
        <v>55.817971645161293</v>
      </c>
    </row>
    <row r="243" spans="1:87" x14ac:dyDescent="0.25">
      <c r="A243" s="68">
        <v>44926</v>
      </c>
      <c r="B243" s="68">
        <v>44907</v>
      </c>
      <c r="C243" s="18" t="s">
        <v>291</v>
      </c>
      <c r="D243" s="18" t="s">
        <v>78</v>
      </c>
      <c r="E243" s="18" t="s">
        <v>7125</v>
      </c>
      <c r="F243" s="18" t="s">
        <v>9540</v>
      </c>
      <c r="G243" s="18" t="s">
        <v>292</v>
      </c>
      <c r="H243" s="18" t="s">
        <v>293</v>
      </c>
      <c r="I243" s="18" t="s">
        <v>9541</v>
      </c>
      <c r="J243" s="18" t="s">
        <v>95</v>
      </c>
      <c r="K243" s="18" t="s">
        <v>7970</v>
      </c>
      <c r="L243" s="18" t="s">
        <v>9542</v>
      </c>
      <c r="M243" s="18" t="s">
        <v>9543</v>
      </c>
      <c r="N243" s="18" t="s">
        <v>9544</v>
      </c>
      <c r="O243" s="18" t="s">
        <v>2260</v>
      </c>
      <c r="P243" s="18" t="s">
        <v>9545</v>
      </c>
      <c r="Q243" s="18" t="s">
        <v>7975</v>
      </c>
      <c r="R243" s="18" t="s">
        <v>7976</v>
      </c>
      <c r="S243" s="18" t="s">
        <v>8010</v>
      </c>
      <c r="T243" s="18" t="s">
        <v>8011</v>
      </c>
      <c r="U243" s="18" t="s">
        <v>8012</v>
      </c>
      <c r="V243" s="18" t="s">
        <v>6963</v>
      </c>
      <c r="W243" s="18" t="s">
        <v>95</v>
      </c>
      <c r="X243" s="18" t="s">
        <v>95</v>
      </c>
      <c r="Y243" s="18" t="s">
        <v>7980</v>
      </c>
      <c r="Z243" s="18" t="s">
        <v>6996</v>
      </c>
      <c r="AA243" s="69">
        <v>1</v>
      </c>
      <c r="AB243" s="18">
        <v>245.53570999999999</v>
      </c>
      <c r="AC243" s="18" t="s">
        <v>9546</v>
      </c>
      <c r="AD243" s="18" t="s">
        <v>7982</v>
      </c>
      <c r="AE243" s="18">
        <v>168.8</v>
      </c>
      <c r="AF243" s="18" t="s">
        <v>7983</v>
      </c>
      <c r="AG243" s="18">
        <v>168.8</v>
      </c>
      <c r="AH243" s="18" t="s">
        <v>95</v>
      </c>
      <c r="AI243" s="18" t="s">
        <v>160</v>
      </c>
      <c r="AJ243" s="18" t="s">
        <v>161</v>
      </c>
      <c r="AK243" s="18">
        <v>14.28</v>
      </c>
      <c r="AL243" s="18" t="s">
        <v>95</v>
      </c>
      <c r="AM243" s="18" t="s">
        <v>95</v>
      </c>
      <c r="AN243" s="18" t="s">
        <v>7984</v>
      </c>
      <c r="AO243" s="18" t="s">
        <v>139</v>
      </c>
      <c r="AP243" s="20" t="s">
        <v>377</v>
      </c>
      <c r="AQ243" s="18" t="s">
        <v>378</v>
      </c>
      <c r="AR243" s="18" t="s">
        <v>295</v>
      </c>
      <c r="AS243" s="18">
        <v>6</v>
      </c>
      <c r="AT243" s="18" t="s">
        <v>235</v>
      </c>
      <c r="AU243" s="18" t="s">
        <v>90</v>
      </c>
      <c r="AV243" s="18" t="s">
        <v>8014</v>
      </c>
      <c r="AW243" s="18" t="s">
        <v>8015</v>
      </c>
      <c r="AX243" s="18" t="s">
        <v>83</v>
      </c>
      <c r="AY243" s="18" t="s">
        <v>95</v>
      </c>
      <c r="AZ243" s="18" t="s">
        <v>95</v>
      </c>
      <c r="BA243" s="18" t="s">
        <v>95</v>
      </c>
      <c r="BB243" s="18" t="s">
        <v>95</v>
      </c>
      <c r="BC243" s="18" t="s">
        <v>118</v>
      </c>
      <c r="BD243" s="18">
        <v>50</v>
      </c>
      <c r="BE243" s="18" t="s">
        <v>95</v>
      </c>
      <c r="BF243" s="18" t="s">
        <v>95</v>
      </c>
      <c r="BG243" s="18" t="s">
        <v>95</v>
      </c>
      <c r="BH243" s="18" t="s">
        <v>95</v>
      </c>
      <c r="BI243" s="18">
        <v>12</v>
      </c>
      <c r="BJ243" s="18">
        <v>2022</v>
      </c>
      <c r="BK243" s="18" t="s">
        <v>95</v>
      </c>
      <c r="BL243" s="18" t="s">
        <v>95</v>
      </c>
      <c r="BM243" s="18" t="s">
        <v>95</v>
      </c>
      <c r="BN243" s="18" t="s">
        <v>85</v>
      </c>
      <c r="BO243" s="18" t="s">
        <v>86</v>
      </c>
      <c r="BP243" s="18" t="s">
        <v>90</v>
      </c>
      <c r="BQ243" s="18" t="s">
        <v>8016</v>
      </c>
      <c r="BR243" s="18" t="s">
        <v>139</v>
      </c>
      <c r="BS243" s="18" t="s">
        <v>8027</v>
      </c>
      <c r="BT243" s="18" t="s">
        <v>7989</v>
      </c>
      <c r="BU243" s="18" t="s">
        <v>7990</v>
      </c>
      <c r="BV243" s="18" t="str">
        <f>Terminales[[#This Row],[IMEI]]&amp;"SI"</f>
        <v>359694275284310SI</v>
      </c>
      <c r="BW243" s="18" t="str">
        <f>VLOOKUP(Terminales[[#This Row],[OFICINA_USUARIO]],[1]!Locales[#Data],3,0)</f>
        <v>TIENDA CONDADO</v>
      </c>
      <c r="BX243" s="18" t="str">
        <f>VLOOKUP(Terminales[[#This Row],[USUARIO_FINAL]],'[1]Personal Ppto vs Real'!$A:$F,6,0)</f>
        <v>MELCHIADE ISAAC VALMORE</v>
      </c>
      <c r="BY243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4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43" s="18">
        <f>DAY(Terminales[[#This Row],[FECHA_FACTURA]])</f>
        <v>12</v>
      </c>
      <c r="CB243" s="65">
        <f>IF(Terminales[[#This Row],[CANTIDAD]] = 1,INDEX([1]!Comisiones[#Data],MATCH("Terminales",[1]!Comisiones[Producto],0),MATCH(Terminales[[#This Row],[TIPO ALTA COMISIONES]],[1]!Comisiones[#Headers],0))*Terminales[[#This Row],[MONTO]],0)</f>
        <v>19.642856800000001</v>
      </c>
      <c r="CC243" s="65">
        <f>IFERROR(IF(AND(Terminales[[#This Row],[CANTIDAD]] = 1,Terminales[[#This Row],[MOVIMIENTO]] = "RENOVACION"),Terminales[[#This Row],[TARIFA_BASICA]]*0.5,),)</f>
        <v>7.14</v>
      </c>
      <c r="CD243" s="65">
        <f>IF('[1]Resumen TM'!$AW$20 &lt; 0.4,0,Terminales[[#This Row],[MONTO]]*0.02)</f>
        <v>4.9107142000000001</v>
      </c>
      <c r="CE243" s="66">
        <f>Terminales[[#This Row],[COMISIONES TERMINALES]]+Terminales[[#This Row],[COMISIONES RENOVACIONES]]+Terminales[[#This Row],[COMISIONES BONO]]</f>
        <v>31.693571000000002</v>
      </c>
      <c r="CF243" s="67">
        <f>(Terminales[[#This Row],[COMISIONES TERMINALES]]*VLOOKUP(Terminales[[#This Row],[LOCALES]],[1]!Calendario[#Data],3,0))/VLOOKUP(Terminales[[#This Row],[LOCALES]],[1]!Calendario[#Data],2,0)</f>
        <v>32.315667638709677</v>
      </c>
      <c r="CG243" s="67">
        <f>(Terminales[[#This Row],[COMISIONES RENOVACIONES]]*VLOOKUP(Terminales[[#This Row],[LOCALES]],[1]!Calendario[#Data],3,0))/VLOOKUP(Terminales[[#This Row],[LOCALES]],[1]!Calendario[#Data],2,0)</f>
        <v>11.746451612903225</v>
      </c>
      <c r="CH243" s="67">
        <f>(Terminales[[#This Row],[COMISIONES BONO]]*VLOOKUP(Terminales[[#This Row],[LOCALES]],[1]!Calendario[#Data],3,0))/VLOOKUP(Terminales[[#This Row],[LOCALES]],[1]!Calendario[#Data],2,0)</f>
        <v>8.0789169096774192</v>
      </c>
      <c r="CI243" s="67">
        <f>Terminales[[#This Row],[PROY. COM. TERMINALES]]+Terminales[[#This Row],[PROY. COM. RENOV.]]+Terminales[[#This Row],[PROY. COM. 2%]]</f>
        <v>52.141036161290316</v>
      </c>
    </row>
    <row r="244" spans="1:87" x14ac:dyDescent="0.25">
      <c r="A244" s="68">
        <v>44926</v>
      </c>
      <c r="B244" s="68">
        <v>44907</v>
      </c>
      <c r="C244" s="18" t="s">
        <v>291</v>
      </c>
      <c r="D244" s="18" t="s">
        <v>78</v>
      </c>
      <c r="E244" s="18" t="s">
        <v>768</v>
      </c>
      <c r="F244" s="18" t="s">
        <v>9547</v>
      </c>
      <c r="G244" s="18" t="s">
        <v>292</v>
      </c>
      <c r="H244" s="18" t="s">
        <v>494</v>
      </c>
      <c r="I244" s="18" t="s">
        <v>9548</v>
      </c>
      <c r="J244" s="18" t="s">
        <v>95</v>
      </c>
      <c r="K244" s="18" t="s">
        <v>7970</v>
      </c>
      <c r="L244" s="18" t="s">
        <v>9549</v>
      </c>
      <c r="M244" s="18" t="s">
        <v>9550</v>
      </c>
      <c r="N244" s="18" t="s">
        <v>9551</v>
      </c>
      <c r="O244" s="18" t="s">
        <v>9552</v>
      </c>
      <c r="P244" s="18" t="s">
        <v>9553</v>
      </c>
      <c r="Q244" s="18" t="s">
        <v>7975</v>
      </c>
      <c r="R244" s="18" t="s">
        <v>7976</v>
      </c>
      <c r="S244" s="18" t="s">
        <v>8045</v>
      </c>
      <c r="T244" s="18" t="s">
        <v>9554</v>
      </c>
      <c r="U244" s="18" t="s">
        <v>8059</v>
      </c>
      <c r="V244" s="18" t="s">
        <v>6963</v>
      </c>
      <c r="W244" s="18" t="s">
        <v>95</v>
      </c>
      <c r="X244" s="18" t="s">
        <v>95</v>
      </c>
      <c r="Y244" s="18" t="s">
        <v>7980</v>
      </c>
      <c r="Z244" s="18" t="s">
        <v>6996</v>
      </c>
      <c r="AA244" s="69">
        <v>1</v>
      </c>
      <c r="AB244" s="18">
        <v>973.21429000000001</v>
      </c>
      <c r="AC244" s="18" t="s">
        <v>9555</v>
      </c>
      <c r="AD244" s="18" t="s">
        <v>7982</v>
      </c>
      <c r="AE244" s="18">
        <v>999</v>
      </c>
      <c r="AF244" s="18" t="s">
        <v>7983</v>
      </c>
      <c r="AG244" s="18">
        <v>999</v>
      </c>
      <c r="AH244" s="18" t="s">
        <v>95</v>
      </c>
      <c r="AI244" s="18" t="s">
        <v>7823</v>
      </c>
      <c r="AJ244" s="18" t="s">
        <v>7824</v>
      </c>
      <c r="AK244" s="18">
        <v>35</v>
      </c>
      <c r="AL244" s="18" t="s">
        <v>95</v>
      </c>
      <c r="AM244" s="18" t="s">
        <v>95</v>
      </c>
      <c r="AN244" s="18" t="s">
        <v>7984</v>
      </c>
      <c r="AO244" s="18" t="s">
        <v>139</v>
      </c>
      <c r="AP244" s="20" t="s">
        <v>2103</v>
      </c>
      <c r="AQ244" s="18" t="s">
        <v>2104</v>
      </c>
      <c r="AR244" s="18" t="s">
        <v>496</v>
      </c>
      <c r="AS244" s="18">
        <v>1</v>
      </c>
      <c r="AT244" s="18" t="s">
        <v>177</v>
      </c>
      <c r="AU244" s="18" t="s">
        <v>90</v>
      </c>
      <c r="AV244" s="18" t="s">
        <v>9556</v>
      </c>
      <c r="AW244" s="18" t="s">
        <v>9557</v>
      </c>
      <c r="AX244" s="18" t="s">
        <v>83</v>
      </c>
      <c r="AY244" s="18" t="s">
        <v>95</v>
      </c>
      <c r="AZ244" s="18" t="s">
        <v>95</v>
      </c>
      <c r="BA244" s="18" t="s">
        <v>95</v>
      </c>
      <c r="BB244" s="18" t="s">
        <v>95</v>
      </c>
      <c r="BC244" s="18" t="s">
        <v>215</v>
      </c>
      <c r="BD244" s="18" t="s">
        <v>95</v>
      </c>
      <c r="BE244" s="18" t="s">
        <v>95</v>
      </c>
      <c r="BF244" s="18" t="s">
        <v>95</v>
      </c>
      <c r="BG244" s="18" t="s">
        <v>95</v>
      </c>
      <c r="BH244" s="18" t="s">
        <v>95</v>
      </c>
      <c r="BI244" s="18">
        <v>12</v>
      </c>
      <c r="BJ244" s="18">
        <v>2022</v>
      </c>
      <c r="BK244" s="18" t="s">
        <v>95</v>
      </c>
      <c r="BL244" s="18" t="s">
        <v>95</v>
      </c>
      <c r="BM244" s="18" t="s">
        <v>95</v>
      </c>
      <c r="BN244" s="18" t="s">
        <v>85</v>
      </c>
      <c r="BO244" s="18" t="s">
        <v>86</v>
      </c>
      <c r="BP244" s="18" t="s">
        <v>90</v>
      </c>
      <c r="BQ244" s="18" t="s">
        <v>8002</v>
      </c>
      <c r="BR244" s="18" t="s">
        <v>139</v>
      </c>
      <c r="BS244" s="18" t="s">
        <v>8074</v>
      </c>
      <c r="BT244" s="18" t="s">
        <v>7989</v>
      </c>
      <c r="BU244" s="18" t="s">
        <v>496</v>
      </c>
      <c r="BV244" s="18" t="str">
        <f>Terminales[[#This Row],[IMEI]]&amp;"SI"</f>
        <v>355705442991449SI</v>
      </c>
      <c r="BW244" s="18" t="str">
        <f>VLOOKUP(Terminales[[#This Row],[OFICINA_USUARIO]],[1]!Locales[#Data],3,0)</f>
        <v>TIENDA RECREO</v>
      </c>
      <c r="BX244" s="18" t="str">
        <f>VLOOKUP(Terminales[[#This Row],[USUARIO_FINAL]],'[1]Personal Ppto vs Real'!$A:$F,6,0)</f>
        <v>CORDOVA BRUCIL LUIS EDUARDO</v>
      </c>
      <c r="BY24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4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44" s="18">
        <f>DAY(Terminales[[#This Row],[FECHA_FACTURA]])</f>
        <v>12</v>
      </c>
      <c r="CB244" s="65">
        <f>IF(Terminales[[#This Row],[CANTIDAD]] = 1,INDEX([1]!Comisiones[#Data],MATCH("Terminales",[1]!Comisiones[Producto],0),MATCH(Terminales[[#This Row],[TIPO ALTA COMISIONES]],[1]!Comisiones[#Headers],0))*Terminales[[#This Row],[MONTO]],0)</f>
        <v>97.321429000000009</v>
      </c>
      <c r="CC244" s="65">
        <f>IFERROR(IF(AND(Terminales[[#This Row],[CANTIDAD]] = 1,Terminales[[#This Row],[MOVIMIENTO]] = "RENOVACION"),Terminales[[#This Row],[TARIFA_BASICA]]*0.5,),)</f>
        <v>17.5</v>
      </c>
      <c r="CD244" s="65">
        <f>IF('[1]Resumen TM'!$AW$20 &lt; 0.4,0,Terminales[[#This Row],[MONTO]]*0.02)</f>
        <v>19.464285799999999</v>
      </c>
      <c r="CE244" s="66">
        <f>Terminales[[#This Row],[COMISIONES TERMINALES]]+Terminales[[#This Row],[COMISIONES RENOVACIONES]]+Terminales[[#This Row],[COMISIONES BONO]]</f>
        <v>134.28571479999999</v>
      </c>
      <c r="CF244" s="67">
        <f>(Terminales[[#This Row],[COMISIONES TERMINALES]]*VLOOKUP(Terminales[[#This Row],[LOCALES]],[1]!Calendario[#Data],3,0))/VLOOKUP(Terminales[[#This Row],[LOCALES]],[1]!Calendario[#Data],2,0)</f>
        <v>160.10944770967745</v>
      </c>
      <c r="CG244" s="67">
        <f>(Terminales[[#This Row],[COMISIONES RENOVACIONES]]*VLOOKUP(Terminales[[#This Row],[LOCALES]],[1]!Calendario[#Data],3,0))/VLOOKUP(Terminales[[#This Row],[LOCALES]],[1]!Calendario[#Data],2,0)</f>
        <v>28.79032258064516</v>
      </c>
      <c r="CH244" s="67">
        <f>(Terminales[[#This Row],[COMISIONES BONO]]*VLOOKUP(Terminales[[#This Row],[LOCALES]],[1]!Calendario[#Data],3,0))/VLOOKUP(Terminales[[#This Row],[LOCALES]],[1]!Calendario[#Data],2,0)</f>
        <v>32.021889541935487</v>
      </c>
      <c r="CI244" s="67">
        <f>Terminales[[#This Row],[PROY. COM. TERMINALES]]+Terminales[[#This Row],[PROY. COM. RENOV.]]+Terminales[[#This Row],[PROY. COM. 2%]]</f>
        <v>220.92165983225809</v>
      </c>
    </row>
    <row r="245" spans="1:87" x14ac:dyDescent="0.25">
      <c r="A245" s="68">
        <v>44926</v>
      </c>
      <c r="B245" s="68">
        <v>44907</v>
      </c>
      <c r="C245" s="18" t="s">
        <v>96</v>
      </c>
      <c r="D245" s="18" t="s">
        <v>96</v>
      </c>
      <c r="E245" s="18" t="s">
        <v>96</v>
      </c>
      <c r="F245" s="18" t="s">
        <v>9558</v>
      </c>
      <c r="G245" s="18" t="s">
        <v>292</v>
      </c>
      <c r="H245" s="18" t="s">
        <v>494</v>
      </c>
      <c r="I245" s="18" t="s">
        <v>9559</v>
      </c>
      <c r="J245" s="18" t="s">
        <v>95</v>
      </c>
      <c r="K245" s="18" t="s">
        <v>7970</v>
      </c>
      <c r="L245" s="18" t="s">
        <v>9560</v>
      </c>
      <c r="M245" s="18" t="s">
        <v>9561</v>
      </c>
      <c r="N245" s="18" t="s">
        <v>9562</v>
      </c>
      <c r="O245" s="18" t="s">
        <v>5786</v>
      </c>
      <c r="P245" s="18" t="s">
        <v>9563</v>
      </c>
      <c r="Q245" s="18" t="s">
        <v>7975</v>
      </c>
      <c r="R245" s="18" t="s">
        <v>7976</v>
      </c>
      <c r="S245" s="18" t="s">
        <v>7977</v>
      </c>
      <c r="T245" s="18" t="s">
        <v>7978</v>
      </c>
      <c r="U245" s="18" t="s">
        <v>7979</v>
      </c>
      <c r="V245" s="18" t="s">
        <v>6963</v>
      </c>
      <c r="W245" s="18" t="s">
        <v>95</v>
      </c>
      <c r="X245" s="18" t="s">
        <v>95</v>
      </c>
      <c r="Y245" s="18" t="s">
        <v>7980</v>
      </c>
      <c r="Z245" s="18" t="s">
        <v>6996</v>
      </c>
      <c r="AA245" s="69">
        <v>1</v>
      </c>
      <c r="AB245" s="18">
        <v>276.78570999999999</v>
      </c>
      <c r="AC245" s="18" t="s">
        <v>9564</v>
      </c>
      <c r="AD245" s="18" t="s">
        <v>7982</v>
      </c>
      <c r="AE245" s="18">
        <v>249</v>
      </c>
      <c r="AF245" s="18" t="s">
        <v>7983</v>
      </c>
      <c r="AG245" s="18">
        <v>249</v>
      </c>
      <c r="AH245" s="18" t="s">
        <v>95</v>
      </c>
      <c r="AI245" s="18" t="s">
        <v>8102</v>
      </c>
      <c r="AJ245" s="18" t="s">
        <v>8103</v>
      </c>
      <c r="AK245" s="18" t="s">
        <v>95</v>
      </c>
      <c r="AL245" s="18" t="s">
        <v>95</v>
      </c>
      <c r="AM245" s="18" t="s">
        <v>95</v>
      </c>
      <c r="AN245" s="18" t="s">
        <v>7984</v>
      </c>
      <c r="AO245" s="18" t="s">
        <v>139</v>
      </c>
      <c r="AP245" s="20" t="s">
        <v>1315</v>
      </c>
      <c r="AQ245" s="18" t="s">
        <v>1316</v>
      </c>
      <c r="AR245" s="18" t="s">
        <v>496</v>
      </c>
      <c r="AS245" s="18">
        <v>1</v>
      </c>
      <c r="AT245" s="18" t="s">
        <v>177</v>
      </c>
      <c r="AU245" s="18" t="s">
        <v>90</v>
      </c>
      <c r="AV245" s="18" t="s">
        <v>9565</v>
      </c>
      <c r="AW245" s="18" t="s">
        <v>9566</v>
      </c>
      <c r="AX245" s="18" t="s">
        <v>83</v>
      </c>
      <c r="AY245" s="18" t="s">
        <v>95</v>
      </c>
      <c r="AZ245" s="18" t="s">
        <v>95</v>
      </c>
      <c r="BA245" s="18" t="s">
        <v>95</v>
      </c>
      <c r="BB245" s="18" t="s">
        <v>95</v>
      </c>
      <c r="BC245" s="18" t="s">
        <v>118</v>
      </c>
      <c r="BD245" s="18" t="s">
        <v>95</v>
      </c>
      <c r="BE245" s="18" t="s">
        <v>95</v>
      </c>
      <c r="BF245" s="18" t="s">
        <v>95</v>
      </c>
      <c r="BG245" s="18" t="s">
        <v>95</v>
      </c>
      <c r="BH245" s="18" t="s">
        <v>95</v>
      </c>
      <c r="BI245" s="18">
        <v>12</v>
      </c>
      <c r="BJ245" s="18">
        <v>2022</v>
      </c>
      <c r="BK245" s="18" t="s">
        <v>95</v>
      </c>
      <c r="BL245" s="18" t="s">
        <v>95</v>
      </c>
      <c r="BM245" s="18" t="s">
        <v>95</v>
      </c>
      <c r="BN245" s="18" t="s">
        <v>85</v>
      </c>
      <c r="BO245" s="18" t="s">
        <v>86</v>
      </c>
      <c r="BP245" s="18" t="s">
        <v>90</v>
      </c>
      <c r="BQ245" s="18" t="s">
        <v>8002</v>
      </c>
      <c r="BR245" s="18" t="s">
        <v>139</v>
      </c>
      <c r="BS245" s="18" t="s">
        <v>8074</v>
      </c>
      <c r="BT245" s="18" t="s">
        <v>7989</v>
      </c>
      <c r="BU245" s="18" t="s">
        <v>496</v>
      </c>
      <c r="BV245" s="18" t="str">
        <f>Terminales[[#This Row],[IMEI]]&amp;"SI"</f>
        <v>864331068939606SI</v>
      </c>
      <c r="BW245" s="18" t="str">
        <f>VLOOKUP(Terminales[[#This Row],[OFICINA_USUARIO]],[1]!Locales[#Data],3,0)</f>
        <v>TIENDA RECREO</v>
      </c>
      <c r="BX245" s="18" t="str">
        <f>VLOOKUP(Terminales[[#This Row],[USUARIO_FINAL]],'[1]Personal Ppto vs Real'!$A:$F,6,0)</f>
        <v>ORTEGA  NATALIE MÉNDEZ</v>
      </c>
      <c r="BY24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4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45" s="18">
        <f>DAY(Terminales[[#This Row],[FECHA_FACTURA]])</f>
        <v>12</v>
      </c>
      <c r="CB245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245" s="65">
        <f>IFERROR(IF(AND(Terminales[[#This Row],[CANTIDAD]] = 1,Terminales[[#This Row],[MOVIMIENTO]] = "RENOVACION"),Terminales[[#This Row],[TARIFA_BASICA]]*0.5,),)</f>
        <v>0</v>
      </c>
      <c r="CD245" s="65">
        <f>IF('[1]Resumen TM'!$AW$20 &lt; 0.4,0,Terminales[[#This Row],[MONTO]]*0.02)</f>
        <v>5.5357142000000001</v>
      </c>
      <c r="CE245" s="66">
        <f>Terminales[[#This Row],[COMISIONES TERMINALES]]+Terminales[[#This Row],[COMISIONES RENOVACIONES]]+Terminales[[#This Row],[COMISIONES BONO]]</f>
        <v>33.214285199999999</v>
      </c>
      <c r="CF245" s="67">
        <f>(Terminales[[#This Row],[COMISIONES TERMINALES]]*VLOOKUP(Terminales[[#This Row],[LOCALES]],[1]!Calendario[#Data],3,0))/VLOOKUP(Terminales[[#This Row],[LOCALES]],[1]!Calendario[#Data],2,0)</f>
        <v>45.535713580645158</v>
      </c>
      <c r="CG245" s="67">
        <f>(Terminales[[#This Row],[COMISIONES RENOVACIONES]]*VLOOKUP(Terminales[[#This Row],[LOCALES]],[1]!Calendario[#Data],3,0))/VLOOKUP(Terminales[[#This Row],[LOCALES]],[1]!Calendario[#Data],2,0)</f>
        <v>0</v>
      </c>
      <c r="CH245" s="67">
        <f>(Terminales[[#This Row],[COMISIONES BONO]]*VLOOKUP(Terminales[[#This Row],[LOCALES]],[1]!Calendario[#Data],3,0))/VLOOKUP(Terminales[[#This Row],[LOCALES]],[1]!Calendario[#Data],2,0)</f>
        <v>9.107142716129033</v>
      </c>
      <c r="CI245" s="67">
        <f>Terminales[[#This Row],[PROY. COM. TERMINALES]]+Terminales[[#This Row],[PROY. COM. RENOV.]]+Terminales[[#This Row],[PROY. COM. 2%]]</f>
        <v>54.642856296774191</v>
      </c>
    </row>
    <row r="246" spans="1:87" x14ac:dyDescent="0.25">
      <c r="A246" s="68">
        <v>44926</v>
      </c>
      <c r="B246" s="68">
        <v>44908</v>
      </c>
      <c r="C246" s="18" t="s">
        <v>96</v>
      </c>
      <c r="D246" s="18" t="s">
        <v>96</v>
      </c>
      <c r="E246" s="18" t="s">
        <v>96</v>
      </c>
      <c r="F246" s="18" t="s">
        <v>9567</v>
      </c>
      <c r="G246" s="18" t="s">
        <v>292</v>
      </c>
      <c r="H246" s="18" t="s">
        <v>494</v>
      </c>
      <c r="I246" s="18" t="s">
        <v>9568</v>
      </c>
      <c r="J246" s="18" t="s">
        <v>95</v>
      </c>
      <c r="K246" s="18" t="s">
        <v>7970</v>
      </c>
      <c r="L246" s="18" t="s">
        <v>9569</v>
      </c>
      <c r="M246" s="18" t="s">
        <v>9570</v>
      </c>
      <c r="N246" s="18" t="s">
        <v>9571</v>
      </c>
      <c r="O246" s="18" t="s">
        <v>9572</v>
      </c>
      <c r="P246" s="18" t="s">
        <v>9573</v>
      </c>
      <c r="Q246" s="18" t="s">
        <v>7975</v>
      </c>
      <c r="R246" s="18" t="s">
        <v>7976</v>
      </c>
      <c r="S246" s="18" t="s">
        <v>8070</v>
      </c>
      <c r="T246" s="18" t="s">
        <v>8179</v>
      </c>
      <c r="U246" s="18" t="s">
        <v>7996</v>
      </c>
      <c r="V246" s="18" t="s">
        <v>6963</v>
      </c>
      <c r="W246" s="18" t="s">
        <v>95</v>
      </c>
      <c r="X246" s="18" t="s">
        <v>95</v>
      </c>
      <c r="Y246" s="18" t="s">
        <v>7980</v>
      </c>
      <c r="Z246" s="18" t="s">
        <v>6996</v>
      </c>
      <c r="AA246" s="69">
        <v>1</v>
      </c>
      <c r="AB246" s="18">
        <v>160.71429000000001</v>
      </c>
      <c r="AC246" s="18" t="s">
        <v>9574</v>
      </c>
      <c r="AD246" s="18" t="s">
        <v>7982</v>
      </c>
      <c r="AE246" s="18">
        <v>138.04</v>
      </c>
      <c r="AF246" s="18" t="s">
        <v>7983</v>
      </c>
      <c r="AG246" s="18">
        <v>138.04</v>
      </c>
      <c r="AH246" s="18" t="s">
        <v>95</v>
      </c>
      <c r="AI246" s="18" t="s">
        <v>8102</v>
      </c>
      <c r="AJ246" s="18" t="s">
        <v>8103</v>
      </c>
      <c r="AK246" s="18" t="s">
        <v>95</v>
      </c>
      <c r="AL246" s="18" t="s">
        <v>95</v>
      </c>
      <c r="AM246" s="18" t="s">
        <v>95</v>
      </c>
      <c r="AN246" s="18" t="s">
        <v>7984</v>
      </c>
      <c r="AO246" s="18" t="s">
        <v>92</v>
      </c>
      <c r="AP246" s="20" t="s">
        <v>1020</v>
      </c>
      <c r="AQ246" s="18" t="s">
        <v>1021</v>
      </c>
      <c r="AR246" s="18" t="s">
        <v>496</v>
      </c>
      <c r="AS246" s="18">
        <v>1</v>
      </c>
      <c r="AT246" s="18" t="s">
        <v>91</v>
      </c>
      <c r="AU246" s="18" t="s">
        <v>90</v>
      </c>
      <c r="AV246" s="18" t="s">
        <v>9575</v>
      </c>
      <c r="AW246" s="18" t="s">
        <v>9576</v>
      </c>
      <c r="AX246" s="18" t="s">
        <v>83</v>
      </c>
      <c r="AY246" s="18" t="s">
        <v>95</v>
      </c>
      <c r="AZ246" s="18" t="s">
        <v>95</v>
      </c>
      <c r="BA246" s="18" t="s">
        <v>95</v>
      </c>
      <c r="BB246" s="18" t="s">
        <v>95</v>
      </c>
      <c r="BC246" s="18" t="s">
        <v>118</v>
      </c>
      <c r="BD246" s="18" t="s">
        <v>95</v>
      </c>
      <c r="BE246" s="18" t="s">
        <v>95</v>
      </c>
      <c r="BF246" s="18" t="s">
        <v>95</v>
      </c>
      <c r="BG246" s="18" t="s">
        <v>95</v>
      </c>
      <c r="BH246" s="18" t="s">
        <v>95</v>
      </c>
      <c r="BI246" s="18">
        <v>12</v>
      </c>
      <c r="BJ246" s="18">
        <v>2022</v>
      </c>
      <c r="BK246" s="18" t="s">
        <v>95</v>
      </c>
      <c r="BL246" s="18" t="s">
        <v>95</v>
      </c>
      <c r="BM246" s="18" t="s">
        <v>95</v>
      </c>
      <c r="BN246" s="18" t="s">
        <v>85</v>
      </c>
      <c r="BO246" s="18" t="s">
        <v>86</v>
      </c>
      <c r="BP246" s="18" t="s">
        <v>90</v>
      </c>
      <c r="BQ246" s="18" t="s">
        <v>8106</v>
      </c>
      <c r="BR246" s="18" t="s">
        <v>92</v>
      </c>
      <c r="BS246" s="18" t="s">
        <v>8074</v>
      </c>
      <c r="BT246" s="18" t="s">
        <v>7989</v>
      </c>
      <c r="BU246" s="18" t="s">
        <v>496</v>
      </c>
      <c r="BV246" s="18" t="str">
        <f>Terminales[[#This Row],[IMEI]]&amp;"SI"</f>
        <v>863696065360829SI</v>
      </c>
      <c r="BW246" s="18" t="str">
        <f>VLOOKUP(Terminales[[#This Row],[OFICINA_USUARIO]],[1]!Locales[#Data],3,0)</f>
        <v>TIENDA CUENCA CENTRO</v>
      </c>
      <c r="BX246" s="18" t="str">
        <f>VLOOKUP(Terminales[[#This Row],[USUARIO_FINAL]],'[1]Personal Ppto vs Real'!$A:$F,6,0)</f>
        <v>GONZALES ALVARRACIN PAOLA YESSENIA</v>
      </c>
      <c r="BY24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4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46" s="18">
        <f>DAY(Terminales[[#This Row],[FECHA_FACTURA]])</f>
        <v>13</v>
      </c>
      <c r="CB246" s="65">
        <f>IF(Terminales[[#This Row],[CANTIDAD]] = 1,INDEX([1]!Comisiones[#Data],MATCH("Terminales",[1]!Comisiones[Producto],0),MATCH(Terminales[[#This Row],[TIPO ALTA COMISIONES]],[1]!Comisiones[#Headers],0))*Terminales[[#This Row],[MONTO]],0)</f>
        <v>16.071429000000002</v>
      </c>
      <c r="CC246" s="65">
        <f>IFERROR(IF(AND(Terminales[[#This Row],[CANTIDAD]] = 1,Terminales[[#This Row],[MOVIMIENTO]] = "RENOVACION"),Terminales[[#This Row],[TARIFA_BASICA]]*0.5,),)</f>
        <v>0</v>
      </c>
      <c r="CD246" s="65">
        <f>IF('[1]Resumen TM'!$AW$20 &lt; 0.4,0,Terminales[[#This Row],[MONTO]]*0.02)</f>
        <v>3.2142858000000003</v>
      </c>
      <c r="CE246" s="66">
        <f>Terminales[[#This Row],[COMISIONES TERMINALES]]+Terminales[[#This Row],[COMISIONES RENOVACIONES]]+Terminales[[#This Row],[COMISIONES BONO]]</f>
        <v>19.285714800000001</v>
      </c>
      <c r="CF246" s="67">
        <f>(Terminales[[#This Row],[COMISIONES TERMINALES]]*VLOOKUP(Terminales[[#This Row],[LOCALES]],[1]!Calendario[#Data],3,0))/VLOOKUP(Terminales[[#This Row],[LOCALES]],[1]!Calendario[#Data],2,0)</f>
        <v>26.046798724137936</v>
      </c>
      <c r="CG246" s="67">
        <f>(Terminales[[#This Row],[COMISIONES RENOVACIONES]]*VLOOKUP(Terminales[[#This Row],[LOCALES]],[1]!Calendario[#Data],3,0))/VLOOKUP(Terminales[[#This Row],[LOCALES]],[1]!Calendario[#Data],2,0)</f>
        <v>0</v>
      </c>
      <c r="CH246" s="67">
        <f>(Terminales[[#This Row],[COMISIONES BONO]]*VLOOKUP(Terminales[[#This Row],[LOCALES]],[1]!Calendario[#Data],3,0))/VLOOKUP(Terminales[[#This Row],[LOCALES]],[1]!Calendario[#Data],2,0)</f>
        <v>5.2093597448275863</v>
      </c>
      <c r="CI246" s="67">
        <f>Terminales[[#This Row],[PROY. COM. TERMINALES]]+Terminales[[#This Row],[PROY. COM. RENOV.]]+Terminales[[#This Row],[PROY. COM. 2%]]</f>
        <v>31.256158468965523</v>
      </c>
    </row>
    <row r="247" spans="1:87" x14ac:dyDescent="0.25">
      <c r="A247" s="68">
        <v>44926</v>
      </c>
      <c r="B247" s="68">
        <v>44908</v>
      </c>
      <c r="C247" s="18" t="s">
        <v>291</v>
      </c>
      <c r="D247" s="18" t="s">
        <v>78</v>
      </c>
      <c r="E247" s="18" t="s">
        <v>1532</v>
      </c>
      <c r="F247" s="18" t="s">
        <v>9577</v>
      </c>
      <c r="G247" s="18" t="s">
        <v>292</v>
      </c>
      <c r="H247" s="18" t="s">
        <v>293</v>
      </c>
      <c r="I247" s="18" t="s">
        <v>9578</v>
      </c>
      <c r="J247" s="18" t="s">
        <v>95</v>
      </c>
      <c r="K247" s="18" t="s">
        <v>7970</v>
      </c>
      <c r="L247" s="18" t="s">
        <v>9579</v>
      </c>
      <c r="M247" s="18" t="s">
        <v>3895</v>
      </c>
      <c r="N247" s="18" t="s">
        <v>3896</v>
      </c>
      <c r="O247" s="18" t="s">
        <v>4907</v>
      </c>
      <c r="P247" s="18" t="s">
        <v>9580</v>
      </c>
      <c r="Q247" s="18" t="s">
        <v>7975</v>
      </c>
      <c r="R247" s="18" t="s">
        <v>7976</v>
      </c>
      <c r="S247" s="18" t="s">
        <v>8045</v>
      </c>
      <c r="T247" s="18" t="s">
        <v>8099</v>
      </c>
      <c r="U247" s="18" t="s">
        <v>8100</v>
      </c>
      <c r="V247" s="18" t="s">
        <v>6963</v>
      </c>
      <c r="W247" s="18" t="s">
        <v>95</v>
      </c>
      <c r="X247" s="18" t="s">
        <v>95</v>
      </c>
      <c r="Y247" s="18" t="s">
        <v>7980</v>
      </c>
      <c r="Z247" s="18" t="s">
        <v>6996</v>
      </c>
      <c r="AA247" s="69">
        <v>1</v>
      </c>
      <c r="AB247" s="18">
        <v>767.85713999999996</v>
      </c>
      <c r="AC247" s="18" t="s">
        <v>9581</v>
      </c>
      <c r="AD247" s="18" t="s">
        <v>7982</v>
      </c>
      <c r="AE247" s="18">
        <v>397</v>
      </c>
      <c r="AF247" s="18" t="s">
        <v>7983</v>
      </c>
      <c r="AG247" s="18">
        <v>397</v>
      </c>
      <c r="AH247" s="18" t="s">
        <v>95</v>
      </c>
      <c r="AI247" s="18" t="s">
        <v>7213</v>
      </c>
      <c r="AJ247" s="18" t="s">
        <v>7214</v>
      </c>
      <c r="AK247" s="18">
        <v>24.99</v>
      </c>
      <c r="AL247" s="18" t="s">
        <v>95</v>
      </c>
      <c r="AM247" s="18" t="s">
        <v>95</v>
      </c>
      <c r="AN247" s="18" t="s">
        <v>7984</v>
      </c>
      <c r="AO247" s="18" t="s">
        <v>92</v>
      </c>
      <c r="AP247" s="20" t="s">
        <v>880</v>
      </c>
      <c r="AQ247" s="18" t="s">
        <v>881</v>
      </c>
      <c r="AR247" s="18" t="s">
        <v>295</v>
      </c>
      <c r="AS247" s="18">
        <v>18</v>
      </c>
      <c r="AT247" s="18" t="s">
        <v>91</v>
      </c>
      <c r="AU247" s="18" t="s">
        <v>90</v>
      </c>
      <c r="AV247" s="18" t="s">
        <v>8660</v>
      </c>
      <c r="AW247" s="18" t="s">
        <v>8661</v>
      </c>
      <c r="AX247" s="18" t="s">
        <v>83</v>
      </c>
      <c r="AY247" s="18" t="s">
        <v>95</v>
      </c>
      <c r="AZ247" s="18" t="s">
        <v>95</v>
      </c>
      <c r="BA247" s="18" t="s">
        <v>95</v>
      </c>
      <c r="BB247" s="18" t="s">
        <v>95</v>
      </c>
      <c r="BC247" s="18" t="s">
        <v>84</v>
      </c>
      <c r="BD247" s="18">
        <v>155</v>
      </c>
      <c r="BE247" s="18" t="s">
        <v>95</v>
      </c>
      <c r="BF247" s="18" t="s">
        <v>95</v>
      </c>
      <c r="BG247" s="18" t="s">
        <v>95</v>
      </c>
      <c r="BH247" s="18" t="s">
        <v>95</v>
      </c>
      <c r="BI247" s="18">
        <v>12</v>
      </c>
      <c r="BJ247" s="18">
        <v>2022</v>
      </c>
      <c r="BK247" s="18" t="s">
        <v>95</v>
      </c>
      <c r="BL247" s="18" t="s">
        <v>95</v>
      </c>
      <c r="BM247" s="18" t="s">
        <v>95</v>
      </c>
      <c r="BN247" s="18" t="s">
        <v>85</v>
      </c>
      <c r="BO247" s="18" t="s">
        <v>86</v>
      </c>
      <c r="BP247" s="18" t="s">
        <v>90</v>
      </c>
      <c r="BQ247" s="18" t="s">
        <v>8106</v>
      </c>
      <c r="BR247" s="18" t="s">
        <v>92</v>
      </c>
      <c r="BS247" s="18" t="s">
        <v>8329</v>
      </c>
      <c r="BT247" s="18" t="s">
        <v>7989</v>
      </c>
      <c r="BU247" s="18" t="s">
        <v>7990</v>
      </c>
      <c r="BV247" s="18" t="str">
        <f>Terminales[[#This Row],[IMEI]]&amp;"SI"</f>
        <v>353842194887384SI</v>
      </c>
      <c r="BW247" s="18" t="str">
        <f>VLOOKUP(Terminales[[#This Row],[OFICINA_USUARIO]],[1]!Locales[#Data],3,0)</f>
        <v>TIENDA CUENCA CENTRO</v>
      </c>
      <c r="BX247" s="18" t="str">
        <f>VLOOKUP(Terminales[[#This Row],[USUARIO_FINAL]],'[1]Personal Ppto vs Real'!$A:$F,6,0)</f>
        <v>LUNA JACHO ANDREA GABRIELA</v>
      </c>
      <c r="BY24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4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18</v>
      </c>
      <c r="CA247" s="18">
        <f>DAY(Terminales[[#This Row],[FECHA_FACTURA]])</f>
        <v>13</v>
      </c>
      <c r="CB247" s="65">
        <f>IF(Terminales[[#This Row],[CANTIDAD]] = 1,INDEX([1]!Comisiones[#Data],MATCH("Terminales",[1]!Comisiones[Producto],0),MATCH(Terminales[[#This Row],[TIPO ALTA COMISIONES]],[1]!Comisiones[#Headers],0))*Terminales[[#This Row],[MONTO]],0)</f>
        <v>23.035714199999997</v>
      </c>
      <c r="CC247" s="65">
        <f>IFERROR(IF(AND(Terminales[[#This Row],[CANTIDAD]] = 1,Terminales[[#This Row],[MOVIMIENTO]] = "RENOVACION"),Terminales[[#This Row],[TARIFA_BASICA]]*0.5,),)</f>
        <v>12.494999999999999</v>
      </c>
      <c r="CD247" s="65">
        <f>IF('[1]Resumen TM'!$AW$20 &lt; 0.4,0,Terminales[[#This Row],[MONTO]]*0.02)</f>
        <v>15.3571428</v>
      </c>
      <c r="CE247" s="66">
        <f>Terminales[[#This Row],[COMISIONES TERMINALES]]+Terminales[[#This Row],[COMISIONES RENOVACIONES]]+Terminales[[#This Row],[COMISIONES BONO]]</f>
        <v>50.887856999999997</v>
      </c>
      <c r="CF247" s="67">
        <f>(Terminales[[#This Row],[COMISIONES TERMINALES]]*VLOOKUP(Terminales[[#This Row],[LOCALES]],[1]!Calendario[#Data],3,0))/VLOOKUP(Terminales[[#This Row],[LOCALES]],[1]!Calendario[#Data],2,0)</f>
        <v>37.33374370344827</v>
      </c>
      <c r="CG247" s="67">
        <f>(Terminales[[#This Row],[COMISIONES RENOVACIONES]]*VLOOKUP(Terminales[[#This Row],[LOCALES]],[1]!Calendario[#Data],3,0))/VLOOKUP(Terminales[[#This Row],[LOCALES]],[1]!Calendario[#Data],2,0)</f>
        <v>20.25051724137931</v>
      </c>
      <c r="CH247" s="67">
        <f>(Terminales[[#This Row],[COMISIONES BONO]]*VLOOKUP(Terminales[[#This Row],[LOCALES]],[1]!Calendario[#Data],3,0))/VLOOKUP(Terminales[[#This Row],[LOCALES]],[1]!Calendario[#Data],2,0)</f>
        <v>24.889162468965516</v>
      </c>
      <c r="CI247" s="67">
        <f>Terminales[[#This Row],[PROY. COM. TERMINALES]]+Terminales[[#This Row],[PROY. COM. RENOV.]]+Terminales[[#This Row],[PROY. COM. 2%]]</f>
        <v>82.473423413793086</v>
      </c>
    </row>
    <row r="248" spans="1:87" x14ac:dyDescent="0.25">
      <c r="A248" s="68">
        <v>44926</v>
      </c>
      <c r="B248" s="68">
        <v>44908</v>
      </c>
      <c r="C248" s="18" t="s">
        <v>291</v>
      </c>
      <c r="D248" s="18" t="s">
        <v>78</v>
      </c>
      <c r="E248" s="18" t="s">
        <v>164</v>
      </c>
      <c r="F248" s="18" t="s">
        <v>6850</v>
      </c>
      <c r="G248" s="18" t="s">
        <v>292</v>
      </c>
      <c r="H248" s="18" t="s">
        <v>293</v>
      </c>
      <c r="I248" s="18" t="s">
        <v>9582</v>
      </c>
      <c r="J248" s="18" t="s">
        <v>95</v>
      </c>
      <c r="K248" s="18" t="s">
        <v>7970</v>
      </c>
      <c r="L248" s="18" t="s">
        <v>6851</v>
      </c>
      <c r="M248" s="18" t="s">
        <v>6852</v>
      </c>
      <c r="N248" s="18" t="s">
        <v>6853</v>
      </c>
      <c r="O248" s="18" t="s">
        <v>2260</v>
      </c>
      <c r="P248" s="18" t="s">
        <v>6854</v>
      </c>
      <c r="Q248" s="18" t="s">
        <v>7975</v>
      </c>
      <c r="R248" s="18" t="s">
        <v>7976</v>
      </c>
      <c r="S248" s="18" t="s">
        <v>8010</v>
      </c>
      <c r="T248" s="18" t="s">
        <v>8011</v>
      </c>
      <c r="U248" s="18" t="s">
        <v>8012</v>
      </c>
      <c r="V248" s="18" t="s">
        <v>6963</v>
      </c>
      <c r="W248" s="18" t="s">
        <v>95</v>
      </c>
      <c r="X248" s="18" t="s">
        <v>95</v>
      </c>
      <c r="Y248" s="18" t="s">
        <v>7980</v>
      </c>
      <c r="Z248" s="18" t="s">
        <v>6996</v>
      </c>
      <c r="AA248" s="69">
        <v>1</v>
      </c>
      <c r="AB248" s="18">
        <v>245.53570999999999</v>
      </c>
      <c r="AC248" s="18" t="s">
        <v>9583</v>
      </c>
      <c r="AD248" s="18" t="s">
        <v>8151</v>
      </c>
      <c r="AE248" s="18">
        <v>168.8</v>
      </c>
      <c r="AF248" s="18" t="s">
        <v>7983</v>
      </c>
      <c r="AG248" s="18">
        <v>168.8</v>
      </c>
      <c r="AH248" s="18" t="s">
        <v>95</v>
      </c>
      <c r="AI248" s="18" t="s">
        <v>160</v>
      </c>
      <c r="AJ248" s="18" t="s">
        <v>161</v>
      </c>
      <c r="AK248" s="18">
        <v>14.28</v>
      </c>
      <c r="AL248" s="18" t="s">
        <v>95</v>
      </c>
      <c r="AM248" s="18" t="s">
        <v>95</v>
      </c>
      <c r="AN248" s="18" t="s">
        <v>7984</v>
      </c>
      <c r="AO248" s="18" t="s">
        <v>92</v>
      </c>
      <c r="AP248" s="20" t="s">
        <v>120</v>
      </c>
      <c r="AQ248" s="18" t="s">
        <v>121</v>
      </c>
      <c r="AR248" s="18" t="s">
        <v>295</v>
      </c>
      <c r="AS248" s="18">
        <v>6</v>
      </c>
      <c r="AT248" s="18" t="s">
        <v>122</v>
      </c>
      <c r="AU248" s="18" t="s">
        <v>90</v>
      </c>
      <c r="AV248" s="18" t="s">
        <v>8014</v>
      </c>
      <c r="AW248" s="18" t="s">
        <v>8015</v>
      </c>
      <c r="AX248" s="18" t="s">
        <v>83</v>
      </c>
      <c r="AY248" s="18" t="s">
        <v>95</v>
      </c>
      <c r="AZ248" s="18" t="s">
        <v>95</v>
      </c>
      <c r="BA248" s="18" t="s">
        <v>95</v>
      </c>
      <c r="BB248" s="18" t="s">
        <v>95</v>
      </c>
      <c r="BC248" s="18" t="s">
        <v>95</v>
      </c>
      <c r="BD248" s="18">
        <v>50</v>
      </c>
      <c r="BE248" s="18" t="s">
        <v>95</v>
      </c>
      <c r="BF248" s="18" t="s">
        <v>95</v>
      </c>
      <c r="BG248" s="18" t="s">
        <v>95</v>
      </c>
      <c r="BH248" s="18" t="s">
        <v>95</v>
      </c>
      <c r="BI248" s="18">
        <v>12</v>
      </c>
      <c r="BJ248" s="18">
        <v>2022</v>
      </c>
      <c r="BK248" s="18" t="s">
        <v>95</v>
      </c>
      <c r="BL248" s="18" t="s">
        <v>95</v>
      </c>
      <c r="BM248" s="18" t="s">
        <v>95</v>
      </c>
      <c r="BN248" s="18" t="s">
        <v>85</v>
      </c>
      <c r="BO248" s="18" t="s">
        <v>86</v>
      </c>
      <c r="BP248" s="18" t="s">
        <v>90</v>
      </c>
      <c r="BQ248" s="18" t="s">
        <v>8050</v>
      </c>
      <c r="BR248" s="18" t="s">
        <v>92</v>
      </c>
      <c r="BS248" s="18" t="s">
        <v>8027</v>
      </c>
      <c r="BT248" s="18" t="s">
        <v>7989</v>
      </c>
      <c r="BU248" s="18" t="s">
        <v>7990</v>
      </c>
      <c r="BV248" s="18" t="str">
        <f>Terminales[[#This Row],[IMEI]]&amp;"SI"</f>
        <v>359694275281142SI</v>
      </c>
      <c r="BW248" s="18" t="str">
        <f>VLOOKUP(Terminales[[#This Row],[OFICINA_USUARIO]],[1]!Locales[#Data],3,0)</f>
        <v>TIENDA MACHALA</v>
      </c>
      <c r="BX248" s="18" t="str">
        <f>VLOOKUP(Terminales[[#This Row],[USUARIO_FINAL]],'[1]Personal Ppto vs Real'!$A:$F,6,0)</f>
        <v>ARROBO VICENTE YADIRA ESPERANZA</v>
      </c>
      <c r="BY248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24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48" s="18">
        <f>DAY(Terminales[[#This Row],[FECHA_FACTURA]])</f>
        <v>13</v>
      </c>
      <c r="CB248" s="65">
        <f>IF(Terminales[[#This Row],[CANTIDAD]] = 1,INDEX([1]!Comisiones[#Data],MATCH("Terminales",[1]!Comisiones[Producto],0),MATCH(Terminales[[#This Row],[TIPO ALTA COMISIONES]],[1]!Comisiones[#Headers],0))*Terminales[[#This Row],[MONTO]],0)</f>
        <v>19.642856800000001</v>
      </c>
      <c r="CC248" s="65">
        <f>IFERROR(IF(AND(Terminales[[#This Row],[CANTIDAD]] = 1,Terminales[[#This Row],[MOVIMIENTO]] = "RENOVACION"),Terminales[[#This Row],[TARIFA_BASICA]]*0.5,),)</f>
        <v>0</v>
      </c>
      <c r="CD248" s="65">
        <f>IF('[1]Resumen TM'!$AW$20 &lt; 0.4,0,Terminales[[#This Row],[MONTO]]*0.02)</f>
        <v>4.9107142000000001</v>
      </c>
      <c r="CE248" s="66">
        <f>Terminales[[#This Row],[COMISIONES TERMINALES]]+Terminales[[#This Row],[COMISIONES RENOVACIONES]]+Terminales[[#This Row],[COMISIONES BONO]]</f>
        <v>24.553571000000002</v>
      </c>
      <c r="CF248" s="67">
        <f>(Terminales[[#This Row],[COMISIONES TERMINALES]]*VLOOKUP(Terminales[[#This Row],[LOCALES]],[1]!Calendario[#Data],3,0))/VLOOKUP(Terminales[[#This Row],[LOCALES]],[1]!Calendario[#Data],2,0)</f>
        <v>31.834974813793107</v>
      </c>
      <c r="CG248" s="67">
        <f>(Terminales[[#This Row],[COMISIONES RENOVACIONES]]*VLOOKUP(Terminales[[#This Row],[LOCALES]],[1]!Calendario[#Data],3,0))/VLOOKUP(Terminales[[#This Row],[LOCALES]],[1]!Calendario[#Data],2,0)</f>
        <v>0</v>
      </c>
      <c r="CH248" s="67">
        <f>(Terminales[[#This Row],[COMISIONES BONO]]*VLOOKUP(Terminales[[#This Row],[LOCALES]],[1]!Calendario[#Data],3,0))/VLOOKUP(Terminales[[#This Row],[LOCALES]],[1]!Calendario[#Data],2,0)</f>
        <v>7.9587437034482766</v>
      </c>
      <c r="CI248" s="67">
        <f>Terminales[[#This Row],[PROY. COM. TERMINALES]]+Terminales[[#This Row],[PROY. COM. RENOV.]]+Terminales[[#This Row],[PROY. COM. 2%]]</f>
        <v>39.793718517241381</v>
      </c>
    </row>
    <row r="249" spans="1:87" x14ac:dyDescent="0.25">
      <c r="A249" s="68">
        <v>44926</v>
      </c>
      <c r="B249" s="68">
        <v>44908</v>
      </c>
      <c r="C249" s="18" t="s">
        <v>291</v>
      </c>
      <c r="D249" s="18" t="s">
        <v>78</v>
      </c>
      <c r="E249" s="18" t="s">
        <v>1532</v>
      </c>
      <c r="F249" s="18" t="s">
        <v>9584</v>
      </c>
      <c r="G249" s="18" t="s">
        <v>292</v>
      </c>
      <c r="H249" s="18" t="s">
        <v>494</v>
      </c>
      <c r="I249" s="18" t="s">
        <v>9585</v>
      </c>
      <c r="J249" s="18" t="s">
        <v>95</v>
      </c>
      <c r="K249" s="18" t="s">
        <v>7970</v>
      </c>
      <c r="L249" s="18" t="s">
        <v>6119</v>
      </c>
      <c r="M249" s="18" t="s">
        <v>6120</v>
      </c>
      <c r="N249" s="18" t="s">
        <v>6121</v>
      </c>
      <c r="O249" s="18" t="s">
        <v>543</v>
      </c>
      <c r="P249" s="18" t="s">
        <v>9586</v>
      </c>
      <c r="Q249" s="18" t="s">
        <v>7975</v>
      </c>
      <c r="R249" s="18" t="s">
        <v>7976</v>
      </c>
      <c r="S249" s="18" t="s">
        <v>7994</v>
      </c>
      <c r="T249" s="18" t="s">
        <v>8245</v>
      </c>
      <c r="U249" s="18" t="s">
        <v>8012</v>
      </c>
      <c r="V249" s="18" t="s">
        <v>6963</v>
      </c>
      <c r="W249" s="18" t="s">
        <v>95</v>
      </c>
      <c r="X249" s="18" t="s">
        <v>95</v>
      </c>
      <c r="Y249" s="18" t="s">
        <v>7980</v>
      </c>
      <c r="Z249" s="18" t="s">
        <v>6996</v>
      </c>
      <c r="AA249" s="69">
        <v>1</v>
      </c>
      <c r="AB249" s="18">
        <v>156.25</v>
      </c>
      <c r="AC249" s="18" t="s">
        <v>9587</v>
      </c>
      <c r="AD249" s="18" t="s">
        <v>7982</v>
      </c>
      <c r="AE249" s="18">
        <v>156</v>
      </c>
      <c r="AF249" s="18" t="s">
        <v>7983</v>
      </c>
      <c r="AG249" s="18">
        <v>156</v>
      </c>
      <c r="AH249" s="18" t="s">
        <v>95</v>
      </c>
      <c r="AI249" s="18" t="s">
        <v>7247</v>
      </c>
      <c r="AJ249" s="18" t="s">
        <v>7738</v>
      </c>
      <c r="AK249" s="18">
        <v>19.989999999999998</v>
      </c>
      <c r="AL249" s="18" t="s">
        <v>95</v>
      </c>
      <c r="AM249" s="18" t="s">
        <v>95</v>
      </c>
      <c r="AN249" s="18" t="s">
        <v>7984</v>
      </c>
      <c r="AO249" s="18" t="s">
        <v>92</v>
      </c>
      <c r="AP249" s="20" t="s">
        <v>1415</v>
      </c>
      <c r="AQ249" s="18" t="s">
        <v>1416</v>
      </c>
      <c r="AR249" s="18" t="s">
        <v>496</v>
      </c>
      <c r="AS249" s="18">
        <v>1</v>
      </c>
      <c r="AT249" s="18" t="s">
        <v>91</v>
      </c>
      <c r="AU249" s="18" t="s">
        <v>90</v>
      </c>
      <c r="AV249" s="18" t="s">
        <v>8247</v>
      </c>
      <c r="AW249" s="18" t="s">
        <v>8248</v>
      </c>
      <c r="AX249" s="18" t="s">
        <v>83</v>
      </c>
      <c r="AY249" s="18" t="s">
        <v>95</v>
      </c>
      <c r="AZ249" s="18" t="s">
        <v>95</v>
      </c>
      <c r="BA249" s="18" t="s">
        <v>95</v>
      </c>
      <c r="BB249" s="18" t="s">
        <v>95</v>
      </c>
      <c r="BC249" s="18" t="s">
        <v>118</v>
      </c>
      <c r="BD249" s="18" t="s">
        <v>95</v>
      </c>
      <c r="BE249" s="18" t="s">
        <v>95</v>
      </c>
      <c r="BF249" s="18" t="s">
        <v>95</v>
      </c>
      <c r="BG249" s="18" t="s">
        <v>95</v>
      </c>
      <c r="BH249" s="18" t="s">
        <v>95</v>
      </c>
      <c r="BI249" s="18">
        <v>12</v>
      </c>
      <c r="BJ249" s="18">
        <v>2022</v>
      </c>
      <c r="BK249" s="18" t="s">
        <v>95</v>
      </c>
      <c r="BL249" s="18" t="s">
        <v>95</v>
      </c>
      <c r="BM249" s="18" t="s">
        <v>95</v>
      </c>
      <c r="BN249" s="18" t="s">
        <v>85</v>
      </c>
      <c r="BO249" s="18" t="s">
        <v>86</v>
      </c>
      <c r="BP249" s="18" t="s">
        <v>90</v>
      </c>
      <c r="BQ249" s="18" t="s">
        <v>8106</v>
      </c>
      <c r="BR249" s="18" t="s">
        <v>92</v>
      </c>
      <c r="BS249" s="18" t="s">
        <v>8074</v>
      </c>
      <c r="BT249" s="18" t="s">
        <v>7989</v>
      </c>
      <c r="BU249" s="18" t="s">
        <v>496</v>
      </c>
      <c r="BV249" s="18" t="str">
        <f>Terminales[[#This Row],[IMEI]]&amp;"SI"</f>
        <v>355108340319294SI</v>
      </c>
      <c r="BW249" s="18" t="str">
        <f>VLOOKUP(Terminales[[#This Row],[OFICINA_USUARIO]],[1]!Locales[#Data],3,0)</f>
        <v>TIENDA CUENCA CENTRO</v>
      </c>
      <c r="BX249" s="18" t="str">
        <f>VLOOKUP(Terminales[[#This Row],[USUARIO_FINAL]],'[1]Personal Ppto vs Real'!$A:$F,6,0)</f>
        <v>PATIÑO URGILES DIANA CATALINA</v>
      </c>
      <c r="BY24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4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49" s="18">
        <f>DAY(Terminales[[#This Row],[FECHA_FACTURA]])</f>
        <v>13</v>
      </c>
      <c r="CB249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49" s="65">
        <f>IFERROR(IF(AND(Terminales[[#This Row],[CANTIDAD]] = 1,Terminales[[#This Row],[MOVIMIENTO]] = "RENOVACION"),Terminales[[#This Row],[TARIFA_BASICA]]*0.5,),)</f>
        <v>9.9949999999999992</v>
      </c>
      <c r="CD249" s="65">
        <f>IF('[1]Resumen TM'!$AW$20 &lt; 0.4,0,Terminales[[#This Row],[MONTO]]*0.02)</f>
        <v>3.125</v>
      </c>
      <c r="CE249" s="66">
        <f>Terminales[[#This Row],[COMISIONES TERMINALES]]+Terminales[[#This Row],[COMISIONES RENOVACIONES]]+Terminales[[#This Row],[COMISIONES BONO]]</f>
        <v>28.744999999999997</v>
      </c>
      <c r="CF249" s="67">
        <f>(Terminales[[#This Row],[COMISIONES TERMINALES]]*VLOOKUP(Terminales[[#This Row],[LOCALES]],[1]!Calendario[#Data],3,0))/VLOOKUP(Terminales[[#This Row],[LOCALES]],[1]!Calendario[#Data],2,0)</f>
        <v>25.323275862068964</v>
      </c>
      <c r="CG249" s="67">
        <f>(Terminales[[#This Row],[COMISIONES RENOVACIONES]]*VLOOKUP(Terminales[[#This Row],[LOCALES]],[1]!Calendario[#Data],3,0))/VLOOKUP(Terminales[[#This Row],[LOCALES]],[1]!Calendario[#Data],2,0)</f>
        <v>16.198793103448274</v>
      </c>
      <c r="CH249" s="67">
        <f>(Terminales[[#This Row],[COMISIONES BONO]]*VLOOKUP(Terminales[[#This Row],[LOCALES]],[1]!Calendario[#Data],3,0))/VLOOKUP(Terminales[[#This Row],[LOCALES]],[1]!Calendario[#Data],2,0)</f>
        <v>5.0646551724137927</v>
      </c>
      <c r="CI249" s="67">
        <f>Terminales[[#This Row],[PROY. COM. TERMINALES]]+Terminales[[#This Row],[PROY. COM. RENOV.]]+Terminales[[#This Row],[PROY. COM. 2%]]</f>
        <v>46.586724137931029</v>
      </c>
    </row>
    <row r="250" spans="1:87" x14ac:dyDescent="0.25">
      <c r="A250" s="68">
        <v>44926</v>
      </c>
      <c r="B250" s="68">
        <v>44908</v>
      </c>
      <c r="C250" s="18" t="s">
        <v>291</v>
      </c>
      <c r="D250" s="18" t="s">
        <v>78</v>
      </c>
      <c r="E250" s="18" t="s">
        <v>1378</v>
      </c>
      <c r="F250" s="18" t="s">
        <v>9588</v>
      </c>
      <c r="G250" s="18" t="s">
        <v>292</v>
      </c>
      <c r="H250" s="18" t="s">
        <v>293</v>
      </c>
      <c r="I250" s="18" t="s">
        <v>9589</v>
      </c>
      <c r="J250" s="18" t="s">
        <v>95</v>
      </c>
      <c r="K250" s="18" t="s">
        <v>7970</v>
      </c>
      <c r="L250" s="18" t="s">
        <v>9590</v>
      </c>
      <c r="M250" s="18" t="s">
        <v>9591</v>
      </c>
      <c r="N250" s="18" t="s">
        <v>9592</v>
      </c>
      <c r="O250" s="18" t="s">
        <v>354</v>
      </c>
      <c r="P250" s="18" t="s">
        <v>9593</v>
      </c>
      <c r="Q250" s="18" t="s">
        <v>7975</v>
      </c>
      <c r="R250" s="18" t="s">
        <v>7976</v>
      </c>
      <c r="S250" s="18" t="s">
        <v>8070</v>
      </c>
      <c r="T250" s="18" t="s">
        <v>8071</v>
      </c>
      <c r="U250" s="18" t="s">
        <v>8012</v>
      </c>
      <c r="V250" s="18" t="s">
        <v>6963</v>
      </c>
      <c r="W250" s="18" t="s">
        <v>95</v>
      </c>
      <c r="X250" s="18" t="s">
        <v>95</v>
      </c>
      <c r="Y250" s="18" t="s">
        <v>7980</v>
      </c>
      <c r="Z250" s="18" t="s">
        <v>6996</v>
      </c>
      <c r="AA250" s="69">
        <v>1</v>
      </c>
      <c r="AB250" s="18">
        <v>321.42856999999998</v>
      </c>
      <c r="AC250" s="18" t="s">
        <v>9594</v>
      </c>
      <c r="AD250" s="18" t="s">
        <v>7982</v>
      </c>
      <c r="AE250" s="18">
        <v>199.79</v>
      </c>
      <c r="AF250" s="18" t="s">
        <v>7983</v>
      </c>
      <c r="AG250" s="18">
        <v>199.79</v>
      </c>
      <c r="AH250" s="18" t="s">
        <v>95</v>
      </c>
      <c r="AI250" s="18" t="s">
        <v>8821</v>
      </c>
      <c r="AJ250" s="18" t="s">
        <v>8822</v>
      </c>
      <c r="AK250" s="18">
        <v>29.99</v>
      </c>
      <c r="AL250" s="18" t="s">
        <v>95</v>
      </c>
      <c r="AM250" s="18" t="s">
        <v>95</v>
      </c>
      <c r="AN250" s="18" t="s">
        <v>7984</v>
      </c>
      <c r="AO250" s="18" t="s">
        <v>92</v>
      </c>
      <c r="AP250" s="20" t="s">
        <v>651</v>
      </c>
      <c r="AQ250" s="18" t="s">
        <v>652</v>
      </c>
      <c r="AR250" s="18" t="s">
        <v>295</v>
      </c>
      <c r="AS250" s="18">
        <v>12</v>
      </c>
      <c r="AT250" s="18" t="s">
        <v>122</v>
      </c>
      <c r="AU250" s="18" t="s">
        <v>90</v>
      </c>
      <c r="AV250" s="18" t="s">
        <v>8072</v>
      </c>
      <c r="AW250" s="18" t="s">
        <v>8073</v>
      </c>
      <c r="AX250" s="18" t="s">
        <v>83</v>
      </c>
      <c r="AY250" s="18" t="s">
        <v>95</v>
      </c>
      <c r="AZ250" s="18" t="s">
        <v>95</v>
      </c>
      <c r="BA250" s="18" t="s">
        <v>95</v>
      </c>
      <c r="BB250" s="18" t="s">
        <v>95</v>
      </c>
      <c r="BC250" s="18" t="s">
        <v>118</v>
      </c>
      <c r="BD250" s="18">
        <v>64.5</v>
      </c>
      <c r="BE250" s="18" t="s">
        <v>95</v>
      </c>
      <c r="BF250" s="18" t="s">
        <v>95</v>
      </c>
      <c r="BG250" s="18" t="s">
        <v>95</v>
      </c>
      <c r="BH250" s="18" t="s">
        <v>95</v>
      </c>
      <c r="BI250" s="18">
        <v>12</v>
      </c>
      <c r="BJ250" s="18">
        <v>2022</v>
      </c>
      <c r="BK250" s="18" t="s">
        <v>95</v>
      </c>
      <c r="BL250" s="18" t="s">
        <v>95</v>
      </c>
      <c r="BM250" s="18" t="s">
        <v>95</v>
      </c>
      <c r="BN250" s="18" t="s">
        <v>85</v>
      </c>
      <c r="BO250" s="18" t="s">
        <v>86</v>
      </c>
      <c r="BP250" s="18" t="s">
        <v>90</v>
      </c>
      <c r="BQ250" s="18" t="s">
        <v>8050</v>
      </c>
      <c r="BR250" s="18" t="s">
        <v>92</v>
      </c>
      <c r="BS250" s="18" t="s">
        <v>7988</v>
      </c>
      <c r="BT250" s="18" t="s">
        <v>7989</v>
      </c>
      <c r="BU250" s="18" t="s">
        <v>7990</v>
      </c>
      <c r="BV250" s="18" t="str">
        <f>Terminales[[#This Row],[IMEI]]&amp;"SI"</f>
        <v>869113065774888SI</v>
      </c>
      <c r="BW250" s="18" t="str">
        <f>VLOOKUP(Terminales[[#This Row],[OFICINA_USUARIO]],[1]!Locales[#Data],3,0)</f>
        <v>TIENDA MACHALA</v>
      </c>
      <c r="BX250" s="18" t="str">
        <f>VLOOKUP(Terminales[[#This Row],[USUARIO_FINAL]],'[1]Personal Ppto vs Real'!$A:$F,6,0)</f>
        <v>SANCHEZ SARITAMA JOEL LUIS</v>
      </c>
      <c r="BY25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5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250" s="18">
        <f>DAY(Terminales[[#This Row],[FECHA_FACTURA]])</f>
        <v>13</v>
      </c>
      <c r="CB250" s="65">
        <f>IF(Terminales[[#This Row],[CANTIDAD]] = 1,INDEX([1]!Comisiones[#Data],MATCH("Terminales",[1]!Comisiones[Producto],0),MATCH(Terminales[[#This Row],[TIPO ALTA COMISIONES]],[1]!Comisiones[#Headers],0))*Terminales[[#This Row],[MONTO]],0)</f>
        <v>19.285714199999997</v>
      </c>
      <c r="CC250" s="65">
        <f>IFERROR(IF(AND(Terminales[[#This Row],[CANTIDAD]] = 1,Terminales[[#This Row],[MOVIMIENTO]] = "RENOVACION"),Terminales[[#This Row],[TARIFA_BASICA]]*0.5,),)</f>
        <v>14.994999999999999</v>
      </c>
      <c r="CD250" s="65">
        <f>IF('[1]Resumen TM'!$AW$20 &lt; 0.4,0,Terminales[[#This Row],[MONTO]]*0.02)</f>
        <v>6.4285714</v>
      </c>
      <c r="CE250" s="66">
        <f>Terminales[[#This Row],[COMISIONES TERMINALES]]+Terminales[[#This Row],[COMISIONES RENOVACIONES]]+Terminales[[#This Row],[COMISIONES BONO]]</f>
        <v>40.709285600000001</v>
      </c>
      <c r="CF250" s="67">
        <f>(Terminales[[#This Row],[COMISIONES TERMINALES]]*VLOOKUP(Terminales[[#This Row],[LOCALES]],[1]!Calendario[#Data],3,0))/VLOOKUP(Terminales[[#This Row],[LOCALES]],[1]!Calendario[#Data],2,0)</f>
        <v>31.256157496551722</v>
      </c>
      <c r="CG250" s="67">
        <f>(Terminales[[#This Row],[COMISIONES RENOVACIONES]]*VLOOKUP(Terminales[[#This Row],[LOCALES]],[1]!Calendario[#Data],3,0))/VLOOKUP(Terminales[[#This Row],[LOCALES]],[1]!Calendario[#Data],2,0)</f>
        <v>24.302241379310345</v>
      </c>
      <c r="CH250" s="67">
        <f>(Terminales[[#This Row],[COMISIONES BONO]]*VLOOKUP(Terminales[[#This Row],[LOCALES]],[1]!Calendario[#Data],3,0))/VLOOKUP(Terminales[[#This Row],[LOCALES]],[1]!Calendario[#Data],2,0)</f>
        <v>10.418719165517242</v>
      </c>
      <c r="CI250" s="67">
        <f>Terminales[[#This Row],[PROY. COM. TERMINALES]]+Terminales[[#This Row],[PROY. COM. RENOV.]]+Terminales[[#This Row],[PROY. COM. 2%]]</f>
        <v>65.977118041379313</v>
      </c>
    </row>
    <row r="251" spans="1:87" x14ac:dyDescent="0.25">
      <c r="A251" s="68">
        <v>44926</v>
      </c>
      <c r="B251" s="68">
        <v>44908</v>
      </c>
      <c r="C251" s="18" t="s">
        <v>291</v>
      </c>
      <c r="D251" s="18" t="s">
        <v>78</v>
      </c>
      <c r="E251" s="18" t="s">
        <v>1532</v>
      </c>
      <c r="F251" s="18" t="s">
        <v>9595</v>
      </c>
      <c r="G251" s="18" t="s">
        <v>292</v>
      </c>
      <c r="H251" s="18" t="s">
        <v>494</v>
      </c>
      <c r="I251" s="18" t="s">
        <v>9596</v>
      </c>
      <c r="J251" s="18" t="s">
        <v>95</v>
      </c>
      <c r="K251" s="18" t="s">
        <v>7970</v>
      </c>
      <c r="L251" s="18" t="s">
        <v>9597</v>
      </c>
      <c r="M251" s="18" t="s">
        <v>9598</v>
      </c>
      <c r="N251" s="18" t="s">
        <v>9599</v>
      </c>
      <c r="O251" s="18" t="s">
        <v>354</v>
      </c>
      <c r="P251" s="18" t="s">
        <v>9600</v>
      </c>
      <c r="Q251" s="18" t="s">
        <v>7975</v>
      </c>
      <c r="R251" s="18" t="s">
        <v>7976</v>
      </c>
      <c r="S251" s="18" t="s">
        <v>8070</v>
      </c>
      <c r="T251" s="18" t="s">
        <v>8071</v>
      </c>
      <c r="U251" s="18" t="s">
        <v>8012</v>
      </c>
      <c r="V251" s="18" t="s">
        <v>6963</v>
      </c>
      <c r="W251" s="18" t="s">
        <v>95</v>
      </c>
      <c r="X251" s="18" t="s">
        <v>95</v>
      </c>
      <c r="Y251" s="18" t="s">
        <v>7980</v>
      </c>
      <c r="Z251" s="18" t="s">
        <v>6996</v>
      </c>
      <c r="AA251" s="69">
        <v>1</v>
      </c>
      <c r="AB251" s="18">
        <v>205.35713999999999</v>
      </c>
      <c r="AC251" s="18" t="s">
        <v>9601</v>
      </c>
      <c r="AD251" s="18" t="s">
        <v>7982</v>
      </c>
      <c r="AE251" s="18">
        <v>199.79</v>
      </c>
      <c r="AF251" s="18" t="s">
        <v>7983</v>
      </c>
      <c r="AG251" s="18">
        <v>199.79</v>
      </c>
      <c r="AH251" s="18" t="s">
        <v>95</v>
      </c>
      <c r="AI251" s="18" t="s">
        <v>183</v>
      </c>
      <c r="AJ251" s="18" t="s">
        <v>184</v>
      </c>
      <c r="AK251" s="18">
        <v>11.42</v>
      </c>
      <c r="AL251" s="18" t="s">
        <v>95</v>
      </c>
      <c r="AM251" s="18" t="s">
        <v>95</v>
      </c>
      <c r="AN251" s="18" t="s">
        <v>7984</v>
      </c>
      <c r="AO251" s="18" t="s">
        <v>92</v>
      </c>
      <c r="AP251" s="20" t="s">
        <v>88</v>
      </c>
      <c r="AQ251" s="18" t="s">
        <v>89</v>
      </c>
      <c r="AR251" s="18" t="s">
        <v>496</v>
      </c>
      <c r="AS251" s="18">
        <v>1</v>
      </c>
      <c r="AT251" s="18" t="s">
        <v>91</v>
      </c>
      <c r="AU251" s="18" t="s">
        <v>90</v>
      </c>
      <c r="AV251" s="18" t="s">
        <v>8072</v>
      </c>
      <c r="AW251" s="18" t="s">
        <v>8073</v>
      </c>
      <c r="AX251" s="18" t="s">
        <v>83</v>
      </c>
      <c r="AY251" s="18" t="s">
        <v>95</v>
      </c>
      <c r="AZ251" s="18" t="s">
        <v>95</v>
      </c>
      <c r="BA251" s="18" t="s">
        <v>95</v>
      </c>
      <c r="BB251" s="18" t="s">
        <v>95</v>
      </c>
      <c r="BC251" s="18" t="s">
        <v>118</v>
      </c>
      <c r="BD251" s="18" t="s">
        <v>95</v>
      </c>
      <c r="BE251" s="18" t="s">
        <v>95</v>
      </c>
      <c r="BF251" s="18" t="s">
        <v>95</v>
      </c>
      <c r="BG251" s="18" t="s">
        <v>95</v>
      </c>
      <c r="BH251" s="18" t="s">
        <v>95</v>
      </c>
      <c r="BI251" s="18">
        <v>12</v>
      </c>
      <c r="BJ251" s="18">
        <v>2022</v>
      </c>
      <c r="BK251" s="18" t="s">
        <v>95</v>
      </c>
      <c r="BL251" s="18" t="s">
        <v>95</v>
      </c>
      <c r="BM251" s="18" t="s">
        <v>95</v>
      </c>
      <c r="BN251" s="18" t="s">
        <v>85</v>
      </c>
      <c r="BO251" s="18" t="s">
        <v>86</v>
      </c>
      <c r="BP251" s="18" t="s">
        <v>90</v>
      </c>
      <c r="BQ251" s="18" t="s">
        <v>8106</v>
      </c>
      <c r="BR251" s="18" t="s">
        <v>92</v>
      </c>
      <c r="BS251" s="18" t="s">
        <v>8074</v>
      </c>
      <c r="BT251" s="18" t="s">
        <v>7989</v>
      </c>
      <c r="BU251" s="18" t="s">
        <v>496</v>
      </c>
      <c r="BV251" s="18" t="str">
        <f>Terminales[[#This Row],[IMEI]]&amp;"SI"</f>
        <v>869113065772361SI</v>
      </c>
      <c r="BW251" s="18" t="str">
        <f>VLOOKUP(Terminales[[#This Row],[OFICINA_USUARIO]],[1]!Locales[#Data],3,0)</f>
        <v>TIENDA CUENCA CENTRO</v>
      </c>
      <c r="BX251" s="18" t="str">
        <f>VLOOKUP(Terminales[[#This Row],[USUARIO_FINAL]],'[1]Personal Ppto vs Real'!$A:$F,6,0)</f>
        <v>ANDRADE CONDO CHRISTIAN EDUARDO</v>
      </c>
      <c r="BY25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5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51" s="18">
        <f>DAY(Terminales[[#This Row],[FECHA_FACTURA]])</f>
        <v>13</v>
      </c>
      <c r="CB251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251" s="65">
        <f>IFERROR(IF(AND(Terminales[[#This Row],[CANTIDAD]] = 1,Terminales[[#This Row],[MOVIMIENTO]] = "RENOVACION"),Terminales[[#This Row],[TARIFA_BASICA]]*0.5,),)</f>
        <v>5.71</v>
      </c>
      <c r="CD251" s="65">
        <f>IF('[1]Resumen TM'!$AW$20 &lt; 0.4,0,Terminales[[#This Row],[MONTO]]*0.02)</f>
        <v>4.1071428000000001</v>
      </c>
      <c r="CE251" s="66">
        <f>Terminales[[#This Row],[COMISIONES TERMINALES]]+Terminales[[#This Row],[COMISIONES RENOVACIONES]]+Terminales[[#This Row],[COMISIONES BONO]]</f>
        <v>30.352856799999998</v>
      </c>
      <c r="CF251" s="67">
        <f>(Terminales[[#This Row],[COMISIONES TERMINALES]]*VLOOKUP(Terminales[[#This Row],[LOCALES]],[1]!Calendario[#Data],3,0))/VLOOKUP(Terminales[[#This Row],[LOCALES]],[1]!Calendario[#Data],2,0)</f>
        <v>33.282019241379309</v>
      </c>
      <c r="CG251" s="67">
        <f>(Terminales[[#This Row],[COMISIONES RENOVACIONES]]*VLOOKUP(Terminales[[#This Row],[LOCALES]],[1]!Calendario[#Data],3,0))/VLOOKUP(Terminales[[#This Row],[LOCALES]],[1]!Calendario[#Data],2,0)</f>
        <v>9.2541379310344833</v>
      </c>
      <c r="CH251" s="67">
        <f>(Terminales[[#This Row],[COMISIONES BONO]]*VLOOKUP(Terminales[[#This Row],[LOCALES]],[1]!Calendario[#Data],3,0))/VLOOKUP(Terminales[[#This Row],[LOCALES]],[1]!Calendario[#Data],2,0)</f>
        <v>6.656403848275863</v>
      </c>
      <c r="CI251" s="67">
        <f>Terminales[[#This Row],[PROY. COM. TERMINALES]]+Terminales[[#This Row],[PROY. COM. RENOV.]]+Terminales[[#This Row],[PROY. COM. 2%]]</f>
        <v>49.192561020689659</v>
      </c>
    </row>
    <row r="252" spans="1:87" x14ac:dyDescent="0.25">
      <c r="A252" s="68">
        <v>44926</v>
      </c>
      <c r="B252" s="68">
        <v>44908</v>
      </c>
      <c r="C252" s="18" t="s">
        <v>291</v>
      </c>
      <c r="D252" s="18" t="s">
        <v>78</v>
      </c>
      <c r="E252" s="18" t="s">
        <v>1532</v>
      </c>
      <c r="F252" s="18" t="s">
        <v>7845</v>
      </c>
      <c r="G252" s="18" t="s">
        <v>292</v>
      </c>
      <c r="H252" s="18" t="s">
        <v>494</v>
      </c>
      <c r="I252" s="18" t="s">
        <v>9602</v>
      </c>
      <c r="J252" s="18" t="s">
        <v>95</v>
      </c>
      <c r="K252" s="18" t="s">
        <v>7970</v>
      </c>
      <c r="L252" s="18" t="s">
        <v>9603</v>
      </c>
      <c r="M252" s="18" t="s">
        <v>9604</v>
      </c>
      <c r="N252" s="18" t="s">
        <v>7847</v>
      </c>
      <c r="O252" s="18" t="s">
        <v>338</v>
      </c>
      <c r="P252" s="18" t="s">
        <v>9605</v>
      </c>
      <c r="Q252" s="18" t="s">
        <v>7975</v>
      </c>
      <c r="R252" s="18" t="s">
        <v>7976</v>
      </c>
      <c r="S252" s="18" t="s">
        <v>7977</v>
      </c>
      <c r="T252" s="18" t="s">
        <v>7978</v>
      </c>
      <c r="U252" s="18" t="s">
        <v>7979</v>
      </c>
      <c r="V252" s="18" t="s">
        <v>6963</v>
      </c>
      <c r="W252" s="18" t="s">
        <v>95</v>
      </c>
      <c r="X252" s="18" t="s">
        <v>95</v>
      </c>
      <c r="Y252" s="18" t="s">
        <v>7980</v>
      </c>
      <c r="Z252" s="18" t="s">
        <v>6996</v>
      </c>
      <c r="AA252" s="69">
        <v>1</v>
      </c>
      <c r="AB252" s="18">
        <v>276.78570999999999</v>
      </c>
      <c r="AC252" s="18" t="s">
        <v>7846</v>
      </c>
      <c r="AD252" s="18" t="s">
        <v>7982</v>
      </c>
      <c r="AE252" s="18">
        <v>235</v>
      </c>
      <c r="AF252" s="18" t="s">
        <v>7983</v>
      </c>
      <c r="AG252" s="18">
        <v>235</v>
      </c>
      <c r="AH252" s="18" t="s">
        <v>95</v>
      </c>
      <c r="AI252" s="18" t="s">
        <v>183</v>
      </c>
      <c r="AJ252" s="18" t="s">
        <v>184</v>
      </c>
      <c r="AK252" s="18">
        <v>11.42</v>
      </c>
      <c r="AL252" s="18" t="s">
        <v>95</v>
      </c>
      <c r="AM252" s="18" t="s">
        <v>95</v>
      </c>
      <c r="AN252" s="18" t="s">
        <v>7984</v>
      </c>
      <c r="AO252" s="18" t="s">
        <v>139</v>
      </c>
      <c r="AP252" s="20" t="s">
        <v>233</v>
      </c>
      <c r="AQ252" s="18" t="s">
        <v>234</v>
      </c>
      <c r="AR252" s="18" t="s">
        <v>496</v>
      </c>
      <c r="AS252" s="18">
        <v>1</v>
      </c>
      <c r="AT252" s="18" t="s">
        <v>235</v>
      </c>
      <c r="AU252" s="18" t="s">
        <v>90</v>
      </c>
      <c r="AV252" s="18" t="s">
        <v>7985</v>
      </c>
      <c r="AW252" s="18" t="s">
        <v>7986</v>
      </c>
      <c r="AX252" s="18" t="s">
        <v>83</v>
      </c>
      <c r="AY252" s="18" t="s">
        <v>95</v>
      </c>
      <c r="AZ252" s="18" t="s">
        <v>95</v>
      </c>
      <c r="BA252" s="18" t="s">
        <v>95</v>
      </c>
      <c r="BB252" s="18" t="s">
        <v>95</v>
      </c>
      <c r="BC252" s="18" t="s">
        <v>118</v>
      </c>
      <c r="BD252" s="18" t="s">
        <v>95</v>
      </c>
      <c r="BE252" s="18" t="s">
        <v>95</v>
      </c>
      <c r="BF252" s="18" t="s">
        <v>95</v>
      </c>
      <c r="BG252" s="18" t="s">
        <v>95</v>
      </c>
      <c r="BH252" s="18" t="s">
        <v>95</v>
      </c>
      <c r="BI252" s="18">
        <v>12</v>
      </c>
      <c r="BJ252" s="18">
        <v>2022</v>
      </c>
      <c r="BK252" s="18" t="s">
        <v>95</v>
      </c>
      <c r="BL252" s="18" t="s">
        <v>95</v>
      </c>
      <c r="BM252" s="18" t="s">
        <v>95</v>
      </c>
      <c r="BN252" s="18" t="s">
        <v>85</v>
      </c>
      <c r="BO252" s="18" t="s">
        <v>86</v>
      </c>
      <c r="BP252" s="18" t="s">
        <v>90</v>
      </c>
      <c r="BQ252" s="18" t="s">
        <v>8016</v>
      </c>
      <c r="BR252" s="18" t="s">
        <v>139</v>
      </c>
      <c r="BS252" s="18" t="s">
        <v>8074</v>
      </c>
      <c r="BT252" s="18" t="s">
        <v>7989</v>
      </c>
      <c r="BU252" s="18" t="s">
        <v>496</v>
      </c>
      <c r="BV252" s="18" t="str">
        <f>Terminales[[#This Row],[IMEI]]&amp;"SI"</f>
        <v>866184060682551SI</v>
      </c>
      <c r="BW252" s="18" t="str">
        <f>VLOOKUP(Terminales[[#This Row],[OFICINA_USUARIO]],[1]!Locales[#Data],3,0)</f>
        <v>TIENDA CONDADO</v>
      </c>
      <c r="BX252" s="18" t="str">
        <f>VLOOKUP(Terminales[[#This Row],[USUARIO_FINAL]],'[1]Personal Ppto vs Real'!$A:$F,6,0)</f>
        <v>ROSALES MALDONADO JESSICA GABRIELA</v>
      </c>
      <c r="BY25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5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52" s="18">
        <f>DAY(Terminales[[#This Row],[FECHA_FACTURA]])</f>
        <v>13</v>
      </c>
      <c r="CB252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252" s="65">
        <f>IFERROR(IF(AND(Terminales[[#This Row],[CANTIDAD]] = 1,Terminales[[#This Row],[MOVIMIENTO]] = "RENOVACION"),Terminales[[#This Row],[TARIFA_BASICA]]*0.5,),)</f>
        <v>5.71</v>
      </c>
      <c r="CD252" s="65">
        <f>IF('[1]Resumen TM'!$AW$20 &lt; 0.4,0,Terminales[[#This Row],[MONTO]]*0.02)</f>
        <v>5.5357142000000001</v>
      </c>
      <c r="CE252" s="66">
        <f>Terminales[[#This Row],[COMISIONES TERMINALES]]+Terminales[[#This Row],[COMISIONES RENOVACIONES]]+Terminales[[#This Row],[COMISIONES BONO]]</f>
        <v>38.9242852</v>
      </c>
      <c r="CF252" s="67">
        <f>(Terminales[[#This Row],[COMISIONES TERMINALES]]*VLOOKUP(Terminales[[#This Row],[LOCALES]],[1]!Calendario[#Data],3,0))/VLOOKUP(Terminales[[#This Row],[LOCALES]],[1]!Calendario[#Data],2,0)</f>
        <v>45.535713580645158</v>
      </c>
      <c r="CG252" s="67">
        <f>(Terminales[[#This Row],[COMISIONES RENOVACIONES]]*VLOOKUP(Terminales[[#This Row],[LOCALES]],[1]!Calendario[#Data],3,0))/VLOOKUP(Terminales[[#This Row],[LOCALES]],[1]!Calendario[#Data],2,0)</f>
        <v>9.3938709677419343</v>
      </c>
      <c r="CH252" s="67">
        <f>(Terminales[[#This Row],[COMISIONES BONO]]*VLOOKUP(Terminales[[#This Row],[LOCALES]],[1]!Calendario[#Data],3,0))/VLOOKUP(Terminales[[#This Row],[LOCALES]],[1]!Calendario[#Data],2,0)</f>
        <v>9.107142716129033</v>
      </c>
      <c r="CI252" s="67">
        <f>Terminales[[#This Row],[PROY. COM. TERMINALES]]+Terminales[[#This Row],[PROY. COM. RENOV.]]+Terminales[[#This Row],[PROY. COM. 2%]]</f>
        <v>64.036727264516117</v>
      </c>
    </row>
    <row r="253" spans="1:87" x14ac:dyDescent="0.25">
      <c r="A253" s="68">
        <v>44926</v>
      </c>
      <c r="B253" s="68">
        <v>44908</v>
      </c>
      <c r="C253" s="18" t="s">
        <v>291</v>
      </c>
      <c r="D253" s="18" t="s">
        <v>78</v>
      </c>
      <c r="E253" s="18" t="s">
        <v>311</v>
      </c>
      <c r="F253" s="18" t="s">
        <v>9606</v>
      </c>
      <c r="G253" s="18" t="s">
        <v>292</v>
      </c>
      <c r="H253" s="18" t="s">
        <v>494</v>
      </c>
      <c r="I253" s="18" t="s">
        <v>9607</v>
      </c>
      <c r="J253" s="18" t="s">
        <v>95</v>
      </c>
      <c r="K253" s="18" t="s">
        <v>7970</v>
      </c>
      <c r="L253" s="18" t="s">
        <v>9608</v>
      </c>
      <c r="M253" s="18" t="s">
        <v>9609</v>
      </c>
      <c r="N253" s="18" t="s">
        <v>9610</v>
      </c>
      <c r="O253" s="18" t="s">
        <v>9611</v>
      </c>
      <c r="P253" s="18" t="s">
        <v>9612</v>
      </c>
      <c r="Q253" s="18" t="s">
        <v>7975</v>
      </c>
      <c r="R253" s="18" t="s">
        <v>7976</v>
      </c>
      <c r="S253" s="18" t="s">
        <v>8250</v>
      </c>
      <c r="T253" s="18" t="s">
        <v>9613</v>
      </c>
      <c r="U253" s="18" t="s">
        <v>8100</v>
      </c>
      <c r="V253" s="18" t="s">
        <v>6963</v>
      </c>
      <c r="W253" s="18" t="s">
        <v>95</v>
      </c>
      <c r="X253" s="18" t="s">
        <v>95</v>
      </c>
      <c r="Y253" s="18" t="s">
        <v>7980</v>
      </c>
      <c r="Z253" s="18" t="s">
        <v>6996</v>
      </c>
      <c r="AA253" s="69">
        <v>1</v>
      </c>
      <c r="AB253" s="18">
        <v>490.17856999999998</v>
      </c>
      <c r="AC253" s="18" t="s">
        <v>9614</v>
      </c>
      <c r="AD253" s="18" t="s">
        <v>7982</v>
      </c>
      <c r="AE253" s="18">
        <v>449.17</v>
      </c>
      <c r="AF253" s="18" t="s">
        <v>7983</v>
      </c>
      <c r="AG253" s="18">
        <v>449.17</v>
      </c>
      <c r="AH253" s="18" t="s">
        <v>95</v>
      </c>
      <c r="AI253" s="18" t="s">
        <v>7823</v>
      </c>
      <c r="AJ253" s="18" t="s">
        <v>7824</v>
      </c>
      <c r="AK253" s="18">
        <v>35</v>
      </c>
      <c r="AL253" s="18" t="s">
        <v>95</v>
      </c>
      <c r="AM253" s="18" t="s">
        <v>95</v>
      </c>
      <c r="AN253" s="18" t="s">
        <v>7984</v>
      </c>
      <c r="AO253" s="18" t="s">
        <v>139</v>
      </c>
      <c r="AP253" s="20" t="s">
        <v>665</v>
      </c>
      <c r="AQ253" s="18" t="s">
        <v>666</v>
      </c>
      <c r="AR253" s="18" t="s">
        <v>496</v>
      </c>
      <c r="AS253" s="18">
        <v>1</v>
      </c>
      <c r="AT253" s="18" t="s">
        <v>138</v>
      </c>
      <c r="AU253" s="18" t="s">
        <v>90</v>
      </c>
      <c r="AV253" s="18" t="s">
        <v>9615</v>
      </c>
      <c r="AW253" s="18" t="s">
        <v>9616</v>
      </c>
      <c r="AX253" s="18" t="s">
        <v>83</v>
      </c>
      <c r="AY253" s="18" t="s">
        <v>95</v>
      </c>
      <c r="AZ253" s="18" t="s">
        <v>95</v>
      </c>
      <c r="BA253" s="18" t="s">
        <v>95</v>
      </c>
      <c r="BB253" s="18" t="s">
        <v>95</v>
      </c>
      <c r="BC253" s="18" t="s">
        <v>215</v>
      </c>
      <c r="BD253" s="18" t="s">
        <v>95</v>
      </c>
      <c r="BE253" s="18" t="s">
        <v>8000</v>
      </c>
      <c r="BF253" s="18" t="s">
        <v>8064</v>
      </c>
      <c r="BG253" s="18" t="s">
        <v>95</v>
      </c>
      <c r="BH253" s="18" t="s">
        <v>95</v>
      </c>
      <c r="BI253" s="18">
        <v>12</v>
      </c>
      <c r="BJ253" s="18">
        <v>2022</v>
      </c>
      <c r="BK253" s="18" t="s">
        <v>95</v>
      </c>
      <c r="BL253" s="18" t="s">
        <v>95</v>
      </c>
      <c r="BM253" s="18" t="s">
        <v>95</v>
      </c>
      <c r="BN253" s="18" t="s">
        <v>85</v>
      </c>
      <c r="BO253" s="18" t="s">
        <v>86</v>
      </c>
      <c r="BP253" s="18" t="s">
        <v>90</v>
      </c>
      <c r="BQ253" s="18" t="s">
        <v>7987</v>
      </c>
      <c r="BR253" s="18" t="s">
        <v>139</v>
      </c>
      <c r="BS253" s="18" t="s">
        <v>8003</v>
      </c>
      <c r="BT253" s="18" t="s">
        <v>7989</v>
      </c>
      <c r="BU253" s="18" t="s">
        <v>496</v>
      </c>
      <c r="BV253" s="18" t="str">
        <f>Terminales[[#This Row],[IMEI]]&amp;"SI"</f>
        <v>357235095362647SI</v>
      </c>
      <c r="BW253" s="18" t="str">
        <f>VLOOKUP(Terminales[[#This Row],[OFICINA_USUARIO]],[1]!Locales[#Data],3,0)</f>
        <v>TIENDA AMERICA</v>
      </c>
      <c r="BX253" s="18" t="str">
        <f>VLOOKUP(Terminales[[#This Row],[USUARIO_FINAL]],'[1]Personal Ppto vs Real'!$A:$F,6,0)</f>
        <v>ROSERO CAICEDO JAIRO STEFANO</v>
      </c>
      <c r="BY25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5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53" s="18">
        <f>DAY(Terminales[[#This Row],[FECHA_FACTURA]])</f>
        <v>13</v>
      </c>
      <c r="CB253" s="65">
        <f>IF(Terminales[[#This Row],[CANTIDAD]] = 1,INDEX([1]!Comisiones[#Data],MATCH("Terminales",[1]!Comisiones[Producto],0),MATCH(Terminales[[#This Row],[TIPO ALTA COMISIONES]],[1]!Comisiones[#Headers],0))*Terminales[[#This Row],[MONTO]],0)</f>
        <v>49.017856999999999</v>
      </c>
      <c r="CC253" s="65">
        <f>IFERROR(IF(AND(Terminales[[#This Row],[CANTIDAD]] = 1,Terminales[[#This Row],[MOVIMIENTO]] = "RENOVACION"),Terminales[[#This Row],[TARIFA_BASICA]]*0.5,),)</f>
        <v>17.5</v>
      </c>
      <c r="CD253" s="65">
        <f>IF('[1]Resumen TM'!$AW$20 &lt; 0.4,0,Terminales[[#This Row],[MONTO]]*0.02)</f>
        <v>9.8035713999999992</v>
      </c>
      <c r="CE253" s="66">
        <f>Terminales[[#This Row],[COMISIONES TERMINALES]]+Terminales[[#This Row],[COMISIONES RENOVACIONES]]+Terminales[[#This Row],[COMISIONES BONO]]</f>
        <v>76.321428399999988</v>
      </c>
      <c r="CF253" s="67">
        <f>(Terminales[[#This Row],[COMISIONES TERMINALES]]*VLOOKUP(Terminales[[#This Row],[LOCALES]],[1]!Calendario[#Data],3,0))/VLOOKUP(Terminales[[#This Row],[LOCALES]],[1]!Calendario[#Data],2,0)</f>
        <v>80.529336499999999</v>
      </c>
      <c r="CG253" s="67">
        <f>(Terminales[[#This Row],[COMISIONES RENOVACIONES]]*VLOOKUP(Terminales[[#This Row],[LOCALES]],[1]!Calendario[#Data],3,0))/VLOOKUP(Terminales[[#This Row],[LOCALES]],[1]!Calendario[#Data],2,0)</f>
        <v>28.75</v>
      </c>
      <c r="CH253" s="67">
        <f>(Terminales[[#This Row],[COMISIONES BONO]]*VLOOKUP(Terminales[[#This Row],[LOCALES]],[1]!Calendario[#Data],3,0))/VLOOKUP(Terminales[[#This Row],[LOCALES]],[1]!Calendario[#Data],2,0)</f>
        <v>16.105867299999996</v>
      </c>
      <c r="CI253" s="67">
        <f>Terminales[[#This Row],[PROY. COM. TERMINALES]]+Terminales[[#This Row],[PROY. COM. RENOV.]]+Terminales[[#This Row],[PROY. COM. 2%]]</f>
        <v>125.3852038</v>
      </c>
    </row>
    <row r="254" spans="1:87" x14ac:dyDescent="0.25">
      <c r="A254" s="68">
        <v>44926</v>
      </c>
      <c r="B254" s="68">
        <v>44908</v>
      </c>
      <c r="C254" s="18" t="s">
        <v>96</v>
      </c>
      <c r="D254" s="18" t="s">
        <v>96</v>
      </c>
      <c r="E254" s="18" t="s">
        <v>96</v>
      </c>
      <c r="F254" s="18" t="s">
        <v>9617</v>
      </c>
      <c r="G254" s="18" t="s">
        <v>292</v>
      </c>
      <c r="H254" s="18" t="s">
        <v>494</v>
      </c>
      <c r="I254" s="18" t="s">
        <v>9618</v>
      </c>
      <c r="J254" s="18" t="s">
        <v>95</v>
      </c>
      <c r="K254" s="18" t="s">
        <v>7970</v>
      </c>
      <c r="L254" s="18" t="s">
        <v>9619</v>
      </c>
      <c r="M254" s="18" t="s">
        <v>9620</v>
      </c>
      <c r="N254" s="18" t="s">
        <v>9621</v>
      </c>
      <c r="O254" s="18" t="s">
        <v>2260</v>
      </c>
      <c r="P254" s="18" t="s">
        <v>9622</v>
      </c>
      <c r="Q254" s="18" t="s">
        <v>7975</v>
      </c>
      <c r="R254" s="18" t="s">
        <v>7976</v>
      </c>
      <c r="S254" s="18" t="s">
        <v>8010</v>
      </c>
      <c r="T254" s="18" t="s">
        <v>8011</v>
      </c>
      <c r="U254" s="18" t="s">
        <v>8012</v>
      </c>
      <c r="V254" s="18" t="s">
        <v>6963</v>
      </c>
      <c r="W254" s="18" t="s">
        <v>95</v>
      </c>
      <c r="X254" s="18" t="s">
        <v>95</v>
      </c>
      <c r="Y254" s="18" t="s">
        <v>7980</v>
      </c>
      <c r="Z254" s="18" t="s">
        <v>6996</v>
      </c>
      <c r="AA254" s="69">
        <v>1</v>
      </c>
      <c r="AB254" s="18">
        <v>196.42857000000001</v>
      </c>
      <c r="AC254" s="18" t="s">
        <v>9623</v>
      </c>
      <c r="AD254" s="18" t="s">
        <v>7982</v>
      </c>
      <c r="AE254" s="18">
        <v>168.8</v>
      </c>
      <c r="AF254" s="18" t="s">
        <v>7983</v>
      </c>
      <c r="AG254" s="18">
        <v>168.8</v>
      </c>
      <c r="AH254" s="18" t="s">
        <v>95</v>
      </c>
      <c r="AI254" s="18" t="s">
        <v>8102</v>
      </c>
      <c r="AJ254" s="18" t="s">
        <v>8103</v>
      </c>
      <c r="AK254" s="18" t="s">
        <v>95</v>
      </c>
      <c r="AL254" s="18" t="s">
        <v>95</v>
      </c>
      <c r="AM254" s="18" t="s">
        <v>95</v>
      </c>
      <c r="AN254" s="18" t="s">
        <v>7984</v>
      </c>
      <c r="AO254" s="18" t="s">
        <v>139</v>
      </c>
      <c r="AP254" s="20" t="s">
        <v>1545</v>
      </c>
      <c r="AQ254" s="18" t="s">
        <v>1546</v>
      </c>
      <c r="AR254" s="18" t="s">
        <v>496</v>
      </c>
      <c r="AS254" s="18">
        <v>1</v>
      </c>
      <c r="AT254" s="18" t="s">
        <v>138</v>
      </c>
      <c r="AU254" s="18" t="s">
        <v>90</v>
      </c>
      <c r="AV254" s="18" t="s">
        <v>8014</v>
      </c>
      <c r="AW254" s="18" t="s">
        <v>8015</v>
      </c>
      <c r="AX254" s="18" t="s">
        <v>83</v>
      </c>
      <c r="AY254" s="18" t="s">
        <v>95</v>
      </c>
      <c r="AZ254" s="18" t="s">
        <v>95</v>
      </c>
      <c r="BA254" s="18" t="s">
        <v>95</v>
      </c>
      <c r="BB254" s="18" t="s">
        <v>95</v>
      </c>
      <c r="BC254" s="18" t="s">
        <v>118</v>
      </c>
      <c r="BD254" s="18" t="s">
        <v>95</v>
      </c>
      <c r="BE254" s="18" t="s">
        <v>9624</v>
      </c>
      <c r="BF254" s="18" t="s">
        <v>8064</v>
      </c>
      <c r="BG254" s="18" t="s">
        <v>95</v>
      </c>
      <c r="BH254" s="18" t="s">
        <v>95</v>
      </c>
      <c r="BI254" s="18">
        <v>12</v>
      </c>
      <c r="BJ254" s="18">
        <v>2022</v>
      </c>
      <c r="BK254" s="18" t="s">
        <v>95</v>
      </c>
      <c r="BL254" s="18" t="s">
        <v>95</v>
      </c>
      <c r="BM254" s="18" t="s">
        <v>95</v>
      </c>
      <c r="BN254" s="18" t="s">
        <v>85</v>
      </c>
      <c r="BO254" s="18" t="s">
        <v>86</v>
      </c>
      <c r="BP254" s="18" t="s">
        <v>90</v>
      </c>
      <c r="BQ254" s="18" t="s">
        <v>7987</v>
      </c>
      <c r="BR254" s="18" t="s">
        <v>139</v>
      </c>
      <c r="BS254" s="18" t="s">
        <v>8003</v>
      </c>
      <c r="BT254" s="18" t="s">
        <v>7989</v>
      </c>
      <c r="BU254" s="18" t="s">
        <v>496</v>
      </c>
      <c r="BV254" s="18" t="str">
        <f>Terminales[[#This Row],[IMEI]]&amp;"SI"</f>
        <v>359694275281753SI</v>
      </c>
      <c r="BW254" s="18" t="str">
        <f>VLOOKUP(Terminales[[#This Row],[OFICINA_USUARIO]],[1]!Locales[#Data],3,0)</f>
        <v>TIENDA AMERICA</v>
      </c>
      <c r="BX254" s="18" t="str">
        <f>VLOOKUP(Terminales[[#This Row],[USUARIO_FINAL]],'[1]Personal Ppto vs Real'!$A:$F,6,0)</f>
        <v>GRANDA ESPINOZA ANDRES SEBASTIAN</v>
      </c>
      <c r="BY25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5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54" s="18">
        <f>DAY(Terminales[[#This Row],[FECHA_FACTURA]])</f>
        <v>13</v>
      </c>
      <c r="CB254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254" s="65">
        <f>IFERROR(IF(AND(Terminales[[#This Row],[CANTIDAD]] = 1,Terminales[[#This Row],[MOVIMIENTO]] = "RENOVACION"),Terminales[[#This Row],[TARIFA_BASICA]]*0.5,),)</f>
        <v>0</v>
      </c>
      <c r="CD254" s="65">
        <f>IF('[1]Resumen TM'!$AW$20 &lt; 0.4,0,Terminales[[#This Row],[MONTO]]*0.02)</f>
        <v>3.9285714</v>
      </c>
      <c r="CE254" s="66">
        <f>Terminales[[#This Row],[COMISIONES TERMINALES]]+Terminales[[#This Row],[COMISIONES RENOVACIONES]]+Terminales[[#This Row],[COMISIONES BONO]]</f>
        <v>23.571428400000002</v>
      </c>
      <c r="CF254" s="67">
        <f>(Terminales[[#This Row],[COMISIONES TERMINALES]]*VLOOKUP(Terminales[[#This Row],[LOCALES]],[1]!Calendario[#Data],3,0))/VLOOKUP(Terminales[[#This Row],[LOCALES]],[1]!Calendario[#Data],2,0)</f>
        <v>32.27040792857143</v>
      </c>
      <c r="CG254" s="67">
        <f>(Terminales[[#This Row],[COMISIONES RENOVACIONES]]*VLOOKUP(Terminales[[#This Row],[LOCALES]],[1]!Calendario[#Data],3,0))/VLOOKUP(Terminales[[#This Row],[LOCALES]],[1]!Calendario[#Data],2,0)</f>
        <v>0</v>
      </c>
      <c r="CH254" s="67">
        <f>(Terminales[[#This Row],[COMISIONES BONO]]*VLOOKUP(Terminales[[#This Row],[LOCALES]],[1]!Calendario[#Data],3,0))/VLOOKUP(Terminales[[#This Row],[LOCALES]],[1]!Calendario[#Data],2,0)</f>
        <v>6.4540815857142855</v>
      </c>
      <c r="CI254" s="67">
        <f>Terminales[[#This Row],[PROY. COM. TERMINALES]]+Terminales[[#This Row],[PROY. COM. RENOV.]]+Terminales[[#This Row],[PROY. COM. 2%]]</f>
        <v>38.724489514285715</v>
      </c>
    </row>
    <row r="255" spans="1:87" x14ac:dyDescent="0.25">
      <c r="A255" s="68">
        <v>44926</v>
      </c>
      <c r="B255" s="68">
        <v>44908</v>
      </c>
      <c r="C255" s="18" t="s">
        <v>291</v>
      </c>
      <c r="D255" s="18" t="s">
        <v>78</v>
      </c>
      <c r="E255" s="18" t="s">
        <v>1532</v>
      </c>
      <c r="F255" s="18" t="s">
        <v>9625</v>
      </c>
      <c r="G255" s="18" t="s">
        <v>292</v>
      </c>
      <c r="H255" s="18" t="s">
        <v>494</v>
      </c>
      <c r="I255" s="18" t="s">
        <v>9626</v>
      </c>
      <c r="J255" s="18" t="s">
        <v>95</v>
      </c>
      <c r="K255" s="18" t="s">
        <v>7970</v>
      </c>
      <c r="L255" s="18" t="s">
        <v>9627</v>
      </c>
      <c r="M255" s="18" t="s">
        <v>9628</v>
      </c>
      <c r="N255" s="18" t="s">
        <v>9629</v>
      </c>
      <c r="O255" s="18" t="s">
        <v>3770</v>
      </c>
      <c r="P255" s="18" t="s">
        <v>9630</v>
      </c>
      <c r="Q255" s="18" t="s">
        <v>7975</v>
      </c>
      <c r="R255" s="18" t="s">
        <v>7976</v>
      </c>
      <c r="S255" s="18" t="s">
        <v>8045</v>
      </c>
      <c r="T255" s="18" t="s">
        <v>8099</v>
      </c>
      <c r="U255" s="18" t="s">
        <v>8100</v>
      </c>
      <c r="V255" s="18" t="s">
        <v>6963</v>
      </c>
      <c r="W255" s="18" t="s">
        <v>95</v>
      </c>
      <c r="X255" s="18" t="s">
        <v>95</v>
      </c>
      <c r="Y255" s="18" t="s">
        <v>7980</v>
      </c>
      <c r="Z255" s="18" t="s">
        <v>6996</v>
      </c>
      <c r="AA255" s="69">
        <v>1</v>
      </c>
      <c r="AB255" s="18">
        <v>406.25</v>
      </c>
      <c r="AC255" s="18" t="s">
        <v>9631</v>
      </c>
      <c r="AD255" s="18" t="s">
        <v>7982</v>
      </c>
      <c r="AE255" s="18">
        <v>397</v>
      </c>
      <c r="AF255" s="18" t="s">
        <v>7983</v>
      </c>
      <c r="AG255" s="18">
        <v>397</v>
      </c>
      <c r="AH255" s="18" t="s">
        <v>95</v>
      </c>
      <c r="AI255" s="18" t="s">
        <v>7176</v>
      </c>
      <c r="AJ255" s="18" t="s">
        <v>7332</v>
      </c>
      <c r="AK255" s="18">
        <v>16.989999999999998</v>
      </c>
      <c r="AL255" s="18" t="s">
        <v>95</v>
      </c>
      <c r="AM255" s="18" t="s">
        <v>95</v>
      </c>
      <c r="AN255" s="18" t="s">
        <v>7984</v>
      </c>
      <c r="AO255" s="18" t="s">
        <v>139</v>
      </c>
      <c r="AP255" s="20" t="s">
        <v>187</v>
      </c>
      <c r="AQ255" s="18" t="s">
        <v>188</v>
      </c>
      <c r="AR255" s="18" t="s">
        <v>496</v>
      </c>
      <c r="AS255" s="18">
        <v>1</v>
      </c>
      <c r="AT255" s="18" t="s">
        <v>177</v>
      </c>
      <c r="AU255" s="18" t="s">
        <v>90</v>
      </c>
      <c r="AV255" s="18" t="s">
        <v>8104</v>
      </c>
      <c r="AW255" s="18" t="s">
        <v>8105</v>
      </c>
      <c r="AX255" s="18" t="s">
        <v>83</v>
      </c>
      <c r="AY255" s="18" t="s">
        <v>95</v>
      </c>
      <c r="AZ255" s="18" t="s">
        <v>95</v>
      </c>
      <c r="BA255" s="18" t="s">
        <v>95</v>
      </c>
      <c r="BB255" s="18" t="s">
        <v>95</v>
      </c>
      <c r="BC255" s="18" t="s">
        <v>84</v>
      </c>
      <c r="BD255" s="18" t="s">
        <v>95</v>
      </c>
      <c r="BE255" s="18" t="s">
        <v>95</v>
      </c>
      <c r="BF255" s="18" t="s">
        <v>95</v>
      </c>
      <c r="BG255" s="18" t="s">
        <v>95</v>
      </c>
      <c r="BH255" s="18" t="s">
        <v>95</v>
      </c>
      <c r="BI255" s="18">
        <v>12</v>
      </c>
      <c r="BJ255" s="18">
        <v>2022</v>
      </c>
      <c r="BK255" s="18" t="s">
        <v>95</v>
      </c>
      <c r="BL255" s="18" t="s">
        <v>95</v>
      </c>
      <c r="BM255" s="18" t="s">
        <v>95</v>
      </c>
      <c r="BN255" s="18" t="s">
        <v>85</v>
      </c>
      <c r="BO255" s="18" t="s">
        <v>86</v>
      </c>
      <c r="BP255" s="18" t="s">
        <v>90</v>
      </c>
      <c r="BQ255" s="18" t="s">
        <v>8002</v>
      </c>
      <c r="BR255" s="18" t="s">
        <v>139</v>
      </c>
      <c r="BS255" s="18" t="s">
        <v>8074</v>
      </c>
      <c r="BT255" s="18" t="s">
        <v>7989</v>
      </c>
      <c r="BU255" s="18" t="s">
        <v>496</v>
      </c>
      <c r="BV255" s="18" t="str">
        <f>Terminales[[#This Row],[IMEI]]&amp;"SI"</f>
        <v>353842195018708SI</v>
      </c>
      <c r="BW255" s="18" t="str">
        <f>VLOOKUP(Terminales[[#This Row],[OFICINA_USUARIO]],[1]!Locales[#Data],3,0)</f>
        <v>TIENDA RECREO</v>
      </c>
      <c r="BX255" s="18" t="str">
        <f>VLOOKUP(Terminales[[#This Row],[USUARIO_FINAL]],'[1]Personal Ppto vs Real'!$A:$F,6,0)</f>
        <v>ESPINOZA MARTINES LAURA XIOMARA</v>
      </c>
      <c r="BY25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5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55" s="18">
        <f>DAY(Terminales[[#This Row],[FECHA_FACTURA]])</f>
        <v>13</v>
      </c>
      <c r="CB255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255" s="65">
        <f>IFERROR(IF(AND(Terminales[[#This Row],[CANTIDAD]] = 1,Terminales[[#This Row],[MOVIMIENTO]] = "RENOVACION"),Terminales[[#This Row],[TARIFA_BASICA]]*0.5,),)</f>
        <v>8.4949999999999992</v>
      </c>
      <c r="CD255" s="65">
        <f>IF('[1]Resumen TM'!$AW$20 &lt; 0.4,0,Terminales[[#This Row],[MONTO]]*0.02)</f>
        <v>8.125</v>
      </c>
      <c r="CE255" s="66">
        <f>Terminales[[#This Row],[COMISIONES TERMINALES]]+Terminales[[#This Row],[COMISIONES RENOVACIONES]]+Terminales[[#This Row],[COMISIONES BONO]]</f>
        <v>57.244999999999997</v>
      </c>
      <c r="CF255" s="67">
        <f>(Terminales[[#This Row],[COMISIONES TERMINALES]]*VLOOKUP(Terminales[[#This Row],[LOCALES]],[1]!Calendario[#Data],3,0))/VLOOKUP(Terminales[[#This Row],[LOCALES]],[1]!Calendario[#Data],2,0)</f>
        <v>66.834677419354833</v>
      </c>
      <c r="CG255" s="67">
        <f>(Terminales[[#This Row],[COMISIONES RENOVACIONES]]*VLOOKUP(Terminales[[#This Row],[LOCALES]],[1]!Calendario[#Data],3,0))/VLOOKUP(Terminales[[#This Row],[LOCALES]],[1]!Calendario[#Data],2,0)</f>
        <v>13.975645161290322</v>
      </c>
      <c r="CH255" s="67">
        <f>(Terminales[[#This Row],[COMISIONES BONO]]*VLOOKUP(Terminales[[#This Row],[LOCALES]],[1]!Calendario[#Data],3,0))/VLOOKUP(Terminales[[#This Row],[LOCALES]],[1]!Calendario[#Data],2,0)</f>
        <v>13.366935483870968</v>
      </c>
      <c r="CI255" s="67">
        <f>Terminales[[#This Row],[PROY. COM. TERMINALES]]+Terminales[[#This Row],[PROY. COM. RENOV.]]+Terminales[[#This Row],[PROY. COM. 2%]]</f>
        <v>94.17725806451611</v>
      </c>
    </row>
    <row r="256" spans="1:87" x14ac:dyDescent="0.25">
      <c r="A256" s="68">
        <v>44926</v>
      </c>
      <c r="B256" s="68">
        <v>44908</v>
      </c>
      <c r="C256" s="18" t="s">
        <v>291</v>
      </c>
      <c r="D256" s="18" t="s">
        <v>78</v>
      </c>
      <c r="E256" s="18" t="s">
        <v>1532</v>
      </c>
      <c r="F256" s="18" t="s">
        <v>7224</v>
      </c>
      <c r="G256" s="18" t="s">
        <v>292</v>
      </c>
      <c r="H256" s="18" t="s">
        <v>293</v>
      </c>
      <c r="I256" s="18" t="s">
        <v>9632</v>
      </c>
      <c r="J256" s="18" t="s">
        <v>95</v>
      </c>
      <c r="K256" s="18" t="s">
        <v>7970</v>
      </c>
      <c r="L256" s="18" t="s">
        <v>9633</v>
      </c>
      <c r="M256" s="18" t="s">
        <v>9634</v>
      </c>
      <c r="N256" s="18" t="s">
        <v>7226</v>
      </c>
      <c r="O256" s="18" t="s">
        <v>543</v>
      </c>
      <c r="P256" s="18" t="s">
        <v>9635</v>
      </c>
      <c r="Q256" s="18" t="s">
        <v>7975</v>
      </c>
      <c r="R256" s="18" t="s">
        <v>7976</v>
      </c>
      <c r="S256" s="18" t="s">
        <v>7994</v>
      </c>
      <c r="T256" s="18" t="s">
        <v>8245</v>
      </c>
      <c r="U256" s="18" t="s">
        <v>8012</v>
      </c>
      <c r="V256" s="18" t="s">
        <v>6963</v>
      </c>
      <c r="W256" s="18" t="s">
        <v>95</v>
      </c>
      <c r="X256" s="18" t="s">
        <v>95</v>
      </c>
      <c r="Y256" s="18" t="s">
        <v>7980</v>
      </c>
      <c r="Z256" s="18" t="s">
        <v>6996</v>
      </c>
      <c r="AA256" s="69">
        <v>1</v>
      </c>
      <c r="AB256" s="18">
        <v>241.07142999999999</v>
      </c>
      <c r="AC256" s="18" t="s">
        <v>7225</v>
      </c>
      <c r="AD256" s="18" t="s">
        <v>7982</v>
      </c>
      <c r="AE256" s="18">
        <v>156</v>
      </c>
      <c r="AF256" s="18" t="s">
        <v>7983</v>
      </c>
      <c r="AG256" s="18">
        <v>156</v>
      </c>
      <c r="AH256" s="18" t="s">
        <v>95</v>
      </c>
      <c r="AI256" s="18" t="s">
        <v>359</v>
      </c>
      <c r="AJ256" s="18" t="s">
        <v>360</v>
      </c>
      <c r="AK256" s="18">
        <v>14.28</v>
      </c>
      <c r="AL256" s="18" t="s">
        <v>95</v>
      </c>
      <c r="AM256" s="18" t="s">
        <v>95</v>
      </c>
      <c r="AN256" s="18" t="s">
        <v>7984</v>
      </c>
      <c r="AO256" s="18" t="s">
        <v>139</v>
      </c>
      <c r="AP256" s="20" t="s">
        <v>918</v>
      </c>
      <c r="AQ256" s="18" t="s">
        <v>919</v>
      </c>
      <c r="AR256" s="18" t="s">
        <v>295</v>
      </c>
      <c r="AS256" s="18">
        <v>12</v>
      </c>
      <c r="AT256" s="18" t="s">
        <v>177</v>
      </c>
      <c r="AU256" s="18" t="s">
        <v>90</v>
      </c>
      <c r="AV256" s="18" t="s">
        <v>8247</v>
      </c>
      <c r="AW256" s="18" t="s">
        <v>8248</v>
      </c>
      <c r="AX256" s="18" t="s">
        <v>83</v>
      </c>
      <c r="AY256" s="18" t="s">
        <v>95</v>
      </c>
      <c r="AZ256" s="18" t="s">
        <v>95</v>
      </c>
      <c r="BA256" s="18" t="s">
        <v>95</v>
      </c>
      <c r="BB256" s="18" t="s">
        <v>95</v>
      </c>
      <c r="BC256" s="18" t="s">
        <v>118</v>
      </c>
      <c r="BD256" s="18">
        <v>48.21</v>
      </c>
      <c r="BE256" s="18" t="s">
        <v>95</v>
      </c>
      <c r="BF256" s="18" t="s">
        <v>95</v>
      </c>
      <c r="BG256" s="18" t="s">
        <v>95</v>
      </c>
      <c r="BH256" s="18" t="s">
        <v>95</v>
      </c>
      <c r="BI256" s="18">
        <v>12</v>
      </c>
      <c r="BJ256" s="18">
        <v>2022</v>
      </c>
      <c r="BK256" s="18" t="s">
        <v>95</v>
      </c>
      <c r="BL256" s="18" t="s">
        <v>95</v>
      </c>
      <c r="BM256" s="18" t="s">
        <v>95</v>
      </c>
      <c r="BN256" s="18" t="s">
        <v>85</v>
      </c>
      <c r="BO256" s="18" t="s">
        <v>86</v>
      </c>
      <c r="BP256" s="18" t="s">
        <v>90</v>
      </c>
      <c r="BQ256" s="18" t="s">
        <v>8002</v>
      </c>
      <c r="BR256" s="18" t="s">
        <v>139</v>
      </c>
      <c r="BS256" s="18" t="s">
        <v>7988</v>
      </c>
      <c r="BT256" s="18" t="s">
        <v>7989</v>
      </c>
      <c r="BU256" s="18" t="s">
        <v>7990</v>
      </c>
      <c r="BV256" s="18" t="str">
        <f>Terminales[[#This Row],[IMEI]]&amp;"SI"</f>
        <v>355108340318437SI</v>
      </c>
      <c r="BW256" s="18" t="str">
        <f>VLOOKUP(Terminales[[#This Row],[OFICINA_USUARIO]],[1]!Locales[#Data],3,0)</f>
        <v>TIENDA RECREO</v>
      </c>
      <c r="BX256" s="18" t="str">
        <f>VLOOKUP(Terminales[[#This Row],[USUARIO_FINAL]],'[1]Personal Ppto vs Real'!$A:$F,6,0)</f>
        <v>ORELLANA CARRERA MICHAEL ALEXANDER</v>
      </c>
      <c r="BY25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5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256" s="18">
        <f>DAY(Terminales[[#This Row],[FECHA_FACTURA]])</f>
        <v>13</v>
      </c>
      <c r="CB256" s="65">
        <f>IF(Terminales[[#This Row],[CANTIDAD]] = 1,INDEX([1]!Comisiones[#Data],MATCH("Terminales",[1]!Comisiones[Producto],0),MATCH(Terminales[[#This Row],[TIPO ALTA COMISIONES]],[1]!Comisiones[#Headers],0))*Terminales[[#This Row],[MONTO]],0)</f>
        <v>14.464285799999999</v>
      </c>
      <c r="CC256" s="65">
        <f>IFERROR(IF(AND(Terminales[[#This Row],[CANTIDAD]] = 1,Terminales[[#This Row],[MOVIMIENTO]] = "RENOVACION"),Terminales[[#This Row],[TARIFA_BASICA]]*0.5,),)</f>
        <v>7.14</v>
      </c>
      <c r="CD256" s="65">
        <f>IF('[1]Resumen TM'!$AW$20 &lt; 0.4,0,Terminales[[#This Row],[MONTO]]*0.02)</f>
        <v>4.8214286</v>
      </c>
      <c r="CE256" s="66">
        <f>Terminales[[#This Row],[COMISIONES TERMINALES]]+Terminales[[#This Row],[COMISIONES RENOVACIONES]]+Terminales[[#This Row],[COMISIONES BONO]]</f>
        <v>26.4257144</v>
      </c>
      <c r="CF256" s="67">
        <f>(Terminales[[#This Row],[COMISIONES TERMINALES]]*VLOOKUP(Terminales[[#This Row],[LOCALES]],[1]!Calendario[#Data],3,0))/VLOOKUP(Terminales[[#This Row],[LOCALES]],[1]!Calendario[#Data],2,0)</f>
        <v>23.796083090322579</v>
      </c>
      <c r="CG256" s="67">
        <f>(Terminales[[#This Row],[COMISIONES RENOVACIONES]]*VLOOKUP(Terminales[[#This Row],[LOCALES]],[1]!Calendario[#Data],3,0))/VLOOKUP(Terminales[[#This Row],[LOCALES]],[1]!Calendario[#Data],2,0)</f>
        <v>11.746451612903225</v>
      </c>
      <c r="CH256" s="67">
        <f>(Terminales[[#This Row],[COMISIONES BONO]]*VLOOKUP(Terminales[[#This Row],[LOCALES]],[1]!Calendario[#Data],3,0))/VLOOKUP(Terminales[[#This Row],[LOCALES]],[1]!Calendario[#Data],2,0)</f>
        <v>7.9320276967741936</v>
      </c>
      <c r="CI256" s="67">
        <f>Terminales[[#This Row],[PROY. COM. TERMINALES]]+Terminales[[#This Row],[PROY. COM. RENOV.]]+Terminales[[#This Row],[PROY. COM. 2%]]</f>
        <v>43.474562399999996</v>
      </c>
    </row>
    <row r="257" spans="1:87" x14ac:dyDescent="0.25">
      <c r="A257" s="68">
        <v>44926</v>
      </c>
      <c r="B257" s="68">
        <v>44908</v>
      </c>
      <c r="C257" s="18" t="s">
        <v>291</v>
      </c>
      <c r="D257" s="18" t="s">
        <v>78</v>
      </c>
      <c r="E257" s="18" t="s">
        <v>2241</v>
      </c>
      <c r="F257" s="18" t="s">
        <v>9636</v>
      </c>
      <c r="G257" s="18" t="s">
        <v>292</v>
      </c>
      <c r="H257" s="18" t="s">
        <v>494</v>
      </c>
      <c r="I257" s="18" t="s">
        <v>9637</v>
      </c>
      <c r="J257" s="18" t="s">
        <v>95</v>
      </c>
      <c r="K257" s="18" t="s">
        <v>7970</v>
      </c>
      <c r="L257" s="18" t="s">
        <v>9638</v>
      </c>
      <c r="M257" s="18" t="s">
        <v>9639</v>
      </c>
      <c r="N257" s="18" t="s">
        <v>9640</v>
      </c>
      <c r="O257" s="18" t="s">
        <v>5764</v>
      </c>
      <c r="P257" s="18" t="s">
        <v>9641</v>
      </c>
      <c r="Q257" s="18" t="s">
        <v>7975</v>
      </c>
      <c r="R257" s="18" t="s">
        <v>7976</v>
      </c>
      <c r="S257" s="18" t="s">
        <v>8250</v>
      </c>
      <c r="T257" s="18" t="s">
        <v>8294</v>
      </c>
      <c r="U257" s="18" t="s">
        <v>8059</v>
      </c>
      <c r="V257" s="18" t="s">
        <v>6963</v>
      </c>
      <c r="W257" s="18" t="s">
        <v>95</v>
      </c>
      <c r="X257" s="18" t="s">
        <v>95</v>
      </c>
      <c r="Y257" s="18" t="s">
        <v>7980</v>
      </c>
      <c r="Z257" s="18" t="s">
        <v>6996</v>
      </c>
      <c r="AA257" s="69">
        <v>1</v>
      </c>
      <c r="AB257" s="18">
        <v>1053.57143</v>
      </c>
      <c r="AC257" s="18" t="s">
        <v>9642</v>
      </c>
      <c r="AD257" s="18" t="s">
        <v>7982</v>
      </c>
      <c r="AE257" s="18">
        <v>848.89</v>
      </c>
      <c r="AF257" s="18" t="s">
        <v>7983</v>
      </c>
      <c r="AG257" s="18">
        <v>848.89</v>
      </c>
      <c r="AH257" s="18" t="s">
        <v>95</v>
      </c>
      <c r="AI257" s="18" t="s">
        <v>1487</v>
      </c>
      <c r="AJ257" s="18" t="s">
        <v>6805</v>
      </c>
      <c r="AK257" s="18">
        <v>21.42</v>
      </c>
      <c r="AL257" s="18" t="s">
        <v>95</v>
      </c>
      <c r="AM257" s="18" t="s">
        <v>95</v>
      </c>
      <c r="AN257" s="18" t="s">
        <v>7984</v>
      </c>
      <c r="AO257" s="18" t="s">
        <v>92</v>
      </c>
      <c r="AP257" s="20" t="s">
        <v>1043</v>
      </c>
      <c r="AQ257" s="18" t="s">
        <v>1044</v>
      </c>
      <c r="AR257" s="18" t="s">
        <v>496</v>
      </c>
      <c r="AS257" s="18">
        <v>1</v>
      </c>
      <c r="AT257" s="18" t="s">
        <v>122</v>
      </c>
      <c r="AU257" s="18" t="s">
        <v>90</v>
      </c>
      <c r="AV257" s="18" t="s">
        <v>9643</v>
      </c>
      <c r="AW257" s="18" t="s">
        <v>9644</v>
      </c>
      <c r="AX257" s="18" t="s">
        <v>83</v>
      </c>
      <c r="AY257" s="18" t="s">
        <v>95</v>
      </c>
      <c r="AZ257" s="18" t="s">
        <v>95</v>
      </c>
      <c r="BA257" s="18" t="s">
        <v>95</v>
      </c>
      <c r="BB257" s="18" t="s">
        <v>95</v>
      </c>
      <c r="BC257" s="18" t="s">
        <v>118</v>
      </c>
      <c r="BD257" s="18" t="s">
        <v>95</v>
      </c>
      <c r="BE257" s="18" t="s">
        <v>8321</v>
      </c>
      <c r="BF257" s="18" t="s">
        <v>8064</v>
      </c>
      <c r="BG257" s="18" t="s">
        <v>95</v>
      </c>
      <c r="BH257" s="18" t="s">
        <v>95</v>
      </c>
      <c r="BI257" s="18">
        <v>12</v>
      </c>
      <c r="BJ257" s="18">
        <v>2022</v>
      </c>
      <c r="BK257" s="18" t="s">
        <v>95</v>
      </c>
      <c r="BL257" s="18" t="s">
        <v>95</v>
      </c>
      <c r="BM257" s="18" t="s">
        <v>95</v>
      </c>
      <c r="BN257" s="18" t="s">
        <v>85</v>
      </c>
      <c r="BO257" s="18" t="s">
        <v>86</v>
      </c>
      <c r="BP257" s="18" t="s">
        <v>90</v>
      </c>
      <c r="BQ257" s="18" t="s">
        <v>8050</v>
      </c>
      <c r="BR257" s="18" t="s">
        <v>92</v>
      </c>
      <c r="BS257" s="18" t="s">
        <v>8003</v>
      </c>
      <c r="BT257" s="18" t="s">
        <v>7989</v>
      </c>
      <c r="BU257" s="18" t="s">
        <v>496</v>
      </c>
      <c r="BV257" s="18" t="str">
        <f>Terminales[[#This Row],[IMEI]]&amp;"SI"</f>
        <v>359862149210486SI</v>
      </c>
      <c r="BW257" s="18" t="str">
        <f>VLOOKUP(Terminales[[#This Row],[OFICINA_USUARIO]],[1]!Locales[#Data],3,0)</f>
        <v>TIENDA MACHALA</v>
      </c>
      <c r="BX257" s="18" t="str">
        <f>VLOOKUP(Terminales[[#This Row],[USUARIO_FINAL]],'[1]Personal Ppto vs Real'!$A:$F,6,0)</f>
        <v>GONZAGA YUPANGUI LIZBETH KATHERINE</v>
      </c>
      <c r="BY25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5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57" s="18">
        <f>DAY(Terminales[[#This Row],[FECHA_FACTURA]])</f>
        <v>13</v>
      </c>
      <c r="CB257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257" s="65">
        <f>IFERROR(IF(AND(Terminales[[#This Row],[CANTIDAD]] = 1,Terminales[[#This Row],[MOVIMIENTO]] = "RENOVACION"),Terminales[[#This Row],[TARIFA_BASICA]]*0.5,),)</f>
        <v>10.71</v>
      </c>
      <c r="CD257" s="65">
        <f>IF('[1]Resumen TM'!$AW$20 &lt; 0.4,0,Terminales[[#This Row],[MONTO]]*0.02)</f>
        <v>21.071428600000001</v>
      </c>
      <c r="CE257" s="66">
        <f>Terminales[[#This Row],[COMISIONES TERMINALES]]+Terminales[[#This Row],[COMISIONES RENOVACIONES]]+Terminales[[#This Row],[COMISIONES BONO]]</f>
        <v>137.13857160000001</v>
      </c>
      <c r="CF257" s="67">
        <f>(Terminales[[#This Row],[COMISIONES TERMINALES]]*VLOOKUP(Terminales[[#This Row],[LOCALES]],[1]!Calendario[#Data],3,0))/VLOOKUP(Terminales[[#This Row],[LOCALES]],[1]!Calendario[#Data],2,0)</f>
        <v>170.75123175862069</v>
      </c>
      <c r="CG257" s="67">
        <f>(Terminales[[#This Row],[COMISIONES RENOVACIONES]]*VLOOKUP(Terminales[[#This Row],[LOCALES]],[1]!Calendario[#Data],3,0))/VLOOKUP(Terminales[[#This Row],[LOCALES]],[1]!Calendario[#Data],2,0)</f>
        <v>17.357586206896553</v>
      </c>
      <c r="CH257" s="67">
        <f>(Terminales[[#This Row],[COMISIONES BONO]]*VLOOKUP(Terminales[[#This Row],[LOCALES]],[1]!Calendario[#Data],3,0))/VLOOKUP(Terminales[[#This Row],[LOCALES]],[1]!Calendario[#Data],2,0)</f>
        <v>34.150246351724135</v>
      </c>
      <c r="CI257" s="67">
        <f>Terminales[[#This Row],[PROY. COM. TERMINALES]]+Terminales[[#This Row],[PROY. COM. RENOV.]]+Terminales[[#This Row],[PROY. COM. 2%]]</f>
        <v>222.25906431724138</v>
      </c>
    </row>
    <row r="258" spans="1:87" x14ac:dyDescent="0.25">
      <c r="A258" s="68">
        <v>44926</v>
      </c>
      <c r="B258" s="68">
        <v>44908</v>
      </c>
      <c r="C258" s="18" t="s">
        <v>291</v>
      </c>
      <c r="D258" s="18" t="s">
        <v>78</v>
      </c>
      <c r="E258" s="18" t="s">
        <v>1532</v>
      </c>
      <c r="F258" s="18" t="s">
        <v>9645</v>
      </c>
      <c r="G258" s="18" t="s">
        <v>292</v>
      </c>
      <c r="H258" s="18" t="s">
        <v>293</v>
      </c>
      <c r="I258" s="18" t="s">
        <v>9646</v>
      </c>
      <c r="J258" s="18" t="s">
        <v>95</v>
      </c>
      <c r="K258" s="18" t="s">
        <v>7970</v>
      </c>
      <c r="L258" s="18" t="s">
        <v>9647</v>
      </c>
      <c r="M258" s="18" t="s">
        <v>9648</v>
      </c>
      <c r="N258" s="18" t="s">
        <v>9649</v>
      </c>
      <c r="O258" s="18" t="s">
        <v>3770</v>
      </c>
      <c r="P258" s="18" t="s">
        <v>9650</v>
      </c>
      <c r="Q258" s="18" t="s">
        <v>7975</v>
      </c>
      <c r="R258" s="18" t="s">
        <v>7976</v>
      </c>
      <c r="S258" s="18" t="s">
        <v>8045</v>
      </c>
      <c r="T258" s="18" t="s">
        <v>8099</v>
      </c>
      <c r="U258" s="18" t="s">
        <v>8100</v>
      </c>
      <c r="V258" s="18" t="s">
        <v>6963</v>
      </c>
      <c r="W258" s="18" t="s">
        <v>95</v>
      </c>
      <c r="X258" s="18" t="s">
        <v>95</v>
      </c>
      <c r="Y258" s="18" t="s">
        <v>7980</v>
      </c>
      <c r="Z258" s="18" t="s">
        <v>6996</v>
      </c>
      <c r="AA258" s="69">
        <v>1</v>
      </c>
      <c r="AB258" s="18">
        <v>553.57142999999996</v>
      </c>
      <c r="AC258" s="18" t="s">
        <v>9651</v>
      </c>
      <c r="AD258" s="18" t="s">
        <v>7982</v>
      </c>
      <c r="AE258" s="18">
        <v>396.5</v>
      </c>
      <c r="AF258" s="18" t="s">
        <v>7983</v>
      </c>
      <c r="AG258" s="18">
        <v>396.5</v>
      </c>
      <c r="AH258" s="18" t="s">
        <v>95</v>
      </c>
      <c r="AI258" s="18" t="s">
        <v>7147</v>
      </c>
      <c r="AJ258" s="18" t="s">
        <v>7148</v>
      </c>
      <c r="AK258" s="18">
        <v>13.79</v>
      </c>
      <c r="AL258" s="18" t="s">
        <v>95</v>
      </c>
      <c r="AM258" s="18" t="s">
        <v>95</v>
      </c>
      <c r="AN258" s="18" t="s">
        <v>7984</v>
      </c>
      <c r="AO258" s="18" t="s">
        <v>139</v>
      </c>
      <c r="AP258" s="20" t="s">
        <v>136</v>
      </c>
      <c r="AQ258" s="18" t="s">
        <v>137</v>
      </c>
      <c r="AR258" s="18" t="s">
        <v>295</v>
      </c>
      <c r="AS258" s="18">
        <v>6</v>
      </c>
      <c r="AT258" s="18" t="s">
        <v>138</v>
      </c>
      <c r="AU258" s="18" t="s">
        <v>90</v>
      </c>
      <c r="AV258" s="18" t="s">
        <v>8104</v>
      </c>
      <c r="AW258" s="18" t="s">
        <v>8105</v>
      </c>
      <c r="AX258" s="18" t="s">
        <v>83</v>
      </c>
      <c r="AY258" s="18" t="s">
        <v>95</v>
      </c>
      <c r="AZ258" s="18" t="s">
        <v>95</v>
      </c>
      <c r="BA258" s="18" t="s">
        <v>95</v>
      </c>
      <c r="BB258" s="18" t="s">
        <v>95</v>
      </c>
      <c r="BC258" s="18" t="s">
        <v>215</v>
      </c>
      <c r="BD258" s="18">
        <v>250</v>
      </c>
      <c r="BE258" s="18" t="s">
        <v>95</v>
      </c>
      <c r="BF258" s="18" t="s">
        <v>95</v>
      </c>
      <c r="BG258" s="18" t="s">
        <v>95</v>
      </c>
      <c r="BH258" s="18" t="s">
        <v>95</v>
      </c>
      <c r="BI258" s="18">
        <v>12</v>
      </c>
      <c r="BJ258" s="18">
        <v>2022</v>
      </c>
      <c r="BK258" s="18" t="s">
        <v>95</v>
      </c>
      <c r="BL258" s="18" t="s">
        <v>95</v>
      </c>
      <c r="BM258" s="18" t="s">
        <v>95</v>
      </c>
      <c r="BN258" s="18" t="s">
        <v>85</v>
      </c>
      <c r="BO258" s="18" t="s">
        <v>86</v>
      </c>
      <c r="BP258" s="18" t="s">
        <v>90</v>
      </c>
      <c r="BQ258" s="18" t="s">
        <v>7987</v>
      </c>
      <c r="BR258" s="18" t="s">
        <v>139</v>
      </c>
      <c r="BS258" s="18" t="s">
        <v>8027</v>
      </c>
      <c r="BT258" s="18" t="s">
        <v>7989</v>
      </c>
      <c r="BU258" s="18" t="s">
        <v>7990</v>
      </c>
      <c r="BV258" s="18" t="str">
        <f>Terminales[[#This Row],[IMEI]]&amp;"SI"</f>
        <v>353842195677321SI</v>
      </c>
      <c r="BW258" s="18" t="str">
        <f>VLOOKUP(Terminales[[#This Row],[OFICINA_USUARIO]],[1]!Locales[#Data],3,0)</f>
        <v>TIENDA AMERICA</v>
      </c>
      <c r="BX258" s="18" t="str">
        <f>VLOOKUP(Terminales[[#This Row],[USUARIO_FINAL]],'[1]Personal Ppto vs Real'!$A:$F,6,0)</f>
        <v>SALVATIERRA GUERRA JULIAN ENRIQUE</v>
      </c>
      <c r="BY25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5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58" s="18">
        <f>DAY(Terminales[[#This Row],[FECHA_FACTURA]])</f>
        <v>13</v>
      </c>
      <c r="CB258" s="65">
        <f>IF(Terminales[[#This Row],[CANTIDAD]] = 1,INDEX([1]!Comisiones[#Data],MATCH("Terminales",[1]!Comisiones[Producto],0),MATCH(Terminales[[#This Row],[TIPO ALTA COMISIONES]],[1]!Comisiones[#Headers],0))*Terminales[[#This Row],[MONTO]],0)</f>
        <v>44.285714399999996</v>
      </c>
      <c r="CC258" s="65">
        <f>IFERROR(IF(AND(Terminales[[#This Row],[CANTIDAD]] = 1,Terminales[[#This Row],[MOVIMIENTO]] = "RENOVACION"),Terminales[[#This Row],[TARIFA_BASICA]]*0.5,),)</f>
        <v>6.8949999999999996</v>
      </c>
      <c r="CD258" s="65">
        <f>IF('[1]Resumen TM'!$AW$20 &lt; 0.4,0,Terminales[[#This Row],[MONTO]]*0.02)</f>
        <v>11.071428599999999</v>
      </c>
      <c r="CE258" s="66">
        <f>Terminales[[#This Row],[COMISIONES TERMINALES]]+Terminales[[#This Row],[COMISIONES RENOVACIONES]]+Terminales[[#This Row],[COMISIONES BONO]]</f>
        <v>62.252142999999997</v>
      </c>
      <c r="CF258" s="67">
        <f>(Terminales[[#This Row],[COMISIONES TERMINALES]]*VLOOKUP(Terminales[[#This Row],[LOCALES]],[1]!Calendario[#Data],3,0))/VLOOKUP(Terminales[[#This Row],[LOCALES]],[1]!Calendario[#Data],2,0)</f>
        <v>72.755102228571417</v>
      </c>
      <c r="CG258" s="67">
        <f>(Terminales[[#This Row],[COMISIONES RENOVACIONES]]*VLOOKUP(Terminales[[#This Row],[LOCALES]],[1]!Calendario[#Data],3,0))/VLOOKUP(Terminales[[#This Row],[LOCALES]],[1]!Calendario[#Data],2,0)</f>
        <v>11.327499999999999</v>
      </c>
      <c r="CH258" s="67">
        <f>(Terminales[[#This Row],[COMISIONES BONO]]*VLOOKUP(Terminales[[#This Row],[LOCALES]],[1]!Calendario[#Data],3,0))/VLOOKUP(Terminales[[#This Row],[LOCALES]],[1]!Calendario[#Data],2,0)</f>
        <v>18.188775557142854</v>
      </c>
      <c r="CI258" s="67">
        <f>Terminales[[#This Row],[PROY. COM. TERMINALES]]+Terminales[[#This Row],[PROY. COM. RENOV.]]+Terminales[[#This Row],[PROY. COM. 2%]]</f>
        <v>102.27137778571426</v>
      </c>
    </row>
    <row r="259" spans="1:87" x14ac:dyDescent="0.25">
      <c r="A259" s="68">
        <v>44926</v>
      </c>
      <c r="B259" s="68">
        <v>44908</v>
      </c>
      <c r="C259" s="18" t="s">
        <v>291</v>
      </c>
      <c r="D259" s="18" t="s">
        <v>521</v>
      </c>
      <c r="E259" s="18" t="s">
        <v>8017</v>
      </c>
      <c r="F259" s="18" t="s">
        <v>9652</v>
      </c>
      <c r="G259" s="18" t="s">
        <v>292</v>
      </c>
      <c r="H259" s="18" t="s">
        <v>494</v>
      </c>
      <c r="I259" s="18" t="s">
        <v>9653</v>
      </c>
      <c r="J259" s="18" t="s">
        <v>95</v>
      </c>
      <c r="K259" s="18" t="s">
        <v>7970</v>
      </c>
      <c r="L259" s="18" t="s">
        <v>9654</v>
      </c>
      <c r="M259" s="18" t="s">
        <v>9655</v>
      </c>
      <c r="N259" s="18" t="s">
        <v>9656</v>
      </c>
      <c r="O259" s="18" t="s">
        <v>9657</v>
      </c>
      <c r="P259" s="18" t="s">
        <v>9658</v>
      </c>
      <c r="Q259" s="18" t="s">
        <v>7975</v>
      </c>
      <c r="R259" s="18" t="s">
        <v>7976</v>
      </c>
      <c r="S259" s="18" t="s">
        <v>8250</v>
      </c>
      <c r="T259" s="18" t="s">
        <v>8318</v>
      </c>
      <c r="U259" s="18" t="s">
        <v>8059</v>
      </c>
      <c r="V259" s="18" t="s">
        <v>6963</v>
      </c>
      <c r="W259" s="18" t="s">
        <v>95</v>
      </c>
      <c r="X259" s="18" t="s">
        <v>95</v>
      </c>
      <c r="Y259" s="18" t="s">
        <v>7980</v>
      </c>
      <c r="Z259" s="18" t="s">
        <v>6996</v>
      </c>
      <c r="AA259" s="69">
        <v>1</v>
      </c>
      <c r="AB259" s="18">
        <v>1151.7857100000001</v>
      </c>
      <c r="AC259" s="18" t="s">
        <v>9659</v>
      </c>
      <c r="AD259" s="18" t="s">
        <v>7982</v>
      </c>
      <c r="AE259" s="18">
        <v>955.13</v>
      </c>
      <c r="AF259" s="18" t="s">
        <v>7983</v>
      </c>
      <c r="AG259" s="18">
        <v>955.13</v>
      </c>
      <c r="AH259" s="18" t="s">
        <v>95</v>
      </c>
      <c r="AI259" s="18" t="s">
        <v>7454</v>
      </c>
      <c r="AJ259" s="18" t="s">
        <v>7511</v>
      </c>
      <c r="AK259" s="18">
        <v>20</v>
      </c>
      <c r="AL259" s="18" t="s">
        <v>95</v>
      </c>
      <c r="AM259" s="18" t="s">
        <v>95</v>
      </c>
      <c r="AN259" s="18" t="s">
        <v>7984</v>
      </c>
      <c r="AO259" s="18" t="s">
        <v>92</v>
      </c>
      <c r="AP259" s="20" t="s">
        <v>242</v>
      </c>
      <c r="AQ259" s="18" t="s">
        <v>243</v>
      </c>
      <c r="AR259" s="18" t="s">
        <v>496</v>
      </c>
      <c r="AS259" s="18">
        <v>1</v>
      </c>
      <c r="AT259" s="18" t="s">
        <v>91</v>
      </c>
      <c r="AU259" s="18" t="s">
        <v>90</v>
      </c>
      <c r="AV259" s="18" t="s">
        <v>9660</v>
      </c>
      <c r="AW259" s="18" t="s">
        <v>9661</v>
      </c>
      <c r="AX259" s="18" t="s">
        <v>83</v>
      </c>
      <c r="AY259" s="18" t="s">
        <v>95</v>
      </c>
      <c r="AZ259" s="18" t="s">
        <v>95</v>
      </c>
      <c r="BA259" s="18" t="s">
        <v>95</v>
      </c>
      <c r="BB259" s="18" t="s">
        <v>95</v>
      </c>
      <c r="BC259" s="18" t="s">
        <v>84</v>
      </c>
      <c r="BD259" s="18" t="s">
        <v>95</v>
      </c>
      <c r="BE259" s="18" t="s">
        <v>95</v>
      </c>
      <c r="BF259" s="18" t="s">
        <v>95</v>
      </c>
      <c r="BG259" s="18" t="s">
        <v>95</v>
      </c>
      <c r="BH259" s="18" t="s">
        <v>95</v>
      </c>
      <c r="BI259" s="18">
        <v>12</v>
      </c>
      <c r="BJ259" s="18">
        <v>2022</v>
      </c>
      <c r="BK259" s="18" t="s">
        <v>95</v>
      </c>
      <c r="BL259" s="18" t="s">
        <v>95</v>
      </c>
      <c r="BM259" s="18" t="s">
        <v>95</v>
      </c>
      <c r="BN259" s="18" t="s">
        <v>85</v>
      </c>
      <c r="BO259" s="18" t="s">
        <v>86</v>
      </c>
      <c r="BP259" s="18" t="s">
        <v>90</v>
      </c>
      <c r="BQ259" s="18" t="s">
        <v>8106</v>
      </c>
      <c r="BR259" s="18" t="s">
        <v>92</v>
      </c>
      <c r="BS259" s="18" t="s">
        <v>8074</v>
      </c>
      <c r="BT259" s="18" t="s">
        <v>7989</v>
      </c>
      <c r="BU259" s="18" t="s">
        <v>496</v>
      </c>
      <c r="BV259" s="18" t="str">
        <f>Terminales[[#This Row],[IMEI]]&amp;"SI"</f>
        <v>358330276607305SI</v>
      </c>
      <c r="BW259" s="18" t="str">
        <f>VLOOKUP(Terminales[[#This Row],[OFICINA_USUARIO]],[1]!Locales[#Data],3,0)</f>
        <v>TIENDA CUENCA CENTRO</v>
      </c>
      <c r="BX259" s="18" t="str">
        <f>VLOOKUP(Terminales[[#This Row],[USUARIO_FINAL]],'[1]Personal Ppto vs Real'!$A:$F,6,0)</f>
        <v>VALLEJO DELEG ROMAN NICOLAS</v>
      </c>
      <c r="BY25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5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59" s="18">
        <f>DAY(Terminales[[#This Row],[FECHA_FACTURA]])</f>
        <v>13</v>
      </c>
      <c r="CB259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259" s="65">
        <f>IFERROR(IF(AND(Terminales[[#This Row],[CANTIDAD]] = 1,Terminales[[#This Row],[MOVIMIENTO]] = "RENOVACION"),Terminales[[#This Row],[TARIFA_BASICA]]*0.5,),)</f>
        <v>10</v>
      </c>
      <c r="CD259" s="65">
        <f>IF('[1]Resumen TM'!$AW$20 &lt; 0.4,0,Terminales[[#This Row],[MONTO]]*0.02)</f>
        <v>23.035714200000001</v>
      </c>
      <c r="CE259" s="66">
        <f>Terminales[[#This Row],[COMISIONES TERMINALES]]+Terminales[[#This Row],[COMISIONES RENOVACIONES]]+Terminales[[#This Row],[COMISIONES BONO]]</f>
        <v>148.21428520000001</v>
      </c>
      <c r="CF259" s="67">
        <f>(Terminales[[#This Row],[COMISIONES TERMINALES]]*VLOOKUP(Terminales[[#This Row],[LOCALES]],[1]!Calendario[#Data],3,0))/VLOOKUP(Terminales[[#This Row],[LOCALES]],[1]!Calendario[#Data],2,0)</f>
        <v>186.66871851724142</v>
      </c>
      <c r="CG259" s="67">
        <f>(Terminales[[#This Row],[COMISIONES RENOVACIONES]]*VLOOKUP(Terminales[[#This Row],[LOCALES]],[1]!Calendario[#Data],3,0))/VLOOKUP(Terminales[[#This Row],[LOCALES]],[1]!Calendario[#Data],2,0)</f>
        <v>16.206896551724139</v>
      </c>
      <c r="CH259" s="67">
        <f>(Terminales[[#This Row],[COMISIONES BONO]]*VLOOKUP(Terminales[[#This Row],[LOCALES]],[1]!Calendario[#Data],3,0))/VLOOKUP(Terminales[[#This Row],[LOCALES]],[1]!Calendario[#Data],2,0)</f>
        <v>37.333743703448278</v>
      </c>
      <c r="CI259" s="67">
        <f>Terminales[[#This Row],[PROY. COM. TERMINALES]]+Terminales[[#This Row],[PROY. COM. RENOV.]]+Terminales[[#This Row],[PROY. COM. 2%]]</f>
        <v>240.20935877241382</v>
      </c>
    </row>
    <row r="260" spans="1:87" x14ac:dyDescent="0.25">
      <c r="A260" s="68">
        <v>44926</v>
      </c>
      <c r="B260" s="68">
        <v>44908</v>
      </c>
      <c r="C260" s="18" t="s">
        <v>291</v>
      </c>
      <c r="D260" s="18" t="s">
        <v>521</v>
      </c>
      <c r="E260" s="18" t="s">
        <v>8017</v>
      </c>
      <c r="F260" s="18" t="s">
        <v>9662</v>
      </c>
      <c r="G260" s="18" t="s">
        <v>292</v>
      </c>
      <c r="H260" s="18" t="s">
        <v>494</v>
      </c>
      <c r="I260" s="18" t="s">
        <v>9663</v>
      </c>
      <c r="J260" s="18" t="s">
        <v>95</v>
      </c>
      <c r="K260" s="18" t="s">
        <v>7970</v>
      </c>
      <c r="L260" s="18" t="s">
        <v>9664</v>
      </c>
      <c r="M260" s="18" t="s">
        <v>9665</v>
      </c>
      <c r="N260" s="18" t="s">
        <v>9666</v>
      </c>
      <c r="O260" s="18" t="s">
        <v>1675</v>
      </c>
      <c r="P260" s="18" t="s">
        <v>9667</v>
      </c>
      <c r="Q260" s="18" t="s">
        <v>7975</v>
      </c>
      <c r="R260" s="18" t="s">
        <v>7976</v>
      </c>
      <c r="S260" s="18" t="s">
        <v>8045</v>
      </c>
      <c r="T260" s="18" t="s">
        <v>9668</v>
      </c>
      <c r="U260" s="18" t="s">
        <v>8059</v>
      </c>
      <c r="V260" s="18" t="s">
        <v>6963</v>
      </c>
      <c r="W260" s="18" t="s">
        <v>95</v>
      </c>
      <c r="X260" s="18" t="s">
        <v>95</v>
      </c>
      <c r="Y260" s="18" t="s">
        <v>7980</v>
      </c>
      <c r="Z260" s="18" t="s">
        <v>6996</v>
      </c>
      <c r="AA260" s="69">
        <v>1</v>
      </c>
      <c r="AB260" s="18">
        <v>1607.1428599999999</v>
      </c>
      <c r="AC260" s="18" t="s">
        <v>9669</v>
      </c>
      <c r="AD260" s="18" t="s">
        <v>7982</v>
      </c>
      <c r="AE260" s="18">
        <v>1400</v>
      </c>
      <c r="AF260" s="18" t="s">
        <v>7983</v>
      </c>
      <c r="AG260" s="18">
        <v>1400</v>
      </c>
      <c r="AH260" s="18" t="s">
        <v>95</v>
      </c>
      <c r="AI260" s="18" t="s">
        <v>7281</v>
      </c>
      <c r="AJ260" s="18" t="s">
        <v>7282</v>
      </c>
      <c r="AK260" s="18">
        <v>17.03</v>
      </c>
      <c r="AL260" s="18" t="s">
        <v>95</v>
      </c>
      <c r="AM260" s="18" t="s">
        <v>95</v>
      </c>
      <c r="AN260" s="18" t="s">
        <v>7984</v>
      </c>
      <c r="AO260" s="18" t="s">
        <v>92</v>
      </c>
      <c r="AP260" s="20" t="s">
        <v>1415</v>
      </c>
      <c r="AQ260" s="18" t="s">
        <v>1416</v>
      </c>
      <c r="AR260" s="18" t="s">
        <v>496</v>
      </c>
      <c r="AS260" s="18">
        <v>1</v>
      </c>
      <c r="AT260" s="18" t="s">
        <v>91</v>
      </c>
      <c r="AU260" s="18" t="s">
        <v>90</v>
      </c>
      <c r="AV260" s="18" t="s">
        <v>9670</v>
      </c>
      <c r="AW260" s="18" t="s">
        <v>9671</v>
      </c>
      <c r="AX260" s="18" t="s">
        <v>83</v>
      </c>
      <c r="AY260" s="18" t="s">
        <v>95</v>
      </c>
      <c r="AZ260" s="18" t="s">
        <v>95</v>
      </c>
      <c r="BA260" s="18" t="s">
        <v>95</v>
      </c>
      <c r="BB260" s="18" t="s">
        <v>95</v>
      </c>
      <c r="BC260" s="18" t="s">
        <v>84</v>
      </c>
      <c r="BD260" s="18" t="s">
        <v>95</v>
      </c>
      <c r="BE260" s="18" t="s">
        <v>95</v>
      </c>
      <c r="BF260" s="18" t="s">
        <v>95</v>
      </c>
      <c r="BG260" s="18" t="s">
        <v>95</v>
      </c>
      <c r="BH260" s="18" t="s">
        <v>95</v>
      </c>
      <c r="BI260" s="18">
        <v>12</v>
      </c>
      <c r="BJ260" s="18">
        <v>2022</v>
      </c>
      <c r="BK260" s="18" t="s">
        <v>95</v>
      </c>
      <c r="BL260" s="18" t="s">
        <v>95</v>
      </c>
      <c r="BM260" s="18" t="s">
        <v>95</v>
      </c>
      <c r="BN260" s="18" t="s">
        <v>85</v>
      </c>
      <c r="BO260" s="18" t="s">
        <v>86</v>
      </c>
      <c r="BP260" s="18" t="s">
        <v>90</v>
      </c>
      <c r="BQ260" s="18" t="s">
        <v>8106</v>
      </c>
      <c r="BR260" s="18" t="s">
        <v>92</v>
      </c>
      <c r="BS260" s="18" t="s">
        <v>8074</v>
      </c>
      <c r="BT260" s="18" t="s">
        <v>7989</v>
      </c>
      <c r="BU260" s="18" t="s">
        <v>496</v>
      </c>
      <c r="BV260" s="18" t="str">
        <f>Terminales[[#This Row],[IMEI]]&amp;"SI"</f>
        <v>352908911014957SI</v>
      </c>
      <c r="BW260" s="18" t="str">
        <f>VLOOKUP(Terminales[[#This Row],[OFICINA_USUARIO]],[1]!Locales[#Data],3,0)</f>
        <v>TIENDA CUENCA CENTRO</v>
      </c>
      <c r="BX260" s="18" t="str">
        <f>VLOOKUP(Terminales[[#This Row],[USUARIO_FINAL]],'[1]Personal Ppto vs Real'!$A:$F,6,0)</f>
        <v>PATIÑO URGILES DIANA CATALINA</v>
      </c>
      <c r="BY26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6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60" s="18">
        <f>DAY(Terminales[[#This Row],[FECHA_FACTURA]])</f>
        <v>13</v>
      </c>
      <c r="CB260" s="65">
        <f>IF(Terminales[[#This Row],[CANTIDAD]] = 1,INDEX([1]!Comisiones[#Data],MATCH("Terminales",[1]!Comisiones[Producto],0),MATCH(Terminales[[#This Row],[TIPO ALTA COMISIONES]],[1]!Comisiones[#Headers],0))*Terminales[[#This Row],[MONTO]],0)</f>
        <v>160.71428600000002</v>
      </c>
      <c r="CC260" s="65">
        <f>IFERROR(IF(AND(Terminales[[#This Row],[CANTIDAD]] = 1,Terminales[[#This Row],[MOVIMIENTO]] = "RENOVACION"),Terminales[[#This Row],[TARIFA_BASICA]]*0.5,),)</f>
        <v>8.5150000000000006</v>
      </c>
      <c r="CD260" s="65">
        <f>IF('[1]Resumen TM'!$AW$20 &lt; 0.4,0,Terminales[[#This Row],[MONTO]]*0.02)</f>
        <v>32.142857200000002</v>
      </c>
      <c r="CE260" s="66">
        <f>Terminales[[#This Row],[COMISIONES TERMINALES]]+Terminales[[#This Row],[COMISIONES RENOVACIONES]]+Terminales[[#This Row],[COMISIONES BONO]]</f>
        <v>201.37214320000001</v>
      </c>
      <c r="CF260" s="67">
        <f>(Terminales[[#This Row],[COMISIONES TERMINALES]]*VLOOKUP(Terminales[[#This Row],[LOCALES]],[1]!Calendario[#Data],3,0))/VLOOKUP(Terminales[[#This Row],[LOCALES]],[1]!Calendario[#Data],2,0)</f>
        <v>260.46798075862068</v>
      </c>
      <c r="CG260" s="67">
        <f>(Terminales[[#This Row],[COMISIONES RENOVACIONES]]*VLOOKUP(Terminales[[#This Row],[LOCALES]],[1]!Calendario[#Data],3,0))/VLOOKUP(Terminales[[#This Row],[LOCALES]],[1]!Calendario[#Data],2,0)</f>
        <v>13.800172413793105</v>
      </c>
      <c r="CH260" s="67">
        <f>(Terminales[[#This Row],[COMISIONES BONO]]*VLOOKUP(Terminales[[#This Row],[LOCALES]],[1]!Calendario[#Data],3,0))/VLOOKUP(Terminales[[#This Row],[LOCALES]],[1]!Calendario[#Data],2,0)</f>
        <v>52.093596151724135</v>
      </c>
      <c r="CI260" s="67">
        <f>Terminales[[#This Row],[PROY. COM. TERMINALES]]+Terminales[[#This Row],[PROY. COM. RENOV.]]+Terminales[[#This Row],[PROY. COM. 2%]]</f>
        <v>326.36174932413792</v>
      </c>
    </row>
    <row r="261" spans="1:87" x14ac:dyDescent="0.25">
      <c r="A261" s="68">
        <v>44926</v>
      </c>
      <c r="B261" s="68">
        <v>44908</v>
      </c>
      <c r="C261" s="18" t="s">
        <v>96</v>
      </c>
      <c r="D261" s="18" t="s">
        <v>96</v>
      </c>
      <c r="E261" s="18" t="s">
        <v>96</v>
      </c>
      <c r="F261" s="18" t="s">
        <v>9672</v>
      </c>
      <c r="G261" s="18" t="s">
        <v>292</v>
      </c>
      <c r="H261" s="18" t="s">
        <v>494</v>
      </c>
      <c r="I261" s="18" t="s">
        <v>9673</v>
      </c>
      <c r="J261" s="18" t="s">
        <v>95</v>
      </c>
      <c r="K261" s="18" t="s">
        <v>7970</v>
      </c>
      <c r="L261" s="18" t="s">
        <v>9674</v>
      </c>
      <c r="M261" s="18" t="s">
        <v>9675</v>
      </c>
      <c r="N261" s="18" t="s">
        <v>9676</v>
      </c>
      <c r="O261" s="18" t="s">
        <v>2260</v>
      </c>
      <c r="P261" s="18" t="s">
        <v>9677</v>
      </c>
      <c r="Q261" s="18" t="s">
        <v>7975</v>
      </c>
      <c r="R261" s="18" t="s">
        <v>7976</v>
      </c>
      <c r="S261" s="18" t="s">
        <v>8010</v>
      </c>
      <c r="T261" s="18" t="s">
        <v>8011</v>
      </c>
      <c r="U261" s="18" t="s">
        <v>8012</v>
      </c>
      <c r="V261" s="18" t="s">
        <v>6963</v>
      </c>
      <c r="W261" s="18" t="s">
        <v>95</v>
      </c>
      <c r="X261" s="18" t="s">
        <v>95</v>
      </c>
      <c r="Y261" s="18" t="s">
        <v>7980</v>
      </c>
      <c r="Z261" s="18" t="s">
        <v>6996</v>
      </c>
      <c r="AA261" s="69">
        <v>1</v>
      </c>
      <c r="AB261" s="18">
        <v>196.42857000000001</v>
      </c>
      <c r="AC261" s="18" t="s">
        <v>9678</v>
      </c>
      <c r="AD261" s="18" t="s">
        <v>96</v>
      </c>
      <c r="AE261" s="18">
        <v>168.8</v>
      </c>
      <c r="AF261" s="18" t="s">
        <v>7983</v>
      </c>
      <c r="AG261" s="18">
        <v>168.8</v>
      </c>
      <c r="AH261" s="18" t="s">
        <v>95</v>
      </c>
      <c r="AI261" s="18" t="s">
        <v>8102</v>
      </c>
      <c r="AJ261" s="18" t="s">
        <v>8103</v>
      </c>
      <c r="AK261" s="18" t="s">
        <v>95</v>
      </c>
      <c r="AL261" s="18" t="s">
        <v>95</v>
      </c>
      <c r="AM261" s="18" t="s">
        <v>95</v>
      </c>
      <c r="AN261" s="18" t="s">
        <v>7984</v>
      </c>
      <c r="AO261" s="18" t="s">
        <v>92</v>
      </c>
      <c r="AP261" s="20" t="s">
        <v>318</v>
      </c>
      <c r="AQ261" s="18" t="s">
        <v>319</v>
      </c>
      <c r="AR261" s="18" t="s">
        <v>496</v>
      </c>
      <c r="AS261" s="18">
        <v>1</v>
      </c>
      <c r="AT261" s="18" t="s">
        <v>151</v>
      </c>
      <c r="AU261" s="18" t="s">
        <v>90</v>
      </c>
      <c r="AV261" s="18" t="s">
        <v>8014</v>
      </c>
      <c r="AW261" s="18" t="s">
        <v>8015</v>
      </c>
      <c r="AX261" s="18" t="s">
        <v>83</v>
      </c>
      <c r="AY261" s="18" t="s">
        <v>95</v>
      </c>
      <c r="AZ261" s="18" t="s">
        <v>95</v>
      </c>
      <c r="BA261" s="18" t="s">
        <v>95</v>
      </c>
      <c r="BB261" s="18" t="s">
        <v>95</v>
      </c>
      <c r="BC261" s="18" t="s">
        <v>95</v>
      </c>
      <c r="BD261" s="18" t="s">
        <v>95</v>
      </c>
      <c r="BE261" s="18" t="s">
        <v>95</v>
      </c>
      <c r="BF261" s="18" t="s">
        <v>95</v>
      </c>
      <c r="BG261" s="18" t="s">
        <v>95</v>
      </c>
      <c r="BH261" s="18" t="s">
        <v>95</v>
      </c>
      <c r="BI261" s="18">
        <v>12</v>
      </c>
      <c r="BJ261" s="18">
        <v>2022</v>
      </c>
      <c r="BK261" s="18" t="s">
        <v>95</v>
      </c>
      <c r="BL261" s="18" t="s">
        <v>95</v>
      </c>
      <c r="BM261" s="18" t="s">
        <v>95</v>
      </c>
      <c r="BN261" s="18" t="s">
        <v>85</v>
      </c>
      <c r="BO261" s="18" t="s">
        <v>86</v>
      </c>
      <c r="BP261" s="18" t="s">
        <v>90</v>
      </c>
      <c r="BQ261" s="18" t="s">
        <v>8141</v>
      </c>
      <c r="BR261" s="18" t="s">
        <v>92</v>
      </c>
      <c r="BS261" s="18" t="s">
        <v>8074</v>
      </c>
      <c r="BT261" s="18" t="s">
        <v>7989</v>
      </c>
      <c r="BU261" s="18" t="s">
        <v>496</v>
      </c>
      <c r="BV261" s="18" t="str">
        <f>Terminales[[#This Row],[IMEI]]&amp;"SI"</f>
        <v>359694275287008SI</v>
      </c>
      <c r="BW261" s="18" t="str">
        <f>VLOOKUP(Terminales[[#This Row],[OFICINA_USUARIO]],[1]!Locales[#Data],3,0)</f>
        <v>TIENDA CUENCA REMIGIO</v>
      </c>
      <c r="BX261" s="18" t="str">
        <f>VLOOKUP(Terminales[[#This Row],[USUARIO_FINAL]],'[1]Personal Ppto vs Real'!$A:$F,6,0)</f>
        <v>RODRIGUEZ QUITO JESSICA GABRIELA</v>
      </c>
      <c r="BY26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6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61" s="18">
        <f>DAY(Terminales[[#This Row],[FECHA_FACTURA]])</f>
        <v>13</v>
      </c>
      <c r="CB261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261" s="65">
        <f>IFERROR(IF(AND(Terminales[[#This Row],[CANTIDAD]] = 1,Terminales[[#This Row],[MOVIMIENTO]] = "RENOVACION"),Terminales[[#This Row],[TARIFA_BASICA]]*0.5,),)</f>
        <v>0</v>
      </c>
      <c r="CD261" s="65">
        <f>IF('[1]Resumen TM'!$AW$20 &lt; 0.4,0,Terminales[[#This Row],[MONTO]]*0.02)</f>
        <v>3.9285714</v>
      </c>
      <c r="CE261" s="66">
        <f>Terminales[[#This Row],[COMISIONES TERMINALES]]+Terminales[[#This Row],[COMISIONES RENOVACIONES]]+Terminales[[#This Row],[COMISIONES BONO]]</f>
        <v>23.571428400000002</v>
      </c>
      <c r="CF261" s="67">
        <f>(Terminales[[#This Row],[COMISIONES TERMINALES]]*VLOOKUP(Terminales[[#This Row],[LOCALES]],[1]!Calendario[#Data],3,0))/VLOOKUP(Terminales[[#This Row],[LOCALES]],[1]!Calendario[#Data],2,0)</f>
        <v>31.834975137931039</v>
      </c>
      <c r="CG261" s="67">
        <f>(Terminales[[#This Row],[COMISIONES RENOVACIONES]]*VLOOKUP(Terminales[[#This Row],[LOCALES]],[1]!Calendario[#Data],3,0))/VLOOKUP(Terminales[[#This Row],[LOCALES]],[1]!Calendario[#Data],2,0)</f>
        <v>0</v>
      </c>
      <c r="CH261" s="67">
        <f>(Terminales[[#This Row],[COMISIONES BONO]]*VLOOKUP(Terminales[[#This Row],[LOCALES]],[1]!Calendario[#Data],3,0))/VLOOKUP(Terminales[[#This Row],[LOCALES]],[1]!Calendario[#Data],2,0)</f>
        <v>6.3669950275862073</v>
      </c>
      <c r="CI261" s="67">
        <f>Terminales[[#This Row],[PROY. COM. TERMINALES]]+Terminales[[#This Row],[PROY. COM. RENOV.]]+Terminales[[#This Row],[PROY. COM. 2%]]</f>
        <v>38.201970165517245</v>
      </c>
    </row>
    <row r="262" spans="1:87" x14ac:dyDescent="0.25">
      <c r="A262" s="68">
        <v>44926</v>
      </c>
      <c r="B262" s="68">
        <v>44908</v>
      </c>
      <c r="C262" s="18" t="s">
        <v>96</v>
      </c>
      <c r="D262" s="18" t="s">
        <v>96</v>
      </c>
      <c r="E262" s="18" t="s">
        <v>96</v>
      </c>
      <c r="F262" s="18" t="s">
        <v>9679</v>
      </c>
      <c r="G262" s="18" t="s">
        <v>292</v>
      </c>
      <c r="H262" s="18" t="s">
        <v>494</v>
      </c>
      <c r="I262" s="18" t="s">
        <v>9680</v>
      </c>
      <c r="J262" s="18" t="s">
        <v>95</v>
      </c>
      <c r="K262" s="18" t="s">
        <v>7970</v>
      </c>
      <c r="L262" s="18" t="s">
        <v>9681</v>
      </c>
      <c r="M262" s="18" t="s">
        <v>6201</v>
      </c>
      <c r="N262" s="18" t="s">
        <v>6202</v>
      </c>
      <c r="O262" s="18" t="s">
        <v>294</v>
      </c>
      <c r="P262" s="18" t="s">
        <v>9682</v>
      </c>
      <c r="Q262" s="18" t="s">
        <v>7975</v>
      </c>
      <c r="R262" s="18" t="s">
        <v>7976</v>
      </c>
      <c r="S262" s="18" t="s">
        <v>7994</v>
      </c>
      <c r="T262" s="18" t="s">
        <v>8267</v>
      </c>
      <c r="U262" s="18" t="s">
        <v>7996</v>
      </c>
      <c r="V262" s="18" t="s">
        <v>6963</v>
      </c>
      <c r="W262" s="18" t="s">
        <v>95</v>
      </c>
      <c r="X262" s="18" t="s">
        <v>95</v>
      </c>
      <c r="Y262" s="18" t="s">
        <v>7980</v>
      </c>
      <c r="Z262" s="18" t="s">
        <v>6996</v>
      </c>
      <c r="AA262" s="69">
        <v>1</v>
      </c>
      <c r="AB262" s="18">
        <v>102.67856999999999</v>
      </c>
      <c r="AC262" s="18" t="s">
        <v>9683</v>
      </c>
      <c r="AD262" s="18" t="s">
        <v>7982</v>
      </c>
      <c r="AE262" s="18">
        <v>82.97</v>
      </c>
      <c r="AF262" s="18" t="s">
        <v>7983</v>
      </c>
      <c r="AG262" s="18">
        <v>82.97</v>
      </c>
      <c r="AH262" s="18" t="s">
        <v>95</v>
      </c>
      <c r="AI262" s="18" t="s">
        <v>8102</v>
      </c>
      <c r="AJ262" s="18" t="s">
        <v>8103</v>
      </c>
      <c r="AK262" s="18" t="s">
        <v>95</v>
      </c>
      <c r="AL262" s="18" t="s">
        <v>95</v>
      </c>
      <c r="AM262" s="18" t="s">
        <v>95</v>
      </c>
      <c r="AN262" s="18" t="s">
        <v>7984</v>
      </c>
      <c r="AO262" s="18" t="s">
        <v>92</v>
      </c>
      <c r="AP262" s="20" t="s">
        <v>120</v>
      </c>
      <c r="AQ262" s="18" t="s">
        <v>121</v>
      </c>
      <c r="AR262" s="18" t="s">
        <v>496</v>
      </c>
      <c r="AS262" s="18">
        <v>1</v>
      </c>
      <c r="AT262" s="18" t="s">
        <v>122</v>
      </c>
      <c r="AU262" s="18" t="s">
        <v>90</v>
      </c>
      <c r="AV262" s="18" t="s">
        <v>8269</v>
      </c>
      <c r="AW262" s="18" t="s">
        <v>8270</v>
      </c>
      <c r="AX262" s="18" t="s">
        <v>83</v>
      </c>
      <c r="AY262" s="18" t="s">
        <v>95</v>
      </c>
      <c r="AZ262" s="18" t="s">
        <v>95</v>
      </c>
      <c r="BA262" s="18" t="s">
        <v>95</v>
      </c>
      <c r="BB262" s="18" t="s">
        <v>95</v>
      </c>
      <c r="BC262" s="18" t="s">
        <v>118</v>
      </c>
      <c r="BD262" s="18" t="s">
        <v>95</v>
      </c>
      <c r="BE262" s="18" t="s">
        <v>95</v>
      </c>
      <c r="BF262" s="18" t="s">
        <v>95</v>
      </c>
      <c r="BG262" s="18" t="s">
        <v>95</v>
      </c>
      <c r="BH262" s="18" t="s">
        <v>95</v>
      </c>
      <c r="BI262" s="18">
        <v>12</v>
      </c>
      <c r="BJ262" s="18">
        <v>2022</v>
      </c>
      <c r="BK262" s="18" t="s">
        <v>95</v>
      </c>
      <c r="BL262" s="18" t="s">
        <v>95</v>
      </c>
      <c r="BM262" s="18" t="s">
        <v>95</v>
      </c>
      <c r="BN262" s="18" t="s">
        <v>85</v>
      </c>
      <c r="BO262" s="18" t="s">
        <v>86</v>
      </c>
      <c r="BP262" s="18" t="s">
        <v>90</v>
      </c>
      <c r="BQ262" s="18" t="s">
        <v>8050</v>
      </c>
      <c r="BR262" s="18" t="s">
        <v>92</v>
      </c>
      <c r="BS262" s="18" t="s">
        <v>8074</v>
      </c>
      <c r="BT262" s="18" t="s">
        <v>7989</v>
      </c>
      <c r="BU262" s="18" t="s">
        <v>496</v>
      </c>
      <c r="BV262" s="18" t="str">
        <f>Terminales[[#This Row],[IMEI]]&amp;"SI"</f>
        <v>353906800016207SI</v>
      </c>
      <c r="BW262" s="18" t="str">
        <f>VLOOKUP(Terminales[[#This Row],[OFICINA_USUARIO]],[1]!Locales[#Data],3,0)</f>
        <v>TIENDA MACHALA</v>
      </c>
      <c r="BX262" s="18" t="str">
        <f>VLOOKUP(Terminales[[#This Row],[USUARIO_FINAL]],'[1]Personal Ppto vs Real'!$A:$F,6,0)</f>
        <v>ARROBO VICENTE YADIRA ESPERANZA</v>
      </c>
      <c r="BY26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6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62" s="18">
        <f>DAY(Terminales[[#This Row],[FECHA_FACTURA]])</f>
        <v>13</v>
      </c>
      <c r="CB262" s="65">
        <f>IF(Terminales[[#This Row],[CANTIDAD]] = 1,INDEX([1]!Comisiones[#Data],MATCH("Terminales",[1]!Comisiones[Producto],0),MATCH(Terminales[[#This Row],[TIPO ALTA COMISIONES]],[1]!Comisiones[#Headers],0))*Terminales[[#This Row],[MONTO]],0)</f>
        <v>10.267856999999999</v>
      </c>
      <c r="CC262" s="65">
        <f>IFERROR(IF(AND(Terminales[[#This Row],[CANTIDAD]] = 1,Terminales[[#This Row],[MOVIMIENTO]] = "RENOVACION"),Terminales[[#This Row],[TARIFA_BASICA]]*0.5,),)</f>
        <v>0</v>
      </c>
      <c r="CD262" s="65">
        <f>IF('[1]Resumen TM'!$AW$20 &lt; 0.4,0,Terminales[[#This Row],[MONTO]]*0.02)</f>
        <v>2.0535714</v>
      </c>
      <c r="CE262" s="66">
        <f>Terminales[[#This Row],[COMISIONES TERMINALES]]+Terminales[[#This Row],[COMISIONES RENOVACIONES]]+Terminales[[#This Row],[COMISIONES BONO]]</f>
        <v>12.321428399999999</v>
      </c>
      <c r="CF262" s="67">
        <f>(Terminales[[#This Row],[COMISIONES TERMINALES]]*VLOOKUP(Terminales[[#This Row],[LOCALES]],[1]!Calendario[#Data],3,0))/VLOOKUP(Terminales[[#This Row],[LOCALES]],[1]!Calendario[#Data],2,0)</f>
        <v>16.641009620689655</v>
      </c>
      <c r="CG262" s="67">
        <f>(Terminales[[#This Row],[COMISIONES RENOVACIONES]]*VLOOKUP(Terminales[[#This Row],[LOCALES]],[1]!Calendario[#Data],3,0))/VLOOKUP(Terminales[[#This Row],[LOCALES]],[1]!Calendario[#Data],2,0)</f>
        <v>0</v>
      </c>
      <c r="CH262" s="67">
        <f>(Terminales[[#This Row],[COMISIONES BONO]]*VLOOKUP(Terminales[[#This Row],[LOCALES]],[1]!Calendario[#Data],3,0))/VLOOKUP(Terminales[[#This Row],[LOCALES]],[1]!Calendario[#Data],2,0)</f>
        <v>3.3282019241379315</v>
      </c>
      <c r="CI262" s="67">
        <f>Terminales[[#This Row],[PROY. COM. TERMINALES]]+Terminales[[#This Row],[PROY. COM. RENOV.]]+Terminales[[#This Row],[PROY. COM. 2%]]</f>
        <v>19.969211544827587</v>
      </c>
    </row>
    <row r="263" spans="1:87" x14ac:dyDescent="0.25">
      <c r="A263" s="68">
        <v>44926</v>
      </c>
      <c r="B263" s="68">
        <v>44908</v>
      </c>
      <c r="C263" s="18" t="s">
        <v>96</v>
      </c>
      <c r="D263" s="18" t="s">
        <v>96</v>
      </c>
      <c r="E263" s="18" t="s">
        <v>96</v>
      </c>
      <c r="F263" s="18" t="s">
        <v>9684</v>
      </c>
      <c r="G263" s="18" t="s">
        <v>292</v>
      </c>
      <c r="H263" s="18" t="s">
        <v>494</v>
      </c>
      <c r="I263" s="18" t="s">
        <v>9685</v>
      </c>
      <c r="J263" s="18" t="s">
        <v>95</v>
      </c>
      <c r="K263" s="18" t="s">
        <v>7970</v>
      </c>
      <c r="L263" s="18" t="s">
        <v>9686</v>
      </c>
      <c r="M263" s="18" t="s">
        <v>9687</v>
      </c>
      <c r="N263" s="18" t="s">
        <v>9688</v>
      </c>
      <c r="O263" s="18" t="s">
        <v>354</v>
      </c>
      <c r="P263" s="18" t="s">
        <v>9689</v>
      </c>
      <c r="Q263" s="18" t="s">
        <v>7975</v>
      </c>
      <c r="R263" s="18" t="s">
        <v>7976</v>
      </c>
      <c r="S263" s="18" t="s">
        <v>8070</v>
      </c>
      <c r="T263" s="18" t="s">
        <v>8071</v>
      </c>
      <c r="U263" s="18" t="s">
        <v>8012</v>
      </c>
      <c r="V263" s="18" t="s">
        <v>6963</v>
      </c>
      <c r="W263" s="18" t="s">
        <v>95</v>
      </c>
      <c r="X263" s="18" t="s">
        <v>95</v>
      </c>
      <c r="Y263" s="18" t="s">
        <v>7980</v>
      </c>
      <c r="Z263" s="18" t="s">
        <v>6996</v>
      </c>
      <c r="AA263" s="69">
        <v>1</v>
      </c>
      <c r="AB263" s="18">
        <v>205.35713999999999</v>
      </c>
      <c r="AC263" s="18" t="s">
        <v>9690</v>
      </c>
      <c r="AD263" s="18" t="s">
        <v>7982</v>
      </c>
      <c r="AE263" s="18">
        <v>199.79</v>
      </c>
      <c r="AF263" s="18" t="s">
        <v>7983</v>
      </c>
      <c r="AG263" s="18">
        <v>199.79</v>
      </c>
      <c r="AH263" s="18" t="s">
        <v>95</v>
      </c>
      <c r="AI263" s="18" t="s">
        <v>8102</v>
      </c>
      <c r="AJ263" s="18" t="s">
        <v>8103</v>
      </c>
      <c r="AK263" s="18" t="s">
        <v>95</v>
      </c>
      <c r="AL263" s="18" t="s">
        <v>95</v>
      </c>
      <c r="AM263" s="18" t="s">
        <v>95</v>
      </c>
      <c r="AN263" s="18" t="s">
        <v>7984</v>
      </c>
      <c r="AO263" s="18" t="s">
        <v>139</v>
      </c>
      <c r="AP263" s="20" t="s">
        <v>1545</v>
      </c>
      <c r="AQ263" s="18" t="s">
        <v>1546</v>
      </c>
      <c r="AR263" s="18" t="s">
        <v>496</v>
      </c>
      <c r="AS263" s="18">
        <v>1</v>
      </c>
      <c r="AT263" s="18" t="s">
        <v>138</v>
      </c>
      <c r="AU263" s="18" t="s">
        <v>90</v>
      </c>
      <c r="AV263" s="18" t="s">
        <v>8072</v>
      </c>
      <c r="AW263" s="18" t="s">
        <v>8073</v>
      </c>
      <c r="AX263" s="18" t="s">
        <v>83</v>
      </c>
      <c r="AY263" s="18" t="s">
        <v>95</v>
      </c>
      <c r="AZ263" s="18" t="s">
        <v>95</v>
      </c>
      <c r="BA263" s="18" t="s">
        <v>95</v>
      </c>
      <c r="BB263" s="18" t="s">
        <v>95</v>
      </c>
      <c r="BC263" s="18" t="s">
        <v>118</v>
      </c>
      <c r="BD263" s="18" t="s">
        <v>95</v>
      </c>
      <c r="BE263" s="18" t="s">
        <v>8476</v>
      </c>
      <c r="BF263" s="18" t="s">
        <v>9691</v>
      </c>
      <c r="BG263" s="18" t="s">
        <v>95</v>
      </c>
      <c r="BH263" s="18" t="s">
        <v>95</v>
      </c>
      <c r="BI263" s="18">
        <v>12</v>
      </c>
      <c r="BJ263" s="18">
        <v>2022</v>
      </c>
      <c r="BK263" s="18" t="s">
        <v>95</v>
      </c>
      <c r="BL263" s="18" t="s">
        <v>95</v>
      </c>
      <c r="BM263" s="18" t="s">
        <v>95</v>
      </c>
      <c r="BN263" s="18" t="s">
        <v>85</v>
      </c>
      <c r="BO263" s="18" t="s">
        <v>86</v>
      </c>
      <c r="BP263" s="18" t="s">
        <v>90</v>
      </c>
      <c r="BQ263" s="18" t="s">
        <v>7987</v>
      </c>
      <c r="BR263" s="18" t="s">
        <v>139</v>
      </c>
      <c r="BS263" s="18" t="s">
        <v>8003</v>
      </c>
      <c r="BT263" s="18" t="s">
        <v>7989</v>
      </c>
      <c r="BU263" s="18" t="s">
        <v>496</v>
      </c>
      <c r="BV263" s="18" t="str">
        <f>Terminales[[#This Row],[IMEI]]&amp;"SI"</f>
        <v>869113065922628SI</v>
      </c>
      <c r="BW263" s="18" t="str">
        <f>VLOOKUP(Terminales[[#This Row],[OFICINA_USUARIO]],[1]!Locales[#Data],3,0)</f>
        <v>TIENDA AMERICA</v>
      </c>
      <c r="BX263" s="18" t="str">
        <f>VLOOKUP(Terminales[[#This Row],[USUARIO_FINAL]],'[1]Personal Ppto vs Real'!$A:$F,6,0)</f>
        <v>GRANDA ESPINOZA ANDRES SEBASTIAN</v>
      </c>
      <c r="BY26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6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63" s="18">
        <f>DAY(Terminales[[#This Row],[FECHA_FACTURA]])</f>
        <v>13</v>
      </c>
      <c r="CB263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263" s="65">
        <f>IFERROR(IF(AND(Terminales[[#This Row],[CANTIDAD]] = 1,Terminales[[#This Row],[MOVIMIENTO]] = "RENOVACION"),Terminales[[#This Row],[TARIFA_BASICA]]*0.5,),)</f>
        <v>0</v>
      </c>
      <c r="CD263" s="65">
        <f>IF('[1]Resumen TM'!$AW$20 &lt; 0.4,0,Terminales[[#This Row],[MONTO]]*0.02)</f>
        <v>4.1071428000000001</v>
      </c>
      <c r="CE263" s="66">
        <f>Terminales[[#This Row],[COMISIONES TERMINALES]]+Terminales[[#This Row],[COMISIONES RENOVACIONES]]+Terminales[[#This Row],[COMISIONES BONO]]</f>
        <v>24.642856799999997</v>
      </c>
      <c r="CF263" s="67">
        <f>(Terminales[[#This Row],[COMISIONES TERMINALES]]*VLOOKUP(Terminales[[#This Row],[LOCALES]],[1]!Calendario[#Data],3,0))/VLOOKUP(Terminales[[#This Row],[LOCALES]],[1]!Calendario[#Data],2,0)</f>
        <v>33.737244428571429</v>
      </c>
      <c r="CG263" s="67">
        <f>(Terminales[[#This Row],[COMISIONES RENOVACIONES]]*VLOOKUP(Terminales[[#This Row],[LOCALES]],[1]!Calendario[#Data],3,0))/VLOOKUP(Terminales[[#This Row],[LOCALES]],[1]!Calendario[#Data],2,0)</f>
        <v>0</v>
      </c>
      <c r="CH263" s="67">
        <f>(Terminales[[#This Row],[COMISIONES BONO]]*VLOOKUP(Terminales[[#This Row],[LOCALES]],[1]!Calendario[#Data],3,0))/VLOOKUP(Terminales[[#This Row],[LOCALES]],[1]!Calendario[#Data],2,0)</f>
        <v>6.7474488857142854</v>
      </c>
      <c r="CI263" s="67">
        <f>Terminales[[#This Row],[PROY. COM. TERMINALES]]+Terminales[[#This Row],[PROY. COM. RENOV.]]+Terminales[[#This Row],[PROY. COM. 2%]]</f>
        <v>40.484693314285714</v>
      </c>
    </row>
    <row r="264" spans="1:87" x14ac:dyDescent="0.25">
      <c r="A264" s="68">
        <v>44926</v>
      </c>
      <c r="B264" s="68">
        <v>44908</v>
      </c>
      <c r="C264" s="18" t="s">
        <v>96</v>
      </c>
      <c r="D264" s="18" t="s">
        <v>96</v>
      </c>
      <c r="E264" s="18" t="s">
        <v>96</v>
      </c>
      <c r="F264" s="18" t="s">
        <v>9692</v>
      </c>
      <c r="G264" s="18" t="s">
        <v>292</v>
      </c>
      <c r="H264" s="18" t="s">
        <v>494</v>
      </c>
      <c r="I264" s="18" t="s">
        <v>9693</v>
      </c>
      <c r="J264" s="18" t="s">
        <v>95</v>
      </c>
      <c r="K264" s="18" t="s">
        <v>7970</v>
      </c>
      <c r="L264" s="18" t="s">
        <v>9694</v>
      </c>
      <c r="M264" s="18" t="s">
        <v>9695</v>
      </c>
      <c r="N264" s="18" t="s">
        <v>9696</v>
      </c>
      <c r="O264" s="18" t="s">
        <v>4907</v>
      </c>
      <c r="P264" s="18" t="s">
        <v>9697</v>
      </c>
      <c r="Q264" s="18" t="s">
        <v>7975</v>
      </c>
      <c r="R264" s="18" t="s">
        <v>7976</v>
      </c>
      <c r="S264" s="18" t="s">
        <v>8045</v>
      </c>
      <c r="T264" s="18" t="s">
        <v>8099</v>
      </c>
      <c r="U264" s="18" t="s">
        <v>8100</v>
      </c>
      <c r="V264" s="18" t="s">
        <v>6963</v>
      </c>
      <c r="W264" s="18" t="s">
        <v>95</v>
      </c>
      <c r="X264" s="18" t="s">
        <v>95</v>
      </c>
      <c r="Y264" s="18" t="s">
        <v>7980</v>
      </c>
      <c r="Z264" s="18" t="s">
        <v>6996</v>
      </c>
      <c r="AA264" s="69">
        <v>1</v>
      </c>
      <c r="AB264" s="18">
        <v>406.25</v>
      </c>
      <c r="AC264" s="18" t="s">
        <v>9698</v>
      </c>
      <c r="AD264" s="18" t="s">
        <v>96</v>
      </c>
      <c r="AE264" s="18">
        <v>396.5</v>
      </c>
      <c r="AF264" s="18" t="s">
        <v>7983</v>
      </c>
      <c r="AG264" s="18">
        <v>396.5</v>
      </c>
      <c r="AH264" s="18" t="s">
        <v>95</v>
      </c>
      <c r="AI264" s="18" t="s">
        <v>8102</v>
      </c>
      <c r="AJ264" s="18" t="s">
        <v>8103</v>
      </c>
      <c r="AK264" s="18" t="s">
        <v>95</v>
      </c>
      <c r="AL264" s="18" t="s">
        <v>95</v>
      </c>
      <c r="AM264" s="18" t="s">
        <v>95</v>
      </c>
      <c r="AN264" s="18" t="s">
        <v>7984</v>
      </c>
      <c r="AO264" s="18" t="s">
        <v>92</v>
      </c>
      <c r="AP264" s="20" t="s">
        <v>318</v>
      </c>
      <c r="AQ264" s="18" t="s">
        <v>319</v>
      </c>
      <c r="AR264" s="18" t="s">
        <v>496</v>
      </c>
      <c r="AS264" s="18">
        <v>1</v>
      </c>
      <c r="AT264" s="18" t="s">
        <v>151</v>
      </c>
      <c r="AU264" s="18" t="s">
        <v>90</v>
      </c>
      <c r="AV264" s="18" t="s">
        <v>8660</v>
      </c>
      <c r="AW264" s="18" t="s">
        <v>8661</v>
      </c>
      <c r="AX264" s="18" t="s">
        <v>83</v>
      </c>
      <c r="AY264" s="18" t="s">
        <v>95</v>
      </c>
      <c r="AZ264" s="18" t="s">
        <v>95</v>
      </c>
      <c r="BA264" s="18" t="s">
        <v>95</v>
      </c>
      <c r="BB264" s="18" t="s">
        <v>95</v>
      </c>
      <c r="BC264" s="18" t="s">
        <v>95</v>
      </c>
      <c r="BD264" s="18" t="s">
        <v>95</v>
      </c>
      <c r="BE264" s="18" t="s">
        <v>9699</v>
      </c>
      <c r="BF264" s="18" t="s">
        <v>8001</v>
      </c>
      <c r="BG264" s="18" t="s">
        <v>95</v>
      </c>
      <c r="BH264" s="18" t="s">
        <v>95</v>
      </c>
      <c r="BI264" s="18">
        <v>12</v>
      </c>
      <c r="BJ264" s="18">
        <v>2022</v>
      </c>
      <c r="BK264" s="18" t="s">
        <v>95</v>
      </c>
      <c r="BL264" s="18" t="s">
        <v>95</v>
      </c>
      <c r="BM264" s="18" t="s">
        <v>95</v>
      </c>
      <c r="BN264" s="18" t="s">
        <v>85</v>
      </c>
      <c r="BO264" s="18" t="s">
        <v>86</v>
      </c>
      <c r="BP264" s="18" t="s">
        <v>90</v>
      </c>
      <c r="BQ264" s="18" t="s">
        <v>8141</v>
      </c>
      <c r="BR264" s="18" t="s">
        <v>92</v>
      </c>
      <c r="BS264" s="18" t="s">
        <v>8003</v>
      </c>
      <c r="BT264" s="18" t="s">
        <v>7989</v>
      </c>
      <c r="BU264" s="18" t="s">
        <v>496</v>
      </c>
      <c r="BV264" s="18" t="str">
        <f>Terminales[[#This Row],[IMEI]]&amp;"SI"</f>
        <v>353842195553399SI</v>
      </c>
      <c r="BW264" s="18" t="str">
        <f>VLOOKUP(Terminales[[#This Row],[OFICINA_USUARIO]],[1]!Locales[#Data],3,0)</f>
        <v>TIENDA CUENCA REMIGIO</v>
      </c>
      <c r="BX264" s="18" t="str">
        <f>VLOOKUP(Terminales[[#This Row],[USUARIO_FINAL]],'[1]Personal Ppto vs Real'!$A:$F,6,0)</f>
        <v>RODRIGUEZ QUITO JESSICA GABRIELA</v>
      </c>
      <c r="BY26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6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64" s="18">
        <f>DAY(Terminales[[#This Row],[FECHA_FACTURA]])</f>
        <v>13</v>
      </c>
      <c r="CB264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264" s="65">
        <f>IFERROR(IF(AND(Terminales[[#This Row],[CANTIDAD]] = 1,Terminales[[#This Row],[MOVIMIENTO]] = "RENOVACION"),Terminales[[#This Row],[TARIFA_BASICA]]*0.5,),)</f>
        <v>0</v>
      </c>
      <c r="CD264" s="65">
        <f>IF('[1]Resumen TM'!$AW$20 &lt; 0.4,0,Terminales[[#This Row],[MONTO]]*0.02)</f>
        <v>8.125</v>
      </c>
      <c r="CE264" s="66">
        <f>Terminales[[#This Row],[COMISIONES TERMINALES]]+Terminales[[#This Row],[COMISIONES RENOVACIONES]]+Terminales[[#This Row],[COMISIONES BONO]]</f>
        <v>48.75</v>
      </c>
      <c r="CF264" s="67">
        <f>(Terminales[[#This Row],[COMISIONES TERMINALES]]*VLOOKUP(Terminales[[#This Row],[LOCALES]],[1]!Calendario[#Data],3,0))/VLOOKUP(Terminales[[#This Row],[LOCALES]],[1]!Calendario[#Data],2,0)</f>
        <v>65.840517241379317</v>
      </c>
      <c r="CG264" s="67">
        <f>(Terminales[[#This Row],[COMISIONES RENOVACIONES]]*VLOOKUP(Terminales[[#This Row],[LOCALES]],[1]!Calendario[#Data],3,0))/VLOOKUP(Terminales[[#This Row],[LOCALES]],[1]!Calendario[#Data],2,0)</f>
        <v>0</v>
      </c>
      <c r="CH264" s="67">
        <f>(Terminales[[#This Row],[COMISIONES BONO]]*VLOOKUP(Terminales[[#This Row],[LOCALES]],[1]!Calendario[#Data],3,0))/VLOOKUP(Terminales[[#This Row],[LOCALES]],[1]!Calendario[#Data],2,0)</f>
        <v>13.168103448275861</v>
      </c>
      <c r="CI264" s="67">
        <f>Terminales[[#This Row],[PROY. COM. TERMINALES]]+Terminales[[#This Row],[PROY. COM. RENOV.]]+Terminales[[#This Row],[PROY. COM. 2%]]</f>
        <v>79.008620689655174</v>
      </c>
    </row>
    <row r="265" spans="1:87" x14ac:dyDescent="0.25">
      <c r="A265" s="68">
        <v>44926</v>
      </c>
      <c r="B265" s="68">
        <v>44908</v>
      </c>
      <c r="C265" s="18" t="s">
        <v>96</v>
      </c>
      <c r="D265" s="18" t="s">
        <v>96</v>
      </c>
      <c r="E265" s="18" t="s">
        <v>96</v>
      </c>
      <c r="F265" s="18" t="s">
        <v>9700</v>
      </c>
      <c r="G265" s="18" t="s">
        <v>292</v>
      </c>
      <c r="H265" s="18" t="s">
        <v>494</v>
      </c>
      <c r="I265" s="18" t="s">
        <v>9701</v>
      </c>
      <c r="J265" s="18" t="s">
        <v>95</v>
      </c>
      <c r="K265" s="18" t="s">
        <v>7970</v>
      </c>
      <c r="L265" s="18" t="s">
        <v>9702</v>
      </c>
      <c r="M265" s="18" t="s">
        <v>9703</v>
      </c>
      <c r="N265" s="18" t="s">
        <v>9704</v>
      </c>
      <c r="O265" s="18" t="s">
        <v>338</v>
      </c>
      <c r="P265" s="18" t="s">
        <v>9705</v>
      </c>
      <c r="Q265" s="18" t="s">
        <v>7975</v>
      </c>
      <c r="R265" s="18" t="s">
        <v>7976</v>
      </c>
      <c r="S265" s="18" t="s">
        <v>7977</v>
      </c>
      <c r="T265" s="18" t="s">
        <v>7978</v>
      </c>
      <c r="U265" s="18" t="s">
        <v>7979</v>
      </c>
      <c r="V265" s="18" t="s">
        <v>6963</v>
      </c>
      <c r="W265" s="18" t="s">
        <v>95</v>
      </c>
      <c r="X265" s="18" t="s">
        <v>95</v>
      </c>
      <c r="Y265" s="18" t="s">
        <v>7980</v>
      </c>
      <c r="Z265" s="18" t="s">
        <v>6996</v>
      </c>
      <c r="AA265" s="69">
        <v>1</v>
      </c>
      <c r="AB265" s="18">
        <v>276.78570999999999</v>
      </c>
      <c r="AC265" s="18" t="s">
        <v>9706</v>
      </c>
      <c r="AD265" s="18" t="s">
        <v>96</v>
      </c>
      <c r="AE265" s="18">
        <v>249</v>
      </c>
      <c r="AF265" s="18" t="s">
        <v>7983</v>
      </c>
      <c r="AG265" s="18">
        <v>249</v>
      </c>
      <c r="AH265" s="18" t="s">
        <v>95</v>
      </c>
      <c r="AI265" s="18" t="s">
        <v>8102</v>
      </c>
      <c r="AJ265" s="18" t="s">
        <v>8103</v>
      </c>
      <c r="AK265" s="18" t="s">
        <v>95</v>
      </c>
      <c r="AL265" s="18" t="s">
        <v>95</v>
      </c>
      <c r="AM265" s="18" t="s">
        <v>95</v>
      </c>
      <c r="AN265" s="18" t="s">
        <v>7984</v>
      </c>
      <c r="AO265" s="18" t="s">
        <v>92</v>
      </c>
      <c r="AP265" s="20" t="s">
        <v>120</v>
      </c>
      <c r="AQ265" s="18" t="s">
        <v>121</v>
      </c>
      <c r="AR265" s="18" t="s">
        <v>496</v>
      </c>
      <c r="AS265" s="18">
        <v>1</v>
      </c>
      <c r="AT265" s="18" t="s">
        <v>122</v>
      </c>
      <c r="AU265" s="18" t="s">
        <v>90</v>
      </c>
      <c r="AV265" s="18" t="s">
        <v>7985</v>
      </c>
      <c r="AW265" s="18" t="s">
        <v>7986</v>
      </c>
      <c r="AX265" s="18" t="s">
        <v>83</v>
      </c>
      <c r="AY265" s="18" t="s">
        <v>95</v>
      </c>
      <c r="AZ265" s="18" t="s">
        <v>95</v>
      </c>
      <c r="BA265" s="18" t="s">
        <v>95</v>
      </c>
      <c r="BB265" s="18" t="s">
        <v>95</v>
      </c>
      <c r="BC265" s="18" t="s">
        <v>95</v>
      </c>
      <c r="BD265" s="18" t="s">
        <v>95</v>
      </c>
      <c r="BE265" s="18" t="s">
        <v>8321</v>
      </c>
      <c r="BF265" s="18" t="s">
        <v>8064</v>
      </c>
      <c r="BG265" s="18" t="s">
        <v>95</v>
      </c>
      <c r="BH265" s="18" t="s">
        <v>95</v>
      </c>
      <c r="BI265" s="18">
        <v>12</v>
      </c>
      <c r="BJ265" s="18">
        <v>2022</v>
      </c>
      <c r="BK265" s="18" t="s">
        <v>95</v>
      </c>
      <c r="BL265" s="18" t="s">
        <v>95</v>
      </c>
      <c r="BM265" s="18" t="s">
        <v>95</v>
      </c>
      <c r="BN265" s="18" t="s">
        <v>85</v>
      </c>
      <c r="BO265" s="18" t="s">
        <v>86</v>
      </c>
      <c r="BP265" s="18" t="s">
        <v>90</v>
      </c>
      <c r="BQ265" s="18" t="s">
        <v>8050</v>
      </c>
      <c r="BR265" s="18" t="s">
        <v>92</v>
      </c>
      <c r="BS265" s="18" t="s">
        <v>8003</v>
      </c>
      <c r="BT265" s="18" t="s">
        <v>7989</v>
      </c>
      <c r="BU265" s="18" t="s">
        <v>496</v>
      </c>
      <c r="BV265" s="18" t="str">
        <f>Terminales[[#This Row],[IMEI]]&amp;"SI"</f>
        <v>864331068688765SI</v>
      </c>
      <c r="BW265" s="18" t="str">
        <f>VLOOKUP(Terminales[[#This Row],[OFICINA_USUARIO]],[1]!Locales[#Data],3,0)</f>
        <v>TIENDA MACHALA</v>
      </c>
      <c r="BX265" s="18" t="str">
        <f>VLOOKUP(Terminales[[#This Row],[USUARIO_FINAL]],'[1]Personal Ppto vs Real'!$A:$F,6,0)</f>
        <v>ARROBO VICENTE YADIRA ESPERANZA</v>
      </c>
      <c r="BY26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6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65" s="18">
        <f>DAY(Terminales[[#This Row],[FECHA_FACTURA]])</f>
        <v>13</v>
      </c>
      <c r="CB265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265" s="65">
        <f>IFERROR(IF(AND(Terminales[[#This Row],[CANTIDAD]] = 1,Terminales[[#This Row],[MOVIMIENTO]] = "RENOVACION"),Terminales[[#This Row],[TARIFA_BASICA]]*0.5,),)</f>
        <v>0</v>
      </c>
      <c r="CD265" s="65">
        <f>IF('[1]Resumen TM'!$AW$20 &lt; 0.4,0,Terminales[[#This Row],[MONTO]]*0.02)</f>
        <v>5.5357142000000001</v>
      </c>
      <c r="CE265" s="66">
        <f>Terminales[[#This Row],[COMISIONES TERMINALES]]+Terminales[[#This Row],[COMISIONES RENOVACIONES]]+Terminales[[#This Row],[COMISIONES BONO]]</f>
        <v>33.214285199999999</v>
      </c>
      <c r="CF265" s="67">
        <f>(Terminales[[#This Row],[COMISIONES TERMINALES]]*VLOOKUP(Terminales[[#This Row],[LOCALES]],[1]!Calendario[#Data],3,0))/VLOOKUP(Terminales[[#This Row],[LOCALES]],[1]!Calendario[#Data],2,0)</f>
        <v>44.858373689655174</v>
      </c>
      <c r="CG265" s="67">
        <f>(Terminales[[#This Row],[COMISIONES RENOVACIONES]]*VLOOKUP(Terminales[[#This Row],[LOCALES]],[1]!Calendario[#Data],3,0))/VLOOKUP(Terminales[[#This Row],[LOCALES]],[1]!Calendario[#Data],2,0)</f>
        <v>0</v>
      </c>
      <c r="CH265" s="67">
        <f>(Terminales[[#This Row],[COMISIONES BONO]]*VLOOKUP(Terminales[[#This Row],[LOCALES]],[1]!Calendario[#Data],3,0))/VLOOKUP(Terminales[[#This Row],[LOCALES]],[1]!Calendario[#Data],2,0)</f>
        <v>8.9716747379310355</v>
      </c>
      <c r="CI265" s="67">
        <f>Terminales[[#This Row],[PROY. COM. TERMINALES]]+Terminales[[#This Row],[PROY. COM. RENOV.]]+Terminales[[#This Row],[PROY. COM. 2%]]</f>
        <v>53.830048427586206</v>
      </c>
    </row>
    <row r="266" spans="1:87" x14ac:dyDescent="0.25">
      <c r="A266" s="68">
        <v>44926</v>
      </c>
      <c r="B266" s="68">
        <v>44908</v>
      </c>
      <c r="C266" s="18" t="s">
        <v>291</v>
      </c>
      <c r="D266" s="18" t="s">
        <v>78</v>
      </c>
      <c r="E266" s="18" t="s">
        <v>768</v>
      </c>
      <c r="F266" s="18" t="s">
        <v>9707</v>
      </c>
      <c r="G266" s="18" t="s">
        <v>292</v>
      </c>
      <c r="H266" s="18" t="s">
        <v>293</v>
      </c>
      <c r="I266" s="18" t="s">
        <v>9708</v>
      </c>
      <c r="J266" s="18" t="s">
        <v>95</v>
      </c>
      <c r="K266" s="18" t="s">
        <v>7970</v>
      </c>
      <c r="L266" s="18" t="s">
        <v>9709</v>
      </c>
      <c r="M266" s="18" t="s">
        <v>9710</v>
      </c>
      <c r="N266" s="18" t="s">
        <v>9711</v>
      </c>
      <c r="O266" s="18" t="s">
        <v>2260</v>
      </c>
      <c r="P266" s="18" t="s">
        <v>9712</v>
      </c>
      <c r="Q266" s="18" t="s">
        <v>7975</v>
      </c>
      <c r="R266" s="18" t="s">
        <v>7976</v>
      </c>
      <c r="S266" s="18" t="s">
        <v>8010</v>
      </c>
      <c r="T266" s="18" t="s">
        <v>8011</v>
      </c>
      <c r="U266" s="18" t="s">
        <v>8012</v>
      </c>
      <c r="V266" s="18" t="s">
        <v>6963</v>
      </c>
      <c r="W266" s="18" t="s">
        <v>95</v>
      </c>
      <c r="X266" s="18" t="s">
        <v>95</v>
      </c>
      <c r="Y266" s="18" t="s">
        <v>7980</v>
      </c>
      <c r="Z266" s="18" t="s">
        <v>6996</v>
      </c>
      <c r="AA266" s="69">
        <v>1</v>
      </c>
      <c r="AB266" s="18">
        <v>245.53570999999999</v>
      </c>
      <c r="AC266" s="18" t="s">
        <v>9713</v>
      </c>
      <c r="AD266" s="18" t="s">
        <v>7982</v>
      </c>
      <c r="AE266" s="18">
        <v>168.8</v>
      </c>
      <c r="AF266" s="18" t="s">
        <v>7983</v>
      </c>
      <c r="AG266" s="18">
        <v>168.8</v>
      </c>
      <c r="AH266" s="18" t="s">
        <v>95</v>
      </c>
      <c r="AI266" s="18" t="s">
        <v>574</v>
      </c>
      <c r="AJ266" s="18" t="s">
        <v>575</v>
      </c>
      <c r="AK266" s="18">
        <v>17.850000000000001</v>
      </c>
      <c r="AL266" s="18" t="s">
        <v>95</v>
      </c>
      <c r="AM266" s="18" t="s">
        <v>95</v>
      </c>
      <c r="AN266" s="18" t="s">
        <v>7984</v>
      </c>
      <c r="AO266" s="18" t="s">
        <v>139</v>
      </c>
      <c r="AP266" s="20" t="s">
        <v>404</v>
      </c>
      <c r="AQ266" s="18" t="s">
        <v>405</v>
      </c>
      <c r="AR266" s="18" t="s">
        <v>295</v>
      </c>
      <c r="AS266" s="18">
        <v>6</v>
      </c>
      <c r="AT266" s="18" t="s">
        <v>177</v>
      </c>
      <c r="AU266" s="18" t="s">
        <v>90</v>
      </c>
      <c r="AV266" s="18" t="s">
        <v>8014</v>
      </c>
      <c r="AW266" s="18" t="s">
        <v>8015</v>
      </c>
      <c r="AX266" s="18" t="s">
        <v>83</v>
      </c>
      <c r="AY266" s="18" t="s">
        <v>95</v>
      </c>
      <c r="AZ266" s="18" t="s">
        <v>95</v>
      </c>
      <c r="BA266" s="18" t="s">
        <v>95</v>
      </c>
      <c r="BB266" s="18" t="s">
        <v>95</v>
      </c>
      <c r="BC266" s="18" t="s">
        <v>84</v>
      </c>
      <c r="BD266" s="18">
        <v>50</v>
      </c>
      <c r="BE266" s="18" t="s">
        <v>95</v>
      </c>
      <c r="BF266" s="18" t="s">
        <v>95</v>
      </c>
      <c r="BG266" s="18" t="s">
        <v>95</v>
      </c>
      <c r="BH266" s="18" t="s">
        <v>95</v>
      </c>
      <c r="BI266" s="18">
        <v>12</v>
      </c>
      <c r="BJ266" s="18">
        <v>2022</v>
      </c>
      <c r="BK266" s="18" t="s">
        <v>95</v>
      </c>
      <c r="BL266" s="18" t="s">
        <v>95</v>
      </c>
      <c r="BM266" s="18" t="s">
        <v>95</v>
      </c>
      <c r="BN266" s="18" t="s">
        <v>85</v>
      </c>
      <c r="BO266" s="18" t="s">
        <v>86</v>
      </c>
      <c r="BP266" s="18" t="s">
        <v>90</v>
      </c>
      <c r="BQ266" s="18" t="s">
        <v>8002</v>
      </c>
      <c r="BR266" s="18" t="s">
        <v>139</v>
      </c>
      <c r="BS266" s="18" t="s">
        <v>8027</v>
      </c>
      <c r="BT266" s="18" t="s">
        <v>7989</v>
      </c>
      <c r="BU266" s="18" t="s">
        <v>7990</v>
      </c>
      <c r="BV266" s="18" t="str">
        <f>Terminales[[#This Row],[IMEI]]&amp;"SI"</f>
        <v>359694275282199SI</v>
      </c>
      <c r="BW266" s="18" t="str">
        <f>VLOOKUP(Terminales[[#This Row],[OFICINA_USUARIO]],[1]!Locales[#Data],3,0)</f>
        <v>TIENDA RECREO</v>
      </c>
      <c r="BX266" s="18" t="str">
        <f>VLOOKUP(Terminales[[#This Row],[USUARIO_FINAL]],'[1]Personal Ppto vs Real'!$A:$F,6,0)</f>
        <v>OTERO YEPEZ ANDREA SOLEDAD</v>
      </c>
      <c r="BY26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6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66" s="18">
        <f>DAY(Terminales[[#This Row],[FECHA_FACTURA]])</f>
        <v>13</v>
      </c>
      <c r="CB266" s="65">
        <f>IF(Terminales[[#This Row],[CANTIDAD]] = 1,INDEX([1]!Comisiones[#Data],MATCH("Terminales",[1]!Comisiones[Producto],0),MATCH(Terminales[[#This Row],[TIPO ALTA COMISIONES]],[1]!Comisiones[#Headers],0))*Terminales[[#This Row],[MONTO]],0)</f>
        <v>19.642856800000001</v>
      </c>
      <c r="CC266" s="65">
        <f>IFERROR(IF(AND(Terminales[[#This Row],[CANTIDAD]] = 1,Terminales[[#This Row],[MOVIMIENTO]] = "RENOVACION"),Terminales[[#This Row],[TARIFA_BASICA]]*0.5,),)</f>
        <v>8.9250000000000007</v>
      </c>
      <c r="CD266" s="65">
        <f>IF('[1]Resumen TM'!$AW$20 &lt; 0.4,0,Terminales[[#This Row],[MONTO]]*0.02)</f>
        <v>4.9107142000000001</v>
      </c>
      <c r="CE266" s="66">
        <f>Terminales[[#This Row],[COMISIONES TERMINALES]]+Terminales[[#This Row],[COMISIONES RENOVACIONES]]+Terminales[[#This Row],[COMISIONES BONO]]</f>
        <v>33.478571000000002</v>
      </c>
      <c r="CF266" s="67">
        <f>(Terminales[[#This Row],[COMISIONES TERMINALES]]*VLOOKUP(Terminales[[#This Row],[LOCALES]],[1]!Calendario[#Data],3,0))/VLOOKUP(Terminales[[#This Row],[LOCALES]],[1]!Calendario[#Data],2,0)</f>
        <v>32.315667638709677</v>
      </c>
      <c r="CG266" s="67">
        <f>(Terminales[[#This Row],[COMISIONES RENOVACIONES]]*VLOOKUP(Terminales[[#This Row],[LOCALES]],[1]!Calendario[#Data],3,0))/VLOOKUP(Terminales[[#This Row],[LOCALES]],[1]!Calendario[#Data],2,0)</f>
        <v>14.683064516129033</v>
      </c>
      <c r="CH266" s="67">
        <f>(Terminales[[#This Row],[COMISIONES BONO]]*VLOOKUP(Terminales[[#This Row],[LOCALES]],[1]!Calendario[#Data],3,0))/VLOOKUP(Terminales[[#This Row],[LOCALES]],[1]!Calendario[#Data],2,0)</f>
        <v>8.0789169096774192</v>
      </c>
      <c r="CI266" s="67">
        <f>Terminales[[#This Row],[PROY. COM. TERMINALES]]+Terminales[[#This Row],[PROY. COM. RENOV.]]+Terminales[[#This Row],[PROY. COM. 2%]]</f>
        <v>55.077649064516123</v>
      </c>
    </row>
    <row r="267" spans="1:87" x14ac:dyDescent="0.25">
      <c r="A267" s="68">
        <v>44926</v>
      </c>
      <c r="B267" s="68">
        <v>44908</v>
      </c>
      <c r="C267" s="18" t="s">
        <v>291</v>
      </c>
      <c r="D267" s="18" t="s">
        <v>78</v>
      </c>
      <c r="E267" s="18" t="s">
        <v>2241</v>
      </c>
      <c r="F267" s="18" t="s">
        <v>9714</v>
      </c>
      <c r="G267" s="18" t="s">
        <v>292</v>
      </c>
      <c r="H267" s="18" t="s">
        <v>293</v>
      </c>
      <c r="I267" s="18" t="s">
        <v>9715</v>
      </c>
      <c r="J267" s="18" t="s">
        <v>95</v>
      </c>
      <c r="K267" s="18" t="s">
        <v>7970</v>
      </c>
      <c r="L267" s="18" t="s">
        <v>9716</v>
      </c>
      <c r="M267" s="18" t="s">
        <v>9717</v>
      </c>
      <c r="N267" s="18" t="s">
        <v>9718</v>
      </c>
      <c r="O267" s="18" t="s">
        <v>8379</v>
      </c>
      <c r="P267" s="18" t="s">
        <v>9719</v>
      </c>
      <c r="Q267" s="18" t="s">
        <v>7975</v>
      </c>
      <c r="R267" s="18" t="s">
        <v>7976</v>
      </c>
      <c r="S267" s="18" t="s">
        <v>8010</v>
      </c>
      <c r="T267" s="18" t="s">
        <v>8381</v>
      </c>
      <c r="U267" s="18" t="s">
        <v>7979</v>
      </c>
      <c r="V267" s="18" t="s">
        <v>6963</v>
      </c>
      <c r="W267" s="18" t="s">
        <v>95</v>
      </c>
      <c r="X267" s="18" t="s">
        <v>95</v>
      </c>
      <c r="Y267" s="18" t="s">
        <v>7980</v>
      </c>
      <c r="Z267" s="18" t="s">
        <v>6996</v>
      </c>
      <c r="AA267" s="69">
        <v>1</v>
      </c>
      <c r="AB267" s="18">
        <v>437.5</v>
      </c>
      <c r="AC267" s="18" t="s">
        <v>9720</v>
      </c>
      <c r="AD267" s="18" t="s">
        <v>7982</v>
      </c>
      <c r="AE267" s="18">
        <v>291.2</v>
      </c>
      <c r="AF267" s="18" t="s">
        <v>7983</v>
      </c>
      <c r="AG267" s="18">
        <v>291.2</v>
      </c>
      <c r="AH267" s="18" t="s">
        <v>95</v>
      </c>
      <c r="AI267" s="18" t="s">
        <v>71</v>
      </c>
      <c r="AJ267" s="18" t="s">
        <v>258</v>
      </c>
      <c r="AK267" s="18">
        <v>11.42</v>
      </c>
      <c r="AL267" s="18" t="s">
        <v>95</v>
      </c>
      <c r="AM267" s="18" t="s">
        <v>95</v>
      </c>
      <c r="AN267" s="18" t="s">
        <v>7984</v>
      </c>
      <c r="AO267" s="18" t="s">
        <v>92</v>
      </c>
      <c r="AP267" s="20" t="s">
        <v>88</v>
      </c>
      <c r="AQ267" s="18" t="s">
        <v>89</v>
      </c>
      <c r="AR267" s="18" t="s">
        <v>295</v>
      </c>
      <c r="AS267" s="18">
        <v>18</v>
      </c>
      <c r="AT267" s="18" t="s">
        <v>91</v>
      </c>
      <c r="AU267" s="18" t="s">
        <v>90</v>
      </c>
      <c r="AV267" s="18" t="s">
        <v>8383</v>
      </c>
      <c r="AW267" s="18" t="s">
        <v>8384</v>
      </c>
      <c r="AX267" s="18" t="s">
        <v>83</v>
      </c>
      <c r="AY267" s="18" t="s">
        <v>95</v>
      </c>
      <c r="AZ267" s="18" t="s">
        <v>95</v>
      </c>
      <c r="BA267" s="18" t="s">
        <v>95</v>
      </c>
      <c r="BB267" s="18" t="s">
        <v>95</v>
      </c>
      <c r="BC267" s="18" t="s">
        <v>118</v>
      </c>
      <c r="BD267" s="18">
        <v>87.5</v>
      </c>
      <c r="BE267" s="18" t="s">
        <v>95</v>
      </c>
      <c r="BF267" s="18" t="s">
        <v>95</v>
      </c>
      <c r="BG267" s="18" t="s">
        <v>95</v>
      </c>
      <c r="BH267" s="18" t="s">
        <v>95</v>
      </c>
      <c r="BI267" s="18">
        <v>12</v>
      </c>
      <c r="BJ267" s="18">
        <v>2022</v>
      </c>
      <c r="BK267" s="18" t="s">
        <v>95</v>
      </c>
      <c r="BL267" s="18" t="s">
        <v>95</v>
      </c>
      <c r="BM267" s="18" t="s">
        <v>95</v>
      </c>
      <c r="BN267" s="18" t="s">
        <v>85</v>
      </c>
      <c r="BO267" s="18" t="s">
        <v>86</v>
      </c>
      <c r="BP267" s="18" t="s">
        <v>90</v>
      </c>
      <c r="BQ267" s="18" t="s">
        <v>8106</v>
      </c>
      <c r="BR267" s="18" t="s">
        <v>92</v>
      </c>
      <c r="BS267" s="18" t="s">
        <v>8329</v>
      </c>
      <c r="BT267" s="18" t="s">
        <v>7989</v>
      </c>
      <c r="BU267" s="18" t="s">
        <v>7990</v>
      </c>
      <c r="BV267" s="18" t="str">
        <f>Terminales[[#This Row],[IMEI]]&amp;"SI"</f>
        <v>354911551806979SI</v>
      </c>
      <c r="BW267" s="18" t="str">
        <f>VLOOKUP(Terminales[[#This Row],[OFICINA_USUARIO]],[1]!Locales[#Data],3,0)</f>
        <v>TIENDA CUENCA CENTRO</v>
      </c>
      <c r="BX267" s="18" t="str">
        <f>VLOOKUP(Terminales[[#This Row],[USUARIO_FINAL]],'[1]Personal Ppto vs Real'!$A:$F,6,0)</f>
        <v>ANDRADE CONDO CHRISTIAN EDUARDO</v>
      </c>
      <c r="BY26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6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18</v>
      </c>
      <c r="CA267" s="18">
        <f>DAY(Terminales[[#This Row],[FECHA_FACTURA]])</f>
        <v>13</v>
      </c>
      <c r="CB267" s="65">
        <f>IF(Terminales[[#This Row],[CANTIDAD]] = 1,INDEX([1]!Comisiones[#Data],MATCH("Terminales",[1]!Comisiones[Producto],0),MATCH(Terminales[[#This Row],[TIPO ALTA COMISIONES]],[1]!Comisiones[#Headers],0))*Terminales[[#This Row],[MONTO]],0)</f>
        <v>13.125</v>
      </c>
      <c r="CC267" s="65">
        <f>IFERROR(IF(AND(Terminales[[#This Row],[CANTIDAD]] = 1,Terminales[[#This Row],[MOVIMIENTO]] = "RENOVACION"),Terminales[[#This Row],[TARIFA_BASICA]]*0.5,),)</f>
        <v>5.71</v>
      </c>
      <c r="CD267" s="65">
        <f>IF('[1]Resumen TM'!$AW$20 &lt; 0.4,0,Terminales[[#This Row],[MONTO]]*0.02)</f>
        <v>8.75</v>
      </c>
      <c r="CE267" s="66">
        <f>Terminales[[#This Row],[COMISIONES TERMINALES]]+Terminales[[#This Row],[COMISIONES RENOVACIONES]]+Terminales[[#This Row],[COMISIONES BONO]]</f>
        <v>27.585000000000001</v>
      </c>
      <c r="CF267" s="67">
        <f>(Terminales[[#This Row],[COMISIONES TERMINALES]]*VLOOKUP(Terminales[[#This Row],[LOCALES]],[1]!Calendario[#Data],3,0))/VLOOKUP(Terminales[[#This Row],[LOCALES]],[1]!Calendario[#Data],2,0)</f>
        <v>21.271551724137932</v>
      </c>
      <c r="CG267" s="67">
        <f>(Terminales[[#This Row],[COMISIONES RENOVACIONES]]*VLOOKUP(Terminales[[#This Row],[LOCALES]],[1]!Calendario[#Data],3,0))/VLOOKUP(Terminales[[#This Row],[LOCALES]],[1]!Calendario[#Data],2,0)</f>
        <v>9.2541379310344833</v>
      </c>
      <c r="CH267" s="67">
        <f>(Terminales[[#This Row],[COMISIONES BONO]]*VLOOKUP(Terminales[[#This Row],[LOCALES]],[1]!Calendario[#Data],3,0))/VLOOKUP(Terminales[[#This Row],[LOCALES]],[1]!Calendario[#Data],2,0)</f>
        <v>14.181034482758621</v>
      </c>
      <c r="CI267" s="67">
        <f>Terminales[[#This Row],[PROY. COM. TERMINALES]]+Terminales[[#This Row],[PROY. COM. RENOV.]]+Terminales[[#This Row],[PROY. COM. 2%]]</f>
        <v>44.706724137931033</v>
      </c>
    </row>
    <row r="268" spans="1:87" x14ac:dyDescent="0.25">
      <c r="A268" s="68">
        <v>44926</v>
      </c>
      <c r="B268" s="68">
        <v>44908</v>
      </c>
      <c r="C268" s="18" t="s">
        <v>96</v>
      </c>
      <c r="D268" s="18" t="s">
        <v>96</v>
      </c>
      <c r="E268" s="18" t="s">
        <v>96</v>
      </c>
      <c r="F268" s="18" t="s">
        <v>9721</v>
      </c>
      <c r="G268" s="18" t="s">
        <v>292</v>
      </c>
      <c r="H268" s="18" t="s">
        <v>494</v>
      </c>
      <c r="I268" s="18" t="s">
        <v>9722</v>
      </c>
      <c r="J268" s="18" t="s">
        <v>95</v>
      </c>
      <c r="K268" s="18" t="s">
        <v>7970</v>
      </c>
      <c r="L268" s="18" t="s">
        <v>9723</v>
      </c>
      <c r="M268" s="18" t="s">
        <v>9724</v>
      </c>
      <c r="N268" s="18" t="s">
        <v>9725</v>
      </c>
      <c r="O268" s="18" t="s">
        <v>1691</v>
      </c>
      <c r="P268" s="18" t="s">
        <v>9726</v>
      </c>
      <c r="Q268" s="18" t="s">
        <v>7975</v>
      </c>
      <c r="R268" s="18" t="s">
        <v>7976</v>
      </c>
      <c r="S268" s="18" t="s">
        <v>8045</v>
      </c>
      <c r="T268" s="18" t="s">
        <v>8225</v>
      </c>
      <c r="U268" s="18" t="s">
        <v>8012</v>
      </c>
      <c r="V268" s="18" t="s">
        <v>6963</v>
      </c>
      <c r="W268" s="18" t="s">
        <v>95</v>
      </c>
      <c r="X268" s="18" t="s">
        <v>95</v>
      </c>
      <c r="Y268" s="18" t="s">
        <v>7980</v>
      </c>
      <c r="Z268" s="18" t="s">
        <v>6996</v>
      </c>
      <c r="AA268" s="69">
        <v>1</v>
      </c>
      <c r="AB268" s="18">
        <v>241.07142999999999</v>
      </c>
      <c r="AC268" s="18" t="s">
        <v>9727</v>
      </c>
      <c r="AD268" s="18" t="s">
        <v>96</v>
      </c>
      <c r="AE268" s="18">
        <v>232</v>
      </c>
      <c r="AF268" s="18" t="s">
        <v>7983</v>
      </c>
      <c r="AG268" s="18">
        <v>232</v>
      </c>
      <c r="AH268" s="18" t="s">
        <v>95</v>
      </c>
      <c r="AI268" s="18" t="s">
        <v>8102</v>
      </c>
      <c r="AJ268" s="18" t="s">
        <v>8103</v>
      </c>
      <c r="AK268" s="18" t="s">
        <v>95</v>
      </c>
      <c r="AL268" s="18" t="s">
        <v>95</v>
      </c>
      <c r="AM268" s="18" t="s">
        <v>95</v>
      </c>
      <c r="AN268" s="18" t="s">
        <v>7984</v>
      </c>
      <c r="AO268" s="18" t="s">
        <v>139</v>
      </c>
      <c r="AP268" s="20" t="s">
        <v>404</v>
      </c>
      <c r="AQ268" s="18" t="s">
        <v>405</v>
      </c>
      <c r="AR268" s="18" t="s">
        <v>496</v>
      </c>
      <c r="AS268" s="18">
        <v>1</v>
      </c>
      <c r="AT268" s="18" t="s">
        <v>177</v>
      </c>
      <c r="AU268" s="18" t="s">
        <v>90</v>
      </c>
      <c r="AV268" s="18" t="s">
        <v>8228</v>
      </c>
      <c r="AW268" s="18" t="s">
        <v>8229</v>
      </c>
      <c r="AX268" s="18" t="s">
        <v>83</v>
      </c>
      <c r="AY268" s="18" t="s">
        <v>95</v>
      </c>
      <c r="AZ268" s="18" t="s">
        <v>95</v>
      </c>
      <c r="BA268" s="18" t="s">
        <v>95</v>
      </c>
      <c r="BB268" s="18" t="s">
        <v>95</v>
      </c>
      <c r="BC268" s="18" t="s">
        <v>95</v>
      </c>
      <c r="BD268" s="18" t="s">
        <v>95</v>
      </c>
      <c r="BE268" s="18" t="s">
        <v>8476</v>
      </c>
      <c r="BF268" s="18" t="s">
        <v>8064</v>
      </c>
      <c r="BG268" s="18" t="s">
        <v>95</v>
      </c>
      <c r="BH268" s="18" t="s">
        <v>95</v>
      </c>
      <c r="BI268" s="18">
        <v>12</v>
      </c>
      <c r="BJ268" s="18">
        <v>2022</v>
      </c>
      <c r="BK268" s="18" t="s">
        <v>95</v>
      </c>
      <c r="BL268" s="18" t="s">
        <v>95</v>
      </c>
      <c r="BM268" s="18" t="s">
        <v>95</v>
      </c>
      <c r="BN268" s="18" t="s">
        <v>85</v>
      </c>
      <c r="BO268" s="18" t="s">
        <v>86</v>
      </c>
      <c r="BP268" s="18" t="s">
        <v>90</v>
      </c>
      <c r="BQ268" s="18" t="s">
        <v>8002</v>
      </c>
      <c r="BR268" s="18" t="s">
        <v>139</v>
      </c>
      <c r="BS268" s="18" t="s">
        <v>8003</v>
      </c>
      <c r="BT268" s="18" t="s">
        <v>7989</v>
      </c>
      <c r="BU268" s="18" t="s">
        <v>496</v>
      </c>
      <c r="BV268" s="18" t="str">
        <f>Terminales[[#This Row],[IMEI]]&amp;"SI"</f>
        <v>356795951302137SI</v>
      </c>
      <c r="BW268" s="18" t="str">
        <f>VLOOKUP(Terminales[[#This Row],[OFICINA_USUARIO]],[1]!Locales[#Data],3,0)</f>
        <v>TIENDA RECREO</v>
      </c>
      <c r="BX268" s="18" t="str">
        <f>VLOOKUP(Terminales[[#This Row],[USUARIO_FINAL]],'[1]Personal Ppto vs Real'!$A:$F,6,0)</f>
        <v>OTERO YEPEZ ANDREA SOLEDAD</v>
      </c>
      <c r="BY268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6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68" s="18">
        <f>DAY(Terminales[[#This Row],[FECHA_FACTURA]])</f>
        <v>13</v>
      </c>
      <c r="CB268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68" s="65">
        <f>IFERROR(IF(AND(Terminales[[#This Row],[CANTIDAD]] = 1,Terminales[[#This Row],[MOVIMIENTO]] = "RENOVACION"),Terminales[[#This Row],[TARIFA_BASICA]]*0.5,),)</f>
        <v>0</v>
      </c>
      <c r="CD268" s="65">
        <f>IF('[1]Resumen TM'!$AW$20 &lt; 0.4,0,Terminales[[#This Row],[MONTO]]*0.02)</f>
        <v>4.8214286</v>
      </c>
      <c r="CE268" s="66">
        <f>Terminales[[#This Row],[COMISIONES TERMINALES]]+Terminales[[#This Row],[COMISIONES RENOVACIONES]]+Terminales[[#This Row],[COMISIONES BONO]]</f>
        <v>28.928571600000001</v>
      </c>
      <c r="CF268" s="67">
        <f>(Terminales[[#This Row],[COMISIONES TERMINALES]]*VLOOKUP(Terminales[[#This Row],[LOCALES]],[1]!Calendario[#Data],3,0))/VLOOKUP(Terminales[[#This Row],[LOCALES]],[1]!Calendario[#Data],2,0)</f>
        <v>39.660138483870966</v>
      </c>
      <c r="CG268" s="67">
        <f>(Terminales[[#This Row],[COMISIONES RENOVACIONES]]*VLOOKUP(Terminales[[#This Row],[LOCALES]],[1]!Calendario[#Data],3,0))/VLOOKUP(Terminales[[#This Row],[LOCALES]],[1]!Calendario[#Data],2,0)</f>
        <v>0</v>
      </c>
      <c r="CH268" s="67">
        <f>(Terminales[[#This Row],[COMISIONES BONO]]*VLOOKUP(Terminales[[#This Row],[LOCALES]],[1]!Calendario[#Data],3,0))/VLOOKUP(Terminales[[#This Row],[LOCALES]],[1]!Calendario[#Data],2,0)</f>
        <v>7.9320276967741936</v>
      </c>
      <c r="CI268" s="67">
        <f>Terminales[[#This Row],[PROY. COM. TERMINALES]]+Terminales[[#This Row],[PROY. COM. RENOV.]]+Terminales[[#This Row],[PROY. COM. 2%]]</f>
        <v>47.592166180645158</v>
      </c>
    </row>
    <row r="269" spans="1:87" x14ac:dyDescent="0.25">
      <c r="A269" s="68">
        <v>44926</v>
      </c>
      <c r="B269" s="68">
        <v>44908</v>
      </c>
      <c r="C269" s="18" t="s">
        <v>291</v>
      </c>
      <c r="D269" s="18" t="s">
        <v>78</v>
      </c>
      <c r="E269" s="18" t="s">
        <v>2241</v>
      </c>
      <c r="F269" s="18" t="s">
        <v>9728</v>
      </c>
      <c r="G269" s="18" t="s">
        <v>292</v>
      </c>
      <c r="H269" s="18" t="s">
        <v>293</v>
      </c>
      <c r="I269" s="18" t="s">
        <v>9729</v>
      </c>
      <c r="J269" s="18" t="s">
        <v>95</v>
      </c>
      <c r="K269" s="18" t="s">
        <v>7970</v>
      </c>
      <c r="L269" s="18" t="s">
        <v>5781</v>
      </c>
      <c r="M269" s="18" t="s">
        <v>5782</v>
      </c>
      <c r="N269" s="18" t="s">
        <v>5783</v>
      </c>
      <c r="O269" s="18" t="s">
        <v>338</v>
      </c>
      <c r="P269" s="18" t="s">
        <v>9730</v>
      </c>
      <c r="Q269" s="18" t="s">
        <v>7975</v>
      </c>
      <c r="R269" s="18" t="s">
        <v>7976</v>
      </c>
      <c r="S269" s="18" t="s">
        <v>7977</v>
      </c>
      <c r="T269" s="18" t="s">
        <v>7978</v>
      </c>
      <c r="U269" s="18" t="s">
        <v>7979</v>
      </c>
      <c r="V269" s="18" t="s">
        <v>6963</v>
      </c>
      <c r="W269" s="18" t="s">
        <v>95</v>
      </c>
      <c r="X269" s="18" t="s">
        <v>95</v>
      </c>
      <c r="Y269" s="18" t="s">
        <v>7980</v>
      </c>
      <c r="Z269" s="18" t="s">
        <v>6996</v>
      </c>
      <c r="AA269" s="69">
        <v>1</v>
      </c>
      <c r="AB269" s="18">
        <v>383.92856999999998</v>
      </c>
      <c r="AC269" s="18" t="s">
        <v>9731</v>
      </c>
      <c r="AD269" s="18" t="s">
        <v>7982</v>
      </c>
      <c r="AE269" s="18">
        <v>235</v>
      </c>
      <c r="AF269" s="18" t="s">
        <v>7983</v>
      </c>
      <c r="AG269" s="18">
        <v>235</v>
      </c>
      <c r="AH269" s="18" t="s">
        <v>95</v>
      </c>
      <c r="AI269" s="18" t="s">
        <v>7127</v>
      </c>
      <c r="AJ269" s="18" t="s">
        <v>7128</v>
      </c>
      <c r="AK269" s="18">
        <v>13.79</v>
      </c>
      <c r="AL269" s="18" t="s">
        <v>95</v>
      </c>
      <c r="AM269" s="18" t="s">
        <v>95</v>
      </c>
      <c r="AN269" s="18" t="s">
        <v>7984</v>
      </c>
      <c r="AO269" s="18" t="s">
        <v>139</v>
      </c>
      <c r="AP269" s="20" t="s">
        <v>478</v>
      </c>
      <c r="AQ269" s="18" t="s">
        <v>479</v>
      </c>
      <c r="AR269" s="18" t="s">
        <v>3771</v>
      </c>
      <c r="AS269" s="18">
        <v>12</v>
      </c>
      <c r="AT269" s="18" t="s">
        <v>138</v>
      </c>
      <c r="AU269" s="18" t="s">
        <v>90</v>
      </c>
      <c r="AV269" s="18" t="s">
        <v>7985</v>
      </c>
      <c r="AW269" s="18" t="s">
        <v>7986</v>
      </c>
      <c r="AX269" s="18" t="s">
        <v>83</v>
      </c>
      <c r="AY269" s="18" t="s">
        <v>95</v>
      </c>
      <c r="AZ269" s="18" t="s">
        <v>95</v>
      </c>
      <c r="BA269" s="18" t="s">
        <v>95</v>
      </c>
      <c r="BB269" s="18" t="s">
        <v>95</v>
      </c>
      <c r="BC269" s="18" t="s">
        <v>118</v>
      </c>
      <c r="BD269" s="18" t="s">
        <v>95</v>
      </c>
      <c r="BE269" s="18" t="s">
        <v>95</v>
      </c>
      <c r="BF269" s="18" t="s">
        <v>95</v>
      </c>
      <c r="BG269" s="18" t="s">
        <v>95</v>
      </c>
      <c r="BH269" s="18" t="s">
        <v>95</v>
      </c>
      <c r="BI269" s="18">
        <v>12</v>
      </c>
      <c r="BJ269" s="18">
        <v>2022</v>
      </c>
      <c r="BK269" s="18" t="s">
        <v>95</v>
      </c>
      <c r="BL269" s="18" t="s">
        <v>95</v>
      </c>
      <c r="BM269" s="18" t="s">
        <v>95</v>
      </c>
      <c r="BN269" s="18" t="s">
        <v>85</v>
      </c>
      <c r="BO269" s="18" t="s">
        <v>86</v>
      </c>
      <c r="BP269" s="18" t="s">
        <v>90</v>
      </c>
      <c r="BQ269" s="18" t="s">
        <v>7987</v>
      </c>
      <c r="BR269" s="18" t="s">
        <v>139</v>
      </c>
      <c r="BS269" s="18" t="s">
        <v>7988</v>
      </c>
      <c r="BT269" s="18" t="s">
        <v>7989</v>
      </c>
      <c r="BU269" s="18" t="s">
        <v>7990</v>
      </c>
      <c r="BV269" s="18" t="str">
        <f>Terminales[[#This Row],[IMEI]]&amp;"SI"</f>
        <v>866184060683419SI</v>
      </c>
      <c r="BW269" s="18" t="str">
        <f>VLOOKUP(Terminales[[#This Row],[OFICINA_USUARIO]],[1]!Locales[#Data],3,0)</f>
        <v>TIENDA AMERICA</v>
      </c>
      <c r="BX269" s="18" t="str">
        <f>VLOOKUP(Terminales[[#This Row],[USUARIO_FINAL]],'[1]Personal Ppto vs Real'!$A:$F,6,0)</f>
        <v>REINO TUFINO PAULTEH KATHERINE</v>
      </c>
      <c r="BY269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6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12</v>
      </c>
      <c r="CA269" s="18">
        <f>DAY(Terminales[[#This Row],[FECHA_FACTURA]])</f>
        <v>13</v>
      </c>
      <c r="CB269" s="65">
        <f>IF(Terminales[[#This Row],[CANTIDAD]] = 1,INDEX([1]!Comisiones[#Data],MATCH("Terminales",[1]!Comisiones[Producto],0),MATCH(Terminales[[#This Row],[TIPO ALTA COMISIONES]],[1]!Comisiones[#Headers],0))*Terminales[[#This Row],[MONTO]],0)</f>
        <v>23.035714199999997</v>
      </c>
      <c r="CC269" s="65">
        <f>IFERROR(IF(AND(Terminales[[#This Row],[CANTIDAD]] = 1,Terminales[[#This Row],[MOVIMIENTO]] = "RENOVACION"),Terminales[[#This Row],[TARIFA_BASICA]]*0.5,),)</f>
        <v>6.8949999999999996</v>
      </c>
      <c r="CD269" s="65">
        <f>IF('[1]Resumen TM'!$AW$20 &lt; 0.4,0,Terminales[[#This Row],[MONTO]]*0.02)</f>
        <v>7.6785714</v>
      </c>
      <c r="CE269" s="66">
        <f>Terminales[[#This Row],[COMISIONES TERMINALES]]+Terminales[[#This Row],[COMISIONES RENOVACIONES]]+Terminales[[#This Row],[COMISIONES BONO]]</f>
        <v>37.6092856</v>
      </c>
      <c r="CF269" s="67">
        <f>(Terminales[[#This Row],[COMISIONES TERMINALES]]*VLOOKUP(Terminales[[#This Row],[LOCALES]],[1]!Calendario[#Data],3,0))/VLOOKUP(Terminales[[#This Row],[LOCALES]],[1]!Calendario[#Data],2,0)</f>
        <v>37.844387614285715</v>
      </c>
      <c r="CG269" s="67">
        <f>(Terminales[[#This Row],[COMISIONES RENOVACIONES]]*VLOOKUP(Terminales[[#This Row],[LOCALES]],[1]!Calendario[#Data],3,0))/VLOOKUP(Terminales[[#This Row],[LOCALES]],[1]!Calendario[#Data],2,0)</f>
        <v>11.327499999999999</v>
      </c>
      <c r="CH269" s="67">
        <f>(Terminales[[#This Row],[COMISIONES BONO]]*VLOOKUP(Terminales[[#This Row],[LOCALES]],[1]!Calendario[#Data],3,0))/VLOOKUP(Terminales[[#This Row],[LOCALES]],[1]!Calendario[#Data],2,0)</f>
        <v>12.614795871428571</v>
      </c>
      <c r="CI269" s="67">
        <f>Terminales[[#This Row],[PROY. COM. TERMINALES]]+Terminales[[#This Row],[PROY. COM. RENOV.]]+Terminales[[#This Row],[PROY. COM. 2%]]</f>
        <v>61.786683485714285</v>
      </c>
    </row>
    <row r="270" spans="1:87" x14ac:dyDescent="0.25">
      <c r="A270" s="68">
        <v>44926</v>
      </c>
      <c r="B270" s="68">
        <v>44908</v>
      </c>
      <c r="C270" s="18" t="s">
        <v>291</v>
      </c>
      <c r="D270" s="18" t="s">
        <v>78</v>
      </c>
      <c r="E270" s="18" t="s">
        <v>2241</v>
      </c>
      <c r="F270" s="18" t="s">
        <v>5780</v>
      </c>
      <c r="G270" s="18" t="s">
        <v>292</v>
      </c>
      <c r="H270" s="18" t="s">
        <v>293</v>
      </c>
      <c r="I270" s="18" t="s">
        <v>9732</v>
      </c>
      <c r="J270" s="18" t="s">
        <v>95</v>
      </c>
      <c r="K270" s="18" t="s">
        <v>7970</v>
      </c>
      <c r="L270" s="18" t="s">
        <v>5781</v>
      </c>
      <c r="M270" s="18" t="s">
        <v>5782</v>
      </c>
      <c r="N270" s="18" t="s">
        <v>5783</v>
      </c>
      <c r="O270" s="18" t="s">
        <v>5786</v>
      </c>
      <c r="P270" s="18" t="s">
        <v>5784</v>
      </c>
      <c r="Q270" s="18" t="s">
        <v>7975</v>
      </c>
      <c r="R270" s="18" t="s">
        <v>7976</v>
      </c>
      <c r="S270" s="18" t="s">
        <v>7977</v>
      </c>
      <c r="T270" s="18" t="s">
        <v>7978</v>
      </c>
      <c r="U270" s="18" t="s">
        <v>7979</v>
      </c>
      <c r="V270" s="18" t="s">
        <v>6963</v>
      </c>
      <c r="W270" s="18" t="s">
        <v>95</v>
      </c>
      <c r="X270" s="18" t="s">
        <v>95</v>
      </c>
      <c r="Y270" s="18" t="s">
        <v>7980</v>
      </c>
      <c r="Z270" s="18" t="s">
        <v>6996</v>
      </c>
      <c r="AA270" s="69">
        <v>1</v>
      </c>
      <c r="AB270" s="18">
        <v>339.28570999999999</v>
      </c>
      <c r="AC270" s="18" t="s">
        <v>9733</v>
      </c>
      <c r="AD270" s="18" t="s">
        <v>8151</v>
      </c>
      <c r="AE270" s="18">
        <v>265</v>
      </c>
      <c r="AF270" s="18" t="s">
        <v>7983</v>
      </c>
      <c r="AG270" s="18">
        <v>265</v>
      </c>
      <c r="AH270" s="18" t="s">
        <v>95</v>
      </c>
      <c r="AI270" s="18" t="s">
        <v>71</v>
      </c>
      <c r="AJ270" s="18" t="s">
        <v>258</v>
      </c>
      <c r="AK270" s="18">
        <v>11.42</v>
      </c>
      <c r="AL270" s="18" t="s">
        <v>95</v>
      </c>
      <c r="AM270" s="18" t="s">
        <v>95</v>
      </c>
      <c r="AN270" s="18" t="s">
        <v>7984</v>
      </c>
      <c r="AO270" s="18" t="s">
        <v>139</v>
      </c>
      <c r="AP270" s="20" t="s">
        <v>478</v>
      </c>
      <c r="AQ270" s="18" t="s">
        <v>479</v>
      </c>
      <c r="AR270" s="18" t="s">
        <v>295</v>
      </c>
      <c r="AS270" s="18">
        <v>6</v>
      </c>
      <c r="AT270" s="18" t="s">
        <v>138</v>
      </c>
      <c r="AU270" s="18" t="s">
        <v>90</v>
      </c>
      <c r="AV270" s="18" t="s">
        <v>9565</v>
      </c>
      <c r="AW270" s="18" t="s">
        <v>9566</v>
      </c>
      <c r="AX270" s="18" t="s">
        <v>83</v>
      </c>
      <c r="AY270" s="18" t="s">
        <v>95</v>
      </c>
      <c r="AZ270" s="18" t="s">
        <v>95</v>
      </c>
      <c r="BA270" s="18" t="s">
        <v>95</v>
      </c>
      <c r="BB270" s="18" t="s">
        <v>95</v>
      </c>
      <c r="BC270" s="18" t="s">
        <v>118</v>
      </c>
      <c r="BD270" s="18">
        <v>100</v>
      </c>
      <c r="BE270" s="18" t="s">
        <v>95</v>
      </c>
      <c r="BF270" s="18" t="s">
        <v>95</v>
      </c>
      <c r="BG270" s="18" t="s">
        <v>95</v>
      </c>
      <c r="BH270" s="18" t="s">
        <v>95</v>
      </c>
      <c r="BI270" s="18">
        <v>12</v>
      </c>
      <c r="BJ270" s="18">
        <v>2022</v>
      </c>
      <c r="BK270" s="18" t="s">
        <v>95</v>
      </c>
      <c r="BL270" s="18" t="s">
        <v>95</v>
      </c>
      <c r="BM270" s="18" t="s">
        <v>95</v>
      </c>
      <c r="BN270" s="18" t="s">
        <v>85</v>
      </c>
      <c r="BO270" s="18" t="s">
        <v>86</v>
      </c>
      <c r="BP270" s="18" t="s">
        <v>90</v>
      </c>
      <c r="BQ270" s="18" t="s">
        <v>7987</v>
      </c>
      <c r="BR270" s="18" t="s">
        <v>139</v>
      </c>
      <c r="BS270" s="18" t="s">
        <v>8027</v>
      </c>
      <c r="BT270" s="18" t="s">
        <v>7989</v>
      </c>
      <c r="BU270" s="18" t="s">
        <v>7990</v>
      </c>
      <c r="BV270" s="18" t="str">
        <f>Terminales[[#This Row],[IMEI]]&amp;"SI"</f>
        <v>864331066174925SI</v>
      </c>
      <c r="BW270" s="18" t="str">
        <f>VLOOKUP(Terminales[[#This Row],[OFICINA_USUARIO]],[1]!Locales[#Data],3,0)</f>
        <v>TIENDA AMERICA</v>
      </c>
      <c r="BX270" s="18" t="str">
        <f>VLOOKUP(Terminales[[#This Row],[USUARIO_FINAL]],'[1]Personal Ppto vs Real'!$A:$F,6,0)</f>
        <v>REINO TUFINO PAULTEH KATHERINE</v>
      </c>
      <c r="BY270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27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 xml:space="preserve">FAC FINANCIADO DIRECTO 6 </v>
      </c>
      <c r="CA270" s="18">
        <f>DAY(Terminales[[#This Row],[FECHA_FACTURA]])</f>
        <v>13</v>
      </c>
      <c r="CB270" s="65">
        <f>IF(Terminales[[#This Row],[CANTIDAD]] = 1,INDEX([1]!Comisiones[#Data],MATCH("Terminales",[1]!Comisiones[Producto],0),MATCH(Terminales[[#This Row],[TIPO ALTA COMISIONES]],[1]!Comisiones[#Headers],0))*Terminales[[#This Row],[MONTO]],0)</f>
        <v>27.142856800000001</v>
      </c>
      <c r="CC270" s="65">
        <f>IFERROR(IF(AND(Terminales[[#This Row],[CANTIDAD]] = 1,Terminales[[#This Row],[MOVIMIENTO]] = "RENOVACION"),Terminales[[#This Row],[TARIFA_BASICA]]*0.5,),)</f>
        <v>0</v>
      </c>
      <c r="CD270" s="65">
        <f>IF('[1]Resumen TM'!$AW$20 &lt; 0.4,0,Terminales[[#This Row],[MONTO]]*0.02)</f>
        <v>6.7857142000000001</v>
      </c>
      <c r="CE270" s="66">
        <f>Terminales[[#This Row],[COMISIONES TERMINALES]]+Terminales[[#This Row],[COMISIONES RENOVACIONES]]+Terminales[[#This Row],[COMISIONES BONO]]</f>
        <v>33.928570999999998</v>
      </c>
      <c r="CF270" s="67">
        <f>(Terminales[[#This Row],[COMISIONES TERMINALES]]*VLOOKUP(Terminales[[#This Row],[LOCALES]],[1]!Calendario[#Data],3,0))/VLOOKUP(Terminales[[#This Row],[LOCALES]],[1]!Calendario[#Data],2,0)</f>
        <v>44.591836171428568</v>
      </c>
      <c r="CG270" s="67">
        <f>(Terminales[[#This Row],[COMISIONES RENOVACIONES]]*VLOOKUP(Terminales[[#This Row],[LOCALES]],[1]!Calendario[#Data],3,0))/VLOOKUP(Terminales[[#This Row],[LOCALES]],[1]!Calendario[#Data],2,0)</f>
        <v>0</v>
      </c>
      <c r="CH270" s="67">
        <f>(Terminales[[#This Row],[COMISIONES BONO]]*VLOOKUP(Terminales[[#This Row],[LOCALES]],[1]!Calendario[#Data],3,0))/VLOOKUP(Terminales[[#This Row],[LOCALES]],[1]!Calendario[#Data],2,0)</f>
        <v>11.147959042857142</v>
      </c>
      <c r="CI270" s="67">
        <f>Terminales[[#This Row],[PROY. COM. TERMINALES]]+Terminales[[#This Row],[PROY. COM. RENOV.]]+Terminales[[#This Row],[PROY. COM. 2%]]</f>
        <v>55.739795214285706</v>
      </c>
    </row>
    <row r="271" spans="1:87" x14ac:dyDescent="0.25">
      <c r="A271" s="68">
        <v>44926</v>
      </c>
      <c r="B271" s="68">
        <v>44908</v>
      </c>
      <c r="C271" s="18" t="s">
        <v>96</v>
      </c>
      <c r="D271" s="18" t="s">
        <v>96</v>
      </c>
      <c r="E271" s="18" t="s">
        <v>96</v>
      </c>
      <c r="F271" s="18" t="s">
        <v>9734</v>
      </c>
      <c r="G271" s="18" t="s">
        <v>292</v>
      </c>
      <c r="H271" s="18" t="s">
        <v>494</v>
      </c>
      <c r="I271" s="18" t="s">
        <v>9735</v>
      </c>
      <c r="J271" s="18" t="s">
        <v>95</v>
      </c>
      <c r="K271" s="18" t="s">
        <v>7970</v>
      </c>
      <c r="L271" s="18" t="s">
        <v>9736</v>
      </c>
      <c r="M271" s="18" t="s">
        <v>9737</v>
      </c>
      <c r="N271" s="18" t="s">
        <v>9738</v>
      </c>
      <c r="O271" s="18" t="s">
        <v>1691</v>
      </c>
      <c r="P271" s="18" t="s">
        <v>9739</v>
      </c>
      <c r="Q271" s="18" t="s">
        <v>7975</v>
      </c>
      <c r="R271" s="18" t="s">
        <v>7976</v>
      </c>
      <c r="S271" s="18" t="s">
        <v>8045</v>
      </c>
      <c r="T271" s="18" t="s">
        <v>8225</v>
      </c>
      <c r="U271" s="18" t="s">
        <v>8012</v>
      </c>
      <c r="V271" s="18" t="s">
        <v>6963</v>
      </c>
      <c r="W271" s="18" t="s">
        <v>95</v>
      </c>
      <c r="X271" s="18" t="s">
        <v>95</v>
      </c>
      <c r="Y271" s="18" t="s">
        <v>7980</v>
      </c>
      <c r="Z271" s="18" t="s">
        <v>6996</v>
      </c>
      <c r="AA271" s="69">
        <v>1</v>
      </c>
      <c r="AB271" s="18">
        <v>241.07142999999999</v>
      </c>
      <c r="AC271" s="18" t="s">
        <v>9740</v>
      </c>
      <c r="AD271" s="18" t="s">
        <v>7982</v>
      </c>
      <c r="AE271" s="18">
        <v>232</v>
      </c>
      <c r="AF271" s="18" t="s">
        <v>7983</v>
      </c>
      <c r="AG271" s="18">
        <v>232</v>
      </c>
      <c r="AH271" s="18" t="s">
        <v>95</v>
      </c>
      <c r="AI271" s="18" t="s">
        <v>8102</v>
      </c>
      <c r="AJ271" s="18" t="s">
        <v>8103</v>
      </c>
      <c r="AK271" s="18" t="s">
        <v>95</v>
      </c>
      <c r="AL271" s="18" t="s">
        <v>95</v>
      </c>
      <c r="AM271" s="18" t="s">
        <v>95</v>
      </c>
      <c r="AN271" s="18" t="s">
        <v>7984</v>
      </c>
      <c r="AO271" s="18" t="s">
        <v>139</v>
      </c>
      <c r="AP271" s="20" t="s">
        <v>175</v>
      </c>
      <c r="AQ271" s="18" t="s">
        <v>176</v>
      </c>
      <c r="AR271" s="18" t="s">
        <v>496</v>
      </c>
      <c r="AS271" s="18">
        <v>1</v>
      </c>
      <c r="AT271" s="18" t="s">
        <v>177</v>
      </c>
      <c r="AU271" s="18" t="s">
        <v>90</v>
      </c>
      <c r="AV271" s="18" t="s">
        <v>8228</v>
      </c>
      <c r="AW271" s="18" t="s">
        <v>8229</v>
      </c>
      <c r="AX271" s="18" t="s">
        <v>83</v>
      </c>
      <c r="AY271" s="18" t="s">
        <v>95</v>
      </c>
      <c r="AZ271" s="18" t="s">
        <v>95</v>
      </c>
      <c r="BA271" s="18" t="s">
        <v>95</v>
      </c>
      <c r="BB271" s="18" t="s">
        <v>95</v>
      </c>
      <c r="BC271" s="18" t="s">
        <v>118</v>
      </c>
      <c r="BD271" s="18" t="s">
        <v>95</v>
      </c>
      <c r="BE271" s="18" t="s">
        <v>8000</v>
      </c>
      <c r="BF271" s="18" t="s">
        <v>8064</v>
      </c>
      <c r="BG271" s="18" t="s">
        <v>95</v>
      </c>
      <c r="BH271" s="18" t="s">
        <v>95</v>
      </c>
      <c r="BI271" s="18">
        <v>12</v>
      </c>
      <c r="BJ271" s="18">
        <v>2022</v>
      </c>
      <c r="BK271" s="18" t="s">
        <v>95</v>
      </c>
      <c r="BL271" s="18" t="s">
        <v>95</v>
      </c>
      <c r="BM271" s="18" t="s">
        <v>95</v>
      </c>
      <c r="BN271" s="18" t="s">
        <v>85</v>
      </c>
      <c r="BO271" s="18" t="s">
        <v>86</v>
      </c>
      <c r="BP271" s="18" t="s">
        <v>90</v>
      </c>
      <c r="BQ271" s="18" t="s">
        <v>8002</v>
      </c>
      <c r="BR271" s="18" t="s">
        <v>139</v>
      </c>
      <c r="BS271" s="18" t="s">
        <v>8003</v>
      </c>
      <c r="BT271" s="18" t="s">
        <v>7989</v>
      </c>
      <c r="BU271" s="18" t="s">
        <v>496</v>
      </c>
      <c r="BV271" s="18" t="str">
        <f>Terminales[[#This Row],[IMEI]]&amp;"SI"</f>
        <v>356795951176580SI</v>
      </c>
      <c r="BW271" s="18" t="str">
        <f>VLOOKUP(Terminales[[#This Row],[OFICINA_USUARIO]],[1]!Locales[#Data],3,0)</f>
        <v>TIENDA RECREO</v>
      </c>
      <c r="BX271" s="18" t="str">
        <f>VLOOKUP(Terminales[[#This Row],[USUARIO_FINAL]],'[1]Personal Ppto vs Real'!$A:$F,6,0)</f>
        <v>VARGAS REYES LUIS EDUARDO</v>
      </c>
      <c r="BY27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7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71" s="18">
        <f>DAY(Terminales[[#This Row],[FECHA_FACTURA]])</f>
        <v>13</v>
      </c>
      <c r="CB271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71" s="65">
        <f>IFERROR(IF(AND(Terminales[[#This Row],[CANTIDAD]] = 1,Terminales[[#This Row],[MOVIMIENTO]] = "RENOVACION"),Terminales[[#This Row],[TARIFA_BASICA]]*0.5,),)</f>
        <v>0</v>
      </c>
      <c r="CD271" s="65">
        <f>IF('[1]Resumen TM'!$AW$20 &lt; 0.4,0,Terminales[[#This Row],[MONTO]]*0.02)</f>
        <v>4.8214286</v>
      </c>
      <c r="CE271" s="66">
        <f>Terminales[[#This Row],[COMISIONES TERMINALES]]+Terminales[[#This Row],[COMISIONES RENOVACIONES]]+Terminales[[#This Row],[COMISIONES BONO]]</f>
        <v>28.928571600000001</v>
      </c>
      <c r="CF271" s="67">
        <f>(Terminales[[#This Row],[COMISIONES TERMINALES]]*VLOOKUP(Terminales[[#This Row],[LOCALES]],[1]!Calendario[#Data],3,0))/VLOOKUP(Terminales[[#This Row],[LOCALES]],[1]!Calendario[#Data],2,0)</f>
        <v>39.660138483870966</v>
      </c>
      <c r="CG271" s="67">
        <f>(Terminales[[#This Row],[COMISIONES RENOVACIONES]]*VLOOKUP(Terminales[[#This Row],[LOCALES]],[1]!Calendario[#Data],3,0))/VLOOKUP(Terminales[[#This Row],[LOCALES]],[1]!Calendario[#Data],2,0)</f>
        <v>0</v>
      </c>
      <c r="CH271" s="67">
        <f>(Terminales[[#This Row],[COMISIONES BONO]]*VLOOKUP(Terminales[[#This Row],[LOCALES]],[1]!Calendario[#Data],3,0))/VLOOKUP(Terminales[[#This Row],[LOCALES]],[1]!Calendario[#Data],2,0)</f>
        <v>7.9320276967741936</v>
      </c>
      <c r="CI271" s="67">
        <f>Terminales[[#This Row],[PROY. COM. TERMINALES]]+Terminales[[#This Row],[PROY. COM. RENOV.]]+Terminales[[#This Row],[PROY. COM. 2%]]</f>
        <v>47.592166180645158</v>
      </c>
    </row>
    <row r="272" spans="1:87" x14ac:dyDescent="0.25">
      <c r="A272" s="68">
        <v>44926</v>
      </c>
      <c r="B272" s="68">
        <v>44908</v>
      </c>
      <c r="C272" s="18" t="s">
        <v>291</v>
      </c>
      <c r="D272" s="18" t="s">
        <v>78</v>
      </c>
      <c r="E272" s="18" t="s">
        <v>231</v>
      </c>
      <c r="F272" s="18" t="s">
        <v>9741</v>
      </c>
      <c r="G272" s="18" t="s">
        <v>292</v>
      </c>
      <c r="H272" s="18" t="s">
        <v>494</v>
      </c>
      <c r="I272" s="18" t="s">
        <v>9742</v>
      </c>
      <c r="J272" s="18" t="s">
        <v>95</v>
      </c>
      <c r="K272" s="18" t="s">
        <v>7970</v>
      </c>
      <c r="L272" s="18" t="s">
        <v>9743</v>
      </c>
      <c r="M272" s="18" t="s">
        <v>9744</v>
      </c>
      <c r="N272" s="18" t="s">
        <v>9745</v>
      </c>
      <c r="O272" s="18" t="s">
        <v>6241</v>
      </c>
      <c r="P272" s="18" t="s">
        <v>9746</v>
      </c>
      <c r="Q272" s="18" t="s">
        <v>7975</v>
      </c>
      <c r="R272" s="18" t="s">
        <v>7976</v>
      </c>
      <c r="S272" s="18" t="s">
        <v>8070</v>
      </c>
      <c r="T272" s="18" t="s">
        <v>8364</v>
      </c>
      <c r="U272" s="18" t="s">
        <v>8012</v>
      </c>
      <c r="V272" s="18" t="s">
        <v>6963</v>
      </c>
      <c r="W272" s="18" t="s">
        <v>95</v>
      </c>
      <c r="X272" s="18" t="s">
        <v>95</v>
      </c>
      <c r="Y272" s="18" t="s">
        <v>7980</v>
      </c>
      <c r="Z272" s="18" t="s">
        <v>6996</v>
      </c>
      <c r="AA272" s="69">
        <v>1</v>
      </c>
      <c r="AB272" s="18">
        <v>281.25</v>
      </c>
      <c r="AC272" s="18" t="s">
        <v>9747</v>
      </c>
      <c r="AD272" s="18" t="s">
        <v>7982</v>
      </c>
      <c r="AE272" s="18">
        <v>269.92</v>
      </c>
      <c r="AF272" s="18" t="s">
        <v>7983</v>
      </c>
      <c r="AG272" s="18">
        <v>269.92</v>
      </c>
      <c r="AH272" s="18" t="s">
        <v>95</v>
      </c>
      <c r="AI272" s="18" t="s">
        <v>7176</v>
      </c>
      <c r="AJ272" s="18" t="s">
        <v>7332</v>
      </c>
      <c r="AK272" s="18">
        <v>16.989999999999998</v>
      </c>
      <c r="AL272" s="18" t="s">
        <v>95</v>
      </c>
      <c r="AM272" s="18" t="s">
        <v>95</v>
      </c>
      <c r="AN272" s="18" t="s">
        <v>7984</v>
      </c>
      <c r="AO272" s="18" t="s">
        <v>139</v>
      </c>
      <c r="AP272" s="20" t="s">
        <v>377</v>
      </c>
      <c r="AQ272" s="18" t="s">
        <v>378</v>
      </c>
      <c r="AR272" s="18" t="s">
        <v>496</v>
      </c>
      <c r="AS272" s="18">
        <v>1</v>
      </c>
      <c r="AT272" s="18" t="s">
        <v>235</v>
      </c>
      <c r="AU272" s="18" t="s">
        <v>90</v>
      </c>
      <c r="AV272" s="18" t="s">
        <v>8366</v>
      </c>
      <c r="AW272" s="18" t="s">
        <v>8367</v>
      </c>
      <c r="AX272" s="18" t="s">
        <v>83</v>
      </c>
      <c r="AY272" s="18" t="s">
        <v>95</v>
      </c>
      <c r="AZ272" s="18" t="s">
        <v>95</v>
      </c>
      <c r="BA272" s="18" t="s">
        <v>95</v>
      </c>
      <c r="BB272" s="18" t="s">
        <v>95</v>
      </c>
      <c r="BC272" s="18" t="s">
        <v>84</v>
      </c>
      <c r="BD272" s="18" t="s">
        <v>95</v>
      </c>
      <c r="BE272" s="18" t="s">
        <v>95</v>
      </c>
      <c r="BF272" s="18" t="s">
        <v>95</v>
      </c>
      <c r="BG272" s="18" t="s">
        <v>95</v>
      </c>
      <c r="BH272" s="18" t="s">
        <v>95</v>
      </c>
      <c r="BI272" s="18">
        <v>12</v>
      </c>
      <c r="BJ272" s="18">
        <v>2022</v>
      </c>
      <c r="BK272" s="18" t="s">
        <v>95</v>
      </c>
      <c r="BL272" s="18" t="s">
        <v>95</v>
      </c>
      <c r="BM272" s="18" t="s">
        <v>95</v>
      </c>
      <c r="BN272" s="18" t="s">
        <v>85</v>
      </c>
      <c r="BO272" s="18" t="s">
        <v>86</v>
      </c>
      <c r="BP272" s="18" t="s">
        <v>90</v>
      </c>
      <c r="BQ272" s="18" t="s">
        <v>8016</v>
      </c>
      <c r="BR272" s="18" t="s">
        <v>139</v>
      </c>
      <c r="BS272" s="18" t="s">
        <v>8074</v>
      </c>
      <c r="BT272" s="18" t="s">
        <v>7989</v>
      </c>
      <c r="BU272" s="18" t="s">
        <v>496</v>
      </c>
      <c r="BV272" s="18" t="str">
        <f>Terminales[[#This Row],[IMEI]]&amp;"SI"</f>
        <v>865954062583143SI</v>
      </c>
      <c r="BW272" s="18" t="str">
        <f>VLOOKUP(Terminales[[#This Row],[OFICINA_USUARIO]],[1]!Locales[#Data],3,0)</f>
        <v>TIENDA CONDADO</v>
      </c>
      <c r="BX272" s="18" t="str">
        <f>VLOOKUP(Terminales[[#This Row],[USUARIO_FINAL]],'[1]Personal Ppto vs Real'!$A:$F,6,0)</f>
        <v>MELCHIADE ISAAC VALMORE</v>
      </c>
      <c r="BY27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7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72" s="18">
        <f>DAY(Terminales[[#This Row],[FECHA_FACTURA]])</f>
        <v>13</v>
      </c>
      <c r="CB272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272" s="65">
        <f>IFERROR(IF(AND(Terminales[[#This Row],[CANTIDAD]] = 1,Terminales[[#This Row],[MOVIMIENTO]] = "RENOVACION"),Terminales[[#This Row],[TARIFA_BASICA]]*0.5,),)</f>
        <v>8.4949999999999992</v>
      </c>
      <c r="CD272" s="65">
        <f>IF('[1]Resumen TM'!$AW$20 &lt; 0.4,0,Terminales[[#This Row],[MONTO]]*0.02)</f>
        <v>5.625</v>
      </c>
      <c r="CE272" s="66">
        <f>Terminales[[#This Row],[COMISIONES TERMINALES]]+Terminales[[#This Row],[COMISIONES RENOVACIONES]]+Terminales[[#This Row],[COMISIONES BONO]]</f>
        <v>42.244999999999997</v>
      </c>
      <c r="CF272" s="67">
        <f>(Terminales[[#This Row],[COMISIONES TERMINALES]]*VLOOKUP(Terminales[[#This Row],[LOCALES]],[1]!Calendario[#Data],3,0))/VLOOKUP(Terminales[[#This Row],[LOCALES]],[1]!Calendario[#Data],2,0)</f>
        <v>46.270161290322584</v>
      </c>
      <c r="CG272" s="67">
        <f>(Terminales[[#This Row],[COMISIONES RENOVACIONES]]*VLOOKUP(Terminales[[#This Row],[LOCALES]],[1]!Calendario[#Data],3,0))/VLOOKUP(Terminales[[#This Row],[LOCALES]],[1]!Calendario[#Data],2,0)</f>
        <v>13.975645161290322</v>
      </c>
      <c r="CH272" s="67">
        <f>(Terminales[[#This Row],[COMISIONES BONO]]*VLOOKUP(Terminales[[#This Row],[LOCALES]],[1]!Calendario[#Data],3,0))/VLOOKUP(Terminales[[#This Row],[LOCALES]],[1]!Calendario[#Data],2,0)</f>
        <v>9.254032258064516</v>
      </c>
      <c r="CI272" s="67">
        <f>Terminales[[#This Row],[PROY. COM. TERMINALES]]+Terminales[[#This Row],[PROY. COM. RENOV.]]+Terminales[[#This Row],[PROY. COM. 2%]]</f>
        <v>69.49983870967742</v>
      </c>
    </row>
    <row r="273" spans="1:87" x14ac:dyDescent="0.25">
      <c r="A273" s="68">
        <v>44926</v>
      </c>
      <c r="B273" s="68">
        <v>44908</v>
      </c>
      <c r="C273" s="18" t="s">
        <v>96</v>
      </c>
      <c r="D273" s="18" t="s">
        <v>96</v>
      </c>
      <c r="E273" s="18" t="s">
        <v>96</v>
      </c>
      <c r="F273" s="18" t="s">
        <v>95</v>
      </c>
      <c r="G273" s="18" t="s">
        <v>292</v>
      </c>
      <c r="H273" s="18" t="s">
        <v>494</v>
      </c>
      <c r="I273" s="18" t="s">
        <v>9748</v>
      </c>
      <c r="J273" s="18" t="s">
        <v>95</v>
      </c>
      <c r="K273" s="18" t="s">
        <v>7970</v>
      </c>
      <c r="L273" s="18" t="s">
        <v>9749</v>
      </c>
      <c r="M273" s="18" t="s">
        <v>9750</v>
      </c>
      <c r="N273" s="18" t="s">
        <v>9751</v>
      </c>
      <c r="O273" s="18" t="s">
        <v>354</v>
      </c>
      <c r="P273" s="18" t="s">
        <v>9752</v>
      </c>
      <c r="Q273" s="18" t="s">
        <v>7975</v>
      </c>
      <c r="R273" s="18" t="s">
        <v>7976</v>
      </c>
      <c r="S273" s="18" t="s">
        <v>8070</v>
      </c>
      <c r="T273" s="18" t="s">
        <v>8071</v>
      </c>
      <c r="U273" s="18" t="s">
        <v>8012</v>
      </c>
      <c r="V273" s="18" t="s">
        <v>6963</v>
      </c>
      <c r="W273" s="18" t="s">
        <v>95</v>
      </c>
      <c r="X273" s="18" t="s">
        <v>95</v>
      </c>
      <c r="Y273" s="18" t="s">
        <v>7980</v>
      </c>
      <c r="Z273" s="18" t="s">
        <v>6996</v>
      </c>
      <c r="AA273" s="69">
        <v>1</v>
      </c>
      <c r="AB273" s="18">
        <v>205.35713999999999</v>
      </c>
      <c r="AC273" s="18" t="s">
        <v>95</v>
      </c>
      <c r="AD273" s="18" t="s">
        <v>96</v>
      </c>
      <c r="AE273" s="18">
        <v>199.79</v>
      </c>
      <c r="AF273" s="18" t="s">
        <v>7983</v>
      </c>
      <c r="AG273" s="18">
        <v>199.79</v>
      </c>
      <c r="AH273" s="18" t="s">
        <v>95</v>
      </c>
      <c r="AI273" s="18" t="s">
        <v>95</v>
      </c>
      <c r="AJ273" s="18" t="s">
        <v>95</v>
      </c>
      <c r="AK273" s="18" t="s">
        <v>95</v>
      </c>
      <c r="AL273" s="18" t="s">
        <v>95</v>
      </c>
      <c r="AM273" s="18" t="s">
        <v>95</v>
      </c>
      <c r="AN273" s="18" t="s">
        <v>7984</v>
      </c>
      <c r="AO273" s="18" t="s">
        <v>139</v>
      </c>
      <c r="AP273" s="20" t="s">
        <v>377</v>
      </c>
      <c r="AQ273" s="18" t="s">
        <v>378</v>
      </c>
      <c r="AR273" s="18" t="s">
        <v>496</v>
      </c>
      <c r="AS273" s="18">
        <v>1</v>
      </c>
      <c r="AT273" s="18" t="s">
        <v>235</v>
      </c>
      <c r="AU273" s="18" t="s">
        <v>90</v>
      </c>
      <c r="AV273" s="18" t="s">
        <v>8072</v>
      </c>
      <c r="AW273" s="18" t="s">
        <v>8073</v>
      </c>
      <c r="AX273" s="18" t="s">
        <v>83</v>
      </c>
      <c r="AY273" s="18" t="s">
        <v>95</v>
      </c>
      <c r="AZ273" s="18" t="s">
        <v>95</v>
      </c>
      <c r="BA273" s="18" t="s">
        <v>95</v>
      </c>
      <c r="BB273" s="18" t="s">
        <v>95</v>
      </c>
      <c r="BC273" s="18" t="s">
        <v>95</v>
      </c>
      <c r="BD273" s="18" t="s">
        <v>95</v>
      </c>
      <c r="BE273" s="18" t="s">
        <v>95</v>
      </c>
      <c r="BF273" s="18" t="s">
        <v>95</v>
      </c>
      <c r="BG273" s="18" t="s">
        <v>95</v>
      </c>
      <c r="BH273" s="18" t="s">
        <v>95</v>
      </c>
      <c r="BI273" s="18">
        <v>12</v>
      </c>
      <c r="BJ273" s="18">
        <v>2022</v>
      </c>
      <c r="BK273" s="18" t="s">
        <v>95</v>
      </c>
      <c r="BL273" s="18" t="s">
        <v>95</v>
      </c>
      <c r="BM273" s="18" t="s">
        <v>95</v>
      </c>
      <c r="BN273" s="18" t="s">
        <v>85</v>
      </c>
      <c r="BO273" s="18" t="s">
        <v>86</v>
      </c>
      <c r="BP273" s="18" t="s">
        <v>90</v>
      </c>
      <c r="BQ273" s="18" t="s">
        <v>8016</v>
      </c>
      <c r="BR273" s="18" t="s">
        <v>139</v>
      </c>
      <c r="BS273" s="18" t="s">
        <v>8074</v>
      </c>
      <c r="BT273" s="18" t="s">
        <v>7989</v>
      </c>
      <c r="BU273" s="18" t="s">
        <v>496</v>
      </c>
      <c r="BV273" s="18" t="str">
        <f>Terminales[[#This Row],[IMEI]]&amp;"SI"</f>
        <v>869113065767643SI</v>
      </c>
      <c r="BW273" s="18" t="str">
        <f>VLOOKUP(Terminales[[#This Row],[OFICINA_USUARIO]],[1]!Locales[#Data],3,0)</f>
        <v>TIENDA CONDADO</v>
      </c>
      <c r="BX273" s="18" t="str">
        <f>VLOOKUP(Terminales[[#This Row],[USUARIO_FINAL]],'[1]Personal Ppto vs Real'!$A:$F,6,0)</f>
        <v>MELCHIADE ISAAC VALMORE</v>
      </c>
      <c r="BY27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7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73" s="18">
        <f>DAY(Terminales[[#This Row],[FECHA_FACTURA]])</f>
        <v>13</v>
      </c>
      <c r="CB273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273" s="65">
        <f>IFERROR(IF(AND(Terminales[[#This Row],[CANTIDAD]] = 1,Terminales[[#This Row],[MOVIMIENTO]] = "RENOVACION"),Terminales[[#This Row],[TARIFA_BASICA]]*0.5,),)</f>
        <v>0</v>
      </c>
      <c r="CD273" s="65">
        <f>IF('[1]Resumen TM'!$AW$20 &lt; 0.4,0,Terminales[[#This Row],[MONTO]]*0.02)</f>
        <v>4.1071428000000001</v>
      </c>
      <c r="CE273" s="66">
        <f>Terminales[[#This Row],[COMISIONES TERMINALES]]+Terminales[[#This Row],[COMISIONES RENOVACIONES]]+Terminales[[#This Row],[COMISIONES BONO]]</f>
        <v>24.642856799999997</v>
      </c>
      <c r="CF273" s="67">
        <f>(Terminales[[#This Row],[COMISIONES TERMINALES]]*VLOOKUP(Terminales[[#This Row],[LOCALES]],[1]!Calendario[#Data],3,0))/VLOOKUP(Terminales[[#This Row],[LOCALES]],[1]!Calendario[#Data],2,0)</f>
        <v>33.784561741935484</v>
      </c>
      <c r="CG273" s="67">
        <f>(Terminales[[#This Row],[COMISIONES RENOVACIONES]]*VLOOKUP(Terminales[[#This Row],[LOCALES]],[1]!Calendario[#Data],3,0))/VLOOKUP(Terminales[[#This Row],[LOCALES]],[1]!Calendario[#Data],2,0)</f>
        <v>0</v>
      </c>
      <c r="CH273" s="67">
        <f>(Terminales[[#This Row],[COMISIONES BONO]]*VLOOKUP(Terminales[[#This Row],[LOCALES]],[1]!Calendario[#Data],3,0))/VLOOKUP(Terminales[[#This Row],[LOCALES]],[1]!Calendario[#Data],2,0)</f>
        <v>6.7569123483870968</v>
      </c>
      <c r="CI273" s="67">
        <f>Terminales[[#This Row],[PROY. COM. TERMINALES]]+Terminales[[#This Row],[PROY. COM. RENOV.]]+Terminales[[#This Row],[PROY. COM. 2%]]</f>
        <v>40.541474090322581</v>
      </c>
    </row>
    <row r="274" spans="1:87" x14ac:dyDescent="0.25">
      <c r="A274" s="68">
        <v>44926</v>
      </c>
      <c r="B274" s="68">
        <v>44908</v>
      </c>
      <c r="C274" s="18" t="s">
        <v>96</v>
      </c>
      <c r="D274" s="18" t="s">
        <v>96</v>
      </c>
      <c r="E274" s="18" t="s">
        <v>96</v>
      </c>
      <c r="F274" s="18" t="s">
        <v>9753</v>
      </c>
      <c r="G274" s="18" t="s">
        <v>292</v>
      </c>
      <c r="H274" s="18" t="s">
        <v>494</v>
      </c>
      <c r="I274" s="18" t="s">
        <v>9754</v>
      </c>
      <c r="J274" s="18" t="s">
        <v>95</v>
      </c>
      <c r="K274" s="18" t="s">
        <v>7970</v>
      </c>
      <c r="L274" s="18" t="s">
        <v>9755</v>
      </c>
      <c r="M274" s="18" t="s">
        <v>9756</v>
      </c>
      <c r="N274" s="18" t="s">
        <v>9757</v>
      </c>
      <c r="O274" s="18" t="s">
        <v>9657</v>
      </c>
      <c r="P274" s="18" t="s">
        <v>9758</v>
      </c>
      <c r="Q274" s="18" t="s">
        <v>7975</v>
      </c>
      <c r="R274" s="18" t="s">
        <v>7976</v>
      </c>
      <c r="S274" s="18" t="s">
        <v>8250</v>
      </c>
      <c r="T274" s="18" t="s">
        <v>8318</v>
      </c>
      <c r="U274" s="18" t="s">
        <v>8059</v>
      </c>
      <c r="V274" s="18" t="s">
        <v>6963</v>
      </c>
      <c r="W274" s="18" t="s">
        <v>95</v>
      </c>
      <c r="X274" s="18" t="s">
        <v>95</v>
      </c>
      <c r="Y274" s="18" t="s">
        <v>7980</v>
      </c>
      <c r="Z274" s="18" t="s">
        <v>6996</v>
      </c>
      <c r="AA274" s="69">
        <v>1</v>
      </c>
      <c r="AB274" s="18">
        <v>1151.7857100000001</v>
      </c>
      <c r="AC274" s="18" t="s">
        <v>9759</v>
      </c>
      <c r="AD274" s="18" t="s">
        <v>96</v>
      </c>
      <c r="AE274" s="18">
        <v>955.13</v>
      </c>
      <c r="AF274" s="18" t="s">
        <v>7983</v>
      </c>
      <c r="AG274" s="18">
        <v>955.13</v>
      </c>
      <c r="AH274" s="18" t="s">
        <v>95</v>
      </c>
      <c r="AI274" s="18" t="s">
        <v>8102</v>
      </c>
      <c r="AJ274" s="18" t="s">
        <v>8103</v>
      </c>
      <c r="AK274" s="18" t="s">
        <v>95</v>
      </c>
      <c r="AL274" s="18" t="s">
        <v>95</v>
      </c>
      <c r="AM274" s="18" t="s">
        <v>95</v>
      </c>
      <c r="AN274" s="18" t="s">
        <v>7984</v>
      </c>
      <c r="AO274" s="18" t="s">
        <v>139</v>
      </c>
      <c r="AP274" s="20" t="s">
        <v>233</v>
      </c>
      <c r="AQ274" s="18" t="s">
        <v>234</v>
      </c>
      <c r="AR274" s="18" t="s">
        <v>496</v>
      </c>
      <c r="AS274" s="18">
        <v>1</v>
      </c>
      <c r="AT274" s="18" t="s">
        <v>235</v>
      </c>
      <c r="AU274" s="18" t="s">
        <v>90</v>
      </c>
      <c r="AV274" s="18" t="s">
        <v>9660</v>
      </c>
      <c r="AW274" s="18" t="s">
        <v>9661</v>
      </c>
      <c r="AX274" s="18" t="s">
        <v>83</v>
      </c>
      <c r="AY274" s="18" t="s">
        <v>95</v>
      </c>
      <c r="AZ274" s="18" t="s">
        <v>95</v>
      </c>
      <c r="BA274" s="18" t="s">
        <v>95</v>
      </c>
      <c r="BB274" s="18" t="s">
        <v>95</v>
      </c>
      <c r="BC274" s="18" t="s">
        <v>95</v>
      </c>
      <c r="BD274" s="18" t="s">
        <v>95</v>
      </c>
      <c r="BE274" s="18" t="s">
        <v>95</v>
      </c>
      <c r="BF274" s="18" t="s">
        <v>95</v>
      </c>
      <c r="BG274" s="18" t="s">
        <v>95</v>
      </c>
      <c r="BH274" s="18" t="s">
        <v>95</v>
      </c>
      <c r="BI274" s="18">
        <v>12</v>
      </c>
      <c r="BJ274" s="18">
        <v>2022</v>
      </c>
      <c r="BK274" s="18" t="s">
        <v>95</v>
      </c>
      <c r="BL274" s="18" t="s">
        <v>95</v>
      </c>
      <c r="BM274" s="18" t="s">
        <v>95</v>
      </c>
      <c r="BN274" s="18" t="s">
        <v>85</v>
      </c>
      <c r="BO274" s="18" t="s">
        <v>86</v>
      </c>
      <c r="BP274" s="18" t="s">
        <v>90</v>
      </c>
      <c r="BQ274" s="18" t="s">
        <v>8016</v>
      </c>
      <c r="BR274" s="18" t="s">
        <v>139</v>
      </c>
      <c r="BS274" s="18" t="s">
        <v>8074</v>
      </c>
      <c r="BT274" s="18" t="s">
        <v>7989</v>
      </c>
      <c r="BU274" s="18" t="s">
        <v>496</v>
      </c>
      <c r="BV274" s="18" t="str">
        <f>Terminales[[#This Row],[IMEI]]&amp;"SI"</f>
        <v>358330276409835SI</v>
      </c>
      <c r="BW274" s="18" t="str">
        <f>VLOOKUP(Terminales[[#This Row],[OFICINA_USUARIO]],[1]!Locales[#Data],3,0)</f>
        <v>TIENDA CONDADO</v>
      </c>
      <c r="BX274" s="18" t="str">
        <f>VLOOKUP(Terminales[[#This Row],[USUARIO_FINAL]],'[1]Personal Ppto vs Real'!$A:$F,6,0)</f>
        <v>ROSALES MALDONADO JESSICA GABRIELA</v>
      </c>
      <c r="BY27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7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74" s="18">
        <f>DAY(Terminales[[#This Row],[FECHA_FACTURA]])</f>
        <v>13</v>
      </c>
      <c r="CB274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274" s="65">
        <f>IFERROR(IF(AND(Terminales[[#This Row],[CANTIDAD]] = 1,Terminales[[#This Row],[MOVIMIENTO]] = "RENOVACION"),Terminales[[#This Row],[TARIFA_BASICA]]*0.5,),)</f>
        <v>0</v>
      </c>
      <c r="CD274" s="65">
        <f>IF('[1]Resumen TM'!$AW$20 &lt; 0.4,0,Terminales[[#This Row],[MONTO]]*0.02)</f>
        <v>23.035714200000001</v>
      </c>
      <c r="CE274" s="66">
        <f>Terminales[[#This Row],[COMISIONES TERMINALES]]+Terminales[[#This Row],[COMISIONES RENOVACIONES]]+Terminales[[#This Row],[COMISIONES BONO]]</f>
        <v>138.21428520000001</v>
      </c>
      <c r="CF274" s="67">
        <f>(Terminales[[#This Row],[COMISIONES TERMINALES]]*VLOOKUP(Terminales[[#This Row],[LOCALES]],[1]!Calendario[#Data],3,0))/VLOOKUP(Terminales[[#This Row],[LOCALES]],[1]!Calendario[#Data],2,0)</f>
        <v>189.48732648387099</v>
      </c>
      <c r="CG274" s="67">
        <f>(Terminales[[#This Row],[COMISIONES RENOVACIONES]]*VLOOKUP(Terminales[[#This Row],[LOCALES]],[1]!Calendario[#Data],3,0))/VLOOKUP(Terminales[[#This Row],[LOCALES]],[1]!Calendario[#Data],2,0)</f>
        <v>0</v>
      </c>
      <c r="CH274" s="67">
        <f>(Terminales[[#This Row],[COMISIONES BONO]]*VLOOKUP(Terminales[[#This Row],[LOCALES]],[1]!Calendario[#Data],3,0))/VLOOKUP(Terminales[[#This Row],[LOCALES]],[1]!Calendario[#Data],2,0)</f>
        <v>37.8974652967742</v>
      </c>
      <c r="CI274" s="67">
        <f>Terminales[[#This Row],[PROY. COM. TERMINALES]]+Terminales[[#This Row],[PROY. COM. RENOV.]]+Terminales[[#This Row],[PROY. COM. 2%]]</f>
        <v>227.38479178064517</v>
      </c>
    </row>
    <row r="275" spans="1:87" x14ac:dyDescent="0.25">
      <c r="A275" s="68">
        <v>44926</v>
      </c>
      <c r="B275" s="68">
        <v>44908</v>
      </c>
      <c r="C275" s="18" t="s">
        <v>96</v>
      </c>
      <c r="D275" s="18" t="s">
        <v>96</v>
      </c>
      <c r="E275" s="18" t="s">
        <v>96</v>
      </c>
      <c r="F275" s="18" t="s">
        <v>9760</v>
      </c>
      <c r="G275" s="18" t="s">
        <v>292</v>
      </c>
      <c r="H275" s="18" t="s">
        <v>494</v>
      </c>
      <c r="I275" s="18" t="s">
        <v>9754</v>
      </c>
      <c r="J275" s="18" t="s">
        <v>95</v>
      </c>
      <c r="K275" s="18" t="s">
        <v>7970</v>
      </c>
      <c r="L275" s="18" t="s">
        <v>9755</v>
      </c>
      <c r="M275" s="18" t="s">
        <v>9756</v>
      </c>
      <c r="N275" s="18" t="s">
        <v>9757</v>
      </c>
      <c r="O275" s="18" t="s">
        <v>8316</v>
      </c>
      <c r="P275" s="18" t="s">
        <v>9761</v>
      </c>
      <c r="Q275" s="18" t="s">
        <v>7975</v>
      </c>
      <c r="R275" s="18" t="s">
        <v>7976</v>
      </c>
      <c r="S275" s="18" t="s">
        <v>8250</v>
      </c>
      <c r="T275" s="18" t="s">
        <v>8318</v>
      </c>
      <c r="U275" s="18" t="s">
        <v>8059</v>
      </c>
      <c r="V275" s="18" t="s">
        <v>6963</v>
      </c>
      <c r="W275" s="18" t="s">
        <v>95</v>
      </c>
      <c r="X275" s="18" t="s">
        <v>95</v>
      </c>
      <c r="Y275" s="18" t="s">
        <v>7980</v>
      </c>
      <c r="Z275" s="18" t="s">
        <v>6996</v>
      </c>
      <c r="AA275" s="69">
        <v>1</v>
      </c>
      <c r="AB275" s="18">
        <v>1151.7857100000001</v>
      </c>
      <c r="AC275" s="18" t="s">
        <v>9762</v>
      </c>
      <c r="AD275" s="18" t="s">
        <v>96</v>
      </c>
      <c r="AE275" s="18">
        <v>955.13</v>
      </c>
      <c r="AF275" s="18" t="s">
        <v>7983</v>
      </c>
      <c r="AG275" s="18">
        <v>955.13</v>
      </c>
      <c r="AH275" s="18" t="s">
        <v>95</v>
      </c>
      <c r="AI275" s="18" t="s">
        <v>8102</v>
      </c>
      <c r="AJ275" s="18" t="s">
        <v>8103</v>
      </c>
      <c r="AK275" s="18" t="s">
        <v>95</v>
      </c>
      <c r="AL275" s="18" t="s">
        <v>95</v>
      </c>
      <c r="AM275" s="18" t="s">
        <v>95</v>
      </c>
      <c r="AN275" s="18" t="s">
        <v>7984</v>
      </c>
      <c r="AO275" s="18" t="s">
        <v>139</v>
      </c>
      <c r="AP275" s="20" t="s">
        <v>233</v>
      </c>
      <c r="AQ275" s="18" t="s">
        <v>234</v>
      </c>
      <c r="AR275" s="18" t="s">
        <v>496</v>
      </c>
      <c r="AS275" s="18">
        <v>1</v>
      </c>
      <c r="AT275" s="18" t="s">
        <v>235</v>
      </c>
      <c r="AU275" s="18" t="s">
        <v>90</v>
      </c>
      <c r="AV275" s="18" t="s">
        <v>8319</v>
      </c>
      <c r="AW275" s="18" t="s">
        <v>8320</v>
      </c>
      <c r="AX275" s="18" t="s">
        <v>83</v>
      </c>
      <c r="AY275" s="18" t="s">
        <v>95</v>
      </c>
      <c r="AZ275" s="18" t="s">
        <v>95</v>
      </c>
      <c r="BA275" s="18" t="s">
        <v>95</v>
      </c>
      <c r="BB275" s="18" t="s">
        <v>95</v>
      </c>
      <c r="BC275" s="18" t="s">
        <v>95</v>
      </c>
      <c r="BD275" s="18" t="s">
        <v>95</v>
      </c>
      <c r="BE275" s="18" t="s">
        <v>95</v>
      </c>
      <c r="BF275" s="18" t="s">
        <v>95</v>
      </c>
      <c r="BG275" s="18" t="s">
        <v>95</v>
      </c>
      <c r="BH275" s="18" t="s">
        <v>95</v>
      </c>
      <c r="BI275" s="18">
        <v>12</v>
      </c>
      <c r="BJ275" s="18">
        <v>2022</v>
      </c>
      <c r="BK275" s="18" t="s">
        <v>95</v>
      </c>
      <c r="BL275" s="18" t="s">
        <v>95</v>
      </c>
      <c r="BM275" s="18" t="s">
        <v>95</v>
      </c>
      <c r="BN275" s="18" t="s">
        <v>85</v>
      </c>
      <c r="BO275" s="18" t="s">
        <v>86</v>
      </c>
      <c r="BP275" s="18" t="s">
        <v>90</v>
      </c>
      <c r="BQ275" s="18" t="s">
        <v>8016</v>
      </c>
      <c r="BR275" s="18" t="s">
        <v>139</v>
      </c>
      <c r="BS275" s="18" t="s">
        <v>8074</v>
      </c>
      <c r="BT275" s="18" t="s">
        <v>7989</v>
      </c>
      <c r="BU275" s="18" t="s">
        <v>496</v>
      </c>
      <c r="BV275" s="18" t="str">
        <f>Terminales[[#This Row],[IMEI]]&amp;"SI"</f>
        <v>358330275685435SI</v>
      </c>
      <c r="BW275" s="18" t="str">
        <f>VLOOKUP(Terminales[[#This Row],[OFICINA_USUARIO]],[1]!Locales[#Data],3,0)</f>
        <v>TIENDA CONDADO</v>
      </c>
      <c r="BX275" s="18" t="str">
        <f>VLOOKUP(Terminales[[#This Row],[USUARIO_FINAL]],'[1]Personal Ppto vs Real'!$A:$F,6,0)</f>
        <v>ROSALES MALDONADO JESSICA GABRIELA</v>
      </c>
      <c r="BY27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7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75" s="18">
        <f>DAY(Terminales[[#This Row],[FECHA_FACTURA]])</f>
        <v>13</v>
      </c>
      <c r="CB275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275" s="65">
        <f>IFERROR(IF(AND(Terminales[[#This Row],[CANTIDAD]] = 1,Terminales[[#This Row],[MOVIMIENTO]] = "RENOVACION"),Terminales[[#This Row],[TARIFA_BASICA]]*0.5,),)</f>
        <v>0</v>
      </c>
      <c r="CD275" s="65">
        <f>IF('[1]Resumen TM'!$AW$20 &lt; 0.4,0,Terminales[[#This Row],[MONTO]]*0.02)</f>
        <v>23.035714200000001</v>
      </c>
      <c r="CE275" s="66">
        <f>Terminales[[#This Row],[COMISIONES TERMINALES]]+Terminales[[#This Row],[COMISIONES RENOVACIONES]]+Terminales[[#This Row],[COMISIONES BONO]]</f>
        <v>138.21428520000001</v>
      </c>
      <c r="CF275" s="67">
        <f>(Terminales[[#This Row],[COMISIONES TERMINALES]]*VLOOKUP(Terminales[[#This Row],[LOCALES]],[1]!Calendario[#Data],3,0))/VLOOKUP(Terminales[[#This Row],[LOCALES]],[1]!Calendario[#Data],2,0)</f>
        <v>189.48732648387099</v>
      </c>
      <c r="CG275" s="67">
        <f>(Terminales[[#This Row],[COMISIONES RENOVACIONES]]*VLOOKUP(Terminales[[#This Row],[LOCALES]],[1]!Calendario[#Data],3,0))/VLOOKUP(Terminales[[#This Row],[LOCALES]],[1]!Calendario[#Data],2,0)</f>
        <v>0</v>
      </c>
      <c r="CH275" s="67">
        <f>(Terminales[[#This Row],[COMISIONES BONO]]*VLOOKUP(Terminales[[#This Row],[LOCALES]],[1]!Calendario[#Data],3,0))/VLOOKUP(Terminales[[#This Row],[LOCALES]],[1]!Calendario[#Data],2,0)</f>
        <v>37.8974652967742</v>
      </c>
      <c r="CI275" s="67">
        <f>Terminales[[#This Row],[PROY. COM. TERMINALES]]+Terminales[[#This Row],[PROY. COM. RENOV.]]+Terminales[[#This Row],[PROY. COM. 2%]]</f>
        <v>227.38479178064517</v>
      </c>
    </row>
    <row r="276" spans="1:87" x14ac:dyDescent="0.25">
      <c r="A276" s="68">
        <v>44926</v>
      </c>
      <c r="B276" s="68">
        <v>44908</v>
      </c>
      <c r="C276" s="18" t="s">
        <v>96</v>
      </c>
      <c r="D276" s="18" t="s">
        <v>96</v>
      </c>
      <c r="E276" s="18" t="s">
        <v>96</v>
      </c>
      <c r="F276" s="18" t="s">
        <v>9763</v>
      </c>
      <c r="G276" s="18" t="s">
        <v>292</v>
      </c>
      <c r="H276" s="18" t="s">
        <v>494</v>
      </c>
      <c r="I276" s="18" t="s">
        <v>9764</v>
      </c>
      <c r="J276" s="18" t="s">
        <v>95</v>
      </c>
      <c r="K276" s="18" t="s">
        <v>7970</v>
      </c>
      <c r="L276" s="18" t="s">
        <v>9765</v>
      </c>
      <c r="M276" s="18" t="s">
        <v>9766</v>
      </c>
      <c r="N276" s="18" t="s">
        <v>9767</v>
      </c>
      <c r="O276" s="18" t="s">
        <v>338</v>
      </c>
      <c r="P276" s="18" t="s">
        <v>9768</v>
      </c>
      <c r="Q276" s="18" t="s">
        <v>7975</v>
      </c>
      <c r="R276" s="18" t="s">
        <v>7976</v>
      </c>
      <c r="S276" s="18" t="s">
        <v>7977</v>
      </c>
      <c r="T276" s="18" t="s">
        <v>7978</v>
      </c>
      <c r="U276" s="18" t="s">
        <v>7979</v>
      </c>
      <c r="V276" s="18" t="s">
        <v>6963</v>
      </c>
      <c r="W276" s="18" t="s">
        <v>95</v>
      </c>
      <c r="X276" s="18" t="s">
        <v>95</v>
      </c>
      <c r="Y276" s="18" t="s">
        <v>7980</v>
      </c>
      <c r="Z276" s="18" t="s">
        <v>6996</v>
      </c>
      <c r="AA276" s="69">
        <v>1</v>
      </c>
      <c r="AB276" s="18">
        <v>276.78570999999999</v>
      </c>
      <c r="AC276" s="18" t="s">
        <v>9769</v>
      </c>
      <c r="AD276" s="18" t="s">
        <v>7982</v>
      </c>
      <c r="AE276" s="18">
        <v>235</v>
      </c>
      <c r="AF276" s="18" t="s">
        <v>7983</v>
      </c>
      <c r="AG276" s="18">
        <v>235</v>
      </c>
      <c r="AH276" s="18" t="s">
        <v>95</v>
      </c>
      <c r="AI276" s="18" t="s">
        <v>8102</v>
      </c>
      <c r="AJ276" s="18" t="s">
        <v>8103</v>
      </c>
      <c r="AK276" s="18" t="s">
        <v>95</v>
      </c>
      <c r="AL276" s="18" t="s">
        <v>95</v>
      </c>
      <c r="AM276" s="18" t="s">
        <v>95</v>
      </c>
      <c r="AN276" s="18" t="s">
        <v>7984</v>
      </c>
      <c r="AO276" s="18" t="s">
        <v>139</v>
      </c>
      <c r="AP276" s="20" t="s">
        <v>377</v>
      </c>
      <c r="AQ276" s="18" t="s">
        <v>378</v>
      </c>
      <c r="AR276" s="18" t="s">
        <v>496</v>
      </c>
      <c r="AS276" s="18">
        <v>1</v>
      </c>
      <c r="AT276" s="18" t="s">
        <v>235</v>
      </c>
      <c r="AU276" s="18" t="s">
        <v>90</v>
      </c>
      <c r="AV276" s="18" t="s">
        <v>7985</v>
      </c>
      <c r="AW276" s="18" t="s">
        <v>7986</v>
      </c>
      <c r="AX276" s="18" t="s">
        <v>83</v>
      </c>
      <c r="AY276" s="18" t="s">
        <v>95</v>
      </c>
      <c r="AZ276" s="18" t="s">
        <v>95</v>
      </c>
      <c r="BA276" s="18" t="s">
        <v>95</v>
      </c>
      <c r="BB276" s="18" t="s">
        <v>95</v>
      </c>
      <c r="BC276" s="18" t="s">
        <v>118</v>
      </c>
      <c r="BD276" s="18" t="s">
        <v>95</v>
      </c>
      <c r="BE276" s="18" t="s">
        <v>95</v>
      </c>
      <c r="BF276" s="18" t="s">
        <v>95</v>
      </c>
      <c r="BG276" s="18" t="s">
        <v>95</v>
      </c>
      <c r="BH276" s="18" t="s">
        <v>95</v>
      </c>
      <c r="BI276" s="18">
        <v>12</v>
      </c>
      <c r="BJ276" s="18">
        <v>2022</v>
      </c>
      <c r="BK276" s="18" t="s">
        <v>95</v>
      </c>
      <c r="BL276" s="18" t="s">
        <v>95</v>
      </c>
      <c r="BM276" s="18" t="s">
        <v>95</v>
      </c>
      <c r="BN276" s="18" t="s">
        <v>85</v>
      </c>
      <c r="BO276" s="18" t="s">
        <v>86</v>
      </c>
      <c r="BP276" s="18" t="s">
        <v>90</v>
      </c>
      <c r="BQ276" s="18" t="s">
        <v>8016</v>
      </c>
      <c r="BR276" s="18" t="s">
        <v>139</v>
      </c>
      <c r="BS276" s="18" t="s">
        <v>8074</v>
      </c>
      <c r="BT276" s="18" t="s">
        <v>7989</v>
      </c>
      <c r="BU276" s="18" t="s">
        <v>496</v>
      </c>
      <c r="BV276" s="18" t="str">
        <f>Terminales[[#This Row],[IMEI]]&amp;"SI"</f>
        <v>866184060672198SI</v>
      </c>
      <c r="BW276" s="18" t="str">
        <f>VLOOKUP(Terminales[[#This Row],[OFICINA_USUARIO]],[1]!Locales[#Data],3,0)</f>
        <v>TIENDA CONDADO</v>
      </c>
      <c r="BX276" s="18" t="str">
        <f>VLOOKUP(Terminales[[#This Row],[USUARIO_FINAL]],'[1]Personal Ppto vs Real'!$A:$F,6,0)</f>
        <v>MELCHIADE ISAAC VALMORE</v>
      </c>
      <c r="BY27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7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76" s="18">
        <f>DAY(Terminales[[#This Row],[FECHA_FACTURA]])</f>
        <v>13</v>
      </c>
      <c r="CB276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276" s="65">
        <f>IFERROR(IF(AND(Terminales[[#This Row],[CANTIDAD]] = 1,Terminales[[#This Row],[MOVIMIENTO]] = "RENOVACION"),Terminales[[#This Row],[TARIFA_BASICA]]*0.5,),)</f>
        <v>0</v>
      </c>
      <c r="CD276" s="65">
        <f>IF('[1]Resumen TM'!$AW$20 &lt; 0.4,0,Terminales[[#This Row],[MONTO]]*0.02)</f>
        <v>5.5357142000000001</v>
      </c>
      <c r="CE276" s="66">
        <f>Terminales[[#This Row],[COMISIONES TERMINALES]]+Terminales[[#This Row],[COMISIONES RENOVACIONES]]+Terminales[[#This Row],[COMISIONES BONO]]</f>
        <v>33.214285199999999</v>
      </c>
      <c r="CF276" s="67">
        <f>(Terminales[[#This Row],[COMISIONES TERMINALES]]*VLOOKUP(Terminales[[#This Row],[LOCALES]],[1]!Calendario[#Data],3,0))/VLOOKUP(Terminales[[#This Row],[LOCALES]],[1]!Calendario[#Data],2,0)</f>
        <v>45.535713580645158</v>
      </c>
      <c r="CG276" s="67">
        <f>(Terminales[[#This Row],[COMISIONES RENOVACIONES]]*VLOOKUP(Terminales[[#This Row],[LOCALES]],[1]!Calendario[#Data],3,0))/VLOOKUP(Terminales[[#This Row],[LOCALES]],[1]!Calendario[#Data],2,0)</f>
        <v>0</v>
      </c>
      <c r="CH276" s="67">
        <f>(Terminales[[#This Row],[COMISIONES BONO]]*VLOOKUP(Terminales[[#This Row],[LOCALES]],[1]!Calendario[#Data],3,0))/VLOOKUP(Terminales[[#This Row],[LOCALES]],[1]!Calendario[#Data],2,0)</f>
        <v>9.107142716129033</v>
      </c>
      <c r="CI276" s="67">
        <f>Terminales[[#This Row],[PROY. COM. TERMINALES]]+Terminales[[#This Row],[PROY. COM. RENOV.]]+Terminales[[#This Row],[PROY. COM. 2%]]</f>
        <v>54.642856296774191</v>
      </c>
    </row>
    <row r="277" spans="1:87" x14ac:dyDescent="0.25">
      <c r="A277" s="68">
        <v>44926</v>
      </c>
      <c r="B277" s="68">
        <v>44909</v>
      </c>
      <c r="C277" s="18" t="s">
        <v>291</v>
      </c>
      <c r="D277" s="18" t="s">
        <v>78</v>
      </c>
      <c r="E277" s="18" t="s">
        <v>311</v>
      </c>
      <c r="F277" s="18" t="s">
        <v>9770</v>
      </c>
      <c r="G277" s="18" t="s">
        <v>292</v>
      </c>
      <c r="H277" s="18" t="s">
        <v>494</v>
      </c>
      <c r="I277" s="18" t="s">
        <v>9771</v>
      </c>
      <c r="J277" s="18" t="s">
        <v>95</v>
      </c>
      <c r="K277" s="18" t="s">
        <v>7970</v>
      </c>
      <c r="L277" s="18" t="s">
        <v>9772</v>
      </c>
      <c r="M277" s="18" t="s">
        <v>9773</v>
      </c>
      <c r="N277" s="18" t="s">
        <v>9774</v>
      </c>
      <c r="O277" s="18" t="s">
        <v>2260</v>
      </c>
      <c r="P277" s="18" t="s">
        <v>9775</v>
      </c>
      <c r="Q277" s="18" t="s">
        <v>7975</v>
      </c>
      <c r="R277" s="18" t="s">
        <v>7976</v>
      </c>
      <c r="S277" s="18" t="s">
        <v>8010</v>
      </c>
      <c r="T277" s="18" t="s">
        <v>8011</v>
      </c>
      <c r="U277" s="18" t="s">
        <v>8012</v>
      </c>
      <c r="V277" s="18" t="s">
        <v>6963</v>
      </c>
      <c r="W277" s="18" t="s">
        <v>95</v>
      </c>
      <c r="X277" s="18" t="s">
        <v>95</v>
      </c>
      <c r="Y277" s="18" t="s">
        <v>7980</v>
      </c>
      <c r="Z277" s="18" t="s">
        <v>6996</v>
      </c>
      <c r="AA277" s="69">
        <v>1</v>
      </c>
      <c r="AB277" s="18">
        <v>196.42857000000001</v>
      </c>
      <c r="AC277" s="18" t="s">
        <v>9776</v>
      </c>
      <c r="AD277" s="18" t="s">
        <v>7982</v>
      </c>
      <c r="AE277" s="18">
        <v>168.8</v>
      </c>
      <c r="AF277" s="18" t="s">
        <v>7983</v>
      </c>
      <c r="AG277" s="18">
        <v>168.8</v>
      </c>
      <c r="AH277" s="18" t="s">
        <v>95</v>
      </c>
      <c r="AI277" s="18" t="s">
        <v>7227</v>
      </c>
      <c r="AJ277" s="18" t="s">
        <v>7228</v>
      </c>
      <c r="AK277" s="18">
        <v>9.99</v>
      </c>
      <c r="AL277" s="18" t="s">
        <v>95</v>
      </c>
      <c r="AM277" s="18" t="s">
        <v>95</v>
      </c>
      <c r="AN277" s="18" t="s">
        <v>7984</v>
      </c>
      <c r="AO277" s="18" t="s">
        <v>92</v>
      </c>
      <c r="AP277" s="20" t="s">
        <v>242</v>
      </c>
      <c r="AQ277" s="18" t="s">
        <v>243</v>
      </c>
      <c r="AR277" s="18" t="s">
        <v>496</v>
      </c>
      <c r="AS277" s="18">
        <v>1</v>
      </c>
      <c r="AT277" s="18" t="s">
        <v>91</v>
      </c>
      <c r="AU277" s="18" t="s">
        <v>90</v>
      </c>
      <c r="AV277" s="18" t="s">
        <v>8014</v>
      </c>
      <c r="AW277" s="18" t="s">
        <v>8015</v>
      </c>
      <c r="AX277" s="18" t="s">
        <v>83</v>
      </c>
      <c r="AY277" s="18" t="s">
        <v>95</v>
      </c>
      <c r="AZ277" s="18" t="s">
        <v>95</v>
      </c>
      <c r="BA277" s="18" t="s">
        <v>95</v>
      </c>
      <c r="BB277" s="18" t="s">
        <v>95</v>
      </c>
      <c r="BC277" s="18" t="s">
        <v>95</v>
      </c>
      <c r="BD277" s="18" t="s">
        <v>95</v>
      </c>
      <c r="BE277" s="18" t="s">
        <v>95</v>
      </c>
      <c r="BF277" s="18" t="s">
        <v>95</v>
      </c>
      <c r="BG277" s="18" t="s">
        <v>95</v>
      </c>
      <c r="BH277" s="18" t="s">
        <v>95</v>
      </c>
      <c r="BI277" s="18">
        <v>12</v>
      </c>
      <c r="BJ277" s="18">
        <v>2022</v>
      </c>
      <c r="BK277" s="18" t="s">
        <v>95</v>
      </c>
      <c r="BL277" s="18" t="s">
        <v>95</v>
      </c>
      <c r="BM277" s="18" t="s">
        <v>95</v>
      </c>
      <c r="BN277" s="18" t="s">
        <v>85</v>
      </c>
      <c r="BO277" s="18" t="s">
        <v>86</v>
      </c>
      <c r="BP277" s="18" t="s">
        <v>90</v>
      </c>
      <c r="BQ277" s="18" t="s">
        <v>8106</v>
      </c>
      <c r="BR277" s="18" t="s">
        <v>92</v>
      </c>
      <c r="BS277" s="18" t="s">
        <v>8074</v>
      </c>
      <c r="BT277" s="18" t="s">
        <v>7989</v>
      </c>
      <c r="BU277" s="18" t="s">
        <v>496</v>
      </c>
      <c r="BV277" s="18" t="str">
        <f>Terminales[[#This Row],[IMEI]]&amp;"SI"</f>
        <v>359694275282009SI</v>
      </c>
      <c r="BW277" s="18" t="str">
        <f>VLOOKUP(Terminales[[#This Row],[OFICINA_USUARIO]],[1]!Locales[#Data],3,0)</f>
        <v>TIENDA CUENCA CENTRO</v>
      </c>
      <c r="BX277" s="18" t="str">
        <f>VLOOKUP(Terminales[[#This Row],[USUARIO_FINAL]],'[1]Personal Ppto vs Real'!$A:$F,6,0)</f>
        <v>VALLEJO DELEG ROMAN NICOLAS</v>
      </c>
      <c r="BY27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7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77" s="18">
        <f>DAY(Terminales[[#This Row],[FECHA_FACTURA]])</f>
        <v>14</v>
      </c>
      <c r="CB277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277" s="65">
        <f>IFERROR(IF(AND(Terminales[[#This Row],[CANTIDAD]] = 1,Terminales[[#This Row],[MOVIMIENTO]] = "RENOVACION"),Terminales[[#This Row],[TARIFA_BASICA]]*0.5,),)</f>
        <v>4.9950000000000001</v>
      </c>
      <c r="CD277" s="65">
        <f>IF('[1]Resumen TM'!$AW$20 &lt; 0.4,0,Terminales[[#This Row],[MONTO]]*0.02)</f>
        <v>3.9285714</v>
      </c>
      <c r="CE277" s="66">
        <f>Terminales[[#This Row],[COMISIONES TERMINALES]]+Terminales[[#This Row],[COMISIONES RENOVACIONES]]+Terminales[[#This Row],[COMISIONES BONO]]</f>
        <v>28.566428400000003</v>
      </c>
      <c r="CF277" s="67">
        <f>(Terminales[[#This Row],[COMISIONES TERMINALES]]*VLOOKUP(Terminales[[#This Row],[LOCALES]],[1]!Calendario[#Data],3,0))/VLOOKUP(Terminales[[#This Row],[LOCALES]],[1]!Calendario[#Data],2,0)</f>
        <v>31.834975137931039</v>
      </c>
      <c r="CG277" s="67">
        <f>(Terminales[[#This Row],[COMISIONES RENOVACIONES]]*VLOOKUP(Terminales[[#This Row],[LOCALES]],[1]!Calendario[#Data],3,0))/VLOOKUP(Terminales[[#This Row],[LOCALES]],[1]!Calendario[#Data],2,0)</f>
        <v>8.0953448275862065</v>
      </c>
      <c r="CH277" s="67">
        <f>(Terminales[[#This Row],[COMISIONES BONO]]*VLOOKUP(Terminales[[#This Row],[LOCALES]],[1]!Calendario[#Data],3,0))/VLOOKUP(Terminales[[#This Row],[LOCALES]],[1]!Calendario[#Data],2,0)</f>
        <v>6.3669950275862073</v>
      </c>
      <c r="CI277" s="67">
        <f>Terminales[[#This Row],[PROY. COM. TERMINALES]]+Terminales[[#This Row],[PROY. COM. RENOV.]]+Terminales[[#This Row],[PROY. COM. 2%]]</f>
        <v>46.297314993103448</v>
      </c>
    </row>
    <row r="278" spans="1:87" x14ac:dyDescent="0.25">
      <c r="A278" s="68">
        <v>44926</v>
      </c>
      <c r="B278" s="68">
        <v>44909</v>
      </c>
      <c r="C278" s="18" t="s">
        <v>96</v>
      </c>
      <c r="D278" s="18" t="s">
        <v>96</v>
      </c>
      <c r="E278" s="18" t="s">
        <v>96</v>
      </c>
      <c r="F278" s="18" t="s">
        <v>9777</v>
      </c>
      <c r="G278" s="18" t="s">
        <v>292</v>
      </c>
      <c r="H278" s="18" t="s">
        <v>494</v>
      </c>
      <c r="I278" s="18" t="s">
        <v>9778</v>
      </c>
      <c r="J278" s="18" t="s">
        <v>95</v>
      </c>
      <c r="K278" s="18" t="s">
        <v>7970</v>
      </c>
      <c r="L278" s="18" t="s">
        <v>9779</v>
      </c>
      <c r="M278" s="18" t="s">
        <v>6888</v>
      </c>
      <c r="N278" s="18" t="s">
        <v>6889</v>
      </c>
      <c r="O278" s="18" t="s">
        <v>9185</v>
      </c>
      <c r="P278" s="18" t="s">
        <v>9780</v>
      </c>
      <c r="Q278" s="18" t="s">
        <v>7975</v>
      </c>
      <c r="R278" s="18" t="s">
        <v>7976</v>
      </c>
      <c r="S278" s="18" t="s">
        <v>8045</v>
      </c>
      <c r="T278" s="18" t="s">
        <v>8225</v>
      </c>
      <c r="U278" s="18" t="s">
        <v>8012</v>
      </c>
      <c r="V278" s="18" t="s">
        <v>6963</v>
      </c>
      <c r="W278" s="18" t="s">
        <v>95</v>
      </c>
      <c r="X278" s="18" t="s">
        <v>95</v>
      </c>
      <c r="Y278" s="18" t="s">
        <v>7980</v>
      </c>
      <c r="Z278" s="18" t="s">
        <v>6996</v>
      </c>
      <c r="AA278" s="69">
        <v>1</v>
      </c>
      <c r="AB278" s="18">
        <v>241.07142999999999</v>
      </c>
      <c r="AC278" s="18" t="s">
        <v>9781</v>
      </c>
      <c r="AD278" s="18" t="s">
        <v>7982</v>
      </c>
      <c r="AE278" s="18">
        <v>234</v>
      </c>
      <c r="AF278" s="18" t="s">
        <v>7983</v>
      </c>
      <c r="AG278" s="18">
        <v>234</v>
      </c>
      <c r="AH278" s="18" t="s">
        <v>95</v>
      </c>
      <c r="AI278" s="18" t="s">
        <v>8102</v>
      </c>
      <c r="AJ278" s="18" t="s">
        <v>8103</v>
      </c>
      <c r="AK278" s="18" t="s">
        <v>95</v>
      </c>
      <c r="AL278" s="18" t="s">
        <v>95</v>
      </c>
      <c r="AM278" s="18" t="s">
        <v>95</v>
      </c>
      <c r="AN278" s="18" t="s">
        <v>7984</v>
      </c>
      <c r="AO278" s="18" t="s">
        <v>139</v>
      </c>
      <c r="AP278" s="20" t="s">
        <v>457</v>
      </c>
      <c r="AQ278" s="18" t="s">
        <v>458</v>
      </c>
      <c r="AR278" s="18" t="s">
        <v>496</v>
      </c>
      <c r="AS278" s="18">
        <v>1</v>
      </c>
      <c r="AT278" s="18" t="s">
        <v>177</v>
      </c>
      <c r="AU278" s="18" t="s">
        <v>90</v>
      </c>
      <c r="AV278" s="18" t="s">
        <v>9188</v>
      </c>
      <c r="AW278" s="18" t="s">
        <v>9189</v>
      </c>
      <c r="AX278" s="18" t="s">
        <v>83</v>
      </c>
      <c r="AY278" s="18" t="s">
        <v>95</v>
      </c>
      <c r="AZ278" s="18" t="s">
        <v>95</v>
      </c>
      <c r="BA278" s="18" t="s">
        <v>95</v>
      </c>
      <c r="BB278" s="18" t="s">
        <v>95</v>
      </c>
      <c r="BC278" s="18" t="s">
        <v>95</v>
      </c>
      <c r="BD278" s="18" t="s">
        <v>95</v>
      </c>
      <c r="BE278" s="18" t="s">
        <v>95</v>
      </c>
      <c r="BF278" s="18" t="s">
        <v>95</v>
      </c>
      <c r="BG278" s="18" t="s">
        <v>95</v>
      </c>
      <c r="BH278" s="18" t="s">
        <v>95</v>
      </c>
      <c r="BI278" s="18">
        <v>12</v>
      </c>
      <c r="BJ278" s="18">
        <v>2022</v>
      </c>
      <c r="BK278" s="18" t="s">
        <v>95</v>
      </c>
      <c r="BL278" s="18" t="s">
        <v>95</v>
      </c>
      <c r="BM278" s="18" t="s">
        <v>95</v>
      </c>
      <c r="BN278" s="18" t="s">
        <v>85</v>
      </c>
      <c r="BO278" s="18" t="s">
        <v>86</v>
      </c>
      <c r="BP278" s="18" t="s">
        <v>90</v>
      </c>
      <c r="BQ278" s="18" t="s">
        <v>8002</v>
      </c>
      <c r="BR278" s="18" t="s">
        <v>139</v>
      </c>
      <c r="BS278" s="18" t="s">
        <v>8074</v>
      </c>
      <c r="BT278" s="18" t="s">
        <v>7989</v>
      </c>
      <c r="BU278" s="18" t="s">
        <v>496</v>
      </c>
      <c r="BV278" s="18" t="str">
        <f>Terminales[[#This Row],[IMEI]]&amp;"SI"</f>
        <v>353568691492101SI</v>
      </c>
      <c r="BW278" s="18" t="str">
        <f>VLOOKUP(Terminales[[#This Row],[OFICINA_USUARIO]],[1]!Locales[#Data],3,0)</f>
        <v>TIENDA RECREO</v>
      </c>
      <c r="BX278" s="18" t="str">
        <f>VLOOKUP(Terminales[[#This Row],[USUARIO_FINAL]],'[1]Personal Ppto vs Real'!$A:$F,6,0)</f>
        <v>LOZADA REYES BERTHA MARIBEL</v>
      </c>
      <c r="BY27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7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78" s="18">
        <f>DAY(Terminales[[#This Row],[FECHA_FACTURA]])</f>
        <v>14</v>
      </c>
      <c r="CB278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78" s="65">
        <f>IFERROR(IF(AND(Terminales[[#This Row],[CANTIDAD]] = 1,Terminales[[#This Row],[MOVIMIENTO]] = "RENOVACION"),Terminales[[#This Row],[TARIFA_BASICA]]*0.5,),)</f>
        <v>0</v>
      </c>
      <c r="CD278" s="65">
        <f>IF('[1]Resumen TM'!$AW$20 &lt; 0.4,0,Terminales[[#This Row],[MONTO]]*0.02)</f>
        <v>4.8214286</v>
      </c>
      <c r="CE278" s="66">
        <f>Terminales[[#This Row],[COMISIONES TERMINALES]]+Terminales[[#This Row],[COMISIONES RENOVACIONES]]+Terminales[[#This Row],[COMISIONES BONO]]</f>
        <v>28.928571600000001</v>
      </c>
      <c r="CF278" s="67">
        <f>(Terminales[[#This Row],[COMISIONES TERMINALES]]*VLOOKUP(Terminales[[#This Row],[LOCALES]],[1]!Calendario[#Data],3,0))/VLOOKUP(Terminales[[#This Row],[LOCALES]],[1]!Calendario[#Data],2,0)</f>
        <v>39.660138483870966</v>
      </c>
      <c r="CG278" s="67">
        <f>(Terminales[[#This Row],[COMISIONES RENOVACIONES]]*VLOOKUP(Terminales[[#This Row],[LOCALES]],[1]!Calendario[#Data],3,0))/VLOOKUP(Terminales[[#This Row],[LOCALES]],[1]!Calendario[#Data],2,0)</f>
        <v>0</v>
      </c>
      <c r="CH278" s="67">
        <f>(Terminales[[#This Row],[COMISIONES BONO]]*VLOOKUP(Terminales[[#This Row],[LOCALES]],[1]!Calendario[#Data],3,0))/VLOOKUP(Terminales[[#This Row],[LOCALES]],[1]!Calendario[#Data],2,0)</f>
        <v>7.9320276967741936</v>
      </c>
      <c r="CI278" s="67">
        <f>Terminales[[#This Row],[PROY. COM. TERMINALES]]+Terminales[[#This Row],[PROY. COM. RENOV.]]+Terminales[[#This Row],[PROY. COM. 2%]]</f>
        <v>47.592166180645158</v>
      </c>
    </row>
    <row r="279" spans="1:87" x14ac:dyDescent="0.25">
      <c r="A279" s="68">
        <v>44926</v>
      </c>
      <c r="B279" s="68">
        <v>44909</v>
      </c>
      <c r="C279" s="18" t="s">
        <v>291</v>
      </c>
      <c r="D279" s="18" t="s">
        <v>521</v>
      </c>
      <c r="E279" s="18" t="s">
        <v>8017</v>
      </c>
      <c r="F279" s="18" t="s">
        <v>9782</v>
      </c>
      <c r="G279" s="18" t="s">
        <v>292</v>
      </c>
      <c r="H279" s="18" t="s">
        <v>494</v>
      </c>
      <c r="I279" s="18" t="s">
        <v>9783</v>
      </c>
      <c r="J279" s="18" t="s">
        <v>95</v>
      </c>
      <c r="K279" s="18" t="s">
        <v>7970</v>
      </c>
      <c r="L279" s="18" t="s">
        <v>9784</v>
      </c>
      <c r="M279" s="18" t="s">
        <v>9785</v>
      </c>
      <c r="N279" s="18" t="s">
        <v>9786</v>
      </c>
      <c r="O279" s="18" t="s">
        <v>2260</v>
      </c>
      <c r="P279" s="18" t="s">
        <v>9787</v>
      </c>
      <c r="Q279" s="18" t="s">
        <v>7975</v>
      </c>
      <c r="R279" s="18" t="s">
        <v>7976</v>
      </c>
      <c r="S279" s="18" t="s">
        <v>8010</v>
      </c>
      <c r="T279" s="18" t="s">
        <v>8011</v>
      </c>
      <c r="U279" s="18" t="s">
        <v>8012</v>
      </c>
      <c r="V279" s="18" t="s">
        <v>6963</v>
      </c>
      <c r="W279" s="18" t="s">
        <v>95</v>
      </c>
      <c r="X279" s="18" t="s">
        <v>95</v>
      </c>
      <c r="Y279" s="18" t="s">
        <v>7980</v>
      </c>
      <c r="Z279" s="18" t="s">
        <v>6996</v>
      </c>
      <c r="AA279" s="69">
        <v>1</v>
      </c>
      <c r="AB279" s="18">
        <v>196.42857000000001</v>
      </c>
      <c r="AC279" s="18" t="s">
        <v>9788</v>
      </c>
      <c r="AD279" s="18" t="s">
        <v>7982</v>
      </c>
      <c r="AE279" s="18">
        <v>168.8</v>
      </c>
      <c r="AF279" s="18" t="s">
        <v>7983</v>
      </c>
      <c r="AG279" s="18">
        <v>168.8</v>
      </c>
      <c r="AH279" s="18" t="s">
        <v>95</v>
      </c>
      <c r="AI279" s="18" t="s">
        <v>7055</v>
      </c>
      <c r="AJ279" s="18" t="s">
        <v>7056</v>
      </c>
      <c r="AK279" s="18">
        <v>15</v>
      </c>
      <c r="AL279" s="18" t="s">
        <v>95</v>
      </c>
      <c r="AM279" s="18" t="s">
        <v>95</v>
      </c>
      <c r="AN279" s="18" t="s">
        <v>7984</v>
      </c>
      <c r="AO279" s="18" t="s">
        <v>8121</v>
      </c>
      <c r="AP279" s="20" t="s">
        <v>352</v>
      </c>
      <c r="AQ279" s="18" t="s">
        <v>353</v>
      </c>
      <c r="AR279" s="18" t="s">
        <v>496</v>
      </c>
      <c r="AS279" s="18">
        <v>1</v>
      </c>
      <c r="AT279" s="18" t="s">
        <v>122</v>
      </c>
      <c r="AU279" s="18" t="s">
        <v>90</v>
      </c>
      <c r="AV279" s="18" t="s">
        <v>8014</v>
      </c>
      <c r="AW279" s="18" t="s">
        <v>8015</v>
      </c>
      <c r="AX279" s="18" t="s">
        <v>83</v>
      </c>
      <c r="AY279" s="18" t="s">
        <v>95</v>
      </c>
      <c r="AZ279" s="18" t="s">
        <v>95</v>
      </c>
      <c r="BA279" s="18" t="s">
        <v>95</v>
      </c>
      <c r="BB279" s="18" t="s">
        <v>95</v>
      </c>
      <c r="BC279" s="18" t="s">
        <v>95</v>
      </c>
      <c r="BD279" s="18" t="s">
        <v>95</v>
      </c>
      <c r="BE279" s="18" t="s">
        <v>8476</v>
      </c>
      <c r="BF279" s="18" t="s">
        <v>8064</v>
      </c>
      <c r="BG279" s="18" t="s">
        <v>95</v>
      </c>
      <c r="BH279" s="18" t="s">
        <v>95</v>
      </c>
      <c r="BI279" s="18">
        <v>12</v>
      </c>
      <c r="BJ279" s="18">
        <v>2022</v>
      </c>
      <c r="BK279" s="18" t="s">
        <v>95</v>
      </c>
      <c r="BL279" s="18" t="s">
        <v>95</v>
      </c>
      <c r="BM279" s="18" t="s">
        <v>95</v>
      </c>
      <c r="BN279" s="18" t="s">
        <v>85</v>
      </c>
      <c r="BO279" s="18" t="s">
        <v>86</v>
      </c>
      <c r="BP279" s="18" t="s">
        <v>90</v>
      </c>
      <c r="BQ279" s="18" t="s">
        <v>8050</v>
      </c>
      <c r="BR279" s="18" t="s">
        <v>8121</v>
      </c>
      <c r="BS279" s="18" t="s">
        <v>8003</v>
      </c>
      <c r="BT279" s="18" t="s">
        <v>7989</v>
      </c>
      <c r="BU279" s="18" t="s">
        <v>496</v>
      </c>
      <c r="BV279" s="18" t="str">
        <f>Terminales[[#This Row],[IMEI]]&amp;"SI"</f>
        <v>359694275282157SI</v>
      </c>
      <c r="BW279" s="18" t="str">
        <f>VLOOKUP(Terminales[[#This Row],[OFICINA_USUARIO]],[1]!Locales[#Data],3,0)</f>
        <v>TIENDA MACHALA</v>
      </c>
      <c r="BX279" s="18" t="str">
        <f>VLOOKUP(Terminales[[#This Row],[USUARIO_FINAL]],'[1]Personal Ppto vs Real'!$A:$F,6,0)</f>
        <v>TENORIO MARIA DEL PILAR</v>
      </c>
      <c r="BY27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7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79" s="18">
        <f>DAY(Terminales[[#This Row],[FECHA_FACTURA]])</f>
        <v>14</v>
      </c>
      <c r="CB279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279" s="65">
        <f>IFERROR(IF(AND(Terminales[[#This Row],[CANTIDAD]] = 1,Terminales[[#This Row],[MOVIMIENTO]] = "RENOVACION"),Terminales[[#This Row],[TARIFA_BASICA]]*0.5,),)</f>
        <v>7.5</v>
      </c>
      <c r="CD279" s="65">
        <f>IF('[1]Resumen TM'!$AW$20 &lt; 0.4,0,Terminales[[#This Row],[MONTO]]*0.02)</f>
        <v>3.9285714</v>
      </c>
      <c r="CE279" s="66">
        <f>Terminales[[#This Row],[COMISIONES TERMINALES]]+Terminales[[#This Row],[COMISIONES RENOVACIONES]]+Terminales[[#This Row],[COMISIONES BONO]]</f>
        <v>31.071428400000002</v>
      </c>
      <c r="CF279" s="67">
        <f>(Terminales[[#This Row],[COMISIONES TERMINALES]]*VLOOKUP(Terminales[[#This Row],[LOCALES]],[1]!Calendario[#Data],3,0))/VLOOKUP(Terminales[[#This Row],[LOCALES]],[1]!Calendario[#Data],2,0)</f>
        <v>31.834975137931039</v>
      </c>
      <c r="CG279" s="67">
        <f>(Terminales[[#This Row],[COMISIONES RENOVACIONES]]*VLOOKUP(Terminales[[#This Row],[LOCALES]],[1]!Calendario[#Data],3,0))/VLOOKUP(Terminales[[#This Row],[LOCALES]],[1]!Calendario[#Data],2,0)</f>
        <v>12.155172413793103</v>
      </c>
      <c r="CH279" s="67">
        <f>(Terminales[[#This Row],[COMISIONES BONO]]*VLOOKUP(Terminales[[#This Row],[LOCALES]],[1]!Calendario[#Data],3,0))/VLOOKUP(Terminales[[#This Row],[LOCALES]],[1]!Calendario[#Data],2,0)</f>
        <v>6.3669950275862073</v>
      </c>
      <c r="CI279" s="67">
        <f>Terminales[[#This Row],[PROY. COM. TERMINALES]]+Terminales[[#This Row],[PROY. COM. RENOV.]]+Terminales[[#This Row],[PROY. COM. 2%]]</f>
        <v>50.357142579310349</v>
      </c>
    </row>
    <row r="280" spans="1:87" x14ac:dyDescent="0.25">
      <c r="A280" s="68">
        <v>44926</v>
      </c>
      <c r="B280" s="68">
        <v>44909</v>
      </c>
      <c r="C280" s="18" t="s">
        <v>291</v>
      </c>
      <c r="D280" s="18" t="s">
        <v>78</v>
      </c>
      <c r="E280" s="18" t="s">
        <v>231</v>
      </c>
      <c r="F280" s="18" t="s">
        <v>9789</v>
      </c>
      <c r="G280" s="18" t="s">
        <v>292</v>
      </c>
      <c r="H280" s="18" t="s">
        <v>494</v>
      </c>
      <c r="I280" s="18" t="s">
        <v>9790</v>
      </c>
      <c r="J280" s="18" t="s">
        <v>95</v>
      </c>
      <c r="K280" s="18" t="s">
        <v>7970</v>
      </c>
      <c r="L280" s="18" t="s">
        <v>9791</v>
      </c>
      <c r="M280" s="18" t="s">
        <v>9792</v>
      </c>
      <c r="N280" s="18" t="s">
        <v>9793</v>
      </c>
      <c r="O280" s="18" t="s">
        <v>8438</v>
      </c>
      <c r="P280" s="18" t="s">
        <v>9794</v>
      </c>
      <c r="Q280" s="18" t="s">
        <v>7975</v>
      </c>
      <c r="R280" s="18" t="s">
        <v>7976</v>
      </c>
      <c r="S280" s="18" t="s">
        <v>8070</v>
      </c>
      <c r="T280" s="18" t="s">
        <v>8364</v>
      </c>
      <c r="U280" s="18" t="s">
        <v>8012</v>
      </c>
      <c r="V280" s="18" t="s">
        <v>6963</v>
      </c>
      <c r="W280" s="18" t="s">
        <v>95</v>
      </c>
      <c r="X280" s="18" t="s">
        <v>95</v>
      </c>
      <c r="Y280" s="18" t="s">
        <v>7980</v>
      </c>
      <c r="Z280" s="18" t="s">
        <v>6996</v>
      </c>
      <c r="AA280" s="69">
        <v>1</v>
      </c>
      <c r="AB280" s="18">
        <v>281.25</v>
      </c>
      <c r="AC280" s="18" t="s">
        <v>9795</v>
      </c>
      <c r="AD280" s="18" t="s">
        <v>7982</v>
      </c>
      <c r="AE280" s="18">
        <v>259.99</v>
      </c>
      <c r="AF280" s="18" t="s">
        <v>7983</v>
      </c>
      <c r="AG280" s="18">
        <v>259.99</v>
      </c>
      <c r="AH280" s="18" t="s">
        <v>95</v>
      </c>
      <c r="AI280" s="18" t="s">
        <v>3972</v>
      </c>
      <c r="AJ280" s="18" t="s">
        <v>3973</v>
      </c>
      <c r="AK280" s="18">
        <v>26.78</v>
      </c>
      <c r="AL280" s="18" t="s">
        <v>95</v>
      </c>
      <c r="AM280" s="18" t="s">
        <v>95</v>
      </c>
      <c r="AN280" s="18" t="s">
        <v>7984</v>
      </c>
      <c r="AO280" s="18" t="s">
        <v>139</v>
      </c>
      <c r="AP280" s="20" t="s">
        <v>187</v>
      </c>
      <c r="AQ280" s="18" t="s">
        <v>188</v>
      </c>
      <c r="AR280" s="18" t="s">
        <v>496</v>
      </c>
      <c r="AS280" s="18">
        <v>1</v>
      </c>
      <c r="AT280" s="18" t="s">
        <v>177</v>
      </c>
      <c r="AU280" s="18" t="s">
        <v>90</v>
      </c>
      <c r="AV280" s="18" t="s">
        <v>8441</v>
      </c>
      <c r="AW280" s="18" t="s">
        <v>8442</v>
      </c>
      <c r="AX280" s="18" t="s">
        <v>83</v>
      </c>
      <c r="AY280" s="18" t="s">
        <v>95</v>
      </c>
      <c r="AZ280" s="18" t="s">
        <v>95</v>
      </c>
      <c r="BA280" s="18" t="s">
        <v>95</v>
      </c>
      <c r="BB280" s="18" t="s">
        <v>95</v>
      </c>
      <c r="BC280" s="18" t="s">
        <v>95</v>
      </c>
      <c r="BD280" s="18" t="s">
        <v>95</v>
      </c>
      <c r="BE280" s="18" t="s">
        <v>8476</v>
      </c>
      <c r="BF280" s="18" t="s">
        <v>8064</v>
      </c>
      <c r="BG280" s="18" t="s">
        <v>95</v>
      </c>
      <c r="BH280" s="18" t="s">
        <v>95</v>
      </c>
      <c r="BI280" s="18">
        <v>12</v>
      </c>
      <c r="BJ280" s="18">
        <v>2022</v>
      </c>
      <c r="BK280" s="18" t="s">
        <v>95</v>
      </c>
      <c r="BL280" s="18" t="s">
        <v>95</v>
      </c>
      <c r="BM280" s="18" t="s">
        <v>95</v>
      </c>
      <c r="BN280" s="18" t="s">
        <v>85</v>
      </c>
      <c r="BO280" s="18" t="s">
        <v>86</v>
      </c>
      <c r="BP280" s="18" t="s">
        <v>90</v>
      </c>
      <c r="BQ280" s="18" t="s">
        <v>8002</v>
      </c>
      <c r="BR280" s="18" t="s">
        <v>139</v>
      </c>
      <c r="BS280" s="18" t="s">
        <v>8003</v>
      </c>
      <c r="BT280" s="18" t="s">
        <v>7989</v>
      </c>
      <c r="BU280" s="18" t="s">
        <v>496</v>
      </c>
      <c r="BV280" s="18" t="str">
        <f>Terminales[[#This Row],[IMEI]]&amp;"SI"</f>
        <v>865954061249860SI</v>
      </c>
      <c r="BW280" s="18" t="str">
        <f>VLOOKUP(Terminales[[#This Row],[OFICINA_USUARIO]],[1]!Locales[#Data],3,0)</f>
        <v>TIENDA RECREO</v>
      </c>
      <c r="BX280" s="18" t="str">
        <f>VLOOKUP(Terminales[[#This Row],[USUARIO_FINAL]],'[1]Personal Ppto vs Real'!$A:$F,6,0)</f>
        <v>ESPINOZA MARTINES LAURA XIOMARA</v>
      </c>
      <c r="BY28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8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80" s="18">
        <f>DAY(Terminales[[#This Row],[FECHA_FACTURA]])</f>
        <v>14</v>
      </c>
      <c r="CB280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280" s="65">
        <f>IFERROR(IF(AND(Terminales[[#This Row],[CANTIDAD]] = 1,Terminales[[#This Row],[MOVIMIENTO]] = "RENOVACION"),Terminales[[#This Row],[TARIFA_BASICA]]*0.5,),)</f>
        <v>13.39</v>
      </c>
      <c r="CD280" s="65">
        <f>IF('[1]Resumen TM'!$AW$20 &lt; 0.4,0,Terminales[[#This Row],[MONTO]]*0.02)</f>
        <v>5.625</v>
      </c>
      <c r="CE280" s="66">
        <f>Terminales[[#This Row],[COMISIONES TERMINALES]]+Terminales[[#This Row],[COMISIONES RENOVACIONES]]+Terminales[[#This Row],[COMISIONES BONO]]</f>
        <v>47.14</v>
      </c>
      <c r="CF280" s="67">
        <f>(Terminales[[#This Row],[COMISIONES TERMINALES]]*VLOOKUP(Terminales[[#This Row],[LOCALES]],[1]!Calendario[#Data],3,0))/VLOOKUP(Terminales[[#This Row],[LOCALES]],[1]!Calendario[#Data],2,0)</f>
        <v>46.270161290322584</v>
      </c>
      <c r="CG280" s="67">
        <f>(Terminales[[#This Row],[COMISIONES RENOVACIONES]]*VLOOKUP(Terminales[[#This Row],[LOCALES]],[1]!Calendario[#Data],3,0))/VLOOKUP(Terminales[[#This Row],[LOCALES]],[1]!Calendario[#Data],2,0)</f>
        <v>22.028709677419354</v>
      </c>
      <c r="CH280" s="67">
        <f>(Terminales[[#This Row],[COMISIONES BONO]]*VLOOKUP(Terminales[[#This Row],[LOCALES]],[1]!Calendario[#Data],3,0))/VLOOKUP(Terminales[[#This Row],[LOCALES]],[1]!Calendario[#Data],2,0)</f>
        <v>9.254032258064516</v>
      </c>
      <c r="CI280" s="67">
        <f>Terminales[[#This Row],[PROY. COM. TERMINALES]]+Terminales[[#This Row],[PROY. COM. RENOV.]]+Terminales[[#This Row],[PROY. COM. 2%]]</f>
        <v>77.552903225806446</v>
      </c>
    </row>
    <row r="281" spans="1:87" x14ac:dyDescent="0.25">
      <c r="A281" s="68">
        <v>44926</v>
      </c>
      <c r="B281" s="68">
        <v>44909</v>
      </c>
      <c r="C281" s="18" t="s">
        <v>291</v>
      </c>
      <c r="D281" s="18" t="s">
        <v>78</v>
      </c>
      <c r="E281" s="18" t="s">
        <v>2241</v>
      </c>
      <c r="F281" s="18" t="s">
        <v>7135</v>
      </c>
      <c r="G281" s="18" t="s">
        <v>292</v>
      </c>
      <c r="H281" s="18" t="s">
        <v>494</v>
      </c>
      <c r="I281" s="18" t="s">
        <v>9796</v>
      </c>
      <c r="J281" s="18" t="s">
        <v>95</v>
      </c>
      <c r="K281" s="18" t="s">
        <v>7970</v>
      </c>
      <c r="L281" s="18" t="s">
        <v>9797</v>
      </c>
      <c r="M281" s="18" t="s">
        <v>9798</v>
      </c>
      <c r="N281" s="18" t="s">
        <v>7137</v>
      </c>
      <c r="O281" s="18" t="s">
        <v>543</v>
      </c>
      <c r="P281" s="18" t="s">
        <v>9799</v>
      </c>
      <c r="Q281" s="18" t="s">
        <v>7975</v>
      </c>
      <c r="R281" s="18" t="s">
        <v>7976</v>
      </c>
      <c r="S281" s="18" t="s">
        <v>7994</v>
      </c>
      <c r="T281" s="18" t="s">
        <v>8245</v>
      </c>
      <c r="U281" s="18" t="s">
        <v>8012</v>
      </c>
      <c r="V281" s="18" t="s">
        <v>6963</v>
      </c>
      <c r="W281" s="18" t="s">
        <v>95</v>
      </c>
      <c r="X281" s="18" t="s">
        <v>95</v>
      </c>
      <c r="Y281" s="18" t="s">
        <v>7980</v>
      </c>
      <c r="Z281" s="18" t="s">
        <v>6996</v>
      </c>
      <c r="AA281" s="69">
        <v>1</v>
      </c>
      <c r="AB281" s="18">
        <v>156.25</v>
      </c>
      <c r="AC281" s="18" t="s">
        <v>7136</v>
      </c>
      <c r="AD281" s="18" t="s">
        <v>7982</v>
      </c>
      <c r="AE281" s="18">
        <v>156</v>
      </c>
      <c r="AF281" s="18" t="s">
        <v>7983</v>
      </c>
      <c r="AG281" s="18">
        <v>156</v>
      </c>
      <c r="AH281" s="18" t="s">
        <v>95</v>
      </c>
      <c r="AI281" s="18" t="s">
        <v>4157</v>
      </c>
      <c r="AJ281" s="18" t="s">
        <v>7138</v>
      </c>
      <c r="AK281" s="18">
        <v>32.130000000000003</v>
      </c>
      <c r="AL281" s="18" t="s">
        <v>95</v>
      </c>
      <c r="AM281" s="18" t="s">
        <v>95</v>
      </c>
      <c r="AN281" s="18" t="s">
        <v>7984</v>
      </c>
      <c r="AO281" s="18" t="s">
        <v>139</v>
      </c>
      <c r="AP281" s="20" t="s">
        <v>478</v>
      </c>
      <c r="AQ281" s="18" t="s">
        <v>479</v>
      </c>
      <c r="AR281" s="18" t="s">
        <v>496</v>
      </c>
      <c r="AS281" s="18">
        <v>1</v>
      </c>
      <c r="AT281" s="18" t="s">
        <v>138</v>
      </c>
      <c r="AU281" s="18" t="s">
        <v>90</v>
      </c>
      <c r="AV281" s="18" t="s">
        <v>8247</v>
      </c>
      <c r="AW281" s="18" t="s">
        <v>8248</v>
      </c>
      <c r="AX281" s="18" t="s">
        <v>83</v>
      </c>
      <c r="AY281" s="18" t="s">
        <v>95</v>
      </c>
      <c r="AZ281" s="18" t="s">
        <v>95</v>
      </c>
      <c r="BA281" s="18" t="s">
        <v>95</v>
      </c>
      <c r="BB281" s="18" t="s">
        <v>95</v>
      </c>
      <c r="BC281" s="18" t="s">
        <v>95</v>
      </c>
      <c r="BD281" s="18" t="s">
        <v>95</v>
      </c>
      <c r="BE281" s="18" t="s">
        <v>95</v>
      </c>
      <c r="BF281" s="18" t="s">
        <v>95</v>
      </c>
      <c r="BG281" s="18" t="s">
        <v>95</v>
      </c>
      <c r="BH281" s="18" t="s">
        <v>95</v>
      </c>
      <c r="BI281" s="18">
        <v>12</v>
      </c>
      <c r="BJ281" s="18">
        <v>2022</v>
      </c>
      <c r="BK281" s="18" t="s">
        <v>95</v>
      </c>
      <c r="BL281" s="18" t="s">
        <v>95</v>
      </c>
      <c r="BM281" s="18" t="s">
        <v>95</v>
      </c>
      <c r="BN281" s="18" t="s">
        <v>85</v>
      </c>
      <c r="BO281" s="18" t="s">
        <v>86</v>
      </c>
      <c r="BP281" s="18" t="s">
        <v>90</v>
      </c>
      <c r="BQ281" s="18" t="s">
        <v>7987</v>
      </c>
      <c r="BR281" s="18" t="s">
        <v>139</v>
      </c>
      <c r="BS281" s="18" t="s">
        <v>8074</v>
      </c>
      <c r="BT281" s="18" t="s">
        <v>7989</v>
      </c>
      <c r="BU281" s="18" t="s">
        <v>496</v>
      </c>
      <c r="BV281" s="18" t="str">
        <f>Terminales[[#This Row],[IMEI]]&amp;"SI"</f>
        <v>355108340306804SI</v>
      </c>
      <c r="BW281" s="18" t="str">
        <f>VLOOKUP(Terminales[[#This Row],[OFICINA_USUARIO]],[1]!Locales[#Data],3,0)</f>
        <v>TIENDA AMERICA</v>
      </c>
      <c r="BX281" s="18" t="str">
        <f>VLOOKUP(Terminales[[#This Row],[USUARIO_FINAL]],'[1]Personal Ppto vs Real'!$A:$F,6,0)</f>
        <v>REINO TUFINO PAULTEH KATHERINE</v>
      </c>
      <c r="BY28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8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81" s="18">
        <f>DAY(Terminales[[#This Row],[FECHA_FACTURA]])</f>
        <v>14</v>
      </c>
      <c r="CB281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281" s="65">
        <f>IFERROR(IF(AND(Terminales[[#This Row],[CANTIDAD]] = 1,Terminales[[#This Row],[MOVIMIENTO]] = "RENOVACION"),Terminales[[#This Row],[TARIFA_BASICA]]*0.5,),)</f>
        <v>16.065000000000001</v>
      </c>
      <c r="CD281" s="65">
        <f>IF('[1]Resumen TM'!$AW$20 &lt; 0.4,0,Terminales[[#This Row],[MONTO]]*0.02)</f>
        <v>3.125</v>
      </c>
      <c r="CE281" s="66">
        <f>Terminales[[#This Row],[COMISIONES TERMINALES]]+Terminales[[#This Row],[COMISIONES RENOVACIONES]]+Terminales[[#This Row],[COMISIONES BONO]]</f>
        <v>34.814999999999998</v>
      </c>
      <c r="CF281" s="67">
        <f>(Terminales[[#This Row],[COMISIONES TERMINALES]]*VLOOKUP(Terminales[[#This Row],[LOCALES]],[1]!Calendario[#Data],3,0))/VLOOKUP(Terminales[[#This Row],[LOCALES]],[1]!Calendario[#Data],2,0)</f>
        <v>25.669642857142858</v>
      </c>
      <c r="CG281" s="67">
        <f>(Terminales[[#This Row],[COMISIONES RENOVACIONES]]*VLOOKUP(Terminales[[#This Row],[LOCALES]],[1]!Calendario[#Data],3,0))/VLOOKUP(Terminales[[#This Row],[LOCALES]],[1]!Calendario[#Data],2,0)</f>
        <v>26.392500000000002</v>
      </c>
      <c r="CH281" s="67">
        <f>(Terminales[[#This Row],[COMISIONES BONO]]*VLOOKUP(Terminales[[#This Row],[LOCALES]],[1]!Calendario[#Data],3,0))/VLOOKUP(Terminales[[#This Row],[LOCALES]],[1]!Calendario[#Data],2,0)</f>
        <v>5.1339285714285712</v>
      </c>
      <c r="CI281" s="67">
        <f>Terminales[[#This Row],[PROY. COM. TERMINALES]]+Terminales[[#This Row],[PROY. COM. RENOV.]]+Terminales[[#This Row],[PROY. COM. 2%]]</f>
        <v>57.196071428571429</v>
      </c>
    </row>
    <row r="282" spans="1:87" x14ac:dyDescent="0.25">
      <c r="A282" s="68">
        <v>44926</v>
      </c>
      <c r="B282" s="68">
        <v>44909</v>
      </c>
      <c r="C282" s="18" t="s">
        <v>96</v>
      </c>
      <c r="D282" s="18" t="s">
        <v>96</v>
      </c>
      <c r="E282" s="18" t="s">
        <v>96</v>
      </c>
      <c r="F282" s="18" t="s">
        <v>9800</v>
      </c>
      <c r="G282" s="18" t="s">
        <v>292</v>
      </c>
      <c r="H282" s="18" t="s">
        <v>494</v>
      </c>
      <c r="I282" s="18" t="s">
        <v>9801</v>
      </c>
      <c r="J282" s="18" t="s">
        <v>95</v>
      </c>
      <c r="K282" s="18" t="s">
        <v>7970</v>
      </c>
      <c r="L282" s="18" t="s">
        <v>9802</v>
      </c>
      <c r="M282" s="18" t="s">
        <v>2624</v>
      </c>
      <c r="N282" s="18" t="s">
        <v>2625</v>
      </c>
      <c r="O282" s="18" t="s">
        <v>4380</v>
      </c>
      <c r="P282" s="18" t="s">
        <v>9803</v>
      </c>
      <c r="Q282" s="18" t="s">
        <v>7975</v>
      </c>
      <c r="R282" s="18" t="s">
        <v>7976</v>
      </c>
      <c r="S282" s="18" t="s">
        <v>7994</v>
      </c>
      <c r="T282" s="18" t="s">
        <v>7995</v>
      </c>
      <c r="U282" s="18" t="s">
        <v>7996</v>
      </c>
      <c r="V282" s="18" t="s">
        <v>6963</v>
      </c>
      <c r="W282" s="18" t="s">
        <v>95</v>
      </c>
      <c r="X282" s="18" t="s">
        <v>95</v>
      </c>
      <c r="Y282" s="18" t="s">
        <v>7980</v>
      </c>
      <c r="Z282" s="18" t="s">
        <v>6996</v>
      </c>
      <c r="AA282" s="69">
        <v>1</v>
      </c>
      <c r="AB282" s="18">
        <v>125</v>
      </c>
      <c r="AC282" s="18" t="s">
        <v>9804</v>
      </c>
      <c r="AD282" s="18" t="s">
        <v>7982</v>
      </c>
      <c r="AE282" s="18">
        <v>102</v>
      </c>
      <c r="AF282" s="18" t="s">
        <v>7983</v>
      </c>
      <c r="AG282" s="18">
        <v>102</v>
      </c>
      <c r="AH282" s="18" t="s">
        <v>95</v>
      </c>
      <c r="AI282" s="18" t="s">
        <v>8102</v>
      </c>
      <c r="AJ282" s="18" t="s">
        <v>8103</v>
      </c>
      <c r="AK282" s="18" t="s">
        <v>95</v>
      </c>
      <c r="AL282" s="18" t="s">
        <v>95</v>
      </c>
      <c r="AM282" s="18" t="s">
        <v>95</v>
      </c>
      <c r="AN282" s="18" t="s">
        <v>7984</v>
      </c>
      <c r="AO282" s="18" t="s">
        <v>92</v>
      </c>
      <c r="AP282" s="20" t="s">
        <v>242</v>
      </c>
      <c r="AQ282" s="18" t="s">
        <v>243</v>
      </c>
      <c r="AR282" s="18" t="s">
        <v>496</v>
      </c>
      <c r="AS282" s="18">
        <v>1</v>
      </c>
      <c r="AT282" s="18" t="s">
        <v>91</v>
      </c>
      <c r="AU282" s="18" t="s">
        <v>90</v>
      </c>
      <c r="AV282" s="18" t="s">
        <v>7998</v>
      </c>
      <c r="AW282" s="18" t="s">
        <v>7999</v>
      </c>
      <c r="AX282" s="18" t="s">
        <v>83</v>
      </c>
      <c r="AY282" s="18" t="s">
        <v>95</v>
      </c>
      <c r="AZ282" s="18" t="s">
        <v>95</v>
      </c>
      <c r="BA282" s="18" t="s">
        <v>95</v>
      </c>
      <c r="BB282" s="18" t="s">
        <v>95</v>
      </c>
      <c r="BC282" s="18" t="s">
        <v>95</v>
      </c>
      <c r="BD282" s="18" t="s">
        <v>95</v>
      </c>
      <c r="BE282" s="18" t="s">
        <v>95</v>
      </c>
      <c r="BF282" s="18" t="s">
        <v>95</v>
      </c>
      <c r="BG282" s="18" t="s">
        <v>95</v>
      </c>
      <c r="BH282" s="18" t="s">
        <v>95</v>
      </c>
      <c r="BI282" s="18">
        <v>12</v>
      </c>
      <c r="BJ282" s="18">
        <v>2022</v>
      </c>
      <c r="BK282" s="18" t="s">
        <v>95</v>
      </c>
      <c r="BL282" s="18" t="s">
        <v>95</v>
      </c>
      <c r="BM282" s="18" t="s">
        <v>95</v>
      </c>
      <c r="BN282" s="18" t="s">
        <v>85</v>
      </c>
      <c r="BO282" s="18" t="s">
        <v>86</v>
      </c>
      <c r="BP282" s="18" t="s">
        <v>90</v>
      </c>
      <c r="BQ282" s="18" t="s">
        <v>8106</v>
      </c>
      <c r="BR282" s="18" t="s">
        <v>92</v>
      </c>
      <c r="BS282" s="18" t="s">
        <v>8074</v>
      </c>
      <c r="BT282" s="18" t="s">
        <v>7989</v>
      </c>
      <c r="BU282" s="18" t="s">
        <v>496</v>
      </c>
      <c r="BV282" s="18" t="str">
        <f>Terminales[[#This Row],[IMEI]]&amp;"SI"</f>
        <v>357321213159881SI</v>
      </c>
      <c r="BW282" s="18" t="str">
        <f>VLOOKUP(Terminales[[#This Row],[OFICINA_USUARIO]],[1]!Locales[#Data],3,0)</f>
        <v>TIENDA CUENCA CENTRO</v>
      </c>
      <c r="BX282" s="18" t="str">
        <f>VLOOKUP(Terminales[[#This Row],[USUARIO_FINAL]],'[1]Personal Ppto vs Real'!$A:$F,6,0)</f>
        <v>VALLEJO DELEG ROMAN NICOLAS</v>
      </c>
      <c r="BY28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8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82" s="18">
        <f>DAY(Terminales[[#This Row],[FECHA_FACTURA]])</f>
        <v>14</v>
      </c>
      <c r="CB282" s="65">
        <f>IF(Terminales[[#This Row],[CANTIDAD]] = 1,INDEX([1]!Comisiones[#Data],MATCH("Terminales",[1]!Comisiones[Producto],0),MATCH(Terminales[[#This Row],[TIPO ALTA COMISIONES]],[1]!Comisiones[#Headers],0))*Terminales[[#This Row],[MONTO]],0)</f>
        <v>12.5</v>
      </c>
      <c r="CC282" s="65">
        <f>IFERROR(IF(AND(Terminales[[#This Row],[CANTIDAD]] = 1,Terminales[[#This Row],[MOVIMIENTO]] = "RENOVACION"),Terminales[[#This Row],[TARIFA_BASICA]]*0.5,),)</f>
        <v>0</v>
      </c>
      <c r="CD282" s="65">
        <f>IF('[1]Resumen TM'!$AW$20 &lt; 0.4,0,Terminales[[#This Row],[MONTO]]*0.02)</f>
        <v>2.5</v>
      </c>
      <c r="CE282" s="66">
        <f>Terminales[[#This Row],[COMISIONES TERMINALES]]+Terminales[[#This Row],[COMISIONES RENOVACIONES]]+Terminales[[#This Row],[COMISIONES BONO]]</f>
        <v>15</v>
      </c>
      <c r="CF282" s="67">
        <f>(Terminales[[#This Row],[COMISIONES TERMINALES]]*VLOOKUP(Terminales[[#This Row],[LOCALES]],[1]!Calendario[#Data],3,0))/VLOOKUP(Terminales[[#This Row],[LOCALES]],[1]!Calendario[#Data],2,0)</f>
        <v>20.258620689655171</v>
      </c>
      <c r="CG282" s="67">
        <f>(Terminales[[#This Row],[COMISIONES RENOVACIONES]]*VLOOKUP(Terminales[[#This Row],[LOCALES]],[1]!Calendario[#Data],3,0))/VLOOKUP(Terminales[[#This Row],[LOCALES]],[1]!Calendario[#Data],2,0)</f>
        <v>0</v>
      </c>
      <c r="CH282" s="67">
        <f>(Terminales[[#This Row],[COMISIONES BONO]]*VLOOKUP(Terminales[[#This Row],[LOCALES]],[1]!Calendario[#Data],3,0))/VLOOKUP(Terminales[[#This Row],[LOCALES]],[1]!Calendario[#Data],2,0)</f>
        <v>4.0517241379310347</v>
      </c>
      <c r="CI282" s="67">
        <f>Terminales[[#This Row],[PROY. COM. TERMINALES]]+Terminales[[#This Row],[PROY. COM. RENOV.]]+Terminales[[#This Row],[PROY. COM. 2%]]</f>
        <v>24.310344827586206</v>
      </c>
    </row>
    <row r="283" spans="1:87" x14ac:dyDescent="0.25">
      <c r="A283" s="68">
        <v>44926</v>
      </c>
      <c r="B283" s="68">
        <v>44909</v>
      </c>
      <c r="C283" s="18" t="s">
        <v>291</v>
      </c>
      <c r="D283" s="18" t="s">
        <v>95</v>
      </c>
      <c r="E283" s="18" t="s">
        <v>95</v>
      </c>
      <c r="F283" s="18" t="s">
        <v>95</v>
      </c>
      <c r="G283" s="18" t="s">
        <v>292</v>
      </c>
      <c r="H283" s="18" t="s">
        <v>494</v>
      </c>
      <c r="I283" s="18" t="s">
        <v>9805</v>
      </c>
      <c r="J283" s="18" t="s">
        <v>95</v>
      </c>
      <c r="K283" s="18" t="s">
        <v>7970</v>
      </c>
      <c r="L283" s="18" t="s">
        <v>9806</v>
      </c>
      <c r="M283" s="18" t="s">
        <v>9807</v>
      </c>
      <c r="N283" s="18" t="s">
        <v>9808</v>
      </c>
      <c r="O283" s="18" t="s">
        <v>354</v>
      </c>
      <c r="P283" s="18" t="s">
        <v>9809</v>
      </c>
      <c r="Q283" s="18" t="s">
        <v>7975</v>
      </c>
      <c r="R283" s="18" t="s">
        <v>7976</v>
      </c>
      <c r="S283" s="18" t="s">
        <v>8070</v>
      </c>
      <c r="T283" s="18" t="s">
        <v>8071</v>
      </c>
      <c r="U283" s="18" t="s">
        <v>8012</v>
      </c>
      <c r="V283" s="18" t="s">
        <v>6963</v>
      </c>
      <c r="W283" s="18" t="s">
        <v>95</v>
      </c>
      <c r="X283" s="18" t="s">
        <v>95</v>
      </c>
      <c r="Y283" s="18" t="s">
        <v>8226</v>
      </c>
      <c r="Z283" s="18" t="s">
        <v>8227</v>
      </c>
      <c r="AA283" s="69">
        <v>1</v>
      </c>
      <c r="AB283" s="18">
        <v>205.35713999999999</v>
      </c>
      <c r="AC283" s="18" t="s">
        <v>95</v>
      </c>
      <c r="AD283" s="18" t="s">
        <v>8151</v>
      </c>
      <c r="AE283" s="18">
        <v>199.79</v>
      </c>
      <c r="AF283" s="18" t="s">
        <v>7983</v>
      </c>
      <c r="AG283" s="18">
        <v>199.79</v>
      </c>
      <c r="AH283" s="18" t="s">
        <v>95</v>
      </c>
      <c r="AI283" s="18" t="s">
        <v>95</v>
      </c>
      <c r="AJ283" s="18" t="s">
        <v>95</v>
      </c>
      <c r="AK283" s="18" t="s">
        <v>95</v>
      </c>
      <c r="AL283" s="18" t="s">
        <v>95</v>
      </c>
      <c r="AM283" s="18" t="s">
        <v>95</v>
      </c>
      <c r="AN283" s="18" t="s">
        <v>7984</v>
      </c>
      <c r="AO283" s="18" t="s">
        <v>139</v>
      </c>
      <c r="AP283" s="20" t="s">
        <v>377</v>
      </c>
      <c r="AQ283" s="18" t="s">
        <v>378</v>
      </c>
      <c r="AR283" s="18" t="s">
        <v>496</v>
      </c>
      <c r="AS283" s="18">
        <v>1</v>
      </c>
      <c r="AT283" s="18" t="s">
        <v>235</v>
      </c>
      <c r="AU283" s="18" t="s">
        <v>90</v>
      </c>
      <c r="AV283" s="18" t="s">
        <v>8072</v>
      </c>
      <c r="AW283" s="18" t="s">
        <v>8073</v>
      </c>
      <c r="AX283" s="18" t="s">
        <v>83</v>
      </c>
      <c r="AY283" s="18" t="s">
        <v>95</v>
      </c>
      <c r="AZ283" s="18" t="s">
        <v>95</v>
      </c>
      <c r="BA283" s="18" t="s">
        <v>95</v>
      </c>
      <c r="BB283" s="18" t="s">
        <v>95</v>
      </c>
      <c r="BC283" s="18" t="s">
        <v>95</v>
      </c>
      <c r="BD283" s="18" t="s">
        <v>95</v>
      </c>
      <c r="BE283" s="18" t="s">
        <v>95</v>
      </c>
      <c r="BF283" s="18" t="s">
        <v>95</v>
      </c>
      <c r="BG283" s="18" t="s">
        <v>95</v>
      </c>
      <c r="BH283" s="18" t="s">
        <v>95</v>
      </c>
      <c r="BI283" s="18">
        <v>12</v>
      </c>
      <c r="BJ283" s="18">
        <v>2022</v>
      </c>
      <c r="BK283" s="18" t="s">
        <v>95</v>
      </c>
      <c r="BL283" s="18" t="s">
        <v>95</v>
      </c>
      <c r="BM283" s="18" t="s">
        <v>95</v>
      </c>
      <c r="BN283" s="18" t="s">
        <v>8231</v>
      </c>
      <c r="BO283" s="18" t="s">
        <v>86</v>
      </c>
      <c r="BP283" s="18" t="s">
        <v>90</v>
      </c>
      <c r="BQ283" s="18" t="s">
        <v>8016</v>
      </c>
      <c r="BR283" s="18" t="s">
        <v>8232</v>
      </c>
      <c r="BS283" s="18" t="s">
        <v>8074</v>
      </c>
      <c r="BT283" s="18" t="s">
        <v>7989</v>
      </c>
      <c r="BU283" s="18" t="s">
        <v>496</v>
      </c>
      <c r="BV283" s="18" t="str">
        <f>Terminales[[#This Row],[IMEI]]&amp;"SI"</f>
        <v>869113065872203SI</v>
      </c>
      <c r="BW283" s="18" t="str">
        <f>VLOOKUP(Terminales[[#This Row],[OFICINA_USUARIO]],[1]!Locales[#Data],3,0)</f>
        <v>TIENDA CONDADO</v>
      </c>
      <c r="BX283" s="18" t="str">
        <f>VLOOKUP(Terminales[[#This Row],[USUARIO_FINAL]],'[1]Personal Ppto vs Real'!$A:$F,6,0)</f>
        <v>MELCHIADE ISAAC VALMORE</v>
      </c>
      <c r="BY283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28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83" s="18">
        <f>DAY(Terminales[[#This Row],[FECHA_FACTURA]])</f>
        <v>14</v>
      </c>
      <c r="CB283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283" s="65">
        <f>IFERROR(IF(AND(Terminales[[#This Row],[CANTIDAD]] = 1,Terminales[[#This Row],[MOVIMIENTO]] = "RENOVACION"),Terminales[[#This Row],[TARIFA_BASICA]]*0.5,),)</f>
        <v>0</v>
      </c>
      <c r="CD283" s="65">
        <f>IF('[1]Resumen TM'!$AW$20 &lt; 0.4,0,Terminales[[#This Row],[MONTO]]*0.02)</f>
        <v>4.1071428000000001</v>
      </c>
      <c r="CE283" s="66">
        <f>Terminales[[#This Row],[COMISIONES TERMINALES]]+Terminales[[#This Row],[COMISIONES RENOVACIONES]]+Terminales[[#This Row],[COMISIONES BONO]]</f>
        <v>24.642856799999997</v>
      </c>
      <c r="CF283" s="67">
        <f>(Terminales[[#This Row],[COMISIONES TERMINALES]]*VLOOKUP(Terminales[[#This Row],[LOCALES]],[1]!Calendario[#Data],3,0))/VLOOKUP(Terminales[[#This Row],[LOCALES]],[1]!Calendario[#Data],2,0)</f>
        <v>33.784561741935484</v>
      </c>
      <c r="CG283" s="67">
        <f>(Terminales[[#This Row],[COMISIONES RENOVACIONES]]*VLOOKUP(Terminales[[#This Row],[LOCALES]],[1]!Calendario[#Data],3,0))/VLOOKUP(Terminales[[#This Row],[LOCALES]],[1]!Calendario[#Data],2,0)</f>
        <v>0</v>
      </c>
      <c r="CH283" s="67">
        <f>(Terminales[[#This Row],[COMISIONES BONO]]*VLOOKUP(Terminales[[#This Row],[LOCALES]],[1]!Calendario[#Data],3,0))/VLOOKUP(Terminales[[#This Row],[LOCALES]],[1]!Calendario[#Data],2,0)</f>
        <v>6.7569123483870968</v>
      </c>
      <c r="CI283" s="67">
        <f>Terminales[[#This Row],[PROY. COM. TERMINALES]]+Terminales[[#This Row],[PROY. COM. RENOV.]]+Terminales[[#This Row],[PROY. COM. 2%]]</f>
        <v>40.541474090322581</v>
      </c>
    </row>
    <row r="284" spans="1:87" x14ac:dyDescent="0.25">
      <c r="A284" s="68">
        <v>44926</v>
      </c>
      <c r="B284" s="68">
        <v>44909</v>
      </c>
      <c r="C284" s="18" t="s">
        <v>96</v>
      </c>
      <c r="D284" s="18" t="s">
        <v>96</v>
      </c>
      <c r="E284" s="18" t="s">
        <v>96</v>
      </c>
      <c r="F284" s="18" t="s">
        <v>9810</v>
      </c>
      <c r="G284" s="18" t="s">
        <v>292</v>
      </c>
      <c r="H284" s="18" t="s">
        <v>494</v>
      </c>
      <c r="I284" s="18" t="s">
        <v>9811</v>
      </c>
      <c r="J284" s="18" t="s">
        <v>95</v>
      </c>
      <c r="K284" s="18" t="s">
        <v>7970</v>
      </c>
      <c r="L284" s="18" t="s">
        <v>9812</v>
      </c>
      <c r="M284" s="18" t="s">
        <v>499</v>
      </c>
      <c r="N284" s="18" t="s">
        <v>500</v>
      </c>
      <c r="O284" s="18" t="s">
        <v>9200</v>
      </c>
      <c r="P284" s="18" t="s">
        <v>9813</v>
      </c>
      <c r="Q284" s="18" t="s">
        <v>7975</v>
      </c>
      <c r="R284" s="18" t="s">
        <v>7976</v>
      </c>
      <c r="S284" s="18" t="s">
        <v>8045</v>
      </c>
      <c r="T284" s="18" t="s">
        <v>9171</v>
      </c>
      <c r="U284" s="18" t="s">
        <v>7979</v>
      </c>
      <c r="V284" s="18" t="s">
        <v>6963</v>
      </c>
      <c r="W284" s="18" t="s">
        <v>95</v>
      </c>
      <c r="X284" s="18" t="s">
        <v>95</v>
      </c>
      <c r="Y284" s="18" t="s">
        <v>7980</v>
      </c>
      <c r="Z284" s="18" t="s">
        <v>6996</v>
      </c>
      <c r="AA284" s="69">
        <v>1</v>
      </c>
      <c r="AB284" s="18">
        <v>375</v>
      </c>
      <c r="AC284" s="18" t="s">
        <v>9814</v>
      </c>
      <c r="AD284" s="18" t="s">
        <v>96</v>
      </c>
      <c r="AE284" s="18">
        <v>329.5</v>
      </c>
      <c r="AF284" s="18" t="s">
        <v>7983</v>
      </c>
      <c r="AG284" s="18">
        <v>329.5</v>
      </c>
      <c r="AH284" s="18" t="s">
        <v>95</v>
      </c>
      <c r="AI284" s="18" t="s">
        <v>8102</v>
      </c>
      <c r="AJ284" s="18" t="s">
        <v>8103</v>
      </c>
      <c r="AK284" s="18" t="s">
        <v>95</v>
      </c>
      <c r="AL284" s="18" t="s">
        <v>95</v>
      </c>
      <c r="AM284" s="18" t="s">
        <v>95</v>
      </c>
      <c r="AN284" s="18" t="s">
        <v>7984</v>
      </c>
      <c r="AO284" s="18" t="s">
        <v>139</v>
      </c>
      <c r="AP284" s="20" t="s">
        <v>136</v>
      </c>
      <c r="AQ284" s="18" t="s">
        <v>137</v>
      </c>
      <c r="AR284" s="18" t="s">
        <v>496</v>
      </c>
      <c r="AS284" s="18">
        <v>1</v>
      </c>
      <c r="AT284" s="18" t="s">
        <v>138</v>
      </c>
      <c r="AU284" s="18" t="s">
        <v>90</v>
      </c>
      <c r="AV284" s="18" t="s">
        <v>9203</v>
      </c>
      <c r="AW284" s="18" t="s">
        <v>9204</v>
      </c>
      <c r="AX284" s="18" t="s">
        <v>83</v>
      </c>
      <c r="AY284" s="18" t="s">
        <v>95</v>
      </c>
      <c r="AZ284" s="18" t="s">
        <v>95</v>
      </c>
      <c r="BA284" s="18" t="s">
        <v>95</v>
      </c>
      <c r="BB284" s="18" t="s">
        <v>95</v>
      </c>
      <c r="BC284" s="18" t="s">
        <v>95</v>
      </c>
      <c r="BD284" s="18" t="s">
        <v>95</v>
      </c>
      <c r="BE284" s="18" t="s">
        <v>8000</v>
      </c>
      <c r="BF284" s="18" t="s">
        <v>8279</v>
      </c>
      <c r="BG284" s="18" t="s">
        <v>95</v>
      </c>
      <c r="BH284" s="18" t="s">
        <v>95</v>
      </c>
      <c r="BI284" s="18">
        <v>12</v>
      </c>
      <c r="BJ284" s="18">
        <v>2022</v>
      </c>
      <c r="BK284" s="18" t="s">
        <v>95</v>
      </c>
      <c r="BL284" s="18" t="s">
        <v>95</v>
      </c>
      <c r="BM284" s="18" t="s">
        <v>95</v>
      </c>
      <c r="BN284" s="18" t="s">
        <v>85</v>
      </c>
      <c r="BO284" s="18" t="s">
        <v>86</v>
      </c>
      <c r="BP284" s="18" t="s">
        <v>90</v>
      </c>
      <c r="BQ284" s="18" t="s">
        <v>7987</v>
      </c>
      <c r="BR284" s="18" t="s">
        <v>139</v>
      </c>
      <c r="BS284" s="18" t="s">
        <v>8003</v>
      </c>
      <c r="BT284" s="18" t="s">
        <v>7989</v>
      </c>
      <c r="BU284" s="18" t="s">
        <v>496</v>
      </c>
      <c r="BV284" s="18" t="str">
        <f>Terminales[[#This Row],[IMEI]]&amp;"SI"</f>
        <v>352429893051008SI</v>
      </c>
      <c r="BW284" s="18" t="str">
        <f>VLOOKUP(Terminales[[#This Row],[OFICINA_USUARIO]],[1]!Locales[#Data],3,0)</f>
        <v>TIENDA AMERICA</v>
      </c>
      <c r="BX284" s="18" t="str">
        <f>VLOOKUP(Terminales[[#This Row],[USUARIO_FINAL]],'[1]Personal Ppto vs Real'!$A:$F,6,0)</f>
        <v>SALVATIERRA GUERRA JULIAN ENRIQUE</v>
      </c>
      <c r="BY28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8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84" s="18">
        <f>DAY(Terminales[[#This Row],[FECHA_FACTURA]])</f>
        <v>14</v>
      </c>
      <c r="CB284" s="65">
        <f>IF(Terminales[[#This Row],[CANTIDAD]] = 1,INDEX([1]!Comisiones[#Data],MATCH("Terminales",[1]!Comisiones[Producto],0),MATCH(Terminales[[#This Row],[TIPO ALTA COMISIONES]],[1]!Comisiones[#Headers],0))*Terminales[[#This Row],[MONTO]],0)</f>
        <v>37.5</v>
      </c>
      <c r="CC284" s="65">
        <f>IFERROR(IF(AND(Terminales[[#This Row],[CANTIDAD]] = 1,Terminales[[#This Row],[MOVIMIENTO]] = "RENOVACION"),Terminales[[#This Row],[TARIFA_BASICA]]*0.5,),)</f>
        <v>0</v>
      </c>
      <c r="CD284" s="65">
        <f>IF('[1]Resumen TM'!$AW$20 &lt; 0.4,0,Terminales[[#This Row],[MONTO]]*0.02)</f>
        <v>7.5</v>
      </c>
      <c r="CE284" s="66">
        <f>Terminales[[#This Row],[COMISIONES TERMINALES]]+Terminales[[#This Row],[COMISIONES RENOVACIONES]]+Terminales[[#This Row],[COMISIONES BONO]]</f>
        <v>45</v>
      </c>
      <c r="CF284" s="67">
        <f>(Terminales[[#This Row],[COMISIONES TERMINALES]]*VLOOKUP(Terminales[[#This Row],[LOCALES]],[1]!Calendario[#Data],3,0))/VLOOKUP(Terminales[[#This Row],[LOCALES]],[1]!Calendario[#Data],2,0)</f>
        <v>61.607142857142854</v>
      </c>
      <c r="CG284" s="67">
        <f>(Terminales[[#This Row],[COMISIONES RENOVACIONES]]*VLOOKUP(Terminales[[#This Row],[LOCALES]],[1]!Calendario[#Data],3,0))/VLOOKUP(Terminales[[#This Row],[LOCALES]],[1]!Calendario[#Data],2,0)</f>
        <v>0</v>
      </c>
      <c r="CH284" s="67">
        <f>(Terminales[[#This Row],[COMISIONES BONO]]*VLOOKUP(Terminales[[#This Row],[LOCALES]],[1]!Calendario[#Data],3,0))/VLOOKUP(Terminales[[#This Row],[LOCALES]],[1]!Calendario[#Data],2,0)</f>
        <v>12.321428571428571</v>
      </c>
      <c r="CI284" s="67">
        <f>Terminales[[#This Row],[PROY. COM. TERMINALES]]+Terminales[[#This Row],[PROY. COM. RENOV.]]+Terminales[[#This Row],[PROY. COM. 2%]]</f>
        <v>73.928571428571431</v>
      </c>
    </row>
    <row r="285" spans="1:87" x14ac:dyDescent="0.25">
      <c r="A285" s="68">
        <v>44926</v>
      </c>
      <c r="B285" s="68">
        <v>44909</v>
      </c>
      <c r="C285" s="18" t="s">
        <v>96</v>
      </c>
      <c r="D285" s="18" t="s">
        <v>96</v>
      </c>
      <c r="E285" s="18" t="s">
        <v>96</v>
      </c>
      <c r="F285" s="18" t="s">
        <v>9815</v>
      </c>
      <c r="G285" s="18" t="s">
        <v>292</v>
      </c>
      <c r="H285" s="18" t="s">
        <v>494</v>
      </c>
      <c r="I285" s="18" t="s">
        <v>9811</v>
      </c>
      <c r="J285" s="18" t="s">
        <v>95</v>
      </c>
      <c r="K285" s="18" t="s">
        <v>7970</v>
      </c>
      <c r="L285" s="18" t="s">
        <v>9812</v>
      </c>
      <c r="M285" s="18" t="s">
        <v>499</v>
      </c>
      <c r="N285" s="18" t="s">
        <v>500</v>
      </c>
      <c r="O285" s="18" t="s">
        <v>3770</v>
      </c>
      <c r="P285" s="18" t="s">
        <v>9816</v>
      </c>
      <c r="Q285" s="18" t="s">
        <v>7975</v>
      </c>
      <c r="R285" s="18" t="s">
        <v>7976</v>
      </c>
      <c r="S285" s="18" t="s">
        <v>8045</v>
      </c>
      <c r="T285" s="18" t="s">
        <v>8099</v>
      </c>
      <c r="U285" s="18" t="s">
        <v>8100</v>
      </c>
      <c r="V285" s="18" t="s">
        <v>6963</v>
      </c>
      <c r="W285" s="18" t="s">
        <v>95</v>
      </c>
      <c r="X285" s="18" t="s">
        <v>95</v>
      </c>
      <c r="Y285" s="18" t="s">
        <v>7980</v>
      </c>
      <c r="Z285" s="18" t="s">
        <v>6996</v>
      </c>
      <c r="AA285" s="69">
        <v>1</v>
      </c>
      <c r="AB285" s="18">
        <v>406.25</v>
      </c>
      <c r="AC285" s="18" t="s">
        <v>9817</v>
      </c>
      <c r="AD285" s="18" t="s">
        <v>96</v>
      </c>
      <c r="AE285" s="18">
        <v>397</v>
      </c>
      <c r="AF285" s="18" t="s">
        <v>7983</v>
      </c>
      <c r="AG285" s="18">
        <v>397</v>
      </c>
      <c r="AH285" s="18" t="s">
        <v>95</v>
      </c>
      <c r="AI285" s="18" t="s">
        <v>8102</v>
      </c>
      <c r="AJ285" s="18" t="s">
        <v>8103</v>
      </c>
      <c r="AK285" s="18" t="s">
        <v>95</v>
      </c>
      <c r="AL285" s="18" t="s">
        <v>95</v>
      </c>
      <c r="AM285" s="18" t="s">
        <v>95</v>
      </c>
      <c r="AN285" s="18" t="s">
        <v>7984</v>
      </c>
      <c r="AO285" s="18" t="s">
        <v>139</v>
      </c>
      <c r="AP285" s="20" t="s">
        <v>136</v>
      </c>
      <c r="AQ285" s="18" t="s">
        <v>137</v>
      </c>
      <c r="AR285" s="18" t="s">
        <v>496</v>
      </c>
      <c r="AS285" s="18">
        <v>1</v>
      </c>
      <c r="AT285" s="18" t="s">
        <v>138</v>
      </c>
      <c r="AU285" s="18" t="s">
        <v>90</v>
      </c>
      <c r="AV285" s="18" t="s">
        <v>8104</v>
      </c>
      <c r="AW285" s="18" t="s">
        <v>8105</v>
      </c>
      <c r="AX285" s="18" t="s">
        <v>83</v>
      </c>
      <c r="AY285" s="18" t="s">
        <v>95</v>
      </c>
      <c r="AZ285" s="18" t="s">
        <v>95</v>
      </c>
      <c r="BA285" s="18" t="s">
        <v>95</v>
      </c>
      <c r="BB285" s="18" t="s">
        <v>95</v>
      </c>
      <c r="BC285" s="18" t="s">
        <v>95</v>
      </c>
      <c r="BD285" s="18" t="s">
        <v>95</v>
      </c>
      <c r="BE285" s="18" t="s">
        <v>8000</v>
      </c>
      <c r="BF285" s="18" t="s">
        <v>8279</v>
      </c>
      <c r="BG285" s="18" t="s">
        <v>95</v>
      </c>
      <c r="BH285" s="18" t="s">
        <v>95</v>
      </c>
      <c r="BI285" s="18">
        <v>12</v>
      </c>
      <c r="BJ285" s="18">
        <v>2022</v>
      </c>
      <c r="BK285" s="18" t="s">
        <v>95</v>
      </c>
      <c r="BL285" s="18" t="s">
        <v>95</v>
      </c>
      <c r="BM285" s="18" t="s">
        <v>95</v>
      </c>
      <c r="BN285" s="18" t="s">
        <v>85</v>
      </c>
      <c r="BO285" s="18" t="s">
        <v>86</v>
      </c>
      <c r="BP285" s="18" t="s">
        <v>90</v>
      </c>
      <c r="BQ285" s="18" t="s">
        <v>7987</v>
      </c>
      <c r="BR285" s="18" t="s">
        <v>139</v>
      </c>
      <c r="BS285" s="18" t="s">
        <v>8003</v>
      </c>
      <c r="BT285" s="18" t="s">
        <v>7989</v>
      </c>
      <c r="BU285" s="18" t="s">
        <v>496</v>
      </c>
      <c r="BV285" s="18" t="str">
        <f>Terminales[[#This Row],[IMEI]]&amp;"SI"</f>
        <v>353881481273288SI</v>
      </c>
      <c r="BW285" s="18" t="str">
        <f>VLOOKUP(Terminales[[#This Row],[OFICINA_USUARIO]],[1]!Locales[#Data],3,0)</f>
        <v>TIENDA AMERICA</v>
      </c>
      <c r="BX285" s="18" t="str">
        <f>VLOOKUP(Terminales[[#This Row],[USUARIO_FINAL]],'[1]Personal Ppto vs Real'!$A:$F,6,0)</f>
        <v>SALVATIERRA GUERRA JULIAN ENRIQUE</v>
      </c>
      <c r="BY28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8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85" s="18">
        <f>DAY(Terminales[[#This Row],[FECHA_FACTURA]])</f>
        <v>14</v>
      </c>
      <c r="CB285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285" s="65">
        <f>IFERROR(IF(AND(Terminales[[#This Row],[CANTIDAD]] = 1,Terminales[[#This Row],[MOVIMIENTO]] = "RENOVACION"),Terminales[[#This Row],[TARIFA_BASICA]]*0.5,),)</f>
        <v>0</v>
      </c>
      <c r="CD285" s="65">
        <f>IF('[1]Resumen TM'!$AW$20 &lt; 0.4,0,Terminales[[#This Row],[MONTO]]*0.02)</f>
        <v>8.125</v>
      </c>
      <c r="CE285" s="66">
        <f>Terminales[[#This Row],[COMISIONES TERMINALES]]+Terminales[[#This Row],[COMISIONES RENOVACIONES]]+Terminales[[#This Row],[COMISIONES BONO]]</f>
        <v>48.75</v>
      </c>
      <c r="CF285" s="67">
        <f>(Terminales[[#This Row],[COMISIONES TERMINALES]]*VLOOKUP(Terminales[[#This Row],[LOCALES]],[1]!Calendario[#Data],3,0))/VLOOKUP(Terminales[[#This Row],[LOCALES]],[1]!Calendario[#Data],2,0)</f>
        <v>66.741071428571431</v>
      </c>
      <c r="CG285" s="67">
        <f>(Terminales[[#This Row],[COMISIONES RENOVACIONES]]*VLOOKUP(Terminales[[#This Row],[LOCALES]],[1]!Calendario[#Data],3,0))/VLOOKUP(Terminales[[#This Row],[LOCALES]],[1]!Calendario[#Data],2,0)</f>
        <v>0</v>
      </c>
      <c r="CH285" s="67">
        <f>(Terminales[[#This Row],[COMISIONES BONO]]*VLOOKUP(Terminales[[#This Row],[LOCALES]],[1]!Calendario[#Data],3,0))/VLOOKUP(Terminales[[#This Row],[LOCALES]],[1]!Calendario[#Data],2,0)</f>
        <v>13.348214285714286</v>
      </c>
      <c r="CI285" s="67">
        <f>Terminales[[#This Row],[PROY. COM. TERMINALES]]+Terminales[[#This Row],[PROY. COM. RENOV.]]+Terminales[[#This Row],[PROY. COM. 2%]]</f>
        <v>80.089285714285722</v>
      </c>
    </row>
    <row r="286" spans="1:87" x14ac:dyDescent="0.25">
      <c r="A286" s="68">
        <v>44926</v>
      </c>
      <c r="B286" s="68">
        <v>44909</v>
      </c>
      <c r="C286" s="18" t="s">
        <v>96</v>
      </c>
      <c r="D286" s="18" t="s">
        <v>96</v>
      </c>
      <c r="E286" s="18" t="s">
        <v>96</v>
      </c>
      <c r="F286" s="18" t="s">
        <v>9818</v>
      </c>
      <c r="G286" s="18" t="s">
        <v>292</v>
      </c>
      <c r="H286" s="18" t="s">
        <v>494</v>
      </c>
      <c r="I286" s="18" t="s">
        <v>9811</v>
      </c>
      <c r="J286" s="18" t="s">
        <v>95</v>
      </c>
      <c r="K286" s="18" t="s">
        <v>7970</v>
      </c>
      <c r="L286" s="18" t="s">
        <v>9812</v>
      </c>
      <c r="M286" s="18" t="s">
        <v>499</v>
      </c>
      <c r="N286" s="18" t="s">
        <v>500</v>
      </c>
      <c r="O286" s="18" t="s">
        <v>1691</v>
      </c>
      <c r="P286" s="18" t="s">
        <v>9819</v>
      </c>
      <c r="Q286" s="18" t="s">
        <v>7975</v>
      </c>
      <c r="R286" s="18" t="s">
        <v>7976</v>
      </c>
      <c r="S286" s="18" t="s">
        <v>8045</v>
      </c>
      <c r="T286" s="18" t="s">
        <v>8225</v>
      </c>
      <c r="U286" s="18" t="s">
        <v>8012</v>
      </c>
      <c r="V286" s="18" t="s">
        <v>6963</v>
      </c>
      <c r="W286" s="18" t="s">
        <v>95</v>
      </c>
      <c r="X286" s="18" t="s">
        <v>95</v>
      </c>
      <c r="Y286" s="18" t="s">
        <v>7980</v>
      </c>
      <c r="Z286" s="18" t="s">
        <v>6996</v>
      </c>
      <c r="AA286" s="69">
        <v>1</v>
      </c>
      <c r="AB286" s="18">
        <v>241.07142999999999</v>
      </c>
      <c r="AC286" s="18" t="s">
        <v>9820</v>
      </c>
      <c r="AD286" s="18" t="s">
        <v>96</v>
      </c>
      <c r="AE286" s="18">
        <v>232</v>
      </c>
      <c r="AF286" s="18" t="s">
        <v>7983</v>
      </c>
      <c r="AG286" s="18">
        <v>232</v>
      </c>
      <c r="AH286" s="18" t="s">
        <v>95</v>
      </c>
      <c r="AI286" s="18" t="s">
        <v>8102</v>
      </c>
      <c r="AJ286" s="18" t="s">
        <v>8103</v>
      </c>
      <c r="AK286" s="18" t="s">
        <v>95</v>
      </c>
      <c r="AL286" s="18" t="s">
        <v>95</v>
      </c>
      <c r="AM286" s="18" t="s">
        <v>95</v>
      </c>
      <c r="AN286" s="18" t="s">
        <v>7984</v>
      </c>
      <c r="AO286" s="18" t="s">
        <v>139</v>
      </c>
      <c r="AP286" s="20" t="s">
        <v>136</v>
      </c>
      <c r="AQ286" s="18" t="s">
        <v>137</v>
      </c>
      <c r="AR286" s="18" t="s">
        <v>496</v>
      </c>
      <c r="AS286" s="18">
        <v>1</v>
      </c>
      <c r="AT286" s="18" t="s">
        <v>138</v>
      </c>
      <c r="AU286" s="18" t="s">
        <v>90</v>
      </c>
      <c r="AV286" s="18" t="s">
        <v>8228</v>
      </c>
      <c r="AW286" s="18" t="s">
        <v>8229</v>
      </c>
      <c r="AX286" s="18" t="s">
        <v>83</v>
      </c>
      <c r="AY286" s="18" t="s">
        <v>95</v>
      </c>
      <c r="AZ286" s="18" t="s">
        <v>95</v>
      </c>
      <c r="BA286" s="18" t="s">
        <v>95</v>
      </c>
      <c r="BB286" s="18" t="s">
        <v>95</v>
      </c>
      <c r="BC286" s="18" t="s">
        <v>95</v>
      </c>
      <c r="BD286" s="18" t="s">
        <v>95</v>
      </c>
      <c r="BE286" s="18" t="s">
        <v>8000</v>
      </c>
      <c r="BF286" s="18" t="s">
        <v>8279</v>
      </c>
      <c r="BG286" s="18" t="s">
        <v>95</v>
      </c>
      <c r="BH286" s="18" t="s">
        <v>95</v>
      </c>
      <c r="BI286" s="18">
        <v>12</v>
      </c>
      <c r="BJ286" s="18">
        <v>2022</v>
      </c>
      <c r="BK286" s="18" t="s">
        <v>95</v>
      </c>
      <c r="BL286" s="18" t="s">
        <v>95</v>
      </c>
      <c r="BM286" s="18" t="s">
        <v>95</v>
      </c>
      <c r="BN286" s="18" t="s">
        <v>85</v>
      </c>
      <c r="BO286" s="18" t="s">
        <v>86</v>
      </c>
      <c r="BP286" s="18" t="s">
        <v>90</v>
      </c>
      <c r="BQ286" s="18" t="s">
        <v>7987</v>
      </c>
      <c r="BR286" s="18" t="s">
        <v>139</v>
      </c>
      <c r="BS286" s="18" t="s">
        <v>8003</v>
      </c>
      <c r="BT286" s="18" t="s">
        <v>7989</v>
      </c>
      <c r="BU286" s="18" t="s">
        <v>496</v>
      </c>
      <c r="BV286" s="18" t="str">
        <f>Terminales[[#This Row],[IMEI]]&amp;"SI"</f>
        <v>356795951172993SI</v>
      </c>
      <c r="BW286" s="18" t="str">
        <f>VLOOKUP(Terminales[[#This Row],[OFICINA_USUARIO]],[1]!Locales[#Data],3,0)</f>
        <v>TIENDA AMERICA</v>
      </c>
      <c r="BX286" s="18" t="str">
        <f>VLOOKUP(Terminales[[#This Row],[USUARIO_FINAL]],'[1]Personal Ppto vs Real'!$A:$F,6,0)</f>
        <v>SALVATIERRA GUERRA JULIAN ENRIQUE</v>
      </c>
      <c r="BY28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8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86" s="18">
        <f>DAY(Terminales[[#This Row],[FECHA_FACTURA]])</f>
        <v>14</v>
      </c>
      <c r="CB286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86" s="65">
        <f>IFERROR(IF(AND(Terminales[[#This Row],[CANTIDAD]] = 1,Terminales[[#This Row],[MOVIMIENTO]] = "RENOVACION"),Terminales[[#This Row],[TARIFA_BASICA]]*0.5,),)</f>
        <v>0</v>
      </c>
      <c r="CD286" s="65">
        <f>IF('[1]Resumen TM'!$AW$20 &lt; 0.4,0,Terminales[[#This Row],[MONTO]]*0.02)</f>
        <v>4.8214286</v>
      </c>
      <c r="CE286" s="66">
        <f>Terminales[[#This Row],[COMISIONES TERMINALES]]+Terminales[[#This Row],[COMISIONES RENOVACIONES]]+Terminales[[#This Row],[COMISIONES BONO]]</f>
        <v>28.928571600000001</v>
      </c>
      <c r="CF286" s="67">
        <f>(Terminales[[#This Row],[COMISIONES TERMINALES]]*VLOOKUP(Terminales[[#This Row],[LOCALES]],[1]!Calendario[#Data],3,0))/VLOOKUP(Terminales[[#This Row],[LOCALES]],[1]!Calendario[#Data],2,0)</f>
        <v>39.60459207142857</v>
      </c>
      <c r="CG286" s="67">
        <f>(Terminales[[#This Row],[COMISIONES RENOVACIONES]]*VLOOKUP(Terminales[[#This Row],[LOCALES]],[1]!Calendario[#Data],3,0))/VLOOKUP(Terminales[[#This Row],[LOCALES]],[1]!Calendario[#Data],2,0)</f>
        <v>0</v>
      </c>
      <c r="CH286" s="67">
        <f>(Terminales[[#This Row],[COMISIONES BONO]]*VLOOKUP(Terminales[[#This Row],[LOCALES]],[1]!Calendario[#Data],3,0))/VLOOKUP(Terminales[[#This Row],[LOCALES]],[1]!Calendario[#Data],2,0)</f>
        <v>7.9209184142857145</v>
      </c>
      <c r="CI286" s="67">
        <f>Terminales[[#This Row],[PROY. COM. TERMINALES]]+Terminales[[#This Row],[PROY. COM. RENOV.]]+Terminales[[#This Row],[PROY. COM. 2%]]</f>
        <v>47.525510485714285</v>
      </c>
    </row>
    <row r="287" spans="1:87" x14ac:dyDescent="0.25">
      <c r="A287" s="68">
        <v>44926</v>
      </c>
      <c r="B287" s="68">
        <v>44909</v>
      </c>
      <c r="C287" s="18" t="s">
        <v>291</v>
      </c>
      <c r="D287" s="18" t="s">
        <v>78</v>
      </c>
      <c r="E287" s="18" t="s">
        <v>2241</v>
      </c>
      <c r="F287" s="18" t="s">
        <v>9821</v>
      </c>
      <c r="G287" s="18" t="s">
        <v>292</v>
      </c>
      <c r="H287" s="18" t="s">
        <v>293</v>
      </c>
      <c r="I287" s="18" t="s">
        <v>9822</v>
      </c>
      <c r="J287" s="18" t="s">
        <v>95</v>
      </c>
      <c r="K287" s="18" t="s">
        <v>7970</v>
      </c>
      <c r="L287" s="18" t="s">
        <v>9823</v>
      </c>
      <c r="M287" s="18" t="s">
        <v>9824</v>
      </c>
      <c r="N287" s="18" t="s">
        <v>9825</v>
      </c>
      <c r="O287" s="18" t="s">
        <v>5786</v>
      </c>
      <c r="P287" s="18" t="s">
        <v>9826</v>
      </c>
      <c r="Q287" s="18" t="s">
        <v>7975</v>
      </c>
      <c r="R287" s="18" t="s">
        <v>7976</v>
      </c>
      <c r="S287" s="18" t="s">
        <v>7977</v>
      </c>
      <c r="T287" s="18" t="s">
        <v>7978</v>
      </c>
      <c r="U287" s="18" t="s">
        <v>7979</v>
      </c>
      <c r="V287" s="18" t="s">
        <v>6963</v>
      </c>
      <c r="W287" s="18" t="s">
        <v>95</v>
      </c>
      <c r="X287" s="18" t="s">
        <v>95</v>
      </c>
      <c r="Y287" s="18" t="s">
        <v>7980</v>
      </c>
      <c r="Z287" s="18" t="s">
        <v>6996</v>
      </c>
      <c r="AA287" s="69">
        <v>1</v>
      </c>
      <c r="AB287" s="18">
        <v>383.92856999999998</v>
      </c>
      <c r="AC287" s="18" t="s">
        <v>9827</v>
      </c>
      <c r="AD287" s="18" t="s">
        <v>7982</v>
      </c>
      <c r="AE287" s="18">
        <v>249</v>
      </c>
      <c r="AF287" s="18" t="s">
        <v>7983</v>
      </c>
      <c r="AG287" s="18">
        <v>249</v>
      </c>
      <c r="AH287" s="18" t="s">
        <v>95</v>
      </c>
      <c r="AI287" s="18" t="s">
        <v>112</v>
      </c>
      <c r="AJ287" s="18" t="s">
        <v>781</v>
      </c>
      <c r="AK287" s="18">
        <v>17.850000000000001</v>
      </c>
      <c r="AL287" s="18" t="s">
        <v>95</v>
      </c>
      <c r="AM287" s="18" t="s">
        <v>95</v>
      </c>
      <c r="AN287" s="18" t="s">
        <v>7984</v>
      </c>
      <c r="AO287" s="18" t="s">
        <v>92</v>
      </c>
      <c r="AP287" s="20" t="s">
        <v>1043</v>
      </c>
      <c r="AQ287" s="18" t="s">
        <v>1044</v>
      </c>
      <c r="AR287" s="18" t="s">
        <v>295</v>
      </c>
      <c r="AS287" s="18">
        <v>1</v>
      </c>
      <c r="AT287" s="18" t="s">
        <v>122</v>
      </c>
      <c r="AU287" s="18" t="s">
        <v>90</v>
      </c>
      <c r="AV287" s="18" t="s">
        <v>9565</v>
      </c>
      <c r="AW287" s="18" t="s">
        <v>9566</v>
      </c>
      <c r="AX287" s="18" t="s">
        <v>83</v>
      </c>
      <c r="AY287" s="18" t="s">
        <v>95</v>
      </c>
      <c r="AZ287" s="18" t="s">
        <v>95</v>
      </c>
      <c r="BA287" s="18" t="s">
        <v>95</v>
      </c>
      <c r="BB287" s="18" t="s">
        <v>95</v>
      </c>
      <c r="BC287" s="18" t="s">
        <v>95</v>
      </c>
      <c r="BD287" s="18">
        <v>70</v>
      </c>
      <c r="BE287" s="18" t="s">
        <v>95</v>
      </c>
      <c r="BF287" s="18" t="s">
        <v>95</v>
      </c>
      <c r="BG287" s="18" t="s">
        <v>95</v>
      </c>
      <c r="BH287" s="18" t="s">
        <v>95</v>
      </c>
      <c r="BI287" s="18">
        <v>12</v>
      </c>
      <c r="BJ287" s="18">
        <v>2022</v>
      </c>
      <c r="BK287" s="18" t="s">
        <v>95</v>
      </c>
      <c r="BL287" s="18" t="s">
        <v>95</v>
      </c>
      <c r="BM287" s="18" t="s">
        <v>95</v>
      </c>
      <c r="BN287" s="18" t="s">
        <v>85</v>
      </c>
      <c r="BO287" s="18" t="s">
        <v>86</v>
      </c>
      <c r="BP287" s="18" t="s">
        <v>90</v>
      </c>
      <c r="BQ287" s="18" t="s">
        <v>8050</v>
      </c>
      <c r="BR287" s="18" t="s">
        <v>92</v>
      </c>
      <c r="BS287" s="18" t="s">
        <v>9828</v>
      </c>
      <c r="BT287" s="18" t="s">
        <v>7989</v>
      </c>
      <c r="BU287" s="18" t="s">
        <v>7990</v>
      </c>
      <c r="BV287" s="18" t="str">
        <f>Terminales[[#This Row],[IMEI]]&amp;"SI"</f>
        <v>864331068943152SI</v>
      </c>
      <c r="BW287" s="18" t="str">
        <f>VLOOKUP(Terminales[[#This Row],[OFICINA_USUARIO]],[1]!Locales[#Data],3,0)</f>
        <v>TIENDA MACHALA</v>
      </c>
      <c r="BX287" s="18" t="str">
        <f>VLOOKUP(Terminales[[#This Row],[USUARIO_FINAL]],'[1]Personal Ppto vs Real'!$A:$F,6,0)</f>
        <v>GONZAGA YUPANGUI LIZBETH KATHERINE</v>
      </c>
      <c r="BY28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8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287" s="18">
        <f>DAY(Terminales[[#This Row],[FECHA_FACTURA]])</f>
        <v>14</v>
      </c>
      <c r="CB287" s="65">
        <f>IF(Terminales[[#This Row],[CANTIDAD]] = 1,INDEX([1]!Comisiones[#Data],MATCH("Terminales",[1]!Comisiones[Producto],0),MATCH(Terminales[[#This Row],[TIPO ALTA COMISIONES]],[1]!Comisiones[#Headers],0))*Terminales[[#This Row],[MONTO]],0)</f>
        <v>38.392856999999999</v>
      </c>
      <c r="CC287" s="65">
        <f>IFERROR(IF(AND(Terminales[[#This Row],[CANTIDAD]] = 1,Terminales[[#This Row],[MOVIMIENTO]] = "RENOVACION"),Terminales[[#This Row],[TARIFA_BASICA]]*0.5,),)</f>
        <v>8.9250000000000007</v>
      </c>
      <c r="CD287" s="65">
        <f>IF('[1]Resumen TM'!$AW$20 &lt; 0.4,0,Terminales[[#This Row],[MONTO]]*0.02)</f>
        <v>7.6785714</v>
      </c>
      <c r="CE287" s="66">
        <f>Terminales[[#This Row],[COMISIONES TERMINALES]]+Terminales[[#This Row],[COMISIONES RENOVACIONES]]+Terminales[[#This Row],[COMISIONES BONO]]</f>
        <v>54.996428400000006</v>
      </c>
      <c r="CF287" s="67">
        <f>(Terminales[[#This Row],[COMISIONES TERMINALES]]*VLOOKUP(Terminales[[#This Row],[LOCALES]],[1]!Calendario[#Data],3,0))/VLOOKUP(Terminales[[#This Row],[LOCALES]],[1]!Calendario[#Data],2,0)</f>
        <v>62.222906172413794</v>
      </c>
      <c r="CG287" s="67">
        <f>(Terminales[[#This Row],[COMISIONES RENOVACIONES]]*VLOOKUP(Terminales[[#This Row],[LOCALES]],[1]!Calendario[#Data],3,0))/VLOOKUP(Terminales[[#This Row],[LOCALES]],[1]!Calendario[#Data],2,0)</f>
        <v>14.464655172413794</v>
      </c>
      <c r="CH287" s="67">
        <f>(Terminales[[#This Row],[COMISIONES BONO]]*VLOOKUP(Terminales[[#This Row],[LOCALES]],[1]!Calendario[#Data],3,0))/VLOOKUP(Terminales[[#This Row],[LOCALES]],[1]!Calendario[#Data],2,0)</f>
        <v>12.444581234482758</v>
      </c>
      <c r="CI287" s="67">
        <f>Terminales[[#This Row],[PROY. COM. TERMINALES]]+Terminales[[#This Row],[PROY. COM. RENOV.]]+Terminales[[#This Row],[PROY. COM. 2%]]</f>
        <v>89.13214257931034</v>
      </c>
    </row>
    <row r="288" spans="1:87" x14ac:dyDescent="0.25">
      <c r="A288" s="68">
        <v>44926</v>
      </c>
      <c r="B288" s="68">
        <v>44909</v>
      </c>
      <c r="C288" s="18" t="s">
        <v>96</v>
      </c>
      <c r="D288" s="18" t="s">
        <v>96</v>
      </c>
      <c r="E288" s="18" t="s">
        <v>96</v>
      </c>
      <c r="F288" s="18" t="s">
        <v>9829</v>
      </c>
      <c r="G288" s="18" t="s">
        <v>292</v>
      </c>
      <c r="H288" s="18" t="s">
        <v>494</v>
      </c>
      <c r="I288" s="18" t="s">
        <v>9830</v>
      </c>
      <c r="J288" s="18" t="s">
        <v>95</v>
      </c>
      <c r="K288" s="18" t="s">
        <v>7970</v>
      </c>
      <c r="L288" s="18" t="s">
        <v>9831</v>
      </c>
      <c r="M288" s="18" t="s">
        <v>9832</v>
      </c>
      <c r="N288" s="18" t="s">
        <v>9833</v>
      </c>
      <c r="O288" s="18" t="s">
        <v>2260</v>
      </c>
      <c r="P288" s="18" t="s">
        <v>9834</v>
      </c>
      <c r="Q288" s="18" t="s">
        <v>7975</v>
      </c>
      <c r="R288" s="18" t="s">
        <v>7976</v>
      </c>
      <c r="S288" s="18" t="s">
        <v>8010</v>
      </c>
      <c r="T288" s="18" t="s">
        <v>8011</v>
      </c>
      <c r="U288" s="18" t="s">
        <v>8012</v>
      </c>
      <c r="V288" s="18" t="s">
        <v>6963</v>
      </c>
      <c r="W288" s="18" t="s">
        <v>95</v>
      </c>
      <c r="X288" s="18" t="s">
        <v>95</v>
      </c>
      <c r="Y288" s="18" t="s">
        <v>7980</v>
      </c>
      <c r="Z288" s="18" t="s">
        <v>6996</v>
      </c>
      <c r="AA288" s="69">
        <v>1</v>
      </c>
      <c r="AB288" s="18">
        <v>196.42857000000001</v>
      </c>
      <c r="AC288" s="18" t="s">
        <v>9835</v>
      </c>
      <c r="AD288" s="18" t="s">
        <v>7982</v>
      </c>
      <c r="AE288" s="18">
        <v>168.8</v>
      </c>
      <c r="AF288" s="18" t="s">
        <v>7983</v>
      </c>
      <c r="AG288" s="18">
        <v>168.8</v>
      </c>
      <c r="AH288" s="18" t="s">
        <v>95</v>
      </c>
      <c r="AI288" s="18" t="s">
        <v>8102</v>
      </c>
      <c r="AJ288" s="18" t="s">
        <v>8103</v>
      </c>
      <c r="AK288" s="18" t="s">
        <v>95</v>
      </c>
      <c r="AL288" s="18" t="s">
        <v>95</v>
      </c>
      <c r="AM288" s="18" t="s">
        <v>95</v>
      </c>
      <c r="AN288" s="18" t="s">
        <v>7984</v>
      </c>
      <c r="AO288" s="18" t="s">
        <v>139</v>
      </c>
      <c r="AP288" s="20" t="s">
        <v>271</v>
      </c>
      <c r="AQ288" s="18" t="s">
        <v>272</v>
      </c>
      <c r="AR288" s="18" t="s">
        <v>496</v>
      </c>
      <c r="AS288" s="18">
        <v>1</v>
      </c>
      <c r="AT288" s="18" t="s">
        <v>235</v>
      </c>
      <c r="AU288" s="18" t="s">
        <v>90</v>
      </c>
      <c r="AV288" s="18" t="s">
        <v>8014</v>
      </c>
      <c r="AW288" s="18" t="s">
        <v>8015</v>
      </c>
      <c r="AX288" s="18" t="s">
        <v>83</v>
      </c>
      <c r="AY288" s="18" t="s">
        <v>95</v>
      </c>
      <c r="AZ288" s="18" t="s">
        <v>95</v>
      </c>
      <c r="BA288" s="18" t="s">
        <v>95</v>
      </c>
      <c r="BB288" s="18" t="s">
        <v>95</v>
      </c>
      <c r="BC288" s="18" t="s">
        <v>95</v>
      </c>
      <c r="BD288" s="18" t="s">
        <v>95</v>
      </c>
      <c r="BE288" s="18" t="s">
        <v>95</v>
      </c>
      <c r="BF288" s="18" t="s">
        <v>95</v>
      </c>
      <c r="BG288" s="18" t="s">
        <v>95</v>
      </c>
      <c r="BH288" s="18" t="s">
        <v>95</v>
      </c>
      <c r="BI288" s="18">
        <v>12</v>
      </c>
      <c r="BJ288" s="18">
        <v>2022</v>
      </c>
      <c r="BK288" s="18" t="s">
        <v>95</v>
      </c>
      <c r="BL288" s="18" t="s">
        <v>95</v>
      </c>
      <c r="BM288" s="18" t="s">
        <v>95</v>
      </c>
      <c r="BN288" s="18" t="s">
        <v>85</v>
      </c>
      <c r="BO288" s="18" t="s">
        <v>86</v>
      </c>
      <c r="BP288" s="18" t="s">
        <v>90</v>
      </c>
      <c r="BQ288" s="18" t="s">
        <v>8016</v>
      </c>
      <c r="BR288" s="18" t="s">
        <v>139</v>
      </c>
      <c r="BS288" s="18" t="s">
        <v>8074</v>
      </c>
      <c r="BT288" s="18" t="s">
        <v>7989</v>
      </c>
      <c r="BU288" s="18" t="s">
        <v>496</v>
      </c>
      <c r="BV288" s="18" t="str">
        <f>Terminales[[#This Row],[IMEI]]&amp;"SI"</f>
        <v>359694275284641SI</v>
      </c>
      <c r="BW288" s="18" t="str">
        <f>VLOOKUP(Terminales[[#This Row],[OFICINA_USUARIO]],[1]!Locales[#Data],3,0)</f>
        <v>TIENDA CONDADO</v>
      </c>
      <c r="BX288" s="18" t="str">
        <f>VLOOKUP(Terminales[[#This Row],[USUARIO_FINAL]],'[1]Personal Ppto vs Real'!$A:$F,6,0)</f>
        <v>CASTILLO AGUIRRE EDWIN MODESTO</v>
      </c>
      <c r="BY28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8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88" s="18">
        <f>DAY(Terminales[[#This Row],[FECHA_FACTURA]])</f>
        <v>14</v>
      </c>
      <c r="CB288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288" s="65">
        <f>IFERROR(IF(AND(Terminales[[#This Row],[CANTIDAD]] = 1,Terminales[[#This Row],[MOVIMIENTO]] = "RENOVACION"),Terminales[[#This Row],[TARIFA_BASICA]]*0.5,),)</f>
        <v>0</v>
      </c>
      <c r="CD288" s="65">
        <f>IF('[1]Resumen TM'!$AW$20 &lt; 0.4,0,Terminales[[#This Row],[MONTO]]*0.02)</f>
        <v>3.9285714</v>
      </c>
      <c r="CE288" s="66">
        <f>Terminales[[#This Row],[COMISIONES TERMINALES]]+Terminales[[#This Row],[COMISIONES RENOVACIONES]]+Terminales[[#This Row],[COMISIONES BONO]]</f>
        <v>23.571428400000002</v>
      </c>
      <c r="CF288" s="67">
        <f>(Terminales[[#This Row],[COMISIONES TERMINALES]]*VLOOKUP(Terminales[[#This Row],[LOCALES]],[1]!Calendario[#Data],3,0))/VLOOKUP(Terminales[[#This Row],[LOCALES]],[1]!Calendario[#Data],2,0)</f>
        <v>32.315667967741938</v>
      </c>
      <c r="CG288" s="67">
        <f>(Terminales[[#This Row],[COMISIONES RENOVACIONES]]*VLOOKUP(Terminales[[#This Row],[LOCALES]],[1]!Calendario[#Data],3,0))/VLOOKUP(Terminales[[#This Row],[LOCALES]],[1]!Calendario[#Data],2,0)</f>
        <v>0</v>
      </c>
      <c r="CH288" s="67">
        <f>(Terminales[[#This Row],[COMISIONES BONO]]*VLOOKUP(Terminales[[#This Row],[LOCALES]],[1]!Calendario[#Data],3,0))/VLOOKUP(Terminales[[#This Row],[LOCALES]],[1]!Calendario[#Data],2,0)</f>
        <v>6.4631335935483865</v>
      </c>
      <c r="CI288" s="67">
        <f>Terminales[[#This Row],[PROY. COM. TERMINALES]]+Terminales[[#This Row],[PROY. COM. RENOV.]]+Terminales[[#This Row],[PROY. COM. 2%]]</f>
        <v>38.778801561290322</v>
      </c>
    </row>
    <row r="289" spans="1:87" x14ac:dyDescent="0.25">
      <c r="A289" s="68">
        <v>44926</v>
      </c>
      <c r="B289" s="68">
        <v>44909</v>
      </c>
      <c r="C289" s="18" t="s">
        <v>291</v>
      </c>
      <c r="D289" s="18" t="s">
        <v>78</v>
      </c>
      <c r="E289" s="18" t="s">
        <v>164</v>
      </c>
      <c r="F289" s="18" t="s">
        <v>6299</v>
      </c>
      <c r="G289" s="18" t="s">
        <v>292</v>
      </c>
      <c r="H289" s="18" t="s">
        <v>494</v>
      </c>
      <c r="I289" s="18" t="s">
        <v>9836</v>
      </c>
      <c r="J289" s="18" t="s">
        <v>95</v>
      </c>
      <c r="K289" s="18" t="s">
        <v>7970</v>
      </c>
      <c r="L289" s="18" t="s">
        <v>6300</v>
      </c>
      <c r="M289" s="18" t="s">
        <v>6301</v>
      </c>
      <c r="N289" s="18" t="s">
        <v>6302</v>
      </c>
      <c r="O289" s="18" t="s">
        <v>354</v>
      </c>
      <c r="P289" s="18" t="s">
        <v>6303</v>
      </c>
      <c r="Q289" s="18" t="s">
        <v>7975</v>
      </c>
      <c r="R289" s="18" t="s">
        <v>7976</v>
      </c>
      <c r="S289" s="18" t="s">
        <v>8070</v>
      </c>
      <c r="T289" s="18" t="s">
        <v>8071</v>
      </c>
      <c r="U289" s="18" t="s">
        <v>8012</v>
      </c>
      <c r="V289" s="18" t="s">
        <v>6963</v>
      </c>
      <c r="W289" s="18" t="s">
        <v>95</v>
      </c>
      <c r="X289" s="18" t="s">
        <v>95</v>
      </c>
      <c r="Y289" s="18" t="s">
        <v>7980</v>
      </c>
      <c r="Z289" s="18" t="s">
        <v>6996</v>
      </c>
      <c r="AA289" s="69">
        <v>1</v>
      </c>
      <c r="AB289" s="18">
        <v>205.35713999999999</v>
      </c>
      <c r="AC289" s="18" t="s">
        <v>9837</v>
      </c>
      <c r="AD289" s="18" t="s">
        <v>8151</v>
      </c>
      <c r="AE289" s="18">
        <v>193.99</v>
      </c>
      <c r="AF289" s="18" t="s">
        <v>7983</v>
      </c>
      <c r="AG289" s="18">
        <v>193.99</v>
      </c>
      <c r="AH289" s="18" t="s">
        <v>95</v>
      </c>
      <c r="AI289" s="18" t="s">
        <v>160</v>
      </c>
      <c r="AJ289" s="18" t="s">
        <v>161</v>
      </c>
      <c r="AK289" s="18">
        <v>14.28</v>
      </c>
      <c r="AL289" s="18" t="s">
        <v>95</v>
      </c>
      <c r="AM289" s="18" t="s">
        <v>95</v>
      </c>
      <c r="AN289" s="18" t="s">
        <v>7984</v>
      </c>
      <c r="AO289" s="18" t="s">
        <v>139</v>
      </c>
      <c r="AP289" s="20" t="s">
        <v>665</v>
      </c>
      <c r="AQ289" s="18" t="s">
        <v>666</v>
      </c>
      <c r="AR289" s="18" t="s">
        <v>496</v>
      </c>
      <c r="AS289" s="18">
        <v>1</v>
      </c>
      <c r="AT289" s="18" t="s">
        <v>138</v>
      </c>
      <c r="AU289" s="18" t="s">
        <v>90</v>
      </c>
      <c r="AV289" s="18" t="s">
        <v>8072</v>
      </c>
      <c r="AW289" s="18" t="s">
        <v>8073</v>
      </c>
      <c r="AX289" s="18" t="s">
        <v>83</v>
      </c>
      <c r="AY289" s="18" t="s">
        <v>95</v>
      </c>
      <c r="AZ289" s="18" t="s">
        <v>95</v>
      </c>
      <c r="BA289" s="18" t="s">
        <v>95</v>
      </c>
      <c r="BB289" s="18" t="s">
        <v>95</v>
      </c>
      <c r="BC289" s="18" t="s">
        <v>95</v>
      </c>
      <c r="BD289" s="18" t="s">
        <v>95</v>
      </c>
      <c r="BE289" s="18" t="s">
        <v>8000</v>
      </c>
      <c r="BF289" s="18" t="s">
        <v>8064</v>
      </c>
      <c r="BG289" s="18" t="s">
        <v>95</v>
      </c>
      <c r="BH289" s="18" t="s">
        <v>95</v>
      </c>
      <c r="BI289" s="18">
        <v>12</v>
      </c>
      <c r="BJ289" s="18">
        <v>2022</v>
      </c>
      <c r="BK289" s="18" t="s">
        <v>95</v>
      </c>
      <c r="BL289" s="18" t="s">
        <v>95</v>
      </c>
      <c r="BM289" s="18" t="s">
        <v>95</v>
      </c>
      <c r="BN289" s="18" t="s">
        <v>85</v>
      </c>
      <c r="BO289" s="18" t="s">
        <v>86</v>
      </c>
      <c r="BP289" s="18" t="s">
        <v>90</v>
      </c>
      <c r="BQ289" s="18" t="s">
        <v>7987</v>
      </c>
      <c r="BR289" s="18" t="s">
        <v>139</v>
      </c>
      <c r="BS289" s="18" t="s">
        <v>8003</v>
      </c>
      <c r="BT289" s="18" t="s">
        <v>7989</v>
      </c>
      <c r="BU289" s="18" t="s">
        <v>496</v>
      </c>
      <c r="BV289" s="18" t="str">
        <f>Terminales[[#This Row],[IMEI]]&amp;"SI"</f>
        <v>869113065818867SI</v>
      </c>
      <c r="BW289" s="18" t="str">
        <f>VLOOKUP(Terminales[[#This Row],[OFICINA_USUARIO]],[1]!Locales[#Data],3,0)</f>
        <v>TIENDA AMERICA</v>
      </c>
      <c r="BX289" s="18" t="str">
        <f>VLOOKUP(Terminales[[#This Row],[USUARIO_FINAL]],'[1]Personal Ppto vs Real'!$A:$F,6,0)</f>
        <v>ROSERO CAICEDO JAIRO STEFANO</v>
      </c>
      <c r="BY289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28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89" s="18">
        <f>DAY(Terminales[[#This Row],[FECHA_FACTURA]])</f>
        <v>14</v>
      </c>
      <c r="CB289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289" s="65">
        <f>IFERROR(IF(AND(Terminales[[#This Row],[CANTIDAD]] = 1,Terminales[[#This Row],[MOVIMIENTO]] = "RENOVACION"),Terminales[[#This Row],[TARIFA_BASICA]]*0.5,),)</f>
        <v>0</v>
      </c>
      <c r="CD289" s="65">
        <f>IF('[1]Resumen TM'!$AW$20 &lt; 0.4,0,Terminales[[#This Row],[MONTO]]*0.02)</f>
        <v>4.1071428000000001</v>
      </c>
      <c r="CE289" s="66">
        <f>Terminales[[#This Row],[COMISIONES TERMINALES]]+Terminales[[#This Row],[COMISIONES RENOVACIONES]]+Terminales[[#This Row],[COMISIONES BONO]]</f>
        <v>24.642856799999997</v>
      </c>
      <c r="CF289" s="67">
        <f>(Terminales[[#This Row],[COMISIONES TERMINALES]]*VLOOKUP(Terminales[[#This Row],[LOCALES]],[1]!Calendario[#Data],3,0))/VLOOKUP(Terminales[[#This Row],[LOCALES]],[1]!Calendario[#Data],2,0)</f>
        <v>33.737244428571429</v>
      </c>
      <c r="CG289" s="67">
        <f>(Terminales[[#This Row],[COMISIONES RENOVACIONES]]*VLOOKUP(Terminales[[#This Row],[LOCALES]],[1]!Calendario[#Data],3,0))/VLOOKUP(Terminales[[#This Row],[LOCALES]],[1]!Calendario[#Data],2,0)</f>
        <v>0</v>
      </c>
      <c r="CH289" s="67">
        <f>(Terminales[[#This Row],[COMISIONES BONO]]*VLOOKUP(Terminales[[#This Row],[LOCALES]],[1]!Calendario[#Data],3,0))/VLOOKUP(Terminales[[#This Row],[LOCALES]],[1]!Calendario[#Data],2,0)</f>
        <v>6.7474488857142854</v>
      </c>
      <c r="CI289" s="67">
        <f>Terminales[[#This Row],[PROY. COM. TERMINALES]]+Terminales[[#This Row],[PROY. COM. RENOV.]]+Terminales[[#This Row],[PROY. COM. 2%]]</f>
        <v>40.484693314285714</v>
      </c>
    </row>
    <row r="290" spans="1:87" x14ac:dyDescent="0.25">
      <c r="A290" s="68">
        <v>44926</v>
      </c>
      <c r="B290" s="68">
        <v>44909</v>
      </c>
      <c r="C290" s="18" t="s">
        <v>291</v>
      </c>
      <c r="D290" s="18" t="s">
        <v>78</v>
      </c>
      <c r="E290" s="18" t="s">
        <v>1532</v>
      </c>
      <c r="F290" s="18" t="s">
        <v>9838</v>
      </c>
      <c r="G290" s="18" t="s">
        <v>292</v>
      </c>
      <c r="H290" s="18" t="s">
        <v>293</v>
      </c>
      <c r="I290" s="18" t="s">
        <v>9839</v>
      </c>
      <c r="J290" s="18" t="s">
        <v>95</v>
      </c>
      <c r="K290" s="18" t="s">
        <v>7970</v>
      </c>
      <c r="L290" s="18" t="s">
        <v>9840</v>
      </c>
      <c r="M290" s="18" t="s">
        <v>9841</v>
      </c>
      <c r="N290" s="18" t="s">
        <v>9842</v>
      </c>
      <c r="O290" s="18" t="s">
        <v>3299</v>
      </c>
      <c r="P290" s="18" t="s">
        <v>9843</v>
      </c>
      <c r="Q290" s="18" t="s">
        <v>7975</v>
      </c>
      <c r="R290" s="18" t="s">
        <v>7976</v>
      </c>
      <c r="S290" s="18" t="s">
        <v>8070</v>
      </c>
      <c r="T290" s="18" t="s">
        <v>8189</v>
      </c>
      <c r="U290" s="18" t="s">
        <v>8100</v>
      </c>
      <c r="V290" s="18" t="s">
        <v>6963</v>
      </c>
      <c r="W290" s="18" t="s">
        <v>95</v>
      </c>
      <c r="X290" s="18" t="s">
        <v>95</v>
      </c>
      <c r="Y290" s="18" t="s">
        <v>7980</v>
      </c>
      <c r="Z290" s="18" t="s">
        <v>6996</v>
      </c>
      <c r="AA290" s="69">
        <v>1</v>
      </c>
      <c r="AB290" s="18">
        <v>549.10713999999996</v>
      </c>
      <c r="AC290" s="18" t="s">
        <v>9844</v>
      </c>
      <c r="AD290" s="18" t="s">
        <v>7982</v>
      </c>
      <c r="AE290" s="18">
        <v>399.99</v>
      </c>
      <c r="AF290" s="18" t="s">
        <v>7983</v>
      </c>
      <c r="AG290" s="18">
        <v>399.99</v>
      </c>
      <c r="AH290" s="18" t="s">
        <v>95</v>
      </c>
      <c r="AI290" s="18" t="s">
        <v>7369</v>
      </c>
      <c r="AJ290" s="18" t="s">
        <v>7370</v>
      </c>
      <c r="AK290" s="18">
        <v>20.28</v>
      </c>
      <c r="AL290" s="18" t="s">
        <v>95</v>
      </c>
      <c r="AM290" s="18" t="s">
        <v>95</v>
      </c>
      <c r="AN290" s="18" t="s">
        <v>7984</v>
      </c>
      <c r="AO290" s="18" t="s">
        <v>139</v>
      </c>
      <c r="AP290" s="20" t="s">
        <v>175</v>
      </c>
      <c r="AQ290" s="18" t="s">
        <v>176</v>
      </c>
      <c r="AR290" s="18" t="s">
        <v>295</v>
      </c>
      <c r="AS290" s="18">
        <v>1</v>
      </c>
      <c r="AT290" s="18" t="s">
        <v>177</v>
      </c>
      <c r="AU290" s="18" t="s">
        <v>90</v>
      </c>
      <c r="AV290" s="18" t="s">
        <v>8191</v>
      </c>
      <c r="AW290" s="18" t="s">
        <v>8192</v>
      </c>
      <c r="AX290" s="18" t="s">
        <v>83</v>
      </c>
      <c r="AY290" s="18" t="s">
        <v>95</v>
      </c>
      <c r="AZ290" s="18" t="s">
        <v>95</v>
      </c>
      <c r="BA290" s="18" t="s">
        <v>95</v>
      </c>
      <c r="BB290" s="18" t="s">
        <v>95</v>
      </c>
      <c r="BC290" s="18" t="s">
        <v>95</v>
      </c>
      <c r="BD290" s="18">
        <v>110</v>
      </c>
      <c r="BE290" s="18" t="s">
        <v>95</v>
      </c>
      <c r="BF290" s="18" t="s">
        <v>95</v>
      </c>
      <c r="BG290" s="18" t="s">
        <v>95</v>
      </c>
      <c r="BH290" s="18" t="s">
        <v>95</v>
      </c>
      <c r="BI290" s="18">
        <v>12</v>
      </c>
      <c r="BJ290" s="18">
        <v>2022</v>
      </c>
      <c r="BK290" s="18" t="s">
        <v>95</v>
      </c>
      <c r="BL290" s="18" t="s">
        <v>95</v>
      </c>
      <c r="BM290" s="18" t="s">
        <v>95</v>
      </c>
      <c r="BN290" s="18" t="s">
        <v>85</v>
      </c>
      <c r="BO290" s="18" t="s">
        <v>86</v>
      </c>
      <c r="BP290" s="18" t="s">
        <v>90</v>
      </c>
      <c r="BQ290" s="18" t="s">
        <v>8002</v>
      </c>
      <c r="BR290" s="18" t="s">
        <v>139</v>
      </c>
      <c r="BS290" s="18" t="s">
        <v>9828</v>
      </c>
      <c r="BT290" s="18" t="s">
        <v>7989</v>
      </c>
      <c r="BU290" s="18" t="s">
        <v>7990</v>
      </c>
      <c r="BV290" s="18" t="str">
        <f>Terminales[[#This Row],[IMEI]]&amp;"SI"</f>
        <v>861267062053601SI</v>
      </c>
      <c r="BW290" s="18" t="str">
        <f>VLOOKUP(Terminales[[#This Row],[OFICINA_USUARIO]],[1]!Locales[#Data],3,0)</f>
        <v>TIENDA RECREO</v>
      </c>
      <c r="BX290" s="18" t="str">
        <f>VLOOKUP(Terminales[[#This Row],[USUARIO_FINAL]],'[1]Personal Ppto vs Real'!$A:$F,6,0)</f>
        <v>VARGAS REYES LUIS EDUARDO</v>
      </c>
      <c r="BY29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9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290" s="18">
        <f>DAY(Terminales[[#This Row],[FECHA_FACTURA]])</f>
        <v>14</v>
      </c>
      <c r="CB290" s="65">
        <f>IF(Terminales[[#This Row],[CANTIDAD]] = 1,INDEX([1]!Comisiones[#Data],MATCH("Terminales",[1]!Comisiones[Producto],0),MATCH(Terminales[[#This Row],[TIPO ALTA COMISIONES]],[1]!Comisiones[#Headers],0))*Terminales[[#This Row],[MONTO]],0)</f>
        <v>54.910713999999999</v>
      </c>
      <c r="CC290" s="65">
        <f>IFERROR(IF(AND(Terminales[[#This Row],[CANTIDAD]] = 1,Terminales[[#This Row],[MOVIMIENTO]] = "RENOVACION"),Terminales[[#This Row],[TARIFA_BASICA]]*0.5,),)</f>
        <v>10.14</v>
      </c>
      <c r="CD290" s="65">
        <f>IF('[1]Resumen TM'!$AW$20 &lt; 0.4,0,Terminales[[#This Row],[MONTO]]*0.02)</f>
        <v>10.9821428</v>
      </c>
      <c r="CE290" s="66">
        <f>Terminales[[#This Row],[COMISIONES TERMINALES]]+Terminales[[#This Row],[COMISIONES RENOVACIONES]]+Terminales[[#This Row],[COMISIONES BONO]]</f>
        <v>76.032856800000005</v>
      </c>
      <c r="CF290" s="67">
        <f>(Terminales[[#This Row],[COMISIONES TERMINALES]]*VLOOKUP(Terminales[[#This Row],[LOCALES]],[1]!Calendario[#Data],3,0))/VLOOKUP(Terminales[[#This Row],[LOCALES]],[1]!Calendario[#Data],2,0)</f>
        <v>90.336981096774196</v>
      </c>
      <c r="CG290" s="67">
        <f>(Terminales[[#This Row],[COMISIONES RENOVACIONES]]*VLOOKUP(Terminales[[#This Row],[LOCALES]],[1]!Calendario[#Data],3,0))/VLOOKUP(Terminales[[#This Row],[LOCALES]],[1]!Calendario[#Data],2,0)</f>
        <v>16.681935483870966</v>
      </c>
      <c r="CH290" s="67">
        <f>(Terminales[[#This Row],[COMISIONES BONO]]*VLOOKUP(Terminales[[#This Row],[LOCALES]],[1]!Calendario[#Data],3,0))/VLOOKUP(Terminales[[#This Row],[LOCALES]],[1]!Calendario[#Data],2,0)</f>
        <v>18.067396219354837</v>
      </c>
      <c r="CI290" s="67">
        <f>Terminales[[#This Row],[PROY. COM. TERMINALES]]+Terminales[[#This Row],[PROY. COM. RENOV.]]+Terminales[[#This Row],[PROY. COM. 2%]]</f>
        <v>125.0863128</v>
      </c>
    </row>
    <row r="291" spans="1:87" x14ac:dyDescent="0.25">
      <c r="A291" s="68">
        <v>44926</v>
      </c>
      <c r="B291" s="68">
        <v>44909</v>
      </c>
      <c r="C291" s="18" t="s">
        <v>291</v>
      </c>
      <c r="D291" s="18" t="s">
        <v>78</v>
      </c>
      <c r="E291" s="18" t="s">
        <v>1532</v>
      </c>
      <c r="F291" s="18" t="s">
        <v>9845</v>
      </c>
      <c r="G291" s="18" t="s">
        <v>292</v>
      </c>
      <c r="H291" s="18" t="s">
        <v>494</v>
      </c>
      <c r="I291" s="18" t="s">
        <v>9846</v>
      </c>
      <c r="J291" s="18" t="s">
        <v>95</v>
      </c>
      <c r="K291" s="18" t="s">
        <v>7970</v>
      </c>
      <c r="L291" s="18" t="s">
        <v>9847</v>
      </c>
      <c r="M291" s="18" t="s">
        <v>9848</v>
      </c>
      <c r="N291" s="18" t="s">
        <v>9849</v>
      </c>
      <c r="O291" s="18" t="s">
        <v>1691</v>
      </c>
      <c r="P291" s="18" t="s">
        <v>9850</v>
      </c>
      <c r="Q291" s="18" t="s">
        <v>7975</v>
      </c>
      <c r="R291" s="18" t="s">
        <v>7976</v>
      </c>
      <c r="S291" s="18" t="s">
        <v>8045</v>
      </c>
      <c r="T291" s="18" t="s">
        <v>8225</v>
      </c>
      <c r="U291" s="18" t="s">
        <v>8012</v>
      </c>
      <c r="V291" s="18" t="s">
        <v>6963</v>
      </c>
      <c r="W291" s="18" t="s">
        <v>95</v>
      </c>
      <c r="X291" s="18" t="s">
        <v>95</v>
      </c>
      <c r="Y291" s="18" t="s">
        <v>7980</v>
      </c>
      <c r="Z291" s="18" t="s">
        <v>6996</v>
      </c>
      <c r="AA291" s="69">
        <v>1</v>
      </c>
      <c r="AB291" s="18">
        <v>241.07142999999999</v>
      </c>
      <c r="AC291" s="18" t="s">
        <v>9851</v>
      </c>
      <c r="AD291" s="18" t="s">
        <v>7982</v>
      </c>
      <c r="AE291" s="18">
        <v>232</v>
      </c>
      <c r="AF291" s="18" t="s">
        <v>7983</v>
      </c>
      <c r="AG291" s="18">
        <v>232</v>
      </c>
      <c r="AH291" s="18" t="s">
        <v>95</v>
      </c>
      <c r="AI291" s="18" t="s">
        <v>7358</v>
      </c>
      <c r="AJ291" s="18" t="s">
        <v>7359</v>
      </c>
      <c r="AK291" s="18">
        <v>10.54</v>
      </c>
      <c r="AL291" s="18" t="s">
        <v>95</v>
      </c>
      <c r="AM291" s="18" t="s">
        <v>95</v>
      </c>
      <c r="AN291" s="18" t="s">
        <v>7984</v>
      </c>
      <c r="AO291" s="18" t="s">
        <v>139</v>
      </c>
      <c r="AP291" s="20" t="s">
        <v>1315</v>
      </c>
      <c r="AQ291" s="18" t="s">
        <v>1316</v>
      </c>
      <c r="AR291" s="18" t="s">
        <v>496</v>
      </c>
      <c r="AS291" s="18">
        <v>1</v>
      </c>
      <c r="AT291" s="18" t="s">
        <v>177</v>
      </c>
      <c r="AU291" s="18" t="s">
        <v>90</v>
      </c>
      <c r="AV291" s="18" t="s">
        <v>8228</v>
      </c>
      <c r="AW291" s="18" t="s">
        <v>8229</v>
      </c>
      <c r="AX291" s="18" t="s">
        <v>83</v>
      </c>
      <c r="AY291" s="18" t="s">
        <v>95</v>
      </c>
      <c r="AZ291" s="18" t="s">
        <v>95</v>
      </c>
      <c r="BA291" s="18" t="s">
        <v>95</v>
      </c>
      <c r="BB291" s="18" t="s">
        <v>95</v>
      </c>
      <c r="BC291" s="18" t="s">
        <v>95</v>
      </c>
      <c r="BD291" s="18" t="s">
        <v>95</v>
      </c>
      <c r="BE291" s="18" t="s">
        <v>95</v>
      </c>
      <c r="BF291" s="18" t="s">
        <v>95</v>
      </c>
      <c r="BG291" s="18" t="s">
        <v>95</v>
      </c>
      <c r="BH291" s="18" t="s">
        <v>95</v>
      </c>
      <c r="BI291" s="18">
        <v>12</v>
      </c>
      <c r="BJ291" s="18">
        <v>2022</v>
      </c>
      <c r="BK291" s="18" t="s">
        <v>95</v>
      </c>
      <c r="BL291" s="18" t="s">
        <v>95</v>
      </c>
      <c r="BM291" s="18" t="s">
        <v>95</v>
      </c>
      <c r="BN291" s="18" t="s">
        <v>85</v>
      </c>
      <c r="BO291" s="18" t="s">
        <v>86</v>
      </c>
      <c r="BP291" s="18" t="s">
        <v>90</v>
      </c>
      <c r="BQ291" s="18" t="s">
        <v>8002</v>
      </c>
      <c r="BR291" s="18" t="s">
        <v>139</v>
      </c>
      <c r="BS291" s="18" t="s">
        <v>8074</v>
      </c>
      <c r="BT291" s="18" t="s">
        <v>7989</v>
      </c>
      <c r="BU291" s="18" t="s">
        <v>496</v>
      </c>
      <c r="BV291" s="18" t="str">
        <f>Terminales[[#This Row],[IMEI]]&amp;"SI"</f>
        <v>356795951217251SI</v>
      </c>
      <c r="BW291" s="18" t="str">
        <f>VLOOKUP(Terminales[[#This Row],[OFICINA_USUARIO]],[1]!Locales[#Data],3,0)</f>
        <v>TIENDA RECREO</v>
      </c>
      <c r="BX291" s="18" t="str">
        <f>VLOOKUP(Terminales[[#This Row],[USUARIO_FINAL]],'[1]Personal Ppto vs Real'!$A:$F,6,0)</f>
        <v>ORTEGA  NATALIE MÉNDEZ</v>
      </c>
      <c r="BY29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9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91" s="18">
        <f>DAY(Terminales[[#This Row],[FECHA_FACTURA]])</f>
        <v>14</v>
      </c>
      <c r="CB291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291" s="65">
        <f>IFERROR(IF(AND(Terminales[[#This Row],[CANTIDAD]] = 1,Terminales[[#This Row],[MOVIMIENTO]] = "RENOVACION"),Terminales[[#This Row],[TARIFA_BASICA]]*0.5,),)</f>
        <v>5.27</v>
      </c>
      <c r="CD291" s="65">
        <f>IF('[1]Resumen TM'!$AW$20 &lt; 0.4,0,Terminales[[#This Row],[MONTO]]*0.02)</f>
        <v>4.8214286</v>
      </c>
      <c r="CE291" s="66">
        <f>Terminales[[#This Row],[COMISIONES TERMINALES]]+Terminales[[#This Row],[COMISIONES RENOVACIONES]]+Terminales[[#This Row],[COMISIONES BONO]]</f>
        <v>34.198571600000001</v>
      </c>
      <c r="CF291" s="67">
        <f>(Terminales[[#This Row],[COMISIONES TERMINALES]]*VLOOKUP(Terminales[[#This Row],[LOCALES]],[1]!Calendario[#Data],3,0))/VLOOKUP(Terminales[[#This Row],[LOCALES]],[1]!Calendario[#Data],2,0)</f>
        <v>39.660138483870966</v>
      </c>
      <c r="CG291" s="67">
        <f>(Terminales[[#This Row],[COMISIONES RENOVACIONES]]*VLOOKUP(Terminales[[#This Row],[LOCALES]],[1]!Calendario[#Data],3,0))/VLOOKUP(Terminales[[#This Row],[LOCALES]],[1]!Calendario[#Data],2,0)</f>
        <v>8.67</v>
      </c>
      <c r="CH291" s="67">
        <f>(Terminales[[#This Row],[COMISIONES BONO]]*VLOOKUP(Terminales[[#This Row],[LOCALES]],[1]!Calendario[#Data],3,0))/VLOOKUP(Terminales[[#This Row],[LOCALES]],[1]!Calendario[#Data],2,0)</f>
        <v>7.9320276967741936</v>
      </c>
      <c r="CI291" s="67">
        <f>Terminales[[#This Row],[PROY. COM. TERMINALES]]+Terminales[[#This Row],[PROY. COM. RENOV.]]+Terminales[[#This Row],[PROY. COM. 2%]]</f>
        <v>56.26216618064516</v>
      </c>
    </row>
    <row r="292" spans="1:87" x14ac:dyDescent="0.25">
      <c r="A292" s="68">
        <v>44926</v>
      </c>
      <c r="B292" s="68">
        <v>44909</v>
      </c>
      <c r="C292" s="18" t="s">
        <v>291</v>
      </c>
      <c r="D292" s="18" t="s">
        <v>78</v>
      </c>
      <c r="E292" s="18" t="s">
        <v>2241</v>
      </c>
      <c r="F292" s="18" t="s">
        <v>9852</v>
      </c>
      <c r="G292" s="18" t="s">
        <v>292</v>
      </c>
      <c r="H292" s="18" t="s">
        <v>293</v>
      </c>
      <c r="I292" s="18" t="s">
        <v>9853</v>
      </c>
      <c r="J292" s="18" t="s">
        <v>95</v>
      </c>
      <c r="K292" s="18" t="s">
        <v>7970</v>
      </c>
      <c r="L292" s="18" t="s">
        <v>9854</v>
      </c>
      <c r="M292" s="18" t="s">
        <v>9855</v>
      </c>
      <c r="N292" s="18" t="s">
        <v>9856</v>
      </c>
      <c r="O292" s="18" t="s">
        <v>9857</v>
      </c>
      <c r="P292" s="18" t="s">
        <v>9858</v>
      </c>
      <c r="Q292" s="18" t="s">
        <v>7975</v>
      </c>
      <c r="R292" s="18" t="s">
        <v>7976</v>
      </c>
      <c r="S292" s="18" t="s">
        <v>8070</v>
      </c>
      <c r="T292" s="18" t="s">
        <v>9859</v>
      </c>
      <c r="U292" s="18" t="s">
        <v>8100</v>
      </c>
      <c r="V292" s="18" t="s">
        <v>6963</v>
      </c>
      <c r="W292" s="18" t="s">
        <v>95</v>
      </c>
      <c r="X292" s="18" t="s">
        <v>95</v>
      </c>
      <c r="Y292" s="18" t="s">
        <v>7980</v>
      </c>
      <c r="Z292" s="18" t="s">
        <v>6996</v>
      </c>
      <c r="AA292" s="69">
        <v>1</v>
      </c>
      <c r="AB292" s="18">
        <v>428.57143000000002</v>
      </c>
      <c r="AC292" s="18" t="s">
        <v>9860</v>
      </c>
      <c r="AD292" s="18" t="s">
        <v>7982</v>
      </c>
      <c r="AE292" s="18">
        <v>316.23</v>
      </c>
      <c r="AF292" s="18" t="s">
        <v>7983</v>
      </c>
      <c r="AG292" s="18">
        <v>316.23</v>
      </c>
      <c r="AH292" s="18" t="s">
        <v>95</v>
      </c>
      <c r="AI292" s="18" t="s">
        <v>7487</v>
      </c>
      <c r="AJ292" s="18" t="s">
        <v>113</v>
      </c>
      <c r="AK292" s="18">
        <v>16.989999999999998</v>
      </c>
      <c r="AL292" s="18" t="s">
        <v>95</v>
      </c>
      <c r="AM292" s="18" t="s">
        <v>95</v>
      </c>
      <c r="AN292" s="18" t="s">
        <v>7984</v>
      </c>
      <c r="AO292" s="18" t="s">
        <v>139</v>
      </c>
      <c r="AP292" s="20" t="s">
        <v>187</v>
      </c>
      <c r="AQ292" s="18" t="s">
        <v>188</v>
      </c>
      <c r="AR292" s="18" t="s">
        <v>295</v>
      </c>
      <c r="AS292" s="18">
        <v>1</v>
      </c>
      <c r="AT292" s="18" t="s">
        <v>177</v>
      </c>
      <c r="AU292" s="18" t="s">
        <v>90</v>
      </c>
      <c r="AV292" s="18" t="s">
        <v>9861</v>
      </c>
      <c r="AW292" s="18" t="s">
        <v>9862</v>
      </c>
      <c r="AX292" s="18" t="s">
        <v>83</v>
      </c>
      <c r="AY292" s="18" t="s">
        <v>95</v>
      </c>
      <c r="AZ292" s="18" t="s">
        <v>95</v>
      </c>
      <c r="BA292" s="18" t="s">
        <v>95</v>
      </c>
      <c r="BB292" s="18" t="s">
        <v>95</v>
      </c>
      <c r="BC292" s="18" t="s">
        <v>95</v>
      </c>
      <c r="BD292" s="18">
        <v>85.71</v>
      </c>
      <c r="BE292" s="18" t="s">
        <v>95</v>
      </c>
      <c r="BF292" s="18" t="s">
        <v>95</v>
      </c>
      <c r="BG292" s="18" t="s">
        <v>95</v>
      </c>
      <c r="BH292" s="18" t="s">
        <v>95</v>
      </c>
      <c r="BI292" s="18">
        <v>12</v>
      </c>
      <c r="BJ292" s="18">
        <v>2022</v>
      </c>
      <c r="BK292" s="18" t="s">
        <v>95</v>
      </c>
      <c r="BL292" s="18" t="s">
        <v>95</v>
      </c>
      <c r="BM292" s="18" t="s">
        <v>95</v>
      </c>
      <c r="BN292" s="18" t="s">
        <v>85</v>
      </c>
      <c r="BO292" s="18" t="s">
        <v>86</v>
      </c>
      <c r="BP292" s="18" t="s">
        <v>90</v>
      </c>
      <c r="BQ292" s="18" t="s">
        <v>8002</v>
      </c>
      <c r="BR292" s="18" t="s">
        <v>139</v>
      </c>
      <c r="BS292" s="18" t="s">
        <v>9828</v>
      </c>
      <c r="BT292" s="18" t="s">
        <v>7989</v>
      </c>
      <c r="BU292" s="18" t="s">
        <v>7990</v>
      </c>
      <c r="BV292" s="18" t="str">
        <f>Terminales[[#This Row],[IMEI]]&amp;"SI"</f>
        <v>860793050147205SI</v>
      </c>
      <c r="BW292" s="18" t="str">
        <f>VLOOKUP(Terminales[[#This Row],[OFICINA_USUARIO]],[1]!Locales[#Data],3,0)</f>
        <v>TIENDA RECREO</v>
      </c>
      <c r="BX292" s="18" t="str">
        <f>VLOOKUP(Terminales[[#This Row],[USUARIO_FINAL]],'[1]Personal Ppto vs Real'!$A:$F,6,0)</f>
        <v>ESPINOZA MARTINES LAURA XIOMARA</v>
      </c>
      <c r="BY29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9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292" s="18">
        <f>DAY(Terminales[[#This Row],[FECHA_FACTURA]])</f>
        <v>14</v>
      </c>
      <c r="CB292" s="65">
        <f>IF(Terminales[[#This Row],[CANTIDAD]] = 1,INDEX([1]!Comisiones[#Data],MATCH("Terminales",[1]!Comisiones[Producto],0),MATCH(Terminales[[#This Row],[TIPO ALTA COMISIONES]],[1]!Comisiones[#Headers],0))*Terminales[[#This Row],[MONTO]],0)</f>
        <v>42.857143000000008</v>
      </c>
      <c r="CC292" s="65">
        <f>IFERROR(IF(AND(Terminales[[#This Row],[CANTIDAD]] = 1,Terminales[[#This Row],[MOVIMIENTO]] = "RENOVACION"),Terminales[[#This Row],[TARIFA_BASICA]]*0.5,),)</f>
        <v>8.4949999999999992</v>
      </c>
      <c r="CD292" s="65">
        <f>IF('[1]Resumen TM'!$AW$20 &lt; 0.4,0,Terminales[[#This Row],[MONTO]]*0.02)</f>
        <v>8.5714286000000008</v>
      </c>
      <c r="CE292" s="66">
        <f>Terminales[[#This Row],[COMISIONES TERMINALES]]+Terminales[[#This Row],[COMISIONES RENOVACIONES]]+Terminales[[#This Row],[COMISIONES BONO]]</f>
        <v>59.923571600000002</v>
      </c>
      <c r="CF292" s="67">
        <f>(Terminales[[#This Row],[COMISIONES TERMINALES]]*VLOOKUP(Terminales[[#This Row],[LOCALES]],[1]!Calendario[#Data],3,0))/VLOOKUP(Terminales[[#This Row],[LOCALES]],[1]!Calendario[#Data],2,0)</f>
        <v>70.506912677419365</v>
      </c>
      <c r="CG292" s="67">
        <f>(Terminales[[#This Row],[COMISIONES RENOVACIONES]]*VLOOKUP(Terminales[[#This Row],[LOCALES]],[1]!Calendario[#Data],3,0))/VLOOKUP(Terminales[[#This Row],[LOCALES]],[1]!Calendario[#Data],2,0)</f>
        <v>13.975645161290322</v>
      </c>
      <c r="CH292" s="67">
        <f>(Terminales[[#This Row],[COMISIONES BONO]]*VLOOKUP(Terminales[[#This Row],[LOCALES]],[1]!Calendario[#Data],3,0))/VLOOKUP(Terminales[[#This Row],[LOCALES]],[1]!Calendario[#Data],2,0)</f>
        <v>14.101382535483873</v>
      </c>
      <c r="CI292" s="67">
        <f>Terminales[[#This Row],[PROY. COM. TERMINALES]]+Terminales[[#This Row],[PROY. COM. RENOV.]]+Terminales[[#This Row],[PROY. COM. 2%]]</f>
        <v>98.58394037419356</v>
      </c>
    </row>
    <row r="293" spans="1:87" x14ac:dyDescent="0.25">
      <c r="A293" s="68">
        <v>44926</v>
      </c>
      <c r="B293" s="68">
        <v>44909</v>
      </c>
      <c r="C293" s="18" t="s">
        <v>96</v>
      </c>
      <c r="D293" s="18" t="s">
        <v>96</v>
      </c>
      <c r="E293" s="18" t="s">
        <v>96</v>
      </c>
      <c r="F293" s="18" t="s">
        <v>9863</v>
      </c>
      <c r="G293" s="18" t="s">
        <v>292</v>
      </c>
      <c r="H293" s="18" t="s">
        <v>494</v>
      </c>
      <c r="I293" s="18" t="s">
        <v>9864</v>
      </c>
      <c r="J293" s="18" t="s">
        <v>95</v>
      </c>
      <c r="K293" s="18" t="s">
        <v>7970</v>
      </c>
      <c r="L293" s="18" t="s">
        <v>9865</v>
      </c>
      <c r="M293" s="18" t="s">
        <v>9866</v>
      </c>
      <c r="N293" s="18" t="s">
        <v>9867</v>
      </c>
      <c r="O293" s="18" t="s">
        <v>6241</v>
      </c>
      <c r="P293" s="18" t="s">
        <v>9868</v>
      </c>
      <c r="Q293" s="18" t="s">
        <v>7975</v>
      </c>
      <c r="R293" s="18" t="s">
        <v>7976</v>
      </c>
      <c r="S293" s="18" t="s">
        <v>8070</v>
      </c>
      <c r="T293" s="18" t="s">
        <v>8364</v>
      </c>
      <c r="U293" s="18" t="s">
        <v>8012</v>
      </c>
      <c r="V293" s="18" t="s">
        <v>6963</v>
      </c>
      <c r="W293" s="18" t="s">
        <v>95</v>
      </c>
      <c r="X293" s="18" t="s">
        <v>95</v>
      </c>
      <c r="Y293" s="18" t="s">
        <v>7980</v>
      </c>
      <c r="Z293" s="18" t="s">
        <v>6996</v>
      </c>
      <c r="AA293" s="69">
        <v>1</v>
      </c>
      <c r="AB293" s="18">
        <v>281.25</v>
      </c>
      <c r="AC293" s="18" t="s">
        <v>9869</v>
      </c>
      <c r="AD293" s="18" t="s">
        <v>7982</v>
      </c>
      <c r="AE293" s="18">
        <v>269.92</v>
      </c>
      <c r="AF293" s="18" t="s">
        <v>7983</v>
      </c>
      <c r="AG293" s="18">
        <v>269.92</v>
      </c>
      <c r="AH293" s="18" t="s">
        <v>95</v>
      </c>
      <c r="AI293" s="18" t="s">
        <v>8102</v>
      </c>
      <c r="AJ293" s="18" t="s">
        <v>8103</v>
      </c>
      <c r="AK293" s="18" t="s">
        <v>95</v>
      </c>
      <c r="AL293" s="18" t="s">
        <v>95</v>
      </c>
      <c r="AM293" s="18" t="s">
        <v>95</v>
      </c>
      <c r="AN293" s="18" t="s">
        <v>7984</v>
      </c>
      <c r="AO293" s="18" t="s">
        <v>92</v>
      </c>
      <c r="AP293" s="20" t="s">
        <v>808</v>
      </c>
      <c r="AQ293" s="18" t="s">
        <v>809</v>
      </c>
      <c r="AR293" s="18" t="s">
        <v>496</v>
      </c>
      <c r="AS293" s="18">
        <v>1</v>
      </c>
      <c r="AT293" s="18" t="s">
        <v>122</v>
      </c>
      <c r="AU293" s="18" t="s">
        <v>90</v>
      </c>
      <c r="AV293" s="18" t="s">
        <v>8366</v>
      </c>
      <c r="AW293" s="18" t="s">
        <v>8367</v>
      </c>
      <c r="AX293" s="18" t="s">
        <v>83</v>
      </c>
      <c r="AY293" s="18" t="s">
        <v>95</v>
      </c>
      <c r="AZ293" s="18" t="s">
        <v>95</v>
      </c>
      <c r="BA293" s="18" t="s">
        <v>95</v>
      </c>
      <c r="BB293" s="18" t="s">
        <v>95</v>
      </c>
      <c r="BC293" s="18" t="s">
        <v>95</v>
      </c>
      <c r="BD293" s="18" t="s">
        <v>95</v>
      </c>
      <c r="BE293" s="18" t="s">
        <v>95</v>
      </c>
      <c r="BF293" s="18" t="s">
        <v>95</v>
      </c>
      <c r="BG293" s="18" t="s">
        <v>95</v>
      </c>
      <c r="BH293" s="18" t="s">
        <v>95</v>
      </c>
      <c r="BI293" s="18">
        <v>12</v>
      </c>
      <c r="BJ293" s="18">
        <v>2022</v>
      </c>
      <c r="BK293" s="18" t="s">
        <v>95</v>
      </c>
      <c r="BL293" s="18" t="s">
        <v>95</v>
      </c>
      <c r="BM293" s="18" t="s">
        <v>95</v>
      </c>
      <c r="BN293" s="18" t="s">
        <v>85</v>
      </c>
      <c r="BO293" s="18" t="s">
        <v>86</v>
      </c>
      <c r="BP293" s="18" t="s">
        <v>90</v>
      </c>
      <c r="BQ293" s="18" t="s">
        <v>8050</v>
      </c>
      <c r="BR293" s="18" t="s">
        <v>92</v>
      </c>
      <c r="BS293" s="18" t="s">
        <v>8074</v>
      </c>
      <c r="BT293" s="18" t="s">
        <v>7989</v>
      </c>
      <c r="BU293" s="18" t="s">
        <v>496</v>
      </c>
      <c r="BV293" s="18" t="str">
        <f>Terminales[[#This Row],[IMEI]]&amp;"SI"</f>
        <v>865954060770726SI</v>
      </c>
      <c r="BW293" s="18" t="str">
        <f>VLOOKUP(Terminales[[#This Row],[OFICINA_USUARIO]],[1]!Locales[#Data],3,0)</f>
        <v>TIENDA MACHALA</v>
      </c>
      <c r="BX293" s="18" t="str">
        <f>VLOOKUP(Terminales[[#This Row],[USUARIO_FINAL]],'[1]Personal Ppto vs Real'!$A:$F,6,0)</f>
        <v>ALICIA ROMINA GONZALEZ SANDOYA</v>
      </c>
      <c r="BY29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9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93" s="18">
        <f>DAY(Terminales[[#This Row],[FECHA_FACTURA]])</f>
        <v>14</v>
      </c>
      <c r="CB293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293" s="65">
        <f>IFERROR(IF(AND(Terminales[[#This Row],[CANTIDAD]] = 1,Terminales[[#This Row],[MOVIMIENTO]] = "RENOVACION"),Terminales[[#This Row],[TARIFA_BASICA]]*0.5,),)</f>
        <v>0</v>
      </c>
      <c r="CD293" s="65">
        <f>IF('[1]Resumen TM'!$AW$20 &lt; 0.4,0,Terminales[[#This Row],[MONTO]]*0.02)</f>
        <v>5.625</v>
      </c>
      <c r="CE293" s="66">
        <f>Terminales[[#This Row],[COMISIONES TERMINALES]]+Terminales[[#This Row],[COMISIONES RENOVACIONES]]+Terminales[[#This Row],[COMISIONES BONO]]</f>
        <v>33.75</v>
      </c>
      <c r="CF293" s="67">
        <f>(Terminales[[#This Row],[COMISIONES TERMINALES]]*VLOOKUP(Terminales[[#This Row],[LOCALES]],[1]!Calendario[#Data],3,0))/VLOOKUP(Terminales[[#This Row],[LOCALES]],[1]!Calendario[#Data],2,0)</f>
        <v>45.581896551724135</v>
      </c>
      <c r="CG293" s="67">
        <f>(Terminales[[#This Row],[COMISIONES RENOVACIONES]]*VLOOKUP(Terminales[[#This Row],[LOCALES]],[1]!Calendario[#Data],3,0))/VLOOKUP(Terminales[[#This Row],[LOCALES]],[1]!Calendario[#Data],2,0)</f>
        <v>0</v>
      </c>
      <c r="CH293" s="67">
        <f>(Terminales[[#This Row],[COMISIONES BONO]]*VLOOKUP(Terminales[[#This Row],[LOCALES]],[1]!Calendario[#Data],3,0))/VLOOKUP(Terminales[[#This Row],[LOCALES]],[1]!Calendario[#Data],2,0)</f>
        <v>9.1163793103448274</v>
      </c>
      <c r="CI293" s="67">
        <f>Terminales[[#This Row],[PROY. COM. TERMINALES]]+Terminales[[#This Row],[PROY. COM. RENOV.]]+Terminales[[#This Row],[PROY. COM. 2%]]</f>
        <v>54.698275862068961</v>
      </c>
    </row>
    <row r="294" spans="1:87" x14ac:dyDescent="0.25">
      <c r="A294" s="68">
        <v>44926</v>
      </c>
      <c r="B294" s="68">
        <v>44909</v>
      </c>
      <c r="C294" s="18" t="s">
        <v>291</v>
      </c>
      <c r="D294" s="18" t="s">
        <v>78</v>
      </c>
      <c r="E294" s="18" t="s">
        <v>1036</v>
      </c>
      <c r="F294" s="18" t="s">
        <v>9870</v>
      </c>
      <c r="G294" s="18" t="s">
        <v>292</v>
      </c>
      <c r="H294" s="18" t="s">
        <v>494</v>
      </c>
      <c r="I294" s="18" t="s">
        <v>9871</v>
      </c>
      <c r="J294" s="18" t="s">
        <v>95</v>
      </c>
      <c r="K294" s="18" t="s">
        <v>7970</v>
      </c>
      <c r="L294" s="18" t="s">
        <v>9872</v>
      </c>
      <c r="M294" s="18" t="s">
        <v>9873</v>
      </c>
      <c r="N294" s="18" t="s">
        <v>9874</v>
      </c>
      <c r="O294" s="18" t="s">
        <v>4907</v>
      </c>
      <c r="P294" s="18" t="s">
        <v>9875</v>
      </c>
      <c r="Q294" s="18" t="s">
        <v>7975</v>
      </c>
      <c r="R294" s="18" t="s">
        <v>7976</v>
      </c>
      <c r="S294" s="18" t="s">
        <v>8045</v>
      </c>
      <c r="T294" s="18" t="s">
        <v>8099</v>
      </c>
      <c r="U294" s="18" t="s">
        <v>8100</v>
      </c>
      <c r="V294" s="18" t="s">
        <v>6963</v>
      </c>
      <c r="W294" s="18" t="s">
        <v>95</v>
      </c>
      <c r="X294" s="18" t="s">
        <v>95</v>
      </c>
      <c r="Y294" s="18" t="s">
        <v>7980</v>
      </c>
      <c r="Z294" s="18" t="s">
        <v>6996</v>
      </c>
      <c r="AA294" s="69">
        <v>1</v>
      </c>
      <c r="AB294" s="18">
        <v>406.25</v>
      </c>
      <c r="AC294" s="18" t="s">
        <v>9876</v>
      </c>
      <c r="AD294" s="18" t="s">
        <v>7982</v>
      </c>
      <c r="AE294" s="18">
        <v>396.5</v>
      </c>
      <c r="AF294" s="18" t="s">
        <v>7983</v>
      </c>
      <c r="AG294" s="18">
        <v>396.5</v>
      </c>
      <c r="AH294" s="18" t="s">
        <v>95</v>
      </c>
      <c r="AI294" s="18" t="s">
        <v>9877</v>
      </c>
      <c r="AJ294" s="18" t="s">
        <v>9878</v>
      </c>
      <c r="AK294" s="18">
        <v>25.15</v>
      </c>
      <c r="AL294" s="18" t="s">
        <v>95</v>
      </c>
      <c r="AM294" s="18" t="s">
        <v>95</v>
      </c>
      <c r="AN294" s="18" t="s">
        <v>7984</v>
      </c>
      <c r="AO294" s="18" t="s">
        <v>92</v>
      </c>
      <c r="AP294" s="20" t="s">
        <v>420</v>
      </c>
      <c r="AQ294" s="18" t="s">
        <v>421</v>
      </c>
      <c r="AR294" s="18" t="s">
        <v>496</v>
      </c>
      <c r="AS294" s="18">
        <v>1</v>
      </c>
      <c r="AT294" s="18" t="s">
        <v>151</v>
      </c>
      <c r="AU294" s="18" t="s">
        <v>90</v>
      </c>
      <c r="AV294" s="18" t="s">
        <v>8660</v>
      </c>
      <c r="AW294" s="18" t="s">
        <v>8661</v>
      </c>
      <c r="AX294" s="18" t="s">
        <v>83</v>
      </c>
      <c r="AY294" s="18" t="s">
        <v>95</v>
      </c>
      <c r="AZ294" s="18" t="s">
        <v>95</v>
      </c>
      <c r="BA294" s="18" t="s">
        <v>95</v>
      </c>
      <c r="BB294" s="18" t="s">
        <v>95</v>
      </c>
      <c r="BC294" s="18" t="s">
        <v>95</v>
      </c>
      <c r="BD294" s="18" t="s">
        <v>95</v>
      </c>
      <c r="BE294" s="18" t="s">
        <v>8278</v>
      </c>
      <c r="BF294" s="18" t="s">
        <v>8064</v>
      </c>
      <c r="BG294" s="18" t="s">
        <v>95</v>
      </c>
      <c r="BH294" s="18" t="s">
        <v>95</v>
      </c>
      <c r="BI294" s="18">
        <v>12</v>
      </c>
      <c r="BJ294" s="18">
        <v>2022</v>
      </c>
      <c r="BK294" s="18" t="s">
        <v>95</v>
      </c>
      <c r="BL294" s="18" t="s">
        <v>95</v>
      </c>
      <c r="BM294" s="18" t="s">
        <v>95</v>
      </c>
      <c r="BN294" s="18" t="s">
        <v>85</v>
      </c>
      <c r="BO294" s="18" t="s">
        <v>86</v>
      </c>
      <c r="BP294" s="18" t="s">
        <v>90</v>
      </c>
      <c r="BQ294" s="18" t="s">
        <v>8141</v>
      </c>
      <c r="BR294" s="18" t="s">
        <v>92</v>
      </c>
      <c r="BS294" s="18" t="s">
        <v>8003</v>
      </c>
      <c r="BT294" s="18" t="s">
        <v>7989</v>
      </c>
      <c r="BU294" s="18" t="s">
        <v>496</v>
      </c>
      <c r="BV294" s="18" t="str">
        <f>Terminales[[#This Row],[IMEI]]&amp;"SI"</f>
        <v>353842195553480SI</v>
      </c>
      <c r="BW294" s="18" t="str">
        <f>VLOOKUP(Terminales[[#This Row],[OFICINA_USUARIO]],[1]!Locales[#Data],3,0)</f>
        <v>TIENDA CUENCA REMIGIO</v>
      </c>
      <c r="BX294" s="18" t="str">
        <f>VLOOKUP(Terminales[[#This Row],[USUARIO_FINAL]],'[1]Personal Ppto vs Real'!$A:$F,6,0)</f>
        <v>YEPEZ PALOMEQUE DIANA PATRICIA</v>
      </c>
      <c r="BY29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9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94" s="18">
        <f>DAY(Terminales[[#This Row],[FECHA_FACTURA]])</f>
        <v>14</v>
      </c>
      <c r="CB294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294" s="65">
        <f>IFERROR(IF(AND(Terminales[[#This Row],[CANTIDAD]] = 1,Terminales[[#This Row],[MOVIMIENTO]] = "RENOVACION"),Terminales[[#This Row],[TARIFA_BASICA]]*0.5,),)</f>
        <v>12.574999999999999</v>
      </c>
      <c r="CD294" s="65">
        <f>IF('[1]Resumen TM'!$AW$20 &lt; 0.4,0,Terminales[[#This Row],[MONTO]]*0.02)</f>
        <v>8.125</v>
      </c>
      <c r="CE294" s="66">
        <f>Terminales[[#This Row],[COMISIONES TERMINALES]]+Terminales[[#This Row],[COMISIONES RENOVACIONES]]+Terminales[[#This Row],[COMISIONES BONO]]</f>
        <v>61.325000000000003</v>
      </c>
      <c r="CF294" s="67">
        <f>(Terminales[[#This Row],[COMISIONES TERMINALES]]*VLOOKUP(Terminales[[#This Row],[LOCALES]],[1]!Calendario[#Data],3,0))/VLOOKUP(Terminales[[#This Row],[LOCALES]],[1]!Calendario[#Data],2,0)</f>
        <v>65.840517241379317</v>
      </c>
      <c r="CG294" s="67">
        <f>(Terminales[[#This Row],[COMISIONES RENOVACIONES]]*VLOOKUP(Terminales[[#This Row],[LOCALES]],[1]!Calendario[#Data],3,0))/VLOOKUP(Terminales[[#This Row],[LOCALES]],[1]!Calendario[#Data],2,0)</f>
        <v>20.380172413793101</v>
      </c>
      <c r="CH294" s="67">
        <f>(Terminales[[#This Row],[COMISIONES BONO]]*VLOOKUP(Terminales[[#This Row],[LOCALES]],[1]!Calendario[#Data],3,0))/VLOOKUP(Terminales[[#This Row],[LOCALES]],[1]!Calendario[#Data],2,0)</f>
        <v>13.168103448275861</v>
      </c>
      <c r="CI294" s="67">
        <f>Terminales[[#This Row],[PROY. COM. TERMINALES]]+Terminales[[#This Row],[PROY. COM. RENOV.]]+Terminales[[#This Row],[PROY. COM. 2%]]</f>
        <v>99.388793103448279</v>
      </c>
    </row>
    <row r="295" spans="1:87" x14ac:dyDescent="0.25">
      <c r="A295" s="68">
        <v>44926</v>
      </c>
      <c r="B295" s="68">
        <v>44909</v>
      </c>
      <c r="C295" s="18" t="s">
        <v>291</v>
      </c>
      <c r="D295" s="18" t="s">
        <v>78</v>
      </c>
      <c r="E295" s="18" t="s">
        <v>1378</v>
      </c>
      <c r="F295" s="18" t="s">
        <v>9879</v>
      </c>
      <c r="G295" s="18" t="s">
        <v>292</v>
      </c>
      <c r="H295" s="18" t="s">
        <v>293</v>
      </c>
      <c r="I295" s="18" t="s">
        <v>9880</v>
      </c>
      <c r="J295" s="18" t="s">
        <v>95</v>
      </c>
      <c r="K295" s="18" t="s">
        <v>7970</v>
      </c>
      <c r="L295" s="18" t="s">
        <v>9881</v>
      </c>
      <c r="M295" s="18" t="s">
        <v>9882</v>
      </c>
      <c r="N295" s="18" t="s">
        <v>9883</v>
      </c>
      <c r="O295" s="18" t="s">
        <v>2260</v>
      </c>
      <c r="P295" s="18" t="s">
        <v>9884</v>
      </c>
      <c r="Q295" s="18" t="s">
        <v>7975</v>
      </c>
      <c r="R295" s="18" t="s">
        <v>7976</v>
      </c>
      <c r="S295" s="18" t="s">
        <v>8010</v>
      </c>
      <c r="T295" s="18" t="s">
        <v>8011</v>
      </c>
      <c r="U295" s="18" t="s">
        <v>8012</v>
      </c>
      <c r="V295" s="18" t="s">
        <v>6963</v>
      </c>
      <c r="W295" s="18" t="s">
        <v>95</v>
      </c>
      <c r="X295" s="18" t="s">
        <v>95</v>
      </c>
      <c r="Y295" s="18" t="s">
        <v>7980</v>
      </c>
      <c r="Z295" s="18" t="s">
        <v>6996</v>
      </c>
      <c r="AA295" s="69">
        <v>1</v>
      </c>
      <c r="AB295" s="18">
        <v>294.64285999999998</v>
      </c>
      <c r="AC295" s="18" t="s">
        <v>9885</v>
      </c>
      <c r="AD295" s="18" t="s">
        <v>7982</v>
      </c>
      <c r="AE295" s="18">
        <v>168.8</v>
      </c>
      <c r="AF295" s="18" t="s">
        <v>7983</v>
      </c>
      <c r="AG295" s="18">
        <v>168.8</v>
      </c>
      <c r="AH295" s="18" t="s">
        <v>95</v>
      </c>
      <c r="AI295" s="18" t="s">
        <v>7139</v>
      </c>
      <c r="AJ295" s="18" t="s">
        <v>7140</v>
      </c>
      <c r="AK295" s="18">
        <v>20.28</v>
      </c>
      <c r="AL295" s="18" t="s">
        <v>95</v>
      </c>
      <c r="AM295" s="18" t="s">
        <v>95</v>
      </c>
      <c r="AN295" s="18" t="s">
        <v>7984</v>
      </c>
      <c r="AO295" s="18" t="s">
        <v>92</v>
      </c>
      <c r="AP295" s="20" t="s">
        <v>1415</v>
      </c>
      <c r="AQ295" s="18" t="s">
        <v>1416</v>
      </c>
      <c r="AR295" s="18" t="s">
        <v>295</v>
      </c>
      <c r="AS295" s="18">
        <v>1</v>
      </c>
      <c r="AT295" s="18" t="s">
        <v>91</v>
      </c>
      <c r="AU295" s="18" t="s">
        <v>90</v>
      </c>
      <c r="AV295" s="18" t="s">
        <v>8014</v>
      </c>
      <c r="AW295" s="18" t="s">
        <v>8015</v>
      </c>
      <c r="AX295" s="18" t="s">
        <v>83</v>
      </c>
      <c r="AY295" s="18" t="s">
        <v>95</v>
      </c>
      <c r="AZ295" s="18" t="s">
        <v>95</v>
      </c>
      <c r="BA295" s="18" t="s">
        <v>95</v>
      </c>
      <c r="BB295" s="18" t="s">
        <v>95</v>
      </c>
      <c r="BC295" s="18" t="s">
        <v>95</v>
      </c>
      <c r="BD295" s="18">
        <v>58.93</v>
      </c>
      <c r="BE295" s="18" t="s">
        <v>95</v>
      </c>
      <c r="BF295" s="18" t="s">
        <v>95</v>
      </c>
      <c r="BG295" s="18" t="s">
        <v>95</v>
      </c>
      <c r="BH295" s="18" t="s">
        <v>95</v>
      </c>
      <c r="BI295" s="18">
        <v>12</v>
      </c>
      <c r="BJ295" s="18">
        <v>2022</v>
      </c>
      <c r="BK295" s="18" t="s">
        <v>95</v>
      </c>
      <c r="BL295" s="18" t="s">
        <v>95</v>
      </c>
      <c r="BM295" s="18" t="s">
        <v>95</v>
      </c>
      <c r="BN295" s="18" t="s">
        <v>85</v>
      </c>
      <c r="BO295" s="18" t="s">
        <v>86</v>
      </c>
      <c r="BP295" s="18" t="s">
        <v>90</v>
      </c>
      <c r="BQ295" s="18" t="s">
        <v>8106</v>
      </c>
      <c r="BR295" s="18" t="s">
        <v>92</v>
      </c>
      <c r="BS295" s="18" t="s">
        <v>9828</v>
      </c>
      <c r="BT295" s="18" t="s">
        <v>7989</v>
      </c>
      <c r="BU295" s="18" t="s">
        <v>7990</v>
      </c>
      <c r="BV295" s="18" t="str">
        <f>Terminales[[#This Row],[IMEI]]&amp;"SI"</f>
        <v>359694275330048SI</v>
      </c>
      <c r="BW295" s="18" t="str">
        <f>VLOOKUP(Terminales[[#This Row],[OFICINA_USUARIO]],[1]!Locales[#Data],3,0)</f>
        <v>TIENDA CUENCA CENTRO</v>
      </c>
      <c r="BX295" s="18" t="str">
        <f>VLOOKUP(Terminales[[#This Row],[USUARIO_FINAL]],'[1]Personal Ppto vs Real'!$A:$F,6,0)</f>
        <v>PATIÑO URGILES DIANA CATALINA</v>
      </c>
      <c r="BY29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9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295" s="18">
        <f>DAY(Terminales[[#This Row],[FECHA_FACTURA]])</f>
        <v>14</v>
      </c>
      <c r="CB295" s="65">
        <f>IF(Terminales[[#This Row],[CANTIDAD]] = 1,INDEX([1]!Comisiones[#Data],MATCH("Terminales",[1]!Comisiones[Producto],0),MATCH(Terminales[[#This Row],[TIPO ALTA COMISIONES]],[1]!Comisiones[#Headers],0))*Terminales[[#This Row],[MONTO]],0)</f>
        <v>29.464286000000001</v>
      </c>
      <c r="CC295" s="65">
        <f>IFERROR(IF(AND(Terminales[[#This Row],[CANTIDAD]] = 1,Terminales[[#This Row],[MOVIMIENTO]] = "RENOVACION"),Terminales[[#This Row],[TARIFA_BASICA]]*0.5,),)</f>
        <v>10.14</v>
      </c>
      <c r="CD295" s="65">
        <f>IF('[1]Resumen TM'!$AW$20 &lt; 0.4,0,Terminales[[#This Row],[MONTO]]*0.02)</f>
        <v>5.8928571999999999</v>
      </c>
      <c r="CE295" s="66">
        <f>Terminales[[#This Row],[COMISIONES TERMINALES]]+Terminales[[#This Row],[COMISIONES RENOVACIONES]]+Terminales[[#This Row],[COMISIONES BONO]]</f>
        <v>45.497143200000004</v>
      </c>
      <c r="CF295" s="67">
        <f>(Terminales[[#This Row],[COMISIONES TERMINALES]]*VLOOKUP(Terminales[[#This Row],[LOCALES]],[1]!Calendario[#Data],3,0))/VLOOKUP(Terminales[[#This Row],[LOCALES]],[1]!Calendario[#Data],2,0)</f>
        <v>47.752463517241388</v>
      </c>
      <c r="CG295" s="67">
        <f>(Terminales[[#This Row],[COMISIONES RENOVACIONES]]*VLOOKUP(Terminales[[#This Row],[LOCALES]],[1]!Calendario[#Data],3,0))/VLOOKUP(Terminales[[#This Row],[LOCALES]],[1]!Calendario[#Data],2,0)</f>
        <v>16.433793103448277</v>
      </c>
      <c r="CH295" s="67">
        <f>(Terminales[[#This Row],[COMISIONES BONO]]*VLOOKUP(Terminales[[#This Row],[LOCALES]],[1]!Calendario[#Data],3,0))/VLOOKUP(Terminales[[#This Row],[LOCALES]],[1]!Calendario[#Data],2,0)</f>
        <v>9.5504927034482758</v>
      </c>
      <c r="CI295" s="67">
        <f>Terminales[[#This Row],[PROY. COM. TERMINALES]]+Terminales[[#This Row],[PROY. COM. RENOV.]]+Terminales[[#This Row],[PROY. COM. 2%]]</f>
        <v>73.736749324137932</v>
      </c>
    </row>
    <row r="296" spans="1:87" x14ac:dyDescent="0.25">
      <c r="A296" s="68">
        <v>44926</v>
      </c>
      <c r="B296" s="68">
        <v>44909</v>
      </c>
      <c r="C296" s="18" t="s">
        <v>291</v>
      </c>
      <c r="D296" s="18" t="s">
        <v>521</v>
      </c>
      <c r="E296" s="18" t="s">
        <v>8017</v>
      </c>
      <c r="F296" s="18" t="s">
        <v>9886</v>
      </c>
      <c r="G296" s="18" t="s">
        <v>292</v>
      </c>
      <c r="H296" s="18" t="s">
        <v>293</v>
      </c>
      <c r="I296" s="18" t="s">
        <v>9887</v>
      </c>
      <c r="J296" s="18" t="s">
        <v>95</v>
      </c>
      <c r="K296" s="18" t="s">
        <v>7970</v>
      </c>
      <c r="L296" s="18" t="s">
        <v>9888</v>
      </c>
      <c r="M296" s="18" t="s">
        <v>3610</v>
      </c>
      <c r="N296" s="18" t="s">
        <v>9889</v>
      </c>
      <c r="O296" s="18" t="s">
        <v>3299</v>
      </c>
      <c r="P296" s="18" t="s">
        <v>9890</v>
      </c>
      <c r="Q296" s="18" t="s">
        <v>7975</v>
      </c>
      <c r="R296" s="18" t="s">
        <v>7976</v>
      </c>
      <c r="S296" s="18" t="s">
        <v>8070</v>
      </c>
      <c r="T296" s="18" t="s">
        <v>8189</v>
      </c>
      <c r="U296" s="18" t="s">
        <v>8100</v>
      </c>
      <c r="V296" s="18" t="s">
        <v>6963</v>
      </c>
      <c r="W296" s="18" t="s">
        <v>95</v>
      </c>
      <c r="X296" s="18" t="s">
        <v>95</v>
      </c>
      <c r="Y296" s="18" t="s">
        <v>7980</v>
      </c>
      <c r="Z296" s="18" t="s">
        <v>6996</v>
      </c>
      <c r="AA296" s="69">
        <v>1</v>
      </c>
      <c r="AB296" s="18">
        <v>602.67857000000004</v>
      </c>
      <c r="AC296" s="18" t="s">
        <v>9891</v>
      </c>
      <c r="AD296" s="18" t="s">
        <v>7982</v>
      </c>
      <c r="AE296" s="18">
        <v>399.99</v>
      </c>
      <c r="AF296" s="18" t="s">
        <v>7983</v>
      </c>
      <c r="AG296" s="18">
        <v>399.99</v>
      </c>
      <c r="AH296" s="18" t="s">
        <v>95</v>
      </c>
      <c r="AI296" s="18" t="s">
        <v>8597</v>
      </c>
      <c r="AJ296" s="18" t="s">
        <v>8869</v>
      </c>
      <c r="AK296" s="18">
        <v>25</v>
      </c>
      <c r="AL296" s="18" t="s">
        <v>95</v>
      </c>
      <c r="AM296" s="18" t="s">
        <v>95</v>
      </c>
      <c r="AN296" s="18" t="s">
        <v>7984</v>
      </c>
      <c r="AO296" s="18" t="s">
        <v>92</v>
      </c>
      <c r="AP296" s="20" t="s">
        <v>385</v>
      </c>
      <c r="AQ296" s="18" t="s">
        <v>386</v>
      </c>
      <c r="AR296" s="18" t="s">
        <v>295</v>
      </c>
      <c r="AS296" s="18">
        <v>1</v>
      </c>
      <c r="AT296" s="18" t="s">
        <v>151</v>
      </c>
      <c r="AU296" s="18" t="s">
        <v>90</v>
      </c>
      <c r="AV296" s="18" t="s">
        <v>8191</v>
      </c>
      <c r="AW296" s="18" t="s">
        <v>8192</v>
      </c>
      <c r="AX296" s="18" t="s">
        <v>83</v>
      </c>
      <c r="AY296" s="18" t="s">
        <v>95</v>
      </c>
      <c r="AZ296" s="18" t="s">
        <v>95</v>
      </c>
      <c r="BA296" s="18" t="s">
        <v>95</v>
      </c>
      <c r="BB296" s="18" t="s">
        <v>95</v>
      </c>
      <c r="BC296" s="18" t="s">
        <v>95</v>
      </c>
      <c r="BD296" s="18">
        <v>121</v>
      </c>
      <c r="BE296" s="18" t="s">
        <v>95</v>
      </c>
      <c r="BF296" s="18" t="s">
        <v>95</v>
      </c>
      <c r="BG296" s="18" t="s">
        <v>95</v>
      </c>
      <c r="BH296" s="18" t="s">
        <v>95</v>
      </c>
      <c r="BI296" s="18">
        <v>12</v>
      </c>
      <c r="BJ296" s="18">
        <v>2022</v>
      </c>
      <c r="BK296" s="18" t="s">
        <v>95</v>
      </c>
      <c r="BL296" s="18" t="s">
        <v>95</v>
      </c>
      <c r="BM296" s="18" t="s">
        <v>95</v>
      </c>
      <c r="BN296" s="18" t="s">
        <v>85</v>
      </c>
      <c r="BO296" s="18" t="s">
        <v>86</v>
      </c>
      <c r="BP296" s="18" t="s">
        <v>90</v>
      </c>
      <c r="BQ296" s="18" t="s">
        <v>8141</v>
      </c>
      <c r="BR296" s="18" t="s">
        <v>92</v>
      </c>
      <c r="BS296" s="18" t="s">
        <v>9828</v>
      </c>
      <c r="BT296" s="18" t="s">
        <v>7989</v>
      </c>
      <c r="BU296" s="18" t="s">
        <v>7990</v>
      </c>
      <c r="BV296" s="18" t="str">
        <f>Terminales[[#This Row],[IMEI]]&amp;"SI"</f>
        <v>861267062046605SI</v>
      </c>
      <c r="BW296" s="18" t="str">
        <f>VLOOKUP(Terminales[[#This Row],[OFICINA_USUARIO]],[1]!Locales[#Data],3,0)</f>
        <v>TIENDA CUENCA REMIGIO</v>
      </c>
      <c r="BX296" s="18" t="str">
        <f>VLOOKUP(Terminales[[#This Row],[USUARIO_FINAL]],'[1]Personal Ppto vs Real'!$A:$F,6,0)</f>
        <v>RAMIREZ RUBIO NELLY LILIANA</v>
      </c>
      <c r="BY29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29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296" s="18">
        <f>DAY(Terminales[[#This Row],[FECHA_FACTURA]])</f>
        <v>14</v>
      </c>
      <c r="CB296" s="65">
        <f>IF(Terminales[[#This Row],[CANTIDAD]] = 1,INDEX([1]!Comisiones[#Data],MATCH("Terminales",[1]!Comisiones[Producto],0),MATCH(Terminales[[#This Row],[TIPO ALTA COMISIONES]],[1]!Comisiones[#Headers],0))*Terminales[[#This Row],[MONTO]],0)</f>
        <v>60.267857000000006</v>
      </c>
      <c r="CC296" s="65">
        <f>IFERROR(IF(AND(Terminales[[#This Row],[CANTIDAD]] = 1,Terminales[[#This Row],[MOVIMIENTO]] = "RENOVACION"),Terminales[[#This Row],[TARIFA_BASICA]]*0.5,),)</f>
        <v>12.5</v>
      </c>
      <c r="CD296" s="65">
        <f>IF('[1]Resumen TM'!$AW$20 &lt; 0.4,0,Terminales[[#This Row],[MONTO]]*0.02)</f>
        <v>12.053571400000001</v>
      </c>
      <c r="CE296" s="66">
        <f>Terminales[[#This Row],[COMISIONES TERMINALES]]+Terminales[[#This Row],[COMISIONES RENOVACIONES]]+Terminales[[#This Row],[COMISIONES BONO]]</f>
        <v>84.821428400000002</v>
      </c>
      <c r="CF296" s="67">
        <f>(Terminales[[#This Row],[COMISIONES TERMINALES]]*VLOOKUP(Terminales[[#This Row],[LOCALES]],[1]!Calendario[#Data],3,0))/VLOOKUP(Terminales[[#This Row],[LOCALES]],[1]!Calendario[#Data],2,0)</f>
        <v>97.675492379310356</v>
      </c>
      <c r="CG296" s="67">
        <f>(Terminales[[#This Row],[COMISIONES RENOVACIONES]]*VLOOKUP(Terminales[[#This Row],[LOCALES]],[1]!Calendario[#Data],3,0))/VLOOKUP(Terminales[[#This Row],[LOCALES]],[1]!Calendario[#Data],2,0)</f>
        <v>20.258620689655171</v>
      </c>
      <c r="CH296" s="67">
        <f>(Terminales[[#This Row],[COMISIONES BONO]]*VLOOKUP(Terminales[[#This Row],[LOCALES]],[1]!Calendario[#Data],3,0))/VLOOKUP(Terminales[[#This Row],[LOCALES]],[1]!Calendario[#Data],2,0)</f>
        <v>19.535098475862068</v>
      </c>
      <c r="CI296" s="67">
        <f>Terminales[[#This Row],[PROY. COM. TERMINALES]]+Terminales[[#This Row],[PROY. COM. RENOV.]]+Terminales[[#This Row],[PROY. COM. 2%]]</f>
        <v>137.4692115448276</v>
      </c>
    </row>
    <row r="297" spans="1:87" x14ac:dyDescent="0.25">
      <c r="A297" s="68">
        <v>44926</v>
      </c>
      <c r="B297" s="68">
        <v>44909</v>
      </c>
      <c r="C297" s="18" t="s">
        <v>291</v>
      </c>
      <c r="D297" s="18" t="s">
        <v>78</v>
      </c>
      <c r="E297" s="18" t="s">
        <v>1378</v>
      </c>
      <c r="F297" s="18" t="s">
        <v>9892</v>
      </c>
      <c r="G297" s="18" t="s">
        <v>292</v>
      </c>
      <c r="H297" s="18" t="s">
        <v>494</v>
      </c>
      <c r="I297" s="18" t="s">
        <v>9893</v>
      </c>
      <c r="J297" s="18" t="s">
        <v>95</v>
      </c>
      <c r="K297" s="18" t="s">
        <v>7970</v>
      </c>
      <c r="L297" s="18" t="s">
        <v>9894</v>
      </c>
      <c r="M297" s="18" t="s">
        <v>9895</v>
      </c>
      <c r="N297" s="18" t="s">
        <v>9896</v>
      </c>
      <c r="O297" s="18" t="s">
        <v>5764</v>
      </c>
      <c r="P297" s="18" t="s">
        <v>9897</v>
      </c>
      <c r="Q297" s="18" t="s">
        <v>7975</v>
      </c>
      <c r="R297" s="18" t="s">
        <v>7976</v>
      </c>
      <c r="S297" s="18" t="s">
        <v>8250</v>
      </c>
      <c r="T297" s="18" t="s">
        <v>8294</v>
      </c>
      <c r="U297" s="18" t="s">
        <v>8059</v>
      </c>
      <c r="V297" s="18" t="s">
        <v>6963</v>
      </c>
      <c r="W297" s="18" t="s">
        <v>95</v>
      </c>
      <c r="X297" s="18" t="s">
        <v>95</v>
      </c>
      <c r="Y297" s="18" t="s">
        <v>7980</v>
      </c>
      <c r="Z297" s="18" t="s">
        <v>6996</v>
      </c>
      <c r="AA297" s="69">
        <v>1</v>
      </c>
      <c r="AB297" s="18">
        <v>1053.57143</v>
      </c>
      <c r="AC297" s="18" t="s">
        <v>9898</v>
      </c>
      <c r="AD297" s="18" t="s">
        <v>7982</v>
      </c>
      <c r="AE297" s="18">
        <v>848.89</v>
      </c>
      <c r="AF297" s="18" t="s">
        <v>7983</v>
      </c>
      <c r="AG297" s="18">
        <v>848.89</v>
      </c>
      <c r="AH297" s="18" t="s">
        <v>95</v>
      </c>
      <c r="AI297" s="18" t="s">
        <v>606</v>
      </c>
      <c r="AJ297" s="18" t="s">
        <v>1672</v>
      </c>
      <c r="AK297" s="18">
        <v>26.78</v>
      </c>
      <c r="AL297" s="18" t="s">
        <v>95</v>
      </c>
      <c r="AM297" s="18" t="s">
        <v>95</v>
      </c>
      <c r="AN297" s="18" t="s">
        <v>7984</v>
      </c>
      <c r="AO297" s="18" t="s">
        <v>139</v>
      </c>
      <c r="AP297" s="20" t="s">
        <v>136</v>
      </c>
      <c r="AQ297" s="18" t="s">
        <v>137</v>
      </c>
      <c r="AR297" s="18" t="s">
        <v>496</v>
      </c>
      <c r="AS297" s="18">
        <v>1</v>
      </c>
      <c r="AT297" s="18" t="s">
        <v>138</v>
      </c>
      <c r="AU297" s="18" t="s">
        <v>90</v>
      </c>
      <c r="AV297" s="18" t="s">
        <v>9643</v>
      </c>
      <c r="AW297" s="18" t="s">
        <v>9644</v>
      </c>
      <c r="AX297" s="18" t="s">
        <v>83</v>
      </c>
      <c r="AY297" s="18" t="s">
        <v>95</v>
      </c>
      <c r="AZ297" s="18" t="s">
        <v>95</v>
      </c>
      <c r="BA297" s="18" t="s">
        <v>95</v>
      </c>
      <c r="BB297" s="18" t="s">
        <v>95</v>
      </c>
      <c r="BC297" s="18" t="s">
        <v>95</v>
      </c>
      <c r="BD297" s="18" t="s">
        <v>95</v>
      </c>
      <c r="BE297" s="18" t="s">
        <v>8278</v>
      </c>
      <c r="BF297" s="18" t="s">
        <v>8064</v>
      </c>
      <c r="BG297" s="18" t="s">
        <v>95</v>
      </c>
      <c r="BH297" s="18" t="s">
        <v>95</v>
      </c>
      <c r="BI297" s="18">
        <v>12</v>
      </c>
      <c r="BJ297" s="18">
        <v>2022</v>
      </c>
      <c r="BK297" s="18" t="s">
        <v>95</v>
      </c>
      <c r="BL297" s="18" t="s">
        <v>95</v>
      </c>
      <c r="BM297" s="18" t="s">
        <v>95</v>
      </c>
      <c r="BN297" s="18" t="s">
        <v>85</v>
      </c>
      <c r="BO297" s="18" t="s">
        <v>86</v>
      </c>
      <c r="BP297" s="18" t="s">
        <v>90</v>
      </c>
      <c r="BQ297" s="18" t="s">
        <v>7987</v>
      </c>
      <c r="BR297" s="18" t="s">
        <v>139</v>
      </c>
      <c r="BS297" s="18" t="s">
        <v>8003</v>
      </c>
      <c r="BT297" s="18" t="s">
        <v>7989</v>
      </c>
      <c r="BU297" s="18" t="s">
        <v>496</v>
      </c>
      <c r="BV297" s="18" t="str">
        <f>Terminales[[#This Row],[IMEI]]&amp;"SI"</f>
        <v>359675691331942SI</v>
      </c>
      <c r="BW297" s="18" t="str">
        <f>VLOOKUP(Terminales[[#This Row],[OFICINA_USUARIO]],[1]!Locales[#Data],3,0)</f>
        <v>TIENDA AMERICA</v>
      </c>
      <c r="BX297" s="18" t="str">
        <f>VLOOKUP(Terminales[[#This Row],[USUARIO_FINAL]],'[1]Personal Ppto vs Real'!$A:$F,6,0)</f>
        <v>SALVATIERRA GUERRA JULIAN ENRIQUE</v>
      </c>
      <c r="BY29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29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297" s="18">
        <f>DAY(Terminales[[#This Row],[FECHA_FACTURA]])</f>
        <v>14</v>
      </c>
      <c r="CB297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297" s="65">
        <f>IFERROR(IF(AND(Terminales[[#This Row],[CANTIDAD]] = 1,Terminales[[#This Row],[MOVIMIENTO]] = "RENOVACION"),Terminales[[#This Row],[TARIFA_BASICA]]*0.5,),)</f>
        <v>13.39</v>
      </c>
      <c r="CD297" s="65">
        <f>IF('[1]Resumen TM'!$AW$20 &lt; 0.4,0,Terminales[[#This Row],[MONTO]]*0.02)</f>
        <v>21.071428600000001</v>
      </c>
      <c r="CE297" s="66">
        <f>Terminales[[#This Row],[COMISIONES TERMINALES]]+Terminales[[#This Row],[COMISIONES RENOVACIONES]]+Terminales[[#This Row],[COMISIONES BONO]]</f>
        <v>139.81857160000001</v>
      </c>
      <c r="CF297" s="67">
        <f>(Terminales[[#This Row],[COMISIONES TERMINALES]]*VLOOKUP(Terminales[[#This Row],[LOCALES]],[1]!Calendario[#Data],3,0))/VLOOKUP(Terminales[[#This Row],[LOCALES]],[1]!Calendario[#Data],2,0)</f>
        <v>173.08673492857142</v>
      </c>
      <c r="CG297" s="67">
        <f>(Terminales[[#This Row],[COMISIONES RENOVACIONES]]*VLOOKUP(Terminales[[#This Row],[LOCALES]],[1]!Calendario[#Data],3,0))/VLOOKUP(Terminales[[#This Row],[LOCALES]],[1]!Calendario[#Data],2,0)</f>
        <v>21.997857142857146</v>
      </c>
      <c r="CH297" s="67">
        <f>(Terminales[[#This Row],[COMISIONES BONO]]*VLOOKUP(Terminales[[#This Row],[LOCALES]],[1]!Calendario[#Data],3,0))/VLOOKUP(Terminales[[#This Row],[LOCALES]],[1]!Calendario[#Data],2,0)</f>
        <v>34.617346985714285</v>
      </c>
      <c r="CI297" s="67">
        <f>Terminales[[#This Row],[PROY. COM. TERMINALES]]+Terminales[[#This Row],[PROY. COM. RENOV.]]+Terminales[[#This Row],[PROY. COM. 2%]]</f>
        <v>229.70193905714285</v>
      </c>
    </row>
    <row r="298" spans="1:87" x14ac:dyDescent="0.25">
      <c r="A298" s="68">
        <v>44926</v>
      </c>
      <c r="B298" s="68">
        <v>44909</v>
      </c>
      <c r="C298" s="18" t="s">
        <v>291</v>
      </c>
      <c r="D298" s="18" t="s">
        <v>78</v>
      </c>
      <c r="E298" s="18" t="s">
        <v>164</v>
      </c>
      <c r="F298" s="18" t="s">
        <v>1668</v>
      </c>
      <c r="G298" s="18" t="s">
        <v>292</v>
      </c>
      <c r="H298" s="18" t="s">
        <v>494</v>
      </c>
      <c r="I298" s="18" t="s">
        <v>9899</v>
      </c>
      <c r="J298" s="18" t="s">
        <v>95</v>
      </c>
      <c r="K298" s="18" t="s">
        <v>7970</v>
      </c>
      <c r="L298" s="18" t="s">
        <v>1669</v>
      </c>
      <c r="M298" s="18" t="s">
        <v>1670</v>
      </c>
      <c r="N298" s="18" t="s">
        <v>1671</v>
      </c>
      <c r="O298" s="18" t="s">
        <v>1675</v>
      </c>
      <c r="P298" s="18" t="s">
        <v>1673</v>
      </c>
      <c r="Q298" s="18" t="s">
        <v>7975</v>
      </c>
      <c r="R298" s="18" t="s">
        <v>7976</v>
      </c>
      <c r="S298" s="18" t="s">
        <v>8045</v>
      </c>
      <c r="T298" s="18" t="s">
        <v>9668</v>
      </c>
      <c r="U298" s="18" t="s">
        <v>8059</v>
      </c>
      <c r="V298" s="18" t="s">
        <v>6963</v>
      </c>
      <c r="W298" s="18" t="s">
        <v>95</v>
      </c>
      <c r="X298" s="18" t="s">
        <v>95</v>
      </c>
      <c r="Y298" s="18" t="s">
        <v>7980</v>
      </c>
      <c r="Z298" s="18" t="s">
        <v>6996</v>
      </c>
      <c r="AA298" s="69">
        <v>1</v>
      </c>
      <c r="AB298" s="18">
        <v>1607.1428599999999</v>
      </c>
      <c r="AC298" s="18" t="s">
        <v>9900</v>
      </c>
      <c r="AD298" s="18" t="s">
        <v>8151</v>
      </c>
      <c r="AE298" s="18">
        <v>1400</v>
      </c>
      <c r="AF298" s="18" t="s">
        <v>7983</v>
      </c>
      <c r="AG298" s="18">
        <v>1400</v>
      </c>
      <c r="AH298" s="18" t="s">
        <v>95</v>
      </c>
      <c r="AI298" s="18" t="s">
        <v>606</v>
      </c>
      <c r="AJ298" s="18" t="s">
        <v>1672</v>
      </c>
      <c r="AK298" s="18">
        <v>26.78</v>
      </c>
      <c r="AL298" s="18" t="s">
        <v>95</v>
      </c>
      <c r="AM298" s="18" t="s">
        <v>95</v>
      </c>
      <c r="AN298" s="18" t="s">
        <v>7984</v>
      </c>
      <c r="AO298" s="18" t="s">
        <v>139</v>
      </c>
      <c r="AP298" s="20" t="s">
        <v>1315</v>
      </c>
      <c r="AQ298" s="18" t="s">
        <v>1316</v>
      </c>
      <c r="AR298" s="18" t="s">
        <v>496</v>
      </c>
      <c r="AS298" s="18">
        <v>1</v>
      </c>
      <c r="AT298" s="18" t="s">
        <v>177</v>
      </c>
      <c r="AU298" s="18" t="s">
        <v>90</v>
      </c>
      <c r="AV298" s="18" t="s">
        <v>9670</v>
      </c>
      <c r="AW298" s="18" t="s">
        <v>9671</v>
      </c>
      <c r="AX298" s="18" t="s">
        <v>83</v>
      </c>
      <c r="AY298" s="18" t="s">
        <v>95</v>
      </c>
      <c r="AZ298" s="18" t="s">
        <v>95</v>
      </c>
      <c r="BA298" s="18" t="s">
        <v>95</v>
      </c>
      <c r="BB298" s="18" t="s">
        <v>95</v>
      </c>
      <c r="BC298" s="18" t="s">
        <v>95</v>
      </c>
      <c r="BD298" s="18" t="s">
        <v>95</v>
      </c>
      <c r="BE298" s="18" t="s">
        <v>95</v>
      </c>
      <c r="BF298" s="18" t="s">
        <v>95</v>
      </c>
      <c r="BG298" s="18" t="s">
        <v>95</v>
      </c>
      <c r="BH298" s="18" t="s">
        <v>95</v>
      </c>
      <c r="BI298" s="18">
        <v>12</v>
      </c>
      <c r="BJ298" s="18">
        <v>2022</v>
      </c>
      <c r="BK298" s="18" t="s">
        <v>95</v>
      </c>
      <c r="BL298" s="18" t="s">
        <v>95</v>
      </c>
      <c r="BM298" s="18" t="s">
        <v>95</v>
      </c>
      <c r="BN298" s="18" t="s">
        <v>85</v>
      </c>
      <c r="BO298" s="18" t="s">
        <v>86</v>
      </c>
      <c r="BP298" s="18" t="s">
        <v>90</v>
      </c>
      <c r="BQ298" s="18" t="s">
        <v>8002</v>
      </c>
      <c r="BR298" s="18" t="s">
        <v>139</v>
      </c>
      <c r="BS298" s="18" t="s">
        <v>8074</v>
      </c>
      <c r="BT298" s="18" t="s">
        <v>7989</v>
      </c>
      <c r="BU298" s="18" t="s">
        <v>496</v>
      </c>
      <c r="BV298" s="18" t="str">
        <f>Terminales[[#This Row],[IMEI]]&amp;"SI"</f>
        <v>352908911056297SI</v>
      </c>
      <c r="BW298" s="18" t="str">
        <f>VLOOKUP(Terminales[[#This Row],[OFICINA_USUARIO]],[1]!Locales[#Data],3,0)</f>
        <v>TIENDA RECREO</v>
      </c>
      <c r="BX298" s="18" t="str">
        <f>VLOOKUP(Terminales[[#This Row],[USUARIO_FINAL]],'[1]Personal Ppto vs Real'!$A:$F,6,0)</f>
        <v>ORTEGA  NATALIE MÉNDEZ</v>
      </c>
      <c r="BY298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29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98" s="18">
        <f>DAY(Terminales[[#This Row],[FECHA_FACTURA]])</f>
        <v>14</v>
      </c>
      <c r="CB298" s="65">
        <f>IF(Terminales[[#This Row],[CANTIDAD]] = 1,INDEX([1]!Comisiones[#Data],MATCH("Terminales",[1]!Comisiones[Producto],0),MATCH(Terminales[[#This Row],[TIPO ALTA COMISIONES]],[1]!Comisiones[#Headers],0))*Terminales[[#This Row],[MONTO]],0)</f>
        <v>160.71428600000002</v>
      </c>
      <c r="CC298" s="65">
        <f>IFERROR(IF(AND(Terminales[[#This Row],[CANTIDAD]] = 1,Terminales[[#This Row],[MOVIMIENTO]] = "RENOVACION"),Terminales[[#This Row],[TARIFA_BASICA]]*0.5,),)</f>
        <v>0</v>
      </c>
      <c r="CD298" s="65">
        <f>IF('[1]Resumen TM'!$AW$20 &lt; 0.4,0,Terminales[[#This Row],[MONTO]]*0.02)</f>
        <v>32.142857200000002</v>
      </c>
      <c r="CE298" s="66">
        <f>Terminales[[#This Row],[COMISIONES TERMINALES]]+Terminales[[#This Row],[COMISIONES RENOVACIONES]]+Terminales[[#This Row],[COMISIONES BONO]]</f>
        <v>192.85714320000002</v>
      </c>
      <c r="CF298" s="67">
        <f>(Terminales[[#This Row],[COMISIONES TERMINALES]]*VLOOKUP(Terminales[[#This Row],[LOCALES]],[1]!Calendario[#Data],3,0))/VLOOKUP(Terminales[[#This Row],[LOCALES]],[1]!Calendario[#Data],2,0)</f>
        <v>264.40092212903227</v>
      </c>
      <c r="CG298" s="67">
        <f>(Terminales[[#This Row],[COMISIONES RENOVACIONES]]*VLOOKUP(Terminales[[#This Row],[LOCALES]],[1]!Calendario[#Data],3,0))/VLOOKUP(Terminales[[#This Row],[LOCALES]],[1]!Calendario[#Data],2,0)</f>
        <v>0</v>
      </c>
      <c r="CH298" s="67">
        <f>(Terminales[[#This Row],[COMISIONES BONO]]*VLOOKUP(Terminales[[#This Row],[LOCALES]],[1]!Calendario[#Data],3,0))/VLOOKUP(Terminales[[#This Row],[LOCALES]],[1]!Calendario[#Data],2,0)</f>
        <v>52.880184425806455</v>
      </c>
      <c r="CI298" s="67">
        <f>Terminales[[#This Row],[PROY. COM. TERMINALES]]+Terminales[[#This Row],[PROY. COM. RENOV.]]+Terminales[[#This Row],[PROY. COM. 2%]]</f>
        <v>317.28110655483874</v>
      </c>
    </row>
    <row r="299" spans="1:87" x14ac:dyDescent="0.25">
      <c r="A299" s="68">
        <v>44926</v>
      </c>
      <c r="B299" s="68">
        <v>44909</v>
      </c>
      <c r="C299" s="18" t="s">
        <v>96</v>
      </c>
      <c r="D299" s="18" t="s">
        <v>96</v>
      </c>
      <c r="E299" s="18" t="s">
        <v>96</v>
      </c>
      <c r="F299" s="18" t="s">
        <v>9901</v>
      </c>
      <c r="G299" s="18" t="s">
        <v>292</v>
      </c>
      <c r="H299" s="18" t="s">
        <v>494</v>
      </c>
      <c r="I299" s="18" t="s">
        <v>9902</v>
      </c>
      <c r="J299" s="18" t="s">
        <v>95</v>
      </c>
      <c r="K299" s="18" t="s">
        <v>7970</v>
      </c>
      <c r="L299" s="18" t="s">
        <v>9903</v>
      </c>
      <c r="M299" s="18" t="s">
        <v>9904</v>
      </c>
      <c r="N299" s="18" t="s">
        <v>9905</v>
      </c>
      <c r="O299" s="18" t="s">
        <v>8292</v>
      </c>
      <c r="P299" s="18" t="s">
        <v>9906</v>
      </c>
      <c r="Q299" s="18" t="s">
        <v>7975</v>
      </c>
      <c r="R299" s="18" t="s">
        <v>7976</v>
      </c>
      <c r="S299" s="18" t="s">
        <v>8250</v>
      </c>
      <c r="T299" s="18" t="s">
        <v>8294</v>
      </c>
      <c r="U299" s="18" t="s">
        <v>8059</v>
      </c>
      <c r="V299" s="18" t="s">
        <v>6963</v>
      </c>
      <c r="W299" s="18" t="s">
        <v>95</v>
      </c>
      <c r="X299" s="18" t="s">
        <v>95</v>
      </c>
      <c r="Y299" s="18" t="s">
        <v>7980</v>
      </c>
      <c r="Z299" s="18" t="s">
        <v>6996</v>
      </c>
      <c r="AA299" s="69">
        <v>1</v>
      </c>
      <c r="AB299" s="18">
        <v>1053.57143</v>
      </c>
      <c r="AC299" s="18" t="s">
        <v>9907</v>
      </c>
      <c r="AD299" s="18" t="s">
        <v>96</v>
      </c>
      <c r="AE299" s="18">
        <v>849.67</v>
      </c>
      <c r="AF299" s="18" t="s">
        <v>7983</v>
      </c>
      <c r="AG299" s="18">
        <v>849.67</v>
      </c>
      <c r="AH299" s="18" t="s">
        <v>95</v>
      </c>
      <c r="AI299" s="18" t="s">
        <v>8102</v>
      </c>
      <c r="AJ299" s="18" t="s">
        <v>8103</v>
      </c>
      <c r="AK299" s="18" t="s">
        <v>95</v>
      </c>
      <c r="AL299" s="18" t="s">
        <v>95</v>
      </c>
      <c r="AM299" s="18" t="s">
        <v>95</v>
      </c>
      <c r="AN299" s="18" t="s">
        <v>7984</v>
      </c>
      <c r="AO299" s="18" t="s">
        <v>139</v>
      </c>
      <c r="AP299" s="20" t="s">
        <v>233</v>
      </c>
      <c r="AQ299" s="18" t="s">
        <v>234</v>
      </c>
      <c r="AR299" s="18" t="s">
        <v>496</v>
      </c>
      <c r="AS299" s="18">
        <v>1</v>
      </c>
      <c r="AT299" s="18" t="s">
        <v>235</v>
      </c>
      <c r="AU299" s="18" t="s">
        <v>90</v>
      </c>
      <c r="AV299" s="18" t="s">
        <v>8298</v>
      </c>
      <c r="AW299" s="18" t="s">
        <v>8299</v>
      </c>
      <c r="AX299" s="18" t="s">
        <v>83</v>
      </c>
      <c r="AY299" s="18" t="s">
        <v>95</v>
      </c>
      <c r="AZ299" s="18" t="s">
        <v>95</v>
      </c>
      <c r="BA299" s="18" t="s">
        <v>95</v>
      </c>
      <c r="BB299" s="18" t="s">
        <v>95</v>
      </c>
      <c r="BC299" s="18" t="s">
        <v>95</v>
      </c>
      <c r="BD299" s="18" t="s">
        <v>95</v>
      </c>
      <c r="BE299" s="18" t="s">
        <v>95</v>
      </c>
      <c r="BF299" s="18" t="s">
        <v>95</v>
      </c>
      <c r="BG299" s="18" t="s">
        <v>95</v>
      </c>
      <c r="BH299" s="18" t="s">
        <v>95</v>
      </c>
      <c r="BI299" s="18">
        <v>12</v>
      </c>
      <c r="BJ299" s="18">
        <v>2022</v>
      </c>
      <c r="BK299" s="18" t="s">
        <v>95</v>
      </c>
      <c r="BL299" s="18" t="s">
        <v>95</v>
      </c>
      <c r="BM299" s="18" t="s">
        <v>95</v>
      </c>
      <c r="BN299" s="18" t="s">
        <v>85</v>
      </c>
      <c r="BO299" s="18" t="s">
        <v>86</v>
      </c>
      <c r="BP299" s="18" t="s">
        <v>90</v>
      </c>
      <c r="BQ299" s="18" t="s">
        <v>8016</v>
      </c>
      <c r="BR299" s="18" t="s">
        <v>139</v>
      </c>
      <c r="BS299" s="18" t="s">
        <v>8074</v>
      </c>
      <c r="BT299" s="18" t="s">
        <v>7989</v>
      </c>
      <c r="BU299" s="18" t="s">
        <v>496</v>
      </c>
      <c r="BV299" s="18" t="str">
        <f>Terminales[[#This Row],[IMEI]]&amp;"SI"</f>
        <v>350654419439732SI</v>
      </c>
      <c r="BW299" s="18" t="str">
        <f>VLOOKUP(Terminales[[#This Row],[OFICINA_USUARIO]],[1]!Locales[#Data],3,0)</f>
        <v>TIENDA CONDADO</v>
      </c>
      <c r="BX299" s="18" t="str">
        <f>VLOOKUP(Terminales[[#This Row],[USUARIO_FINAL]],'[1]Personal Ppto vs Real'!$A:$F,6,0)</f>
        <v>ROSALES MALDONADO JESSICA GABRIELA</v>
      </c>
      <c r="BY29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29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299" s="18">
        <f>DAY(Terminales[[#This Row],[FECHA_FACTURA]])</f>
        <v>14</v>
      </c>
      <c r="CB299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299" s="65">
        <f>IFERROR(IF(AND(Terminales[[#This Row],[CANTIDAD]] = 1,Terminales[[#This Row],[MOVIMIENTO]] = "RENOVACION"),Terminales[[#This Row],[TARIFA_BASICA]]*0.5,),)</f>
        <v>0</v>
      </c>
      <c r="CD299" s="65">
        <f>IF('[1]Resumen TM'!$AW$20 &lt; 0.4,0,Terminales[[#This Row],[MONTO]]*0.02)</f>
        <v>21.071428600000001</v>
      </c>
      <c r="CE299" s="66">
        <f>Terminales[[#This Row],[COMISIONES TERMINALES]]+Terminales[[#This Row],[COMISIONES RENOVACIONES]]+Terminales[[#This Row],[COMISIONES BONO]]</f>
        <v>126.42857160000001</v>
      </c>
      <c r="CF299" s="67">
        <f>(Terminales[[#This Row],[COMISIONES TERMINALES]]*VLOOKUP(Terminales[[#This Row],[LOCALES]],[1]!Calendario[#Data],3,0))/VLOOKUP(Terminales[[#This Row],[LOCALES]],[1]!Calendario[#Data],2,0)</f>
        <v>173.32949332258065</v>
      </c>
      <c r="CG299" s="67">
        <f>(Terminales[[#This Row],[COMISIONES RENOVACIONES]]*VLOOKUP(Terminales[[#This Row],[LOCALES]],[1]!Calendario[#Data],3,0))/VLOOKUP(Terminales[[#This Row],[LOCALES]],[1]!Calendario[#Data],2,0)</f>
        <v>0</v>
      </c>
      <c r="CH299" s="67">
        <f>(Terminales[[#This Row],[COMISIONES BONO]]*VLOOKUP(Terminales[[#This Row],[LOCALES]],[1]!Calendario[#Data],3,0))/VLOOKUP(Terminales[[#This Row],[LOCALES]],[1]!Calendario[#Data],2,0)</f>
        <v>34.665898664516128</v>
      </c>
      <c r="CI299" s="67">
        <f>Terminales[[#This Row],[PROY. COM. TERMINALES]]+Terminales[[#This Row],[PROY. COM. RENOV.]]+Terminales[[#This Row],[PROY. COM. 2%]]</f>
        <v>207.99539198709678</v>
      </c>
    </row>
    <row r="300" spans="1:87" x14ac:dyDescent="0.25">
      <c r="A300" s="68">
        <v>44926</v>
      </c>
      <c r="B300" s="68">
        <v>44909</v>
      </c>
      <c r="C300" s="18" t="s">
        <v>291</v>
      </c>
      <c r="D300" s="18" t="s">
        <v>78</v>
      </c>
      <c r="E300" s="18" t="s">
        <v>2241</v>
      </c>
      <c r="F300" s="18" t="s">
        <v>9908</v>
      </c>
      <c r="G300" s="18" t="s">
        <v>292</v>
      </c>
      <c r="H300" s="18" t="s">
        <v>494</v>
      </c>
      <c r="I300" s="18" t="s">
        <v>9909</v>
      </c>
      <c r="J300" s="18" t="s">
        <v>95</v>
      </c>
      <c r="K300" s="18" t="s">
        <v>7970</v>
      </c>
      <c r="L300" s="18" t="s">
        <v>9910</v>
      </c>
      <c r="M300" s="18" t="s">
        <v>9911</v>
      </c>
      <c r="N300" s="18" t="s">
        <v>9912</v>
      </c>
      <c r="O300" s="18" t="s">
        <v>338</v>
      </c>
      <c r="P300" s="18" t="s">
        <v>9913</v>
      </c>
      <c r="Q300" s="18" t="s">
        <v>7975</v>
      </c>
      <c r="R300" s="18" t="s">
        <v>7976</v>
      </c>
      <c r="S300" s="18" t="s">
        <v>7977</v>
      </c>
      <c r="T300" s="18" t="s">
        <v>7978</v>
      </c>
      <c r="U300" s="18" t="s">
        <v>7979</v>
      </c>
      <c r="V300" s="18" t="s">
        <v>6963</v>
      </c>
      <c r="W300" s="18" t="s">
        <v>95</v>
      </c>
      <c r="X300" s="18" t="s">
        <v>95</v>
      </c>
      <c r="Y300" s="18" t="s">
        <v>7980</v>
      </c>
      <c r="Z300" s="18" t="s">
        <v>6996</v>
      </c>
      <c r="AA300" s="69">
        <v>1</v>
      </c>
      <c r="AB300" s="18">
        <v>276.78570999999999</v>
      </c>
      <c r="AC300" s="18" t="s">
        <v>9914</v>
      </c>
      <c r="AD300" s="18" t="s">
        <v>7982</v>
      </c>
      <c r="AE300" s="18">
        <v>235</v>
      </c>
      <c r="AF300" s="18" t="s">
        <v>7983</v>
      </c>
      <c r="AG300" s="18">
        <v>235</v>
      </c>
      <c r="AH300" s="18" t="s">
        <v>95</v>
      </c>
      <c r="AI300" s="18" t="s">
        <v>7074</v>
      </c>
      <c r="AJ300" s="18" t="s">
        <v>7557</v>
      </c>
      <c r="AK300" s="18">
        <v>12.99</v>
      </c>
      <c r="AL300" s="18" t="s">
        <v>95</v>
      </c>
      <c r="AM300" s="18" t="s">
        <v>95</v>
      </c>
      <c r="AN300" s="18" t="s">
        <v>7984</v>
      </c>
      <c r="AO300" s="18" t="s">
        <v>139</v>
      </c>
      <c r="AP300" s="20" t="s">
        <v>233</v>
      </c>
      <c r="AQ300" s="18" t="s">
        <v>234</v>
      </c>
      <c r="AR300" s="18" t="s">
        <v>496</v>
      </c>
      <c r="AS300" s="18">
        <v>1</v>
      </c>
      <c r="AT300" s="18" t="s">
        <v>235</v>
      </c>
      <c r="AU300" s="18" t="s">
        <v>90</v>
      </c>
      <c r="AV300" s="18" t="s">
        <v>7985</v>
      </c>
      <c r="AW300" s="18" t="s">
        <v>7986</v>
      </c>
      <c r="AX300" s="18" t="s">
        <v>83</v>
      </c>
      <c r="AY300" s="18" t="s">
        <v>95</v>
      </c>
      <c r="AZ300" s="18" t="s">
        <v>95</v>
      </c>
      <c r="BA300" s="18" t="s">
        <v>95</v>
      </c>
      <c r="BB300" s="18" t="s">
        <v>95</v>
      </c>
      <c r="BC300" s="18" t="s">
        <v>95</v>
      </c>
      <c r="BD300" s="18" t="s">
        <v>95</v>
      </c>
      <c r="BE300" s="18" t="s">
        <v>95</v>
      </c>
      <c r="BF300" s="18" t="s">
        <v>95</v>
      </c>
      <c r="BG300" s="18" t="s">
        <v>95</v>
      </c>
      <c r="BH300" s="18" t="s">
        <v>95</v>
      </c>
      <c r="BI300" s="18">
        <v>12</v>
      </c>
      <c r="BJ300" s="18">
        <v>2022</v>
      </c>
      <c r="BK300" s="18" t="s">
        <v>95</v>
      </c>
      <c r="BL300" s="18" t="s">
        <v>95</v>
      </c>
      <c r="BM300" s="18" t="s">
        <v>95</v>
      </c>
      <c r="BN300" s="18" t="s">
        <v>85</v>
      </c>
      <c r="BO300" s="18" t="s">
        <v>86</v>
      </c>
      <c r="BP300" s="18" t="s">
        <v>90</v>
      </c>
      <c r="BQ300" s="18" t="s">
        <v>8016</v>
      </c>
      <c r="BR300" s="18" t="s">
        <v>139</v>
      </c>
      <c r="BS300" s="18" t="s">
        <v>8074</v>
      </c>
      <c r="BT300" s="18" t="s">
        <v>7989</v>
      </c>
      <c r="BU300" s="18" t="s">
        <v>496</v>
      </c>
      <c r="BV300" s="18" t="str">
        <f>Terminales[[#This Row],[IMEI]]&amp;"SI"</f>
        <v>866184061857335SI</v>
      </c>
      <c r="BW300" s="18" t="str">
        <f>VLOOKUP(Terminales[[#This Row],[OFICINA_USUARIO]],[1]!Locales[#Data],3,0)</f>
        <v>TIENDA CONDADO</v>
      </c>
      <c r="BX300" s="18" t="str">
        <f>VLOOKUP(Terminales[[#This Row],[USUARIO_FINAL]],'[1]Personal Ppto vs Real'!$A:$F,6,0)</f>
        <v>ROSALES MALDONADO JESSICA GABRIELA</v>
      </c>
      <c r="BY30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0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00" s="18">
        <f>DAY(Terminales[[#This Row],[FECHA_FACTURA]])</f>
        <v>14</v>
      </c>
      <c r="CB300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300" s="65">
        <f>IFERROR(IF(AND(Terminales[[#This Row],[CANTIDAD]] = 1,Terminales[[#This Row],[MOVIMIENTO]] = "RENOVACION"),Terminales[[#This Row],[TARIFA_BASICA]]*0.5,),)</f>
        <v>6.4950000000000001</v>
      </c>
      <c r="CD300" s="65">
        <f>IF('[1]Resumen TM'!$AW$20 &lt; 0.4,0,Terminales[[#This Row],[MONTO]]*0.02)</f>
        <v>5.5357142000000001</v>
      </c>
      <c r="CE300" s="66">
        <f>Terminales[[#This Row],[COMISIONES TERMINALES]]+Terminales[[#This Row],[COMISIONES RENOVACIONES]]+Terminales[[#This Row],[COMISIONES BONO]]</f>
        <v>39.709285200000004</v>
      </c>
      <c r="CF300" s="67">
        <f>(Terminales[[#This Row],[COMISIONES TERMINALES]]*VLOOKUP(Terminales[[#This Row],[LOCALES]],[1]!Calendario[#Data],3,0))/VLOOKUP(Terminales[[#This Row],[LOCALES]],[1]!Calendario[#Data],2,0)</f>
        <v>45.535713580645158</v>
      </c>
      <c r="CG300" s="67">
        <f>(Terminales[[#This Row],[COMISIONES RENOVACIONES]]*VLOOKUP(Terminales[[#This Row],[LOCALES]],[1]!Calendario[#Data],3,0))/VLOOKUP(Terminales[[#This Row],[LOCALES]],[1]!Calendario[#Data],2,0)</f>
        <v>10.685322580645161</v>
      </c>
      <c r="CH300" s="67">
        <f>(Terminales[[#This Row],[COMISIONES BONO]]*VLOOKUP(Terminales[[#This Row],[LOCALES]],[1]!Calendario[#Data],3,0))/VLOOKUP(Terminales[[#This Row],[LOCALES]],[1]!Calendario[#Data],2,0)</f>
        <v>9.107142716129033</v>
      </c>
      <c r="CI300" s="67">
        <f>Terminales[[#This Row],[PROY. COM. TERMINALES]]+Terminales[[#This Row],[PROY. COM. RENOV.]]+Terminales[[#This Row],[PROY. COM. 2%]]</f>
        <v>65.328178877419361</v>
      </c>
    </row>
    <row r="301" spans="1:87" x14ac:dyDescent="0.25">
      <c r="A301" s="68">
        <v>44926</v>
      </c>
      <c r="B301" s="68">
        <v>44909</v>
      </c>
      <c r="C301" s="18" t="s">
        <v>291</v>
      </c>
      <c r="D301" s="18" t="s">
        <v>78</v>
      </c>
      <c r="E301" s="18" t="s">
        <v>1378</v>
      </c>
      <c r="F301" s="18" t="s">
        <v>9915</v>
      </c>
      <c r="G301" s="18" t="s">
        <v>292</v>
      </c>
      <c r="H301" s="18" t="s">
        <v>293</v>
      </c>
      <c r="I301" s="18" t="s">
        <v>9916</v>
      </c>
      <c r="J301" s="18" t="s">
        <v>95</v>
      </c>
      <c r="K301" s="18" t="s">
        <v>7970</v>
      </c>
      <c r="L301" s="18" t="s">
        <v>9917</v>
      </c>
      <c r="M301" s="18" t="s">
        <v>9918</v>
      </c>
      <c r="N301" s="18" t="s">
        <v>9919</v>
      </c>
      <c r="O301" s="18" t="s">
        <v>354</v>
      </c>
      <c r="P301" s="18" t="s">
        <v>9920</v>
      </c>
      <c r="Q301" s="18" t="s">
        <v>7975</v>
      </c>
      <c r="R301" s="18" t="s">
        <v>7976</v>
      </c>
      <c r="S301" s="18" t="s">
        <v>8070</v>
      </c>
      <c r="T301" s="18" t="s">
        <v>8071</v>
      </c>
      <c r="U301" s="18" t="s">
        <v>8012</v>
      </c>
      <c r="V301" s="18" t="s">
        <v>6963</v>
      </c>
      <c r="W301" s="18" t="s">
        <v>95</v>
      </c>
      <c r="X301" s="18" t="s">
        <v>95</v>
      </c>
      <c r="Y301" s="18" t="s">
        <v>7980</v>
      </c>
      <c r="Z301" s="18" t="s">
        <v>6996</v>
      </c>
      <c r="AA301" s="69">
        <v>1</v>
      </c>
      <c r="AB301" s="18">
        <v>321.42856999999998</v>
      </c>
      <c r="AC301" s="18" t="s">
        <v>9921</v>
      </c>
      <c r="AD301" s="18" t="s">
        <v>7982</v>
      </c>
      <c r="AE301" s="18">
        <v>199.79</v>
      </c>
      <c r="AF301" s="18" t="s">
        <v>7983</v>
      </c>
      <c r="AG301" s="18">
        <v>199.79</v>
      </c>
      <c r="AH301" s="18" t="s">
        <v>95</v>
      </c>
      <c r="AI301" s="18" t="s">
        <v>7595</v>
      </c>
      <c r="AJ301" s="18" t="s">
        <v>7630</v>
      </c>
      <c r="AK301" s="18">
        <v>24.99</v>
      </c>
      <c r="AL301" s="18" t="s">
        <v>95</v>
      </c>
      <c r="AM301" s="18" t="s">
        <v>95</v>
      </c>
      <c r="AN301" s="18" t="s">
        <v>7984</v>
      </c>
      <c r="AO301" s="18" t="s">
        <v>139</v>
      </c>
      <c r="AP301" s="20" t="s">
        <v>769</v>
      </c>
      <c r="AQ301" s="18" t="s">
        <v>770</v>
      </c>
      <c r="AR301" s="18" t="s">
        <v>295</v>
      </c>
      <c r="AS301" s="18">
        <v>1</v>
      </c>
      <c r="AT301" s="18" t="s">
        <v>235</v>
      </c>
      <c r="AU301" s="18" t="s">
        <v>90</v>
      </c>
      <c r="AV301" s="18" t="s">
        <v>8072</v>
      </c>
      <c r="AW301" s="18" t="s">
        <v>8073</v>
      </c>
      <c r="AX301" s="18" t="s">
        <v>83</v>
      </c>
      <c r="AY301" s="18" t="s">
        <v>95</v>
      </c>
      <c r="AZ301" s="18" t="s">
        <v>95</v>
      </c>
      <c r="BA301" s="18" t="s">
        <v>95</v>
      </c>
      <c r="BB301" s="18" t="s">
        <v>95</v>
      </c>
      <c r="BC301" s="18" t="s">
        <v>95</v>
      </c>
      <c r="BD301" s="18">
        <v>65</v>
      </c>
      <c r="BE301" s="18" t="s">
        <v>95</v>
      </c>
      <c r="BF301" s="18" t="s">
        <v>95</v>
      </c>
      <c r="BG301" s="18" t="s">
        <v>95</v>
      </c>
      <c r="BH301" s="18" t="s">
        <v>95</v>
      </c>
      <c r="BI301" s="18">
        <v>12</v>
      </c>
      <c r="BJ301" s="18">
        <v>2022</v>
      </c>
      <c r="BK301" s="18" t="s">
        <v>95</v>
      </c>
      <c r="BL301" s="18" t="s">
        <v>95</v>
      </c>
      <c r="BM301" s="18" t="s">
        <v>95</v>
      </c>
      <c r="BN301" s="18" t="s">
        <v>85</v>
      </c>
      <c r="BO301" s="18" t="s">
        <v>86</v>
      </c>
      <c r="BP301" s="18" t="s">
        <v>90</v>
      </c>
      <c r="BQ301" s="18" t="s">
        <v>8016</v>
      </c>
      <c r="BR301" s="18" t="s">
        <v>139</v>
      </c>
      <c r="BS301" s="18" t="s">
        <v>9828</v>
      </c>
      <c r="BT301" s="18" t="s">
        <v>7989</v>
      </c>
      <c r="BU301" s="18" t="s">
        <v>7990</v>
      </c>
      <c r="BV301" s="18" t="str">
        <f>Terminales[[#This Row],[IMEI]]&amp;"SI"</f>
        <v>869113065737802SI</v>
      </c>
      <c r="BW301" s="18" t="str">
        <f>VLOOKUP(Terminales[[#This Row],[OFICINA_USUARIO]],[1]!Locales[#Data],3,0)</f>
        <v>TIENDA CONDADO</v>
      </c>
      <c r="BX301" s="18" t="str">
        <f>VLOOKUP(Terminales[[#This Row],[USUARIO_FINAL]],'[1]Personal Ppto vs Real'!$A:$F,6,0)</f>
        <v>ROJAS VEGA JHOSMERY MICHELE</v>
      </c>
      <c r="BY301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0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01" s="18">
        <f>DAY(Terminales[[#This Row],[FECHA_FACTURA]])</f>
        <v>14</v>
      </c>
      <c r="CB301" s="65">
        <f>IF(Terminales[[#This Row],[CANTIDAD]] = 1,INDEX([1]!Comisiones[#Data],MATCH("Terminales",[1]!Comisiones[Producto],0),MATCH(Terminales[[#This Row],[TIPO ALTA COMISIONES]],[1]!Comisiones[#Headers],0))*Terminales[[#This Row],[MONTO]],0)</f>
        <v>32.142856999999999</v>
      </c>
      <c r="CC301" s="65">
        <f>IFERROR(IF(AND(Terminales[[#This Row],[CANTIDAD]] = 1,Terminales[[#This Row],[MOVIMIENTO]] = "RENOVACION"),Terminales[[#This Row],[TARIFA_BASICA]]*0.5,),)</f>
        <v>12.494999999999999</v>
      </c>
      <c r="CD301" s="65">
        <f>IF('[1]Resumen TM'!$AW$20 &lt; 0.4,0,Terminales[[#This Row],[MONTO]]*0.02)</f>
        <v>6.4285714</v>
      </c>
      <c r="CE301" s="66">
        <f>Terminales[[#This Row],[COMISIONES TERMINALES]]+Terminales[[#This Row],[COMISIONES RENOVACIONES]]+Terminales[[#This Row],[COMISIONES BONO]]</f>
        <v>51.066428399999999</v>
      </c>
      <c r="CF301" s="67">
        <f>(Terminales[[#This Row],[COMISIONES TERMINALES]]*VLOOKUP(Terminales[[#This Row],[LOCALES]],[1]!Calendario[#Data],3,0))/VLOOKUP(Terminales[[#This Row],[LOCALES]],[1]!Calendario[#Data],2,0)</f>
        <v>52.880184096774194</v>
      </c>
      <c r="CG301" s="67">
        <f>(Terminales[[#This Row],[COMISIONES RENOVACIONES]]*VLOOKUP(Terminales[[#This Row],[LOCALES]],[1]!Calendario[#Data],3,0))/VLOOKUP(Terminales[[#This Row],[LOCALES]],[1]!Calendario[#Data],2,0)</f>
        <v>20.556290322580644</v>
      </c>
      <c r="CH301" s="67">
        <f>(Terminales[[#This Row],[COMISIONES BONO]]*VLOOKUP(Terminales[[#This Row],[LOCALES]],[1]!Calendario[#Data],3,0))/VLOOKUP(Terminales[[#This Row],[LOCALES]],[1]!Calendario[#Data],2,0)</f>
        <v>10.576036819354838</v>
      </c>
      <c r="CI301" s="67">
        <f>Terminales[[#This Row],[PROY. COM. TERMINALES]]+Terminales[[#This Row],[PROY. COM. RENOV.]]+Terminales[[#This Row],[PROY. COM. 2%]]</f>
        <v>84.012511238709678</v>
      </c>
    </row>
    <row r="302" spans="1:87" x14ac:dyDescent="0.25">
      <c r="A302" s="68">
        <v>44926</v>
      </c>
      <c r="B302" s="68">
        <v>44910</v>
      </c>
      <c r="C302" s="18" t="s">
        <v>96</v>
      </c>
      <c r="D302" s="18" t="s">
        <v>96</v>
      </c>
      <c r="E302" s="18" t="s">
        <v>96</v>
      </c>
      <c r="F302" s="18" t="s">
        <v>95</v>
      </c>
      <c r="G302" s="18" t="s">
        <v>292</v>
      </c>
      <c r="H302" s="18" t="s">
        <v>494</v>
      </c>
      <c r="I302" s="18" t="s">
        <v>9922</v>
      </c>
      <c r="J302" s="18" t="s">
        <v>95</v>
      </c>
      <c r="K302" s="18" t="s">
        <v>7970</v>
      </c>
      <c r="L302" s="18" t="s">
        <v>9923</v>
      </c>
      <c r="M302" s="18" t="s">
        <v>9924</v>
      </c>
      <c r="N302" s="18" t="s">
        <v>9925</v>
      </c>
      <c r="O302" s="18" t="s">
        <v>3669</v>
      </c>
      <c r="P302" s="18" t="s">
        <v>9926</v>
      </c>
      <c r="Q302" s="18" t="s">
        <v>7975</v>
      </c>
      <c r="R302" s="18" t="s">
        <v>7976</v>
      </c>
      <c r="S302" s="18" t="s">
        <v>8045</v>
      </c>
      <c r="T302" s="18" t="s">
        <v>8046</v>
      </c>
      <c r="U302" s="18" t="s">
        <v>7996</v>
      </c>
      <c r="V302" s="18" t="s">
        <v>6963</v>
      </c>
      <c r="W302" s="18" t="s">
        <v>95</v>
      </c>
      <c r="X302" s="18" t="s">
        <v>95</v>
      </c>
      <c r="Y302" s="18" t="s">
        <v>7980</v>
      </c>
      <c r="Z302" s="18" t="s">
        <v>6996</v>
      </c>
      <c r="AA302" s="69">
        <v>1</v>
      </c>
      <c r="AB302" s="18">
        <v>147.32142999999999</v>
      </c>
      <c r="AC302" s="18" t="s">
        <v>95</v>
      </c>
      <c r="AD302" s="18" t="s">
        <v>96</v>
      </c>
      <c r="AE302" s="18">
        <v>124.5</v>
      </c>
      <c r="AF302" s="18" t="s">
        <v>7983</v>
      </c>
      <c r="AG302" s="18">
        <v>124.5</v>
      </c>
      <c r="AH302" s="18" t="s">
        <v>95</v>
      </c>
      <c r="AI302" s="18" t="s">
        <v>95</v>
      </c>
      <c r="AJ302" s="18" t="s">
        <v>95</v>
      </c>
      <c r="AK302" s="18" t="s">
        <v>95</v>
      </c>
      <c r="AL302" s="18" t="s">
        <v>95</v>
      </c>
      <c r="AM302" s="18" t="s">
        <v>95</v>
      </c>
      <c r="AN302" s="18" t="s">
        <v>7984</v>
      </c>
      <c r="AO302" s="18" t="s">
        <v>92</v>
      </c>
      <c r="AP302" s="20" t="s">
        <v>289</v>
      </c>
      <c r="AQ302" s="18" t="s">
        <v>290</v>
      </c>
      <c r="AR302" s="18" t="s">
        <v>496</v>
      </c>
      <c r="AS302" s="18">
        <v>1</v>
      </c>
      <c r="AT302" s="18" t="s">
        <v>91</v>
      </c>
      <c r="AU302" s="18" t="s">
        <v>90</v>
      </c>
      <c r="AV302" s="18" t="s">
        <v>8048</v>
      </c>
      <c r="AW302" s="18" t="s">
        <v>8049</v>
      </c>
      <c r="AX302" s="18" t="s">
        <v>83</v>
      </c>
      <c r="AY302" s="18" t="s">
        <v>95</v>
      </c>
      <c r="AZ302" s="18" t="s">
        <v>95</v>
      </c>
      <c r="BA302" s="18" t="s">
        <v>95</v>
      </c>
      <c r="BB302" s="18" t="s">
        <v>95</v>
      </c>
      <c r="BC302" s="18" t="s">
        <v>95</v>
      </c>
      <c r="BD302" s="18" t="s">
        <v>95</v>
      </c>
      <c r="BE302" s="18" t="s">
        <v>95</v>
      </c>
      <c r="BF302" s="18" t="s">
        <v>95</v>
      </c>
      <c r="BG302" s="18" t="s">
        <v>95</v>
      </c>
      <c r="BH302" s="18" t="s">
        <v>95</v>
      </c>
      <c r="BI302" s="18">
        <v>12</v>
      </c>
      <c r="BJ302" s="18">
        <v>2022</v>
      </c>
      <c r="BK302" s="18" t="s">
        <v>95</v>
      </c>
      <c r="BL302" s="18" t="s">
        <v>95</v>
      </c>
      <c r="BM302" s="18" t="s">
        <v>95</v>
      </c>
      <c r="BN302" s="18" t="s">
        <v>85</v>
      </c>
      <c r="BO302" s="18" t="s">
        <v>86</v>
      </c>
      <c r="BP302" s="18" t="s">
        <v>90</v>
      </c>
      <c r="BQ302" s="18" t="s">
        <v>8106</v>
      </c>
      <c r="BR302" s="18" t="s">
        <v>92</v>
      </c>
      <c r="BS302" s="18" t="s">
        <v>8074</v>
      </c>
      <c r="BT302" s="18" t="s">
        <v>7989</v>
      </c>
      <c r="BU302" s="18" t="s">
        <v>496</v>
      </c>
      <c r="BV302" s="18" t="str">
        <f>Terminales[[#This Row],[IMEI]]&amp;"SI"</f>
        <v>351084957811234SI</v>
      </c>
      <c r="BW302" s="18" t="str">
        <f>VLOOKUP(Terminales[[#This Row],[OFICINA_USUARIO]],[1]!Locales[#Data],3,0)</f>
        <v>TIENDA CUENCA CENTRO</v>
      </c>
      <c r="BX302" s="18" t="str">
        <f>VLOOKUP(Terminales[[#This Row],[USUARIO_FINAL]],'[1]Personal Ppto vs Real'!$A:$F,6,0)</f>
        <v>CALLE CHACA JORGE VINICIO</v>
      </c>
      <c r="BY30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0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02" s="18">
        <f>DAY(Terminales[[#This Row],[FECHA_FACTURA]])</f>
        <v>15</v>
      </c>
      <c r="CB302" s="65">
        <f>IF(Terminales[[#This Row],[CANTIDAD]] = 1,INDEX([1]!Comisiones[#Data],MATCH("Terminales",[1]!Comisiones[Producto],0),MATCH(Terminales[[#This Row],[TIPO ALTA COMISIONES]],[1]!Comisiones[#Headers],0))*Terminales[[#This Row],[MONTO]],0)</f>
        <v>14.732143000000001</v>
      </c>
      <c r="CC302" s="65">
        <f>IFERROR(IF(AND(Terminales[[#This Row],[CANTIDAD]] = 1,Terminales[[#This Row],[MOVIMIENTO]] = "RENOVACION"),Terminales[[#This Row],[TARIFA_BASICA]]*0.5,),)</f>
        <v>0</v>
      </c>
      <c r="CD302" s="65">
        <f>IF('[1]Resumen TM'!$AW$20 &lt; 0.4,0,Terminales[[#This Row],[MONTO]]*0.02)</f>
        <v>2.9464286</v>
      </c>
      <c r="CE302" s="66">
        <f>Terminales[[#This Row],[COMISIONES TERMINALES]]+Terminales[[#This Row],[COMISIONES RENOVACIONES]]+Terminales[[#This Row],[COMISIONES BONO]]</f>
        <v>17.678571600000001</v>
      </c>
      <c r="CF302" s="67">
        <f>(Terminales[[#This Row],[COMISIONES TERMINALES]]*VLOOKUP(Terminales[[#This Row],[LOCALES]],[1]!Calendario[#Data],3,0))/VLOOKUP(Terminales[[#This Row],[LOCALES]],[1]!Calendario[#Data],2,0)</f>
        <v>23.876231758620694</v>
      </c>
      <c r="CG302" s="67">
        <f>(Terminales[[#This Row],[COMISIONES RENOVACIONES]]*VLOOKUP(Terminales[[#This Row],[LOCALES]],[1]!Calendario[#Data],3,0))/VLOOKUP(Terminales[[#This Row],[LOCALES]],[1]!Calendario[#Data],2,0)</f>
        <v>0</v>
      </c>
      <c r="CH302" s="67">
        <f>(Terminales[[#This Row],[COMISIONES BONO]]*VLOOKUP(Terminales[[#This Row],[LOCALES]],[1]!Calendario[#Data],3,0))/VLOOKUP(Terminales[[#This Row],[LOCALES]],[1]!Calendario[#Data],2,0)</f>
        <v>4.7752463517241379</v>
      </c>
      <c r="CI302" s="67">
        <f>Terminales[[#This Row],[PROY. COM. TERMINALES]]+Terminales[[#This Row],[PROY. COM. RENOV.]]+Terminales[[#This Row],[PROY. COM. 2%]]</f>
        <v>28.651478110344833</v>
      </c>
    </row>
    <row r="303" spans="1:87" x14ac:dyDescent="0.25">
      <c r="A303" s="68">
        <v>44926</v>
      </c>
      <c r="B303" s="68">
        <v>44910</v>
      </c>
      <c r="C303" s="18" t="s">
        <v>291</v>
      </c>
      <c r="D303" s="18" t="s">
        <v>78</v>
      </c>
      <c r="E303" s="18" t="s">
        <v>768</v>
      </c>
      <c r="F303" s="18" t="s">
        <v>9927</v>
      </c>
      <c r="G303" s="18" t="s">
        <v>292</v>
      </c>
      <c r="H303" s="18" t="s">
        <v>494</v>
      </c>
      <c r="I303" s="18" t="s">
        <v>9928</v>
      </c>
      <c r="J303" s="18" t="s">
        <v>95</v>
      </c>
      <c r="K303" s="18" t="s">
        <v>7970</v>
      </c>
      <c r="L303" s="18" t="s">
        <v>9929</v>
      </c>
      <c r="M303" s="18" t="s">
        <v>9930</v>
      </c>
      <c r="N303" s="18" t="s">
        <v>9931</v>
      </c>
      <c r="O303" s="18" t="s">
        <v>8640</v>
      </c>
      <c r="P303" s="18" t="s">
        <v>9932</v>
      </c>
      <c r="Q303" s="18" t="s">
        <v>7975</v>
      </c>
      <c r="R303" s="18" t="s">
        <v>7976</v>
      </c>
      <c r="S303" s="18" t="s">
        <v>8045</v>
      </c>
      <c r="T303" s="18" t="s">
        <v>8642</v>
      </c>
      <c r="U303" s="18" t="s">
        <v>8059</v>
      </c>
      <c r="V303" s="18" t="s">
        <v>6963</v>
      </c>
      <c r="W303" s="18" t="s">
        <v>95</v>
      </c>
      <c r="X303" s="18" t="s">
        <v>95</v>
      </c>
      <c r="Y303" s="18" t="s">
        <v>7980</v>
      </c>
      <c r="Z303" s="18" t="s">
        <v>6996</v>
      </c>
      <c r="AA303" s="69">
        <v>1</v>
      </c>
      <c r="AB303" s="18">
        <v>1204.4642899999999</v>
      </c>
      <c r="AC303" s="18" t="s">
        <v>9933</v>
      </c>
      <c r="AD303" s="18" t="s">
        <v>7982</v>
      </c>
      <c r="AE303" s="18">
        <v>1244</v>
      </c>
      <c r="AF303" s="18" t="s">
        <v>7983</v>
      </c>
      <c r="AG303" s="18">
        <v>1244</v>
      </c>
      <c r="AH303" s="18" t="s">
        <v>95</v>
      </c>
      <c r="AI303" s="18" t="s">
        <v>7213</v>
      </c>
      <c r="AJ303" s="18" t="s">
        <v>7214</v>
      </c>
      <c r="AK303" s="18">
        <v>24.99</v>
      </c>
      <c r="AL303" s="18" t="s">
        <v>95</v>
      </c>
      <c r="AM303" s="18" t="s">
        <v>95</v>
      </c>
      <c r="AN303" s="18" t="s">
        <v>7984</v>
      </c>
      <c r="AO303" s="18" t="s">
        <v>139</v>
      </c>
      <c r="AP303" s="20" t="s">
        <v>136</v>
      </c>
      <c r="AQ303" s="18" t="s">
        <v>137</v>
      </c>
      <c r="AR303" s="18" t="s">
        <v>496</v>
      </c>
      <c r="AS303" s="18">
        <v>1</v>
      </c>
      <c r="AT303" s="18" t="s">
        <v>138</v>
      </c>
      <c r="AU303" s="18" t="s">
        <v>90</v>
      </c>
      <c r="AV303" s="18" t="s">
        <v>8644</v>
      </c>
      <c r="AW303" s="18" t="s">
        <v>8645</v>
      </c>
      <c r="AX303" s="18" t="s">
        <v>83</v>
      </c>
      <c r="AY303" s="18" t="s">
        <v>95</v>
      </c>
      <c r="AZ303" s="18" t="s">
        <v>95</v>
      </c>
      <c r="BA303" s="18" t="s">
        <v>95</v>
      </c>
      <c r="BB303" s="18" t="s">
        <v>95</v>
      </c>
      <c r="BC303" s="18" t="s">
        <v>95</v>
      </c>
      <c r="BD303" s="18" t="s">
        <v>95</v>
      </c>
      <c r="BE303" s="18" t="s">
        <v>8140</v>
      </c>
      <c r="BF303" s="18" t="s">
        <v>8064</v>
      </c>
      <c r="BG303" s="18" t="s">
        <v>95</v>
      </c>
      <c r="BH303" s="18" t="s">
        <v>95</v>
      </c>
      <c r="BI303" s="18">
        <v>12</v>
      </c>
      <c r="BJ303" s="18">
        <v>2022</v>
      </c>
      <c r="BK303" s="18" t="s">
        <v>95</v>
      </c>
      <c r="BL303" s="18" t="s">
        <v>95</v>
      </c>
      <c r="BM303" s="18" t="s">
        <v>95</v>
      </c>
      <c r="BN303" s="18" t="s">
        <v>85</v>
      </c>
      <c r="BO303" s="18" t="s">
        <v>86</v>
      </c>
      <c r="BP303" s="18" t="s">
        <v>90</v>
      </c>
      <c r="BQ303" s="18" t="s">
        <v>7987</v>
      </c>
      <c r="BR303" s="18" t="s">
        <v>139</v>
      </c>
      <c r="BS303" s="18" t="s">
        <v>8003</v>
      </c>
      <c r="BT303" s="18" t="s">
        <v>7989</v>
      </c>
      <c r="BU303" s="18" t="s">
        <v>496</v>
      </c>
      <c r="BV303" s="18" t="str">
        <f>Terminales[[#This Row],[IMEI]]&amp;"SI"</f>
        <v>351338912759171SI</v>
      </c>
      <c r="BW303" s="18" t="str">
        <f>VLOOKUP(Terminales[[#This Row],[OFICINA_USUARIO]],[1]!Locales[#Data],3,0)</f>
        <v>TIENDA AMERICA</v>
      </c>
      <c r="BX303" s="18" t="str">
        <f>VLOOKUP(Terminales[[#This Row],[USUARIO_FINAL]],'[1]Personal Ppto vs Real'!$A:$F,6,0)</f>
        <v>SALVATIERRA GUERRA JULIAN ENRIQUE</v>
      </c>
      <c r="BY30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0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03" s="18">
        <f>DAY(Terminales[[#This Row],[FECHA_FACTURA]])</f>
        <v>15</v>
      </c>
      <c r="CB303" s="65">
        <f>IF(Terminales[[#This Row],[CANTIDAD]] = 1,INDEX([1]!Comisiones[#Data],MATCH("Terminales",[1]!Comisiones[Producto],0),MATCH(Terminales[[#This Row],[TIPO ALTA COMISIONES]],[1]!Comisiones[#Headers],0))*Terminales[[#This Row],[MONTO]],0)</f>
        <v>120.44642899999999</v>
      </c>
      <c r="CC303" s="65">
        <f>IFERROR(IF(AND(Terminales[[#This Row],[CANTIDAD]] = 1,Terminales[[#This Row],[MOVIMIENTO]] = "RENOVACION"),Terminales[[#This Row],[TARIFA_BASICA]]*0.5,),)</f>
        <v>12.494999999999999</v>
      </c>
      <c r="CD303" s="65">
        <f>IF('[1]Resumen TM'!$AW$20 &lt; 0.4,0,Terminales[[#This Row],[MONTO]]*0.02)</f>
        <v>24.089285799999999</v>
      </c>
      <c r="CE303" s="66">
        <f>Terminales[[#This Row],[COMISIONES TERMINALES]]+Terminales[[#This Row],[COMISIONES RENOVACIONES]]+Terminales[[#This Row],[COMISIONES BONO]]</f>
        <v>157.0307148</v>
      </c>
      <c r="CF303" s="67">
        <f>(Terminales[[#This Row],[COMISIONES TERMINALES]]*VLOOKUP(Terminales[[#This Row],[LOCALES]],[1]!Calendario[#Data],3,0))/VLOOKUP(Terminales[[#This Row],[LOCALES]],[1]!Calendario[#Data],2,0)</f>
        <v>197.87627621428572</v>
      </c>
      <c r="CG303" s="67">
        <f>(Terminales[[#This Row],[COMISIONES RENOVACIONES]]*VLOOKUP(Terminales[[#This Row],[LOCALES]],[1]!Calendario[#Data],3,0))/VLOOKUP(Terminales[[#This Row],[LOCALES]],[1]!Calendario[#Data],2,0)</f>
        <v>20.5275</v>
      </c>
      <c r="CH303" s="67">
        <f>(Terminales[[#This Row],[COMISIONES BONO]]*VLOOKUP(Terminales[[#This Row],[LOCALES]],[1]!Calendario[#Data],3,0))/VLOOKUP(Terminales[[#This Row],[LOCALES]],[1]!Calendario[#Data],2,0)</f>
        <v>39.575255242857146</v>
      </c>
      <c r="CI303" s="67">
        <f>Terminales[[#This Row],[PROY. COM. TERMINALES]]+Terminales[[#This Row],[PROY. COM. RENOV.]]+Terminales[[#This Row],[PROY. COM. 2%]]</f>
        <v>257.97903145714287</v>
      </c>
    </row>
    <row r="304" spans="1:87" x14ac:dyDescent="0.25">
      <c r="A304" s="68">
        <v>44926</v>
      </c>
      <c r="B304" s="68">
        <v>44910</v>
      </c>
      <c r="C304" s="18" t="s">
        <v>291</v>
      </c>
      <c r="D304" s="18" t="s">
        <v>78</v>
      </c>
      <c r="E304" s="18" t="s">
        <v>1378</v>
      </c>
      <c r="F304" s="18" t="s">
        <v>9934</v>
      </c>
      <c r="G304" s="18" t="s">
        <v>292</v>
      </c>
      <c r="H304" s="18" t="s">
        <v>494</v>
      </c>
      <c r="I304" s="18" t="s">
        <v>9935</v>
      </c>
      <c r="J304" s="18" t="s">
        <v>95</v>
      </c>
      <c r="K304" s="18" t="s">
        <v>7970</v>
      </c>
      <c r="L304" s="18" t="s">
        <v>9936</v>
      </c>
      <c r="M304" s="18" t="s">
        <v>9937</v>
      </c>
      <c r="N304" s="18" t="s">
        <v>9938</v>
      </c>
      <c r="O304" s="18" t="s">
        <v>1691</v>
      </c>
      <c r="P304" s="18" t="s">
        <v>9939</v>
      </c>
      <c r="Q304" s="18" t="s">
        <v>7975</v>
      </c>
      <c r="R304" s="18" t="s">
        <v>7976</v>
      </c>
      <c r="S304" s="18" t="s">
        <v>8045</v>
      </c>
      <c r="T304" s="18" t="s">
        <v>8225</v>
      </c>
      <c r="U304" s="18" t="s">
        <v>8012</v>
      </c>
      <c r="V304" s="18" t="s">
        <v>6963</v>
      </c>
      <c r="W304" s="18" t="s">
        <v>95</v>
      </c>
      <c r="X304" s="18" t="s">
        <v>95</v>
      </c>
      <c r="Y304" s="18" t="s">
        <v>7980</v>
      </c>
      <c r="Z304" s="18" t="s">
        <v>6996</v>
      </c>
      <c r="AA304" s="69">
        <v>1</v>
      </c>
      <c r="AB304" s="18">
        <v>241.07142999999999</v>
      </c>
      <c r="AC304" s="18" t="s">
        <v>9940</v>
      </c>
      <c r="AD304" s="18" t="s">
        <v>7982</v>
      </c>
      <c r="AE304" s="18">
        <v>232</v>
      </c>
      <c r="AF304" s="18" t="s">
        <v>7983</v>
      </c>
      <c r="AG304" s="18">
        <v>232</v>
      </c>
      <c r="AH304" s="18" t="s">
        <v>95</v>
      </c>
      <c r="AI304" s="18" t="s">
        <v>7595</v>
      </c>
      <c r="AJ304" s="18" t="s">
        <v>7596</v>
      </c>
      <c r="AK304" s="18">
        <v>24.99</v>
      </c>
      <c r="AL304" s="18" t="s">
        <v>95</v>
      </c>
      <c r="AM304" s="18" t="s">
        <v>95</v>
      </c>
      <c r="AN304" s="18" t="s">
        <v>7984</v>
      </c>
      <c r="AO304" s="18" t="s">
        <v>92</v>
      </c>
      <c r="AP304" s="20" t="s">
        <v>1020</v>
      </c>
      <c r="AQ304" s="18" t="s">
        <v>1021</v>
      </c>
      <c r="AR304" s="18" t="s">
        <v>496</v>
      </c>
      <c r="AS304" s="18">
        <v>1</v>
      </c>
      <c r="AT304" s="18" t="s">
        <v>91</v>
      </c>
      <c r="AU304" s="18" t="s">
        <v>90</v>
      </c>
      <c r="AV304" s="18" t="s">
        <v>8228</v>
      </c>
      <c r="AW304" s="18" t="s">
        <v>8229</v>
      </c>
      <c r="AX304" s="18" t="s">
        <v>83</v>
      </c>
      <c r="AY304" s="18" t="s">
        <v>95</v>
      </c>
      <c r="AZ304" s="18" t="s">
        <v>95</v>
      </c>
      <c r="BA304" s="18" t="s">
        <v>95</v>
      </c>
      <c r="BB304" s="18" t="s">
        <v>95</v>
      </c>
      <c r="BC304" s="18" t="s">
        <v>95</v>
      </c>
      <c r="BD304" s="18" t="s">
        <v>95</v>
      </c>
      <c r="BE304" s="18" t="s">
        <v>95</v>
      </c>
      <c r="BF304" s="18" t="s">
        <v>95</v>
      </c>
      <c r="BG304" s="18" t="s">
        <v>95</v>
      </c>
      <c r="BH304" s="18" t="s">
        <v>95</v>
      </c>
      <c r="BI304" s="18">
        <v>12</v>
      </c>
      <c r="BJ304" s="18">
        <v>2022</v>
      </c>
      <c r="BK304" s="18" t="s">
        <v>95</v>
      </c>
      <c r="BL304" s="18" t="s">
        <v>95</v>
      </c>
      <c r="BM304" s="18" t="s">
        <v>95</v>
      </c>
      <c r="BN304" s="18" t="s">
        <v>85</v>
      </c>
      <c r="BO304" s="18" t="s">
        <v>86</v>
      </c>
      <c r="BP304" s="18" t="s">
        <v>90</v>
      </c>
      <c r="BQ304" s="18" t="s">
        <v>8106</v>
      </c>
      <c r="BR304" s="18" t="s">
        <v>92</v>
      </c>
      <c r="BS304" s="18" t="s">
        <v>8074</v>
      </c>
      <c r="BT304" s="18" t="s">
        <v>7989</v>
      </c>
      <c r="BU304" s="18" t="s">
        <v>496</v>
      </c>
      <c r="BV304" s="18" t="str">
        <f>Terminales[[#This Row],[IMEI]]&amp;"SI"</f>
        <v>356795951296693SI</v>
      </c>
      <c r="BW304" s="18" t="str">
        <f>VLOOKUP(Terminales[[#This Row],[OFICINA_USUARIO]],[1]!Locales[#Data],3,0)</f>
        <v>TIENDA CUENCA CENTRO</v>
      </c>
      <c r="BX304" s="18" t="str">
        <f>VLOOKUP(Terminales[[#This Row],[USUARIO_FINAL]],'[1]Personal Ppto vs Real'!$A:$F,6,0)</f>
        <v>GONZALES ALVARRACIN PAOLA YESSENIA</v>
      </c>
      <c r="BY30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0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04" s="18">
        <f>DAY(Terminales[[#This Row],[FECHA_FACTURA]])</f>
        <v>15</v>
      </c>
      <c r="CB304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304" s="65">
        <f>IFERROR(IF(AND(Terminales[[#This Row],[CANTIDAD]] = 1,Terminales[[#This Row],[MOVIMIENTO]] = "RENOVACION"),Terminales[[#This Row],[TARIFA_BASICA]]*0.5,),)</f>
        <v>12.494999999999999</v>
      </c>
      <c r="CD304" s="65">
        <f>IF('[1]Resumen TM'!$AW$20 &lt; 0.4,0,Terminales[[#This Row],[MONTO]]*0.02)</f>
        <v>4.8214286</v>
      </c>
      <c r="CE304" s="66">
        <f>Terminales[[#This Row],[COMISIONES TERMINALES]]+Terminales[[#This Row],[COMISIONES RENOVACIONES]]+Terminales[[#This Row],[COMISIONES BONO]]</f>
        <v>41.423571599999995</v>
      </c>
      <c r="CF304" s="67">
        <f>(Terminales[[#This Row],[COMISIONES TERMINALES]]*VLOOKUP(Terminales[[#This Row],[LOCALES]],[1]!Calendario[#Data],3,0))/VLOOKUP(Terminales[[#This Row],[LOCALES]],[1]!Calendario[#Data],2,0)</f>
        <v>39.070197275862071</v>
      </c>
      <c r="CG304" s="67">
        <f>(Terminales[[#This Row],[COMISIONES RENOVACIONES]]*VLOOKUP(Terminales[[#This Row],[LOCALES]],[1]!Calendario[#Data],3,0))/VLOOKUP(Terminales[[#This Row],[LOCALES]],[1]!Calendario[#Data],2,0)</f>
        <v>20.25051724137931</v>
      </c>
      <c r="CH304" s="67">
        <f>(Terminales[[#This Row],[COMISIONES BONO]]*VLOOKUP(Terminales[[#This Row],[LOCALES]],[1]!Calendario[#Data],3,0))/VLOOKUP(Terminales[[#This Row],[LOCALES]],[1]!Calendario[#Data],2,0)</f>
        <v>7.8140394551724137</v>
      </c>
      <c r="CI304" s="67">
        <f>Terminales[[#This Row],[PROY. COM. TERMINALES]]+Terminales[[#This Row],[PROY. COM. RENOV.]]+Terminales[[#This Row],[PROY. COM. 2%]]</f>
        <v>67.134753972413804</v>
      </c>
    </row>
    <row r="305" spans="1:87" x14ac:dyDescent="0.25">
      <c r="A305" s="68">
        <v>44926</v>
      </c>
      <c r="B305" s="68">
        <v>44910</v>
      </c>
      <c r="C305" s="18" t="s">
        <v>291</v>
      </c>
      <c r="D305" s="18" t="s">
        <v>521</v>
      </c>
      <c r="E305" s="18" t="s">
        <v>8731</v>
      </c>
      <c r="F305" s="18" t="s">
        <v>9941</v>
      </c>
      <c r="G305" s="18" t="s">
        <v>292</v>
      </c>
      <c r="H305" s="18" t="s">
        <v>293</v>
      </c>
      <c r="I305" s="18" t="s">
        <v>9942</v>
      </c>
      <c r="J305" s="18" t="s">
        <v>95</v>
      </c>
      <c r="K305" s="18" t="s">
        <v>7970</v>
      </c>
      <c r="L305" s="18" t="s">
        <v>9943</v>
      </c>
      <c r="M305" s="18" t="s">
        <v>9944</v>
      </c>
      <c r="N305" s="18" t="s">
        <v>9945</v>
      </c>
      <c r="O305" s="18" t="s">
        <v>338</v>
      </c>
      <c r="P305" s="18" t="s">
        <v>9946</v>
      </c>
      <c r="Q305" s="18" t="s">
        <v>7975</v>
      </c>
      <c r="R305" s="18" t="s">
        <v>7976</v>
      </c>
      <c r="S305" s="18" t="s">
        <v>7977</v>
      </c>
      <c r="T305" s="18" t="s">
        <v>7978</v>
      </c>
      <c r="U305" s="18" t="s">
        <v>7979</v>
      </c>
      <c r="V305" s="18" t="s">
        <v>6963</v>
      </c>
      <c r="W305" s="18" t="s">
        <v>95</v>
      </c>
      <c r="X305" s="18" t="s">
        <v>95</v>
      </c>
      <c r="Y305" s="18" t="s">
        <v>7980</v>
      </c>
      <c r="Z305" s="18" t="s">
        <v>6996</v>
      </c>
      <c r="AA305" s="69">
        <v>1</v>
      </c>
      <c r="AB305" s="18">
        <v>312.14285999999998</v>
      </c>
      <c r="AC305" s="18" t="s">
        <v>9947</v>
      </c>
      <c r="AD305" s="18" t="s">
        <v>7982</v>
      </c>
      <c r="AE305" s="18">
        <v>235</v>
      </c>
      <c r="AF305" s="18" t="s">
        <v>7983</v>
      </c>
      <c r="AG305" s="18">
        <v>235</v>
      </c>
      <c r="AH305" s="18" t="s">
        <v>95</v>
      </c>
      <c r="AI305" s="18" t="s">
        <v>7454</v>
      </c>
      <c r="AJ305" s="18" t="s">
        <v>7511</v>
      </c>
      <c r="AK305" s="18">
        <v>20</v>
      </c>
      <c r="AL305" s="18" t="s">
        <v>95</v>
      </c>
      <c r="AM305" s="18" t="s">
        <v>95</v>
      </c>
      <c r="AN305" s="18" t="s">
        <v>7984</v>
      </c>
      <c r="AO305" s="18" t="s">
        <v>139</v>
      </c>
      <c r="AP305" s="20" t="s">
        <v>866</v>
      </c>
      <c r="AQ305" s="18" t="s">
        <v>867</v>
      </c>
      <c r="AR305" s="18" t="s">
        <v>496</v>
      </c>
      <c r="AS305" s="18">
        <v>1</v>
      </c>
      <c r="AT305" s="18" t="s">
        <v>138</v>
      </c>
      <c r="AU305" s="18" t="s">
        <v>90</v>
      </c>
      <c r="AV305" s="18" t="s">
        <v>7985</v>
      </c>
      <c r="AW305" s="18" t="s">
        <v>7986</v>
      </c>
      <c r="AX305" s="18" t="s">
        <v>83</v>
      </c>
      <c r="AY305" s="18" t="s">
        <v>95</v>
      </c>
      <c r="AZ305" s="18" t="s">
        <v>95</v>
      </c>
      <c r="BA305" s="18" t="s">
        <v>95</v>
      </c>
      <c r="BB305" s="18" t="s">
        <v>95</v>
      </c>
      <c r="BC305" s="18" t="s">
        <v>95</v>
      </c>
      <c r="BD305" s="18" t="s">
        <v>95</v>
      </c>
      <c r="BE305" s="18" t="s">
        <v>95</v>
      </c>
      <c r="BF305" s="18" t="s">
        <v>95</v>
      </c>
      <c r="BG305" s="18" t="s">
        <v>95</v>
      </c>
      <c r="BH305" s="18" t="s">
        <v>95</v>
      </c>
      <c r="BI305" s="18">
        <v>12</v>
      </c>
      <c r="BJ305" s="18">
        <v>2022</v>
      </c>
      <c r="BK305" s="18" t="s">
        <v>95</v>
      </c>
      <c r="BL305" s="18" t="s">
        <v>95</v>
      </c>
      <c r="BM305" s="18" t="s">
        <v>95</v>
      </c>
      <c r="BN305" s="18" t="s">
        <v>85</v>
      </c>
      <c r="BO305" s="18" t="s">
        <v>86</v>
      </c>
      <c r="BP305" s="18" t="s">
        <v>90</v>
      </c>
      <c r="BQ305" s="18" t="s">
        <v>7987</v>
      </c>
      <c r="BR305" s="18" t="s">
        <v>139</v>
      </c>
      <c r="BS305" s="18" t="s">
        <v>9828</v>
      </c>
      <c r="BT305" s="18" t="s">
        <v>7989</v>
      </c>
      <c r="BU305" s="18" t="s">
        <v>7990</v>
      </c>
      <c r="BV305" s="18" t="str">
        <f>Terminales[[#This Row],[IMEI]]&amp;"SI"</f>
        <v>866184060672164SI</v>
      </c>
      <c r="BW305" s="18" t="str">
        <f>VLOOKUP(Terminales[[#This Row],[OFICINA_USUARIO]],[1]!Locales[#Data],3,0)</f>
        <v>TIENDA AMERICA</v>
      </c>
      <c r="BX305" s="18" t="str">
        <f>VLOOKUP(Terminales[[#This Row],[USUARIO_FINAL]],'[1]Personal Ppto vs Real'!$A:$F,6,0)</f>
        <v>ORTEGA RUIZ GABRIEL ANTONIO</v>
      </c>
      <c r="BY30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0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05" s="18">
        <f>DAY(Terminales[[#This Row],[FECHA_FACTURA]])</f>
        <v>15</v>
      </c>
      <c r="CB305" s="65">
        <f>IF(Terminales[[#This Row],[CANTIDAD]] = 1,INDEX([1]!Comisiones[#Data],MATCH("Terminales",[1]!Comisiones[Producto],0),MATCH(Terminales[[#This Row],[TIPO ALTA COMISIONES]],[1]!Comisiones[#Headers],0))*Terminales[[#This Row],[MONTO]],0)</f>
        <v>31.214286000000001</v>
      </c>
      <c r="CC305" s="65">
        <f>IFERROR(IF(AND(Terminales[[#This Row],[CANTIDAD]] = 1,Terminales[[#This Row],[MOVIMIENTO]] = "RENOVACION"),Terminales[[#This Row],[TARIFA_BASICA]]*0.5,),)</f>
        <v>10</v>
      </c>
      <c r="CD305" s="65">
        <f>IF('[1]Resumen TM'!$AW$20 &lt; 0.4,0,Terminales[[#This Row],[MONTO]]*0.02)</f>
        <v>6.2428571999999996</v>
      </c>
      <c r="CE305" s="66">
        <f>Terminales[[#This Row],[COMISIONES TERMINALES]]+Terminales[[#This Row],[COMISIONES RENOVACIONES]]+Terminales[[#This Row],[COMISIONES BONO]]</f>
        <v>47.457143200000004</v>
      </c>
      <c r="CF305" s="67">
        <f>(Terminales[[#This Row],[COMISIONES TERMINALES]]*VLOOKUP(Terminales[[#This Row],[LOCALES]],[1]!Calendario[#Data],3,0))/VLOOKUP(Terminales[[#This Row],[LOCALES]],[1]!Calendario[#Data],2,0)</f>
        <v>51.280612714285716</v>
      </c>
      <c r="CG305" s="67">
        <f>(Terminales[[#This Row],[COMISIONES RENOVACIONES]]*VLOOKUP(Terminales[[#This Row],[LOCALES]],[1]!Calendario[#Data],3,0))/VLOOKUP(Terminales[[#This Row],[LOCALES]],[1]!Calendario[#Data],2,0)</f>
        <v>16.428571428571427</v>
      </c>
      <c r="CH305" s="67">
        <f>(Terminales[[#This Row],[COMISIONES BONO]]*VLOOKUP(Terminales[[#This Row],[LOCALES]],[1]!Calendario[#Data],3,0))/VLOOKUP(Terminales[[#This Row],[LOCALES]],[1]!Calendario[#Data],2,0)</f>
        <v>10.256122542857142</v>
      </c>
      <c r="CI305" s="67">
        <f>Terminales[[#This Row],[PROY. COM. TERMINALES]]+Terminales[[#This Row],[PROY. COM. RENOV.]]+Terminales[[#This Row],[PROY. COM. 2%]]</f>
        <v>77.965306685714282</v>
      </c>
    </row>
    <row r="306" spans="1:87" x14ac:dyDescent="0.25">
      <c r="A306" s="68">
        <v>44926</v>
      </c>
      <c r="B306" s="68">
        <v>44910</v>
      </c>
      <c r="C306" s="18" t="s">
        <v>96</v>
      </c>
      <c r="D306" s="18" t="s">
        <v>96</v>
      </c>
      <c r="E306" s="18" t="s">
        <v>96</v>
      </c>
      <c r="F306" s="18" t="s">
        <v>9948</v>
      </c>
      <c r="G306" s="18" t="s">
        <v>292</v>
      </c>
      <c r="H306" s="18" t="s">
        <v>494</v>
      </c>
      <c r="I306" s="18" t="s">
        <v>9949</v>
      </c>
      <c r="J306" s="18" t="s">
        <v>95</v>
      </c>
      <c r="K306" s="18" t="s">
        <v>7970</v>
      </c>
      <c r="L306" s="18" t="s">
        <v>9950</v>
      </c>
      <c r="M306" s="18" t="s">
        <v>9951</v>
      </c>
      <c r="N306" s="18" t="s">
        <v>9952</v>
      </c>
      <c r="O306" s="18" t="s">
        <v>2260</v>
      </c>
      <c r="P306" s="18" t="s">
        <v>9953</v>
      </c>
      <c r="Q306" s="18" t="s">
        <v>7975</v>
      </c>
      <c r="R306" s="18" t="s">
        <v>7976</v>
      </c>
      <c r="S306" s="18" t="s">
        <v>8010</v>
      </c>
      <c r="T306" s="18" t="s">
        <v>8011</v>
      </c>
      <c r="U306" s="18" t="s">
        <v>8012</v>
      </c>
      <c r="V306" s="18" t="s">
        <v>6963</v>
      </c>
      <c r="W306" s="18" t="s">
        <v>95</v>
      </c>
      <c r="X306" s="18" t="s">
        <v>95</v>
      </c>
      <c r="Y306" s="18" t="s">
        <v>7980</v>
      </c>
      <c r="Z306" s="18" t="s">
        <v>6996</v>
      </c>
      <c r="AA306" s="69">
        <v>1</v>
      </c>
      <c r="AB306" s="18">
        <v>196.42857000000001</v>
      </c>
      <c r="AC306" s="18" t="s">
        <v>9954</v>
      </c>
      <c r="AD306" s="18" t="s">
        <v>7982</v>
      </c>
      <c r="AE306" s="18">
        <v>168.8</v>
      </c>
      <c r="AF306" s="18" t="s">
        <v>7983</v>
      </c>
      <c r="AG306" s="18">
        <v>168.8</v>
      </c>
      <c r="AH306" s="18" t="s">
        <v>95</v>
      </c>
      <c r="AI306" s="18" t="s">
        <v>8102</v>
      </c>
      <c r="AJ306" s="18" t="s">
        <v>8103</v>
      </c>
      <c r="AK306" s="18" t="s">
        <v>95</v>
      </c>
      <c r="AL306" s="18" t="s">
        <v>95</v>
      </c>
      <c r="AM306" s="18" t="s">
        <v>95</v>
      </c>
      <c r="AN306" s="18" t="s">
        <v>7984</v>
      </c>
      <c r="AO306" s="18" t="s">
        <v>139</v>
      </c>
      <c r="AP306" s="20" t="s">
        <v>251</v>
      </c>
      <c r="AQ306" s="18" t="s">
        <v>252</v>
      </c>
      <c r="AR306" s="18" t="s">
        <v>496</v>
      </c>
      <c r="AS306" s="18">
        <v>1</v>
      </c>
      <c r="AT306" s="18" t="s">
        <v>177</v>
      </c>
      <c r="AU306" s="18" t="s">
        <v>90</v>
      </c>
      <c r="AV306" s="18" t="s">
        <v>8014</v>
      </c>
      <c r="AW306" s="18" t="s">
        <v>8015</v>
      </c>
      <c r="AX306" s="18" t="s">
        <v>83</v>
      </c>
      <c r="AY306" s="18" t="s">
        <v>95</v>
      </c>
      <c r="AZ306" s="18" t="s">
        <v>95</v>
      </c>
      <c r="BA306" s="18" t="s">
        <v>95</v>
      </c>
      <c r="BB306" s="18" t="s">
        <v>95</v>
      </c>
      <c r="BC306" s="18" t="s">
        <v>95</v>
      </c>
      <c r="BD306" s="18" t="s">
        <v>95</v>
      </c>
      <c r="BE306" s="18" t="s">
        <v>95</v>
      </c>
      <c r="BF306" s="18" t="s">
        <v>95</v>
      </c>
      <c r="BG306" s="18" t="s">
        <v>95</v>
      </c>
      <c r="BH306" s="18" t="s">
        <v>95</v>
      </c>
      <c r="BI306" s="18">
        <v>12</v>
      </c>
      <c r="BJ306" s="18">
        <v>2022</v>
      </c>
      <c r="BK306" s="18" t="s">
        <v>95</v>
      </c>
      <c r="BL306" s="18" t="s">
        <v>95</v>
      </c>
      <c r="BM306" s="18" t="s">
        <v>95</v>
      </c>
      <c r="BN306" s="18" t="s">
        <v>85</v>
      </c>
      <c r="BO306" s="18" t="s">
        <v>86</v>
      </c>
      <c r="BP306" s="18" t="s">
        <v>90</v>
      </c>
      <c r="BQ306" s="18" t="s">
        <v>8002</v>
      </c>
      <c r="BR306" s="18" t="s">
        <v>139</v>
      </c>
      <c r="BS306" s="18" t="s">
        <v>8074</v>
      </c>
      <c r="BT306" s="18" t="s">
        <v>7989</v>
      </c>
      <c r="BU306" s="18" t="s">
        <v>496</v>
      </c>
      <c r="BV306" s="18" t="str">
        <f>Terminales[[#This Row],[IMEI]]&amp;"SI"</f>
        <v>359694275330717SI</v>
      </c>
      <c r="BW306" s="18" t="str">
        <f>VLOOKUP(Terminales[[#This Row],[OFICINA_USUARIO]],[1]!Locales[#Data],3,0)</f>
        <v>TIENDA RECREO</v>
      </c>
      <c r="BX306" s="18" t="str">
        <f>VLOOKUP(Terminales[[#This Row],[USUARIO_FINAL]],'[1]Personal Ppto vs Real'!$A:$F,6,0)</f>
        <v>CRUZ MONTUFAR KATHERINE ALEJANDRA</v>
      </c>
      <c r="BY30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0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06" s="18">
        <f>DAY(Terminales[[#This Row],[FECHA_FACTURA]])</f>
        <v>15</v>
      </c>
      <c r="CB306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306" s="65">
        <f>IFERROR(IF(AND(Terminales[[#This Row],[CANTIDAD]] = 1,Terminales[[#This Row],[MOVIMIENTO]] = "RENOVACION"),Terminales[[#This Row],[TARIFA_BASICA]]*0.5,),)</f>
        <v>0</v>
      </c>
      <c r="CD306" s="65">
        <f>IF('[1]Resumen TM'!$AW$20 &lt; 0.4,0,Terminales[[#This Row],[MONTO]]*0.02)</f>
        <v>3.9285714</v>
      </c>
      <c r="CE306" s="66">
        <f>Terminales[[#This Row],[COMISIONES TERMINALES]]+Terminales[[#This Row],[COMISIONES RENOVACIONES]]+Terminales[[#This Row],[COMISIONES BONO]]</f>
        <v>23.571428400000002</v>
      </c>
      <c r="CF306" s="67">
        <f>(Terminales[[#This Row],[COMISIONES TERMINALES]]*VLOOKUP(Terminales[[#This Row],[LOCALES]],[1]!Calendario[#Data],3,0))/VLOOKUP(Terminales[[#This Row],[LOCALES]],[1]!Calendario[#Data],2,0)</f>
        <v>32.315667967741938</v>
      </c>
      <c r="CG306" s="67">
        <f>(Terminales[[#This Row],[COMISIONES RENOVACIONES]]*VLOOKUP(Terminales[[#This Row],[LOCALES]],[1]!Calendario[#Data],3,0))/VLOOKUP(Terminales[[#This Row],[LOCALES]],[1]!Calendario[#Data],2,0)</f>
        <v>0</v>
      </c>
      <c r="CH306" s="67">
        <f>(Terminales[[#This Row],[COMISIONES BONO]]*VLOOKUP(Terminales[[#This Row],[LOCALES]],[1]!Calendario[#Data],3,0))/VLOOKUP(Terminales[[#This Row],[LOCALES]],[1]!Calendario[#Data],2,0)</f>
        <v>6.4631335935483865</v>
      </c>
      <c r="CI306" s="67">
        <f>Terminales[[#This Row],[PROY. COM. TERMINALES]]+Terminales[[#This Row],[PROY. COM. RENOV.]]+Terminales[[#This Row],[PROY. COM. 2%]]</f>
        <v>38.778801561290322</v>
      </c>
    </row>
    <row r="307" spans="1:87" x14ac:dyDescent="0.25">
      <c r="A307" s="68">
        <v>44926</v>
      </c>
      <c r="B307" s="68">
        <v>44910</v>
      </c>
      <c r="C307" s="18" t="s">
        <v>291</v>
      </c>
      <c r="D307" s="18" t="s">
        <v>78</v>
      </c>
      <c r="E307" s="18" t="s">
        <v>1378</v>
      </c>
      <c r="F307" s="18" t="s">
        <v>9955</v>
      </c>
      <c r="G307" s="18" t="s">
        <v>292</v>
      </c>
      <c r="H307" s="18" t="s">
        <v>293</v>
      </c>
      <c r="I307" s="18" t="s">
        <v>9956</v>
      </c>
      <c r="J307" s="18" t="s">
        <v>95</v>
      </c>
      <c r="K307" s="18" t="s">
        <v>7970</v>
      </c>
      <c r="L307" s="18" t="s">
        <v>9957</v>
      </c>
      <c r="M307" s="18" t="s">
        <v>9958</v>
      </c>
      <c r="N307" s="18" t="s">
        <v>9959</v>
      </c>
      <c r="O307" s="18" t="s">
        <v>3770</v>
      </c>
      <c r="P307" s="18" t="s">
        <v>9960</v>
      </c>
      <c r="Q307" s="18" t="s">
        <v>7975</v>
      </c>
      <c r="R307" s="18" t="s">
        <v>7976</v>
      </c>
      <c r="S307" s="18" t="s">
        <v>8045</v>
      </c>
      <c r="T307" s="18" t="s">
        <v>8099</v>
      </c>
      <c r="U307" s="18" t="s">
        <v>8100</v>
      </c>
      <c r="V307" s="18" t="s">
        <v>6963</v>
      </c>
      <c r="W307" s="18" t="s">
        <v>95</v>
      </c>
      <c r="X307" s="18" t="s">
        <v>95</v>
      </c>
      <c r="Y307" s="18" t="s">
        <v>7980</v>
      </c>
      <c r="Z307" s="18" t="s">
        <v>6996</v>
      </c>
      <c r="AA307" s="69">
        <v>1</v>
      </c>
      <c r="AB307" s="18">
        <v>616.07142999999996</v>
      </c>
      <c r="AC307" s="18" t="s">
        <v>9961</v>
      </c>
      <c r="AD307" s="18" t="s">
        <v>7982</v>
      </c>
      <c r="AE307" s="18">
        <v>402.5</v>
      </c>
      <c r="AF307" s="18" t="s">
        <v>7983</v>
      </c>
      <c r="AG307" s="18">
        <v>402.5</v>
      </c>
      <c r="AH307" s="18" t="s">
        <v>95</v>
      </c>
      <c r="AI307" s="18" t="s">
        <v>227</v>
      </c>
      <c r="AJ307" s="18" t="s">
        <v>426</v>
      </c>
      <c r="AK307" s="18">
        <v>21.42</v>
      </c>
      <c r="AL307" s="18" t="s">
        <v>95</v>
      </c>
      <c r="AM307" s="18" t="s">
        <v>95</v>
      </c>
      <c r="AN307" s="18" t="s">
        <v>7984</v>
      </c>
      <c r="AO307" s="18" t="s">
        <v>92</v>
      </c>
      <c r="AP307" s="20" t="s">
        <v>1415</v>
      </c>
      <c r="AQ307" s="18" t="s">
        <v>1416</v>
      </c>
      <c r="AR307" s="18" t="s">
        <v>295</v>
      </c>
      <c r="AS307" s="18">
        <v>1</v>
      </c>
      <c r="AT307" s="18" t="s">
        <v>91</v>
      </c>
      <c r="AU307" s="18" t="s">
        <v>90</v>
      </c>
      <c r="AV307" s="18" t="s">
        <v>8104</v>
      </c>
      <c r="AW307" s="18" t="s">
        <v>8105</v>
      </c>
      <c r="AX307" s="18" t="s">
        <v>83</v>
      </c>
      <c r="AY307" s="18" t="s">
        <v>95</v>
      </c>
      <c r="AZ307" s="18" t="s">
        <v>95</v>
      </c>
      <c r="BA307" s="18" t="s">
        <v>95</v>
      </c>
      <c r="BB307" s="18" t="s">
        <v>95</v>
      </c>
      <c r="BC307" s="18" t="s">
        <v>95</v>
      </c>
      <c r="BD307" s="18">
        <v>123.21</v>
      </c>
      <c r="BE307" s="18" t="s">
        <v>95</v>
      </c>
      <c r="BF307" s="18" t="s">
        <v>95</v>
      </c>
      <c r="BG307" s="18" t="s">
        <v>95</v>
      </c>
      <c r="BH307" s="18" t="s">
        <v>95</v>
      </c>
      <c r="BI307" s="18">
        <v>12</v>
      </c>
      <c r="BJ307" s="18">
        <v>2022</v>
      </c>
      <c r="BK307" s="18" t="s">
        <v>95</v>
      </c>
      <c r="BL307" s="18" t="s">
        <v>95</v>
      </c>
      <c r="BM307" s="18" t="s">
        <v>95</v>
      </c>
      <c r="BN307" s="18" t="s">
        <v>85</v>
      </c>
      <c r="BO307" s="18" t="s">
        <v>86</v>
      </c>
      <c r="BP307" s="18" t="s">
        <v>90</v>
      </c>
      <c r="BQ307" s="18" t="s">
        <v>8106</v>
      </c>
      <c r="BR307" s="18" t="s">
        <v>92</v>
      </c>
      <c r="BS307" s="18" t="s">
        <v>9828</v>
      </c>
      <c r="BT307" s="18" t="s">
        <v>7989</v>
      </c>
      <c r="BU307" s="18" t="s">
        <v>7990</v>
      </c>
      <c r="BV307" s="18" t="str">
        <f>Terminales[[#This Row],[IMEI]]&amp;"SI"</f>
        <v>353842192685350SI</v>
      </c>
      <c r="BW307" s="18" t="str">
        <f>VLOOKUP(Terminales[[#This Row],[OFICINA_USUARIO]],[1]!Locales[#Data],3,0)</f>
        <v>TIENDA CUENCA CENTRO</v>
      </c>
      <c r="BX307" s="18" t="str">
        <f>VLOOKUP(Terminales[[#This Row],[USUARIO_FINAL]],'[1]Personal Ppto vs Real'!$A:$F,6,0)</f>
        <v>PATIÑO URGILES DIANA CATALINA</v>
      </c>
      <c r="BY30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0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07" s="18">
        <f>DAY(Terminales[[#This Row],[FECHA_FACTURA]])</f>
        <v>15</v>
      </c>
      <c r="CB307" s="65">
        <f>IF(Terminales[[#This Row],[CANTIDAD]] = 1,INDEX([1]!Comisiones[#Data],MATCH("Terminales",[1]!Comisiones[Producto],0),MATCH(Terminales[[#This Row],[TIPO ALTA COMISIONES]],[1]!Comisiones[#Headers],0))*Terminales[[#This Row],[MONTO]],0)</f>
        <v>61.607143000000001</v>
      </c>
      <c r="CC307" s="65">
        <f>IFERROR(IF(AND(Terminales[[#This Row],[CANTIDAD]] = 1,Terminales[[#This Row],[MOVIMIENTO]] = "RENOVACION"),Terminales[[#This Row],[TARIFA_BASICA]]*0.5,),)</f>
        <v>10.71</v>
      </c>
      <c r="CD307" s="65">
        <f>IF('[1]Resumen TM'!$AW$20 &lt; 0.4,0,Terminales[[#This Row],[MONTO]]*0.02)</f>
        <v>12.321428599999999</v>
      </c>
      <c r="CE307" s="66">
        <f>Terminales[[#This Row],[COMISIONES TERMINALES]]+Terminales[[#This Row],[COMISIONES RENOVACIONES]]+Terminales[[#This Row],[COMISIONES BONO]]</f>
        <v>84.638571600000006</v>
      </c>
      <c r="CF307" s="67">
        <f>(Terminales[[#This Row],[COMISIONES TERMINALES]]*VLOOKUP(Terminales[[#This Row],[LOCALES]],[1]!Calendario[#Data],3,0))/VLOOKUP(Terminales[[#This Row],[LOCALES]],[1]!Calendario[#Data],2,0)</f>
        <v>99.846059344827594</v>
      </c>
      <c r="CG307" s="67">
        <f>(Terminales[[#This Row],[COMISIONES RENOVACIONES]]*VLOOKUP(Terminales[[#This Row],[LOCALES]],[1]!Calendario[#Data],3,0))/VLOOKUP(Terminales[[#This Row],[LOCALES]],[1]!Calendario[#Data],2,0)</f>
        <v>17.357586206896553</v>
      </c>
      <c r="CH307" s="67">
        <f>(Terminales[[#This Row],[COMISIONES BONO]]*VLOOKUP(Terminales[[#This Row],[LOCALES]],[1]!Calendario[#Data],3,0))/VLOOKUP(Terminales[[#This Row],[LOCALES]],[1]!Calendario[#Data],2,0)</f>
        <v>19.969211868965516</v>
      </c>
      <c r="CI307" s="67">
        <f>Terminales[[#This Row],[PROY. COM. TERMINALES]]+Terminales[[#This Row],[PROY. COM. RENOV.]]+Terminales[[#This Row],[PROY. COM. 2%]]</f>
        <v>137.17285742068967</v>
      </c>
    </row>
    <row r="308" spans="1:87" x14ac:dyDescent="0.25">
      <c r="A308" s="68">
        <v>44926</v>
      </c>
      <c r="B308" s="68">
        <v>44910</v>
      </c>
      <c r="C308" s="18" t="s">
        <v>291</v>
      </c>
      <c r="D308" s="18" t="s">
        <v>521</v>
      </c>
      <c r="E308" s="18" t="s">
        <v>8017</v>
      </c>
      <c r="F308" s="18" t="s">
        <v>9962</v>
      </c>
      <c r="G308" s="18" t="s">
        <v>292</v>
      </c>
      <c r="H308" s="18" t="s">
        <v>494</v>
      </c>
      <c r="I308" s="18" t="s">
        <v>9963</v>
      </c>
      <c r="J308" s="18" t="s">
        <v>95</v>
      </c>
      <c r="K308" s="18" t="s">
        <v>7970</v>
      </c>
      <c r="L308" s="18" t="s">
        <v>9964</v>
      </c>
      <c r="M308" s="18" t="s">
        <v>9965</v>
      </c>
      <c r="N308" s="18" t="s">
        <v>9966</v>
      </c>
      <c r="O308" s="18" t="s">
        <v>1691</v>
      </c>
      <c r="P308" s="18" t="s">
        <v>9967</v>
      </c>
      <c r="Q308" s="18" t="s">
        <v>7975</v>
      </c>
      <c r="R308" s="18" t="s">
        <v>7976</v>
      </c>
      <c r="S308" s="18" t="s">
        <v>8045</v>
      </c>
      <c r="T308" s="18" t="s">
        <v>8225</v>
      </c>
      <c r="U308" s="18" t="s">
        <v>8012</v>
      </c>
      <c r="V308" s="18" t="s">
        <v>6963</v>
      </c>
      <c r="W308" s="18" t="s">
        <v>95</v>
      </c>
      <c r="X308" s="18" t="s">
        <v>95</v>
      </c>
      <c r="Y308" s="18" t="s">
        <v>7980</v>
      </c>
      <c r="Z308" s="18" t="s">
        <v>6996</v>
      </c>
      <c r="AA308" s="69">
        <v>1</v>
      </c>
      <c r="AB308" s="18">
        <v>241.07142999999999</v>
      </c>
      <c r="AC308" s="18" t="s">
        <v>9968</v>
      </c>
      <c r="AD308" s="18" t="s">
        <v>7982</v>
      </c>
      <c r="AE308" s="18">
        <v>232</v>
      </c>
      <c r="AF308" s="18" t="s">
        <v>7983</v>
      </c>
      <c r="AG308" s="18">
        <v>232</v>
      </c>
      <c r="AH308" s="18" t="s">
        <v>95</v>
      </c>
      <c r="AI308" s="18" t="s">
        <v>8597</v>
      </c>
      <c r="AJ308" s="18" t="s">
        <v>8869</v>
      </c>
      <c r="AK308" s="18">
        <v>25</v>
      </c>
      <c r="AL308" s="18" t="s">
        <v>95</v>
      </c>
      <c r="AM308" s="18" t="s">
        <v>95</v>
      </c>
      <c r="AN308" s="18" t="s">
        <v>7984</v>
      </c>
      <c r="AO308" s="18" t="s">
        <v>92</v>
      </c>
      <c r="AP308" s="20" t="s">
        <v>420</v>
      </c>
      <c r="AQ308" s="18" t="s">
        <v>421</v>
      </c>
      <c r="AR308" s="18" t="s">
        <v>496</v>
      </c>
      <c r="AS308" s="18">
        <v>1</v>
      </c>
      <c r="AT308" s="18" t="s">
        <v>151</v>
      </c>
      <c r="AU308" s="18" t="s">
        <v>90</v>
      </c>
      <c r="AV308" s="18" t="s">
        <v>8228</v>
      </c>
      <c r="AW308" s="18" t="s">
        <v>8229</v>
      </c>
      <c r="AX308" s="18" t="s">
        <v>83</v>
      </c>
      <c r="AY308" s="18" t="s">
        <v>95</v>
      </c>
      <c r="AZ308" s="18" t="s">
        <v>95</v>
      </c>
      <c r="BA308" s="18" t="s">
        <v>95</v>
      </c>
      <c r="BB308" s="18" t="s">
        <v>95</v>
      </c>
      <c r="BC308" s="18" t="s">
        <v>95</v>
      </c>
      <c r="BD308" s="18" t="s">
        <v>95</v>
      </c>
      <c r="BE308" s="18" t="s">
        <v>8000</v>
      </c>
      <c r="BF308" s="18" t="s">
        <v>8064</v>
      </c>
      <c r="BG308" s="18" t="s">
        <v>95</v>
      </c>
      <c r="BH308" s="18" t="s">
        <v>95</v>
      </c>
      <c r="BI308" s="18">
        <v>12</v>
      </c>
      <c r="BJ308" s="18">
        <v>2022</v>
      </c>
      <c r="BK308" s="18" t="s">
        <v>95</v>
      </c>
      <c r="BL308" s="18" t="s">
        <v>95</v>
      </c>
      <c r="BM308" s="18" t="s">
        <v>95</v>
      </c>
      <c r="BN308" s="18" t="s">
        <v>85</v>
      </c>
      <c r="BO308" s="18" t="s">
        <v>86</v>
      </c>
      <c r="BP308" s="18" t="s">
        <v>90</v>
      </c>
      <c r="BQ308" s="18" t="s">
        <v>8141</v>
      </c>
      <c r="BR308" s="18" t="s">
        <v>92</v>
      </c>
      <c r="BS308" s="18" t="s">
        <v>8003</v>
      </c>
      <c r="BT308" s="18" t="s">
        <v>7989</v>
      </c>
      <c r="BU308" s="18" t="s">
        <v>496</v>
      </c>
      <c r="BV308" s="18" t="str">
        <f>Terminales[[#This Row],[IMEI]]&amp;"SI"</f>
        <v>356795951176002SI</v>
      </c>
      <c r="BW308" s="18" t="str">
        <f>VLOOKUP(Terminales[[#This Row],[OFICINA_USUARIO]],[1]!Locales[#Data],3,0)</f>
        <v>TIENDA CUENCA REMIGIO</v>
      </c>
      <c r="BX308" s="18" t="str">
        <f>VLOOKUP(Terminales[[#This Row],[USUARIO_FINAL]],'[1]Personal Ppto vs Real'!$A:$F,6,0)</f>
        <v>YEPEZ PALOMEQUE DIANA PATRICIA</v>
      </c>
      <c r="BY30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0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08" s="18">
        <f>DAY(Terminales[[#This Row],[FECHA_FACTURA]])</f>
        <v>15</v>
      </c>
      <c r="CB308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308" s="65">
        <f>IFERROR(IF(AND(Terminales[[#This Row],[CANTIDAD]] = 1,Terminales[[#This Row],[MOVIMIENTO]] = "RENOVACION"),Terminales[[#This Row],[TARIFA_BASICA]]*0.5,),)</f>
        <v>12.5</v>
      </c>
      <c r="CD308" s="65">
        <f>IF('[1]Resumen TM'!$AW$20 &lt; 0.4,0,Terminales[[#This Row],[MONTO]]*0.02)</f>
        <v>4.8214286</v>
      </c>
      <c r="CE308" s="66">
        <f>Terminales[[#This Row],[COMISIONES TERMINALES]]+Terminales[[#This Row],[COMISIONES RENOVACIONES]]+Terminales[[#This Row],[COMISIONES BONO]]</f>
        <v>41.428571599999998</v>
      </c>
      <c r="CF308" s="67">
        <f>(Terminales[[#This Row],[COMISIONES TERMINALES]]*VLOOKUP(Terminales[[#This Row],[LOCALES]],[1]!Calendario[#Data],3,0))/VLOOKUP(Terminales[[#This Row],[LOCALES]],[1]!Calendario[#Data],2,0)</f>
        <v>39.070197275862071</v>
      </c>
      <c r="CG308" s="67">
        <f>(Terminales[[#This Row],[COMISIONES RENOVACIONES]]*VLOOKUP(Terminales[[#This Row],[LOCALES]],[1]!Calendario[#Data],3,0))/VLOOKUP(Terminales[[#This Row],[LOCALES]],[1]!Calendario[#Data],2,0)</f>
        <v>20.258620689655171</v>
      </c>
      <c r="CH308" s="67">
        <f>(Terminales[[#This Row],[COMISIONES BONO]]*VLOOKUP(Terminales[[#This Row],[LOCALES]],[1]!Calendario[#Data],3,0))/VLOOKUP(Terminales[[#This Row],[LOCALES]],[1]!Calendario[#Data],2,0)</f>
        <v>7.8140394551724137</v>
      </c>
      <c r="CI308" s="67">
        <f>Terminales[[#This Row],[PROY. COM. TERMINALES]]+Terminales[[#This Row],[PROY. COM. RENOV.]]+Terminales[[#This Row],[PROY. COM. 2%]]</f>
        <v>67.142857420689666</v>
      </c>
    </row>
    <row r="309" spans="1:87" x14ac:dyDescent="0.25">
      <c r="A309" s="68">
        <v>44926</v>
      </c>
      <c r="B309" s="68">
        <v>44910</v>
      </c>
      <c r="C309" s="18" t="s">
        <v>291</v>
      </c>
      <c r="D309" s="18" t="s">
        <v>78</v>
      </c>
      <c r="E309" s="18" t="s">
        <v>164</v>
      </c>
      <c r="F309" s="18" t="s">
        <v>7398</v>
      </c>
      <c r="G309" s="18" t="s">
        <v>292</v>
      </c>
      <c r="H309" s="18" t="s">
        <v>293</v>
      </c>
      <c r="I309" s="18" t="s">
        <v>9969</v>
      </c>
      <c r="J309" s="18" t="s">
        <v>95</v>
      </c>
      <c r="K309" s="18" t="s">
        <v>7970</v>
      </c>
      <c r="L309" s="18" t="s">
        <v>5909</v>
      </c>
      <c r="M309" s="18" t="s">
        <v>5910</v>
      </c>
      <c r="N309" s="18" t="s">
        <v>5911</v>
      </c>
      <c r="O309" s="18" t="s">
        <v>543</v>
      </c>
      <c r="P309" s="18" t="s">
        <v>9970</v>
      </c>
      <c r="Q309" s="18" t="s">
        <v>7975</v>
      </c>
      <c r="R309" s="18" t="s">
        <v>7976</v>
      </c>
      <c r="S309" s="18" t="s">
        <v>7994</v>
      </c>
      <c r="T309" s="18" t="s">
        <v>8245</v>
      </c>
      <c r="U309" s="18" t="s">
        <v>8012</v>
      </c>
      <c r="V309" s="18" t="s">
        <v>6963</v>
      </c>
      <c r="W309" s="18" t="s">
        <v>95</v>
      </c>
      <c r="X309" s="18" t="s">
        <v>95</v>
      </c>
      <c r="Y309" s="18" t="s">
        <v>7980</v>
      </c>
      <c r="Z309" s="18" t="s">
        <v>6996</v>
      </c>
      <c r="AA309" s="69">
        <v>1</v>
      </c>
      <c r="AB309" s="18">
        <v>241.07142999999999</v>
      </c>
      <c r="AC309" s="18" t="s">
        <v>7399</v>
      </c>
      <c r="AD309" s="18" t="s">
        <v>7982</v>
      </c>
      <c r="AE309" s="18">
        <v>156</v>
      </c>
      <c r="AF309" s="18" t="s">
        <v>7983</v>
      </c>
      <c r="AG309" s="18">
        <v>156</v>
      </c>
      <c r="AH309" s="18" t="s">
        <v>95</v>
      </c>
      <c r="AI309" s="18" t="s">
        <v>71</v>
      </c>
      <c r="AJ309" s="18" t="s">
        <v>258</v>
      </c>
      <c r="AK309" s="18">
        <v>11.42</v>
      </c>
      <c r="AL309" s="18" t="s">
        <v>95</v>
      </c>
      <c r="AM309" s="18" t="s">
        <v>95</v>
      </c>
      <c r="AN309" s="18" t="s">
        <v>7984</v>
      </c>
      <c r="AO309" s="18" t="s">
        <v>139</v>
      </c>
      <c r="AP309" s="20" t="s">
        <v>478</v>
      </c>
      <c r="AQ309" s="18" t="s">
        <v>479</v>
      </c>
      <c r="AR309" s="18" t="s">
        <v>295</v>
      </c>
      <c r="AS309" s="18">
        <v>1</v>
      </c>
      <c r="AT309" s="18" t="s">
        <v>138</v>
      </c>
      <c r="AU309" s="18" t="s">
        <v>90</v>
      </c>
      <c r="AV309" s="18" t="s">
        <v>8247</v>
      </c>
      <c r="AW309" s="18" t="s">
        <v>8248</v>
      </c>
      <c r="AX309" s="18" t="s">
        <v>83</v>
      </c>
      <c r="AY309" s="18" t="s">
        <v>95</v>
      </c>
      <c r="AZ309" s="18" t="s">
        <v>95</v>
      </c>
      <c r="BA309" s="18" t="s">
        <v>95</v>
      </c>
      <c r="BB309" s="18" t="s">
        <v>95</v>
      </c>
      <c r="BC309" s="18" t="s">
        <v>95</v>
      </c>
      <c r="BD309" s="18">
        <v>50</v>
      </c>
      <c r="BE309" s="18" t="s">
        <v>95</v>
      </c>
      <c r="BF309" s="18" t="s">
        <v>95</v>
      </c>
      <c r="BG309" s="18" t="s">
        <v>95</v>
      </c>
      <c r="BH309" s="18" t="s">
        <v>95</v>
      </c>
      <c r="BI309" s="18">
        <v>12</v>
      </c>
      <c r="BJ309" s="18">
        <v>2022</v>
      </c>
      <c r="BK309" s="18" t="s">
        <v>95</v>
      </c>
      <c r="BL309" s="18" t="s">
        <v>95</v>
      </c>
      <c r="BM309" s="18" t="s">
        <v>95</v>
      </c>
      <c r="BN309" s="18" t="s">
        <v>85</v>
      </c>
      <c r="BO309" s="18" t="s">
        <v>86</v>
      </c>
      <c r="BP309" s="18" t="s">
        <v>90</v>
      </c>
      <c r="BQ309" s="18" t="s">
        <v>7987</v>
      </c>
      <c r="BR309" s="18" t="s">
        <v>139</v>
      </c>
      <c r="BS309" s="18" t="s">
        <v>9828</v>
      </c>
      <c r="BT309" s="18" t="s">
        <v>7989</v>
      </c>
      <c r="BU309" s="18" t="s">
        <v>7990</v>
      </c>
      <c r="BV309" s="18" t="str">
        <f>Terminales[[#This Row],[IMEI]]&amp;"SI"</f>
        <v>355108340317223SI</v>
      </c>
      <c r="BW309" s="18" t="str">
        <f>VLOOKUP(Terminales[[#This Row],[OFICINA_USUARIO]],[1]!Locales[#Data],3,0)</f>
        <v>TIENDA AMERICA</v>
      </c>
      <c r="BX309" s="18" t="str">
        <f>VLOOKUP(Terminales[[#This Row],[USUARIO_FINAL]],'[1]Personal Ppto vs Real'!$A:$F,6,0)</f>
        <v>REINO TUFINO PAULTEH KATHERINE</v>
      </c>
      <c r="BY309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0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09" s="18">
        <f>DAY(Terminales[[#This Row],[FECHA_FACTURA]])</f>
        <v>15</v>
      </c>
      <c r="CB309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309" s="65">
        <f>IFERROR(IF(AND(Terminales[[#This Row],[CANTIDAD]] = 1,Terminales[[#This Row],[MOVIMIENTO]] = "RENOVACION"),Terminales[[#This Row],[TARIFA_BASICA]]*0.5,),)</f>
        <v>5.71</v>
      </c>
      <c r="CD309" s="65">
        <f>IF('[1]Resumen TM'!$AW$20 &lt; 0.4,0,Terminales[[#This Row],[MONTO]]*0.02)</f>
        <v>4.8214286</v>
      </c>
      <c r="CE309" s="66">
        <f>Terminales[[#This Row],[COMISIONES TERMINALES]]+Terminales[[#This Row],[COMISIONES RENOVACIONES]]+Terminales[[#This Row],[COMISIONES BONO]]</f>
        <v>34.638571599999999</v>
      </c>
      <c r="CF309" s="67">
        <f>(Terminales[[#This Row],[COMISIONES TERMINALES]]*VLOOKUP(Terminales[[#This Row],[LOCALES]],[1]!Calendario[#Data],3,0))/VLOOKUP(Terminales[[#This Row],[LOCALES]],[1]!Calendario[#Data],2,0)</f>
        <v>39.60459207142857</v>
      </c>
      <c r="CG309" s="67">
        <f>(Terminales[[#This Row],[COMISIONES RENOVACIONES]]*VLOOKUP(Terminales[[#This Row],[LOCALES]],[1]!Calendario[#Data],3,0))/VLOOKUP(Terminales[[#This Row],[LOCALES]],[1]!Calendario[#Data],2,0)</f>
        <v>9.3807142857142871</v>
      </c>
      <c r="CH309" s="67">
        <f>(Terminales[[#This Row],[COMISIONES BONO]]*VLOOKUP(Terminales[[#This Row],[LOCALES]],[1]!Calendario[#Data],3,0))/VLOOKUP(Terminales[[#This Row],[LOCALES]],[1]!Calendario[#Data],2,0)</f>
        <v>7.9209184142857145</v>
      </c>
      <c r="CI309" s="67">
        <f>Terminales[[#This Row],[PROY. COM. TERMINALES]]+Terminales[[#This Row],[PROY. COM. RENOV.]]+Terminales[[#This Row],[PROY. COM. 2%]]</f>
        <v>56.906224771428576</v>
      </c>
    </row>
    <row r="310" spans="1:87" x14ac:dyDescent="0.25">
      <c r="A310" s="68">
        <v>44926</v>
      </c>
      <c r="B310" s="68">
        <v>44910</v>
      </c>
      <c r="C310" s="18" t="s">
        <v>291</v>
      </c>
      <c r="D310" s="18" t="s">
        <v>78</v>
      </c>
      <c r="E310" s="18" t="s">
        <v>1532</v>
      </c>
      <c r="F310" s="18" t="s">
        <v>9971</v>
      </c>
      <c r="G310" s="18" t="s">
        <v>292</v>
      </c>
      <c r="H310" s="18" t="s">
        <v>494</v>
      </c>
      <c r="I310" s="18" t="s">
        <v>9972</v>
      </c>
      <c r="J310" s="18" t="s">
        <v>95</v>
      </c>
      <c r="K310" s="18" t="s">
        <v>7970</v>
      </c>
      <c r="L310" s="18" t="s">
        <v>9973</v>
      </c>
      <c r="M310" s="18" t="s">
        <v>9974</v>
      </c>
      <c r="N310" s="18" t="s">
        <v>9975</v>
      </c>
      <c r="O310" s="18" t="s">
        <v>2260</v>
      </c>
      <c r="P310" s="18" t="s">
        <v>9976</v>
      </c>
      <c r="Q310" s="18" t="s">
        <v>7975</v>
      </c>
      <c r="R310" s="18" t="s">
        <v>7976</v>
      </c>
      <c r="S310" s="18" t="s">
        <v>8010</v>
      </c>
      <c r="T310" s="18" t="s">
        <v>8011</v>
      </c>
      <c r="U310" s="18" t="s">
        <v>8012</v>
      </c>
      <c r="V310" s="18" t="s">
        <v>6963</v>
      </c>
      <c r="W310" s="18" t="s">
        <v>95</v>
      </c>
      <c r="X310" s="18" t="s">
        <v>95</v>
      </c>
      <c r="Y310" s="18" t="s">
        <v>7980</v>
      </c>
      <c r="Z310" s="18" t="s">
        <v>6996</v>
      </c>
      <c r="AA310" s="69">
        <v>1</v>
      </c>
      <c r="AB310" s="18">
        <v>196.42857000000001</v>
      </c>
      <c r="AC310" s="18" t="s">
        <v>9977</v>
      </c>
      <c r="AD310" s="18" t="s">
        <v>7982</v>
      </c>
      <c r="AE310" s="18">
        <v>168.8</v>
      </c>
      <c r="AF310" s="18" t="s">
        <v>7983</v>
      </c>
      <c r="AG310" s="18">
        <v>168.8</v>
      </c>
      <c r="AH310" s="18" t="s">
        <v>95</v>
      </c>
      <c r="AI310" s="18" t="s">
        <v>7648</v>
      </c>
      <c r="AJ310" s="18" t="s">
        <v>9978</v>
      </c>
      <c r="AK310" s="18">
        <v>12.99</v>
      </c>
      <c r="AL310" s="18" t="s">
        <v>95</v>
      </c>
      <c r="AM310" s="18" t="s">
        <v>95</v>
      </c>
      <c r="AN310" s="18" t="s">
        <v>7984</v>
      </c>
      <c r="AO310" s="18" t="s">
        <v>139</v>
      </c>
      <c r="AP310" s="20" t="s">
        <v>280</v>
      </c>
      <c r="AQ310" s="18" t="s">
        <v>281</v>
      </c>
      <c r="AR310" s="18" t="s">
        <v>496</v>
      </c>
      <c r="AS310" s="18">
        <v>1</v>
      </c>
      <c r="AT310" s="18" t="s">
        <v>235</v>
      </c>
      <c r="AU310" s="18" t="s">
        <v>90</v>
      </c>
      <c r="AV310" s="18" t="s">
        <v>8014</v>
      </c>
      <c r="AW310" s="18" t="s">
        <v>8015</v>
      </c>
      <c r="AX310" s="18" t="s">
        <v>83</v>
      </c>
      <c r="AY310" s="18" t="s">
        <v>95</v>
      </c>
      <c r="AZ310" s="18" t="s">
        <v>95</v>
      </c>
      <c r="BA310" s="18" t="s">
        <v>95</v>
      </c>
      <c r="BB310" s="18" t="s">
        <v>95</v>
      </c>
      <c r="BC310" s="18" t="s">
        <v>95</v>
      </c>
      <c r="BD310" s="18" t="s">
        <v>95</v>
      </c>
      <c r="BE310" s="18" t="s">
        <v>95</v>
      </c>
      <c r="BF310" s="18" t="s">
        <v>95</v>
      </c>
      <c r="BG310" s="18" t="s">
        <v>95</v>
      </c>
      <c r="BH310" s="18" t="s">
        <v>95</v>
      </c>
      <c r="BI310" s="18">
        <v>12</v>
      </c>
      <c r="BJ310" s="18">
        <v>2022</v>
      </c>
      <c r="BK310" s="18" t="s">
        <v>95</v>
      </c>
      <c r="BL310" s="18" t="s">
        <v>95</v>
      </c>
      <c r="BM310" s="18" t="s">
        <v>95</v>
      </c>
      <c r="BN310" s="18" t="s">
        <v>85</v>
      </c>
      <c r="BO310" s="18" t="s">
        <v>86</v>
      </c>
      <c r="BP310" s="18" t="s">
        <v>90</v>
      </c>
      <c r="BQ310" s="18" t="s">
        <v>8016</v>
      </c>
      <c r="BR310" s="18" t="s">
        <v>139</v>
      </c>
      <c r="BS310" s="18" t="s">
        <v>8074</v>
      </c>
      <c r="BT310" s="18" t="s">
        <v>7989</v>
      </c>
      <c r="BU310" s="18" t="s">
        <v>496</v>
      </c>
      <c r="BV310" s="18" t="str">
        <f>Terminales[[#This Row],[IMEI]]&amp;"SI"</f>
        <v>359694275283833SI</v>
      </c>
      <c r="BW310" s="18" t="str">
        <f>VLOOKUP(Terminales[[#This Row],[OFICINA_USUARIO]],[1]!Locales[#Data],3,0)</f>
        <v>TIENDA CONDADO</v>
      </c>
      <c r="BX310" s="18" t="str">
        <f>VLOOKUP(Terminales[[#This Row],[USUARIO_FINAL]],'[1]Personal Ppto vs Real'!$A:$F,6,0)</f>
        <v>GUACHAMIN CAZA HUGO ADRIAN</v>
      </c>
      <c r="BY31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1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10" s="18">
        <f>DAY(Terminales[[#This Row],[FECHA_FACTURA]])</f>
        <v>15</v>
      </c>
      <c r="CB310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310" s="65">
        <f>IFERROR(IF(AND(Terminales[[#This Row],[CANTIDAD]] = 1,Terminales[[#This Row],[MOVIMIENTO]] = "RENOVACION"),Terminales[[#This Row],[TARIFA_BASICA]]*0.5,),)</f>
        <v>6.4950000000000001</v>
      </c>
      <c r="CD310" s="65">
        <f>IF('[1]Resumen TM'!$AW$20 &lt; 0.4,0,Terminales[[#This Row],[MONTO]]*0.02)</f>
        <v>3.9285714</v>
      </c>
      <c r="CE310" s="66">
        <f>Terminales[[#This Row],[COMISIONES TERMINALES]]+Terminales[[#This Row],[COMISIONES RENOVACIONES]]+Terminales[[#This Row],[COMISIONES BONO]]</f>
        <v>30.066428400000003</v>
      </c>
      <c r="CF310" s="67">
        <f>(Terminales[[#This Row],[COMISIONES TERMINALES]]*VLOOKUP(Terminales[[#This Row],[LOCALES]],[1]!Calendario[#Data],3,0))/VLOOKUP(Terminales[[#This Row],[LOCALES]],[1]!Calendario[#Data],2,0)</f>
        <v>32.315667967741938</v>
      </c>
      <c r="CG310" s="67">
        <f>(Terminales[[#This Row],[COMISIONES RENOVACIONES]]*VLOOKUP(Terminales[[#This Row],[LOCALES]],[1]!Calendario[#Data],3,0))/VLOOKUP(Terminales[[#This Row],[LOCALES]],[1]!Calendario[#Data],2,0)</f>
        <v>10.685322580645161</v>
      </c>
      <c r="CH310" s="67">
        <f>(Terminales[[#This Row],[COMISIONES BONO]]*VLOOKUP(Terminales[[#This Row],[LOCALES]],[1]!Calendario[#Data],3,0))/VLOOKUP(Terminales[[#This Row],[LOCALES]],[1]!Calendario[#Data],2,0)</f>
        <v>6.4631335935483865</v>
      </c>
      <c r="CI310" s="67">
        <f>Terminales[[#This Row],[PROY. COM. TERMINALES]]+Terminales[[#This Row],[PROY. COM. RENOV.]]+Terminales[[#This Row],[PROY. COM. 2%]]</f>
        <v>49.464124141935486</v>
      </c>
    </row>
    <row r="311" spans="1:87" x14ac:dyDescent="0.25">
      <c r="A311" s="68">
        <v>44926</v>
      </c>
      <c r="B311" s="68">
        <v>44910</v>
      </c>
      <c r="C311" s="18" t="s">
        <v>291</v>
      </c>
      <c r="D311" s="18" t="s">
        <v>78</v>
      </c>
      <c r="E311" s="18" t="s">
        <v>1532</v>
      </c>
      <c r="F311" s="18" t="s">
        <v>9979</v>
      </c>
      <c r="G311" s="18" t="s">
        <v>292</v>
      </c>
      <c r="H311" s="18" t="s">
        <v>494</v>
      </c>
      <c r="I311" s="18" t="s">
        <v>9980</v>
      </c>
      <c r="J311" s="18" t="s">
        <v>95</v>
      </c>
      <c r="K311" s="18" t="s">
        <v>7970</v>
      </c>
      <c r="L311" s="18" t="s">
        <v>9981</v>
      </c>
      <c r="M311" s="18" t="s">
        <v>9982</v>
      </c>
      <c r="N311" s="18" t="s">
        <v>9983</v>
      </c>
      <c r="O311" s="18" t="s">
        <v>4380</v>
      </c>
      <c r="P311" s="18" t="s">
        <v>9984</v>
      </c>
      <c r="Q311" s="18" t="s">
        <v>7975</v>
      </c>
      <c r="R311" s="18" t="s">
        <v>7976</v>
      </c>
      <c r="S311" s="18" t="s">
        <v>7994</v>
      </c>
      <c r="T311" s="18" t="s">
        <v>7995</v>
      </c>
      <c r="U311" s="18" t="s">
        <v>7996</v>
      </c>
      <c r="V311" s="18" t="s">
        <v>6963</v>
      </c>
      <c r="W311" s="18" t="s">
        <v>95</v>
      </c>
      <c r="X311" s="18" t="s">
        <v>95</v>
      </c>
      <c r="Y311" s="18" t="s">
        <v>7980</v>
      </c>
      <c r="Z311" s="18" t="s">
        <v>6996</v>
      </c>
      <c r="AA311" s="69">
        <v>1</v>
      </c>
      <c r="AB311" s="18">
        <v>125</v>
      </c>
      <c r="AC311" s="18" t="s">
        <v>9985</v>
      </c>
      <c r="AD311" s="18" t="s">
        <v>7982</v>
      </c>
      <c r="AE311" s="18">
        <v>102</v>
      </c>
      <c r="AF311" s="18" t="s">
        <v>7983</v>
      </c>
      <c r="AG311" s="18">
        <v>102</v>
      </c>
      <c r="AH311" s="18" t="s">
        <v>95</v>
      </c>
      <c r="AI311" s="18" t="s">
        <v>7227</v>
      </c>
      <c r="AJ311" s="18" t="s">
        <v>7228</v>
      </c>
      <c r="AK311" s="18">
        <v>9.99</v>
      </c>
      <c r="AL311" s="18" t="s">
        <v>95</v>
      </c>
      <c r="AM311" s="18" t="s">
        <v>95</v>
      </c>
      <c r="AN311" s="18" t="s">
        <v>7984</v>
      </c>
      <c r="AO311" s="18" t="s">
        <v>92</v>
      </c>
      <c r="AP311" s="20" t="s">
        <v>149</v>
      </c>
      <c r="AQ311" s="18" t="s">
        <v>150</v>
      </c>
      <c r="AR311" s="18" t="s">
        <v>496</v>
      </c>
      <c r="AS311" s="18">
        <v>1</v>
      </c>
      <c r="AT311" s="18" t="s">
        <v>151</v>
      </c>
      <c r="AU311" s="18" t="s">
        <v>90</v>
      </c>
      <c r="AV311" s="18" t="s">
        <v>7998</v>
      </c>
      <c r="AW311" s="18" t="s">
        <v>7999</v>
      </c>
      <c r="AX311" s="18" t="s">
        <v>83</v>
      </c>
      <c r="AY311" s="18" t="s">
        <v>95</v>
      </c>
      <c r="AZ311" s="18" t="s">
        <v>95</v>
      </c>
      <c r="BA311" s="18" t="s">
        <v>95</v>
      </c>
      <c r="BB311" s="18" t="s">
        <v>95</v>
      </c>
      <c r="BC311" s="18" t="s">
        <v>95</v>
      </c>
      <c r="BD311" s="18" t="s">
        <v>95</v>
      </c>
      <c r="BE311" s="18" t="s">
        <v>8606</v>
      </c>
      <c r="BF311" s="18" t="s">
        <v>8001</v>
      </c>
      <c r="BG311" s="18" t="s">
        <v>95</v>
      </c>
      <c r="BH311" s="18" t="s">
        <v>95</v>
      </c>
      <c r="BI311" s="18">
        <v>12</v>
      </c>
      <c r="BJ311" s="18">
        <v>2022</v>
      </c>
      <c r="BK311" s="18" t="s">
        <v>95</v>
      </c>
      <c r="BL311" s="18" t="s">
        <v>95</v>
      </c>
      <c r="BM311" s="18" t="s">
        <v>95</v>
      </c>
      <c r="BN311" s="18" t="s">
        <v>85</v>
      </c>
      <c r="BO311" s="18" t="s">
        <v>86</v>
      </c>
      <c r="BP311" s="18" t="s">
        <v>90</v>
      </c>
      <c r="BQ311" s="18" t="s">
        <v>8141</v>
      </c>
      <c r="BR311" s="18" t="s">
        <v>92</v>
      </c>
      <c r="BS311" s="18" t="s">
        <v>8003</v>
      </c>
      <c r="BT311" s="18" t="s">
        <v>7989</v>
      </c>
      <c r="BU311" s="18" t="s">
        <v>496</v>
      </c>
      <c r="BV311" s="18" t="str">
        <f>Terminales[[#This Row],[IMEI]]&amp;"SI"</f>
        <v>357321213139107SI</v>
      </c>
      <c r="BW311" s="18" t="str">
        <f>VLOOKUP(Terminales[[#This Row],[OFICINA_USUARIO]],[1]!Locales[#Data],3,0)</f>
        <v>TIENDA CUENCA REMIGIO</v>
      </c>
      <c r="BX311" s="18" t="str">
        <f>VLOOKUP(Terminales[[#This Row],[USUARIO_FINAL]],'[1]Personal Ppto vs Real'!$A:$F,6,0)</f>
        <v>OSORIO TEJADA ANA ESTEFANIA</v>
      </c>
      <c r="BY31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1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11" s="18">
        <f>DAY(Terminales[[#This Row],[FECHA_FACTURA]])</f>
        <v>15</v>
      </c>
      <c r="CB311" s="65">
        <f>IF(Terminales[[#This Row],[CANTIDAD]] = 1,INDEX([1]!Comisiones[#Data],MATCH("Terminales",[1]!Comisiones[Producto],0),MATCH(Terminales[[#This Row],[TIPO ALTA COMISIONES]],[1]!Comisiones[#Headers],0))*Terminales[[#This Row],[MONTO]],0)</f>
        <v>12.5</v>
      </c>
      <c r="CC311" s="65">
        <f>IFERROR(IF(AND(Terminales[[#This Row],[CANTIDAD]] = 1,Terminales[[#This Row],[MOVIMIENTO]] = "RENOVACION"),Terminales[[#This Row],[TARIFA_BASICA]]*0.5,),)</f>
        <v>4.9950000000000001</v>
      </c>
      <c r="CD311" s="65">
        <f>IF('[1]Resumen TM'!$AW$20 &lt; 0.4,0,Terminales[[#This Row],[MONTO]]*0.02)</f>
        <v>2.5</v>
      </c>
      <c r="CE311" s="66">
        <f>Terminales[[#This Row],[COMISIONES TERMINALES]]+Terminales[[#This Row],[COMISIONES RENOVACIONES]]+Terminales[[#This Row],[COMISIONES BONO]]</f>
        <v>19.995000000000001</v>
      </c>
      <c r="CF311" s="67">
        <f>(Terminales[[#This Row],[COMISIONES TERMINALES]]*VLOOKUP(Terminales[[#This Row],[LOCALES]],[1]!Calendario[#Data],3,0))/VLOOKUP(Terminales[[#This Row],[LOCALES]],[1]!Calendario[#Data],2,0)</f>
        <v>20.258620689655171</v>
      </c>
      <c r="CG311" s="67">
        <f>(Terminales[[#This Row],[COMISIONES RENOVACIONES]]*VLOOKUP(Terminales[[#This Row],[LOCALES]],[1]!Calendario[#Data],3,0))/VLOOKUP(Terminales[[#This Row],[LOCALES]],[1]!Calendario[#Data],2,0)</f>
        <v>8.0953448275862065</v>
      </c>
      <c r="CH311" s="67">
        <f>(Terminales[[#This Row],[COMISIONES BONO]]*VLOOKUP(Terminales[[#This Row],[LOCALES]],[1]!Calendario[#Data],3,0))/VLOOKUP(Terminales[[#This Row],[LOCALES]],[1]!Calendario[#Data],2,0)</f>
        <v>4.0517241379310347</v>
      </c>
      <c r="CI311" s="67">
        <f>Terminales[[#This Row],[PROY. COM. TERMINALES]]+Terminales[[#This Row],[PROY. COM. RENOV.]]+Terminales[[#This Row],[PROY. COM. 2%]]</f>
        <v>32.405689655172409</v>
      </c>
    </row>
    <row r="312" spans="1:87" x14ac:dyDescent="0.25">
      <c r="A312" s="68">
        <v>44926</v>
      </c>
      <c r="B312" s="68">
        <v>44910</v>
      </c>
      <c r="C312" s="18" t="s">
        <v>291</v>
      </c>
      <c r="D312" s="18" t="s">
        <v>78</v>
      </c>
      <c r="E312" s="18" t="s">
        <v>231</v>
      </c>
      <c r="F312" s="18" t="s">
        <v>9986</v>
      </c>
      <c r="G312" s="18" t="s">
        <v>292</v>
      </c>
      <c r="H312" s="18" t="s">
        <v>494</v>
      </c>
      <c r="I312" s="18" t="s">
        <v>9987</v>
      </c>
      <c r="J312" s="18" t="s">
        <v>95</v>
      </c>
      <c r="K312" s="18" t="s">
        <v>7970</v>
      </c>
      <c r="L312" s="18" t="s">
        <v>9988</v>
      </c>
      <c r="M312" s="18" t="s">
        <v>9989</v>
      </c>
      <c r="N312" s="18" t="s">
        <v>9990</v>
      </c>
      <c r="O312" s="18" t="s">
        <v>1691</v>
      </c>
      <c r="P312" s="18" t="s">
        <v>9991</v>
      </c>
      <c r="Q312" s="18" t="s">
        <v>7975</v>
      </c>
      <c r="R312" s="18" t="s">
        <v>7976</v>
      </c>
      <c r="S312" s="18" t="s">
        <v>8045</v>
      </c>
      <c r="T312" s="18" t="s">
        <v>8225</v>
      </c>
      <c r="U312" s="18" t="s">
        <v>8012</v>
      </c>
      <c r="V312" s="18" t="s">
        <v>6963</v>
      </c>
      <c r="W312" s="18" t="s">
        <v>95</v>
      </c>
      <c r="X312" s="18" t="s">
        <v>95</v>
      </c>
      <c r="Y312" s="18" t="s">
        <v>7980</v>
      </c>
      <c r="Z312" s="18" t="s">
        <v>6996</v>
      </c>
      <c r="AA312" s="69">
        <v>1</v>
      </c>
      <c r="AB312" s="18">
        <v>241.07142999999999</v>
      </c>
      <c r="AC312" s="18" t="s">
        <v>9992</v>
      </c>
      <c r="AD312" s="18" t="s">
        <v>7982</v>
      </c>
      <c r="AE312" s="18">
        <v>232</v>
      </c>
      <c r="AF312" s="18" t="s">
        <v>7983</v>
      </c>
      <c r="AG312" s="18">
        <v>232</v>
      </c>
      <c r="AH312" s="18" t="s">
        <v>95</v>
      </c>
      <c r="AI312" s="18" t="s">
        <v>7213</v>
      </c>
      <c r="AJ312" s="18" t="s">
        <v>7214</v>
      </c>
      <c r="AK312" s="18">
        <v>24.99</v>
      </c>
      <c r="AL312" s="18" t="s">
        <v>95</v>
      </c>
      <c r="AM312" s="18" t="s">
        <v>95</v>
      </c>
      <c r="AN312" s="18" t="s">
        <v>7984</v>
      </c>
      <c r="AO312" s="18" t="s">
        <v>139</v>
      </c>
      <c r="AP312" s="20" t="s">
        <v>541</v>
      </c>
      <c r="AQ312" s="18" t="s">
        <v>542</v>
      </c>
      <c r="AR312" s="18" t="s">
        <v>496</v>
      </c>
      <c r="AS312" s="18">
        <v>1</v>
      </c>
      <c r="AT312" s="18" t="s">
        <v>138</v>
      </c>
      <c r="AU312" s="18" t="s">
        <v>90</v>
      </c>
      <c r="AV312" s="18" t="s">
        <v>8228</v>
      </c>
      <c r="AW312" s="18" t="s">
        <v>8229</v>
      </c>
      <c r="AX312" s="18" t="s">
        <v>83</v>
      </c>
      <c r="AY312" s="18" t="s">
        <v>95</v>
      </c>
      <c r="AZ312" s="18" t="s">
        <v>95</v>
      </c>
      <c r="BA312" s="18" t="s">
        <v>95</v>
      </c>
      <c r="BB312" s="18" t="s">
        <v>95</v>
      </c>
      <c r="BC312" s="18" t="s">
        <v>95</v>
      </c>
      <c r="BD312" s="18" t="s">
        <v>95</v>
      </c>
      <c r="BE312" s="18" t="s">
        <v>95</v>
      </c>
      <c r="BF312" s="18" t="s">
        <v>95</v>
      </c>
      <c r="BG312" s="18" t="s">
        <v>95</v>
      </c>
      <c r="BH312" s="18" t="s">
        <v>95</v>
      </c>
      <c r="BI312" s="18">
        <v>12</v>
      </c>
      <c r="BJ312" s="18">
        <v>2022</v>
      </c>
      <c r="BK312" s="18" t="s">
        <v>95</v>
      </c>
      <c r="BL312" s="18" t="s">
        <v>95</v>
      </c>
      <c r="BM312" s="18" t="s">
        <v>95</v>
      </c>
      <c r="BN312" s="18" t="s">
        <v>85</v>
      </c>
      <c r="BO312" s="18" t="s">
        <v>86</v>
      </c>
      <c r="BP312" s="18" t="s">
        <v>90</v>
      </c>
      <c r="BQ312" s="18" t="s">
        <v>7987</v>
      </c>
      <c r="BR312" s="18" t="s">
        <v>139</v>
      </c>
      <c r="BS312" s="18" t="s">
        <v>8074</v>
      </c>
      <c r="BT312" s="18" t="s">
        <v>7989</v>
      </c>
      <c r="BU312" s="18" t="s">
        <v>496</v>
      </c>
      <c r="BV312" s="18" t="str">
        <f>Terminales[[#This Row],[IMEI]]&amp;"SI"</f>
        <v>356795951300784SI</v>
      </c>
      <c r="BW312" s="18" t="str">
        <f>VLOOKUP(Terminales[[#This Row],[OFICINA_USUARIO]],[1]!Locales[#Data],3,0)</f>
        <v>TIENDA AMERICA</v>
      </c>
      <c r="BX312" s="18" t="str">
        <f>VLOOKUP(Terminales[[#This Row],[USUARIO_FINAL]],'[1]Personal Ppto vs Real'!$A:$F,6,0)</f>
        <v>CEVALLOS PONCE DIANA CAROLINA</v>
      </c>
      <c r="BY31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1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12" s="18">
        <f>DAY(Terminales[[#This Row],[FECHA_FACTURA]])</f>
        <v>15</v>
      </c>
      <c r="CB312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312" s="65">
        <f>IFERROR(IF(AND(Terminales[[#This Row],[CANTIDAD]] = 1,Terminales[[#This Row],[MOVIMIENTO]] = "RENOVACION"),Terminales[[#This Row],[TARIFA_BASICA]]*0.5,),)</f>
        <v>12.494999999999999</v>
      </c>
      <c r="CD312" s="65">
        <f>IF('[1]Resumen TM'!$AW$20 &lt; 0.4,0,Terminales[[#This Row],[MONTO]]*0.02)</f>
        <v>4.8214286</v>
      </c>
      <c r="CE312" s="66">
        <f>Terminales[[#This Row],[COMISIONES TERMINALES]]+Terminales[[#This Row],[COMISIONES RENOVACIONES]]+Terminales[[#This Row],[COMISIONES BONO]]</f>
        <v>41.423571599999995</v>
      </c>
      <c r="CF312" s="67">
        <f>(Terminales[[#This Row],[COMISIONES TERMINALES]]*VLOOKUP(Terminales[[#This Row],[LOCALES]],[1]!Calendario[#Data],3,0))/VLOOKUP(Terminales[[#This Row],[LOCALES]],[1]!Calendario[#Data],2,0)</f>
        <v>39.60459207142857</v>
      </c>
      <c r="CG312" s="67">
        <f>(Terminales[[#This Row],[COMISIONES RENOVACIONES]]*VLOOKUP(Terminales[[#This Row],[LOCALES]],[1]!Calendario[#Data],3,0))/VLOOKUP(Terminales[[#This Row],[LOCALES]],[1]!Calendario[#Data],2,0)</f>
        <v>20.5275</v>
      </c>
      <c r="CH312" s="67">
        <f>(Terminales[[#This Row],[COMISIONES BONO]]*VLOOKUP(Terminales[[#This Row],[LOCALES]],[1]!Calendario[#Data],3,0))/VLOOKUP(Terminales[[#This Row],[LOCALES]],[1]!Calendario[#Data],2,0)</f>
        <v>7.9209184142857145</v>
      </c>
      <c r="CI312" s="67">
        <f>Terminales[[#This Row],[PROY. COM. TERMINALES]]+Terminales[[#This Row],[PROY. COM. RENOV.]]+Terminales[[#This Row],[PROY. COM. 2%]]</f>
        <v>68.053010485714282</v>
      </c>
    </row>
    <row r="313" spans="1:87" x14ac:dyDescent="0.25">
      <c r="A313" s="68">
        <v>44926</v>
      </c>
      <c r="B313" s="68">
        <v>44910</v>
      </c>
      <c r="C313" s="18" t="s">
        <v>291</v>
      </c>
      <c r="D313" s="18" t="s">
        <v>78</v>
      </c>
      <c r="E313" s="18" t="s">
        <v>2241</v>
      </c>
      <c r="F313" s="18" t="s">
        <v>9993</v>
      </c>
      <c r="G313" s="18" t="s">
        <v>292</v>
      </c>
      <c r="H313" s="18" t="s">
        <v>494</v>
      </c>
      <c r="I313" s="18" t="s">
        <v>9994</v>
      </c>
      <c r="J313" s="18" t="s">
        <v>95</v>
      </c>
      <c r="K313" s="18" t="s">
        <v>7970</v>
      </c>
      <c r="L313" s="18" t="s">
        <v>9995</v>
      </c>
      <c r="M313" s="18" t="s">
        <v>9996</v>
      </c>
      <c r="N313" s="18" t="s">
        <v>9997</v>
      </c>
      <c r="O313" s="18" t="s">
        <v>9657</v>
      </c>
      <c r="P313" s="18" t="s">
        <v>9998</v>
      </c>
      <c r="Q313" s="18" t="s">
        <v>7975</v>
      </c>
      <c r="R313" s="18" t="s">
        <v>7976</v>
      </c>
      <c r="S313" s="18" t="s">
        <v>8250</v>
      </c>
      <c r="T313" s="18" t="s">
        <v>8318</v>
      </c>
      <c r="U313" s="18" t="s">
        <v>8059</v>
      </c>
      <c r="V313" s="18" t="s">
        <v>6963</v>
      </c>
      <c r="W313" s="18" t="s">
        <v>95</v>
      </c>
      <c r="X313" s="18" t="s">
        <v>95</v>
      </c>
      <c r="Y313" s="18" t="s">
        <v>7980</v>
      </c>
      <c r="Z313" s="18" t="s">
        <v>6996</v>
      </c>
      <c r="AA313" s="69">
        <v>1</v>
      </c>
      <c r="AB313" s="18">
        <v>1151.7857100000001</v>
      </c>
      <c r="AC313" s="18" t="s">
        <v>9999</v>
      </c>
      <c r="AD313" s="18" t="s">
        <v>7982</v>
      </c>
      <c r="AE313" s="18">
        <v>955.13</v>
      </c>
      <c r="AF313" s="18" t="s">
        <v>7983</v>
      </c>
      <c r="AG313" s="18">
        <v>955.13</v>
      </c>
      <c r="AH313" s="18" t="s">
        <v>95</v>
      </c>
      <c r="AI313" s="18" t="s">
        <v>7139</v>
      </c>
      <c r="AJ313" s="18" t="s">
        <v>7140</v>
      </c>
      <c r="AK313" s="18">
        <v>20.28</v>
      </c>
      <c r="AL313" s="18" t="s">
        <v>95</v>
      </c>
      <c r="AM313" s="18" t="s">
        <v>95</v>
      </c>
      <c r="AN313" s="18" t="s">
        <v>7984</v>
      </c>
      <c r="AO313" s="18" t="s">
        <v>92</v>
      </c>
      <c r="AP313" s="20" t="s">
        <v>420</v>
      </c>
      <c r="AQ313" s="18" t="s">
        <v>421</v>
      </c>
      <c r="AR313" s="18" t="s">
        <v>496</v>
      </c>
      <c r="AS313" s="18">
        <v>1</v>
      </c>
      <c r="AT313" s="18" t="s">
        <v>151</v>
      </c>
      <c r="AU313" s="18" t="s">
        <v>90</v>
      </c>
      <c r="AV313" s="18" t="s">
        <v>9660</v>
      </c>
      <c r="AW313" s="18" t="s">
        <v>9661</v>
      </c>
      <c r="AX313" s="18" t="s">
        <v>83</v>
      </c>
      <c r="AY313" s="18" t="s">
        <v>95</v>
      </c>
      <c r="AZ313" s="18" t="s">
        <v>95</v>
      </c>
      <c r="BA313" s="18" t="s">
        <v>95</v>
      </c>
      <c r="BB313" s="18" t="s">
        <v>95</v>
      </c>
      <c r="BC313" s="18" t="s">
        <v>95</v>
      </c>
      <c r="BD313" s="18" t="s">
        <v>95</v>
      </c>
      <c r="BE313" s="18" t="s">
        <v>8278</v>
      </c>
      <c r="BF313" s="18" t="s">
        <v>8064</v>
      </c>
      <c r="BG313" s="18" t="s">
        <v>95</v>
      </c>
      <c r="BH313" s="18" t="s">
        <v>95</v>
      </c>
      <c r="BI313" s="18">
        <v>12</v>
      </c>
      <c r="BJ313" s="18">
        <v>2022</v>
      </c>
      <c r="BK313" s="18" t="s">
        <v>95</v>
      </c>
      <c r="BL313" s="18" t="s">
        <v>95</v>
      </c>
      <c r="BM313" s="18" t="s">
        <v>95</v>
      </c>
      <c r="BN313" s="18" t="s">
        <v>85</v>
      </c>
      <c r="BO313" s="18" t="s">
        <v>86</v>
      </c>
      <c r="BP313" s="18" t="s">
        <v>90</v>
      </c>
      <c r="BQ313" s="18" t="s">
        <v>8141</v>
      </c>
      <c r="BR313" s="18" t="s">
        <v>92</v>
      </c>
      <c r="BS313" s="18" t="s">
        <v>8003</v>
      </c>
      <c r="BT313" s="18" t="s">
        <v>7989</v>
      </c>
      <c r="BU313" s="18" t="s">
        <v>496</v>
      </c>
      <c r="BV313" s="18" t="str">
        <f>Terminales[[#This Row],[IMEI]]&amp;"SI"</f>
        <v>358330276458063SI</v>
      </c>
      <c r="BW313" s="18" t="str">
        <f>VLOOKUP(Terminales[[#This Row],[OFICINA_USUARIO]],[1]!Locales[#Data],3,0)</f>
        <v>TIENDA CUENCA REMIGIO</v>
      </c>
      <c r="BX313" s="18" t="str">
        <f>VLOOKUP(Terminales[[#This Row],[USUARIO_FINAL]],'[1]Personal Ppto vs Real'!$A:$F,6,0)</f>
        <v>YEPEZ PALOMEQUE DIANA PATRICIA</v>
      </c>
      <c r="BY31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1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13" s="18">
        <f>DAY(Terminales[[#This Row],[FECHA_FACTURA]])</f>
        <v>15</v>
      </c>
      <c r="CB313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313" s="65">
        <f>IFERROR(IF(AND(Terminales[[#This Row],[CANTIDAD]] = 1,Terminales[[#This Row],[MOVIMIENTO]] = "RENOVACION"),Terminales[[#This Row],[TARIFA_BASICA]]*0.5,),)</f>
        <v>10.14</v>
      </c>
      <c r="CD313" s="65">
        <f>IF('[1]Resumen TM'!$AW$20 &lt; 0.4,0,Terminales[[#This Row],[MONTO]]*0.02)</f>
        <v>23.035714200000001</v>
      </c>
      <c r="CE313" s="66">
        <f>Terminales[[#This Row],[COMISIONES TERMINALES]]+Terminales[[#This Row],[COMISIONES RENOVACIONES]]+Terminales[[#This Row],[COMISIONES BONO]]</f>
        <v>148.35428520000002</v>
      </c>
      <c r="CF313" s="67">
        <f>(Terminales[[#This Row],[COMISIONES TERMINALES]]*VLOOKUP(Terminales[[#This Row],[LOCALES]],[1]!Calendario[#Data],3,0))/VLOOKUP(Terminales[[#This Row],[LOCALES]],[1]!Calendario[#Data],2,0)</f>
        <v>186.66871851724142</v>
      </c>
      <c r="CG313" s="67">
        <f>(Terminales[[#This Row],[COMISIONES RENOVACIONES]]*VLOOKUP(Terminales[[#This Row],[LOCALES]],[1]!Calendario[#Data],3,0))/VLOOKUP(Terminales[[#This Row],[LOCALES]],[1]!Calendario[#Data],2,0)</f>
        <v>16.433793103448277</v>
      </c>
      <c r="CH313" s="67">
        <f>(Terminales[[#This Row],[COMISIONES BONO]]*VLOOKUP(Terminales[[#This Row],[LOCALES]],[1]!Calendario[#Data],3,0))/VLOOKUP(Terminales[[#This Row],[LOCALES]],[1]!Calendario[#Data],2,0)</f>
        <v>37.333743703448278</v>
      </c>
      <c r="CI313" s="67">
        <f>Terminales[[#This Row],[PROY. COM. TERMINALES]]+Terminales[[#This Row],[PROY. COM. RENOV.]]+Terminales[[#This Row],[PROY. COM. 2%]]</f>
        <v>240.43625532413796</v>
      </c>
    </row>
    <row r="314" spans="1:87" x14ac:dyDescent="0.25">
      <c r="A314" s="68">
        <v>44926</v>
      </c>
      <c r="B314" s="68">
        <v>44910</v>
      </c>
      <c r="C314" s="18" t="s">
        <v>291</v>
      </c>
      <c r="D314" s="18" t="s">
        <v>78</v>
      </c>
      <c r="E314" s="18" t="s">
        <v>164</v>
      </c>
      <c r="F314" s="18" t="s">
        <v>3638</v>
      </c>
      <c r="G314" s="18" t="s">
        <v>292</v>
      </c>
      <c r="H314" s="18" t="s">
        <v>293</v>
      </c>
      <c r="I314" s="18" t="s">
        <v>10000</v>
      </c>
      <c r="J314" s="18" t="s">
        <v>95</v>
      </c>
      <c r="K314" s="18" t="s">
        <v>7970</v>
      </c>
      <c r="L314" s="18" t="s">
        <v>3639</v>
      </c>
      <c r="M314" s="18" t="s">
        <v>3640</v>
      </c>
      <c r="N314" s="18" t="s">
        <v>3641</v>
      </c>
      <c r="O314" s="18" t="s">
        <v>354</v>
      </c>
      <c r="P314" s="18" t="s">
        <v>3642</v>
      </c>
      <c r="Q314" s="18" t="s">
        <v>7975</v>
      </c>
      <c r="R314" s="18" t="s">
        <v>7976</v>
      </c>
      <c r="S314" s="18" t="s">
        <v>8070</v>
      </c>
      <c r="T314" s="18" t="s">
        <v>8071</v>
      </c>
      <c r="U314" s="18" t="s">
        <v>8012</v>
      </c>
      <c r="V314" s="18" t="s">
        <v>6963</v>
      </c>
      <c r="W314" s="18" t="s">
        <v>95</v>
      </c>
      <c r="X314" s="18" t="s">
        <v>95</v>
      </c>
      <c r="Y314" s="18" t="s">
        <v>7980</v>
      </c>
      <c r="Z314" s="18" t="s">
        <v>6996</v>
      </c>
      <c r="AA314" s="69">
        <v>1</v>
      </c>
      <c r="AB314" s="18">
        <v>285.71429000000001</v>
      </c>
      <c r="AC314" s="18" t="s">
        <v>10001</v>
      </c>
      <c r="AD314" s="18" t="s">
        <v>8151</v>
      </c>
      <c r="AE314" s="18">
        <v>199.79</v>
      </c>
      <c r="AF314" s="18" t="s">
        <v>7983</v>
      </c>
      <c r="AG314" s="18">
        <v>199.79</v>
      </c>
      <c r="AH314" s="18" t="s">
        <v>95</v>
      </c>
      <c r="AI314" s="18" t="s">
        <v>160</v>
      </c>
      <c r="AJ314" s="18" t="s">
        <v>161</v>
      </c>
      <c r="AK314" s="18">
        <v>14.28</v>
      </c>
      <c r="AL314" s="18" t="s">
        <v>95</v>
      </c>
      <c r="AM314" s="18" t="s">
        <v>95</v>
      </c>
      <c r="AN314" s="18" t="s">
        <v>7984</v>
      </c>
      <c r="AO314" s="18" t="s">
        <v>92</v>
      </c>
      <c r="AP314" s="20" t="s">
        <v>352</v>
      </c>
      <c r="AQ314" s="18" t="s">
        <v>353</v>
      </c>
      <c r="AR314" s="18" t="s">
        <v>295</v>
      </c>
      <c r="AS314" s="18">
        <v>1</v>
      </c>
      <c r="AT314" s="18" t="s">
        <v>122</v>
      </c>
      <c r="AU314" s="18" t="s">
        <v>90</v>
      </c>
      <c r="AV314" s="18" t="s">
        <v>8072</v>
      </c>
      <c r="AW314" s="18" t="s">
        <v>8073</v>
      </c>
      <c r="AX314" s="18" t="s">
        <v>83</v>
      </c>
      <c r="AY314" s="18" t="s">
        <v>95</v>
      </c>
      <c r="AZ314" s="18" t="s">
        <v>95</v>
      </c>
      <c r="BA314" s="18" t="s">
        <v>95</v>
      </c>
      <c r="BB314" s="18" t="s">
        <v>95</v>
      </c>
      <c r="BC314" s="18" t="s">
        <v>95</v>
      </c>
      <c r="BD314" s="18">
        <v>60</v>
      </c>
      <c r="BE314" s="18" t="s">
        <v>95</v>
      </c>
      <c r="BF314" s="18" t="s">
        <v>95</v>
      </c>
      <c r="BG314" s="18" t="s">
        <v>95</v>
      </c>
      <c r="BH314" s="18" t="s">
        <v>95</v>
      </c>
      <c r="BI314" s="18">
        <v>12</v>
      </c>
      <c r="BJ314" s="18">
        <v>2022</v>
      </c>
      <c r="BK314" s="18" t="s">
        <v>95</v>
      </c>
      <c r="BL314" s="18" t="s">
        <v>95</v>
      </c>
      <c r="BM314" s="18" t="s">
        <v>95</v>
      </c>
      <c r="BN314" s="18" t="s">
        <v>85</v>
      </c>
      <c r="BO314" s="18" t="s">
        <v>86</v>
      </c>
      <c r="BP314" s="18" t="s">
        <v>90</v>
      </c>
      <c r="BQ314" s="18" t="s">
        <v>8050</v>
      </c>
      <c r="BR314" s="18" t="s">
        <v>92</v>
      </c>
      <c r="BS314" s="18" t="s">
        <v>9828</v>
      </c>
      <c r="BT314" s="18" t="s">
        <v>7989</v>
      </c>
      <c r="BU314" s="18" t="s">
        <v>7990</v>
      </c>
      <c r="BV314" s="18" t="str">
        <f>Terminales[[#This Row],[IMEI]]&amp;"SI"</f>
        <v>869113065757644SI</v>
      </c>
      <c r="BW314" s="18" t="str">
        <f>VLOOKUP(Terminales[[#This Row],[OFICINA_USUARIO]],[1]!Locales[#Data],3,0)</f>
        <v>TIENDA MACHALA</v>
      </c>
      <c r="BX314" s="18" t="str">
        <f>VLOOKUP(Terminales[[#This Row],[USUARIO_FINAL]],'[1]Personal Ppto vs Real'!$A:$F,6,0)</f>
        <v>TENORIO MARIA DEL PILAR</v>
      </c>
      <c r="BY314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31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14" s="18">
        <f>DAY(Terminales[[#This Row],[FECHA_FACTURA]])</f>
        <v>15</v>
      </c>
      <c r="CB314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314" s="65">
        <f>IFERROR(IF(AND(Terminales[[#This Row],[CANTIDAD]] = 1,Terminales[[#This Row],[MOVIMIENTO]] = "RENOVACION"),Terminales[[#This Row],[TARIFA_BASICA]]*0.5,),)</f>
        <v>0</v>
      </c>
      <c r="CD314" s="65">
        <f>IF('[1]Resumen TM'!$AW$20 &lt; 0.4,0,Terminales[[#This Row],[MONTO]]*0.02)</f>
        <v>5.7142857999999999</v>
      </c>
      <c r="CE314" s="66">
        <f>Terminales[[#This Row],[COMISIONES TERMINALES]]+Terminales[[#This Row],[COMISIONES RENOVACIONES]]+Terminales[[#This Row],[COMISIONES BONO]]</f>
        <v>34.285714800000001</v>
      </c>
      <c r="CF314" s="67">
        <f>(Terminales[[#This Row],[COMISIONES TERMINALES]]*VLOOKUP(Terminales[[#This Row],[LOCALES]],[1]!Calendario[#Data],3,0))/VLOOKUP(Terminales[[#This Row],[LOCALES]],[1]!Calendario[#Data],2,0)</f>
        <v>46.305419413793111</v>
      </c>
      <c r="CG314" s="67">
        <f>(Terminales[[#This Row],[COMISIONES RENOVACIONES]]*VLOOKUP(Terminales[[#This Row],[LOCALES]],[1]!Calendario[#Data],3,0))/VLOOKUP(Terminales[[#This Row],[LOCALES]],[1]!Calendario[#Data],2,0)</f>
        <v>0</v>
      </c>
      <c r="CH314" s="67">
        <f>(Terminales[[#This Row],[COMISIONES BONO]]*VLOOKUP(Terminales[[#This Row],[LOCALES]],[1]!Calendario[#Data],3,0))/VLOOKUP(Terminales[[#This Row],[LOCALES]],[1]!Calendario[#Data],2,0)</f>
        <v>9.2610838827586193</v>
      </c>
      <c r="CI314" s="67">
        <f>Terminales[[#This Row],[PROY. COM. TERMINALES]]+Terminales[[#This Row],[PROY. COM. RENOV.]]+Terminales[[#This Row],[PROY. COM. 2%]]</f>
        <v>55.56650329655173</v>
      </c>
    </row>
    <row r="315" spans="1:87" x14ac:dyDescent="0.25">
      <c r="A315" s="68">
        <v>44926</v>
      </c>
      <c r="B315" s="68">
        <v>44910</v>
      </c>
      <c r="C315" s="18" t="s">
        <v>291</v>
      </c>
      <c r="D315" s="18" t="s">
        <v>78</v>
      </c>
      <c r="E315" s="18" t="s">
        <v>1378</v>
      </c>
      <c r="F315" s="18" t="s">
        <v>10002</v>
      </c>
      <c r="G315" s="18" t="s">
        <v>292</v>
      </c>
      <c r="H315" s="18" t="s">
        <v>293</v>
      </c>
      <c r="I315" s="18" t="s">
        <v>10003</v>
      </c>
      <c r="J315" s="18" t="s">
        <v>95</v>
      </c>
      <c r="K315" s="18" t="s">
        <v>7970</v>
      </c>
      <c r="L315" s="18" t="s">
        <v>10004</v>
      </c>
      <c r="M315" s="18" t="s">
        <v>10005</v>
      </c>
      <c r="N315" s="18" t="s">
        <v>10006</v>
      </c>
      <c r="O315" s="18" t="s">
        <v>3770</v>
      </c>
      <c r="P315" s="18" t="s">
        <v>10007</v>
      </c>
      <c r="Q315" s="18" t="s">
        <v>7975</v>
      </c>
      <c r="R315" s="18" t="s">
        <v>7976</v>
      </c>
      <c r="S315" s="18" t="s">
        <v>8045</v>
      </c>
      <c r="T315" s="18" t="s">
        <v>8099</v>
      </c>
      <c r="U315" s="18" t="s">
        <v>8100</v>
      </c>
      <c r="V315" s="18" t="s">
        <v>6963</v>
      </c>
      <c r="W315" s="18" t="s">
        <v>95</v>
      </c>
      <c r="X315" s="18" t="s">
        <v>95</v>
      </c>
      <c r="Y315" s="18" t="s">
        <v>7980</v>
      </c>
      <c r="Z315" s="18" t="s">
        <v>6996</v>
      </c>
      <c r="AA315" s="69">
        <v>1</v>
      </c>
      <c r="AB315" s="18">
        <v>553.57142999999996</v>
      </c>
      <c r="AC315" s="18" t="s">
        <v>10008</v>
      </c>
      <c r="AD315" s="18" t="s">
        <v>7982</v>
      </c>
      <c r="AE315" s="18">
        <v>396.5</v>
      </c>
      <c r="AF315" s="18" t="s">
        <v>7983</v>
      </c>
      <c r="AG315" s="18">
        <v>396.5</v>
      </c>
      <c r="AH315" s="18" t="s">
        <v>95</v>
      </c>
      <c r="AI315" s="18" t="s">
        <v>7074</v>
      </c>
      <c r="AJ315" s="18" t="s">
        <v>7075</v>
      </c>
      <c r="AK315" s="18">
        <v>12.99</v>
      </c>
      <c r="AL315" s="18" t="s">
        <v>95</v>
      </c>
      <c r="AM315" s="18" t="s">
        <v>95</v>
      </c>
      <c r="AN315" s="18" t="s">
        <v>7984</v>
      </c>
      <c r="AO315" s="18" t="s">
        <v>139</v>
      </c>
      <c r="AP315" s="20" t="s">
        <v>1315</v>
      </c>
      <c r="AQ315" s="18" t="s">
        <v>1316</v>
      </c>
      <c r="AR315" s="18" t="s">
        <v>295</v>
      </c>
      <c r="AS315" s="18">
        <v>1</v>
      </c>
      <c r="AT315" s="18" t="s">
        <v>177</v>
      </c>
      <c r="AU315" s="18" t="s">
        <v>90</v>
      </c>
      <c r="AV315" s="18" t="s">
        <v>8104</v>
      </c>
      <c r="AW315" s="18" t="s">
        <v>8105</v>
      </c>
      <c r="AX315" s="18" t="s">
        <v>83</v>
      </c>
      <c r="AY315" s="18" t="s">
        <v>95</v>
      </c>
      <c r="AZ315" s="18" t="s">
        <v>95</v>
      </c>
      <c r="BA315" s="18" t="s">
        <v>95</v>
      </c>
      <c r="BB315" s="18" t="s">
        <v>95</v>
      </c>
      <c r="BC315" s="18" t="s">
        <v>95</v>
      </c>
      <c r="BD315" s="18">
        <v>110.71</v>
      </c>
      <c r="BE315" s="18" t="s">
        <v>95</v>
      </c>
      <c r="BF315" s="18" t="s">
        <v>95</v>
      </c>
      <c r="BG315" s="18" t="s">
        <v>95</v>
      </c>
      <c r="BH315" s="18" t="s">
        <v>95</v>
      </c>
      <c r="BI315" s="18">
        <v>12</v>
      </c>
      <c r="BJ315" s="18">
        <v>2022</v>
      </c>
      <c r="BK315" s="18" t="s">
        <v>95</v>
      </c>
      <c r="BL315" s="18" t="s">
        <v>95</v>
      </c>
      <c r="BM315" s="18" t="s">
        <v>95</v>
      </c>
      <c r="BN315" s="18" t="s">
        <v>85</v>
      </c>
      <c r="BO315" s="18" t="s">
        <v>86</v>
      </c>
      <c r="BP315" s="18" t="s">
        <v>90</v>
      </c>
      <c r="BQ315" s="18" t="s">
        <v>8002</v>
      </c>
      <c r="BR315" s="18" t="s">
        <v>139</v>
      </c>
      <c r="BS315" s="18" t="s">
        <v>9828</v>
      </c>
      <c r="BT315" s="18" t="s">
        <v>7989</v>
      </c>
      <c r="BU315" s="18" t="s">
        <v>7990</v>
      </c>
      <c r="BV315" s="18" t="str">
        <f>Terminales[[#This Row],[IMEI]]&amp;"SI"</f>
        <v>353842195675622SI</v>
      </c>
      <c r="BW315" s="18" t="str">
        <f>VLOOKUP(Terminales[[#This Row],[OFICINA_USUARIO]],[1]!Locales[#Data],3,0)</f>
        <v>TIENDA RECREO</v>
      </c>
      <c r="BX315" s="18" t="str">
        <f>VLOOKUP(Terminales[[#This Row],[USUARIO_FINAL]],'[1]Personal Ppto vs Real'!$A:$F,6,0)</f>
        <v>ORTEGA  NATALIE MÉNDEZ</v>
      </c>
      <c r="BY31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1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15" s="18">
        <f>DAY(Terminales[[#This Row],[FECHA_FACTURA]])</f>
        <v>15</v>
      </c>
      <c r="CB315" s="65">
        <f>IF(Terminales[[#This Row],[CANTIDAD]] = 1,INDEX([1]!Comisiones[#Data],MATCH("Terminales",[1]!Comisiones[Producto],0),MATCH(Terminales[[#This Row],[TIPO ALTA COMISIONES]],[1]!Comisiones[#Headers],0))*Terminales[[#This Row],[MONTO]],0)</f>
        <v>55.357143000000001</v>
      </c>
      <c r="CC315" s="65">
        <f>IFERROR(IF(AND(Terminales[[#This Row],[CANTIDAD]] = 1,Terminales[[#This Row],[MOVIMIENTO]] = "RENOVACION"),Terminales[[#This Row],[TARIFA_BASICA]]*0.5,),)</f>
        <v>6.4950000000000001</v>
      </c>
      <c r="CD315" s="65">
        <f>IF('[1]Resumen TM'!$AW$20 &lt; 0.4,0,Terminales[[#This Row],[MONTO]]*0.02)</f>
        <v>11.071428599999999</v>
      </c>
      <c r="CE315" s="66">
        <f>Terminales[[#This Row],[COMISIONES TERMINALES]]+Terminales[[#This Row],[COMISIONES RENOVACIONES]]+Terminales[[#This Row],[COMISIONES BONO]]</f>
        <v>72.923571600000002</v>
      </c>
      <c r="CF315" s="67">
        <f>(Terminales[[#This Row],[COMISIONES TERMINALES]]*VLOOKUP(Terminales[[#This Row],[LOCALES]],[1]!Calendario[#Data],3,0))/VLOOKUP(Terminales[[#This Row],[LOCALES]],[1]!Calendario[#Data],2,0)</f>
        <v>91.071428806451607</v>
      </c>
      <c r="CG315" s="67">
        <f>(Terminales[[#This Row],[COMISIONES RENOVACIONES]]*VLOOKUP(Terminales[[#This Row],[LOCALES]],[1]!Calendario[#Data],3,0))/VLOOKUP(Terminales[[#This Row],[LOCALES]],[1]!Calendario[#Data],2,0)</f>
        <v>10.685322580645161</v>
      </c>
      <c r="CH315" s="67">
        <f>(Terminales[[#This Row],[COMISIONES BONO]]*VLOOKUP(Terminales[[#This Row],[LOCALES]],[1]!Calendario[#Data],3,0))/VLOOKUP(Terminales[[#This Row],[LOCALES]],[1]!Calendario[#Data],2,0)</f>
        <v>18.21428576129032</v>
      </c>
      <c r="CI315" s="67">
        <f>Terminales[[#This Row],[PROY. COM. TERMINALES]]+Terminales[[#This Row],[PROY. COM. RENOV.]]+Terminales[[#This Row],[PROY. COM. 2%]]</f>
        <v>119.9710371483871</v>
      </c>
    </row>
    <row r="316" spans="1:87" x14ac:dyDescent="0.25">
      <c r="A316" s="68">
        <v>44926</v>
      </c>
      <c r="B316" s="68">
        <v>44910</v>
      </c>
      <c r="C316" s="18" t="s">
        <v>291</v>
      </c>
      <c r="D316" s="18" t="s">
        <v>78</v>
      </c>
      <c r="E316" s="18" t="s">
        <v>1378</v>
      </c>
      <c r="F316" s="18" t="s">
        <v>10009</v>
      </c>
      <c r="G316" s="18" t="s">
        <v>292</v>
      </c>
      <c r="H316" s="18" t="s">
        <v>293</v>
      </c>
      <c r="I316" s="18" t="s">
        <v>10010</v>
      </c>
      <c r="J316" s="18" t="s">
        <v>95</v>
      </c>
      <c r="K316" s="18" t="s">
        <v>7970</v>
      </c>
      <c r="L316" s="18" t="s">
        <v>10011</v>
      </c>
      <c r="M316" s="18" t="s">
        <v>10012</v>
      </c>
      <c r="N316" s="18" t="s">
        <v>10013</v>
      </c>
      <c r="O316" s="18" t="s">
        <v>2260</v>
      </c>
      <c r="P316" s="18" t="s">
        <v>10014</v>
      </c>
      <c r="Q316" s="18" t="s">
        <v>7975</v>
      </c>
      <c r="R316" s="18" t="s">
        <v>7976</v>
      </c>
      <c r="S316" s="18" t="s">
        <v>8010</v>
      </c>
      <c r="T316" s="18" t="s">
        <v>8011</v>
      </c>
      <c r="U316" s="18" t="s">
        <v>8012</v>
      </c>
      <c r="V316" s="18" t="s">
        <v>6963</v>
      </c>
      <c r="W316" s="18" t="s">
        <v>95</v>
      </c>
      <c r="X316" s="18" t="s">
        <v>95</v>
      </c>
      <c r="Y316" s="18" t="s">
        <v>7980</v>
      </c>
      <c r="Z316" s="18" t="s">
        <v>6996</v>
      </c>
      <c r="AA316" s="69">
        <v>1</v>
      </c>
      <c r="AB316" s="18">
        <v>245.53570999999999</v>
      </c>
      <c r="AC316" s="18" t="s">
        <v>10015</v>
      </c>
      <c r="AD316" s="18" t="s">
        <v>7982</v>
      </c>
      <c r="AE316" s="18">
        <v>168.8</v>
      </c>
      <c r="AF316" s="18" t="s">
        <v>7983</v>
      </c>
      <c r="AG316" s="18">
        <v>168.8</v>
      </c>
      <c r="AH316" s="18" t="s">
        <v>95</v>
      </c>
      <c r="AI316" s="18" t="s">
        <v>112</v>
      </c>
      <c r="AJ316" s="18" t="s">
        <v>781</v>
      </c>
      <c r="AK316" s="18">
        <v>17.850000000000001</v>
      </c>
      <c r="AL316" s="18" t="s">
        <v>95</v>
      </c>
      <c r="AM316" s="18" t="s">
        <v>95</v>
      </c>
      <c r="AN316" s="18" t="s">
        <v>7984</v>
      </c>
      <c r="AO316" s="18" t="s">
        <v>139</v>
      </c>
      <c r="AP316" s="20" t="s">
        <v>369</v>
      </c>
      <c r="AQ316" s="18" t="s">
        <v>370</v>
      </c>
      <c r="AR316" s="18" t="s">
        <v>295</v>
      </c>
      <c r="AS316" s="18">
        <v>1</v>
      </c>
      <c r="AT316" s="18" t="s">
        <v>177</v>
      </c>
      <c r="AU316" s="18" t="s">
        <v>90</v>
      </c>
      <c r="AV316" s="18" t="s">
        <v>8014</v>
      </c>
      <c r="AW316" s="18" t="s">
        <v>8015</v>
      </c>
      <c r="AX316" s="18" t="s">
        <v>83</v>
      </c>
      <c r="AY316" s="18" t="s">
        <v>95</v>
      </c>
      <c r="AZ316" s="18" t="s">
        <v>95</v>
      </c>
      <c r="BA316" s="18" t="s">
        <v>95</v>
      </c>
      <c r="BB316" s="18" t="s">
        <v>95</v>
      </c>
      <c r="BC316" s="18" t="s">
        <v>95</v>
      </c>
      <c r="BD316" s="18">
        <v>49.2</v>
      </c>
      <c r="BE316" s="18" t="s">
        <v>95</v>
      </c>
      <c r="BF316" s="18" t="s">
        <v>95</v>
      </c>
      <c r="BG316" s="18" t="s">
        <v>95</v>
      </c>
      <c r="BH316" s="18" t="s">
        <v>95</v>
      </c>
      <c r="BI316" s="18">
        <v>12</v>
      </c>
      <c r="BJ316" s="18">
        <v>2022</v>
      </c>
      <c r="BK316" s="18" t="s">
        <v>95</v>
      </c>
      <c r="BL316" s="18" t="s">
        <v>95</v>
      </c>
      <c r="BM316" s="18" t="s">
        <v>95</v>
      </c>
      <c r="BN316" s="18" t="s">
        <v>85</v>
      </c>
      <c r="BO316" s="18" t="s">
        <v>86</v>
      </c>
      <c r="BP316" s="18" t="s">
        <v>90</v>
      </c>
      <c r="BQ316" s="18" t="s">
        <v>8002</v>
      </c>
      <c r="BR316" s="18" t="s">
        <v>139</v>
      </c>
      <c r="BS316" s="18" t="s">
        <v>9828</v>
      </c>
      <c r="BT316" s="18" t="s">
        <v>7989</v>
      </c>
      <c r="BU316" s="18" t="s">
        <v>7990</v>
      </c>
      <c r="BV316" s="18" t="str">
        <f>Terminales[[#This Row],[IMEI]]&amp;"SI"</f>
        <v>359694275283486SI</v>
      </c>
      <c r="BW316" s="18" t="str">
        <f>VLOOKUP(Terminales[[#This Row],[OFICINA_USUARIO]],[1]!Locales[#Data],3,0)</f>
        <v>TIENDA RECREO</v>
      </c>
      <c r="BX316" s="18" t="str">
        <f>VLOOKUP(Terminales[[#This Row],[USUARIO_FINAL]],'[1]Personal Ppto vs Real'!$A:$F,6,0)</f>
        <v>GUAIGUA REINOSO GENESIS CAROLINA</v>
      </c>
      <c r="BY316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1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16" s="18">
        <f>DAY(Terminales[[#This Row],[FECHA_FACTURA]])</f>
        <v>15</v>
      </c>
      <c r="CB316" s="65">
        <f>IF(Terminales[[#This Row],[CANTIDAD]] = 1,INDEX([1]!Comisiones[#Data],MATCH("Terminales",[1]!Comisiones[Producto],0),MATCH(Terminales[[#This Row],[TIPO ALTA COMISIONES]],[1]!Comisiones[#Headers],0))*Terminales[[#This Row],[MONTO]],0)</f>
        <v>24.553571000000002</v>
      </c>
      <c r="CC316" s="65">
        <f>IFERROR(IF(AND(Terminales[[#This Row],[CANTIDAD]] = 1,Terminales[[#This Row],[MOVIMIENTO]] = "RENOVACION"),Terminales[[#This Row],[TARIFA_BASICA]]*0.5,),)</f>
        <v>8.9250000000000007</v>
      </c>
      <c r="CD316" s="65">
        <f>IF('[1]Resumen TM'!$AW$20 &lt; 0.4,0,Terminales[[#This Row],[MONTO]]*0.02)</f>
        <v>4.9107142000000001</v>
      </c>
      <c r="CE316" s="66">
        <f>Terminales[[#This Row],[COMISIONES TERMINALES]]+Terminales[[#This Row],[COMISIONES RENOVACIONES]]+Terminales[[#This Row],[COMISIONES BONO]]</f>
        <v>38.389285200000003</v>
      </c>
      <c r="CF316" s="67">
        <f>(Terminales[[#This Row],[COMISIONES TERMINALES]]*VLOOKUP(Terminales[[#This Row],[LOCALES]],[1]!Calendario[#Data],3,0))/VLOOKUP(Terminales[[#This Row],[LOCALES]],[1]!Calendario[#Data],2,0)</f>
        <v>40.394584548387094</v>
      </c>
      <c r="CG316" s="67">
        <f>(Terminales[[#This Row],[COMISIONES RENOVACIONES]]*VLOOKUP(Terminales[[#This Row],[LOCALES]],[1]!Calendario[#Data],3,0))/VLOOKUP(Terminales[[#This Row],[LOCALES]],[1]!Calendario[#Data],2,0)</f>
        <v>14.683064516129033</v>
      </c>
      <c r="CH316" s="67">
        <f>(Terminales[[#This Row],[COMISIONES BONO]]*VLOOKUP(Terminales[[#This Row],[LOCALES]],[1]!Calendario[#Data],3,0))/VLOOKUP(Terminales[[#This Row],[LOCALES]],[1]!Calendario[#Data],2,0)</f>
        <v>8.0789169096774192</v>
      </c>
      <c r="CI316" s="67">
        <f>Terminales[[#This Row],[PROY. COM. TERMINALES]]+Terminales[[#This Row],[PROY. COM. RENOV.]]+Terminales[[#This Row],[PROY. COM. 2%]]</f>
        <v>63.156565974193541</v>
      </c>
    </row>
    <row r="317" spans="1:87" x14ac:dyDescent="0.25">
      <c r="A317" s="68">
        <v>44926</v>
      </c>
      <c r="B317" s="68">
        <v>44910</v>
      </c>
      <c r="C317" s="18" t="s">
        <v>291</v>
      </c>
      <c r="D317" s="18" t="s">
        <v>78</v>
      </c>
      <c r="E317" s="18" t="s">
        <v>231</v>
      </c>
      <c r="F317" s="18" t="s">
        <v>10016</v>
      </c>
      <c r="G317" s="18" t="s">
        <v>292</v>
      </c>
      <c r="H317" s="18" t="s">
        <v>494</v>
      </c>
      <c r="I317" s="18" t="s">
        <v>10017</v>
      </c>
      <c r="J317" s="18" t="s">
        <v>95</v>
      </c>
      <c r="K317" s="18" t="s">
        <v>7970</v>
      </c>
      <c r="L317" s="18" t="s">
        <v>10018</v>
      </c>
      <c r="M317" s="18" t="s">
        <v>10019</v>
      </c>
      <c r="N317" s="18" t="s">
        <v>10020</v>
      </c>
      <c r="O317" s="18" t="s">
        <v>5764</v>
      </c>
      <c r="P317" s="18" t="s">
        <v>10021</v>
      </c>
      <c r="Q317" s="18" t="s">
        <v>7975</v>
      </c>
      <c r="R317" s="18" t="s">
        <v>7976</v>
      </c>
      <c r="S317" s="18" t="s">
        <v>8250</v>
      </c>
      <c r="T317" s="18" t="s">
        <v>8294</v>
      </c>
      <c r="U317" s="18" t="s">
        <v>8059</v>
      </c>
      <c r="V317" s="18" t="s">
        <v>6963</v>
      </c>
      <c r="W317" s="18" t="s">
        <v>95</v>
      </c>
      <c r="X317" s="18" t="s">
        <v>95</v>
      </c>
      <c r="Y317" s="18" t="s">
        <v>7980</v>
      </c>
      <c r="Z317" s="18" t="s">
        <v>6996</v>
      </c>
      <c r="AA317" s="69">
        <v>1</v>
      </c>
      <c r="AB317" s="18">
        <v>1053.57143</v>
      </c>
      <c r="AC317" s="18" t="s">
        <v>10022</v>
      </c>
      <c r="AD317" s="18" t="s">
        <v>7982</v>
      </c>
      <c r="AE317" s="18">
        <v>848.89</v>
      </c>
      <c r="AF317" s="18" t="s">
        <v>7983</v>
      </c>
      <c r="AG317" s="18">
        <v>848.89</v>
      </c>
      <c r="AH317" s="18" t="s">
        <v>95</v>
      </c>
      <c r="AI317" s="18" t="s">
        <v>7213</v>
      </c>
      <c r="AJ317" s="18" t="s">
        <v>7477</v>
      </c>
      <c r="AK317" s="18">
        <v>24.99</v>
      </c>
      <c r="AL317" s="18" t="s">
        <v>95</v>
      </c>
      <c r="AM317" s="18" t="s">
        <v>95</v>
      </c>
      <c r="AN317" s="18" t="s">
        <v>7984</v>
      </c>
      <c r="AO317" s="18" t="s">
        <v>139</v>
      </c>
      <c r="AP317" s="20" t="s">
        <v>136</v>
      </c>
      <c r="AQ317" s="18" t="s">
        <v>137</v>
      </c>
      <c r="AR317" s="18" t="s">
        <v>496</v>
      </c>
      <c r="AS317" s="18">
        <v>1</v>
      </c>
      <c r="AT317" s="18" t="s">
        <v>138</v>
      </c>
      <c r="AU317" s="18" t="s">
        <v>90</v>
      </c>
      <c r="AV317" s="18" t="s">
        <v>9643</v>
      </c>
      <c r="AW317" s="18" t="s">
        <v>9644</v>
      </c>
      <c r="AX317" s="18" t="s">
        <v>83</v>
      </c>
      <c r="AY317" s="18" t="s">
        <v>95</v>
      </c>
      <c r="AZ317" s="18" t="s">
        <v>95</v>
      </c>
      <c r="BA317" s="18" t="s">
        <v>95</v>
      </c>
      <c r="BB317" s="18" t="s">
        <v>95</v>
      </c>
      <c r="BC317" s="18" t="s">
        <v>95</v>
      </c>
      <c r="BD317" s="18" t="s">
        <v>95</v>
      </c>
      <c r="BE317" s="18" t="s">
        <v>8212</v>
      </c>
      <c r="BF317" s="18" t="s">
        <v>8691</v>
      </c>
      <c r="BG317" s="18" t="s">
        <v>95</v>
      </c>
      <c r="BH317" s="18" t="s">
        <v>95</v>
      </c>
      <c r="BI317" s="18">
        <v>12</v>
      </c>
      <c r="BJ317" s="18">
        <v>2022</v>
      </c>
      <c r="BK317" s="18" t="s">
        <v>95</v>
      </c>
      <c r="BL317" s="18" t="s">
        <v>95</v>
      </c>
      <c r="BM317" s="18" t="s">
        <v>95</v>
      </c>
      <c r="BN317" s="18" t="s">
        <v>85</v>
      </c>
      <c r="BO317" s="18" t="s">
        <v>86</v>
      </c>
      <c r="BP317" s="18" t="s">
        <v>90</v>
      </c>
      <c r="BQ317" s="18" t="s">
        <v>7987</v>
      </c>
      <c r="BR317" s="18" t="s">
        <v>139</v>
      </c>
      <c r="BS317" s="18" t="s">
        <v>8003</v>
      </c>
      <c r="BT317" s="18" t="s">
        <v>7989</v>
      </c>
      <c r="BU317" s="18" t="s">
        <v>496</v>
      </c>
      <c r="BV317" s="18" t="str">
        <f>Terminales[[#This Row],[IMEI]]&amp;"SI"</f>
        <v>359862148584162SI</v>
      </c>
      <c r="BW317" s="18" t="str">
        <f>VLOOKUP(Terminales[[#This Row],[OFICINA_USUARIO]],[1]!Locales[#Data],3,0)</f>
        <v>TIENDA AMERICA</v>
      </c>
      <c r="BX317" s="18" t="str">
        <f>VLOOKUP(Terminales[[#This Row],[USUARIO_FINAL]],'[1]Personal Ppto vs Real'!$A:$F,6,0)</f>
        <v>SALVATIERRA GUERRA JULIAN ENRIQUE</v>
      </c>
      <c r="BY31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1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17" s="18">
        <f>DAY(Terminales[[#This Row],[FECHA_FACTURA]])</f>
        <v>15</v>
      </c>
      <c r="CB317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317" s="65">
        <f>IFERROR(IF(AND(Terminales[[#This Row],[CANTIDAD]] = 1,Terminales[[#This Row],[MOVIMIENTO]] = "RENOVACION"),Terminales[[#This Row],[TARIFA_BASICA]]*0.5,),)</f>
        <v>12.494999999999999</v>
      </c>
      <c r="CD317" s="65">
        <f>IF('[1]Resumen TM'!$AW$20 &lt; 0.4,0,Terminales[[#This Row],[MONTO]]*0.02)</f>
        <v>21.071428600000001</v>
      </c>
      <c r="CE317" s="66">
        <f>Terminales[[#This Row],[COMISIONES TERMINALES]]+Terminales[[#This Row],[COMISIONES RENOVACIONES]]+Terminales[[#This Row],[COMISIONES BONO]]</f>
        <v>138.9235716</v>
      </c>
      <c r="CF317" s="67">
        <f>(Terminales[[#This Row],[COMISIONES TERMINALES]]*VLOOKUP(Terminales[[#This Row],[LOCALES]],[1]!Calendario[#Data],3,0))/VLOOKUP(Terminales[[#This Row],[LOCALES]],[1]!Calendario[#Data],2,0)</f>
        <v>173.08673492857142</v>
      </c>
      <c r="CG317" s="67">
        <f>(Terminales[[#This Row],[COMISIONES RENOVACIONES]]*VLOOKUP(Terminales[[#This Row],[LOCALES]],[1]!Calendario[#Data],3,0))/VLOOKUP(Terminales[[#This Row],[LOCALES]],[1]!Calendario[#Data],2,0)</f>
        <v>20.5275</v>
      </c>
      <c r="CH317" s="67">
        <f>(Terminales[[#This Row],[COMISIONES BONO]]*VLOOKUP(Terminales[[#This Row],[LOCALES]],[1]!Calendario[#Data],3,0))/VLOOKUP(Terminales[[#This Row],[LOCALES]],[1]!Calendario[#Data],2,0)</f>
        <v>34.617346985714285</v>
      </c>
      <c r="CI317" s="67">
        <f>Terminales[[#This Row],[PROY. COM. TERMINALES]]+Terminales[[#This Row],[PROY. COM. RENOV.]]+Terminales[[#This Row],[PROY. COM. 2%]]</f>
        <v>228.2315819142857</v>
      </c>
    </row>
    <row r="318" spans="1:87" x14ac:dyDescent="0.25">
      <c r="A318" s="68">
        <v>44926</v>
      </c>
      <c r="B318" s="68">
        <v>44910</v>
      </c>
      <c r="C318" s="18" t="s">
        <v>291</v>
      </c>
      <c r="D318" s="18" t="s">
        <v>521</v>
      </c>
      <c r="E318" s="18" t="s">
        <v>8017</v>
      </c>
      <c r="F318" s="18" t="s">
        <v>10023</v>
      </c>
      <c r="G318" s="18" t="s">
        <v>292</v>
      </c>
      <c r="H318" s="18" t="s">
        <v>293</v>
      </c>
      <c r="I318" s="18" t="s">
        <v>10024</v>
      </c>
      <c r="J318" s="18" t="s">
        <v>95</v>
      </c>
      <c r="K318" s="18" t="s">
        <v>7970</v>
      </c>
      <c r="L318" s="18" t="s">
        <v>10025</v>
      </c>
      <c r="M318" s="18" t="s">
        <v>10026</v>
      </c>
      <c r="N318" s="18" t="s">
        <v>10027</v>
      </c>
      <c r="O318" s="18" t="s">
        <v>6241</v>
      </c>
      <c r="P318" s="18" t="s">
        <v>10028</v>
      </c>
      <c r="Q318" s="18" t="s">
        <v>7975</v>
      </c>
      <c r="R318" s="18" t="s">
        <v>7976</v>
      </c>
      <c r="S318" s="18" t="s">
        <v>8070</v>
      </c>
      <c r="T318" s="18" t="s">
        <v>8364</v>
      </c>
      <c r="U318" s="18" t="s">
        <v>8012</v>
      </c>
      <c r="V318" s="18" t="s">
        <v>6963</v>
      </c>
      <c r="W318" s="18" t="s">
        <v>95</v>
      </c>
      <c r="X318" s="18" t="s">
        <v>95</v>
      </c>
      <c r="Y318" s="18" t="s">
        <v>7980</v>
      </c>
      <c r="Z318" s="18" t="s">
        <v>6996</v>
      </c>
      <c r="AA318" s="69">
        <v>1</v>
      </c>
      <c r="AB318" s="18">
        <v>481.60714000000002</v>
      </c>
      <c r="AC318" s="18" t="s">
        <v>10029</v>
      </c>
      <c r="AD318" s="18" t="s">
        <v>7982</v>
      </c>
      <c r="AE318" s="18">
        <v>269.92</v>
      </c>
      <c r="AF318" s="18" t="s">
        <v>7983</v>
      </c>
      <c r="AG318" s="18">
        <v>269.92</v>
      </c>
      <c r="AH318" s="18" t="s">
        <v>95</v>
      </c>
      <c r="AI318" s="18" t="s">
        <v>8722</v>
      </c>
      <c r="AJ318" s="18" t="s">
        <v>8723</v>
      </c>
      <c r="AK318" s="18">
        <v>10</v>
      </c>
      <c r="AL318" s="18" t="s">
        <v>95</v>
      </c>
      <c r="AM318" s="18" t="s">
        <v>95</v>
      </c>
      <c r="AN318" s="18" t="s">
        <v>7984</v>
      </c>
      <c r="AO318" s="18" t="s">
        <v>139</v>
      </c>
      <c r="AP318" s="20" t="s">
        <v>769</v>
      </c>
      <c r="AQ318" s="18" t="s">
        <v>770</v>
      </c>
      <c r="AR318" s="18" t="s">
        <v>295</v>
      </c>
      <c r="AS318" s="18">
        <v>1</v>
      </c>
      <c r="AT318" s="18" t="s">
        <v>235</v>
      </c>
      <c r="AU318" s="18" t="s">
        <v>90</v>
      </c>
      <c r="AV318" s="18" t="s">
        <v>8366</v>
      </c>
      <c r="AW318" s="18" t="s">
        <v>8367</v>
      </c>
      <c r="AX318" s="18" t="s">
        <v>83</v>
      </c>
      <c r="AY318" s="18" t="s">
        <v>95</v>
      </c>
      <c r="AZ318" s="18" t="s">
        <v>95</v>
      </c>
      <c r="BA318" s="18" t="s">
        <v>95</v>
      </c>
      <c r="BB318" s="18" t="s">
        <v>95</v>
      </c>
      <c r="BC318" s="18" t="s">
        <v>95</v>
      </c>
      <c r="BD318" s="18">
        <v>105</v>
      </c>
      <c r="BE318" s="18" t="s">
        <v>95</v>
      </c>
      <c r="BF318" s="18" t="s">
        <v>95</v>
      </c>
      <c r="BG318" s="18" t="s">
        <v>95</v>
      </c>
      <c r="BH318" s="18" t="s">
        <v>95</v>
      </c>
      <c r="BI318" s="18">
        <v>12</v>
      </c>
      <c r="BJ318" s="18">
        <v>2022</v>
      </c>
      <c r="BK318" s="18" t="s">
        <v>95</v>
      </c>
      <c r="BL318" s="18" t="s">
        <v>95</v>
      </c>
      <c r="BM318" s="18" t="s">
        <v>95</v>
      </c>
      <c r="BN318" s="18" t="s">
        <v>85</v>
      </c>
      <c r="BO318" s="18" t="s">
        <v>86</v>
      </c>
      <c r="BP318" s="18" t="s">
        <v>90</v>
      </c>
      <c r="BQ318" s="18" t="s">
        <v>8016</v>
      </c>
      <c r="BR318" s="18" t="s">
        <v>139</v>
      </c>
      <c r="BS318" s="18" t="s">
        <v>9828</v>
      </c>
      <c r="BT318" s="18" t="s">
        <v>7989</v>
      </c>
      <c r="BU318" s="18" t="s">
        <v>7990</v>
      </c>
      <c r="BV318" s="18" t="str">
        <f>Terminales[[#This Row],[IMEI]]&amp;"SI"</f>
        <v>863837059709569SI</v>
      </c>
      <c r="BW318" s="18" t="str">
        <f>VLOOKUP(Terminales[[#This Row],[OFICINA_USUARIO]],[1]!Locales[#Data],3,0)</f>
        <v>TIENDA CONDADO</v>
      </c>
      <c r="BX318" s="18" t="str">
        <f>VLOOKUP(Terminales[[#This Row],[USUARIO_FINAL]],'[1]Personal Ppto vs Real'!$A:$F,6,0)</f>
        <v>ROJAS VEGA JHOSMERY MICHELE</v>
      </c>
      <c r="BY31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1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18" s="18">
        <f>DAY(Terminales[[#This Row],[FECHA_FACTURA]])</f>
        <v>15</v>
      </c>
      <c r="CB318" s="65">
        <f>IF(Terminales[[#This Row],[CANTIDAD]] = 1,INDEX([1]!Comisiones[#Data],MATCH("Terminales",[1]!Comisiones[Producto],0),MATCH(Terminales[[#This Row],[TIPO ALTA COMISIONES]],[1]!Comisiones[#Headers],0))*Terminales[[#This Row],[MONTO]],0)</f>
        <v>48.160714000000006</v>
      </c>
      <c r="CC318" s="65">
        <f>IFERROR(IF(AND(Terminales[[#This Row],[CANTIDAD]] = 1,Terminales[[#This Row],[MOVIMIENTO]] = "RENOVACION"),Terminales[[#This Row],[TARIFA_BASICA]]*0.5,),)</f>
        <v>5</v>
      </c>
      <c r="CD318" s="65">
        <f>IF('[1]Resumen TM'!$AW$20 &lt; 0.4,0,Terminales[[#This Row],[MONTO]]*0.02)</f>
        <v>9.6321428000000004</v>
      </c>
      <c r="CE318" s="66">
        <f>Terminales[[#This Row],[COMISIONES TERMINALES]]+Terminales[[#This Row],[COMISIONES RENOVACIONES]]+Terminales[[#This Row],[COMISIONES BONO]]</f>
        <v>62.79285680000001</v>
      </c>
      <c r="CF318" s="67">
        <f>(Terminales[[#This Row],[COMISIONES TERMINALES]]*VLOOKUP(Terminales[[#This Row],[LOCALES]],[1]!Calendario[#Data],3,0))/VLOOKUP(Terminales[[#This Row],[LOCALES]],[1]!Calendario[#Data],2,0)</f>
        <v>79.232142387096786</v>
      </c>
      <c r="CG318" s="67">
        <f>(Terminales[[#This Row],[COMISIONES RENOVACIONES]]*VLOOKUP(Terminales[[#This Row],[LOCALES]],[1]!Calendario[#Data],3,0))/VLOOKUP(Terminales[[#This Row],[LOCALES]],[1]!Calendario[#Data],2,0)</f>
        <v>8.2258064516129039</v>
      </c>
      <c r="CH318" s="67">
        <f>(Terminales[[#This Row],[COMISIONES BONO]]*VLOOKUP(Terminales[[#This Row],[LOCALES]],[1]!Calendario[#Data],3,0))/VLOOKUP(Terminales[[#This Row],[LOCALES]],[1]!Calendario[#Data],2,0)</f>
        <v>15.846428477419355</v>
      </c>
      <c r="CI318" s="67">
        <f>Terminales[[#This Row],[PROY. COM. TERMINALES]]+Terminales[[#This Row],[PROY. COM. RENOV.]]+Terminales[[#This Row],[PROY. COM. 2%]]</f>
        <v>103.30437731612903</v>
      </c>
    </row>
    <row r="319" spans="1:87" x14ac:dyDescent="0.25">
      <c r="A319" s="68">
        <v>44926</v>
      </c>
      <c r="B319" s="68">
        <v>44910</v>
      </c>
      <c r="C319" s="18" t="s">
        <v>96</v>
      </c>
      <c r="D319" s="18" t="s">
        <v>96</v>
      </c>
      <c r="E319" s="18" t="s">
        <v>96</v>
      </c>
      <c r="F319" s="18" t="s">
        <v>10030</v>
      </c>
      <c r="G319" s="18" t="s">
        <v>292</v>
      </c>
      <c r="H319" s="18" t="s">
        <v>494</v>
      </c>
      <c r="I319" s="18" t="s">
        <v>10031</v>
      </c>
      <c r="J319" s="18" t="s">
        <v>95</v>
      </c>
      <c r="K319" s="18" t="s">
        <v>7970</v>
      </c>
      <c r="L319" s="18" t="s">
        <v>10032</v>
      </c>
      <c r="M319" s="18" t="s">
        <v>10033</v>
      </c>
      <c r="N319" s="18" t="s">
        <v>10034</v>
      </c>
      <c r="O319" s="18" t="s">
        <v>1691</v>
      </c>
      <c r="P319" s="18" t="s">
        <v>10035</v>
      </c>
      <c r="Q319" s="18" t="s">
        <v>7975</v>
      </c>
      <c r="R319" s="18" t="s">
        <v>7976</v>
      </c>
      <c r="S319" s="18" t="s">
        <v>8045</v>
      </c>
      <c r="T319" s="18" t="s">
        <v>8225</v>
      </c>
      <c r="U319" s="18" t="s">
        <v>8012</v>
      </c>
      <c r="V319" s="18" t="s">
        <v>6963</v>
      </c>
      <c r="W319" s="18" t="s">
        <v>95</v>
      </c>
      <c r="X319" s="18" t="s">
        <v>95</v>
      </c>
      <c r="Y319" s="18" t="s">
        <v>7980</v>
      </c>
      <c r="Z319" s="18" t="s">
        <v>6996</v>
      </c>
      <c r="AA319" s="69">
        <v>1</v>
      </c>
      <c r="AB319" s="18">
        <v>241.07142999999999</v>
      </c>
      <c r="AC319" s="18" t="s">
        <v>10036</v>
      </c>
      <c r="AD319" s="18" t="s">
        <v>7982</v>
      </c>
      <c r="AE319" s="18">
        <v>232</v>
      </c>
      <c r="AF319" s="18" t="s">
        <v>7983</v>
      </c>
      <c r="AG319" s="18">
        <v>232</v>
      </c>
      <c r="AH319" s="18" t="s">
        <v>95</v>
      </c>
      <c r="AI319" s="18" t="s">
        <v>8102</v>
      </c>
      <c r="AJ319" s="18" t="s">
        <v>8103</v>
      </c>
      <c r="AK319" s="18" t="s">
        <v>95</v>
      </c>
      <c r="AL319" s="18" t="s">
        <v>95</v>
      </c>
      <c r="AM319" s="18" t="s">
        <v>95</v>
      </c>
      <c r="AN319" s="18" t="s">
        <v>7984</v>
      </c>
      <c r="AO319" s="18" t="s">
        <v>92</v>
      </c>
      <c r="AP319" s="20" t="s">
        <v>1020</v>
      </c>
      <c r="AQ319" s="18" t="s">
        <v>1021</v>
      </c>
      <c r="AR319" s="18" t="s">
        <v>496</v>
      </c>
      <c r="AS319" s="18">
        <v>1</v>
      </c>
      <c r="AT319" s="18" t="s">
        <v>91</v>
      </c>
      <c r="AU319" s="18" t="s">
        <v>90</v>
      </c>
      <c r="AV319" s="18" t="s">
        <v>8228</v>
      </c>
      <c r="AW319" s="18" t="s">
        <v>8229</v>
      </c>
      <c r="AX319" s="18" t="s">
        <v>83</v>
      </c>
      <c r="AY319" s="18" t="s">
        <v>95</v>
      </c>
      <c r="AZ319" s="18" t="s">
        <v>95</v>
      </c>
      <c r="BA319" s="18" t="s">
        <v>95</v>
      </c>
      <c r="BB319" s="18" t="s">
        <v>95</v>
      </c>
      <c r="BC319" s="18" t="s">
        <v>95</v>
      </c>
      <c r="BD319" s="18" t="s">
        <v>95</v>
      </c>
      <c r="BE319" s="18" t="s">
        <v>95</v>
      </c>
      <c r="BF319" s="18" t="s">
        <v>95</v>
      </c>
      <c r="BG319" s="18" t="s">
        <v>95</v>
      </c>
      <c r="BH319" s="18" t="s">
        <v>95</v>
      </c>
      <c r="BI319" s="18">
        <v>12</v>
      </c>
      <c r="BJ319" s="18">
        <v>2022</v>
      </c>
      <c r="BK319" s="18" t="s">
        <v>95</v>
      </c>
      <c r="BL319" s="18" t="s">
        <v>95</v>
      </c>
      <c r="BM319" s="18" t="s">
        <v>95</v>
      </c>
      <c r="BN319" s="18" t="s">
        <v>85</v>
      </c>
      <c r="BO319" s="18" t="s">
        <v>86</v>
      </c>
      <c r="BP319" s="18" t="s">
        <v>90</v>
      </c>
      <c r="BQ319" s="18" t="s">
        <v>8106</v>
      </c>
      <c r="BR319" s="18" t="s">
        <v>92</v>
      </c>
      <c r="BS319" s="18" t="s">
        <v>8074</v>
      </c>
      <c r="BT319" s="18" t="s">
        <v>7989</v>
      </c>
      <c r="BU319" s="18" t="s">
        <v>496</v>
      </c>
      <c r="BV319" s="18" t="str">
        <f>Terminales[[#This Row],[IMEI]]&amp;"SI"</f>
        <v>356795951302327SI</v>
      </c>
      <c r="BW319" s="18" t="str">
        <f>VLOOKUP(Terminales[[#This Row],[OFICINA_USUARIO]],[1]!Locales[#Data],3,0)</f>
        <v>TIENDA CUENCA CENTRO</v>
      </c>
      <c r="BX319" s="18" t="str">
        <f>VLOOKUP(Terminales[[#This Row],[USUARIO_FINAL]],'[1]Personal Ppto vs Real'!$A:$F,6,0)</f>
        <v>GONZALES ALVARRACIN PAOLA YESSENIA</v>
      </c>
      <c r="BY31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1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19" s="18">
        <f>DAY(Terminales[[#This Row],[FECHA_FACTURA]])</f>
        <v>15</v>
      </c>
      <c r="CB319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319" s="65">
        <f>IFERROR(IF(AND(Terminales[[#This Row],[CANTIDAD]] = 1,Terminales[[#This Row],[MOVIMIENTO]] = "RENOVACION"),Terminales[[#This Row],[TARIFA_BASICA]]*0.5,),)</f>
        <v>0</v>
      </c>
      <c r="CD319" s="65">
        <f>IF('[1]Resumen TM'!$AW$20 &lt; 0.4,0,Terminales[[#This Row],[MONTO]]*0.02)</f>
        <v>4.8214286</v>
      </c>
      <c r="CE319" s="66">
        <f>Terminales[[#This Row],[COMISIONES TERMINALES]]+Terminales[[#This Row],[COMISIONES RENOVACIONES]]+Terminales[[#This Row],[COMISIONES BONO]]</f>
        <v>28.928571600000001</v>
      </c>
      <c r="CF319" s="67">
        <f>(Terminales[[#This Row],[COMISIONES TERMINALES]]*VLOOKUP(Terminales[[#This Row],[LOCALES]],[1]!Calendario[#Data],3,0))/VLOOKUP(Terminales[[#This Row],[LOCALES]],[1]!Calendario[#Data],2,0)</f>
        <v>39.070197275862071</v>
      </c>
      <c r="CG319" s="67">
        <f>(Terminales[[#This Row],[COMISIONES RENOVACIONES]]*VLOOKUP(Terminales[[#This Row],[LOCALES]],[1]!Calendario[#Data],3,0))/VLOOKUP(Terminales[[#This Row],[LOCALES]],[1]!Calendario[#Data],2,0)</f>
        <v>0</v>
      </c>
      <c r="CH319" s="67">
        <f>(Terminales[[#This Row],[COMISIONES BONO]]*VLOOKUP(Terminales[[#This Row],[LOCALES]],[1]!Calendario[#Data],3,0))/VLOOKUP(Terminales[[#This Row],[LOCALES]],[1]!Calendario[#Data],2,0)</f>
        <v>7.8140394551724137</v>
      </c>
      <c r="CI319" s="67">
        <f>Terminales[[#This Row],[PROY. COM. TERMINALES]]+Terminales[[#This Row],[PROY. COM. RENOV.]]+Terminales[[#This Row],[PROY. COM. 2%]]</f>
        <v>46.884236731034484</v>
      </c>
    </row>
    <row r="320" spans="1:87" x14ac:dyDescent="0.25">
      <c r="A320" s="68">
        <v>44926</v>
      </c>
      <c r="B320" s="68">
        <v>44910</v>
      </c>
      <c r="C320" s="18" t="s">
        <v>291</v>
      </c>
      <c r="D320" s="18" t="s">
        <v>78</v>
      </c>
      <c r="E320" s="18" t="s">
        <v>1532</v>
      </c>
      <c r="F320" s="18" t="s">
        <v>10037</v>
      </c>
      <c r="G320" s="18" t="s">
        <v>292</v>
      </c>
      <c r="H320" s="18" t="s">
        <v>494</v>
      </c>
      <c r="I320" s="18" t="s">
        <v>10038</v>
      </c>
      <c r="J320" s="18" t="s">
        <v>95</v>
      </c>
      <c r="K320" s="18" t="s">
        <v>7970</v>
      </c>
      <c r="L320" s="18" t="s">
        <v>10039</v>
      </c>
      <c r="M320" s="18" t="s">
        <v>10040</v>
      </c>
      <c r="N320" s="18" t="s">
        <v>10041</v>
      </c>
      <c r="O320" s="18" t="s">
        <v>2260</v>
      </c>
      <c r="P320" s="18" t="s">
        <v>10042</v>
      </c>
      <c r="Q320" s="18" t="s">
        <v>7975</v>
      </c>
      <c r="R320" s="18" t="s">
        <v>7976</v>
      </c>
      <c r="S320" s="18" t="s">
        <v>8010</v>
      </c>
      <c r="T320" s="18" t="s">
        <v>8011</v>
      </c>
      <c r="U320" s="18" t="s">
        <v>8012</v>
      </c>
      <c r="V320" s="18" t="s">
        <v>6963</v>
      </c>
      <c r="W320" s="18" t="s">
        <v>95</v>
      </c>
      <c r="X320" s="18" t="s">
        <v>95</v>
      </c>
      <c r="Y320" s="18" t="s">
        <v>7980</v>
      </c>
      <c r="Z320" s="18" t="s">
        <v>6996</v>
      </c>
      <c r="AA320" s="69">
        <v>1</v>
      </c>
      <c r="AB320" s="18">
        <v>196.42857000000001</v>
      </c>
      <c r="AC320" s="18" t="s">
        <v>10043</v>
      </c>
      <c r="AD320" s="18" t="s">
        <v>7982</v>
      </c>
      <c r="AE320" s="18">
        <v>168.8</v>
      </c>
      <c r="AF320" s="18" t="s">
        <v>7983</v>
      </c>
      <c r="AG320" s="18">
        <v>168.8</v>
      </c>
      <c r="AH320" s="18" t="s">
        <v>95</v>
      </c>
      <c r="AI320" s="18" t="s">
        <v>7203</v>
      </c>
      <c r="AJ320" s="18" t="s">
        <v>7204</v>
      </c>
      <c r="AK320" s="18">
        <v>15</v>
      </c>
      <c r="AL320" s="18" t="s">
        <v>95</v>
      </c>
      <c r="AM320" s="18" t="s">
        <v>95</v>
      </c>
      <c r="AN320" s="18" t="s">
        <v>7984</v>
      </c>
      <c r="AO320" s="18" t="s">
        <v>92</v>
      </c>
      <c r="AP320" s="20" t="s">
        <v>1415</v>
      </c>
      <c r="AQ320" s="18" t="s">
        <v>1416</v>
      </c>
      <c r="AR320" s="18" t="s">
        <v>496</v>
      </c>
      <c r="AS320" s="18">
        <v>1</v>
      </c>
      <c r="AT320" s="18" t="s">
        <v>91</v>
      </c>
      <c r="AU320" s="18" t="s">
        <v>90</v>
      </c>
      <c r="AV320" s="18" t="s">
        <v>8014</v>
      </c>
      <c r="AW320" s="18" t="s">
        <v>8015</v>
      </c>
      <c r="AX320" s="18" t="s">
        <v>83</v>
      </c>
      <c r="AY320" s="18" t="s">
        <v>95</v>
      </c>
      <c r="AZ320" s="18" t="s">
        <v>95</v>
      </c>
      <c r="BA320" s="18" t="s">
        <v>95</v>
      </c>
      <c r="BB320" s="18" t="s">
        <v>95</v>
      </c>
      <c r="BC320" s="18" t="s">
        <v>95</v>
      </c>
      <c r="BD320" s="18" t="s">
        <v>95</v>
      </c>
      <c r="BE320" s="18" t="s">
        <v>95</v>
      </c>
      <c r="BF320" s="18" t="s">
        <v>95</v>
      </c>
      <c r="BG320" s="18" t="s">
        <v>95</v>
      </c>
      <c r="BH320" s="18" t="s">
        <v>95</v>
      </c>
      <c r="BI320" s="18">
        <v>12</v>
      </c>
      <c r="BJ320" s="18">
        <v>2022</v>
      </c>
      <c r="BK320" s="18" t="s">
        <v>95</v>
      </c>
      <c r="BL320" s="18" t="s">
        <v>95</v>
      </c>
      <c r="BM320" s="18" t="s">
        <v>95</v>
      </c>
      <c r="BN320" s="18" t="s">
        <v>85</v>
      </c>
      <c r="BO320" s="18" t="s">
        <v>86</v>
      </c>
      <c r="BP320" s="18" t="s">
        <v>90</v>
      </c>
      <c r="BQ320" s="18" t="s">
        <v>8106</v>
      </c>
      <c r="BR320" s="18" t="s">
        <v>92</v>
      </c>
      <c r="BS320" s="18" t="s">
        <v>8074</v>
      </c>
      <c r="BT320" s="18" t="s">
        <v>7989</v>
      </c>
      <c r="BU320" s="18" t="s">
        <v>496</v>
      </c>
      <c r="BV320" s="18" t="str">
        <f>Terminales[[#This Row],[IMEI]]&amp;"SI"</f>
        <v>359694275328307SI</v>
      </c>
      <c r="BW320" s="18" t="str">
        <f>VLOOKUP(Terminales[[#This Row],[OFICINA_USUARIO]],[1]!Locales[#Data],3,0)</f>
        <v>TIENDA CUENCA CENTRO</v>
      </c>
      <c r="BX320" s="18" t="str">
        <f>VLOOKUP(Terminales[[#This Row],[USUARIO_FINAL]],'[1]Personal Ppto vs Real'!$A:$F,6,0)</f>
        <v>PATIÑO URGILES DIANA CATALINA</v>
      </c>
      <c r="BY32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2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20" s="18">
        <f>DAY(Terminales[[#This Row],[FECHA_FACTURA]])</f>
        <v>15</v>
      </c>
      <c r="CB320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320" s="65">
        <f>IFERROR(IF(AND(Terminales[[#This Row],[CANTIDAD]] = 1,Terminales[[#This Row],[MOVIMIENTO]] = "RENOVACION"),Terminales[[#This Row],[TARIFA_BASICA]]*0.5,),)</f>
        <v>7.5</v>
      </c>
      <c r="CD320" s="65">
        <f>IF('[1]Resumen TM'!$AW$20 &lt; 0.4,0,Terminales[[#This Row],[MONTO]]*0.02)</f>
        <v>3.9285714</v>
      </c>
      <c r="CE320" s="66">
        <f>Terminales[[#This Row],[COMISIONES TERMINALES]]+Terminales[[#This Row],[COMISIONES RENOVACIONES]]+Terminales[[#This Row],[COMISIONES BONO]]</f>
        <v>31.071428400000002</v>
      </c>
      <c r="CF320" s="67">
        <f>(Terminales[[#This Row],[COMISIONES TERMINALES]]*VLOOKUP(Terminales[[#This Row],[LOCALES]],[1]!Calendario[#Data],3,0))/VLOOKUP(Terminales[[#This Row],[LOCALES]],[1]!Calendario[#Data],2,0)</f>
        <v>31.834975137931039</v>
      </c>
      <c r="CG320" s="67">
        <f>(Terminales[[#This Row],[COMISIONES RENOVACIONES]]*VLOOKUP(Terminales[[#This Row],[LOCALES]],[1]!Calendario[#Data],3,0))/VLOOKUP(Terminales[[#This Row],[LOCALES]],[1]!Calendario[#Data],2,0)</f>
        <v>12.155172413793103</v>
      </c>
      <c r="CH320" s="67">
        <f>(Terminales[[#This Row],[COMISIONES BONO]]*VLOOKUP(Terminales[[#This Row],[LOCALES]],[1]!Calendario[#Data],3,0))/VLOOKUP(Terminales[[#This Row],[LOCALES]],[1]!Calendario[#Data],2,0)</f>
        <v>6.3669950275862073</v>
      </c>
      <c r="CI320" s="67">
        <f>Terminales[[#This Row],[PROY. COM. TERMINALES]]+Terminales[[#This Row],[PROY. COM. RENOV.]]+Terminales[[#This Row],[PROY. COM. 2%]]</f>
        <v>50.357142579310349</v>
      </c>
    </row>
    <row r="321" spans="1:87" x14ac:dyDescent="0.25">
      <c r="A321" s="68">
        <v>44926</v>
      </c>
      <c r="B321" s="68">
        <v>44910</v>
      </c>
      <c r="C321" s="18" t="s">
        <v>291</v>
      </c>
      <c r="D321" s="18" t="s">
        <v>78</v>
      </c>
      <c r="E321" s="18" t="s">
        <v>7125</v>
      </c>
      <c r="F321" s="18" t="s">
        <v>10044</v>
      </c>
      <c r="G321" s="18" t="s">
        <v>292</v>
      </c>
      <c r="H321" s="18" t="s">
        <v>293</v>
      </c>
      <c r="I321" s="18" t="s">
        <v>10045</v>
      </c>
      <c r="J321" s="18" t="s">
        <v>95</v>
      </c>
      <c r="K321" s="18" t="s">
        <v>7970</v>
      </c>
      <c r="L321" s="18" t="s">
        <v>10046</v>
      </c>
      <c r="M321" s="18" t="s">
        <v>10047</v>
      </c>
      <c r="N321" s="18" t="s">
        <v>10048</v>
      </c>
      <c r="O321" s="18" t="s">
        <v>9169</v>
      </c>
      <c r="P321" s="18" t="s">
        <v>10049</v>
      </c>
      <c r="Q321" s="18" t="s">
        <v>7975</v>
      </c>
      <c r="R321" s="18" t="s">
        <v>7976</v>
      </c>
      <c r="S321" s="18" t="s">
        <v>8045</v>
      </c>
      <c r="T321" s="18" t="s">
        <v>9171</v>
      </c>
      <c r="U321" s="18" t="s">
        <v>7979</v>
      </c>
      <c r="V321" s="18" t="s">
        <v>6963</v>
      </c>
      <c r="W321" s="18" t="s">
        <v>95</v>
      </c>
      <c r="X321" s="18" t="s">
        <v>95</v>
      </c>
      <c r="Y321" s="18" t="s">
        <v>7980</v>
      </c>
      <c r="Z321" s="18" t="s">
        <v>6996</v>
      </c>
      <c r="AA321" s="69">
        <v>1</v>
      </c>
      <c r="AB321" s="18">
        <v>517.85713999999996</v>
      </c>
      <c r="AC321" s="18" t="s">
        <v>10050</v>
      </c>
      <c r="AD321" s="18" t="s">
        <v>7982</v>
      </c>
      <c r="AE321" s="18">
        <v>330</v>
      </c>
      <c r="AF321" s="18" t="s">
        <v>7983</v>
      </c>
      <c r="AG321" s="18">
        <v>330</v>
      </c>
      <c r="AH321" s="18" t="s">
        <v>95</v>
      </c>
      <c r="AI321" s="18" t="s">
        <v>7074</v>
      </c>
      <c r="AJ321" s="18" t="s">
        <v>7075</v>
      </c>
      <c r="AK321" s="18">
        <v>12.99</v>
      </c>
      <c r="AL321" s="18" t="s">
        <v>95</v>
      </c>
      <c r="AM321" s="18" t="s">
        <v>95</v>
      </c>
      <c r="AN321" s="18" t="s">
        <v>7984</v>
      </c>
      <c r="AO321" s="18" t="s">
        <v>92</v>
      </c>
      <c r="AP321" s="20" t="s">
        <v>420</v>
      </c>
      <c r="AQ321" s="18" t="s">
        <v>421</v>
      </c>
      <c r="AR321" s="18" t="s">
        <v>496</v>
      </c>
      <c r="AS321" s="18">
        <v>1</v>
      </c>
      <c r="AT321" s="18" t="s">
        <v>151</v>
      </c>
      <c r="AU321" s="18" t="s">
        <v>90</v>
      </c>
      <c r="AV321" s="18" t="s">
        <v>9173</v>
      </c>
      <c r="AW321" s="18" t="s">
        <v>9174</v>
      </c>
      <c r="AX321" s="18" t="s">
        <v>83</v>
      </c>
      <c r="AY321" s="18" t="s">
        <v>95</v>
      </c>
      <c r="AZ321" s="18" t="s">
        <v>95</v>
      </c>
      <c r="BA321" s="18" t="s">
        <v>95</v>
      </c>
      <c r="BB321" s="18" t="s">
        <v>95</v>
      </c>
      <c r="BC321" s="18" t="s">
        <v>95</v>
      </c>
      <c r="BD321" s="18" t="s">
        <v>95</v>
      </c>
      <c r="BE321" s="18" t="s">
        <v>95</v>
      </c>
      <c r="BF321" s="18" t="s">
        <v>95</v>
      </c>
      <c r="BG321" s="18" t="s">
        <v>95</v>
      </c>
      <c r="BH321" s="18" t="s">
        <v>95</v>
      </c>
      <c r="BI321" s="18">
        <v>12</v>
      </c>
      <c r="BJ321" s="18">
        <v>2022</v>
      </c>
      <c r="BK321" s="18" t="s">
        <v>95</v>
      </c>
      <c r="BL321" s="18" t="s">
        <v>95</v>
      </c>
      <c r="BM321" s="18" t="s">
        <v>95</v>
      </c>
      <c r="BN321" s="18" t="s">
        <v>85</v>
      </c>
      <c r="BO321" s="18" t="s">
        <v>86</v>
      </c>
      <c r="BP321" s="18" t="s">
        <v>90</v>
      </c>
      <c r="BQ321" s="18" t="s">
        <v>8141</v>
      </c>
      <c r="BR321" s="18" t="s">
        <v>92</v>
      </c>
      <c r="BS321" s="18" t="s">
        <v>9828</v>
      </c>
      <c r="BT321" s="18" t="s">
        <v>7989</v>
      </c>
      <c r="BU321" s="18" t="s">
        <v>7990</v>
      </c>
      <c r="BV321" s="18" t="str">
        <f>Terminales[[#This Row],[IMEI]]&amp;"SI"</f>
        <v>352429892571691SI</v>
      </c>
      <c r="BW321" s="18" t="str">
        <f>VLOOKUP(Terminales[[#This Row],[OFICINA_USUARIO]],[1]!Locales[#Data],3,0)</f>
        <v>TIENDA CUENCA REMIGIO</v>
      </c>
      <c r="BX321" s="18" t="str">
        <f>VLOOKUP(Terminales[[#This Row],[USUARIO_FINAL]],'[1]Personal Ppto vs Real'!$A:$F,6,0)</f>
        <v>YEPEZ PALOMEQUE DIANA PATRICIA</v>
      </c>
      <c r="BY32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2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21" s="18">
        <f>DAY(Terminales[[#This Row],[FECHA_FACTURA]])</f>
        <v>15</v>
      </c>
      <c r="CB321" s="65">
        <f>IF(Terminales[[#This Row],[CANTIDAD]] = 1,INDEX([1]!Comisiones[#Data],MATCH("Terminales",[1]!Comisiones[Producto],0),MATCH(Terminales[[#This Row],[TIPO ALTA COMISIONES]],[1]!Comisiones[#Headers],0))*Terminales[[#This Row],[MONTO]],0)</f>
        <v>51.785713999999999</v>
      </c>
      <c r="CC321" s="65">
        <f>IFERROR(IF(AND(Terminales[[#This Row],[CANTIDAD]] = 1,Terminales[[#This Row],[MOVIMIENTO]] = "RENOVACION"),Terminales[[#This Row],[TARIFA_BASICA]]*0.5,),)</f>
        <v>6.4950000000000001</v>
      </c>
      <c r="CD321" s="65">
        <f>IF('[1]Resumen TM'!$AW$20 &lt; 0.4,0,Terminales[[#This Row],[MONTO]]*0.02)</f>
        <v>10.3571428</v>
      </c>
      <c r="CE321" s="66">
        <f>Terminales[[#This Row],[COMISIONES TERMINALES]]+Terminales[[#This Row],[COMISIONES RENOVACIONES]]+Terminales[[#This Row],[COMISIONES BONO]]</f>
        <v>68.637856799999994</v>
      </c>
      <c r="CF321" s="67">
        <f>(Terminales[[#This Row],[COMISIONES TERMINALES]]*VLOOKUP(Terminales[[#This Row],[LOCALES]],[1]!Calendario[#Data],3,0))/VLOOKUP(Terminales[[#This Row],[LOCALES]],[1]!Calendario[#Data],2,0)</f>
        <v>83.928570965517238</v>
      </c>
      <c r="CG321" s="67">
        <f>(Terminales[[#This Row],[COMISIONES RENOVACIONES]]*VLOOKUP(Terminales[[#This Row],[LOCALES]],[1]!Calendario[#Data],3,0))/VLOOKUP(Terminales[[#This Row],[LOCALES]],[1]!Calendario[#Data],2,0)</f>
        <v>10.526379310344828</v>
      </c>
      <c r="CH321" s="67">
        <f>(Terminales[[#This Row],[COMISIONES BONO]]*VLOOKUP(Terminales[[#This Row],[LOCALES]],[1]!Calendario[#Data],3,0))/VLOOKUP(Terminales[[#This Row],[LOCALES]],[1]!Calendario[#Data],2,0)</f>
        <v>16.785714193103448</v>
      </c>
      <c r="CI321" s="67">
        <f>Terminales[[#This Row],[PROY. COM. TERMINALES]]+Terminales[[#This Row],[PROY. COM. RENOV.]]+Terminales[[#This Row],[PROY. COM. 2%]]</f>
        <v>111.24066446896551</v>
      </c>
    </row>
    <row r="322" spans="1:87" x14ac:dyDescent="0.25">
      <c r="A322" s="68">
        <v>44926</v>
      </c>
      <c r="B322" s="68">
        <v>44910</v>
      </c>
      <c r="C322" s="18" t="s">
        <v>291</v>
      </c>
      <c r="D322" s="18" t="s">
        <v>78</v>
      </c>
      <c r="E322" s="18" t="s">
        <v>164</v>
      </c>
      <c r="F322" s="18" t="s">
        <v>5758</v>
      </c>
      <c r="G322" s="18" t="s">
        <v>292</v>
      </c>
      <c r="H322" s="18" t="s">
        <v>494</v>
      </c>
      <c r="I322" s="18" t="s">
        <v>10051</v>
      </c>
      <c r="J322" s="18" t="s">
        <v>95</v>
      </c>
      <c r="K322" s="18" t="s">
        <v>7970</v>
      </c>
      <c r="L322" s="18" t="s">
        <v>5759</v>
      </c>
      <c r="M322" s="18" t="s">
        <v>5760</v>
      </c>
      <c r="N322" s="18" t="s">
        <v>5761</v>
      </c>
      <c r="O322" s="18" t="s">
        <v>5764</v>
      </c>
      <c r="P322" s="18" t="s">
        <v>5762</v>
      </c>
      <c r="Q322" s="18" t="s">
        <v>7975</v>
      </c>
      <c r="R322" s="18" t="s">
        <v>7976</v>
      </c>
      <c r="S322" s="18" t="s">
        <v>8250</v>
      </c>
      <c r="T322" s="18" t="s">
        <v>8294</v>
      </c>
      <c r="U322" s="18" t="s">
        <v>8059</v>
      </c>
      <c r="V322" s="18" t="s">
        <v>6963</v>
      </c>
      <c r="W322" s="18" t="s">
        <v>95</v>
      </c>
      <c r="X322" s="18" t="s">
        <v>95</v>
      </c>
      <c r="Y322" s="18" t="s">
        <v>7980</v>
      </c>
      <c r="Z322" s="18" t="s">
        <v>6996</v>
      </c>
      <c r="AA322" s="69">
        <v>1</v>
      </c>
      <c r="AB322" s="18">
        <v>1053.57143</v>
      </c>
      <c r="AC322" s="18" t="s">
        <v>10052</v>
      </c>
      <c r="AD322" s="18" t="s">
        <v>8151</v>
      </c>
      <c r="AE322" s="18">
        <v>848.89</v>
      </c>
      <c r="AF322" s="18" t="s">
        <v>7983</v>
      </c>
      <c r="AG322" s="18">
        <v>848.89</v>
      </c>
      <c r="AH322" s="18" t="s">
        <v>95</v>
      </c>
      <c r="AI322" s="18" t="s">
        <v>130</v>
      </c>
      <c r="AJ322" s="18" t="s">
        <v>433</v>
      </c>
      <c r="AK322" s="18">
        <v>15</v>
      </c>
      <c r="AL322" s="18" t="s">
        <v>95</v>
      </c>
      <c r="AM322" s="18" t="s">
        <v>95</v>
      </c>
      <c r="AN322" s="18" t="s">
        <v>7984</v>
      </c>
      <c r="AO322" s="18" t="s">
        <v>139</v>
      </c>
      <c r="AP322" s="20" t="s">
        <v>478</v>
      </c>
      <c r="AQ322" s="18" t="s">
        <v>479</v>
      </c>
      <c r="AR322" s="18" t="s">
        <v>496</v>
      </c>
      <c r="AS322" s="18">
        <v>1</v>
      </c>
      <c r="AT322" s="18" t="s">
        <v>138</v>
      </c>
      <c r="AU322" s="18" t="s">
        <v>90</v>
      </c>
      <c r="AV322" s="18" t="s">
        <v>9643</v>
      </c>
      <c r="AW322" s="18" t="s">
        <v>9644</v>
      </c>
      <c r="AX322" s="18" t="s">
        <v>83</v>
      </c>
      <c r="AY322" s="18" t="s">
        <v>95</v>
      </c>
      <c r="AZ322" s="18" t="s">
        <v>95</v>
      </c>
      <c r="BA322" s="18" t="s">
        <v>95</v>
      </c>
      <c r="BB322" s="18" t="s">
        <v>95</v>
      </c>
      <c r="BC322" s="18" t="s">
        <v>95</v>
      </c>
      <c r="BD322" s="18" t="s">
        <v>95</v>
      </c>
      <c r="BE322" s="18" t="s">
        <v>8212</v>
      </c>
      <c r="BF322" s="18" t="s">
        <v>8064</v>
      </c>
      <c r="BG322" s="18" t="s">
        <v>95</v>
      </c>
      <c r="BH322" s="18" t="s">
        <v>95</v>
      </c>
      <c r="BI322" s="18">
        <v>12</v>
      </c>
      <c r="BJ322" s="18">
        <v>2022</v>
      </c>
      <c r="BK322" s="18" t="s">
        <v>95</v>
      </c>
      <c r="BL322" s="18" t="s">
        <v>95</v>
      </c>
      <c r="BM322" s="18" t="s">
        <v>95</v>
      </c>
      <c r="BN322" s="18" t="s">
        <v>85</v>
      </c>
      <c r="BO322" s="18" t="s">
        <v>86</v>
      </c>
      <c r="BP322" s="18" t="s">
        <v>90</v>
      </c>
      <c r="BQ322" s="18" t="s">
        <v>7987</v>
      </c>
      <c r="BR322" s="18" t="s">
        <v>139</v>
      </c>
      <c r="BS322" s="18" t="s">
        <v>8003</v>
      </c>
      <c r="BT322" s="18" t="s">
        <v>7989</v>
      </c>
      <c r="BU322" s="18" t="s">
        <v>496</v>
      </c>
      <c r="BV322" s="18" t="str">
        <f>Terminales[[#This Row],[IMEI]]&amp;"SI"</f>
        <v>359675691075101SI</v>
      </c>
      <c r="BW322" s="18" t="str">
        <f>VLOOKUP(Terminales[[#This Row],[OFICINA_USUARIO]],[1]!Locales[#Data],3,0)</f>
        <v>TIENDA AMERICA</v>
      </c>
      <c r="BX322" s="18" t="str">
        <f>VLOOKUP(Terminales[[#This Row],[USUARIO_FINAL]],'[1]Personal Ppto vs Real'!$A:$F,6,0)</f>
        <v>REINO TUFINO PAULTEH KATHERINE</v>
      </c>
      <c r="BY322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32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22" s="18">
        <f>DAY(Terminales[[#This Row],[FECHA_FACTURA]])</f>
        <v>15</v>
      </c>
      <c r="CB322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322" s="65">
        <f>IFERROR(IF(AND(Terminales[[#This Row],[CANTIDAD]] = 1,Terminales[[#This Row],[MOVIMIENTO]] = "RENOVACION"),Terminales[[#This Row],[TARIFA_BASICA]]*0.5,),)</f>
        <v>0</v>
      </c>
      <c r="CD322" s="65">
        <f>IF('[1]Resumen TM'!$AW$20 &lt; 0.4,0,Terminales[[#This Row],[MONTO]]*0.02)</f>
        <v>21.071428600000001</v>
      </c>
      <c r="CE322" s="66">
        <f>Terminales[[#This Row],[COMISIONES TERMINALES]]+Terminales[[#This Row],[COMISIONES RENOVACIONES]]+Terminales[[#This Row],[COMISIONES BONO]]</f>
        <v>126.42857160000001</v>
      </c>
      <c r="CF322" s="67">
        <f>(Terminales[[#This Row],[COMISIONES TERMINALES]]*VLOOKUP(Terminales[[#This Row],[LOCALES]],[1]!Calendario[#Data],3,0))/VLOOKUP(Terminales[[#This Row],[LOCALES]],[1]!Calendario[#Data],2,0)</f>
        <v>173.08673492857142</v>
      </c>
      <c r="CG322" s="67">
        <f>(Terminales[[#This Row],[COMISIONES RENOVACIONES]]*VLOOKUP(Terminales[[#This Row],[LOCALES]],[1]!Calendario[#Data],3,0))/VLOOKUP(Terminales[[#This Row],[LOCALES]],[1]!Calendario[#Data],2,0)</f>
        <v>0</v>
      </c>
      <c r="CH322" s="67">
        <f>(Terminales[[#This Row],[COMISIONES BONO]]*VLOOKUP(Terminales[[#This Row],[LOCALES]],[1]!Calendario[#Data],3,0))/VLOOKUP(Terminales[[#This Row],[LOCALES]],[1]!Calendario[#Data],2,0)</f>
        <v>34.617346985714285</v>
      </c>
      <c r="CI322" s="67">
        <f>Terminales[[#This Row],[PROY. COM. TERMINALES]]+Terminales[[#This Row],[PROY. COM. RENOV.]]+Terminales[[#This Row],[PROY. COM. 2%]]</f>
        <v>207.70408191428569</v>
      </c>
    </row>
    <row r="323" spans="1:87" x14ac:dyDescent="0.25">
      <c r="A323" s="68">
        <v>44926</v>
      </c>
      <c r="B323" s="68">
        <v>44910</v>
      </c>
      <c r="C323" s="18" t="s">
        <v>96</v>
      </c>
      <c r="D323" s="18" t="s">
        <v>521</v>
      </c>
      <c r="E323" s="18" t="s">
        <v>8731</v>
      </c>
      <c r="F323" s="18" t="s">
        <v>10053</v>
      </c>
      <c r="G323" s="18" t="s">
        <v>292</v>
      </c>
      <c r="H323" s="18" t="s">
        <v>494</v>
      </c>
      <c r="I323" s="18" t="s">
        <v>10054</v>
      </c>
      <c r="J323" s="18" t="s">
        <v>95</v>
      </c>
      <c r="K323" s="18" t="s">
        <v>7970</v>
      </c>
      <c r="L323" s="18" t="s">
        <v>10055</v>
      </c>
      <c r="M323" s="18" t="s">
        <v>10056</v>
      </c>
      <c r="N323" s="18" t="s">
        <v>10057</v>
      </c>
      <c r="O323" s="18" t="s">
        <v>3770</v>
      </c>
      <c r="P323" s="18" t="s">
        <v>10058</v>
      </c>
      <c r="Q323" s="18" t="s">
        <v>7975</v>
      </c>
      <c r="R323" s="18" t="s">
        <v>7976</v>
      </c>
      <c r="S323" s="18" t="s">
        <v>8045</v>
      </c>
      <c r="T323" s="18" t="s">
        <v>8099</v>
      </c>
      <c r="U323" s="18" t="s">
        <v>8100</v>
      </c>
      <c r="V323" s="18" t="s">
        <v>6963</v>
      </c>
      <c r="W323" s="18" t="s">
        <v>95</v>
      </c>
      <c r="X323" s="18" t="s">
        <v>95</v>
      </c>
      <c r="Y323" s="18" t="s">
        <v>7980</v>
      </c>
      <c r="Z323" s="18" t="s">
        <v>6996</v>
      </c>
      <c r="AA323" s="69">
        <v>1</v>
      </c>
      <c r="AB323" s="18">
        <v>406.25</v>
      </c>
      <c r="AC323" s="18" t="s">
        <v>10059</v>
      </c>
      <c r="AD323" s="18" t="s">
        <v>96</v>
      </c>
      <c r="AE323" s="18">
        <v>397</v>
      </c>
      <c r="AF323" s="18" t="s">
        <v>7983</v>
      </c>
      <c r="AG323" s="18">
        <v>397</v>
      </c>
      <c r="AH323" s="18" t="s">
        <v>95</v>
      </c>
      <c r="AI323" s="18" t="s">
        <v>8102</v>
      </c>
      <c r="AJ323" s="18" t="s">
        <v>8103</v>
      </c>
      <c r="AK323" s="18" t="s">
        <v>95</v>
      </c>
      <c r="AL323" s="18" t="s">
        <v>95</v>
      </c>
      <c r="AM323" s="18" t="s">
        <v>95</v>
      </c>
      <c r="AN323" s="18" t="s">
        <v>7984</v>
      </c>
      <c r="AO323" s="18" t="s">
        <v>92</v>
      </c>
      <c r="AP323" s="20" t="s">
        <v>318</v>
      </c>
      <c r="AQ323" s="18" t="s">
        <v>319</v>
      </c>
      <c r="AR323" s="18" t="s">
        <v>496</v>
      </c>
      <c r="AS323" s="18">
        <v>1</v>
      </c>
      <c r="AT323" s="18" t="s">
        <v>151</v>
      </c>
      <c r="AU323" s="18" t="s">
        <v>90</v>
      </c>
      <c r="AV323" s="18" t="s">
        <v>8104</v>
      </c>
      <c r="AW323" s="18" t="s">
        <v>8105</v>
      </c>
      <c r="AX323" s="18" t="s">
        <v>83</v>
      </c>
      <c r="AY323" s="18" t="s">
        <v>95</v>
      </c>
      <c r="AZ323" s="18" t="s">
        <v>95</v>
      </c>
      <c r="BA323" s="18" t="s">
        <v>95</v>
      </c>
      <c r="BB323" s="18" t="s">
        <v>95</v>
      </c>
      <c r="BC323" s="18" t="s">
        <v>95</v>
      </c>
      <c r="BD323" s="18" t="s">
        <v>95</v>
      </c>
      <c r="BE323" s="18" t="s">
        <v>8321</v>
      </c>
      <c r="BF323" s="18" t="s">
        <v>8171</v>
      </c>
      <c r="BG323" s="18" t="s">
        <v>95</v>
      </c>
      <c r="BH323" s="18" t="s">
        <v>95</v>
      </c>
      <c r="BI323" s="18">
        <v>12</v>
      </c>
      <c r="BJ323" s="18">
        <v>2022</v>
      </c>
      <c r="BK323" s="18" t="s">
        <v>95</v>
      </c>
      <c r="BL323" s="18" t="s">
        <v>95</v>
      </c>
      <c r="BM323" s="18" t="s">
        <v>95</v>
      </c>
      <c r="BN323" s="18" t="s">
        <v>85</v>
      </c>
      <c r="BO323" s="18" t="s">
        <v>86</v>
      </c>
      <c r="BP323" s="18" t="s">
        <v>90</v>
      </c>
      <c r="BQ323" s="18" t="s">
        <v>8141</v>
      </c>
      <c r="BR323" s="18" t="s">
        <v>92</v>
      </c>
      <c r="BS323" s="18" t="s">
        <v>8003</v>
      </c>
      <c r="BT323" s="18" t="s">
        <v>7989</v>
      </c>
      <c r="BU323" s="18" t="s">
        <v>496</v>
      </c>
      <c r="BV323" s="18" t="str">
        <f>Terminales[[#This Row],[IMEI]]&amp;"SI"</f>
        <v>353842195021173SI</v>
      </c>
      <c r="BW323" s="18" t="str">
        <f>VLOOKUP(Terminales[[#This Row],[OFICINA_USUARIO]],[1]!Locales[#Data],3,0)</f>
        <v>TIENDA CUENCA REMIGIO</v>
      </c>
      <c r="BX323" s="18" t="str">
        <f>VLOOKUP(Terminales[[#This Row],[USUARIO_FINAL]],'[1]Personal Ppto vs Real'!$A:$F,6,0)</f>
        <v>RODRIGUEZ QUITO JESSICA GABRIELA</v>
      </c>
      <c r="BY32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2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23" s="18">
        <f>DAY(Terminales[[#This Row],[FECHA_FACTURA]])</f>
        <v>15</v>
      </c>
      <c r="CB323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323" s="65">
        <f>IFERROR(IF(AND(Terminales[[#This Row],[CANTIDAD]] = 1,Terminales[[#This Row],[MOVIMIENTO]] = "RENOVACION"),Terminales[[#This Row],[TARIFA_BASICA]]*0.5,),)</f>
        <v>0</v>
      </c>
      <c r="CD323" s="65">
        <f>IF('[1]Resumen TM'!$AW$20 &lt; 0.4,0,Terminales[[#This Row],[MONTO]]*0.02)</f>
        <v>8.125</v>
      </c>
      <c r="CE323" s="66">
        <f>Terminales[[#This Row],[COMISIONES TERMINALES]]+Terminales[[#This Row],[COMISIONES RENOVACIONES]]+Terminales[[#This Row],[COMISIONES BONO]]</f>
        <v>48.75</v>
      </c>
      <c r="CF323" s="67">
        <f>(Terminales[[#This Row],[COMISIONES TERMINALES]]*VLOOKUP(Terminales[[#This Row],[LOCALES]],[1]!Calendario[#Data],3,0))/VLOOKUP(Terminales[[#This Row],[LOCALES]],[1]!Calendario[#Data],2,0)</f>
        <v>65.840517241379317</v>
      </c>
      <c r="CG323" s="67">
        <f>(Terminales[[#This Row],[COMISIONES RENOVACIONES]]*VLOOKUP(Terminales[[#This Row],[LOCALES]],[1]!Calendario[#Data],3,0))/VLOOKUP(Terminales[[#This Row],[LOCALES]],[1]!Calendario[#Data],2,0)</f>
        <v>0</v>
      </c>
      <c r="CH323" s="67">
        <f>(Terminales[[#This Row],[COMISIONES BONO]]*VLOOKUP(Terminales[[#This Row],[LOCALES]],[1]!Calendario[#Data],3,0))/VLOOKUP(Terminales[[#This Row],[LOCALES]],[1]!Calendario[#Data],2,0)</f>
        <v>13.168103448275861</v>
      </c>
      <c r="CI323" s="67">
        <f>Terminales[[#This Row],[PROY. COM. TERMINALES]]+Terminales[[#This Row],[PROY. COM. RENOV.]]+Terminales[[#This Row],[PROY. COM. 2%]]</f>
        <v>79.008620689655174</v>
      </c>
    </row>
    <row r="324" spans="1:87" x14ac:dyDescent="0.25">
      <c r="A324" s="68">
        <v>44926</v>
      </c>
      <c r="B324" s="68">
        <v>44910</v>
      </c>
      <c r="C324" s="18" t="s">
        <v>291</v>
      </c>
      <c r="D324" s="18" t="s">
        <v>78</v>
      </c>
      <c r="E324" s="18" t="s">
        <v>164</v>
      </c>
      <c r="F324" s="18" t="s">
        <v>3614</v>
      </c>
      <c r="G324" s="18" t="s">
        <v>292</v>
      </c>
      <c r="H324" s="18" t="s">
        <v>494</v>
      </c>
      <c r="I324" s="18" t="s">
        <v>10060</v>
      </c>
      <c r="J324" s="18" t="s">
        <v>95</v>
      </c>
      <c r="K324" s="18" t="s">
        <v>7970</v>
      </c>
      <c r="L324" s="18" t="s">
        <v>3615</v>
      </c>
      <c r="M324" s="18" t="s">
        <v>3616</v>
      </c>
      <c r="N324" s="18" t="s">
        <v>3617</v>
      </c>
      <c r="O324" s="18" t="s">
        <v>543</v>
      </c>
      <c r="P324" s="18" t="s">
        <v>3618</v>
      </c>
      <c r="Q324" s="18" t="s">
        <v>7975</v>
      </c>
      <c r="R324" s="18" t="s">
        <v>7976</v>
      </c>
      <c r="S324" s="18" t="s">
        <v>7994</v>
      </c>
      <c r="T324" s="18" t="s">
        <v>8245</v>
      </c>
      <c r="U324" s="18" t="s">
        <v>8012</v>
      </c>
      <c r="V324" s="18" t="s">
        <v>6963</v>
      </c>
      <c r="W324" s="18" t="s">
        <v>95</v>
      </c>
      <c r="X324" s="18" t="s">
        <v>95</v>
      </c>
      <c r="Y324" s="18" t="s">
        <v>7980</v>
      </c>
      <c r="Z324" s="18" t="s">
        <v>6996</v>
      </c>
      <c r="AA324" s="69">
        <v>1</v>
      </c>
      <c r="AB324" s="18">
        <v>156.25</v>
      </c>
      <c r="AC324" s="18" t="s">
        <v>10061</v>
      </c>
      <c r="AD324" s="18" t="s">
        <v>8151</v>
      </c>
      <c r="AE324" s="18">
        <v>156</v>
      </c>
      <c r="AF324" s="18" t="s">
        <v>7983</v>
      </c>
      <c r="AG324" s="18">
        <v>156</v>
      </c>
      <c r="AH324" s="18" t="s">
        <v>95</v>
      </c>
      <c r="AI324" s="18" t="s">
        <v>194</v>
      </c>
      <c r="AJ324" s="18" t="s">
        <v>268</v>
      </c>
      <c r="AK324" s="18">
        <v>14.28</v>
      </c>
      <c r="AL324" s="18" t="s">
        <v>95</v>
      </c>
      <c r="AM324" s="18" t="s">
        <v>95</v>
      </c>
      <c r="AN324" s="18" t="s">
        <v>7984</v>
      </c>
      <c r="AO324" s="18" t="s">
        <v>139</v>
      </c>
      <c r="AP324" s="20" t="s">
        <v>1545</v>
      </c>
      <c r="AQ324" s="18" t="s">
        <v>1546</v>
      </c>
      <c r="AR324" s="18" t="s">
        <v>496</v>
      </c>
      <c r="AS324" s="18">
        <v>1</v>
      </c>
      <c r="AT324" s="18" t="s">
        <v>138</v>
      </c>
      <c r="AU324" s="18" t="s">
        <v>90</v>
      </c>
      <c r="AV324" s="18" t="s">
        <v>8247</v>
      </c>
      <c r="AW324" s="18" t="s">
        <v>8248</v>
      </c>
      <c r="AX324" s="18" t="s">
        <v>83</v>
      </c>
      <c r="AY324" s="18" t="s">
        <v>95</v>
      </c>
      <c r="AZ324" s="18" t="s">
        <v>95</v>
      </c>
      <c r="BA324" s="18" t="s">
        <v>95</v>
      </c>
      <c r="BB324" s="18" t="s">
        <v>95</v>
      </c>
      <c r="BC324" s="18" t="s">
        <v>95</v>
      </c>
      <c r="BD324" s="18" t="s">
        <v>95</v>
      </c>
      <c r="BE324" s="18" t="s">
        <v>95</v>
      </c>
      <c r="BF324" s="18" t="s">
        <v>95</v>
      </c>
      <c r="BG324" s="18" t="s">
        <v>95</v>
      </c>
      <c r="BH324" s="18" t="s">
        <v>95</v>
      </c>
      <c r="BI324" s="18">
        <v>12</v>
      </c>
      <c r="BJ324" s="18">
        <v>2022</v>
      </c>
      <c r="BK324" s="18" t="s">
        <v>95</v>
      </c>
      <c r="BL324" s="18" t="s">
        <v>95</v>
      </c>
      <c r="BM324" s="18" t="s">
        <v>95</v>
      </c>
      <c r="BN324" s="18" t="s">
        <v>85</v>
      </c>
      <c r="BO324" s="18" t="s">
        <v>86</v>
      </c>
      <c r="BP324" s="18" t="s">
        <v>90</v>
      </c>
      <c r="BQ324" s="18" t="s">
        <v>7987</v>
      </c>
      <c r="BR324" s="18" t="s">
        <v>139</v>
      </c>
      <c r="BS324" s="18" t="s">
        <v>8074</v>
      </c>
      <c r="BT324" s="18" t="s">
        <v>7989</v>
      </c>
      <c r="BU324" s="18" t="s">
        <v>496</v>
      </c>
      <c r="BV324" s="18" t="str">
        <f>Terminales[[#This Row],[IMEI]]&amp;"SI"</f>
        <v>355108340307430SI</v>
      </c>
      <c r="BW324" s="18" t="str">
        <f>VLOOKUP(Terminales[[#This Row],[OFICINA_USUARIO]],[1]!Locales[#Data],3,0)</f>
        <v>TIENDA AMERICA</v>
      </c>
      <c r="BX324" s="18" t="str">
        <f>VLOOKUP(Terminales[[#This Row],[USUARIO_FINAL]],'[1]Personal Ppto vs Real'!$A:$F,6,0)</f>
        <v>GRANDA ESPINOZA ANDRES SEBASTIAN</v>
      </c>
      <c r="BY324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32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24" s="18">
        <f>DAY(Terminales[[#This Row],[FECHA_FACTURA]])</f>
        <v>15</v>
      </c>
      <c r="CB324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24" s="65">
        <f>IFERROR(IF(AND(Terminales[[#This Row],[CANTIDAD]] = 1,Terminales[[#This Row],[MOVIMIENTO]] = "RENOVACION"),Terminales[[#This Row],[TARIFA_BASICA]]*0.5,),)</f>
        <v>0</v>
      </c>
      <c r="CD324" s="65">
        <f>IF('[1]Resumen TM'!$AW$20 &lt; 0.4,0,Terminales[[#This Row],[MONTO]]*0.02)</f>
        <v>3.125</v>
      </c>
      <c r="CE324" s="66">
        <f>Terminales[[#This Row],[COMISIONES TERMINALES]]+Terminales[[#This Row],[COMISIONES RENOVACIONES]]+Terminales[[#This Row],[COMISIONES BONO]]</f>
        <v>18.75</v>
      </c>
      <c r="CF324" s="67">
        <f>(Terminales[[#This Row],[COMISIONES TERMINALES]]*VLOOKUP(Terminales[[#This Row],[LOCALES]],[1]!Calendario[#Data],3,0))/VLOOKUP(Terminales[[#This Row],[LOCALES]],[1]!Calendario[#Data],2,0)</f>
        <v>25.669642857142858</v>
      </c>
      <c r="CG324" s="67">
        <f>(Terminales[[#This Row],[COMISIONES RENOVACIONES]]*VLOOKUP(Terminales[[#This Row],[LOCALES]],[1]!Calendario[#Data],3,0))/VLOOKUP(Terminales[[#This Row],[LOCALES]],[1]!Calendario[#Data],2,0)</f>
        <v>0</v>
      </c>
      <c r="CH324" s="67">
        <f>(Terminales[[#This Row],[COMISIONES BONO]]*VLOOKUP(Terminales[[#This Row],[LOCALES]],[1]!Calendario[#Data],3,0))/VLOOKUP(Terminales[[#This Row],[LOCALES]],[1]!Calendario[#Data],2,0)</f>
        <v>5.1339285714285712</v>
      </c>
      <c r="CI324" s="67">
        <f>Terminales[[#This Row],[PROY. COM. TERMINALES]]+Terminales[[#This Row],[PROY. COM. RENOV.]]+Terminales[[#This Row],[PROY. COM. 2%]]</f>
        <v>30.803571428571431</v>
      </c>
    </row>
    <row r="325" spans="1:87" x14ac:dyDescent="0.25">
      <c r="A325" s="68">
        <v>44926</v>
      </c>
      <c r="B325" s="68">
        <v>44910</v>
      </c>
      <c r="C325" s="18" t="s">
        <v>291</v>
      </c>
      <c r="D325" s="18" t="s">
        <v>78</v>
      </c>
      <c r="E325" s="18" t="s">
        <v>164</v>
      </c>
      <c r="F325" s="18" t="s">
        <v>3663</v>
      </c>
      <c r="G325" s="18" t="s">
        <v>292</v>
      </c>
      <c r="H325" s="18" t="s">
        <v>293</v>
      </c>
      <c r="I325" s="18" t="s">
        <v>10062</v>
      </c>
      <c r="J325" s="18" t="s">
        <v>95</v>
      </c>
      <c r="K325" s="18" t="s">
        <v>7970</v>
      </c>
      <c r="L325" s="18" t="s">
        <v>3664</v>
      </c>
      <c r="M325" s="18" t="s">
        <v>3665</v>
      </c>
      <c r="N325" s="18" t="s">
        <v>3666</v>
      </c>
      <c r="O325" s="18" t="s">
        <v>3669</v>
      </c>
      <c r="P325" s="18" t="s">
        <v>3667</v>
      </c>
      <c r="Q325" s="18" t="s">
        <v>7975</v>
      </c>
      <c r="R325" s="18" t="s">
        <v>7976</v>
      </c>
      <c r="S325" s="18" t="s">
        <v>8045</v>
      </c>
      <c r="T325" s="18" t="s">
        <v>8046</v>
      </c>
      <c r="U325" s="18" t="s">
        <v>7996</v>
      </c>
      <c r="V325" s="18" t="s">
        <v>6963</v>
      </c>
      <c r="W325" s="18" t="s">
        <v>95</v>
      </c>
      <c r="X325" s="18" t="s">
        <v>95</v>
      </c>
      <c r="Y325" s="18" t="s">
        <v>7980</v>
      </c>
      <c r="Z325" s="18" t="s">
        <v>6996</v>
      </c>
      <c r="AA325" s="69">
        <v>1</v>
      </c>
      <c r="AB325" s="18">
        <v>200.89286000000001</v>
      </c>
      <c r="AC325" s="18" t="s">
        <v>10063</v>
      </c>
      <c r="AD325" s="18" t="s">
        <v>8151</v>
      </c>
      <c r="AE325" s="18">
        <v>124.5</v>
      </c>
      <c r="AF325" s="18" t="s">
        <v>7983</v>
      </c>
      <c r="AG325" s="18">
        <v>124.5</v>
      </c>
      <c r="AH325" s="18" t="s">
        <v>95</v>
      </c>
      <c r="AI325" s="18" t="s">
        <v>160</v>
      </c>
      <c r="AJ325" s="18" t="s">
        <v>161</v>
      </c>
      <c r="AK325" s="18">
        <v>14.28</v>
      </c>
      <c r="AL325" s="18" t="s">
        <v>95</v>
      </c>
      <c r="AM325" s="18" t="s">
        <v>95</v>
      </c>
      <c r="AN325" s="18" t="s">
        <v>7984</v>
      </c>
      <c r="AO325" s="18" t="s">
        <v>139</v>
      </c>
      <c r="AP325" s="20" t="s">
        <v>492</v>
      </c>
      <c r="AQ325" s="18" t="s">
        <v>493</v>
      </c>
      <c r="AR325" s="18" t="s">
        <v>295</v>
      </c>
      <c r="AS325" s="18">
        <v>1</v>
      </c>
      <c r="AT325" s="18" t="s">
        <v>177</v>
      </c>
      <c r="AU325" s="18" t="s">
        <v>90</v>
      </c>
      <c r="AV325" s="18" t="s">
        <v>8048</v>
      </c>
      <c r="AW325" s="18" t="s">
        <v>8049</v>
      </c>
      <c r="AX325" s="18" t="s">
        <v>83</v>
      </c>
      <c r="AY325" s="18" t="s">
        <v>95</v>
      </c>
      <c r="AZ325" s="18" t="s">
        <v>95</v>
      </c>
      <c r="BA325" s="18" t="s">
        <v>95</v>
      </c>
      <c r="BB325" s="18" t="s">
        <v>95</v>
      </c>
      <c r="BC325" s="18" t="s">
        <v>95</v>
      </c>
      <c r="BD325" s="18">
        <v>40</v>
      </c>
      <c r="BE325" s="18" t="s">
        <v>95</v>
      </c>
      <c r="BF325" s="18" t="s">
        <v>95</v>
      </c>
      <c r="BG325" s="18" t="s">
        <v>95</v>
      </c>
      <c r="BH325" s="18" t="s">
        <v>95</v>
      </c>
      <c r="BI325" s="18">
        <v>12</v>
      </c>
      <c r="BJ325" s="18">
        <v>2022</v>
      </c>
      <c r="BK325" s="18" t="s">
        <v>95</v>
      </c>
      <c r="BL325" s="18" t="s">
        <v>95</v>
      </c>
      <c r="BM325" s="18" t="s">
        <v>95</v>
      </c>
      <c r="BN325" s="18" t="s">
        <v>85</v>
      </c>
      <c r="BO325" s="18" t="s">
        <v>86</v>
      </c>
      <c r="BP325" s="18" t="s">
        <v>90</v>
      </c>
      <c r="BQ325" s="18" t="s">
        <v>8002</v>
      </c>
      <c r="BR325" s="18" t="s">
        <v>139</v>
      </c>
      <c r="BS325" s="18" t="s">
        <v>9828</v>
      </c>
      <c r="BT325" s="18" t="s">
        <v>7989</v>
      </c>
      <c r="BU325" s="18" t="s">
        <v>7990</v>
      </c>
      <c r="BV325" s="18" t="str">
        <f>Terminales[[#This Row],[IMEI]]&amp;"SI"</f>
        <v>351084957811283SI</v>
      </c>
      <c r="BW325" s="18" t="str">
        <f>VLOOKUP(Terminales[[#This Row],[OFICINA_USUARIO]],[1]!Locales[#Data],3,0)</f>
        <v>TIENDA RECREO</v>
      </c>
      <c r="BX325" s="18" t="str">
        <f>VLOOKUP(Terminales[[#This Row],[USUARIO_FINAL]],'[1]Personal Ppto vs Real'!$A:$F,6,0)</f>
        <v>CONDO GARCIA NICOLAS MATIAS</v>
      </c>
      <c r="BY325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32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25" s="18">
        <f>DAY(Terminales[[#This Row],[FECHA_FACTURA]])</f>
        <v>15</v>
      </c>
      <c r="CB325" s="65">
        <f>IF(Terminales[[#This Row],[CANTIDAD]] = 1,INDEX([1]!Comisiones[#Data],MATCH("Terminales",[1]!Comisiones[Producto],0),MATCH(Terminales[[#This Row],[TIPO ALTA COMISIONES]],[1]!Comisiones[#Headers],0))*Terminales[[#This Row],[MONTO]],0)</f>
        <v>20.089286000000001</v>
      </c>
      <c r="CC325" s="65">
        <f>IFERROR(IF(AND(Terminales[[#This Row],[CANTIDAD]] = 1,Terminales[[#This Row],[MOVIMIENTO]] = "RENOVACION"),Terminales[[#This Row],[TARIFA_BASICA]]*0.5,),)</f>
        <v>0</v>
      </c>
      <c r="CD325" s="65">
        <f>IF('[1]Resumen TM'!$AW$20 &lt; 0.4,0,Terminales[[#This Row],[MONTO]]*0.02)</f>
        <v>4.0178571999999999</v>
      </c>
      <c r="CE325" s="66">
        <f>Terminales[[#This Row],[COMISIONES TERMINALES]]+Terminales[[#This Row],[COMISIONES RENOVACIONES]]+Terminales[[#This Row],[COMISIONES BONO]]</f>
        <v>24.107143200000003</v>
      </c>
      <c r="CF325" s="67">
        <f>(Terminales[[#This Row],[COMISIONES TERMINALES]]*VLOOKUP(Terminales[[#This Row],[LOCALES]],[1]!Calendario[#Data],3,0))/VLOOKUP(Terminales[[#This Row],[LOCALES]],[1]!Calendario[#Data],2,0)</f>
        <v>33.050115677419356</v>
      </c>
      <c r="CG325" s="67">
        <f>(Terminales[[#This Row],[COMISIONES RENOVACIONES]]*VLOOKUP(Terminales[[#This Row],[LOCALES]],[1]!Calendario[#Data],3,0))/VLOOKUP(Terminales[[#This Row],[LOCALES]],[1]!Calendario[#Data],2,0)</f>
        <v>0</v>
      </c>
      <c r="CH325" s="67">
        <f>(Terminales[[#This Row],[COMISIONES BONO]]*VLOOKUP(Terminales[[#This Row],[LOCALES]],[1]!Calendario[#Data],3,0))/VLOOKUP(Terminales[[#This Row],[LOCALES]],[1]!Calendario[#Data],2,0)</f>
        <v>6.6100231354838703</v>
      </c>
      <c r="CI325" s="67">
        <f>Terminales[[#This Row],[PROY. COM. TERMINALES]]+Terminales[[#This Row],[PROY. COM. RENOV.]]+Terminales[[#This Row],[PROY. COM. 2%]]</f>
        <v>39.660138812903227</v>
      </c>
    </row>
    <row r="326" spans="1:87" x14ac:dyDescent="0.25">
      <c r="A326" s="68">
        <v>44926</v>
      </c>
      <c r="B326" s="68">
        <v>44910</v>
      </c>
      <c r="C326" s="18" t="s">
        <v>291</v>
      </c>
      <c r="D326" s="18" t="s">
        <v>78</v>
      </c>
      <c r="E326" s="18" t="s">
        <v>1378</v>
      </c>
      <c r="F326" s="18" t="s">
        <v>10064</v>
      </c>
      <c r="G326" s="18" t="s">
        <v>292</v>
      </c>
      <c r="H326" s="18" t="s">
        <v>494</v>
      </c>
      <c r="I326" s="18" t="s">
        <v>10065</v>
      </c>
      <c r="J326" s="18" t="s">
        <v>95</v>
      </c>
      <c r="K326" s="18" t="s">
        <v>7970</v>
      </c>
      <c r="L326" s="18" t="s">
        <v>6681</v>
      </c>
      <c r="M326" s="18" t="s">
        <v>6682</v>
      </c>
      <c r="N326" s="18" t="s">
        <v>6683</v>
      </c>
      <c r="O326" s="18" t="s">
        <v>3770</v>
      </c>
      <c r="P326" s="18" t="s">
        <v>10066</v>
      </c>
      <c r="Q326" s="18" t="s">
        <v>7975</v>
      </c>
      <c r="R326" s="18" t="s">
        <v>7976</v>
      </c>
      <c r="S326" s="18" t="s">
        <v>8045</v>
      </c>
      <c r="T326" s="18" t="s">
        <v>8099</v>
      </c>
      <c r="U326" s="18" t="s">
        <v>8100</v>
      </c>
      <c r="V326" s="18" t="s">
        <v>6963</v>
      </c>
      <c r="W326" s="18" t="s">
        <v>95</v>
      </c>
      <c r="X326" s="18" t="s">
        <v>95</v>
      </c>
      <c r="Y326" s="18" t="s">
        <v>7980</v>
      </c>
      <c r="Z326" s="18" t="s">
        <v>6996</v>
      </c>
      <c r="AA326" s="69">
        <v>1</v>
      </c>
      <c r="AB326" s="18">
        <v>406.25</v>
      </c>
      <c r="AC326" s="18" t="s">
        <v>10067</v>
      </c>
      <c r="AD326" s="18" t="s">
        <v>7982</v>
      </c>
      <c r="AE326" s="18">
        <v>397</v>
      </c>
      <c r="AF326" s="18" t="s">
        <v>7983</v>
      </c>
      <c r="AG326" s="18">
        <v>397</v>
      </c>
      <c r="AH326" s="18" t="s">
        <v>95</v>
      </c>
      <c r="AI326" s="18" t="s">
        <v>10068</v>
      </c>
      <c r="AJ326" s="18" t="s">
        <v>10069</v>
      </c>
      <c r="AK326" s="18">
        <v>48.69</v>
      </c>
      <c r="AL326" s="18" t="s">
        <v>95</v>
      </c>
      <c r="AM326" s="18" t="s">
        <v>95</v>
      </c>
      <c r="AN326" s="18" t="s">
        <v>7984</v>
      </c>
      <c r="AO326" s="18" t="s">
        <v>139</v>
      </c>
      <c r="AP326" s="20" t="s">
        <v>443</v>
      </c>
      <c r="AQ326" s="18" t="s">
        <v>444</v>
      </c>
      <c r="AR326" s="18" t="s">
        <v>496</v>
      </c>
      <c r="AS326" s="18">
        <v>1</v>
      </c>
      <c r="AT326" s="18" t="s">
        <v>235</v>
      </c>
      <c r="AU326" s="18" t="s">
        <v>90</v>
      </c>
      <c r="AV326" s="18" t="s">
        <v>8104</v>
      </c>
      <c r="AW326" s="18" t="s">
        <v>8105</v>
      </c>
      <c r="AX326" s="18" t="s">
        <v>83</v>
      </c>
      <c r="AY326" s="18" t="s">
        <v>95</v>
      </c>
      <c r="AZ326" s="18" t="s">
        <v>95</v>
      </c>
      <c r="BA326" s="18" t="s">
        <v>95</v>
      </c>
      <c r="BB326" s="18" t="s">
        <v>95</v>
      </c>
      <c r="BC326" s="18" t="s">
        <v>95</v>
      </c>
      <c r="BD326" s="18" t="s">
        <v>95</v>
      </c>
      <c r="BE326" s="18" t="s">
        <v>95</v>
      </c>
      <c r="BF326" s="18" t="s">
        <v>95</v>
      </c>
      <c r="BG326" s="18" t="s">
        <v>95</v>
      </c>
      <c r="BH326" s="18" t="s">
        <v>95</v>
      </c>
      <c r="BI326" s="18">
        <v>12</v>
      </c>
      <c r="BJ326" s="18">
        <v>2022</v>
      </c>
      <c r="BK326" s="18" t="s">
        <v>95</v>
      </c>
      <c r="BL326" s="18" t="s">
        <v>95</v>
      </c>
      <c r="BM326" s="18" t="s">
        <v>95</v>
      </c>
      <c r="BN326" s="18" t="s">
        <v>85</v>
      </c>
      <c r="BO326" s="18" t="s">
        <v>86</v>
      </c>
      <c r="BP326" s="18" t="s">
        <v>90</v>
      </c>
      <c r="BQ326" s="18" t="s">
        <v>8016</v>
      </c>
      <c r="BR326" s="18" t="s">
        <v>139</v>
      </c>
      <c r="BS326" s="18" t="s">
        <v>8074</v>
      </c>
      <c r="BT326" s="18" t="s">
        <v>7989</v>
      </c>
      <c r="BU326" s="18" t="s">
        <v>496</v>
      </c>
      <c r="BV326" s="18" t="str">
        <f>Terminales[[#This Row],[IMEI]]&amp;"SI"</f>
        <v>353842195020308SI</v>
      </c>
      <c r="BW326" s="18" t="str">
        <f>VLOOKUP(Terminales[[#This Row],[OFICINA_USUARIO]],[1]!Locales[#Data],3,0)</f>
        <v>TIENDA CONDADO</v>
      </c>
      <c r="BX326" s="18" t="str">
        <f>VLOOKUP(Terminales[[#This Row],[USUARIO_FINAL]],'[1]Personal Ppto vs Real'!$A:$F,6,0)</f>
        <v>JARAMILLO ESPINOZA KENIA KATRINA</v>
      </c>
      <c r="BY32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2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26" s="18">
        <f>DAY(Terminales[[#This Row],[FECHA_FACTURA]])</f>
        <v>15</v>
      </c>
      <c r="CB326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326" s="65">
        <f>IFERROR(IF(AND(Terminales[[#This Row],[CANTIDAD]] = 1,Terminales[[#This Row],[MOVIMIENTO]] = "RENOVACION"),Terminales[[#This Row],[TARIFA_BASICA]]*0.5,),)</f>
        <v>24.344999999999999</v>
      </c>
      <c r="CD326" s="65">
        <f>IF('[1]Resumen TM'!$AW$20 &lt; 0.4,0,Terminales[[#This Row],[MONTO]]*0.02)</f>
        <v>8.125</v>
      </c>
      <c r="CE326" s="66">
        <f>Terminales[[#This Row],[COMISIONES TERMINALES]]+Terminales[[#This Row],[COMISIONES RENOVACIONES]]+Terminales[[#This Row],[COMISIONES BONO]]</f>
        <v>73.094999999999999</v>
      </c>
      <c r="CF326" s="67">
        <f>(Terminales[[#This Row],[COMISIONES TERMINALES]]*VLOOKUP(Terminales[[#This Row],[LOCALES]],[1]!Calendario[#Data],3,0))/VLOOKUP(Terminales[[#This Row],[LOCALES]],[1]!Calendario[#Data],2,0)</f>
        <v>66.834677419354833</v>
      </c>
      <c r="CG326" s="67">
        <f>(Terminales[[#This Row],[COMISIONES RENOVACIONES]]*VLOOKUP(Terminales[[#This Row],[LOCALES]],[1]!Calendario[#Data],3,0))/VLOOKUP(Terminales[[#This Row],[LOCALES]],[1]!Calendario[#Data],2,0)</f>
        <v>40.051451612903229</v>
      </c>
      <c r="CH326" s="67">
        <f>(Terminales[[#This Row],[COMISIONES BONO]]*VLOOKUP(Terminales[[#This Row],[LOCALES]],[1]!Calendario[#Data],3,0))/VLOOKUP(Terminales[[#This Row],[LOCALES]],[1]!Calendario[#Data],2,0)</f>
        <v>13.366935483870968</v>
      </c>
      <c r="CI326" s="67">
        <f>Terminales[[#This Row],[PROY. COM. TERMINALES]]+Terminales[[#This Row],[PROY. COM. RENOV.]]+Terminales[[#This Row],[PROY. COM. 2%]]</f>
        <v>120.25306451612903</v>
      </c>
    </row>
    <row r="327" spans="1:87" x14ac:dyDescent="0.25">
      <c r="A327" s="68">
        <v>44926</v>
      </c>
      <c r="B327" s="68">
        <v>44910</v>
      </c>
      <c r="C327" s="18" t="s">
        <v>291</v>
      </c>
      <c r="D327" s="18" t="s">
        <v>78</v>
      </c>
      <c r="E327" s="18" t="s">
        <v>2241</v>
      </c>
      <c r="F327" s="18" t="s">
        <v>10070</v>
      </c>
      <c r="G327" s="18" t="s">
        <v>292</v>
      </c>
      <c r="H327" s="18" t="s">
        <v>293</v>
      </c>
      <c r="I327" s="18" t="s">
        <v>10071</v>
      </c>
      <c r="J327" s="18" t="s">
        <v>95</v>
      </c>
      <c r="K327" s="18" t="s">
        <v>7970</v>
      </c>
      <c r="L327" s="18" t="s">
        <v>10072</v>
      </c>
      <c r="M327" s="18" t="s">
        <v>10073</v>
      </c>
      <c r="N327" s="18" t="s">
        <v>10074</v>
      </c>
      <c r="O327" s="18" t="s">
        <v>543</v>
      </c>
      <c r="P327" s="18" t="s">
        <v>10075</v>
      </c>
      <c r="Q327" s="18" t="s">
        <v>7975</v>
      </c>
      <c r="R327" s="18" t="s">
        <v>7976</v>
      </c>
      <c r="S327" s="18" t="s">
        <v>7994</v>
      </c>
      <c r="T327" s="18" t="s">
        <v>8245</v>
      </c>
      <c r="U327" s="18" t="s">
        <v>8012</v>
      </c>
      <c r="V327" s="18" t="s">
        <v>6963</v>
      </c>
      <c r="W327" s="18" t="s">
        <v>95</v>
      </c>
      <c r="X327" s="18" t="s">
        <v>95</v>
      </c>
      <c r="Y327" s="18" t="s">
        <v>7980</v>
      </c>
      <c r="Z327" s="18" t="s">
        <v>6996</v>
      </c>
      <c r="AA327" s="69">
        <v>1</v>
      </c>
      <c r="AB327" s="18">
        <v>205.35713999999999</v>
      </c>
      <c r="AC327" s="18" t="s">
        <v>10076</v>
      </c>
      <c r="AD327" s="18" t="s">
        <v>7982</v>
      </c>
      <c r="AE327" s="18">
        <v>156</v>
      </c>
      <c r="AF327" s="18" t="s">
        <v>7983</v>
      </c>
      <c r="AG327" s="18">
        <v>156</v>
      </c>
      <c r="AH327" s="18" t="s">
        <v>95</v>
      </c>
      <c r="AI327" s="18" t="s">
        <v>7127</v>
      </c>
      <c r="AJ327" s="18" t="s">
        <v>7128</v>
      </c>
      <c r="AK327" s="18">
        <v>13.79</v>
      </c>
      <c r="AL327" s="18" t="s">
        <v>95</v>
      </c>
      <c r="AM327" s="18" t="s">
        <v>95</v>
      </c>
      <c r="AN327" s="18" t="s">
        <v>7984</v>
      </c>
      <c r="AO327" s="18" t="s">
        <v>139</v>
      </c>
      <c r="AP327" s="20" t="s">
        <v>404</v>
      </c>
      <c r="AQ327" s="18" t="s">
        <v>405</v>
      </c>
      <c r="AR327" s="18" t="s">
        <v>496</v>
      </c>
      <c r="AS327" s="18">
        <v>1</v>
      </c>
      <c r="AT327" s="18" t="s">
        <v>177</v>
      </c>
      <c r="AU327" s="18" t="s">
        <v>90</v>
      </c>
      <c r="AV327" s="18" t="s">
        <v>8247</v>
      </c>
      <c r="AW327" s="18" t="s">
        <v>8248</v>
      </c>
      <c r="AX327" s="18" t="s">
        <v>83</v>
      </c>
      <c r="AY327" s="18" t="s">
        <v>95</v>
      </c>
      <c r="AZ327" s="18" t="s">
        <v>95</v>
      </c>
      <c r="BA327" s="18" t="s">
        <v>95</v>
      </c>
      <c r="BB327" s="18" t="s">
        <v>95</v>
      </c>
      <c r="BC327" s="18" t="s">
        <v>95</v>
      </c>
      <c r="BD327" s="18" t="s">
        <v>95</v>
      </c>
      <c r="BE327" s="18" t="s">
        <v>95</v>
      </c>
      <c r="BF327" s="18" t="s">
        <v>95</v>
      </c>
      <c r="BG327" s="18" t="s">
        <v>95</v>
      </c>
      <c r="BH327" s="18" t="s">
        <v>95</v>
      </c>
      <c r="BI327" s="18">
        <v>12</v>
      </c>
      <c r="BJ327" s="18">
        <v>2022</v>
      </c>
      <c r="BK327" s="18" t="s">
        <v>95</v>
      </c>
      <c r="BL327" s="18" t="s">
        <v>95</v>
      </c>
      <c r="BM327" s="18" t="s">
        <v>95</v>
      </c>
      <c r="BN327" s="18" t="s">
        <v>85</v>
      </c>
      <c r="BO327" s="18" t="s">
        <v>86</v>
      </c>
      <c r="BP327" s="18" t="s">
        <v>90</v>
      </c>
      <c r="BQ327" s="18" t="s">
        <v>8002</v>
      </c>
      <c r="BR327" s="18" t="s">
        <v>139</v>
      </c>
      <c r="BS327" s="18" t="s">
        <v>9828</v>
      </c>
      <c r="BT327" s="18" t="s">
        <v>7989</v>
      </c>
      <c r="BU327" s="18" t="s">
        <v>7990</v>
      </c>
      <c r="BV327" s="18" t="str">
        <f>Terminales[[#This Row],[IMEI]]&amp;"SI"</f>
        <v>355108340299199SI</v>
      </c>
      <c r="BW327" s="18" t="str">
        <f>VLOOKUP(Terminales[[#This Row],[OFICINA_USUARIO]],[1]!Locales[#Data],3,0)</f>
        <v>TIENDA RECREO</v>
      </c>
      <c r="BX327" s="18" t="str">
        <f>VLOOKUP(Terminales[[#This Row],[USUARIO_FINAL]],'[1]Personal Ppto vs Real'!$A:$F,6,0)</f>
        <v>OTERO YEPEZ ANDREA SOLEDAD</v>
      </c>
      <c r="BY32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2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27" s="18">
        <f>DAY(Terminales[[#This Row],[FECHA_FACTURA]])</f>
        <v>15</v>
      </c>
      <c r="CB327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327" s="65">
        <f>IFERROR(IF(AND(Terminales[[#This Row],[CANTIDAD]] = 1,Terminales[[#This Row],[MOVIMIENTO]] = "RENOVACION"),Terminales[[#This Row],[TARIFA_BASICA]]*0.5,),)</f>
        <v>6.8949999999999996</v>
      </c>
      <c r="CD327" s="65">
        <f>IF('[1]Resumen TM'!$AW$20 &lt; 0.4,0,Terminales[[#This Row],[MONTO]]*0.02)</f>
        <v>4.1071428000000001</v>
      </c>
      <c r="CE327" s="66">
        <f>Terminales[[#This Row],[COMISIONES TERMINALES]]+Terminales[[#This Row],[COMISIONES RENOVACIONES]]+Terminales[[#This Row],[COMISIONES BONO]]</f>
        <v>31.5378568</v>
      </c>
      <c r="CF327" s="67">
        <f>(Terminales[[#This Row],[COMISIONES TERMINALES]]*VLOOKUP(Terminales[[#This Row],[LOCALES]],[1]!Calendario[#Data],3,0))/VLOOKUP(Terminales[[#This Row],[LOCALES]],[1]!Calendario[#Data],2,0)</f>
        <v>33.784561741935484</v>
      </c>
      <c r="CG327" s="67">
        <f>(Terminales[[#This Row],[COMISIONES RENOVACIONES]]*VLOOKUP(Terminales[[#This Row],[LOCALES]],[1]!Calendario[#Data],3,0))/VLOOKUP(Terminales[[#This Row],[LOCALES]],[1]!Calendario[#Data],2,0)</f>
        <v>11.343387096774192</v>
      </c>
      <c r="CH327" s="67">
        <f>(Terminales[[#This Row],[COMISIONES BONO]]*VLOOKUP(Terminales[[#This Row],[LOCALES]],[1]!Calendario[#Data],3,0))/VLOOKUP(Terminales[[#This Row],[LOCALES]],[1]!Calendario[#Data],2,0)</f>
        <v>6.7569123483870968</v>
      </c>
      <c r="CI327" s="67">
        <f>Terminales[[#This Row],[PROY. COM. TERMINALES]]+Terminales[[#This Row],[PROY. COM. RENOV.]]+Terminales[[#This Row],[PROY. COM. 2%]]</f>
        <v>51.884861187096774</v>
      </c>
    </row>
    <row r="328" spans="1:87" x14ac:dyDescent="0.25">
      <c r="A328" s="68">
        <v>44926</v>
      </c>
      <c r="B328" s="68">
        <v>44910</v>
      </c>
      <c r="C328" s="18" t="s">
        <v>291</v>
      </c>
      <c r="D328" s="18" t="s">
        <v>78</v>
      </c>
      <c r="E328" s="18" t="s">
        <v>2241</v>
      </c>
      <c r="F328" s="18" t="s">
        <v>10077</v>
      </c>
      <c r="G328" s="18" t="s">
        <v>292</v>
      </c>
      <c r="H328" s="18" t="s">
        <v>293</v>
      </c>
      <c r="I328" s="18" t="s">
        <v>10078</v>
      </c>
      <c r="J328" s="18" t="s">
        <v>95</v>
      </c>
      <c r="K328" s="18" t="s">
        <v>7970</v>
      </c>
      <c r="L328" s="18" t="s">
        <v>10079</v>
      </c>
      <c r="M328" s="18" t="s">
        <v>10080</v>
      </c>
      <c r="N328" s="18" t="s">
        <v>10081</v>
      </c>
      <c r="O328" s="18" t="s">
        <v>338</v>
      </c>
      <c r="P328" s="18" t="s">
        <v>10082</v>
      </c>
      <c r="Q328" s="18" t="s">
        <v>7975</v>
      </c>
      <c r="R328" s="18" t="s">
        <v>7976</v>
      </c>
      <c r="S328" s="18" t="s">
        <v>7977</v>
      </c>
      <c r="T328" s="18" t="s">
        <v>7978</v>
      </c>
      <c r="U328" s="18" t="s">
        <v>7979</v>
      </c>
      <c r="V328" s="18" t="s">
        <v>6963</v>
      </c>
      <c r="W328" s="18" t="s">
        <v>95</v>
      </c>
      <c r="X328" s="18" t="s">
        <v>95</v>
      </c>
      <c r="Y328" s="18" t="s">
        <v>7980</v>
      </c>
      <c r="Z328" s="18" t="s">
        <v>6996</v>
      </c>
      <c r="AA328" s="69">
        <v>1</v>
      </c>
      <c r="AB328" s="18">
        <v>383.92856999999998</v>
      </c>
      <c r="AC328" s="18" t="s">
        <v>10083</v>
      </c>
      <c r="AD328" s="18" t="s">
        <v>7982</v>
      </c>
      <c r="AE328" s="18">
        <v>235</v>
      </c>
      <c r="AF328" s="18" t="s">
        <v>7983</v>
      </c>
      <c r="AG328" s="18">
        <v>235</v>
      </c>
      <c r="AH328" s="18" t="s">
        <v>95</v>
      </c>
      <c r="AI328" s="18" t="s">
        <v>71</v>
      </c>
      <c r="AJ328" s="18" t="s">
        <v>258</v>
      </c>
      <c r="AK328" s="18">
        <v>11.42</v>
      </c>
      <c r="AL328" s="18" t="s">
        <v>95</v>
      </c>
      <c r="AM328" s="18" t="s">
        <v>95</v>
      </c>
      <c r="AN328" s="18" t="s">
        <v>7984</v>
      </c>
      <c r="AO328" s="18" t="s">
        <v>139</v>
      </c>
      <c r="AP328" s="20" t="s">
        <v>280</v>
      </c>
      <c r="AQ328" s="18" t="s">
        <v>281</v>
      </c>
      <c r="AR328" s="18" t="s">
        <v>496</v>
      </c>
      <c r="AS328" s="18">
        <v>1</v>
      </c>
      <c r="AT328" s="18" t="s">
        <v>235</v>
      </c>
      <c r="AU328" s="18" t="s">
        <v>90</v>
      </c>
      <c r="AV328" s="18" t="s">
        <v>7985</v>
      </c>
      <c r="AW328" s="18" t="s">
        <v>7986</v>
      </c>
      <c r="AX328" s="18" t="s">
        <v>83</v>
      </c>
      <c r="AY328" s="18" t="s">
        <v>95</v>
      </c>
      <c r="AZ328" s="18" t="s">
        <v>95</v>
      </c>
      <c r="BA328" s="18" t="s">
        <v>95</v>
      </c>
      <c r="BB328" s="18" t="s">
        <v>95</v>
      </c>
      <c r="BC328" s="18" t="s">
        <v>95</v>
      </c>
      <c r="BD328" s="18" t="s">
        <v>95</v>
      </c>
      <c r="BE328" s="18" t="s">
        <v>95</v>
      </c>
      <c r="BF328" s="18" t="s">
        <v>95</v>
      </c>
      <c r="BG328" s="18" t="s">
        <v>95</v>
      </c>
      <c r="BH328" s="18" t="s">
        <v>95</v>
      </c>
      <c r="BI328" s="18">
        <v>12</v>
      </c>
      <c r="BJ328" s="18">
        <v>2022</v>
      </c>
      <c r="BK328" s="18" t="s">
        <v>95</v>
      </c>
      <c r="BL328" s="18" t="s">
        <v>95</v>
      </c>
      <c r="BM328" s="18" t="s">
        <v>95</v>
      </c>
      <c r="BN328" s="18" t="s">
        <v>85</v>
      </c>
      <c r="BO328" s="18" t="s">
        <v>86</v>
      </c>
      <c r="BP328" s="18" t="s">
        <v>90</v>
      </c>
      <c r="BQ328" s="18" t="s">
        <v>8016</v>
      </c>
      <c r="BR328" s="18" t="s">
        <v>139</v>
      </c>
      <c r="BS328" s="18" t="s">
        <v>9828</v>
      </c>
      <c r="BT328" s="18" t="s">
        <v>7989</v>
      </c>
      <c r="BU328" s="18" t="s">
        <v>7990</v>
      </c>
      <c r="BV328" s="18" t="str">
        <f>Terminales[[#This Row],[IMEI]]&amp;"SI"</f>
        <v>866184061858036SI</v>
      </c>
      <c r="BW328" s="18" t="str">
        <f>VLOOKUP(Terminales[[#This Row],[OFICINA_USUARIO]],[1]!Locales[#Data],3,0)</f>
        <v>TIENDA CONDADO</v>
      </c>
      <c r="BX328" s="18" t="str">
        <f>VLOOKUP(Terminales[[#This Row],[USUARIO_FINAL]],'[1]Personal Ppto vs Real'!$A:$F,6,0)</f>
        <v>GUACHAMIN CAZA HUGO ADRIAN</v>
      </c>
      <c r="BY32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2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28" s="18">
        <f>DAY(Terminales[[#This Row],[FECHA_FACTURA]])</f>
        <v>15</v>
      </c>
      <c r="CB328" s="65">
        <f>IF(Terminales[[#This Row],[CANTIDAD]] = 1,INDEX([1]!Comisiones[#Data],MATCH("Terminales",[1]!Comisiones[Producto],0),MATCH(Terminales[[#This Row],[TIPO ALTA COMISIONES]],[1]!Comisiones[#Headers],0))*Terminales[[#This Row],[MONTO]],0)</f>
        <v>38.392856999999999</v>
      </c>
      <c r="CC328" s="65">
        <f>IFERROR(IF(AND(Terminales[[#This Row],[CANTIDAD]] = 1,Terminales[[#This Row],[MOVIMIENTO]] = "RENOVACION"),Terminales[[#This Row],[TARIFA_BASICA]]*0.5,),)</f>
        <v>5.71</v>
      </c>
      <c r="CD328" s="65">
        <f>IF('[1]Resumen TM'!$AW$20 &lt; 0.4,0,Terminales[[#This Row],[MONTO]]*0.02)</f>
        <v>7.6785714</v>
      </c>
      <c r="CE328" s="66">
        <f>Terminales[[#This Row],[COMISIONES TERMINALES]]+Terminales[[#This Row],[COMISIONES RENOVACIONES]]+Terminales[[#This Row],[COMISIONES BONO]]</f>
        <v>51.781428400000003</v>
      </c>
      <c r="CF328" s="67">
        <f>(Terminales[[#This Row],[COMISIONES TERMINALES]]*VLOOKUP(Terminales[[#This Row],[LOCALES]],[1]!Calendario[#Data],3,0))/VLOOKUP(Terminales[[#This Row],[LOCALES]],[1]!Calendario[#Data],2,0)</f>
        <v>63.162442161290322</v>
      </c>
      <c r="CG328" s="67">
        <f>(Terminales[[#This Row],[COMISIONES RENOVACIONES]]*VLOOKUP(Terminales[[#This Row],[LOCALES]],[1]!Calendario[#Data],3,0))/VLOOKUP(Terminales[[#This Row],[LOCALES]],[1]!Calendario[#Data],2,0)</f>
        <v>9.3938709677419343</v>
      </c>
      <c r="CH328" s="67">
        <f>(Terminales[[#This Row],[COMISIONES BONO]]*VLOOKUP(Terminales[[#This Row],[LOCALES]],[1]!Calendario[#Data],3,0))/VLOOKUP(Terminales[[#This Row],[LOCALES]],[1]!Calendario[#Data],2,0)</f>
        <v>12.632488432258064</v>
      </c>
      <c r="CI328" s="67">
        <f>Terminales[[#This Row],[PROY. COM. TERMINALES]]+Terminales[[#This Row],[PROY. COM. RENOV.]]+Terminales[[#This Row],[PROY. COM. 2%]]</f>
        <v>85.188801561290319</v>
      </c>
    </row>
    <row r="329" spans="1:87" x14ac:dyDescent="0.25">
      <c r="A329" s="68">
        <v>44926</v>
      </c>
      <c r="B329" s="68">
        <v>44910</v>
      </c>
      <c r="C329" s="18" t="s">
        <v>291</v>
      </c>
      <c r="D329" s="18" t="s">
        <v>78</v>
      </c>
      <c r="E329" s="18" t="s">
        <v>768</v>
      </c>
      <c r="F329" s="18" t="s">
        <v>10084</v>
      </c>
      <c r="G329" s="18" t="s">
        <v>292</v>
      </c>
      <c r="H329" s="18" t="s">
        <v>293</v>
      </c>
      <c r="I329" s="18" t="s">
        <v>10085</v>
      </c>
      <c r="J329" s="18" t="s">
        <v>95</v>
      </c>
      <c r="K329" s="18" t="s">
        <v>7970</v>
      </c>
      <c r="L329" s="18" t="s">
        <v>10086</v>
      </c>
      <c r="M329" s="18" t="s">
        <v>10087</v>
      </c>
      <c r="N329" s="18" t="s">
        <v>10088</v>
      </c>
      <c r="O329" s="18" t="s">
        <v>8127</v>
      </c>
      <c r="P329" s="18" t="s">
        <v>10089</v>
      </c>
      <c r="Q329" s="18" t="s">
        <v>7975</v>
      </c>
      <c r="R329" s="18" t="s">
        <v>7976</v>
      </c>
      <c r="S329" s="18" t="s">
        <v>8045</v>
      </c>
      <c r="T329" s="18" t="s">
        <v>8129</v>
      </c>
      <c r="U329" s="18" t="s">
        <v>8012</v>
      </c>
      <c r="V329" s="18" t="s">
        <v>6963</v>
      </c>
      <c r="W329" s="18" t="s">
        <v>95</v>
      </c>
      <c r="X329" s="18" t="s">
        <v>95</v>
      </c>
      <c r="Y329" s="18" t="s">
        <v>7980</v>
      </c>
      <c r="Z329" s="18" t="s">
        <v>6996</v>
      </c>
      <c r="AA329" s="69">
        <v>1</v>
      </c>
      <c r="AB329" s="18">
        <v>321.42856999999998</v>
      </c>
      <c r="AC329" s="18" t="s">
        <v>10090</v>
      </c>
      <c r="AD329" s="18" t="s">
        <v>7982</v>
      </c>
      <c r="AE329" s="18">
        <v>199.5</v>
      </c>
      <c r="AF329" s="18" t="s">
        <v>7983</v>
      </c>
      <c r="AG329" s="18">
        <v>199.5</v>
      </c>
      <c r="AH329" s="18" t="s">
        <v>95</v>
      </c>
      <c r="AI329" s="18" t="s">
        <v>7358</v>
      </c>
      <c r="AJ329" s="18" t="s">
        <v>7359</v>
      </c>
      <c r="AK329" s="18">
        <v>10.54</v>
      </c>
      <c r="AL329" s="18" t="s">
        <v>95</v>
      </c>
      <c r="AM329" s="18" t="s">
        <v>95</v>
      </c>
      <c r="AN329" s="18" t="s">
        <v>7984</v>
      </c>
      <c r="AO329" s="18" t="s">
        <v>139</v>
      </c>
      <c r="AP329" s="20" t="s">
        <v>271</v>
      </c>
      <c r="AQ329" s="18" t="s">
        <v>272</v>
      </c>
      <c r="AR329" s="18" t="s">
        <v>295</v>
      </c>
      <c r="AS329" s="18">
        <v>1</v>
      </c>
      <c r="AT329" s="18" t="s">
        <v>235</v>
      </c>
      <c r="AU329" s="18" t="s">
        <v>90</v>
      </c>
      <c r="AV329" s="18" t="s">
        <v>8131</v>
      </c>
      <c r="AW329" s="18" t="s">
        <v>8132</v>
      </c>
      <c r="AX329" s="18" t="s">
        <v>83</v>
      </c>
      <c r="AY329" s="18" t="s">
        <v>95</v>
      </c>
      <c r="AZ329" s="18" t="s">
        <v>95</v>
      </c>
      <c r="BA329" s="18" t="s">
        <v>95</v>
      </c>
      <c r="BB329" s="18" t="s">
        <v>95</v>
      </c>
      <c r="BC329" s="18" t="s">
        <v>95</v>
      </c>
      <c r="BD329" s="18">
        <v>57.14</v>
      </c>
      <c r="BE329" s="18" t="s">
        <v>95</v>
      </c>
      <c r="BF329" s="18" t="s">
        <v>95</v>
      </c>
      <c r="BG329" s="18" t="s">
        <v>95</v>
      </c>
      <c r="BH329" s="18" t="s">
        <v>95</v>
      </c>
      <c r="BI329" s="18">
        <v>12</v>
      </c>
      <c r="BJ329" s="18">
        <v>2022</v>
      </c>
      <c r="BK329" s="18" t="s">
        <v>95</v>
      </c>
      <c r="BL329" s="18" t="s">
        <v>95</v>
      </c>
      <c r="BM329" s="18" t="s">
        <v>95</v>
      </c>
      <c r="BN329" s="18" t="s">
        <v>85</v>
      </c>
      <c r="BO329" s="18" t="s">
        <v>86</v>
      </c>
      <c r="BP329" s="18" t="s">
        <v>90</v>
      </c>
      <c r="BQ329" s="18" t="s">
        <v>8016</v>
      </c>
      <c r="BR329" s="18" t="s">
        <v>139</v>
      </c>
      <c r="BS329" s="18" t="s">
        <v>9828</v>
      </c>
      <c r="BT329" s="18" t="s">
        <v>7989</v>
      </c>
      <c r="BU329" s="18" t="s">
        <v>7990</v>
      </c>
      <c r="BV329" s="18" t="str">
        <f>Terminales[[#This Row],[IMEI]]&amp;"SI"</f>
        <v>352177398815316SI</v>
      </c>
      <c r="BW329" s="18" t="str">
        <f>VLOOKUP(Terminales[[#This Row],[OFICINA_USUARIO]],[1]!Locales[#Data],3,0)</f>
        <v>TIENDA CONDADO</v>
      </c>
      <c r="BX329" s="18" t="str">
        <f>VLOOKUP(Terminales[[#This Row],[USUARIO_FINAL]],'[1]Personal Ppto vs Real'!$A:$F,6,0)</f>
        <v>CASTILLO AGUIRRE EDWIN MODESTO</v>
      </c>
      <c r="BY329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2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29" s="18">
        <f>DAY(Terminales[[#This Row],[FECHA_FACTURA]])</f>
        <v>15</v>
      </c>
      <c r="CB329" s="65">
        <f>IF(Terminales[[#This Row],[CANTIDAD]] = 1,INDEX([1]!Comisiones[#Data],MATCH("Terminales",[1]!Comisiones[Producto],0),MATCH(Terminales[[#This Row],[TIPO ALTA COMISIONES]],[1]!Comisiones[#Headers],0))*Terminales[[#This Row],[MONTO]],0)</f>
        <v>32.142856999999999</v>
      </c>
      <c r="CC329" s="65">
        <f>IFERROR(IF(AND(Terminales[[#This Row],[CANTIDAD]] = 1,Terminales[[#This Row],[MOVIMIENTO]] = "RENOVACION"),Terminales[[#This Row],[TARIFA_BASICA]]*0.5,),)</f>
        <v>5.27</v>
      </c>
      <c r="CD329" s="65">
        <f>IF('[1]Resumen TM'!$AW$20 &lt; 0.4,0,Terminales[[#This Row],[MONTO]]*0.02)</f>
        <v>6.4285714</v>
      </c>
      <c r="CE329" s="66">
        <f>Terminales[[#This Row],[COMISIONES TERMINALES]]+Terminales[[#This Row],[COMISIONES RENOVACIONES]]+Terminales[[#This Row],[COMISIONES BONO]]</f>
        <v>43.841428400000005</v>
      </c>
      <c r="CF329" s="67">
        <f>(Terminales[[#This Row],[COMISIONES TERMINALES]]*VLOOKUP(Terminales[[#This Row],[LOCALES]],[1]!Calendario[#Data],3,0))/VLOOKUP(Terminales[[#This Row],[LOCALES]],[1]!Calendario[#Data],2,0)</f>
        <v>52.880184096774194</v>
      </c>
      <c r="CG329" s="67">
        <f>(Terminales[[#This Row],[COMISIONES RENOVACIONES]]*VLOOKUP(Terminales[[#This Row],[LOCALES]],[1]!Calendario[#Data],3,0))/VLOOKUP(Terminales[[#This Row],[LOCALES]],[1]!Calendario[#Data],2,0)</f>
        <v>8.67</v>
      </c>
      <c r="CH329" s="67">
        <f>(Terminales[[#This Row],[COMISIONES BONO]]*VLOOKUP(Terminales[[#This Row],[LOCALES]],[1]!Calendario[#Data],3,0))/VLOOKUP(Terminales[[#This Row],[LOCALES]],[1]!Calendario[#Data],2,0)</f>
        <v>10.576036819354838</v>
      </c>
      <c r="CI329" s="67">
        <f>Terminales[[#This Row],[PROY. COM. TERMINALES]]+Terminales[[#This Row],[PROY. COM. RENOV.]]+Terminales[[#This Row],[PROY. COM. 2%]]</f>
        <v>72.126220916129029</v>
      </c>
    </row>
    <row r="330" spans="1:87" x14ac:dyDescent="0.25">
      <c r="A330" s="68">
        <v>44926</v>
      </c>
      <c r="B330" s="68">
        <v>44910</v>
      </c>
      <c r="C330" s="18" t="s">
        <v>96</v>
      </c>
      <c r="D330" s="18" t="s">
        <v>96</v>
      </c>
      <c r="E330" s="18" t="s">
        <v>96</v>
      </c>
      <c r="F330" s="18" t="s">
        <v>10091</v>
      </c>
      <c r="G330" s="18" t="s">
        <v>292</v>
      </c>
      <c r="H330" s="18" t="s">
        <v>494</v>
      </c>
      <c r="I330" s="18" t="s">
        <v>10092</v>
      </c>
      <c r="J330" s="18" t="s">
        <v>95</v>
      </c>
      <c r="K330" s="18" t="s">
        <v>7970</v>
      </c>
      <c r="L330" s="18" t="s">
        <v>10093</v>
      </c>
      <c r="M330" s="18" t="s">
        <v>10094</v>
      </c>
      <c r="N330" s="18" t="s">
        <v>10095</v>
      </c>
      <c r="O330" s="18" t="s">
        <v>2260</v>
      </c>
      <c r="P330" s="18" t="s">
        <v>10096</v>
      </c>
      <c r="Q330" s="18" t="s">
        <v>7975</v>
      </c>
      <c r="R330" s="18" t="s">
        <v>7976</v>
      </c>
      <c r="S330" s="18" t="s">
        <v>8010</v>
      </c>
      <c r="T330" s="18" t="s">
        <v>8011</v>
      </c>
      <c r="U330" s="18" t="s">
        <v>8012</v>
      </c>
      <c r="V330" s="18" t="s">
        <v>6963</v>
      </c>
      <c r="W330" s="18" t="s">
        <v>95</v>
      </c>
      <c r="X330" s="18" t="s">
        <v>95</v>
      </c>
      <c r="Y330" s="18" t="s">
        <v>7980</v>
      </c>
      <c r="Z330" s="18" t="s">
        <v>6996</v>
      </c>
      <c r="AA330" s="69">
        <v>1</v>
      </c>
      <c r="AB330" s="18">
        <v>196.42857000000001</v>
      </c>
      <c r="AC330" s="18" t="s">
        <v>10097</v>
      </c>
      <c r="AD330" s="18" t="s">
        <v>96</v>
      </c>
      <c r="AE330" s="18">
        <v>168.8</v>
      </c>
      <c r="AF330" s="18" t="s">
        <v>7983</v>
      </c>
      <c r="AG330" s="18">
        <v>168.8</v>
      </c>
      <c r="AH330" s="18" t="s">
        <v>95</v>
      </c>
      <c r="AI330" s="18" t="s">
        <v>8102</v>
      </c>
      <c r="AJ330" s="18" t="s">
        <v>8103</v>
      </c>
      <c r="AK330" s="18" t="s">
        <v>95</v>
      </c>
      <c r="AL330" s="18" t="s">
        <v>95</v>
      </c>
      <c r="AM330" s="18" t="s">
        <v>95</v>
      </c>
      <c r="AN330" s="18" t="s">
        <v>7984</v>
      </c>
      <c r="AO330" s="18" t="s">
        <v>139</v>
      </c>
      <c r="AP330" s="20" t="s">
        <v>271</v>
      </c>
      <c r="AQ330" s="18" t="s">
        <v>272</v>
      </c>
      <c r="AR330" s="18" t="s">
        <v>496</v>
      </c>
      <c r="AS330" s="18">
        <v>1</v>
      </c>
      <c r="AT330" s="18" t="s">
        <v>235</v>
      </c>
      <c r="AU330" s="18" t="s">
        <v>90</v>
      </c>
      <c r="AV330" s="18" t="s">
        <v>8014</v>
      </c>
      <c r="AW330" s="18" t="s">
        <v>8015</v>
      </c>
      <c r="AX330" s="18" t="s">
        <v>83</v>
      </c>
      <c r="AY330" s="18" t="s">
        <v>95</v>
      </c>
      <c r="AZ330" s="18" t="s">
        <v>95</v>
      </c>
      <c r="BA330" s="18" t="s">
        <v>95</v>
      </c>
      <c r="BB330" s="18" t="s">
        <v>95</v>
      </c>
      <c r="BC330" s="18" t="s">
        <v>95</v>
      </c>
      <c r="BD330" s="18" t="s">
        <v>95</v>
      </c>
      <c r="BE330" s="18" t="s">
        <v>95</v>
      </c>
      <c r="BF330" s="18" t="s">
        <v>95</v>
      </c>
      <c r="BG330" s="18" t="s">
        <v>95</v>
      </c>
      <c r="BH330" s="18" t="s">
        <v>95</v>
      </c>
      <c r="BI330" s="18">
        <v>12</v>
      </c>
      <c r="BJ330" s="18">
        <v>2022</v>
      </c>
      <c r="BK330" s="18" t="s">
        <v>95</v>
      </c>
      <c r="BL330" s="18" t="s">
        <v>95</v>
      </c>
      <c r="BM330" s="18" t="s">
        <v>95</v>
      </c>
      <c r="BN330" s="18" t="s">
        <v>85</v>
      </c>
      <c r="BO330" s="18" t="s">
        <v>86</v>
      </c>
      <c r="BP330" s="18" t="s">
        <v>90</v>
      </c>
      <c r="BQ330" s="18" t="s">
        <v>8016</v>
      </c>
      <c r="BR330" s="18" t="s">
        <v>139</v>
      </c>
      <c r="BS330" s="18" t="s">
        <v>8074</v>
      </c>
      <c r="BT330" s="18" t="s">
        <v>7989</v>
      </c>
      <c r="BU330" s="18" t="s">
        <v>496</v>
      </c>
      <c r="BV330" s="18" t="str">
        <f>Terminales[[#This Row],[IMEI]]&amp;"SI"</f>
        <v>359694275289459SI</v>
      </c>
      <c r="BW330" s="18" t="str">
        <f>VLOOKUP(Terminales[[#This Row],[OFICINA_USUARIO]],[1]!Locales[#Data],3,0)</f>
        <v>TIENDA CONDADO</v>
      </c>
      <c r="BX330" s="18" t="str">
        <f>VLOOKUP(Terminales[[#This Row],[USUARIO_FINAL]],'[1]Personal Ppto vs Real'!$A:$F,6,0)</f>
        <v>CASTILLO AGUIRRE EDWIN MODESTO</v>
      </c>
      <c r="BY33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3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30" s="18">
        <f>DAY(Terminales[[#This Row],[FECHA_FACTURA]])</f>
        <v>15</v>
      </c>
      <c r="CB330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330" s="65">
        <f>IFERROR(IF(AND(Terminales[[#This Row],[CANTIDAD]] = 1,Terminales[[#This Row],[MOVIMIENTO]] = "RENOVACION"),Terminales[[#This Row],[TARIFA_BASICA]]*0.5,),)</f>
        <v>0</v>
      </c>
      <c r="CD330" s="65">
        <f>IF('[1]Resumen TM'!$AW$20 &lt; 0.4,0,Terminales[[#This Row],[MONTO]]*0.02)</f>
        <v>3.9285714</v>
      </c>
      <c r="CE330" s="66">
        <f>Terminales[[#This Row],[COMISIONES TERMINALES]]+Terminales[[#This Row],[COMISIONES RENOVACIONES]]+Terminales[[#This Row],[COMISIONES BONO]]</f>
        <v>23.571428400000002</v>
      </c>
      <c r="CF330" s="67">
        <f>(Terminales[[#This Row],[COMISIONES TERMINALES]]*VLOOKUP(Terminales[[#This Row],[LOCALES]],[1]!Calendario[#Data],3,0))/VLOOKUP(Terminales[[#This Row],[LOCALES]],[1]!Calendario[#Data],2,0)</f>
        <v>32.315667967741938</v>
      </c>
      <c r="CG330" s="67">
        <f>(Terminales[[#This Row],[COMISIONES RENOVACIONES]]*VLOOKUP(Terminales[[#This Row],[LOCALES]],[1]!Calendario[#Data],3,0))/VLOOKUP(Terminales[[#This Row],[LOCALES]],[1]!Calendario[#Data],2,0)</f>
        <v>0</v>
      </c>
      <c r="CH330" s="67">
        <f>(Terminales[[#This Row],[COMISIONES BONO]]*VLOOKUP(Terminales[[#This Row],[LOCALES]],[1]!Calendario[#Data],3,0))/VLOOKUP(Terminales[[#This Row],[LOCALES]],[1]!Calendario[#Data],2,0)</f>
        <v>6.4631335935483865</v>
      </c>
      <c r="CI330" s="67">
        <f>Terminales[[#This Row],[PROY. COM. TERMINALES]]+Terminales[[#This Row],[PROY. COM. RENOV.]]+Terminales[[#This Row],[PROY. COM. 2%]]</f>
        <v>38.778801561290322</v>
      </c>
    </row>
    <row r="331" spans="1:87" x14ac:dyDescent="0.25">
      <c r="A331" s="68">
        <v>44926</v>
      </c>
      <c r="B331" s="68">
        <v>44911</v>
      </c>
      <c r="C331" s="18" t="s">
        <v>291</v>
      </c>
      <c r="D331" s="18" t="s">
        <v>78</v>
      </c>
      <c r="E331" s="18" t="s">
        <v>311</v>
      </c>
      <c r="F331" s="18" t="s">
        <v>10098</v>
      </c>
      <c r="G331" s="18" t="s">
        <v>292</v>
      </c>
      <c r="H331" s="18" t="s">
        <v>293</v>
      </c>
      <c r="I331" s="18" t="s">
        <v>10099</v>
      </c>
      <c r="J331" s="18" t="s">
        <v>95</v>
      </c>
      <c r="K331" s="18" t="s">
        <v>7970</v>
      </c>
      <c r="L331" s="18" t="s">
        <v>10100</v>
      </c>
      <c r="M331" s="18" t="s">
        <v>10101</v>
      </c>
      <c r="N331" s="18" t="s">
        <v>10102</v>
      </c>
      <c r="O331" s="18" t="s">
        <v>2260</v>
      </c>
      <c r="P331" s="18" t="s">
        <v>10103</v>
      </c>
      <c r="Q331" s="18" t="s">
        <v>7975</v>
      </c>
      <c r="R331" s="18" t="s">
        <v>7976</v>
      </c>
      <c r="S331" s="18" t="s">
        <v>8010</v>
      </c>
      <c r="T331" s="18" t="s">
        <v>8011</v>
      </c>
      <c r="U331" s="18" t="s">
        <v>8012</v>
      </c>
      <c r="V331" s="18" t="s">
        <v>6963</v>
      </c>
      <c r="W331" s="18" t="s">
        <v>95</v>
      </c>
      <c r="X331" s="18" t="s">
        <v>95</v>
      </c>
      <c r="Y331" s="18" t="s">
        <v>7980</v>
      </c>
      <c r="Z331" s="18" t="s">
        <v>6996</v>
      </c>
      <c r="AA331" s="69">
        <v>1</v>
      </c>
      <c r="AB331" s="18">
        <v>294.64285999999998</v>
      </c>
      <c r="AC331" s="18" t="s">
        <v>10104</v>
      </c>
      <c r="AD331" s="18" t="s">
        <v>7982</v>
      </c>
      <c r="AE331" s="18">
        <v>168.8</v>
      </c>
      <c r="AF331" s="18" t="s">
        <v>7983</v>
      </c>
      <c r="AG331" s="18">
        <v>168.8</v>
      </c>
      <c r="AH331" s="18" t="s">
        <v>95</v>
      </c>
      <c r="AI331" s="18" t="s">
        <v>7679</v>
      </c>
      <c r="AJ331" s="18" t="s">
        <v>7680</v>
      </c>
      <c r="AK331" s="18">
        <v>25.15</v>
      </c>
      <c r="AL331" s="18" t="s">
        <v>95</v>
      </c>
      <c r="AM331" s="18" t="s">
        <v>95</v>
      </c>
      <c r="AN331" s="18" t="s">
        <v>7984</v>
      </c>
      <c r="AO331" s="18" t="s">
        <v>92</v>
      </c>
      <c r="AP331" s="20" t="s">
        <v>352</v>
      </c>
      <c r="AQ331" s="18" t="s">
        <v>353</v>
      </c>
      <c r="AR331" s="18" t="s">
        <v>295</v>
      </c>
      <c r="AS331" s="18">
        <v>1</v>
      </c>
      <c r="AT331" s="18" t="s">
        <v>122</v>
      </c>
      <c r="AU331" s="18" t="s">
        <v>90</v>
      </c>
      <c r="AV331" s="18" t="s">
        <v>8014</v>
      </c>
      <c r="AW331" s="18" t="s">
        <v>8015</v>
      </c>
      <c r="AX331" s="18" t="s">
        <v>83</v>
      </c>
      <c r="AY331" s="18" t="s">
        <v>95</v>
      </c>
      <c r="AZ331" s="18" t="s">
        <v>95</v>
      </c>
      <c r="BA331" s="18" t="s">
        <v>95</v>
      </c>
      <c r="BB331" s="18" t="s">
        <v>95</v>
      </c>
      <c r="BC331" s="18" t="s">
        <v>95</v>
      </c>
      <c r="BD331" s="18">
        <v>60</v>
      </c>
      <c r="BE331" s="18" t="s">
        <v>95</v>
      </c>
      <c r="BF331" s="18" t="s">
        <v>95</v>
      </c>
      <c r="BG331" s="18" t="s">
        <v>95</v>
      </c>
      <c r="BH331" s="18" t="s">
        <v>95</v>
      </c>
      <c r="BI331" s="18">
        <v>12</v>
      </c>
      <c r="BJ331" s="18">
        <v>2022</v>
      </c>
      <c r="BK331" s="18" t="s">
        <v>95</v>
      </c>
      <c r="BL331" s="18" t="s">
        <v>95</v>
      </c>
      <c r="BM331" s="18" t="s">
        <v>95</v>
      </c>
      <c r="BN331" s="18" t="s">
        <v>85</v>
      </c>
      <c r="BO331" s="18" t="s">
        <v>86</v>
      </c>
      <c r="BP331" s="18" t="s">
        <v>90</v>
      </c>
      <c r="BQ331" s="18" t="s">
        <v>8050</v>
      </c>
      <c r="BR331" s="18" t="s">
        <v>92</v>
      </c>
      <c r="BS331" s="18" t="s">
        <v>9828</v>
      </c>
      <c r="BT331" s="18" t="s">
        <v>7989</v>
      </c>
      <c r="BU331" s="18" t="s">
        <v>7990</v>
      </c>
      <c r="BV331" s="18" t="str">
        <f>Terminales[[#This Row],[IMEI]]&amp;"SI"</f>
        <v>359694275284443SI</v>
      </c>
      <c r="BW331" s="18" t="str">
        <f>VLOOKUP(Terminales[[#This Row],[OFICINA_USUARIO]],[1]!Locales[#Data],3,0)</f>
        <v>TIENDA MACHALA</v>
      </c>
      <c r="BX331" s="18" t="str">
        <f>VLOOKUP(Terminales[[#This Row],[USUARIO_FINAL]],'[1]Personal Ppto vs Real'!$A:$F,6,0)</f>
        <v>TENORIO MARIA DEL PILAR</v>
      </c>
      <c r="BY331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3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31" s="18">
        <f>DAY(Terminales[[#This Row],[FECHA_FACTURA]])</f>
        <v>16</v>
      </c>
      <c r="CB331" s="65">
        <f>IF(Terminales[[#This Row],[CANTIDAD]] = 1,INDEX([1]!Comisiones[#Data],MATCH("Terminales",[1]!Comisiones[Producto],0),MATCH(Terminales[[#This Row],[TIPO ALTA COMISIONES]],[1]!Comisiones[#Headers],0))*Terminales[[#This Row],[MONTO]],0)</f>
        <v>29.464286000000001</v>
      </c>
      <c r="CC331" s="65">
        <f>IFERROR(IF(AND(Terminales[[#This Row],[CANTIDAD]] = 1,Terminales[[#This Row],[MOVIMIENTO]] = "RENOVACION"),Terminales[[#This Row],[TARIFA_BASICA]]*0.5,),)</f>
        <v>12.574999999999999</v>
      </c>
      <c r="CD331" s="65">
        <f>IF('[1]Resumen TM'!$AW$20 &lt; 0.4,0,Terminales[[#This Row],[MONTO]]*0.02)</f>
        <v>5.8928571999999999</v>
      </c>
      <c r="CE331" s="66">
        <f>Terminales[[#This Row],[COMISIONES TERMINALES]]+Terminales[[#This Row],[COMISIONES RENOVACIONES]]+Terminales[[#This Row],[COMISIONES BONO]]</f>
        <v>47.932143200000006</v>
      </c>
      <c r="CF331" s="67">
        <f>(Terminales[[#This Row],[COMISIONES TERMINALES]]*VLOOKUP(Terminales[[#This Row],[LOCALES]],[1]!Calendario[#Data],3,0))/VLOOKUP(Terminales[[#This Row],[LOCALES]],[1]!Calendario[#Data],2,0)</f>
        <v>47.752463517241388</v>
      </c>
      <c r="CG331" s="67">
        <f>(Terminales[[#This Row],[COMISIONES RENOVACIONES]]*VLOOKUP(Terminales[[#This Row],[LOCALES]],[1]!Calendario[#Data],3,0))/VLOOKUP(Terminales[[#This Row],[LOCALES]],[1]!Calendario[#Data],2,0)</f>
        <v>20.380172413793101</v>
      </c>
      <c r="CH331" s="67">
        <f>(Terminales[[#This Row],[COMISIONES BONO]]*VLOOKUP(Terminales[[#This Row],[LOCALES]],[1]!Calendario[#Data],3,0))/VLOOKUP(Terminales[[#This Row],[LOCALES]],[1]!Calendario[#Data],2,0)</f>
        <v>9.5504927034482758</v>
      </c>
      <c r="CI331" s="67">
        <f>Terminales[[#This Row],[PROY. COM. TERMINALES]]+Terminales[[#This Row],[PROY. COM. RENOV.]]+Terminales[[#This Row],[PROY. COM. 2%]]</f>
        <v>77.683128634482756</v>
      </c>
    </row>
    <row r="332" spans="1:87" x14ac:dyDescent="0.25">
      <c r="A332" s="68">
        <v>44926</v>
      </c>
      <c r="B332" s="68">
        <v>44911</v>
      </c>
      <c r="C332" s="18" t="s">
        <v>291</v>
      </c>
      <c r="D332" s="18" t="s">
        <v>521</v>
      </c>
      <c r="E332" s="18" t="s">
        <v>8017</v>
      </c>
      <c r="F332" s="18" t="s">
        <v>10105</v>
      </c>
      <c r="G332" s="18" t="s">
        <v>292</v>
      </c>
      <c r="H332" s="18" t="s">
        <v>494</v>
      </c>
      <c r="I332" s="18" t="s">
        <v>10106</v>
      </c>
      <c r="J332" s="18" t="s">
        <v>95</v>
      </c>
      <c r="K332" s="18" t="s">
        <v>7970</v>
      </c>
      <c r="L332" s="18" t="s">
        <v>10107</v>
      </c>
      <c r="M332" s="18" t="s">
        <v>10108</v>
      </c>
      <c r="N332" s="18" t="s">
        <v>10109</v>
      </c>
      <c r="O332" s="18" t="s">
        <v>8584</v>
      </c>
      <c r="P332" s="18" t="s">
        <v>10110</v>
      </c>
      <c r="Q332" s="18" t="s">
        <v>7975</v>
      </c>
      <c r="R332" s="18" t="s">
        <v>7976</v>
      </c>
      <c r="S332" s="18" t="s">
        <v>8045</v>
      </c>
      <c r="T332" s="18" t="s">
        <v>8586</v>
      </c>
      <c r="U332" s="18" t="s">
        <v>8059</v>
      </c>
      <c r="V332" s="18" t="s">
        <v>6963</v>
      </c>
      <c r="W332" s="18" t="s">
        <v>95</v>
      </c>
      <c r="X332" s="18" t="s">
        <v>95</v>
      </c>
      <c r="Y332" s="18" t="s">
        <v>7980</v>
      </c>
      <c r="Z332" s="18" t="s">
        <v>6996</v>
      </c>
      <c r="AA332" s="69">
        <v>1</v>
      </c>
      <c r="AB332" s="18">
        <v>669.64286000000004</v>
      </c>
      <c r="AC332" s="18" t="s">
        <v>10111</v>
      </c>
      <c r="AD332" s="18" t="s">
        <v>7982</v>
      </c>
      <c r="AE332" s="18">
        <v>655</v>
      </c>
      <c r="AF332" s="18" t="s">
        <v>7983</v>
      </c>
      <c r="AG332" s="18">
        <v>655</v>
      </c>
      <c r="AH332" s="18" t="s">
        <v>95</v>
      </c>
      <c r="AI332" s="18" t="s">
        <v>7055</v>
      </c>
      <c r="AJ332" s="18" t="s">
        <v>7056</v>
      </c>
      <c r="AK332" s="18">
        <v>15</v>
      </c>
      <c r="AL332" s="18" t="s">
        <v>95</v>
      </c>
      <c r="AM332" s="18" t="s">
        <v>95</v>
      </c>
      <c r="AN332" s="18" t="s">
        <v>7984</v>
      </c>
      <c r="AO332" s="18" t="s">
        <v>92</v>
      </c>
      <c r="AP332" s="20" t="s">
        <v>1020</v>
      </c>
      <c r="AQ332" s="18" t="s">
        <v>1021</v>
      </c>
      <c r="AR332" s="18" t="s">
        <v>496</v>
      </c>
      <c r="AS332" s="18">
        <v>1</v>
      </c>
      <c r="AT332" s="18" t="s">
        <v>91</v>
      </c>
      <c r="AU332" s="18" t="s">
        <v>90</v>
      </c>
      <c r="AV332" s="18" t="s">
        <v>8588</v>
      </c>
      <c r="AW332" s="18" t="s">
        <v>8589</v>
      </c>
      <c r="AX332" s="18" t="s">
        <v>83</v>
      </c>
      <c r="AY332" s="18" t="s">
        <v>95</v>
      </c>
      <c r="AZ332" s="18" t="s">
        <v>95</v>
      </c>
      <c r="BA332" s="18" t="s">
        <v>95</v>
      </c>
      <c r="BB332" s="18" t="s">
        <v>95</v>
      </c>
      <c r="BC332" s="18" t="s">
        <v>95</v>
      </c>
      <c r="BD332" s="18" t="s">
        <v>95</v>
      </c>
      <c r="BE332" s="18" t="s">
        <v>95</v>
      </c>
      <c r="BF332" s="18" t="s">
        <v>95</v>
      </c>
      <c r="BG332" s="18" t="s">
        <v>95</v>
      </c>
      <c r="BH332" s="18" t="s">
        <v>95</v>
      </c>
      <c r="BI332" s="18">
        <v>12</v>
      </c>
      <c r="BJ332" s="18">
        <v>2022</v>
      </c>
      <c r="BK332" s="18" t="s">
        <v>95</v>
      </c>
      <c r="BL332" s="18" t="s">
        <v>95</v>
      </c>
      <c r="BM332" s="18" t="s">
        <v>95</v>
      </c>
      <c r="BN332" s="18" t="s">
        <v>85</v>
      </c>
      <c r="BO332" s="18" t="s">
        <v>86</v>
      </c>
      <c r="BP332" s="18" t="s">
        <v>90</v>
      </c>
      <c r="BQ332" s="18" t="s">
        <v>8106</v>
      </c>
      <c r="BR332" s="18" t="s">
        <v>92</v>
      </c>
      <c r="BS332" s="18" t="s">
        <v>8074</v>
      </c>
      <c r="BT332" s="18" t="s">
        <v>7989</v>
      </c>
      <c r="BU332" s="18" t="s">
        <v>496</v>
      </c>
      <c r="BV332" s="18" t="str">
        <f>Terminales[[#This Row],[IMEI]]&amp;"SI"</f>
        <v>352755852597593SI</v>
      </c>
      <c r="BW332" s="18" t="str">
        <f>VLOOKUP(Terminales[[#This Row],[OFICINA_USUARIO]],[1]!Locales[#Data],3,0)</f>
        <v>TIENDA CUENCA CENTRO</v>
      </c>
      <c r="BX332" s="18" t="str">
        <f>VLOOKUP(Terminales[[#This Row],[USUARIO_FINAL]],'[1]Personal Ppto vs Real'!$A:$F,6,0)</f>
        <v>GONZALES ALVARRACIN PAOLA YESSENIA</v>
      </c>
      <c r="BY33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3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32" s="18">
        <f>DAY(Terminales[[#This Row],[FECHA_FACTURA]])</f>
        <v>16</v>
      </c>
      <c r="CB332" s="65">
        <f>IF(Terminales[[#This Row],[CANTIDAD]] = 1,INDEX([1]!Comisiones[#Data],MATCH("Terminales",[1]!Comisiones[Producto],0),MATCH(Terminales[[#This Row],[TIPO ALTA COMISIONES]],[1]!Comisiones[#Headers],0))*Terminales[[#This Row],[MONTO]],0)</f>
        <v>66.964286000000001</v>
      </c>
      <c r="CC332" s="65">
        <f>IFERROR(IF(AND(Terminales[[#This Row],[CANTIDAD]] = 1,Terminales[[#This Row],[MOVIMIENTO]] = "RENOVACION"),Terminales[[#This Row],[TARIFA_BASICA]]*0.5,),)</f>
        <v>7.5</v>
      </c>
      <c r="CD332" s="65">
        <f>IF('[1]Resumen TM'!$AW$20 &lt; 0.4,0,Terminales[[#This Row],[MONTO]]*0.02)</f>
        <v>13.392857200000002</v>
      </c>
      <c r="CE332" s="66">
        <f>Terminales[[#This Row],[COMISIONES TERMINALES]]+Terminales[[#This Row],[COMISIONES RENOVACIONES]]+Terminales[[#This Row],[COMISIONES BONO]]</f>
        <v>87.857143199999996</v>
      </c>
      <c r="CF332" s="67">
        <f>(Terminales[[#This Row],[COMISIONES TERMINALES]]*VLOOKUP(Terminales[[#This Row],[LOCALES]],[1]!Calendario[#Data],3,0))/VLOOKUP(Terminales[[#This Row],[LOCALES]],[1]!Calendario[#Data],2,0)</f>
        <v>108.52832558620689</v>
      </c>
      <c r="CG332" s="67">
        <f>(Terminales[[#This Row],[COMISIONES RENOVACIONES]]*VLOOKUP(Terminales[[#This Row],[LOCALES]],[1]!Calendario[#Data],3,0))/VLOOKUP(Terminales[[#This Row],[LOCALES]],[1]!Calendario[#Data],2,0)</f>
        <v>12.155172413793103</v>
      </c>
      <c r="CH332" s="67">
        <f>(Terminales[[#This Row],[COMISIONES BONO]]*VLOOKUP(Terminales[[#This Row],[LOCALES]],[1]!Calendario[#Data],3,0))/VLOOKUP(Terminales[[#This Row],[LOCALES]],[1]!Calendario[#Data],2,0)</f>
        <v>21.705665117241384</v>
      </c>
      <c r="CI332" s="67">
        <f>Terminales[[#This Row],[PROY. COM. TERMINALES]]+Terminales[[#This Row],[PROY. COM. RENOV.]]+Terminales[[#This Row],[PROY. COM. 2%]]</f>
        <v>142.38916311724137</v>
      </c>
    </row>
    <row r="333" spans="1:87" x14ac:dyDescent="0.25">
      <c r="A333" s="68">
        <v>44926</v>
      </c>
      <c r="B333" s="68">
        <v>44911</v>
      </c>
      <c r="C333" s="18" t="s">
        <v>291</v>
      </c>
      <c r="D333" s="18" t="s">
        <v>78</v>
      </c>
      <c r="E333" s="18" t="s">
        <v>1532</v>
      </c>
      <c r="F333" s="18" t="s">
        <v>10112</v>
      </c>
      <c r="G333" s="18" t="s">
        <v>292</v>
      </c>
      <c r="H333" s="18" t="s">
        <v>293</v>
      </c>
      <c r="I333" s="18" t="s">
        <v>10113</v>
      </c>
      <c r="J333" s="18" t="s">
        <v>95</v>
      </c>
      <c r="K333" s="18" t="s">
        <v>7970</v>
      </c>
      <c r="L333" s="18" t="s">
        <v>10114</v>
      </c>
      <c r="M333" s="18" t="s">
        <v>10115</v>
      </c>
      <c r="N333" s="18" t="s">
        <v>10116</v>
      </c>
      <c r="O333" s="18" t="s">
        <v>1691</v>
      </c>
      <c r="P333" s="18" t="s">
        <v>10117</v>
      </c>
      <c r="Q333" s="18" t="s">
        <v>7975</v>
      </c>
      <c r="R333" s="18" t="s">
        <v>7976</v>
      </c>
      <c r="S333" s="18" t="s">
        <v>8045</v>
      </c>
      <c r="T333" s="18" t="s">
        <v>8225</v>
      </c>
      <c r="U333" s="18" t="s">
        <v>8012</v>
      </c>
      <c r="V333" s="18" t="s">
        <v>6963</v>
      </c>
      <c r="W333" s="18" t="s">
        <v>95</v>
      </c>
      <c r="X333" s="18" t="s">
        <v>95</v>
      </c>
      <c r="Y333" s="18" t="s">
        <v>7980</v>
      </c>
      <c r="Z333" s="18" t="s">
        <v>6996</v>
      </c>
      <c r="AA333" s="69">
        <v>1</v>
      </c>
      <c r="AB333" s="18">
        <v>375</v>
      </c>
      <c r="AC333" s="18" t="s">
        <v>10118</v>
      </c>
      <c r="AD333" s="18" t="s">
        <v>7982</v>
      </c>
      <c r="AE333" s="18">
        <v>232</v>
      </c>
      <c r="AF333" s="18" t="s">
        <v>7983</v>
      </c>
      <c r="AG333" s="18">
        <v>232</v>
      </c>
      <c r="AH333" s="18" t="s">
        <v>95</v>
      </c>
      <c r="AI333" s="18" t="s">
        <v>183</v>
      </c>
      <c r="AJ333" s="18" t="s">
        <v>184</v>
      </c>
      <c r="AK333" s="18">
        <v>11.42</v>
      </c>
      <c r="AL333" s="18" t="s">
        <v>95</v>
      </c>
      <c r="AM333" s="18" t="s">
        <v>95</v>
      </c>
      <c r="AN333" s="18" t="s">
        <v>7984</v>
      </c>
      <c r="AO333" s="18" t="s">
        <v>92</v>
      </c>
      <c r="AP333" s="20" t="s">
        <v>1415</v>
      </c>
      <c r="AQ333" s="18" t="s">
        <v>1416</v>
      </c>
      <c r="AR333" s="18" t="s">
        <v>295</v>
      </c>
      <c r="AS333" s="18">
        <v>1</v>
      </c>
      <c r="AT333" s="18" t="s">
        <v>91</v>
      </c>
      <c r="AU333" s="18" t="s">
        <v>90</v>
      </c>
      <c r="AV333" s="18" t="s">
        <v>8228</v>
      </c>
      <c r="AW333" s="18" t="s">
        <v>8229</v>
      </c>
      <c r="AX333" s="18" t="s">
        <v>83</v>
      </c>
      <c r="AY333" s="18" t="s">
        <v>95</v>
      </c>
      <c r="AZ333" s="18" t="s">
        <v>95</v>
      </c>
      <c r="BA333" s="18" t="s">
        <v>95</v>
      </c>
      <c r="BB333" s="18" t="s">
        <v>95</v>
      </c>
      <c r="BC333" s="18" t="s">
        <v>95</v>
      </c>
      <c r="BD333" s="18">
        <v>75</v>
      </c>
      <c r="BE333" s="18" t="s">
        <v>95</v>
      </c>
      <c r="BF333" s="18" t="s">
        <v>95</v>
      </c>
      <c r="BG333" s="18" t="s">
        <v>95</v>
      </c>
      <c r="BH333" s="18" t="s">
        <v>95</v>
      </c>
      <c r="BI333" s="18">
        <v>12</v>
      </c>
      <c r="BJ333" s="18">
        <v>2022</v>
      </c>
      <c r="BK333" s="18" t="s">
        <v>95</v>
      </c>
      <c r="BL333" s="18" t="s">
        <v>95</v>
      </c>
      <c r="BM333" s="18" t="s">
        <v>95</v>
      </c>
      <c r="BN333" s="18" t="s">
        <v>85</v>
      </c>
      <c r="BO333" s="18" t="s">
        <v>86</v>
      </c>
      <c r="BP333" s="18" t="s">
        <v>90</v>
      </c>
      <c r="BQ333" s="18" t="s">
        <v>8106</v>
      </c>
      <c r="BR333" s="18" t="s">
        <v>92</v>
      </c>
      <c r="BS333" s="18" t="s">
        <v>9828</v>
      </c>
      <c r="BT333" s="18" t="s">
        <v>7989</v>
      </c>
      <c r="BU333" s="18" t="s">
        <v>7990</v>
      </c>
      <c r="BV333" s="18" t="str">
        <f>Terminales[[#This Row],[IMEI]]&amp;"SI"</f>
        <v>356795951374128SI</v>
      </c>
      <c r="BW333" s="18" t="str">
        <f>VLOOKUP(Terminales[[#This Row],[OFICINA_USUARIO]],[1]!Locales[#Data],3,0)</f>
        <v>TIENDA CUENCA CENTRO</v>
      </c>
      <c r="BX333" s="18" t="str">
        <f>VLOOKUP(Terminales[[#This Row],[USUARIO_FINAL]],'[1]Personal Ppto vs Real'!$A:$F,6,0)</f>
        <v>PATIÑO URGILES DIANA CATALINA</v>
      </c>
      <c r="BY333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3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33" s="18">
        <f>DAY(Terminales[[#This Row],[FECHA_FACTURA]])</f>
        <v>16</v>
      </c>
      <c r="CB333" s="65">
        <f>IF(Terminales[[#This Row],[CANTIDAD]] = 1,INDEX([1]!Comisiones[#Data],MATCH("Terminales",[1]!Comisiones[Producto],0),MATCH(Terminales[[#This Row],[TIPO ALTA COMISIONES]],[1]!Comisiones[#Headers],0))*Terminales[[#This Row],[MONTO]],0)</f>
        <v>37.5</v>
      </c>
      <c r="CC333" s="65">
        <f>IFERROR(IF(AND(Terminales[[#This Row],[CANTIDAD]] = 1,Terminales[[#This Row],[MOVIMIENTO]] = "RENOVACION"),Terminales[[#This Row],[TARIFA_BASICA]]*0.5,),)</f>
        <v>5.71</v>
      </c>
      <c r="CD333" s="65">
        <f>IF('[1]Resumen TM'!$AW$20 &lt; 0.4,0,Terminales[[#This Row],[MONTO]]*0.02)</f>
        <v>7.5</v>
      </c>
      <c r="CE333" s="66">
        <f>Terminales[[#This Row],[COMISIONES TERMINALES]]+Terminales[[#This Row],[COMISIONES RENOVACIONES]]+Terminales[[#This Row],[COMISIONES BONO]]</f>
        <v>50.71</v>
      </c>
      <c r="CF333" s="67">
        <f>(Terminales[[#This Row],[COMISIONES TERMINALES]]*VLOOKUP(Terminales[[#This Row],[LOCALES]],[1]!Calendario[#Data],3,0))/VLOOKUP(Terminales[[#This Row],[LOCALES]],[1]!Calendario[#Data],2,0)</f>
        <v>60.775862068965516</v>
      </c>
      <c r="CG333" s="67">
        <f>(Terminales[[#This Row],[COMISIONES RENOVACIONES]]*VLOOKUP(Terminales[[#This Row],[LOCALES]],[1]!Calendario[#Data],3,0))/VLOOKUP(Terminales[[#This Row],[LOCALES]],[1]!Calendario[#Data],2,0)</f>
        <v>9.2541379310344833</v>
      </c>
      <c r="CH333" s="67">
        <f>(Terminales[[#This Row],[COMISIONES BONO]]*VLOOKUP(Terminales[[#This Row],[LOCALES]],[1]!Calendario[#Data],3,0))/VLOOKUP(Terminales[[#This Row],[LOCALES]],[1]!Calendario[#Data],2,0)</f>
        <v>12.155172413793103</v>
      </c>
      <c r="CI333" s="67">
        <f>Terminales[[#This Row],[PROY. COM. TERMINALES]]+Terminales[[#This Row],[PROY. COM. RENOV.]]+Terminales[[#This Row],[PROY. COM. 2%]]</f>
        <v>82.185172413793111</v>
      </c>
    </row>
    <row r="334" spans="1:87" x14ac:dyDescent="0.25">
      <c r="A334" s="68">
        <v>44926</v>
      </c>
      <c r="B334" s="68">
        <v>44911</v>
      </c>
      <c r="C334" s="18" t="s">
        <v>291</v>
      </c>
      <c r="D334" s="18" t="s">
        <v>78</v>
      </c>
      <c r="E334" s="18" t="s">
        <v>1532</v>
      </c>
      <c r="F334" s="18" t="s">
        <v>10119</v>
      </c>
      <c r="G334" s="18" t="s">
        <v>292</v>
      </c>
      <c r="H334" s="18" t="s">
        <v>494</v>
      </c>
      <c r="I334" s="18" t="s">
        <v>10120</v>
      </c>
      <c r="J334" s="18" t="s">
        <v>95</v>
      </c>
      <c r="K334" s="18" t="s">
        <v>7970</v>
      </c>
      <c r="L334" s="18" t="s">
        <v>10121</v>
      </c>
      <c r="M334" s="18" t="s">
        <v>1583</v>
      </c>
      <c r="N334" s="18" t="s">
        <v>1584</v>
      </c>
      <c r="O334" s="18" t="s">
        <v>543</v>
      </c>
      <c r="P334" s="18" t="s">
        <v>10122</v>
      </c>
      <c r="Q334" s="18" t="s">
        <v>7975</v>
      </c>
      <c r="R334" s="18" t="s">
        <v>7976</v>
      </c>
      <c r="S334" s="18" t="s">
        <v>7994</v>
      </c>
      <c r="T334" s="18" t="s">
        <v>8245</v>
      </c>
      <c r="U334" s="18" t="s">
        <v>8012</v>
      </c>
      <c r="V334" s="18" t="s">
        <v>6963</v>
      </c>
      <c r="W334" s="18" t="s">
        <v>95</v>
      </c>
      <c r="X334" s="18" t="s">
        <v>95</v>
      </c>
      <c r="Y334" s="18" t="s">
        <v>7980</v>
      </c>
      <c r="Z334" s="18" t="s">
        <v>6996</v>
      </c>
      <c r="AA334" s="69">
        <v>1</v>
      </c>
      <c r="AB334" s="18">
        <v>156.25</v>
      </c>
      <c r="AC334" s="18" t="s">
        <v>10123</v>
      </c>
      <c r="AD334" s="18" t="s">
        <v>7982</v>
      </c>
      <c r="AE334" s="18">
        <v>156</v>
      </c>
      <c r="AF334" s="18" t="s">
        <v>7983</v>
      </c>
      <c r="AG334" s="18">
        <v>156</v>
      </c>
      <c r="AH334" s="18" t="s">
        <v>95</v>
      </c>
      <c r="AI334" s="18" t="s">
        <v>7176</v>
      </c>
      <c r="AJ334" s="18" t="s">
        <v>7332</v>
      </c>
      <c r="AK334" s="18">
        <v>16.989999999999998</v>
      </c>
      <c r="AL334" s="18" t="s">
        <v>95</v>
      </c>
      <c r="AM334" s="18" t="s">
        <v>95</v>
      </c>
      <c r="AN334" s="18" t="s">
        <v>7984</v>
      </c>
      <c r="AO334" s="18" t="s">
        <v>139</v>
      </c>
      <c r="AP334" s="20" t="s">
        <v>478</v>
      </c>
      <c r="AQ334" s="18" t="s">
        <v>479</v>
      </c>
      <c r="AR334" s="18" t="s">
        <v>496</v>
      </c>
      <c r="AS334" s="18">
        <v>1</v>
      </c>
      <c r="AT334" s="18" t="s">
        <v>138</v>
      </c>
      <c r="AU334" s="18" t="s">
        <v>90</v>
      </c>
      <c r="AV334" s="18" t="s">
        <v>8247</v>
      </c>
      <c r="AW334" s="18" t="s">
        <v>8248</v>
      </c>
      <c r="AX334" s="18" t="s">
        <v>83</v>
      </c>
      <c r="AY334" s="18" t="s">
        <v>95</v>
      </c>
      <c r="AZ334" s="18" t="s">
        <v>95</v>
      </c>
      <c r="BA334" s="18" t="s">
        <v>95</v>
      </c>
      <c r="BB334" s="18" t="s">
        <v>95</v>
      </c>
      <c r="BC334" s="18" t="s">
        <v>95</v>
      </c>
      <c r="BD334" s="18" t="s">
        <v>95</v>
      </c>
      <c r="BE334" s="18" t="s">
        <v>8278</v>
      </c>
      <c r="BF334" s="18" t="s">
        <v>8064</v>
      </c>
      <c r="BG334" s="18" t="s">
        <v>95</v>
      </c>
      <c r="BH334" s="18" t="s">
        <v>95</v>
      </c>
      <c r="BI334" s="18">
        <v>12</v>
      </c>
      <c r="BJ334" s="18">
        <v>2022</v>
      </c>
      <c r="BK334" s="18" t="s">
        <v>95</v>
      </c>
      <c r="BL334" s="18" t="s">
        <v>95</v>
      </c>
      <c r="BM334" s="18" t="s">
        <v>95</v>
      </c>
      <c r="BN334" s="18" t="s">
        <v>85</v>
      </c>
      <c r="BO334" s="18" t="s">
        <v>86</v>
      </c>
      <c r="BP334" s="18" t="s">
        <v>90</v>
      </c>
      <c r="BQ334" s="18" t="s">
        <v>7987</v>
      </c>
      <c r="BR334" s="18" t="s">
        <v>139</v>
      </c>
      <c r="BS334" s="18" t="s">
        <v>8003</v>
      </c>
      <c r="BT334" s="18" t="s">
        <v>7989</v>
      </c>
      <c r="BU334" s="18" t="s">
        <v>496</v>
      </c>
      <c r="BV334" s="18" t="str">
        <f>Terminales[[#This Row],[IMEI]]&amp;"SI"</f>
        <v>355108340299892SI</v>
      </c>
      <c r="BW334" s="18" t="str">
        <f>VLOOKUP(Terminales[[#This Row],[OFICINA_USUARIO]],[1]!Locales[#Data],3,0)</f>
        <v>TIENDA AMERICA</v>
      </c>
      <c r="BX334" s="18" t="str">
        <f>VLOOKUP(Terminales[[#This Row],[USUARIO_FINAL]],'[1]Personal Ppto vs Real'!$A:$F,6,0)</f>
        <v>REINO TUFINO PAULTEH KATHERINE</v>
      </c>
      <c r="BY33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3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34" s="18">
        <f>DAY(Terminales[[#This Row],[FECHA_FACTURA]])</f>
        <v>16</v>
      </c>
      <c r="CB334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34" s="65">
        <f>IFERROR(IF(AND(Terminales[[#This Row],[CANTIDAD]] = 1,Terminales[[#This Row],[MOVIMIENTO]] = "RENOVACION"),Terminales[[#This Row],[TARIFA_BASICA]]*0.5,),)</f>
        <v>8.4949999999999992</v>
      </c>
      <c r="CD334" s="65">
        <f>IF('[1]Resumen TM'!$AW$20 &lt; 0.4,0,Terminales[[#This Row],[MONTO]]*0.02)</f>
        <v>3.125</v>
      </c>
      <c r="CE334" s="66">
        <f>Terminales[[#This Row],[COMISIONES TERMINALES]]+Terminales[[#This Row],[COMISIONES RENOVACIONES]]+Terminales[[#This Row],[COMISIONES BONO]]</f>
        <v>27.244999999999997</v>
      </c>
      <c r="CF334" s="67">
        <f>(Terminales[[#This Row],[COMISIONES TERMINALES]]*VLOOKUP(Terminales[[#This Row],[LOCALES]],[1]!Calendario[#Data],3,0))/VLOOKUP(Terminales[[#This Row],[LOCALES]],[1]!Calendario[#Data],2,0)</f>
        <v>25.669642857142858</v>
      </c>
      <c r="CG334" s="67">
        <f>(Terminales[[#This Row],[COMISIONES RENOVACIONES]]*VLOOKUP(Terminales[[#This Row],[LOCALES]],[1]!Calendario[#Data],3,0))/VLOOKUP(Terminales[[#This Row],[LOCALES]],[1]!Calendario[#Data],2,0)</f>
        <v>13.956071428571429</v>
      </c>
      <c r="CH334" s="67">
        <f>(Terminales[[#This Row],[COMISIONES BONO]]*VLOOKUP(Terminales[[#This Row],[LOCALES]],[1]!Calendario[#Data],3,0))/VLOOKUP(Terminales[[#This Row],[LOCALES]],[1]!Calendario[#Data],2,0)</f>
        <v>5.1339285714285712</v>
      </c>
      <c r="CI334" s="67">
        <f>Terminales[[#This Row],[PROY. COM. TERMINALES]]+Terminales[[#This Row],[PROY. COM. RENOV.]]+Terminales[[#This Row],[PROY. COM. 2%]]</f>
        <v>44.759642857142858</v>
      </c>
    </row>
    <row r="335" spans="1:87" x14ac:dyDescent="0.25">
      <c r="A335" s="68">
        <v>44926</v>
      </c>
      <c r="B335" s="68">
        <v>44911</v>
      </c>
      <c r="C335" s="18" t="s">
        <v>291</v>
      </c>
      <c r="D335" s="18" t="s">
        <v>78</v>
      </c>
      <c r="E335" s="18" t="s">
        <v>1532</v>
      </c>
      <c r="F335" s="18" t="s">
        <v>10124</v>
      </c>
      <c r="G335" s="18" t="s">
        <v>292</v>
      </c>
      <c r="H335" s="18" t="s">
        <v>494</v>
      </c>
      <c r="I335" s="18" t="s">
        <v>10125</v>
      </c>
      <c r="J335" s="18" t="s">
        <v>95</v>
      </c>
      <c r="K335" s="18" t="s">
        <v>7970</v>
      </c>
      <c r="L335" s="18" t="s">
        <v>10126</v>
      </c>
      <c r="M335" s="18" t="s">
        <v>10127</v>
      </c>
      <c r="N335" s="18" t="s">
        <v>10128</v>
      </c>
      <c r="O335" s="18" t="s">
        <v>10129</v>
      </c>
      <c r="P335" s="18" t="s">
        <v>10130</v>
      </c>
      <c r="Q335" s="18" t="s">
        <v>7975</v>
      </c>
      <c r="R335" s="18" t="s">
        <v>7976</v>
      </c>
      <c r="S335" s="18" t="s">
        <v>7977</v>
      </c>
      <c r="T335" s="18" t="s">
        <v>10131</v>
      </c>
      <c r="U335" s="18" t="s">
        <v>8012</v>
      </c>
      <c r="V335" s="18" t="s">
        <v>6963</v>
      </c>
      <c r="W335" s="18" t="s">
        <v>95</v>
      </c>
      <c r="X335" s="18" t="s">
        <v>95</v>
      </c>
      <c r="Y335" s="18" t="s">
        <v>7980</v>
      </c>
      <c r="Z335" s="18" t="s">
        <v>6996</v>
      </c>
      <c r="AA335" s="69">
        <v>1</v>
      </c>
      <c r="AB335" s="18">
        <v>214.28570999999999</v>
      </c>
      <c r="AC335" s="18" t="s">
        <v>10132</v>
      </c>
      <c r="AD335" s="18" t="s">
        <v>7982</v>
      </c>
      <c r="AE335" s="18">
        <v>190</v>
      </c>
      <c r="AF335" s="18" t="s">
        <v>7983</v>
      </c>
      <c r="AG335" s="18">
        <v>190</v>
      </c>
      <c r="AH335" s="18" t="s">
        <v>95</v>
      </c>
      <c r="AI335" s="18" t="s">
        <v>7648</v>
      </c>
      <c r="AJ335" s="18" t="s">
        <v>7649</v>
      </c>
      <c r="AK335" s="18">
        <v>12.99</v>
      </c>
      <c r="AL335" s="18" t="s">
        <v>95</v>
      </c>
      <c r="AM335" s="18" t="s">
        <v>95</v>
      </c>
      <c r="AN335" s="18" t="s">
        <v>7984</v>
      </c>
      <c r="AO335" s="18" t="s">
        <v>139</v>
      </c>
      <c r="AP335" s="20" t="s">
        <v>866</v>
      </c>
      <c r="AQ335" s="18" t="s">
        <v>867</v>
      </c>
      <c r="AR335" s="18" t="s">
        <v>496</v>
      </c>
      <c r="AS335" s="18">
        <v>1</v>
      </c>
      <c r="AT335" s="18" t="s">
        <v>138</v>
      </c>
      <c r="AU335" s="18" t="s">
        <v>90</v>
      </c>
      <c r="AV335" s="18" t="s">
        <v>10133</v>
      </c>
      <c r="AW335" s="18" t="s">
        <v>10134</v>
      </c>
      <c r="AX335" s="18" t="s">
        <v>83</v>
      </c>
      <c r="AY335" s="18" t="s">
        <v>95</v>
      </c>
      <c r="AZ335" s="18" t="s">
        <v>95</v>
      </c>
      <c r="BA335" s="18" t="s">
        <v>95</v>
      </c>
      <c r="BB335" s="18" t="s">
        <v>95</v>
      </c>
      <c r="BC335" s="18" t="s">
        <v>95</v>
      </c>
      <c r="BD335" s="18" t="s">
        <v>95</v>
      </c>
      <c r="BE335" s="18" t="s">
        <v>8300</v>
      </c>
      <c r="BF335" s="18" t="s">
        <v>8064</v>
      </c>
      <c r="BG335" s="18" t="s">
        <v>95</v>
      </c>
      <c r="BH335" s="18" t="s">
        <v>95</v>
      </c>
      <c r="BI335" s="18">
        <v>12</v>
      </c>
      <c r="BJ335" s="18">
        <v>2022</v>
      </c>
      <c r="BK335" s="18" t="s">
        <v>95</v>
      </c>
      <c r="BL335" s="18" t="s">
        <v>95</v>
      </c>
      <c r="BM335" s="18" t="s">
        <v>95</v>
      </c>
      <c r="BN335" s="18" t="s">
        <v>85</v>
      </c>
      <c r="BO335" s="18" t="s">
        <v>86</v>
      </c>
      <c r="BP335" s="18" t="s">
        <v>90</v>
      </c>
      <c r="BQ335" s="18" t="s">
        <v>7987</v>
      </c>
      <c r="BR335" s="18" t="s">
        <v>139</v>
      </c>
      <c r="BS335" s="18" t="s">
        <v>8003</v>
      </c>
      <c r="BT335" s="18" t="s">
        <v>7989</v>
      </c>
      <c r="BU335" s="18" t="s">
        <v>496</v>
      </c>
      <c r="BV335" s="18" t="str">
        <f>Terminales[[#This Row],[IMEI]]&amp;"SI"</f>
        <v>869937054140499SI</v>
      </c>
      <c r="BW335" s="18" t="str">
        <f>VLOOKUP(Terminales[[#This Row],[OFICINA_USUARIO]],[1]!Locales[#Data],3,0)</f>
        <v>TIENDA AMERICA</v>
      </c>
      <c r="BX335" s="18" t="str">
        <f>VLOOKUP(Terminales[[#This Row],[USUARIO_FINAL]],'[1]Personal Ppto vs Real'!$A:$F,6,0)</f>
        <v>ORTEGA RUIZ GABRIEL ANTONIO</v>
      </c>
      <c r="BY33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3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35" s="18">
        <f>DAY(Terminales[[#This Row],[FECHA_FACTURA]])</f>
        <v>16</v>
      </c>
      <c r="CB335" s="65">
        <f>IF(Terminales[[#This Row],[CANTIDAD]] = 1,INDEX([1]!Comisiones[#Data],MATCH("Terminales",[1]!Comisiones[Producto],0),MATCH(Terminales[[#This Row],[TIPO ALTA COMISIONES]],[1]!Comisiones[#Headers],0))*Terminales[[#This Row],[MONTO]],0)</f>
        <v>21.428571000000002</v>
      </c>
      <c r="CC335" s="65">
        <f>IFERROR(IF(AND(Terminales[[#This Row],[CANTIDAD]] = 1,Terminales[[#This Row],[MOVIMIENTO]] = "RENOVACION"),Terminales[[#This Row],[TARIFA_BASICA]]*0.5,),)</f>
        <v>6.4950000000000001</v>
      </c>
      <c r="CD335" s="65">
        <f>IF('[1]Resumen TM'!$AW$20 &lt; 0.4,0,Terminales[[#This Row],[MONTO]]*0.02)</f>
        <v>4.2857142000000001</v>
      </c>
      <c r="CE335" s="66">
        <f>Terminales[[#This Row],[COMISIONES TERMINALES]]+Terminales[[#This Row],[COMISIONES RENOVACIONES]]+Terminales[[#This Row],[COMISIONES BONO]]</f>
        <v>32.209285200000004</v>
      </c>
      <c r="CF335" s="67">
        <f>(Terminales[[#This Row],[COMISIONES TERMINALES]]*VLOOKUP(Terminales[[#This Row],[LOCALES]],[1]!Calendario[#Data],3,0))/VLOOKUP(Terminales[[#This Row],[LOCALES]],[1]!Calendario[#Data],2,0)</f>
        <v>35.204080928571429</v>
      </c>
      <c r="CG335" s="67">
        <f>(Terminales[[#This Row],[COMISIONES RENOVACIONES]]*VLOOKUP(Terminales[[#This Row],[LOCALES]],[1]!Calendario[#Data],3,0))/VLOOKUP(Terminales[[#This Row],[LOCALES]],[1]!Calendario[#Data],2,0)</f>
        <v>10.670357142857142</v>
      </c>
      <c r="CH335" s="67">
        <f>(Terminales[[#This Row],[COMISIONES BONO]]*VLOOKUP(Terminales[[#This Row],[LOCALES]],[1]!Calendario[#Data],3,0))/VLOOKUP(Terminales[[#This Row],[LOCALES]],[1]!Calendario[#Data],2,0)</f>
        <v>7.0408161857142861</v>
      </c>
      <c r="CI335" s="67">
        <f>Terminales[[#This Row],[PROY. COM. TERMINALES]]+Terminales[[#This Row],[PROY. COM. RENOV.]]+Terminales[[#This Row],[PROY. COM. 2%]]</f>
        <v>52.915254257142855</v>
      </c>
    </row>
    <row r="336" spans="1:87" x14ac:dyDescent="0.25">
      <c r="A336" s="68">
        <v>44926</v>
      </c>
      <c r="B336" s="68">
        <v>44911</v>
      </c>
      <c r="C336" s="18" t="s">
        <v>291</v>
      </c>
      <c r="D336" s="18" t="s">
        <v>78</v>
      </c>
      <c r="E336" s="18" t="s">
        <v>1532</v>
      </c>
      <c r="F336" s="18" t="s">
        <v>10135</v>
      </c>
      <c r="G336" s="18" t="s">
        <v>292</v>
      </c>
      <c r="H336" s="18" t="s">
        <v>494</v>
      </c>
      <c r="I336" s="18" t="s">
        <v>10136</v>
      </c>
      <c r="J336" s="18" t="s">
        <v>95</v>
      </c>
      <c r="K336" s="18" t="s">
        <v>7970</v>
      </c>
      <c r="L336" s="18" t="s">
        <v>10137</v>
      </c>
      <c r="M336" s="18" t="s">
        <v>10138</v>
      </c>
      <c r="N336" s="18" t="s">
        <v>10139</v>
      </c>
      <c r="O336" s="18" t="s">
        <v>8640</v>
      </c>
      <c r="P336" s="18" t="s">
        <v>10140</v>
      </c>
      <c r="Q336" s="18" t="s">
        <v>7975</v>
      </c>
      <c r="R336" s="18" t="s">
        <v>7976</v>
      </c>
      <c r="S336" s="18" t="s">
        <v>8045</v>
      </c>
      <c r="T336" s="18" t="s">
        <v>8642</v>
      </c>
      <c r="U336" s="18" t="s">
        <v>8059</v>
      </c>
      <c r="V336" s="18" t="s">
        <v>6963</v>
      </c>
      <c r="W336" s="18" t="s">
        <v>95</v>
      </c>
      <c r="X336" s="18" t="s">
        <v>95</v>
      </c>
      <c r="Y336" s="18" t="s">
        <v>7980</v>
      </c>
      <c r="Z336" s="18" t="s">
        <v>6996</v>
      </c>
      <c r="AA336" s="69">
        <v>1</v>
      </c>
      <c r="AB336" s="18">
        <v>1204.4642899999999</v>
      </c>
      <c r="AC336" s="18" t="s">
        <v>10141</v>
      </c>
      <c r="AD336" s="18" t="s">
        <v>7982</v>
      </c>
      <c r="AE336" s="18">
        <v>1244</v>
      </c>
      <c r="AF336" s="18" t="s">
        <v>7983</v>
      </c>
      <c r="AG336" s="18">
        <v>1244</v>
      </c>
      <c r="AH336" s="18" t="s">
        <v>95</v>
      </c>
      <c r="AI336" s="18" t="s">
        <v>7176</v>
      </c>
      <c r="AJ336" s="18" t="s">
        <v>7177</v>
      </c>
      <c r="AK336" s="18">
        <v>16.989999999999998</v>
      </c>
      <c r="AL336" s="18" t="s">
        <v>95</v>
      </c>
      <c r="AM336" s="18" t="s">
        <v>95</v>
      </c>
      <c r="AN336" s="18" t="s">
        <v>7984</v>
      </c>
      <c r="AO336" s="18" t="s">
        <v>92</v>
      </c>
      <c r="AP336" s="20" t="s">
        <v>289</v>
      </c>
      <c r="AQ336" s="18" t="s">
        <v>290</v>
      </c>
      <c r="AR336" s="18" t="s">
        <v>496</v>
      </c>
      <c r="AS336" s="18">
        <v>1</v>
      </c>
      <c r="AT336" s="18" t="s">
        <v>91</v>
      </c>
      <c r="AU336" s="18" t="s">
        <v>90</v>
      </c>
      <c r="AV336" s="18" t="s">
        <v>8644</v>
      </c>
      <c r="AW336" s="18" t="s">
        <v>8645</v>
      </c>
      <c r="AX336" s="18" t="s">
        <v>83</v>
      </c>
      <c r="AY336" s="18" t="s">
        <v>95</v>
      </c>
      <c r="AZ336" s="18" t="s">
        <v>95</v>
      </c>
      <c r="BA336" s="18" t="s">
        <v>95</v>
      </c>
      <c r="BB336" s="18" t="s">
        <v>95</v>
      </c>
      <c r="BC336" s="18" t="s">
        <v>95</v>
      </c>
      <c r="BD336" s="18" t="s">
        <v>95</v>
      </c>
      <c r="BE336" s="18" t="s">
        <v>95</v>
      </c>
      <c r="BF336" s="18" t="s">
        <v>95</v>
      </c>
      <c r="BG336" s="18" t="s">
        <v>95</v>
      </c>
      <c r="BH336" s="18" t="s">
        <v>95</v>
      </c>
      <c r="BI336" s="18">
        <v>12</v>
      </c>
      <c r="BJ336" s="18">
        <v>2022</v>
      </c>
      <c r="BK336" s="18" t="s">
        <v>95</v>
      </c>
      <c r="BL336" s="18" t="s">
        <v>95</v>
      </c>
      <c r="BM336" s="18" t="s">
        <v>95</v>
      </c>
      <c r="BN336" s="18" t="s">
        <v>85</v>
      </c>
      <c r="BO336" s="18" t="s">
        <v>86</v>
      </c>
      <c r="BP336" s="18" t="s">
        <v>90</v>
      </c>
      <c r="BQ336" s="18" t="s">
        <v>8106</v>
      </c>
      <c r="BR336" s="18" t="s">
        <v>92</v>
      </c>
      <c r="BS336" s="18" t="s">
        <v>8074</v>
      </c>
      <c r="BT336" s="18" t="s">
        <v>7989</v>
      </c>
      <c r="BU336" s="18" t="s">
        <v>496</v>
      </c>
      <c r="BV336" s="18" t="str">
        <f>Terminales[[#This Row],[IMEI]]&amp;"SI"</f>
        <v>351338912482931SI</v>
      </c>
      <c r="BW336" s="18" t="str">
        <f>VLOOKUP(Terminales[[#This Row],[OFICINA_USUARIO]],[1]!Locales[#Data],3,0)</f>
        <v>TIENDA CUENCA CENTRO</v>
      </c>
      <c r="BX336" s="18" t="str">
        <f>VLOOKUP(Terminales[[#This Row],[USUARIO_FINAL]],'[1]Personal Ppto vs Real'!$A:$F,6,0)</f>
        <v>CALLE CHACA JORGE VINICIO</v>
      </c>
      <c r="BY33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3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36" s="18">
        <f>DAY(Terminales[[#This Row],[FECHA_FACTURA]])</f>
        <v>16</v>
      </c>
      <c r="CB336" s="65">
        <f>IF(Terminales[[#This Row],[CANTIDAD]] = 1,INDEX([1]!Comisiones[#Data],MATCH("Terminales",[1]!Comisiones[Producto],0),MATCH(Terminales[[#This Row],[TIPO ALTA COMISIONES]],[1]!Comisiones[#Headers],0))*Terminales[[#This Row],[MONTO]],0)</f>
        <v>120.44642899999999</v>
      </c>
      <c r="CC336" s="65">
        <f>IFERROR(IF(AND(Terminales[[#This Row],[CANTIDAD]] = 1,Terminales[[#This Row],[MOVIMIENTO]] = "RENOVACION"),Terminales[[#This Row],[TARIFA_BASICA]]*0.5,),)</f>
        <v>8.4949999999999992</v>
      </c>
      <c r="CD336" s="65">
        <f>IF('[1]Resumen TM'!$AW$20 &lt; 0.4,0,Terminales[[#This Row],[MONTO]]*0.02)</f>
        <v>24.089285799999999</v>
      </c>
      <c r="CE336" s="66">
        <f>Terminales[[#This Row],[COMISIONES TERMINALES]]+Terminales[[#This Row],[COMISIONES RENOVACIONES]]+Terminales[[#This Row],[COMISIONES BONO]]</f>
        <v>153.0307148</v>
      </c>
      <c r="CF336" s="67">
        <f>(Terminales[[#This Row],[COMISIONES TERMINALES]]*VLOOKUP(Terminales[[#This Row],[LOCALES]],[1]!Calendario[#Data],3,0))/VLOOKUP(Terminales[[#This Row],[LOCALES]],[1]!Calendario[#Data],2,0)</f>
        <v>195.20628148275861</v>
      </c>
      <c r="CG336" s="67">
        <f>(Terminales[[#This Row],[COMISIONES RENOVACIONES]]*VLOOKUP(Terminales[[#This Row],[LOCALES]],[1]!Calendario[#Data],3,0))/VLOOKUP(Terminales[[#This Row],[LOCALES]],[1]!Calendario[#Data],2,0)</f>
        <v>13.767758620689655</v>
      </c>
      <c r="CH336" s="67">
        <f>(Terminales[[#This Row],[COMISIONES BONO]]*VLOOKUP(Terminales[[#This Row],[LOCALES]],[1]!Calendario[#Data],3,0))/VLOOKUP(Terminales[[#This Row],[LOCALES]],[1]!Calendario[#Data],2,0)</f>
        <v>39.041256296551722</v>
      </c>
      <c r="CI336" s="67">
        <f>Terminales[[#This Row],[PROY. COM. TERMINALES]]+Terminales[[#This Row],[PROY. COM. RENOV.]]+Terminales[[#This Row],[PROY. COM. 2%]]</f>
        <v>248.01529639999998</v>
      </c>
    </row>
    <row r="337" spans="1:87" x14ac:dyDescent="0.25">
      <c r="A337" s="68">
        <v>44926</v>
      </c>
      <c r="B337" s="68">
        <v>44911</v>
      </c>
      <c r="C337" s="18" t="s">
        <v>96</v>
      </c>
      <c r="D337" s="18" t="s">
        <v>96</v>
      </c>
      <c r="E337" s="18" t="s">
        <v>96</v>
      </c>
      <c r="F337" s="18" t="s">
        <v>10142</v>
      </c>
      <c r="G337" s="18" t="s">
        <v>292</v>
      </c>
      <c r="H337" s="18" t="s">
        <v>494</v>
      </c>
      <c r="I337" s="18" t="s">
        <v>10143</v>
      </c>
      <c r="J337" s="18" t="s">
        <v>95</v>
      </c>
      <c r="K337" s="18" t="s">
        <v>7970</v>
      </c>
      <c r="L337" s="18" t="s">
        <v>10144</v>
      </c>
      <c r="M337" s="18" t="s">
        <v>10145</v>
      </c>
      <c r="N337" s="18" t="s">
        <v>10146</v>
      </c>
      <c r="O337" s="18" t="s">
        <v>10129</v>
      </c>
      <c r="P337" s="18" t="s">
        <v>10147</v>
      </c>
      <c r="Q337" s="18" t="s">
        <v>7975</v>
      </c>
      <c r="R337" s="18" t="s">
        <v>7976</v>
      </c>
      <c r="S337" s="18" t="s">
        <v>7977</v>
      </c>
      <c r="T337" s="18" t="s">
        <v>10131</v>
      </c>
      <c r="U337" s="18" t="s">
        <v>8012</v>
      </c>
      <c r="V337" s="18" t="s">
        <v>6963</v>
      </c>
      <c r="W337" s="18" t="s">
        <v>95</v>
      </c>
      <c r="X337" s="18" t="s">
        <v>95</v>
      </c>
      <c r="Y337" s="18" t="s">
        <v>7980</v>
      </c>
      <c r="Z337" s="18" t="s">
        <v>6996</v>
      </c>
      <c r="AA337" s="69">
        <v>1</v>
      </c>
      <c r="AB337" s="18">
        <v>214.28570999999999</v>
      </c>
      <c r="AC337" s="18" t="s">
        <v>10148</v>
      </c>
      <c r="AD337" s="18" t="s">
        <v>7982</v>
      </c>
      <c r="AE337" s="18">
        <v>190</v>
      </c>
      <c r="AF337" s="18" t="s">
        <v>7983</v>
      </c>
      <c r="AG337" s="18">
        <v>190</v>
      </c>
      <c r="AH337" s="18" t="s">
        <v>95</v>
      </c>
      <c r="AI337" s="18" t="s">
        <v>8102</v>
      </c>
      <c r="AJ337" s="18" t="s">
        <v>8103</v>
      </c>
      <c r="AK337" s="18" t="s">
        <v>95</v>
      </c>
      <c r="AL337" s="18" t="s">
        <v>95</v>
      </c>
      <c r="AM337" s="18" t="s">
        <v>95</v>
      </c>
      <c r="AN337" s="18" t="s">
        <v>7984</v>
      </c>
      <c r="AO337" s="18" t="s">
        <v>139</v>
      </c>
      <c r="AP337" s="20" t="s">
        <v>303</v>
      </c>
      <c r="AQ337" s="18" t="s">
        <v>304</v>
      </c>
      <c r="AR337" s="18" t="s">
        <v>496</v>
      </c>
      <c r="AS337" s="18">
        <v>1</v>
      </c>
      <c r="AT337" s="18" t="s">
        <v>177</v>
      </c>
      <c r="AU337" s="18" t="s">
        <v>90</v>
      </c>
      <c r="AV337" s="18" t="s">
        <v>10133</v>
      </c>
      <c r="AW337" s="18" t="s">
        <v>10134</v>
      </c>
      <c r="AX337" s="18" t="s">
        <v>83</v>
      </c>
      <c r="AY337" s="18" t="s">
        <v>95</v>
      </c>
      <c r="AZ337" s="18" t="s">
        <v>95</v>
      </c>
      <c r="BA337" s="18" t="s">
        <v>95</v>
      </c>
      <c r="BB337" s="18" t="s">
        <v>95</v>
      </c>
      <c r="BC337" s="18" t="s">
        <v>95</v>
      </c>
      <c r="BD337" s="18" t="s">
        <v>95</v>
      </c>
      <c r="BE337" s="18" t="s">
        <v>95</v>
      </c>
      <c r="BF337" s="18" t="s">
        <v>95</v>
      </c>
      <c r="BG337" s="18" t="s">
        <v>95</v>
      </c>
      <c r="BH337" s="18" t="s">
        <v>95</v>
      </c>
      <c r="BI337" s="18">
        <v>12</v>
      </c>
      <c r="BJ337" s="18">
        <v>2022</v>
      </c>
      <c r="BK337" s="18" t="s">
        <v>95</v>
      </c>
      <c r="BL337" s="18" t="s">
        <v>95</v>
      </c>
      <c r="BM337" s="18" t="s">
        <v>95</v>
      </c>
      <c r="BN337" s="18" t="s">
        <v>85</v>
      </c>
      <c r="BO337" s="18" t="s">
        <v>86</v>
      </c>
      <c r="BP337" s="18" t="s">
        <v>90</v>
      </c>
      <c r="BQ337" s="18" t="s">
        <v>8002</v>
      </c>
      <c r="BR337" s="18" t="s">
        <v>139</v>
      </c>
      <c r="BS337" s="18" t="s">
        <v>8074</v>
      </c>
      <c r="BT337" s="18" t="s">
        <v>7989</v>
      </c>
      <c r="BU337" s="18" t="s">
        <v>496</v>
      </c>
      <c r="BV337" s="18" t="str">
        <f>Terminales[[#This Row],[IMEI]]&amp;"SI"</f>
        <v>869937054132165SI</v>
      </c>
      <c r="BW337" s="18" t="str">
        <f>VLOOKUP(Terminales[[#This Row],[OFICINA_USUARIO]],[1]!Locales[#Data],3,0)</f>
        <v>TIENDA RECREO</v>
      </c>
      <c r="BX337" s="18" t="str">
        <f>VLOOKUP(Terminales[[#This Row],[USUARIO_FINAL]],'[1]Personal Ppto vs Real'!$A:$F,6,0)</f>
        <v>CORDOVA GAIBOR JONATHAN HERNAN</v>
      </c>
      <c r="BY33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3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37" s="18">
        <f>DAY(Terminales[[#This Row],[FECHA_FACTURA]])</f>
        <v>16</v>
      </c>
      <c r="CB337" s="65">
        <f>IF(Terminales[[#This Row],[CANTIDAD]] = 1,INDEX([1]!Comisiones[#Data],MATCH("Terminales",[1]!Comisiones[Producto],0),MATCH(Terminales[[#This Row],[TIPO ALTA COMISIONES]],[1]!Comisiones[#Headers],0))*Terminales[[#This Row],[MONTO]],0)</f>
        <v>21.428571000000002</v>
      </c>
      <c r="CC337" s="65">
        <f>IFERROR(IF(AND(Terminales[[#This Row],[CANTIDAD]] = 1,Terminales[[#This Row],[MOVIMIENTO]] = "RENOVACION"),Terminales[[#This Row],[TARIFA_BASICA]]*0.5,),)</f>
        <v>0</v>
      </c>
      <c r="CD337" s="65">
        <f>IF('[1]Resumen TM'!$AW$20 &lt; 0.4,0,Terminales[[#This Row],[MONTO]]*0.02)</f>
        <v>4.2857142000000001</v>
      </c>
      <c r="CE337" s="66">
        <f>Terminales[[#This Row],[COMISIONES TERMINALES]]+Terminales[[#This Row],[COMISIONES RENOVACIONES]]+Terminales[[#This Row],[COMISIONES BONO]]</f>
        <v>25.714285200000003</v>
      </c>
      <c r="CF337" s="67">
        <f>(Terminales[[#This Row],[COMISIONES TERMINALES]]*VLOOKUP(Terminales[[#This Row],[LOCALES]],[1]!Calendario[#Data],3,0))/VLOOKUP(Terminales[[#This Row],[LOCALES]],[1]!Calendario[#Data],2,0)</f>
        <v>35.25345551612903</v>
      </c>
      <c r="CG337" s="67">
        <f>(Terminales[[#This Row],[COMISIONES RENOVACIONES]]*VLOOKUP(Terminales[[#This Row],[LOCALES]],[1]!Calendario[#Data],3,0))/VLOOKUP(Terminales[[#This Row],[LOCALES]],[1]!Calendario[#Data],2,0)</f>
        <v>0</v>
      </c>
      <c r="CH337" s="67">
        <f>(Terminales[[#This Row],[COMISIONES BONO]]*VLOOKUP(Terminales[[#This Row],[LOCALES]],[1]!Calendario[#Data],3,0))/VLOOKUP(Terminales[[#This Row],[LOCALES]],[1]!Calendario[#Data],2,0)</f>
        <v>7.0506911032258062</v>
      </c>
      <c r="CI337" s="67">
        <f>Terminales[[#This Row],[PROY. COM. TERMINALES]]+Terminales[[#This Row],[PROY. COM. RENOV.]]+Terminales[[#This Row],[PROY. COM. 2%]]</f>
        <v>42.304146619354839</v>
      </c>
    </row>
    <row r="338" spans="1:87" x14ac:dyDescent="0.25">
      <c r="A338" s="68">
        <v>44926</v>
      </c>
      <c r="B338" s="68">
        <v>44911</v>
      </c>
      <c r="C338" s="18" t="s">
        <v>291</v>
      </c>
      <c r="D338" s="18" t="s">
        <v>78</v>
      </c>
      <c r="E338" s="18" t="s">
        <v>1532</v>
      </c>
      <c r="F338" s="18" t="s">
        <v>10149</v>
      </c>
      <c r="G338" s="18" t="s">
        <v>292</v>
      </c>
      <c r="H338" s="18" t="s">
        <v>293</v>
      </c>
      <c r="I338" s="18" t="s">
        <v>10150</v>
      </c>
      <c r="J338" s="18" t="s">
        <v>95</v>
      </c>
      <c r="K338" s="18" t="s">
        <v>7970</v>
      </c>
      <c r="L338" s="18" t="s">
        <v>10151</v>
      </c>
      <c r="M338" s="18" t="s">
        <v>10152</v>
      </c>
      <c r="N338" s="18" t="s">
        <v>10153</v>
      </c>
      <c r="O338" s="18" t="s">
        <v>354</v>
      </c>
      <c r="P338" s="18" t="s">
        <v>10154</v>
      </c>
      <c r="Q338" s="18" t="s">
        <v>7975</v>
      </c>
      <c r="R338" s="18" t="s">
        <v>7976</v>
      </c>
      <c r="S338" s="18" t="s">
        <v>8070</v>
      </c>
      <c r="T338" s="18" t="s">
        <v>8071</v>
      </c>
      <c r="U338" s="18" t="s">
        <v>8012</v>
      </c>
      <c r="V338" s="18" t="s">
        <v>6963</v>
      </c>
      <c r="W338" s="18" t="s">
        <v>95</v>
      </c>
      <c r="X338" s="18" t="s">
        <v>95</v>
      </c>
      <c r="Y338" s="18" t="s">
        <v>7980</v>
      </c>
      <c r="Z338" s="18" t="s">
        <v>6996</v>
      </c>
      <c r="AA338" s="69">
        <v>1</v>
      </c>
      <c r="AB338" s="18">
        <v>321.42856999999998</v>
      </c>
      <c r="AC338" s="18" t="s">
        <v>10155</v>
      </c>
      <c r="AD338" s="18" t="s">
        <v>7982</v>
      </c>
      <c r="AE338" s="18">
        <v>193.99</v>
      </c>
      <c r="AF338" s="18" t="s">
        <v>7983</v>
      </c>
      <c r="AG338" s="18">
        <v>193.99</v>
      </c>
      <c r="AH338" s="18" t="s">
        <v>95</v>
      </c>
      <c r="AI338" s="18" t="s">
        <v>7648</v>
      </c>
      <c r="AJ338" s="18" t="s">
        <v>9978</v>
      </c>
      <c r="AK338" s="18">
        <v>12.99</v>
      </c>
      <c r="AL338" s="18" t="s">
        <v>95</v>
      </c>
      <c r="AM338" s="18" t="s">
        <v>95</v>
      </c>
      <c r="AN338" s="18" t="s">
        <v>7984</v>
      </c>
      <c r="AO338" s="18" t="s">
        <v>92</v>
      </c>
      <c r="AP338" s="20" t="s">
        <v>242</v>
      </c>
      <c r="AQ338" s="18" t="s">
        <v>243</v>
      </c>
      <c r="AR338" s="18" t="s">
        <v>295</v>
      </c>
      <c r="AS338" s="18">
        <v>1</v>
      </c>
      <c r="AT338" s="18" t="s">
        <v>91</v>
      </c>
      <c r="AU338" s="18" t="s">
        <v>90</v>
      </c>
      <c r="AV338" s="18" t="s">
        <v>8072</v>
      </c>
      <c r="AW338" s="18" t="s">
        <v>8073</v>
      </c>
      <c r="AX338" s="18" t="s">
        <v>83</v>
      </c>
      <c r="AY338" s="18" t="s">
        <v>95</v>
      </c>
      <c r="AZ338" s="18" t="s">
        <v>95</v>
      </c>
      <c r="BA338" s="18" t="s">
        <v>95</v>
      </c>
      <c r="BB338" s="18" t="s">
        <v>95</v>
      </c>
      <c r="BC338" s="18" t="s">
        <v>95</v>
      </c>
      <c r="BD338" s="18">
        <v>65</v>
      </c>
      <c r="BE338" s="18" t="s">
        <v>95</v>
      </c>
      <c r="BF338" s="18" t="s">
        <v>95</v>
      </c>
      <c r="BG338" s="18" t="s">
        <v>95</v>
      </c>
      <c r="BH338" s="18" t="s">
        <v>95</v>
      </c>
      <c r="BI338" s="18">
        <v>12</v>
      </c>
      <c r="BJ338" s="18">
        <v>2022</v>
      </c>
      <c r="BK338" s="18" t="s">
        <v>95</v>
      </c>
      <c r="BL338" s="18" t="s">
        <v>95</v>
      </c>
      <c r="BM338" s="18" t="s">
        <v>95</v>
      </c>
      <c r="BN338" s="18" t="s">
        <v>85</v>
      </c>
      <c r="BO338" s="18" t="s">
        <v>86</v>
      </c>
      <c r="BP338" s="18" t="s">
        <v>90</v>
      </c>
      <c r="BQ338" s="18" t="s">
        <v>8106</v>
      </c>
      <c r="BR338" s="18" t="s">
        <v>92</v>
      </c>
      <c r="BS338" s="18" t="s">
        <v>9828</v>
      </c>
      <c r="BT338" s="18" t="s">
        <v>7989</v>
      </c>
      <c r="BU338" s="18" t="s">
        <v>7990</v>
      </c>
      <c r="BV338" s="18" t="str">
        <f>Terminales[[#This Row],[IMEI]]&amp;"SI"</f>
        <v>869113065709306SI</v>
      </c>
      <c r="BW338" s="18" t="str">
        <f>VLOOKUP(Terminales[[#This Row],[OFICINA_USUARIO]],[1]!Locales[#Data],3,0)</f>
        <v>TIENDA CUENCA CENTRO</v>
      </c>
      <c r="BX338" s="18" t="str">
        <f>VLOOKUP(Terminales[[#This Row],[USUARIO_FINAL]],'[1]Personal Ppto vs Real'!$A:$F,6,0)</f>
        <v>VALLEJO DELEG ROMAN NICOLAS</v>
      </c>
      <c r="BY33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3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38" s="18">
        <f>DAY(Terminales[[#This Row],[FECHA_FACTURA]])</f>
        <v>16</v>
      </c>
      <c r="CB338" s="65">
        <f>IF(Terminales[[#This Row],[CANTIDAD]] = 1,INDEX([1]!Comisiones[#Data],MATCH("Terminales",[1]!Comisiones[Producto],0),MATCH(Terminales[[#This Row],[TIPO ALTA COMISIONES]],[1]!Comisiones[#Headers],0))*Terminales[[#This Row],[MONTO]],0)</f>
        <v>32.142856999999999</v>
      </c>
      <c r="CC338" s="65">
        <f>IFERROR(IF(AND(Terminales[[#This Row],[CANTIDAD]] = 1,Terminales[[#This Row],[MOVIMIENTO]] = "RENOVACION"),Terminales[[#This Row],[TARIFA_BASICA]]*0.5,),)</f>
        <v>6.4950000000000001</v>
      </c>
      <c r="CD338" s="65">
        <f>IF('[1]Resumen TM'!$AW$20 &lt; 0.4,0,Terminales[[#This Row],[MONTO]]*0.02)</f>
        <v>6.4285714</v>
      </c>
      <c r="CE338" s="66">
        <f>Terminales[[#This Row],[COMISIONES TERMINALES]]+Terminales[[#This Row],[COMISIONES RENOVACIONES]]+Terminales[[#This Row],[COMISIONES BONO]]</f>
        <v>45.066428399999999</v>
      </c>
      <c r="CF338" s="67">
        <f>(Terminales[[#This Row],[COMISIONES TERMINALES]]*VLOOKUP(Terminales[[#This Row],[LOCALES]],[1]!Calendario[#Data],3,0))/VLOOKUP(Terminales[[#This Row],[LOCALES]],[1]!Calendario[#Data],2,0)</f>
        <v>52.093595827586206</v>
      </c>
      <c r="CG338" s="67">
        <f>(Terminales[[#This Row],[COMISIONES RENOVACIONES]]*VLOOKUP(Terminales[[#This Row],[LOCALES]],[1]!Calendario[#Data],3,0))/VLOOKUP(Terminales[[#This Row],[LOCALES]],[1]!Calendario[#Data],2,0)</f>
        <v>10.526379310344828</v>
      </c>
      <c r="CH338" s="67">
        <f>(Terminales[[#This Row],[COMISIONES BONO]]*VLOOKUP(Terminales[[#This Row],[LOCALES]],[1]!Calendario[#Data],3,0))/VLOOKUP(Terminales[[#This Row],[LOCALES]],[1]!Calendario[#Data],2,0)</f>
        <v>10.418719165517242</v>
      </c>
      <c r="CI338" s="67">
        <f>Terminales[[#This Row],[PROY. COM. TERMINALES]]+Terminales[[#This Row],[PROY. COM. RENOV.]]+Terminales[[#This Row],[PROY. COM. 2%]]</f>
        <v>73.038694303448281</v>
      </c>
    </row>
    <row r="339" spans="1:87" x14ac:dyDescent="0.25">
      <c r="A339" s="68">
        <v>44926</v>
      </c>
      <c r="B339" s="68">
        <v>44911</v>
      </c>
      <c r="C339" s="18" t="s">
        <v>291</v>
      </c>
      <c r="D339" s="18" t="s">
        <v>78</v>
      </c>
      <c r="E339" s="18" t="s">
        <v>1378</v>
      </c>
      <c r="F339" s="18" t="s">
        <v>10156</v>
      </c>
      <c r="G339" s="18" t="s">
        <v>292</v>
      </c>
      <c r="H339" s="18" t="s">
        <v>293</v>
      </c>
      <c r="I339" s="18" t="s">
        <v>10157</v>
      </c>
      <c r="J339" s="18" t="s">
        <v>95</v>
      </c>
      <c r="K339" s="18" t="s">
        <v>7970</v>
      </c>
      <c r="L339" s="18" t="s">
        <v>10158</v>
      </c>
      <c r="M339" s="18" t="s">
        <v>10159</v>
      </c>
      <c r="N339" s="18" t="s">
        <v>10160</v>
      </c>
      <c r="O339" s="18" t="s">
        <v>1022</v>
      </c>
      <c r="P339" s="18" t="s">
        <v>10161</v>
      </c>
      <c r="Q339" s="18" t="s">
        <v>7975</v>
      </c>
      <c r="R339" s="18" t="s">
        <v>7976</v>
      </c>
      <c r="S339" s="18" t="s">
        <v>8045</v>
      </c>
      <c r="T339" s="18" t="s">
        <v>8225</v>
      </c>
      <c r="U339" s="18" t="s">
        <v>8012</v>
      </c>
      <c r="V339" s="18" t="s">
        <v>6963</v>
      </c>
      <c r="W339" s="18" t="s">
        <v>95</v>
      </c>
      <c r="X339" s="18" t="s">
        <v>95</v>
      </c>
      <c r="Y339" s="18" t="s">
        <v>7980</v>
      </c>
      <c r="Z339" s="18" t="s">
        <v>6996</v>
      </c>
      <c r="AA339" s="69">
        <v>1</v>
      </c>
      <c r="AB339" s="18">
        <v>375</v>
      </c>
      <c r="AC339" s="18" t="s">
        <v>10162</v>
      </c>
      <c r="AD339" s="18" t="s">
        <v>7982</v>
      </c>
      <c r="AE339" s="18">
        <v>232</v>
      </c>
      <c r="AF339" s="18" t="s">
        <v>7983</v>
      </c>
      <c r="AG339" s="18">
        <v>232</v>
      </c>
      <c r="AH339" s="18" t="s">
        <v>95</v>
      </c>
      <c r="AI339" s="18" t="s">
        <v>227</v>
      </c>
      <c r="AJ339" s="18" t="s">
        <v>426</v>
      </c>
      <c r="AK339" s="18">
        <v>21.42</v>
      </c>
      <c r="AL339" s="18" t="s">
        <v>95</v>
      </c>
      <c r="AM339" s="18" t="s">
        <v>95</v>
      </c>
      <c r="AN339" s="18" t="s">
        <v>7984</v>
      </c>
      <c r="AO339" s="18" t="s">
        <v>92</v>
      </c>
      <c r="AP339" s="20" t="s">
        <v>242</v>
      </c>
      <c r="AQ339" s="18" t="s">
        <v>243</v>
      </c>
      <c r="AR339" s="18" t="s">
        <v>496</v>
      </c>
      <c r="AS339" s="18">
        <v>1</v>
      </c>
      <c r="AT339" s="18" t="s">
        <v>91</v>
      </c>
      <c r="AU339" s="18" t="s">
        <v>90</v>
      </c>
      <c r="AV339" s="18" t="s">
        <v>8392</v>
      </c>
      <c r="AW339" s="18" t="s">
        <v>8393</v>
      </c>
      <c r="AX339" s="18" t="s">
        <v>83</v>
      </c>
      <c r="AY339" s="18" t="s">
        <v>95</v>
      </c>
      <c r="AZ339" s="18" t="s">
        <v>95</v>
      </c>
      <c r="BA339" s="18" t="s">
        <v>95</v>
      </c>
      <c r="BB339" s="18" t="s">
        <v>95</v>
      </c>
      <c r="BC339" s="18" t="s">
        <v>95</v>
      </c>
      <c r="BD339" s="18" t="s">
        <v>95</v>
      </c>
      <c r="BE339" s="18" t="s">
        <v>95</v>
      </c>
      <c r="BF339" s="18" t="s">
        <v>95</v>
      </c>
      <c r="BG339" s="18" t="s">
        <v>95</v>
      </c>
      <c r="BH339" s="18" t="s">
        <v>95</v>
      </c>
      <c r="BI339" s="18">
        <v>12</v>
      </c>
      <c r="BJ339" s="18">
        <v>2022</v>
      </c>
      <c r="BK339" s="18" t="s">
        <v>95</v>
      </c>
      <c r="BL339" s="18" t="s">
        <v>95</v>
      </c>
      <c r="BM339" s="18" t="s">
        <v>95</v>
      </c>
      <c r="BN339" s="18" t="s">
        <v>85</v>
      </c>
      <c r="BO339" s="18" t="s">
        <v>86</v>
      </c>
      <c r="BP339" s="18" t="s">
        <v>90</v>
      </c>
      <c r="BQ339" s="18" t="s">
        <v>8106</v>
      </c>
      <c r="BR339" s="18" t="s">
        <v>92</v>
      </c>
      <c r="BS339" s="18" t="s">
        <v>9828</v>
      </c>
      <c r="BT339" s="18" t="s">
        <v>7989</v>
      </c>
      <c r="BU339" s="18" t="s">
        <v>7990</v>
      </c>
      <c r="BV339" s="18" t="str">
        <f>Terminales[[#This Row],[IMEI]]&amp;"SI"</f>
        <v>356795951397285SI</v>
      </c>
      <c r="BW339" s="18" t="str">
        <f>VLOOKUP(Terminales[[#This Row],[OFICINA_USUARIO]],[1]!Locales[#Data],3,0)</f>
        <v>TIENDA CUENCA CENTRO</v>
      </c>
      <c r="BX339" s="18" t="str">
        <f>VLOOKUP(Terminales[[#This Row],[USUARIO_FINAL]],'[1]Personal Ppto vs Real'!$A:$F,6,0)</f>
        <v>VALLEJO DELEG ROMAN NICOLAS</v>
      </c>
      <c r="BY33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3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39" s="18">
        <f>DAY(Terminales[[#This Row],[FECHA_FACTURA]])</f>
        <v>16</v>
      </c>
      <c r="CB339" s="65">
        <f>IF(Terminales[[#This Row],[CANTIDAD]] = 1,INDEX([1]!Comisiones[#Data],MATCH("Terminales",[1]!Comisiones[Producto],0),MATCH(Terminales[[#This Row],[TIPO ALTA COMISIONES]],[1]!Comisiones[#Headers],0))*Terminales[[#This Row],[MONTO]],0)</f>
        <v>37.5</v>
      </c>
      <c r="CC339" s="65">
        <f>IFERROR(IF(AND(Terminales[[#This Row],[CANTIDAD]] = 1,Terminales[[#This Row],[MOVIMIENTO]] = "RENOVACION"),Terminales[[#This Row],[TARIFA_BASICA]]*0.5,),)</f>
        <v>10.71</v>
      </c>
      <c r="CD339" s="65">
        <f>IF('[1]Resumen TM'!$AW$20 &lt; 0.4,0,Terminales[[#This Row],[MONTO]]*0.02)</f>
        <v>7.5</v>
      </c>
      <c r="CE339" s="66">
        <f>Terminales[[#This Row],[COMISIONES TERMINALES]]+Terminales[[#This Row],[COMISIONES RENOVACIONES]]+Terminales[[#This Row],[COMISIONES BONO]]</f>
        <v>55.71</v>
      </c>
      <c r="CF339" s="67">
        <f>(Terminales[[#This Row],[COMISIONES TERMINALES]]*VLOOKUP(Terminales[[#This Row],[LOCALES]],[1]!Calendario[#Data],3,0))/VLOOKUP(Terminales[[#This Row],[LOCALES]],[1]!Calendario[#Data],2,0)</f>
        <v>60.775862068965516</v>
      </c>
      <c r="CG339" s="67">
        <f>(Terminales[[#This Row],[COMISIONES RENOVACIONES]]*VLOOKUP(Terminales[[#This Row],[LOCALES]],[1]!Calendario[#Data],3,0))/VLOOKUP(Terminales[[#This Row],[LOCALES]],[1]!Calendario[#Data],2,0)</f>
        <v>17.357586206896553</v>
      </c>
      <c r="CH339" s="67">
        <f>(Terminales[[#This Row],[COMISIONES BONO]]*VLOOKUP(Terminales[[#This Row],[LOCALES]],[1]!Calendario[#Data],3,0))/VLOOKUP(Terminales[[#This Row],[LOCALES]],[1]!Calendario[#Data],2,0)</f>
        <v>12.155172413793103</v>
      </c>
      <c r="CI339" s="67">
        <f>Terminales[[#This Row],[PROY. COM. TERMINALES]]+Terminales[[#This Row],[PROY. COM. RENOV.]]+Terminales[[#This Row],[PROY. COM. 2%]]</f>
        <v>90.288620689655176</v>
      </c>
    </row>
    <row r="340" spans="1:87" x14ac:dyDescent="0.25">
      <c r="A340" s="68">
        <v>44926</v>
      </c>
      <c r="B340" s="68">
        <v>44911</v>
      </c>
      <c r="C340" s="18" t="s">
        <v>291</v>
      </c>
      <c r="D340" s="18" t="s">
        <v>78</v>
      </c>
      <c r="E340" s="18" t="s">
        <v>2241</v>
      </c>
      <c r="F340" s="18" t="s">
        <v>10163</v>
      </c>
      <c r="G340" s="18" t="s">
        <v>292</v>
      </c>
      <c r="H340" s="18" t="s">
        <v>293</v>
      </c>
      <c r="I340" s="18" t="s">
        <v>10164</v>
      </c>
      <c r="J340" s="18" t="s">
        <v>95</v>
      </c>
      <c r="K340" s="18" t="s">
        <v>7970</v>
      </c>
      <c r="L340" s="18" t="s">
        <v>10165</v>
      </c>
      <c r="M340" s="18" t="s">
        <v>10166</v>
      </c>
      <c r="N340" s="18" t="s">
        <v>10167</v>
      </c>
      <c r="O340" s="18" t="s">
        <v>338</v>
      </c>
      <c r="P340" s="18" t="s">
        <v>10168</v>
      </c>
      <c r="Q340" s="18" t="s">
        <v>7975</v>
      </c>
      <c r="R340" s="18" t="s">
        <v>7976</v>
      </c>
      <c r="S340" s="18" t="s">
        <v>7977</v>
      </c>
      <c r="T340" s="18" t="s">
        <v>7978</v>
      </c>
      <c r="U340" s="18" t="s">
        <v>7979</v>
      </c>
      <c r="V340" s="18" t="s">
        <v>6963</v>
      </c>
      <c r="W340" s="18" t="s">
        <v>95</v>
      </c>
      <c r="X340" s="18" t="s">
        <v>95</v>
      </c>
      <c r="Y340" s="18" t="s">
        <v>7980</v>
      </c>
      <c r="Z340" s="18" t="s">
        <v>6996</v>
      </c>
      <c r="AA340" s="69">
        <v>1</v>
      </c>
      <c r="AB340" s="18">
        <v>383.92856999999998</v>
      </c>
      <c r="AC340" s="18" t="s">
        <v>10169</v>
      </c>
      <c r="AD340" s="18" t="s">
        <v>7982</v>
      </c>
      <c r="AE340" s="18">
        <v>235</v>
      </c>
      <c r="AF340" s="18" t="s">
        <v>7983</v>
      </c>
      <c r="AG340" s="18">
        <v>235</v>
      </c>
      <c r="AH340" s="18" t="s">
        <v>95</v>
      </c>
      <c r="AI340" s="18" t="s">
        <v>71</v>
      </c>
      <c r="AJ340" s="18" t="s">
        <v>258</v>
      </c>
      <c r="AK340" s="18">
        <v>11.42</v>
      </c>
      <c r="AL340" s="18" t="s">
        <v>95</v>
      </c>
      <c r="AM340" s="18" t="s">
        <v>95</v>
      </c>
      <c r="AN340" s="18" t="s">
        <v>7984</v>
      </c>
      <c r="AO340" s="18" t="s">
        <v>139</v>
      </c>
      <c r="AP340" s="20" t="s">
        <v>478</v>
      </c>
      <c r="AQ340" s="18" t="s">
        <v>479</v>
      </c>
      <c r="AR340" s="18" t="s">
        <v>295</v>
      </c>
      <c r="AS340" s="18">
        <v>1</v>
      </c>
      <c r="AT340" s="18" t="s">
        <v>138</v>
      </c>
      <c r="AU340" s="18" t="s">
        <v>90</v>
      </c>
      <c r="AV340" s="18" t="s">
        <v>7985</v>
      </c>
      <c r="AW340" s="18" t="s">
        <v>7986</v>
      </c>
      <c r="AX340" s="18" t="s">
        <v>83</v>
      </c>
      <c r="AY340" s="18" t="s">
        <v>95</v>
      </c>
      <c r="AZ340" s="18" t="s">
        <v>95</v>
      </c>
      <c r="BA340" s="18" t="s">
        <v>95</v>
      </c>
      <c r="BB340" s="18" t="s">
        <v>95</v>
      </c>
      <c r="BC340" s="18" t="s">
        <v>95</v>
      </c>
      <c r="BD340" s="18">
        <v>80</v>
      </c>
      <c r="BE340" s="18" t="s">
        <v>95</v>
      </c>
      <c r="BF340" s="18" t="s">
        <v>95</v>
      </c>
      <c r="BG340" s="18" t="s">
        <v>95</v>
      </c>
      <c r="BH340" s="18" t="s">
        <v>95</v>
      </c>
      <c r="BI340" s="18">
        <v>12</v>
      </c>
      <c r="BJ340" s="18">
        <v>2022</v>
      </c>
      <c r="BK340" s="18" t="s">
        <v>95</v>
      </c>
      <c r="BL340" s="18" t="s">
        <v>95</v>
      </c>
      <c r="BM340" s="18" t="s">
        <v>95</v>
      </c>
      <c r="BN340" s="18" t="s">
        <v>85</v>
      </c>
      <c r="BO340" s="18" t="s">
        <v>86</v>
      </c>
      <c r="BP340" s="18" t="s">
        <v>90</v>
      </c>
      <c r="BQ340" s="18" t="s">
        <v>7987</v>
      </c>
      <c r="BR340" s="18" t="s">
        <v>139</v>
      </c>
      <c r="BS340" s="18" t="s">
        <v>9828</v>
      </c>
      <c r="BT340" s="18" t="s">
        <v>7989</v>
      </c>
      <c r="BU340" s="18" t="s">
        <v>7990</v>
      </c>
      <c r="BV340" s="18" t="str">
        <f>Terminales[[#This Row],[IMEI]]&amp;"SI"</f>
        <v>866184060682981SI</v>
      </c>
      <c r="BW340" s="18" t="str">
        <f>VLOOKUP(Terminales[[#This Row],[OFICINA_USUARIO]],[1]!Locales[#Data],3,0)</f>
        <v>TIENDA AMERICA</v>
      </c>
      <c r="BX340" s="18" t="str">
        <f>VLOOKUP(Terminales[[#This Row],[USUARIO_FINAL]],'[1]Personal Ppto vs Real'!$A:$F,6,0)</f>
        <v>REINO TUFINO PAULTEH KATHERINE</v>
      </c>
      <c r="BY34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4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40" s="18">
        <f>DAY(Terminales[[#This Row],[FECHA_FACTURA]])</f>
        <v>16</v>
      </c>
      <c r="CB340" s="65">
        <f>IF(Terminales[[#This Row],[CANTIDAD]] = 1,INDEX([1]!Comisiones[#Data],MATCH("Terminales",[1]!Comisiones[Producto],0),MATCH(Terminales[[#This Row],[TIPO ALTA COMISIONES]],[1]!Comisiones[#Headers],0))*Terminales[[#This Row],[MONTO]],0)</f>
        <v>38.392856999999999</v>
      </c>
      <c r="CC340" s="65">
        <f>IFERROR(IF(AND(Terminales[[#This Row],[CANTIDAD]] = 1,Terminales[[#This Row],[MOVIMIENTO]] = "RENOVACION"),Terminales[[#This Row],[TARIFA_BASICA]]*0.5,),)</f>
        <v>5.71</v>
      </c>
      <c r="CD340" s="65">
        <f>IF('[1]Resumen TM'!$AW$20 &lt; 0.4,0,Terminales[[#This Row],[MONTO]]*0.02)</f>
        <v>7.6785714</v>
      </c>
      <c r="CE340" s="66">
        <f>Terminales[[#This Row],[COMISIONES TERMINALES]]+Terminales[[#This Row],[COMISIONES RENOVACIONES]]+Terminales[[#This Row],[COMISIONES BONO]]</f>
        <v>51.781428400000003</v>
      </c>
      <c r="CF340" s="67">
        <f>(Terminales[[#This Row],[COMISIONES TERMINALES]]*VLOOKUP(Terminales[[#This Row],[LOCALES]],[1]!Calendario[#Data],3,0))/VLOOKUP(Terminales[[#This Row],[LOCALES]],[1]!Calendario[#Data],2,0)</f>
        <v>63.073979357142854</v>
      </c>
      <c r="CG340" s="67">
        <f>(Terminales[[#This Row],[COMISIONES RENOVACIONES]]*VLOOKUP(Terminales[[#This Row],[LOCALES]],[1]!Calendario[#Data],3,0))/VLOOKUP(Terminales[[#This Row],[LOCALES]],[1]!Calendario[#Data],2,0)</f>
        <v>9.3807142857142871</v>
      </c>
      <c r="CH340" s="67">
        <f>(Terminales[[#This Row],[COMISIONES BONO]]*VLOOKUP(Terminales[[#This Row],[LOCALES]],[1]!Calendario[#Data],3,0))/VLOOKUP(Terminales[[#This Row],[LOCALES]],[1]!Calendario[#Data],2,0)</f>
        <v>12.614795871428571</v>
      </c>
      <c r="CI340" s="67">
        <f>Terminales[[#This Row],[PROY. COM. TERMINALES]]+Terminales[[#This Row],[PROY. COM. RENOV.]]+Terminales[[#This Row],[PROY. COM. 2%]]</f>
        <v>85.069489514285706</v>
      </c>
    </row>
    <row r="341" spans="1:87" x14ac:dyDescent="0.25">
      <c r="A341" s="68">
        <v>44926</v>
      </c>
      <c r="B341" s="68">
        <v>44911</v>
      </c>
      <c r="C341" s="18" t="s">
        <v>291</v>
      </c>
      <c r="D341" s="18" t="s">
        <v>78</v>
      </c>
      <c r="E341" s="18" t="s">
        <v>231</v>
      </c>
      <c r="F341" s="18" t="s">
        <v>10170</v>
      </c>
      <c r="G341" s="18" t="s">
        <v>292</v>
      </c>
      <c r="H341" s="18" t="s">
        <v>494</v>
      </c>
      <c r="I341" s="18" t="s">
        <v>10171</v>
      </c>
      <c r="J341" s="18" t="s">
        <v>95</v>
      </c>
      <c r="K341" s="18" t="s">
        <v>7970</v>
      </c>
      <c r="L341" s="18" t="s">
        <v>10172</v>
      </c>
      <c r="M341" s="18" t="s">
        <v>10173</v>
      </c>
      <c r="N341" s="18" t="s">
        <v>10174</v>
      </c>
      <c r="O341" s="18" t="s">
        <v>543</v>
      </c>
      <c r="P341" s="18" t="s">
        <v>10175</v>
      </c>
      <c r="Q341" s="18" t="s">
        <v>7975</v>
      </c>
      <c r="R341" s="18" t="s">
        <v>7976</v>
      </c>
      <c r="S341" s="18" t="s">
        <v>7994</v>
      </c>
      <c r="T341" s="18" t="s">
        <v>8245</v>
      </c>
      <c r="U341" s="18" t="s">
        <v>8012</v>
      </c>
      <c r="V341" s="18" t="s">
        <v>6963</v>
      </c>
      <c r="W341" s="18" t="s">
        <v>95</v>
      </c>
      <c r="X341" s="18" t="s">
        <v>95</v>
      </c>
      <c r="Y341" s="18" t="s">
        <v>7980</v>
      </c>
      <c r="Z341" s="18" t="s">
        <v>6996</v>
      </c>
      <c r="AA341" s="69">
        <v>1</v>
      </c>
      <c r="AB341" s="18">
        <v>156.25</v>
      </c>
      <c r="AC341" s="18" t="s">
        <v>10176</v>
      </c>
      <c r="AD341" s="18" t="s">
        <v>7982</v>
      </c>
      <c r="AE341" s="18">
        <v>156</v>
      </c>
      <c r="AF341" s="18" t="s">
        <v>7983</v>
      </c>
      <c r="AG341" s="18">
        <v>156</v>
      </c>
      <c r="AH341" s="18" t="s">
        <v>95</v>
      </c>
      <c r="AI341" s="18" t="s">
        <v>7454</v>
      </c>
      <c r="AJ341" s="18" t="s">
        <v>7455</v>
      </c>
      <c r="AK341" s="18">
        <v>20</v>
      </c>
      <c r="AL341" s="18" t="s">
        <v>95</v>
      </c>
      <c r="AM341" s="18" t="s">
        <v>95</v>
      </c>
      <c r="AN341" s="18" t="s">
        <v>7984</v>
      </c>
      <c r="AO341" s="18" t="s">
        <v>139</v>
      </c>
      <c r="AP341" s="20" t="s">
        <v>280</v>
      </c>
      <c r="AQ341" s="18" t="s">
        <v>281</v>
      </c>
      <c r="AR341" s="18" t="s">
        <v>496</v>
      </c>
      <c r="AS341" s="18">
        <v>1</v>
      </c>
      <c r="AT341" s="18" t="s">
        <v>235</v>
      </c>
      <c r="AU341" s="18" t="s">
        <v>90</v>
      </c>
      <c r="AV341" s="18" t="s">
        <v>8247</v>
      </c>
      <c r="AW341" s="18" t="s">
        <v>8248</v>
      </c>
      <c r="AX341" s="18" t="s">
        <v>83</v>
      </c>
      <c r="AY341" s="18" t="s">
        <v>95</v>
      </c>
      <c r="AZ341" s="18" t="s">
        <v>95</v>
      </c>
      <c r="BA341" s="18" t="s">
        <v>95</v>
      </c>
      <c r="BB341" s="18" t="s">
        <v>95</v>
      </c>
      <c r="BC341" s="18" t="s">
        <v>95</v>
      </c>
      <c r="BD341" s="18" t="s">
        <v>95</v>
      </c>
      <c r="BE341" s="18" t="s">
        <v>95</v>
      </c>
      <c r="BF341" s="18" t="s">
        <v>95</v>
      </c>
      <c r="BG341" s="18" t="s">
        <v>95</v>
      </c>
      <c r="BH341" s="18" t="s">
        <v>95</v>
      </c>
      <c r="BI341" s="18">
        <v>12</v>
      </c>
      <c r="BJ341" s="18">
        <v>2022</v>
      </c>
      <c r="BK341" s="18" t="s">
        <v>95</v>
      </c>
      <c r="BL341" s="18" t="s">
        <v>95</v>
      </c>
      <c r="BM341" s="18" t="s">
        <v>95</v>
      </c>
      <c r="BN341" s="18" t="s">
        <v>85</v>
      </c>
      <c r="BO341" s="18" t="s">
        <v>86</v>
      </c>
      <c r="BP341" s="18" t="s">
        <v>90</v>
      </c>
      <c r="BQ341" s="18" t="s">
        <v>8016</v>
      </c>
      <c r="BR341" s="18" t="s">
        <v>139</v>
      </c>
      <c r="BS341" s="18" t="s">
        <v>8074</v>
      </c>
      <c r="BT341" s="18" t="s">
        <v>7989</v>
      </c>
      <c r="BU341" s="18" t="s">
        <v>496</v>
      </c>
      <c r="BV341" s="18" t="str">
        <f>Terminales[[#This Row],[IMEI]]&amp;"SI"</f>
        <v>355108340298928SI</v>
      </c>
      <c r="BW341" s="18" t="str">
        <f>VLOOKUP(Terminales[[#This Row],[OFICINA_USUARIO]],[1]!Locales[#Data],3,0)</f>
        <v>TIENDA CONDADO</v>
      </c>
      <c r="BX341" s="18" t="str">
        <f>VLOOKUP(Terminales[[#This Row],[USUARIO_FINAL]],'[1]Personal Ppto vs Real'!$A:$F,6,0)</f>
        <v>GUACHAMIN CAZA HUGO ADRIAN</v>
      </c>
      <c r="BY34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4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41" s="18">
        <f>DAY(Terminales[[#This Row],[FECHA_FACTURA]])</f>
        <v>16</v>
      </c>
      <c r="CB341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41" s="65">
        <f>IFERROR(IF(AND(Terminales[[#This Row],[CANTIDAD]] = 1,Terminales[[#This Row],[MOVIMIENTO]] = "RENOVACION"),Terminales[[#This Row],[TARIFA_BASICA]]*0.5,),)</f>
        <v>10</v>
      </c>
      <c r="CD341" s="65">
        <f>IF('[1]Resumen TM'!$AW$20 &lt; 0.4,0,Terminales[[#This Row],[MONTO]]*0.02)</f>
        <v>3.125</v>
      </c>
      <c r="CE341" s="66">
        <f>Terminales[[#This Row],[COMISIONES TERMINALES]]+Terminales[[#This Row],[COMISIONES RENOVACIONES]]+Terminales[[#This Row],[COMISIONES BONO]]</f>
        <v>28.75</v>
      </c>
      <c r="CF341" s="67">
        <f>(Terminales[[#This Row],[COMISIONES TERMINALES]]*VLOOKUP(Terminales[[#This Row],[LOCALES]],[1]!Calendario[#Data],3,0))/VLOOKUP(Terminales[[#This Row],[LOCALES]],[1]!Calendario[#Data],2,0)</f>
        <v>25.705645161290324</v>
      </c>
      <c r="CG341" s="67">
        <f>(Terminales[[#This Row],[COMISIONES RENOVACIONES]]*VLOOKUP(Terminales[[#This Row],[LOCALES]],[1]!Calendario[#Data],3,0))/VLOOKUP(Terminales[[#This Row],[LOCALES]],[1]!Calendario[#Data],2,0)</f>
        <v>16.451612903225808</v>
      </c>
      <c r="CH341" s="67">
        <f>(Terminales[[#This Row],[COMISIONES BONO]]*VLOOKUP(Terminales[[#This Row],[LOCALES]],[1]!Calendario[#Data],3,0))/VLOOKUP(Terminales[[#This Row],[LOCALES]],[1]!Calendario[#Data],2,0)</f>
        <v>5.1411290322580649</v>
      </c>
      <c r="CI341" s="67">
        <f>Terminales[[#This Row],[PROY. COM. TERMINALES]]+Terminales[[#This Row],[PROY. COM. RENOV.]]+Terminales[[#This Row],[PROY. COM. 2%]]</f>
        <v>47.298387096774192</v>
      </c>
    </row>
    <row r="342" spans="1:87" x14ac:dyDescent="0.25">
      <c r="A342" s="68">
        <v>44926</v>
      </c>
      <c r="B342" s="68">
        <v>44911</v>
      </c>
      <c r="C342" s="18" t="s">
        <v>291</v>
      </c>
      <c r="D342" s="18" t="s">
        <v>78</v>
      </c>
      <c r="E342" s="18" t="s">
        <v>164</v>
      </c>
      <c r="F342" s="18" t="s">
        <v>3826</v>
      </c>
      <c r="G342" s="18" t="s">
        <v>292</v>
      </c>
      <c r="H342" s="18" t="s">
        <v>494</v>
      </c>
      <c r="I342" s="18" t="s">
        <v>10177</v>
      </c>
      <c r="J342" s="18" t="s">
        <v>95</v>
      </c>
      <c r="K342" s="18" t="s">
        <v>7970</v>
      </c>
      <c r="L342" s="18" t="s">
        <v>3827</v>
      </c>
      <c r="M342" s="18" t="s">
        <v>3828</v>
      </c>
      <c r="N342" s="18" t="s">
        <v>3829</v>
      </c>
      <c r="O342" s="18" t="s">
        <v>3200</v>
      </c>
      <c r="P342" s="18" t="s">
        <v>3831</v>
      </c>
      <c r="Q342" s="18" t="s">
        <v>7975</v>
      </c>
      <c r="R342" s="18" t="s">
        <v>7976</v>
      </c>
      <c r="S342" s="18" t="s">
        <v>8673</v>
      </c>
      <c r="T342" s="18" t="s">
        <v>8842</v>
      </c>
      <c r="U342" s="18" t="s">
        <v>7996</v>
      </c>
      <c r="V342" s="18" t="s">
        <v>6963</v>
      </c>
      <c r="W342" s="18" t="s">
        <v>95</v>
      </c>
      <c r="X342" s="18" t="s">
        <v>95</v>
      </c>
      <c r="Y342" s="18" t="s">
        <v>7980</v>
      </c>
      <c r="Z342" s="18" t="s">
        <v>6996</v>
      </c>
      <c r="AA342" s="69">
        <v>1</v>
      </c>
      <c r="AB342" s="18">
        <v>169.64286000000001</v>
      </c>
      <c r="AC342" s="18" t="s">
        <v>10178</v>
      </c>
      <c r="AD342" s="18" t="s">
        <v>8151</v>
      </c>
      <c r="AE342" s="18">
        <v>145.68</v>
      </c>
      <c r="AF342" s="18" t="s">
        <v>7983</v>
      </c>
      <c r="AG342" s="18">
        <v>145.68</v>
      </c>
      <c r="AH342" s="18" t="s">
        <v>95</v>
      </c>
      <c r="AI342" s="18" t="s">
        <v>71</v>
      </c>
      <c r="AJ342" s="18" t="s">
        <v>258</v>
      </c>
      <c r="AK342" s="18">
        <v>11.42</v>
      </c>
      <c r="AL342" s="18" t="s">
        <v>95</v>
      </c>
      <c r="AM342" s="18" t="s">
        <v>95</v>
      </c>
      <c r="AN342" s="18" t="s">
        <v>7984</v>
      </c>
      <c r="AO342" s="18" t="s">
        <v>92</v>
      </c>
      <c r="AP342" s="20" t="s">
        <v>1043</v>
      </c>
      <c r="AQ342" s="18" t="s">
        <v>1044</v>
      </c>
      <c r="AR342" s="18" t="s">
        <v>496</v>
      </c>
      <c r="AS342" s="18">
        <v>1</v>
      </c>
      <c r="AT342" s="18" t="s">
        <v>122</v>
      </c>
      <c r="AU342" s="18" t="s">
        <v>90</v>
      </c>
      <c r="AV342" s="18" t="s">
        <v>8844</v>
      </c>
      <c r="AW342" s="18" t="s">
        <v>8845</v>
      </c>
      <c r="AX342" s="18" t="s">
        <v>83</v>
      </c>
      <c r="AY342" s="18" t="s">
        <v>95</v>
      </c>
      <c r="AZ342" s="18" t="s">
        <v>95</v>
      </c>
      <c r="BA342" s="18" t="s">
        <v>95</v>
      </c>
      <c r="BB342" s="18" t="s">
        <v>95</v>
      </c>
      <c r="BC342" s="18" t="s">
        <v>95</v>
      </c>
      <c r="BD342" s="18" t="s">
        <v>95</v>
      </c>
      <c r="BE342" s="18" t="s">
        <v>8527</v>
      </c>
      <c r="BF342" s="18" t="s">
        <v>8064</v>
      </c>
      <c r="BG342" s="18" t="s">
        <v>95</v>
      </c>
      <c r="BH342" s="18" t="s">
        <v>95</v>
      </c>
      <c r="BI342" s="18">
        <v>12</v>
      </c>
      <c r="BJ342" s="18">
        <v>2022</v>
      </c>
      <c r="BK342" s="18" t="s">
        <v>95</v>
      </c>
      <c r="BL342" s="18" t="s">
        <v>95</v>
      </c>
      <c r="BM342" s="18" t="s">
        <v>95</v>
      </c>
      <c r="BN342" s="18" t="s">
        <v>85</v>
      </c>
      <c r="BO342" s="18" t="s">
        <v>86</v>
      </c>
      <c r="BP342" s="18" t="s">
        <v>90</v>
      </c>
      <c r="BQ342" s="18" t="s">
        <v>8050</v>
      </c>
      <c r="BR342" s="18" t="s">
        <v>92</v>
      </c>
      <c r="BS342" s="18" t="s">
        <v>8003</v>
      </c>
      <c r="BT342" s="18" t="s">
        <v>7989</v>
      </c>
      <c r="BU342" s="18" t="s">
        <v>496</v>
      </c>
      <c r="BV342" s="18" t="str">
        <f>Terminales[[#This Row],[IMEI]]&amp;"SI"</f>
        <v>860256053218373SI</v>
      </c>
      <c r="BW342" s="18" t="str">
        <f>VLOOKUP(Terminales[[#This Row],[OFICINA_USUARIO]],[1]!Locales[#Data],3,0)</f>
        <v>TIENDA MACHALA</v>
      </c>
      <c r="BX342" s="18" t="str">
        <f>VLOOKUP(Terminales[[#This Row],[USUARIO_FINAL]],'[1]Personal Ppto vs Real'!$A:$F,6,0)</f>
        <v>GONZAGA YUPANGUI LIZBETH KATHERINE</v>
      </c>
      <c r="BY342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34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42" s="18">
        <f>DAY(Terminales[[#This Row],[FECHA_FACTURA]])</f>
        <v>16</v>
      </c>
      <c r="CB342" s="65">
        <f>IF(Terminales[[#This Row],[CANTIDAD]] = 1,INDEX([1]!Comisiones[#Data],MATCH("Terminales",[1]!Comisiones[Producto],0),MATCH(Terminales[[#This Row],[TIPO ALTA COMISIONES]],[1]!Comisiones[#Headers],0))*Terminales[[#This Row],[MONTO]],0)</f>
        <v>16.964286000000001</v>
      </c>
      <c r="CC342" s="65">
        <f>IFERROR(IF(AND(Terminales[[#This Row],[CANTIDAD]] = 1,Terminales[[#This Row],[MOVIMIENTO]] = "RENOVACION"),Terminales[[#This Row],[TARIFA_BASICA]]*0.5,),)</f>
        <v>0</v>
      </c>
      <c r="CD342" s="65">
        <f>IF('[1]Resumen TM'!$AW$20 &lt; 0.4,0,Terminales[[#This Row],[MONTO]]*0.02)</f>
        <v>3.3928572000000004</v>
      </c>
      <c r="CE342" s="66">
        <f>Terminales[[#This Row],[COMISIONES TERMINALES]]+Terminales[[#This Row],[COMISIONES RENOVACIONES]]+Terminales[[#This Row],[COMISIONES BONO]]</f>
        <v>20.357143200000003</v>
      </c>
      <c r="CF342" s="67">
        <f>(Terminales[[#This Row],[COMISIONES TERMINALES]]*VLOOKUP(Terminales[[#This Row],[LOCALES]],[1]!Calendario[#Data],3,0))/VLOOKUP(Terminales[[#This Row],[LOCALES]],[1]!Calendario[#Data],2,0)</f>
        <v>27.49384282758621</v>
      </c>
      <c r="CG342" s="67">
        <f>(Terminales[[#This Row],[COMISIONES RENOVACIONES]]*VLOOKUP(Terminales[[#This Row],[LOCALES]],[1]!Calendario[#Data],3,0))/VLOOKUP(Terminales[[#This Row],[LOCALES]],[1]!Calendario[#Data],2,0)</f>
        <v>0</v>
      </c>
      <c r="CH342" s="67">
        <f>(Terminales[[#This Row],[COMISIONES BONO]]*VLOOKUP(Terminales[[#This Row],[LOCALES]],[1]!Calendario[#Data],3,0))/VLOOKUP(Terminales[[#This Row],[LOCALES]],[1]!Calendario[#Data],2,0)</f>
        <v>5.498768565517242</v>
      </c>
      <c r="CI342" s="67">
        <f>Terminales[[#This Row],[PROY. COM. TERMINALES]]+Terminales[[#This Row],[PROY. COM. RENOV.]]+Terminales[[#This Row],[PROY. COM. 2%]]</f>
        <v>32.992611393103452</v>
      </c>
    </row>
    <row r="343" spans="1:87" x14ac:dyDescent="0.25">
      <c r="A343" s="68">
        <v>44926</v>
      </c>
      <c r="B343" s="68">
        <v>44911</v>
      </c>
      <c r="C343" s="18" t="s">
        <v>291</v>
      </c>
      <c r="D343" s="18" t="s">
        <v>78</v>
      </c>
      <c r="E343" s="18" t="s">
        <v>164</v>
      </c>
      <c r="F343" s="18" t="s">
        <v>1147</v>
      </c>
      <c r="G343" s="18" t="s">
        <v>292</v>
      </c>
      <c r="H343" s="18" t="s">
        <v>494</v>
      </c>
      <c r="I343" s="18" t="s">
        <v>10179</v>
      </c>
      <c r="J343" s="18" t="s">
        <v>95</v>
      </c>
      <c r="K343" s="18" t="s">
        <v>7970</v>
      </c>
      <c r="L343" s="18" t="s">
        <v>1148</v>
      </c>
      <c r="M343" s="18" t="s">
        <v>1149</v>
      </c>
      <c r="N343" s="18" t="s">
        <v>1150</v>
      </c>
      <c r="O343" s="18" t="s">
        <v>543</v>
      </c>
      <c r="P343" s="18" t="s">
        <v>1151</v>
      </c>
      <c r="Q343" s="18" t="s">
        <v>7975</v>
      </c>
      <c r="R343" s="18" t="s">
        <v>7976</v>
      </c>
      <c r="S343" s="18" t="s">
        <v>7994</v>
      </c>
      <c r="T343" s="18" t="s">
        <v>8245</v>
      </c>
      <c r="U343" s="18" t="s">
        <v>8012</v>
      </c>
      <c r="V343" s="18" t="s">
        <v>6963</v>
      </c>
      <c r="W343" s="18" t="s">
        <v>95</v>
      </c>
      <c r="X343" s="18" t="s">
        <v>95</v>
      </c>
      <c r="Y343" s="18" t="s">
        <v>7980</v>
      </c>
      <c r="Z343" s="18" t="s">
        <v>6996</v>
      </c>
      <c r="AA343" s="69">
        <v>1</v>
      </c>
      <c r="AB343" s="18">
        <v>156.25</v>
      </c>
      <c r="AC343" s="18" t="s">
        <v>10180</v>
      </c>
      <c r="AD343" s="18" t="s">
        <v>8151</v>
      </c>
      <c r="AE343" s="18">
        <v>156</v>
      </c>
      <c r="AF343" s="18" t="s">
        <v>7983</v>
      </c>
      <c r="AG343" s="18">
        <v>156</v>
      </c>
      <c r="AH343" s="18" t="s">
        <v>95</v>
      </c>
      <c r="AI343" s="18" t="s">
        <v>160</v>
      </c>
      <c r="AJ343" s="18" t="s">
        <v>161</v>
      </c>
      <c r="AK343" s="18">
        <v>14.28</v>
      </c>
      <c r="AL343" s="18" t="s">
        <v>95</v>
      </c>
      <c r="AM343" s="18" t="s">
        <v>95</v>
      </c>
      <c r="AN343" s="18" t="s">
        <v>7984</v>
      </c>
      <c r="AO343" s="18" t="s">
        <v>139</v>
      </c>
      <c r="AP343" s="20" t="s">
        <v>280</v>
      </c>
      <c r="AQ343" s="18" t="s">
        <v>281</v>
      </c>
      <c r="AR343" s="18" t="s">
        <v>496</v>
      </c>
      <c r="AS343" s="18">
        <v>1</v>
      </c>
      <c r="AT343" s="18" t="s">
        <v>235</v>
      </c>
      <c r="AU343" s="18" t="s">
        <v>90</v>
      </c>
      <c r="AV343" s="18" t="s">
        <v>8247</v>
      </c>
      <c r="AW343" s="18" t="s">
        <v>8248</v>
      </c>
      <c r="AX343" s="18" t="s">
        <v>83</v>
      </c>
      <c r="AY343" s="18" t="s">
        <v>95</v>
      </c>
      <c r="AZ343" s="18" t="s">
        <v>95</v>
      </c>
      <c r="BA343" s="18" t="s">
        <v>95</v>
      </c>
      <c r="BB343" s="18" t="s">
        <v>95</v>
      </c>
      <c r="BC343" s="18" t="s">
        <v>95</v>
      </c>
      <c r="BD343" s="18" t="s">
        <v>95</v>
      </c>
      <c r="BE343" s="18" t="s">
        <v>95</v>
      </c>
      <c r="BF343" s="18" t="s">
        <v>95</v>
      </c>
      <c r="BG343" s="18" t="s">
        <v>95</v>
      </c>
      <c r="BH343" s="18" t="s">
        <v>95</v>
      </c>
      <c r="BI343" s="18">
        <v>12</v>
      </c>
      <c r="BJ343" s="18">
        <v>2022</v>
      </c>
      <c r="BK343" s="18" t="s">
        <v>95</v>
      </c>
      <c r="BL343" s="18" t="s">
        <v>95</v>
      </c>
      <c r="BM343" s="18" t="s">
        <v>95</v>
      </c>
      <c r="BN343" s="18" t="s">
        <v>85</v>
      </c>
      <c r="BO343" s="18" t="s">
        <v>86</v>
      </c>
      <c r="BP343" s="18" t="s">
        <v>90</v>
      </c>
      <c r="BQ343" s="18" t="s">
        <v>8016</v>
      </c>
      <c r="BR343" s="18" t="s">
        <v>139</v>
      </c>
      <c r="BS343" s="18" t="s">
        <v>8074</v>
      </c>
      <c r="BT343" s="18" t="s">
        <v>7989</v>
      </c>
      <c r="BU343" s="18" t="s">
        <v>496</v>
      </c>
      <c r="BV343" s="18" t="str">
        <f>Terminales[[#This Row],[IMEI]]&amp;"SI"</f>
        <v>355108340299975SI</v>
      </c>
      <c r="BW343" s="18" t="str">
        <f>VLOOKUP(Terminales[[#This Row],[OFICINA_USUARIO]],[1]!Locales[#Data],3,0)</f>
        <v>TIENDA CONDADO</v>
      </c>
      <c r="BX343" s="18" t="str">
        <f>VLOOKUP(Terminales[[#This Row],[USUARIO_FINAL]],'[1]Personal Ppto vs Real'!$A:$F,6,0)</f>
        <v>GUACHAMIN CAZA HUGO ADRIAN</v>
      </c>
      <c r="BY343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34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43" s="18">
        <f>DAY(Terminales[[#This Row],[FECHA_FACTURA]])</f>
        <v>16</v>
      </c>
      <c r="CB343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43" s="65">
        <f>IFERROR(IF(AND(Terminales[[#This Row],[CANTIDAD]] = 1,Terminales[[#This Row],[MOVIMIENTO]] = "RENOVACION"),Terminales[[#This Row],[TARIFA_BASICA]]*0.5,),)</f>
        <v>0</v>
      </c>
      <c r="CD343" s="65">
        <f>IF('[1]Resumen TM'!$AW$20 &lt; 0.4,0,Terminales[[#This Row],[MONTO]]*0.02)</f>
        <v>3.125</v>
      </c>
      <c r="CE343" s="66">
        <f>Terminales[[#This Row],[COMISIONES TERMINALES]]+Terminales[[#This Row],[COMISIONES RENOVACIONES]]+Terminales[[#This Row],[COMISIONES BONO]]</f>
        <v>18.75</v>
      </c>
      <c r="CF343" s="67">
        <f>(Terminales[[#This Row],[COMISIONES TERMINALES]]*VLOOKUP(Terminales[[#This Row],[LOCALES]],[1]!Calendario[#Data],3,0))/VLOOKUP(Terminales[[#This Row],[LOCALES]],[1]!Calendario[#Data],2,0)</f>
        <v>25.705645161290324</v>
      </c>
      <c r="CG343" s="67">
        <f>(Terminales[[#This Row],[COMISIONES RENOVACIONES]]*VLOOKUP(Terminales[[#This Row],[LOCALES]],[1]!Calendario[#Data],3,0))/VLOOKUP(Terminales[[#This Row],[LOCALES]],[1]!Calendario[#Data],2,0)</f>
        <v>0</v>
      </c>
      <c r="CH343" s="67">
        <f>(Terminales[[#This Row],[COMISIONES BONO]]*VLOOKUP(Terminales[[#This Row],[LOCALES]],[1]!Calendario[#Data],3,0))/VLOOKUP(Terminales[[#This Row],[LOCALES]],[1]!Calendario[#Data],2,0)</f>
        <v>5.1411290322580649</v>
      </c>
      <c r="CI343" s="67">
        <f>Terminales[[#This Row],[PROY. COM. TERMINALES]]+Terminales[[#This Row],[PROY. COM. RENOV.]]+Terminales[[#This Row],[PROY. COM. 2%]]</f>
        <v>30.846774193548388</v>
      </c>
    </row>
    <row r="344" spans="1:87" x14ac:dyDescent="0.25">
      <c r="A344" s="68">
        <v>44926</v>
      </c>
      <c r="B344" s="68">
        <v>44911</v>
      </c>
      <c r="C344" s="18" t="s">
        <v>291</v>
      </c>
      <c r="D344" s="18" t="s">
        <v>78</v>
      </c>
      <c r="E344" s="18" t="s">
        <v>2241</v>
      </c>
      <c r="F344" s="18" t="s">
        <v>282</v>
      </c>
      <c r="G344" s="18" t="s">
        <v>292</v>
      </c>
      <c r="H344" s="18" t="s">
        <v>293</v>
      </c>
      <c r="I344" s="18" t="s">
        <v>10181</v>
      </c>
      <c r="J344" s="18" t="s">
        <v>95</v>
      </c>
      <c r="K344" s="18" t="s">
        <v>7970</v>
      </c>
      <c r="L344" s="18" t="s">
        <v>283</v>
      </c>
      <c r="M344" s="18" t="s">
        <v>284</v>
      </c>
      <c r="N344" s="18" t="s">
        <v>285</v>
      </c>
      <c r="O344" s="18" t="s">
        <v>294</v>
      </c>
      <c r="P344" s="18" t="s">
        <v>286</v>
      </c>
      <c r="Q344" s="18" t="s">
        <v>7975</v>
      </c>
      <c r="R344" s="18" t="s">
        <v>7976</v>
      </c>
      <c r="S344" s="18" t="s">
        <v>7994</v>
      </c>
      <c r="T344" s="18" t="s">
        <v>8267</v>
      </c>
      <c r="U344" s="18" t="s">
        <v>7996</v>
      </c>
      <c r="V344" s="18" t="s">
        <v>6963</v>
      </c>
      <c r="W344" s="18" t="s">
        <v>95</v>
      </c>
      <c r="X344" s="18" t="s">
        <v>95</v>
      </c>
      <c r="Y344" s="18" t="s">
        <v>7980</v>
      </c>
      <c r="Z344" s="18" t="s">
        <v>6996</v>
      </c>
      <c r="AA344" s="69">
        <v>1</v>
      </c>
      <c r="AB344" s="18">
        <v>125</v>
      </c>
      <c r="AC344" s="18" t="s">
        <v>10182</v>
      </c>
      <c r="AD344" s="18" t="s">
        <v>8151</v>
      </c>
      <c r="AE344" s="18">
        <v>82.97</v>
      </c>
      <c r="AF344" s="18" t="s">
        <v>7983</v>
      </c>
      <c r="AG344" s="18">
        <v>82.97</v>
      </c>
      <c r="AH344" s="18" t="s">
        <v>95</v>
      </c>
      <c r="AI344" s="18" t="s">
        <v>160</v>
      </c>
      <c r="AJ344" s="18" t="s">
        <v>161</v>
      </c>
      <c r="AK344" s="18">
        <v>14.28</v>
      </c>
      <c r="AL344" s="18" t="s">
        <v>95</v>
      </c>
      <c r="AM344" s="18" t="s">
        <v>95</v>
      </c>
      <c r="AN344" s="18" t="s">
        <v>7984</v>
      </c>
      <c r="AO344" s="18" t="s">
        <v>92</v>
      </c>
      <c r="AP344" s="20" t="s">
        <v>289</v>
      </c>
      <c r="AQ344" s="18" t="s">
        <v>290</v>
      </c>
      <c r="AR344" s="18" t="s">
        <v>295</v>
      </c>
      <c r="AS344" s="18">
        <v>1</v>
      </c>
      <c r="AT344" s="18" t="s">
        <v>91</v>
      </c>
      <c r="AU344" s="18" t="s">
        <v>90</v>
      </c>
      <c r="AV344" s="18" t="s">
        <v>8269</v>
      </c>
      <c r="AW344" s="18" t="s">
        <v>8270</v>
      </c>
      <c r="AX344" s="18" t="s">
        <v>83</v>
      </c>
      <c r="AY344" s="18" t="s">
        <v>95</v>
      </c>
      <c r="AZ344" s="18" t="s">
        <v>95</v>
      </c>
      <c r="BA344" s="18" t="s">
        <v>95</v>
      </c>
      <c r="BB344" s="18" t="s">
        <v>95</v>
      </c>
      <c r="BC344" s="18" t="s">
        <v>95</v>
      </c>
      <c r="BD344" s="18">
        <v>25</v>
      </c>
      <c r="BE344" s="18" t="s">
        <v>95</v>
      </c>
      <c r="BF344" s="18" t="s">
        <v>95</v>
      </c>
      <c r="BG344" s="18" t="s">
        <v>95</v>
      </c>
      <c r="BH344" s="18" t="s">
        <v>95</v>
      </c>
      <c r="BI344" s="18">
        <v>12</v>
      </c>
      <c r="BJ344" s="18">
        <v>2022</v>
      </c>
      <c r="BK344" s="18" t="s">
        <v>95</v>
      </c>
      <c r="BL344" s="18" t="s">
        <v>95</v>
      </c>
      <c r="BM344" s="18" t="s">
        <v>95</v>
      </c>
      <c r="BN344" s="18" t="s">
        <v>85</v>
      </c>
      <c r="BO344" s="18" t="s">
        <v>86</v>
      </c>
      <c r="BP344" s="18" t="s">
        <v>90</v>
      </c>
      <c r="BQ344" s="18" t="s">
        <v>8106</v>
      </c>
      <c r="BR344" s="18" t="s">
        <v>92</v>
      </c>
      <c r="BS344" s="18" t="s">
        <v>9828</v>
      </c>
      <c r="BT344" s="18" t="s">
        <v>7989</v>
      </c>
      <c r="BU344" s="18" t="s">
        <v>7990</v>
      </c>
      <c r="BV344" s="18" t="str">
        <f>Terminales[[#This Row],[IMEI]]&amp;"SI"</f>
        <v>353906800011166SI</v>
      </c>
      <c r="BW344" s="18" t="str">
        <f>VLOOKUP(Terminales[[#This Row],[OFICINA_USUARIO]],[1]!Locales[#Data],3,0)</f>
        <v>TIENDA CUENCA CENTRO</v>
      </c>
      <c r="BX344" s="18" t="str">
        <f>VLOOKUP(Terminales[[#This Row],[USUARIO_FINAL]],'[1]Personal Ppto vs Real'!$A:$F,6,0)</f>
        <v>CALLE CHACA JORGE VINICIO</v>
      </c>
      <c r="BY344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34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44" s="18">
        <f>DAY(Terminales[[#This Row],[FECHA_FACTURA]])</f>
        <v>16</v>
      </c>
      <c r="CB344" s="65">
        <f>IF(Terminales[[#This Row],[CANTIDAD]] = 1,INDEX([1]!Comisiones[#Data],MATCH("Terminales",[1]!Comisiones[Producto],0),MATCH(Terminales[[#This Row],[TIPO ALTA COMISIONES]],[1]!Comisiones[#Headers],0))*Terminales[[#This Row],[MONTO]],0)</f>
        <v>12.5</v>
      </c>
      <c r="CC344" s="65">
        <f>IFERROR(IF(AND(Terminales[[#This Row],[CANTIDAD]] = 1,Terminales[[#This Row],[MOVIMIENTO]] = "RENOVACION"),Terminales[[#This Row],[TARIFA_BASICA]]*0.5,),)</f>
        <v>0</v>
      </c>
      <c r="CD344" s="65">
        <f>IF('[1]Resumen TM'!$AW$20 &lt; 0.4,0,Terminales[[#This Row],[MONTO]]*0.02)</f>
        <v>2.5</v>
      </c>
      <c r="CE344" s="66">
        <f>Terminales[[#This Row],[COMISIONES TERMINALES]]+Terminales[[#This Row],[COMISIONES RENOVACIONES]]+Terminales[[#This Row],[COMISIONES BONO]]</f>
        <v>15</v>
      </c>
      <c r="CF344" s="67">
        <f>(Terminales[[#This Row],[COMISIONES TERMINALES]]*VLOOKUP(Terminales[[#This Row],[LOCALES]],[1]!Calendario[#Data],3,0))/VLOOKUP(Terminales[[#This Row],[LOCALES]],[1]!Calendario[#Data],2,0)</f>
        <v>20.258620689655171</v>
      </c>
      <c r="CG344" s="67">
        <f>(Terminales[[#This Row],[COMISIONES RENOVACIONES]]*VLOOKUP(Terminales[[#This Row],[LOCALES]],[1]!Calendario[#Data],3,0))/VLOOKUP(Terminales[[#This Row],[LOCALES]],[1]!Calendario[#Data],2,0)</f>
        <v>0</v>
      </c>
      <c r="CH344" s="67">
        <f>(Terminales[[#This Row],[COMISIONES BONO]]*VLOOKUP(Terminales[[#This Row],[LOCALES]],[1]!Calendario[#Data],3,0))/VLOOKUP(Terminales[[#This Row],[LOCALES]],[1]!Calendario[#Data],2,0)</f>
        <v>4.0517241379310347</v>
      </c>
      <c r="CI344" s="67">
        <f>Terminales[[#This Row],[PROY. COM. TERMINALES]]+Terminales[[#This Row],[PROY. COM. RENOV.]]+Terminales[[#This Row],[PROY. COM. 2%]]</f>
        <v>24.310344827586206</v>
      </c>
    </row>
    <row r="345" spans="1:87" x14ac:dyDescent="0.25">
      <c r="A345" s="68">
        <v>44926</v>
      </c>
      <c r="B345" s="68">
        <v>44911</v>
      </c>
      <c r="C345" s="18" t="s">
        <v>291</v>
      </c>
      <c r="D345" s="18" t="s">
        <v>78</v>
      </c>
      <c r="E345" s="18" t="s">
        <v>164</v>
      </c>
      <c r="F345" s="18" t="s">
        <v>4063</v>
      </c>
      <c r="G345" s="18" t="s">
        <v>292</v>
      </c>
      <c r="H345" s="18" t="s">
        <v>293</v>
      </c>
      <c r="I345" s="18" t="s">
        <v>10183</v>
      </c>
      <c r="J345" s="18" t="s">
        <v>95</v>
      </c>
      <c r="K345" s="18" t="s">
        <v>7970</v>
      </c>
      <c r="L345" s="18" t="s">
        <v>4064</v>
      </c>
      <c r="M345" s="18" t="s">
        <v>4065</v>
      </c>
      <c r="N345" s="18" t="s">
        <v>4066</v>
      </c>
      <c r="O345" s="18" t="s">
        <v>1022</v>
      </c>
      <c r="P345" s="18" t="s">
        <v>4067</v>
      </c>
      <c r="Q345" s="18" t="s">
        <v>7975</v>
      </c>
      <c r="R345" s="18" t="s">
        <v>7976</v>
      </c>
      <c r="S345" s="18" t="s">
        <v>8045</v>
      </c>
      <c r="T345" s="18" t="s">
        <v>8225</v>
      </c>
      <c r="U345" s="18" t="s">
        <v>8012</v>
      </c>
      <c r="V345" s="18" t="s">
        <v>6963</v>
      </c>
      <c r="W345" s="18" t="s">
        <v>95</v>
      </c>
      <c r="X345" s="18" t="s">
        <v>95</v>
      </c>
      <c r="Y345" s="18" t="s">
        <v>7980</v>
      </c>
      <c r="Z345" s="18" t="s">
        <v>6996</v>
      </c>
      <c r="AA345" s="69">
        <v>1</v>
      </c>
      <c r="AB345" s="18">
        <v>334.82143000000002</v>
      </c>
      <c r="AC345" s="18" t="s">
        <v>10184</v>
      </c>
      <c r="AD345" s="18" t="s">
        <v>8151</v>
      </c>
      <c r="AE345" s="18">
        <v>232</v>
      </c>
      <c r="AF345" s="18" t="s">
        <v>7983</v>
      </c>
      <c r="AG345" s="18">
        <v>232</v>
      </c>
      <c r="AH345" s="18" t="s">
        <v>95</v>
      </c>
      <c r="AI345" s="18" t="s">
        <v>130</v>
      </c>
      <c r="AJ345" s="18" t="s">
        <v>433</v>
      </c>
      <c r="AK345" s="18">
        <v>15</v>
      </c>
      <c r="AL345" s="18" t="s">
        <v>95</v>
      </c>
      <c r="AM345" s="18" t="s">
        <v>95</v>
      </c>
      <c r="AN345" s="18" t="s">
        <v>7984</v>
      </c>
      <c r="AO345" s="18" t="s">
        <v>92</v>
      </c>
      <c r="AP345" s="20" t="s">
        <v>352</v>
      </c>
      <c r="AQ345" s="18" t="s">
        <v>353</v>
      </c>
      <c r="AR345" s="18" t="s">
        <v>295</v>
      </c>
      <c r="AS345" s="18">
        <v>1</v>
      </c>
      <c r="AT345" s="18" t="s">
        <v>122</v>
      </c>
      <c r="AU345" s="18" t="s">
        <v>90</v>
      </c>
      <c r="AV345" s="18" t="s">
        <v>8392</v>
      </c>
      <c r="AW345" s="18" t="s">
        <v>8393</v>
      </c>
      <c r="AX345" s="18" t="s">
        <v>83</v>
      </c>
      <c r="AY345" s="18" t="s">
        <v>95</v>
      </c>
      <c r="AZ345" s="18" t="s">
        <v>95</v>
      </c>
      <c r="BA345" s="18" t="s">
        <v>95</v>
      </c>
      <c r="BB345" s="18" t="s">
        <v>95</v>
      </c>
      <c r="BC345" s="18" t="s">
        <v>95</v>
      </c>
      <c r="BD345" s="18">
        <v>70</v>
      </c>
      <c r="BE345" s="18" t="s">
        <v>95</v>
      </c>
      <c r="BF345" s="18" t="s">
        <v>95</v>
      </c>
      <c r="BG345" s="18" t="s">
        <v>95</v>
      </c>
      <c r="BH345" s="18" t="s">
        <v>95</v>
      </c>
      <c r="BI345" s="18">
        <v>12</v>
      </c>
      <c r="BJ345" s="18">
        <v>2022</v>
      </c>
      <c r="BK345" s="18" t="s">
        <v>95</v>
      </c>
      <c r="BL345" s="18" t="s">
        <v>95</v>
      </c>
      <c r="BM345" s="18" t="s">
        <v>95</v>
      </c>
      <c r="BN345" s="18" t="s">
        <v>85</v>
      </c>
      <c r="BO345" s="18" t="s">
        <v>86</v>
      </c>
      <c r="BP345" s="18" t="s">
        <v>90</v>
      </c>
      <c r="BQ345" s="18" t="s">
        <v>8050</v>
      </c>
      <c r="BR345" s="18" t="s">
        <v>92</v>
      </c>
      <c r="BS345" s="18" t="s">
        <v>9828</v>
      </c>
      <c r="BT345" s="18" t="s">
        <v>7989</v>
      </c>
      <c r="BU345" s="18" t="s">
        <v>7990</v>
      </c>
      <c r="BV345" s="18" t="str">
        <f>Terminales[[#This Row],[IMEI]]&amp;"SI"</f>
        <v>356795951446751SI</v>
      </c>
      <c r="BW345" s="18" t="str">
        <f>VLOOKUP(Terminales[[#This Row],[OFICINA_USUARIO]],[1]!Locales[#Data],3,0)</f>
        <v>TIENDA MACHALA</v>
      </c>
      <c r="BX345" s="18" t="str">
        <f>VLOOKUP(Terminales[[#This Row],[USUARIO_FINAL]],'[1]Personal Ppto vs Real'!$A:$F,6,0)</f>
        <v>TENORIO MARIA DEL PILAR</v>
      </c>
      <c r="BY345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34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45" s="18">
        <f>DAY(Terminales[[#This Row],[FECHA_FACTURA]])</f>
        <v>16</v>
      </c>
      <c r="CB345" s="65">
        <f>IF(Terminales[[#This Row],[CANTIDAD]] = 1,INDEX([1]!Comisiones[#Data],MATCH("Terminales",[1]!Comisiones[Producto],0),MATCH(Terminales[[#This Row],[TIPO ALTA COMISIONES]],[1]!Comisiones[#Headers],0))*Terminales[[#This Row],[MONTO]],0)</f>
        <v>33.482143000000001</v>
      </c>
      <c r="CC345" s="65">
        <f>IFERROR(IF(AND(Terminales[[#This Row],[CANTIDAD]] = 1,Terminales[[#This Row],[MOVIMIENTO]] = "RENOVACION"),Terminales[[#This Row],[TARIFA_BASICA]]*0.5,),)</f>
        <v>0</v>
      </c>
      <c r="CD345" s="65">
        <f>IF('[1]Resumen TM'!$AW$20 &lt; 0.4,0,Terminales[[#This Row],[MONTO]]*0.02)</f>
        <v>6.6964286000000008</v>
      </c>
      <c r="CE345" s="66">
        <f>Terminales[[#This Row],[COMISIONES TERMINALES]]+Terminales[[#This Row],[COMISIONES RENOVACIONES]]+Terminales[[#This Row],[COMISIONES BONO]]</f>
        <v>40.178571599999998</v>
      </c>
      <c r="CF345" s="67">
        <f>(Terminales[[#This Row],[COMISIONES TERMINALES]]*VLOOKUP(Terminales[[#This Row],[LOCALES]],[1]!Calendario[#Data],3,0))/VLOOKUP(Terminales[[#This Row],[LOCALES]],[1]!Calendario[#Data],2,0)</f>
        <v>54.264162793103445</v>
      </c>
      <c r="CG345" s="67">
        <f>(Terminales[[#This Row],[COMISIONES RENOVACIONES]]*VLOOKUP(Terminales[[#This Row],[LOCALES]],[1]!Calendario[#Data],3,0))/VLOOKUP(Terminales[[#This Row],[LOCALES]],[1]!Calendario[#Data],2,0)</f>
        <v>0</v>
      </c>
      <c r="CH345" s="67">
        <f>(Terminales[[#This Row],[COMISIONES BONO]]*VLOOKUP(Terminales[[#This Row],[LOCALES]],[1]!Calendario[#Data],3,0))/VLOOKUP(Terminales[[#This Row],[LOCALES]],[1]!Calendario[#Data],2,0)</f>
        <v>10.852832558620692</v>
      </c>
      <c r="CI345" s="67">
        <f>Terminales[[#This Row],[PROY. COM. TERMINALES]]+Terminales[[#This Row],[PROY. COM. RENOV.]]+Terminales[[#This Row],[PROY. COM. 2%]]</f>
        <v>65.116995351724142</v>
      </c>
    </row>
    <row r="346" spans="1:87" x14ac:dyDescent="0.25">
      <c r="A346" s="68">
        <v>44926</v>
      </c>
      <c r="B346" s="68">
        <v>44911</v>
      </c>
      <c r="C346" s="18" t="s">
        <v>291</v>
      </c>
      <c r="D346" s="18" t="s">
        <v>78</v>
      </c>
      <c r="E346" s="18" t="s">
        <v>1532</v>
      </c>
      <c r="F346" s="18" t="s">
        <v>10185</v>
      </c>
      <c r="G346" s="18" t="s">
        <v>292</v>
      </c>
      <c r="H346" s="18" t="s">
        <v>494</v>
      </c>
      <c r="I346" s="18" t="s">
        <v>10186</v>
      </c>
      <c r="J346" s="18" t="s">
        <v>95</v>
      </c>
      <c r="K346" s="18" t="s">
        <v>7970</v>
      </c>
      <c r="L346" s="18" t="s">
        <v>10187</v>
      </c>
      <c r="M346" s="18" t="s">
        <v>10188</v>
      </c>
      <c r="N346" s="18" t="s">
        <v>10189</v>
      </c>
      <c r="O346" s="18" t="s">
        <v>8316</v>
      </c>
      <c r="P346" s="18" t="s">
        <v>10190</v>
      </c>
      <c r="Q346" s="18" t="s">
        <v>7975</v>
      </c>
      <c r="R346" s="18" t="s">
        <v>7976</v>
      </c>
      <c r="S346" s="18" t="s">
        <v>8250</v>
      </c>
      <c r="T346" s="18" t="s">
        <v>8318</v>
      </c>
      <c r="U346" s="18" t="s">
        <v>8059</v>
      </c>
      <c r="V346" s="18" t="s">
        <v>6963</v>
      </c>
      <c r="W346" s="18" t="s">
        <v>95</v>
      </c>
      <c r="X346" s="18" t="s">
        <v>95</v>
      </c>
      <c r="Y346" s="18" t="s">
        <v>7980</v>
      </c>
      <c r="Z346" s="18" t="s">
        <v>6996</v>
      </c>
      <c r="AA346" s="69">
        <v>1</v>
      </c>
      <c r="AB346" s="18">
        <v>1094.19</v>
      </c>
      <c r="AC346" s="18" t="s">
        <v>10191</v>
      </c>
      <c r="AD346" s="18" t="s">
        <v>7982</v>
      </c>
      <c r="AE346" s="18">
        <v>955.13</v>
      </c>
      <c r="AF346" s="18" t="s">
        <v>7983</v>
      </c>
      <c r="AG346" s="18">
        <v>955.13</v>
      </c>
      <c r="AH346" s="18" t="s">
        <v>95</v>
      </c>
      <c r="AI346" s="18" t="s">
        <v>574</v>
      </c>
      <c r="AJ346" s="18" t="s">
        <v>575</v>
      </c>
      <c r="AK346" s="18">
        <v>17.850000000000001</v>
      </c>
      <c r="AL346" s="18" t="s">
        <v>95</v>
      </c>
      <c r="AM346" s="18" t="s">
        <v>95</v>
      </c>
      <c r="AN346" s="18" t="s">
        <v>7984</v>
      </c>
      <c r="AO346" s="18" t="s">
        <v>139</v>
      </c>
      <c r="AP346" s="20" t="s">
        <v>280</v>
      </c>
      <c r="AQ346" s="18" t="s">
        <v>281</v>
      </c>
      <c r="AR346" s="18" t="s">
        <v>496</v>
      </c>
      <c r="AS346" s="18">
        <v>1</v>
      </c>
      <c r="AT346" s="18" t="s">
        <v>235</v>
      </c>
      <c r="AU346" s="18" t="s">
        <v>90</v>
      </c>
      <c r="AV346" s="18" t="s">
        <v>8319</v>
      </c>
      <c r="AW346" s="18" t="s">
        <v>8320</v>
      </c>
      <c r="AX346" s="18" t="s">
        <v>83</v>
      </c>
      <c r="AY346" s="18" t="s">
        <v>95</v>
      </c>
      <c r="AZ346" s="18" t="s">
        <v>95</v>
      </c>
      <c r="BA346" s="18" t="s">
        <v>95</v>
      </c>
      <c r="BB346" s="18" t="s">
        <v>95</v>
      </c>
      <c r="BC346" s="18" t="s">
        <v>95</v>
      </c>
      <c r="BD346" s="18" t="s">
        <v>95</v>
      </c>
      <c r="BE346" s="18" t="s">
        <v>95</v>
      </c>
      <c r="BF346" s="18" t="s">
        <v>95</v>
      </c>
      <c r="BG346" s="18" t="s">
        <v>95</v>
      </c>
      <c r="BH346" s="18" t="s">
        <v>95</v>
      </c>
      <c r="BI346" s="18">
        <v>12</v>
      </c>
      <c r="BJ346" s="18">
        <v>2022</v>
      </c>
      <c r="BK346" s="18" t="s">
        <v>95</v>
      </c>
      <c r="BL346" s="18" t="s">
        <v>95</v>
      </c>
      <c r="BM346" s="18" t="s">
        <v>95</v>
      </c>
      <c r="BN346" s="18" t="s">
        <v>85</v>
      </c>
      <c r="BO346" s="18" t="s">
        <v>86</v>
      </c>
      <c r="BP346" s="18" t="s">
        <v>90</v>
      </c>
      <c r="BQ346" s="18" t="s">
        <v>8016</v>
      </c>
      <c r="BR346" s="18" t="s">
        <v>139</v>
      </c>
      <c r="BS346" s="18" t="s">
        <v>8074</v>
      </c>
      <c r="BT346" s="18" t="s">
        <v>7989</v>
      </c>
      <c r="BU346" s="18" t="s">
        <v>496</v>
      </c>
      <c r="BV346" s="18" t="str">
        <f>Terminales[[#This Row],[IMEI]]&amp;"SI"</f>
        <v>359862147394183SI</v>
      </c>
      <c r="BW346" s="18" t="str">
        <f>VLOOKUP(Terminales[[#This Row],[OFICINA_USUARIO]],[1]!Locales[#Data],3,0)</f>
        <v>TIENDA CONDADO</v>
      </c>
      <c r="BX346" s="18" t="str">
        <f>VLOOKUP(Terminales[[#This Row],[USUARIO_FINAL]],'[1]Personal Ppto vs Real'!$A:$F,6,0)</f>
        <v>GUACHAMIN CAZA HUGO ADRIAN</v>
      </c>
      <c r="BY34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4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46" s="18">
        <f>DAY(Terminales[[#This Row],[FECHA_FACTURA]])</f>
        <v>16</v>
      </c>
      <c r="CB346" s="65">
        <f>IF(Terminales[[#This Row],[CANTIDAD]] = 1,INDEX([1]!Comisiones[#Data],MATCH("Terminales",[1]!Comisiones[Producto],0),MATCH(Terminales[[#This Row],[TIPO ALTA COMISIONES]],[1]!Comisiones[#Headers],0))*Terminales[[#This Row],[MONTO]],0)</f>
        <v>109.41900000000001</v>
      </c>
      <c r="CC346" s="65">
        <f>IFERROR(IF(AND(Terminales[[#This Row],[CANTIDAD]] = 1,Terminales[[#This Row],[MOVIMIENTO]] = "RENOVACION"),Terminales[[#This Row],[TARIFA_BASICA]]*0.5,),)</f>
        <v>8.9250000000000007</v>
      </c>
      <c r="CD346" s="65">
        <f>IF('[1]Resumen TM'!$AW$20 &lt; 0.4,0,Terminales[[#This Row],[MONTO]]*0.02)</f>
        <v>21.883800000000001</v>
      </c>
      <c r="CE346" s="66">
        <f>Terminales[[#This Row],[COMISIONES TERMINALES]]+Terminales[[#This Row],[COMISIONES RENOVACIONES]]+Terminales[[#This Row],[COMISIONES BONO]]</f>
        <v>140.2278</v>
      </c>
      <c r="CF346" s="67">
        <f>(Terminales[[#This Row],[COMISIONES TERMINALES]]*VLOOKUP(Terminales[[#This Row],[LOCALES]],[1]!Calendario[#Data],3,0))/VLOOKUP(Terminales[[#This Row],[LOCALES]],[1]!Calendario[#Data],2,0)</f>
        <v>180.01190322580646</v>
      </c>
      <c r="CG346" s="67">
        <f>(Terminales[[#This Row],[COMISIONES RENOVACIONES]]*VLOOKUP(Terminales[[#This Row],[LOCALES]],[1]!Calendario[#Data],3,0))/VLOOKUP(Terminales[[#This Row],[LOCALES]],[1]!Calendario[#Data],2,0)</f>
        <v>14.683064516129033</v>
      </c>
      <c r="CH346" s="67">
        <f>(Terminales[[#This Row],[COMISIONES BONO]]*VLOOKUP(Terminales[[#This Row],[LOCALES]],[1]!Calendario[#Data],3,0))/VLOOKUP(Terminales[[#This Row],[LOCALES]],[1]!Calendario[#Data],2,0)</f>
        <v>36.002380645161296</v>
      </c>
      <c r="CI346" s="67">
        <f>Terminales[[#This Row],[PROY. COM. TERMINALES]]+Terminales[[#This Row],[PROY. COM. RENOV.]]+Terminales[[#This Row],[PROY. COM. 2%]]</f>
        <v>230.69734838709678</v>
      </c>
    </row>
    <row r="347" spans="1:87" x14ac:dyDescent="0.25">
      <c r="A347" s="68">
        <v>44926</v>
      </c>
      <c r="B347" s="68">
        <v>44911</v>
      </c>
      <c r="C347" s="18" t="s">
        <v>96</v>
      </c>
      <c r="D347" s="18" t="s">
        <v>96</v>
      </c>
      <c r="E347" s="18" t="s">
        <v>96</v>
      </c>
      <c r="F347" s="18" t="s">
        <v>10192</v>
      </c>
      <c r="G347" s="18" t="s">
        <v>292</v>
      </c>
      <c r="H347" s="18" t="s">
        <v>494</v>
      </c>
      <c r="I347" s="18" t="s">
        <v>10193</v>
      </c>
      <c r="J347" s="18" t="s">
        <v>95</v>
      </c>
      <c r="K347" s="18" t="s">
        <v>7970</v>
      </c>
      <c r="L347" s="18" t="s">
        <v>10194</v>
      </c>
      <c r="M347" s="18" t="s">
        <v>10188</v>
      </c>
      <c r="N347" s="18" t="s">
        <v>10189</v>
      </c>
      <c r="O347" s="18" t="s">
        <v>10195</v>
      </c>
      <c r="P347" s="18" t="s">
        <v>10196</v>
      </c>
      <c r="Q347" s="18" t="s">
        <v>7975</v>
      </c>
      <c r="R347" s="18" t="s">
        <v>7976</v>
      </c>
      <c r="S347" s="18" t="s">
        <v>8250</v>
      </c>
      <c r="T347" s="18" t="s">
        <v>10197</v>
      </c>
      <c r="U347" s="18" t="s">
        <v>7979</v>
      </c>
      <c r="V347" s="18" t="s">
        <v>6963</v>
      </c>
      <c r="W347" s="18" t="s">
        <v>95</v>
      </c>
      <c r="X347" s="18" t="s">
        <v>95</v>
      </c>
      <c r="Y347" s="18" t="s">
        <v>7980</v>
      </c>
      <c r="Z347" s="18" t="s">
        <v>6996</v>
      </c>
      <c r="AA347" s="69">
        <v>1</v>
      </c>
      <c r="AB347" s="18">
        <v>100</v>
      </c>
      <c r="AC347" s="18" t="s">
        <v>10198</v>
      </c>
      <c r="AD347" s="18" t="s">
        <v>7982</v>
      </c>
      <c r="AE347" s="18">
        <v>182.31</v>
      </c>
      <c r="AF347" s="18" t="s">
        <v>7983</v>
      </c>
      <c r="AG347" s="18">
        <v>182.31</v>
      </c>
      <c r="AH347" s="18" t="s">
        <v>95</v>
      </c>
      <c r="AI347" s="18" t="s">
        <v>8102</v>
      </c>
      <c r="AJ347" s="18" t="s">
        <v>8103</v>
      </c>
      <c r="AK347" s="18" t="s">
        <v>95</v>
      </c>
      <c r="AL347" s="18" t="s">
        <v>95</v>
      </c>
      <c r="AM347" s="18" t="s">
        <v>95</v>
      </c>
      <c r="AN347" s="18" t="s">
        <v>7984</v>
      </c>
      <c r="AO347" s="18" t="s">
        <v>139</v>
      </c>
      <c r="AP347" s="18" t="s">
        <v>10199</v>
      </c>
      <c r="AQ347" s="18" t="s">
        <v>10200</v>
      </c>
      <c r="AR347" s="18" t="s">
        <v>496</v>
      </c>
      <c r="AS347" s="18">
        <v>1</v>
      </c>
      <c r="AT347" s="18" t="s">
        <v>235</v>
      </c>
      <c r="AU347" s="18" t="s">
        <v>90</v>
      </c>
      <c r="AV347" s="18" t="s">
        <v>10201</v>
      </c>
      <c r="AW347" s="18" t="s">
        <v>10195</v>
      </c>
      <c r="AX347" s="18" t="s">
        <v>83</v>
      </c>
      <c r="AY347" s="18" t="s">
        <v>95</v>
      </c>
      <c r="AZ347" s="18" t="s">
        <v>95</v>
      </c>
      <c r="BA347" s="18" t="s">
        <v>95</v>
      </c>
      <c r="BB347" s="18" t="s">
        <v>95</v>
      </c>
      <c r="BC347" s="18" t="s">
        <v>95</v>
      </c>
      <c r="BD347" s="18" t="s">
        <v>95</v>
      </c>
      <c r="BE347" s="18" t="s">
        <v>95</v>
      </c>
      <c r="BF347" s="18" t="s">
        <v>95</v>
      </c>
      <c r="BG347" s="18" t="s">
        <v>95</v>
      </c>
      <c r="BH347" s="18" t="s">
        <v>95</v>
      </c>
      <c r="BI347" s="18">
        <v>12</v>
      </c>
      <c r="BJ347" s="18">
        <v>2022</v>
      </c>
      <c r="BK347" s="18" t="s">
        <v>95</v>
      </c>
      <c r="BL347" s="18" t="s">
        <v>95</v>
      </c>
      <c r="BM347" s="18" t="s">
        <v>95</v>
      </c>
      <c r="BN347" s="18" t="s">
        <v>85</v>
      </c>
      <c r="BO347" s="18" t="s">
        <v>86</v>
      </c>
      <c r="BP347" s="18" t="s">
        <v>90</v>
      </c>
      <c r="BQ347" s="18" t="s">
        <v>8016</v>
      </c>
      <c r="BR347" s="18" t="s">
        <v>139</v>
      </c>
      <c r="BS347" s="18" t="s">
        <v>8074</v>
      </c>
      <c r="BT347" s="18" t="s">
        <v>7989</v>
      </c>
      <c r="BU347" s="18" t="s">
        <v>496</v>
      </c>
      <c r="BV347" s="18" t="str">
        <f>Terminales[[#This Row],[IMEI]]&amp;"SI"</f>
        <v>139999372440039SI</v>
      </c>
      <c r="BW347" s="18" t="str">
        <f>VLOOKUP(Terminales[[#This Row],[OFICINA_USUARIO]],[1]!Locales[#Data],3,0)</f>
        <v>TIENDA CONDADO</v>
      </c>
      <c r="BX347" s="18" t="str">
        <f>VLOOKUP(Terminales[[#This Row],[USUARIO_FINAL]],'[1]Personal Ppto vs Real'!$A:$F,6,0)</f>
        <v>MENA COBA MARIA SOLEDAD</v>
      </c>
      <c r="BY34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4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47" s="18">
        <f>DAY(Terminales[[#This Row],[FECHA_FACTURA]])</f>
        <v>16</v>
      </c>
      <c r="CB347" s="65">
        <f>IF(Terminales[[#This Row],[CANTIDAD]] = 1,INDEX([1]!Comisiones[#Data],MATCH("Terminales",[1]!Comisiones[Producto],0),MATCH(Terminales[[#This Row],[TIPO ALTA COMISIONES]],[1]!Comisiones[#Headers],0))*Terminales[[#This Row],[MONTO]],0)</f>
        <v>10</v>
      </c>
      <c r="CC347" s="65">
        <f>IFERROR(IF(AND(Terminales[[#This Row],[CANTIDAD]] = 1,Terminales[[#This Row],[MOVIMIENTO]] = "RENOVACION"),Terminales[[#This Row],[TARIFA_BASICA]]*0.5,),)</f>
        <v>0</v>
      </c>
      <c r="CD347" s="65">
        <f>IF('[1]Resumen TM'!$AW$20 &lt; 0.4,0,Terminales[[#This Row],[MONTO]]*0.02)</f>
        <v>2</v>
      </c>
      <c r="CE347" s="66">
        <f>Terminales[[#This Row],[COMISIONES TERMINALES]]+Terminales[[#This Row],[COMISIONES RENOVACIONES]]+Terminales[[#This Row],[COMISIONES BONO]]</f>
        <v>12</v>
      </c>
      <c r="CF347" s="67">
        <f>(Terminales[[#This Row],[COMISIONES TERMINALES]]*VLOOKUP(Terminales[[#This Row],[LOCALES]],[1]!Calendario[#Data],3,0))/VLOOKUP(Terminales[[#This Row],[LOCALES]],[1]!Calendario[#Data],2,0)</f>
        <v>16.451612903225808</v>
      </c>
      <c r="CG347" s="67">
        <f>(Terminales[[#This Row],[COMISIONES RENOVACIONES]]*VLOOKUP(Terminales[[#This Row],[LOCALES]],[1]!Calendario[#Data],3,0))/VLOOKUP(Terminales[[#This Row],[LOCALES]],[1]!Calendario[#Data],2,0)</f>
        <v>0</v>
      </c>
      <c r="CH347" s="67">
        <f>(Terminales[[#This Row],[COMISIONES BONO]]*VLOOKUP(Terminales[[#This Row],[LOCALES]],[1]!Calendario[#Data],3,0))/VLOOKUP(Terminales[[#This Row],[LOCALES]],[1]!Calendario[#Data],2,0)</f>
        <v>3.2903225806451615</v>
      </c>
      <c r="CI347" s="67">
        <f>Terminales[[#This Row],[PROY. COM. TERMINALES]]+Terminales[[#This Row],[PROY. COM. RENOV.]]+Terminales[[#This Row],[PROY. COM. 2%]]</f>
        <v>19.741935483870968</v>
      </c>
    </row>
    <row r="348" spans="1:87" x14ac:dyDescent="0.25">
      <c r="A348" s="68">
        <v>44926</v>
      </c>
      <c r="B348" s="68">
        <v>44911</v>
      </c>
      <c r="C348" s="18" t="s">
        <v>96</v>
      </c>
      <c r="D348" s="18" t="s">
        <v>96</v>
      </c>
      <c r="E348" s="18" t="s">
        <v>96</v>
      </c>
      <c r="F348" s="18" t="s">
        <v>10202</v>
      </c>
      <c r="G348" s="18" t="s">
        <v>292</v>
      </c>
      <c r="H348" s="18" t="s">
        <v>494</v>
      </c>
      <c r="I348" s="18" t="s">
        <v>10203</v>
      </c>
      <c r="J348" s="18" t="s">
        <v>95</v>
      </c>
      <c r="K348" s="18" t="s">
        <v>7970</v>
      </c>
      <c r="L348" s="18" t="s">
        <v>10204</v>
      </c>
      <c r="M348" s="18" t="s">
        <v>10205</v>
      </c>
      <c r="N348" s="18" t="s">
        <v>10206</v>
      </c>
      <c r="O348" s="18" t="s">
        <v>2260</v>
      </c>
      <c r="P348" s="18" t="s">
        <v>10207</v>
      </c>
      <c r="Q348" s="18" t="s">
        <v>7975</v>
      </c>
      <c r="R348" s="18" t="s">
        <v>7976</v>
      </c>
      <c r="S348" s="18" t="s">
        <v>8010</v>
      </c>
      <c r="T348" s="18" t="s">
        <v>8011</v>
      </c>
      <c r="U348" s="18" t="s">
        <v>8012</v>
      </c>
      <c r="V348" s="18" t="s">
        <v>6963</v>
      </c>
      <c r="W348" s="18" t="s">
        <v>95</v>
      </c>
      <c r="X348" s="18" t="s">
        <v>95</v>
      </c>
      <c r="Y348" s="18" t="s">
        <v>7980</v>
      </c>
      <c r="Z348" s="18" t="s">
        <v>6996</v>
      </c>
      <c r="AA348" s="69">
        <v>1</v>
      </c>
      <c r="AB348" s="18">
        <v>196.42857000000001</v>
      </c>
      <c r="AC348" s="18" t="s">
        <v>10208</v>
      </c>
      <c r="AD348" s="18" t="s">
        <v>7982</v>
      </c>
      <c r="AE348" s="18">
        <v>168.8</v>
      </c>
      <c r="AF348" s="18" t="s">
        <v>7983</v>
      </c>
      <c r="AG348" s="18">
        <v>168.8</v>
      </c>
      <c r="AH348" s="18" t="s">
        <v>95</v>
      </c>
      <c r="AI348" s="18" t="s">
        <v>8102</v>
      </c>
      <c r="AJ348" s="18" t="s">
        <v>8103</v>
      </c>
      <c r="AK348" s="18" t="s">
        <v>95</v>
      </c>
      <c r="AL348" s="18" t="s">
        <v>95</v>
      </c>
      <c r="AM348" s="18" t="s">
        <v>95</v>
      </c>
      <c r="AN348" s="18" t="s">
        <v>7984</v>
      </c>
      <c r="AO348" s="18" t="s">
        <v>92</v>
      </c>
      <c r="AP348" s="18" t="s">
        <v>385</v>
      </c>
      <c r="AQ348" s="18" t="s">
        <v>386</v>
      </c>
      <c r="AR348" s="18" t="s">
        <v>496</v>
      </c>
      <c r="AS348" s="18">
        <v>1</v>
      </c>
      <c r="AT348" s="18" t="s">
        <v>151</v>
      </c>
      <c r="AU348" s="18" t="s">
        <v>90</v>
      </c>
      <c r="AV348" s="18" t="s">
        <v>8014</v>
      </c>
      <c r="AW348" s="18" t="s">
        <v>8015</v>
      </c>
      <c r="AX348" s="18" t="s">
        <v>83</v>
      </c>
      <c r="AY348" s="18" t="s">
        <v>95</v>
      </c>
      <c r="AZ348" s="18" t="s">
        <v>95</v>
      </c>
      <c r="BA348" s="18" t="s">
        <v>95</v>
      </c>
      <c r="BB348" s="18" t="s">
        <v>95</v>
      </c>
      <c r="BC348" s="18" t="s">
        <v>95</v>
      </c>
      <c r="BD348" s="18" t="s">
        <v>95</v>
      </c>
      <c r="BE348" s="18" t="s">
        <v>8000</v>
      </c>
      <c r="BF348" s="18" t="s">
        <v>8001</v>
      </c>
      <c r="BG348" s="18" t="s">
        <v>95</v>
      </c>
      <c r="BH348" s="18" t="s">
        <v>95</v>
      </c>
      <c r="BI348" s="18">
        <v>12</v>
      </c>
      <c r="BJ348" s="18">
        <v>2022</v>
      </c>
      <c r="BK348" s="18" t="s">
        <v>95</v>
      </c>
      <c r="BL348" s="18" t="s">
        <v>95</v>
      </c>
      <c r="BM348" s="18" t="s">
        <v>95</v>
      </c>
      <c r="BN348" s="18" t="s">
        <v>85</v>
      </c>
      <c r="BO348" s="18" t="s">
        <v>86</v>
      </c>
      <c r="BP348" s="18" t="s">
        <v>90</v>
      </c>
      <c r="BQ348" s="18" t="s">
        <v>8141</v>
      </c>
      <c r="BR348" s="18" t="s">
        <v>92</v>
      </c>
      <c r="BS348" s="18" t="s">
        <v>8003</v>
      </c>
      <c r="BT348" s="18" t="s">
        <v>7989</v>
      </c>
      <c r="BU348" s="18" t="s">
        <v>496</v>
      </c>
      <c r="BV348" s="18" t="str">
        <f>Terminales[[#This Row],[IMEI]]&amp;"SI"</f>
        <v>359694275330659SI</v>
      </c>
      <c r="BW348" s="18" t="str">
        <f>VLOOKUP(Terminales[[#This Row],[OFICINA_USUARIO]],[1]!Locales[#Data],3,0)</f>
        <v>TIENDA CUENCA REMIGIO</v>
      </c>
      <c r="BX348" s="18" t="str">
        <f>VLOOKUP(Terminales[[#This Row],[USUARIO_FINAL]],'[1]Personal Ppto vs Real'!$A:$F,6,0)</f>
        <v>RAMIREZ RUBIO NELLY LILIANA</v>
      </c>
      <c r="BY34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4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48" s="18">
        <f>DAY(Terminales[[#This Row],[FECHA_FACTURA]])</f>
        <v>16</v>
      </c>
      <c r="CB348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348" s="65">
        <f>IFERROR(IF(AND(Terminales[[#This Row],[CANTIDAD]] = 1,Terminales[[#This Row],[MOVIMIENTO]] = "RENOVACION"),Terminales[[#This Row],[TARIFA_BASICA]]*0.5,),)</f>
        <v>0</v>
      </c>
      <c r="CD348" s="65">
        <f>IF('[1]Resumen TM'!$AW$20 &lt; 0.4,0,Terminales[[#This Row],[MONTO]]*0.02)</f>
        <v>3.9285714</v>
      </c>
      <c r="CE348" s="66">
        <f>Terminales[[#This Row],[COMISIONES TERMINALES]]+Terminales[[#This Row],[COMISIONES RENOVACIONES]]+Terminales[[#This Row],[COMISIONES BONO]]</f>
        <v>23.571428400000002</v>
      </c>
      <c r="CF348" s="67">
        <f>(Terminales[[#This Row],[COMISIONES TERMINALES]]*VLOOKUP(Terminales[[#This Row],[LOCALES]],[1]!Calendario[#Data],3,0))/VLOOKUP(Terminales[[#This Row],[LOCALES]],[1]!Calendario[#Data],2,0)</f>
        <v>31.834975137931039</v>
      </c>
      <c r="CG348" s="67">
        <f>(Terminales[[#This Row],[COMISIONES RENOVACIONES]]*VLOOKUP(Terminales[[#This Row],[LOCALES]],[1]!Calendario[#Data],3,0))/VLOOKUP(Terminales[[#This Row],[LOCALES]],[1]!Calendario[#Data],2,0)</f>
        <v>0</v>
      </c>
      <c r="CH348" s="67">
        <f>(Terminales[[#This Row],[COMISIONES BONO]]*VLOOKUP(Terminales[[#This Row],[LOCALES]],[1]!Calendario[#Data],3,0))/VLOOKUP(Terminales[[#This Row],[LOCALES]],[1]!Calendario[#Data],2,0)</f>
        <v>6.3669950275862073</v>
      </c>
      <c r="CI348" s="67">
        <f>Terminales[[#This Row],[PROY. COM. TERMINALES]]+Terminales[[#This Row],[PROY. COM. RENOV.]]+Terminales[[#This Row],[PROY. COM. 2%]]</f>
        <v>38.201970165517245</v>
      </c>
    </row>
    <row r="349" spans="1:87" x14ac:dyDescent="0.25">
      <c r="A349" s="68">
        <v>44926</v>
      </c>
      <c r="B349" s="68">
        <v>44911</v>
      </c>
      <c r="C349" s="18" t="s">
        <v>291</v>
      </c>
      <c r="D349" s="18" t="s">
        <v>78</v>
      </c>
      <c r="E349" s="18" t="s">
        <v>2241</v>
      </c>
      <c r="F349" s="18" t="s">
        <v>486</v>
      </c>
      <c r="G349" s="18" t="s">
        <v>292</v>
      </c>
      <c r="H349" s="18" t="s">
        <v>494</v>
      </c>
      <c r="I349" s="18" t="s">
        <v>10209</v>
      </c>
      <c r="J349" s="18" t="s">
        <v>95</v>
      </c>
      <c r="K349" s="18" t="s">
        <v>7970</v>
      </c>
      <c r="L349" s="18" t="s">
        <v>487</v>
      </c>
      <c r="M349" s="18" t="s">
        <v>488</v>
      </c>
      <c r="N349" s="18" t="s">
        <v>489</v>
      </c>
      <c r="O349" s="18" t="s">
        <v>495</v>
      </c>
      <c r="P349" s="18" t="s">
        <v>490</v>
      </c>
      <c r="Q349" s="18" t="s">
        <v>7975</v>
      </c>
      <c r="R349" s="18" t="s">
        <v>7976</v>
      </c>
      <c r="S349" s="18" t="s">
        <v>7994</v>
      </c>
      <c r="T349" s="18" t="s">
        <v>10210</v>
      </c>
      <c r="U349" s="18" t="s">
        <v>7996</v>
      </c>
      <c r="V349" s="18" t="s">
        <v>6963</v>
      </c>
      <c r="W349" s="18" t="s">
        <v>95</v>
      </c>
      <c r="X349" s="18" t="s">
        <v>95</v>
      </c>
      <c r="Y349" s="18" t="s">
        <v>7980</v>
      </c>
      <c r="Z349" s="18" t="s">
        <v>6996</v>
      </c>
      <c r="AA349" s="69">
        <v>1</v>
      </c>
      <c r="AB349" s="18">
        <v>156.25</v>
      </c>
      <c r="AC349" s="18" t="s">
        <v>10211</v>
      </c>
      <c r="AD349" s="18" t="s">
        <v>8151</v>
      </c>
      <c r="AE349" s="18">
        <v>139.75</v>
      </c>
      <c r="AF349" s="18" t="s">
        <v>7983</v>
      </c>
      <c r="AG349" s="18">
        <v>139.75</v>
      </c>
      <c r="AH349" s="18" t="s">
        <v>95</v>
      </c>
      <c r="AI349" s="18" t="s">
        <v>130</v>
      </c>
      <c r="AJ349" s="18" t="s">
        <v>433</v>
      </c>
      <c r="AK349" s="18">
        <v>15</v>
      </c>
      <c r="AL349" s="18" t="s">
        <v>95</v>
      </c>
      <c r="AM349" s="18" t="s">
        <v>95</v>
      </c>
      <c r="AN349" s="18" t="s">
        <v>7984</v>
      </c>
      <c r="AO349" s="18" t="s">
        <v>139</v>
      </c>
      <c r="AP349" s="18" t="s">
        <v>492</v>
      </c>
      <c r="AQ349" s="18" t="s">
        <v>493</v>
      </c>
      <c r="AR349" s="18" t="s">
        <v>496</v>
      </c>
      <c r="AS349" s="18">
        <v>1</v>
      </c>
      <c r="AT349" s="18" t="s">
        <v>177</v>
      </c>
      <c r="AU349" s="18" t="s">
        <v>90</v>
      </c>
      <c r="AV349" s="18" t="s">
        <v>10212</v>
      </c>
      <c r="AW349" s="18" t="s">
        <v>10213</v>
      </c>
      <c r="AX349" s="18" t="s">
        <v>83</v>
      </c>
      <c r="AY349" s="18" t="s">
        <v>95</v>
      </c>
      <c r="AZ349" s="18" t="s">
        <v>95</v>
      </c>
      <c r="BA349" s="18" t="s">
        <v>95</v>
      </c>
      <c r="BB349" s="18" t="s">
        <v>95</v>
      </c>
      <c r="BC349" s="18" t="s">
        <v>95</v>
      </c>
      <c r="BD349" s="18" t="s">
        <v>95</v>
      </c>
      <c r="BE349" s="18" t="s">
        <v>95</v>
      </c>
      <c r="BF349" s="18" t="s">
        <v>95</v>
      </c>
      <c r="BG349" s="18" t="s">
        <v>95</v>
      </c>
      <c r="BH349" s="18" t="s">
        <v>95</v>
      </c>
      <c r="BI349" s="18">
        <v>12</v>
      </c>
      <c r="BJ349" s="18">
        <v>2022</v>
      </c>
      <c r="BK349" s="18" t="s">
        <v>95</v>
      </c>
      <c r="BL349" s="18" t="s">
        <v>95</v>
      </c>
      <c r="BM349" s="18" t="s">
        <v>95</v>
      </c>
      <c r="BN349" s="18" t="s">
        <v>85</v>
      </c>
      <c r="BO349" s="18" t="s">
        <v>86</v>
      </c>
      <c r="BP349" s="18" t="s">
        <v>90</v>
      </c>
      <c r="BQ349" s="18" t="s">
        <v>8002</v>
      </c>
      <c r="BR349" s="18" t="s">
        <v>139</v>
      </c>
      <c r="BS349" s="18" t="s">
        <v>8074</v>
      </c>
      <c r="BT349" s="18" t="s">
        <v>7989</v>
      </c>
      <c r="BU349" s="18" t="s">
        <v>496</v>
      </c>
      <c r="BV349" s="18" t="str">
        <f>Terminales[[#This Row],[IMEI]]&amp;"SI"</f>
        <v>358742570675475SI</v>
      </c>
      <c r="BW349" s="18" t="str">
        <f>VLOOKUP(Terminales[[#This Row],[OFICINA_USUARIO]],[1]!Locales[#Data],3,0)</f>
        <v>TIENDA RECREO</v>
      </c>
      <c r="BX349" s="18" t="str">
        <f>VLOOKUP(Terminales[[#This Row],[USUARIO_FINAL]],'[1]Personal Ppto vs Real'!$A:$F,6,0)</f>
        <v>CONDO GARCIA NICOLAS MATIAS</v>
      </c>
      <c r="BY349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34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49" s="18">
        <f>DAY(Terminales[[#This Row],[FECHA_FACTURA]])</f>
        <v>16</v>
      </c>
      <c r="CB349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49" s="65">
        <f>IFERROR(IF(AND(Terminales[[#This Row],[CANTIDAD]] = 1,Terminales[[#This Row],[MOVIMIENTO]] = "RENOVACION"),Terminales[[#This Row],[TARIFA_BASICA]]*0.5,),)</f>
        <v>0</v>
      </c>
      <c r="CD349" s="65">
        <f>IF('[1]Resumen TM'!$AW$20 &lt; 0.4,0,Terminales[[#This Row],[MONTO]]*0.02)</f>
        <v>3.125</v>
      </c>
      <c r="CE349" s="66">
        <f>Terminales[[#This Row],[COMISIONES TERMINALES]]+Terminales[[#This Row],[COMISIONES RENOVACIONES]]+Terminales[[#This Row],[COMISIONES BONO]]</f>
        <v>18.75</v>
      </c>
      <c r="CF349" s="67">
        <f>(Terminales[[#This Row],[COMISIONES TERMINALES]]*VLOOKUP(Terminales[[#This Row],[LOCALES]],[1]!Calendario[#Data],3,0))/VLOOKUP(Terminales[[#This Row],[LOCALES]],[1]!Calendario[#Data],2,0)</f>
        <v>25.705645161290324</v>
      </c>
      <c r="CG349" s="67">
        <f>(Terminales[[#This Row],[COMISIONES RENOVACIONES]]*VLOOKUP(Terminales[[#This Row],[LOCALES]],[1]!Calendario[#Data],3,0))/VLOOKUP(Terminales[[#This Row],[LOCALES]],[1]!Calendario[#Data],2,0)</f>
        <v>0</v>
      </c>
      <c r="CH349" s="67">
        <f>(Terminales[[#This Row],[COMISIONES BONO]]*VLOOKUP(Terminales[[#This Row],[LOCALES]],[1]!Calendario[#Data],3,0))/VLOOKUP(Terminales[[#This Row],[LOCALES]],[1]!Calendario[#Data],2,0)</f>
        <v>5.1411290322580649</v>
      </c>
      <c r="CI349" s="67">
        <f>Terminales[[#This Row],[PROY. COM. TERMINALES]]+Terminales[[#This Row],[PROY. COM. RENOV.]]+Terminales[[#This Row],[PROY. COM. 2%]]</f>
        <v>30.846774193548388</v>
      </c>
    </row>
    <row r="350" spans="1:87" x14ac:dyDescent="0.25">
      <c r="A350" s="68">
        <v>44926</v>
      </c>
      <c r="B350" s="68">
        <v>44911</v>
      </c>
      <c r="C350" s="18" t="s">
        <v>96</v>
      </c>
      <c r="D350" s="18" t="s">
        <v>96</v>
      </c>
      <c r="E350" s="18" t="s">
        <v>96</v>
      </c>
      <c r="F350" s="18" t="s">
        <v>10214</v>
      </c>
      <c r="G350" s="18" t="s">
        <v>292</v>
      </c>
      <c r="H350" s="18" t="s">
        <v>494</v>
      </c>
      <c r="I350" s="18" t="s">
        <v>10215</v>
      </c>
      <c r="J350" s="18" t="s">
        <v>95</v>
      </c>
      <c r="K350" s="18" t="s">
        <v>7970</v>
      </c>
      <c r="L350" s="18" t="s">
        <v>10216</v>
      </c>
      <c r="M350" s="18" t="s">
        <v>10217</v>
      </c>
      <c r="N350" s="18" t="s">
        <v>10218</v>
      </c>
      <c r="O350" s="18" t="s">
        <v>543</v>
      </c>
      <c r="P350" s="18" t="s">
        <v>10219</v>
      </c>
      <c r="Q350" s="18" t="s">
        <v>7975</v>
      </c>
      <c r="R350" s="18" t="s">
        <v>7976</v>
      </c>
      <c r="S350" s="18" t="s">
        <v>7994</v>
      </c>
      <c r="T350" s="18" t="s">
        <v>8245</v>
      </c>
      <c r="U350" s="18" t="s">
        <v>8012</v>
      </c>
      <c r="V350" s="18" t="s">
        <v>6963</v>
      </c>
      <c r="W350" s="18" t="s">
        <v>95</v>
      </c>
      <c r="X350" s="18" t="s">
        <v>95</v>
      </c>
      <c r="Y350" s="18" t="s">
        <v>7980</v>
      </c>
      <c r="Z350" s="18" t="s">
        <v>6996</v>
      </c>
      <c r="AA350" s="69">
        <v>1</v>
      </c>
      <c r="AB350" s="18">
        <v>156.25</v>
      </c>
      <c r="AC350" s="18" t="s">
        <v>10220</v>
      </c>
      <c r="AD350" s="18" t="s">
        <v>7982</v>
      </c>
      <c r="AE350" s="18">
        <v>156</v>
      </c>
      <c r="AF350" s="18" t="s">
        <v>7983</v>
      </c>
      <c r="AG350" s="18">
        <v>156</v>
      </c>
      <c r="AH350" s="18" t="s">
        <v>95</v>
      </c>
      <c r="AI350" s="18" t="s">
        <v>8102</v>
      </c>
      <c r="AJ350" s="18" t="s">
        <v>8103</v>
      </c>
      <c r="AK350" s="18" t="s">
        <v>95</v>
      </c>
      <c r="AL350" s="18" t="s">
        <v>95</v>
      </c>
      <c r="AM350" s="18" t="s">
        <v>95</v>
      </c>
      <c r="AN350" s="18" t="s">
        <v>7984</v>
      </c>
      <c r="AO350" s="18" t="s">
        <v>139</v>
      </c>
      <c r="AP350" s="18" t="s">
        <v>457</v>
      </c>
      <c r="AQ350" s="18" t="s">
        <v>458</v>
      </c>
      <c r="AR350" s="18" t="s">
        <v>496</v>
      </c>
      <c r="AS350" s="18">
        <v>1</v>
      </c>
      <c r="AT350" s="18" t="s">
        <v>177</v>
      </c>
      <c r="AU350" s="18" t="s">
        <v>90</v>
      </c>
      <c r="AV350" s="18" t="s">
        <v>8247</v>
      </c>
      <c r="AW350" s="18" t="s">
        <v>8248</v>
      </c>
      <c r="AX350" s="18" t="s">
        <v>83</v>
      </c>
      <c r="AY350" s="18" t="s">
        <v>95</v>
      </c>
      <c r="AZ350" s="18" t="s">
        <v>95</v>
      </c>
      <c r="BA350" s="18" t="s">
        <v>95</v>
      </c>
      <c r="BB350" s="18" t="s">
        <v>95</v>
      </c>
      <c r="BC350" s="18" t="s">
        <v>95</v>
      </c>
      <c r="BD350" s="18" t="s">
        <v>95</v>
      </c>
      <c r="BE350" s="18" t="s">
        <v>95</v>
      </c>
      <c r="BF350" s="18" t="s">
        <v>95</v>
      </c>
      <c r="BG350" s="18" t="s">
        <v>95</v>
      </c>
      <c r="BH350" s="18" t="s">
        <v>95</v>
      </c>
      <c r="BI350" s="18">
        <v>12</v>
      </c>
      <c r="BJ350" s="18">
        <v>2022</v>
      </c>
      <c r="BK350" s="18" t="s">
        <v>95</v>
      </c>
      <c r="BL350" s="18" t="s">
        <v>95</v>
      </c>
      <c r="BM350" s="18" t="s">
        <v>95</v>
      </c>
      <c r="BN350" s="18" t="s">
        <v>85</v>
      </c>
      <c r="BO350" s="18" t="s">
        <v>86</v>
      </c>
      <c r="BP350" s="18" t="s">
        <v>90</v>
      </c>
      <c r="BQ350" s="18" t="s">
        <v>8002</v>
      </c>
      <c r="BR350" s="18" t="s">
        <v>139</v>
      </c>
      <c r="BS350" s="18" t="s">
        <v>8074</v>
      </c>
      <c r="BT350" s="18" t="s">
        <v>7989</v>
      </c>
      <c r="BU350" s="18" t="s">
        <v>496</v>
      </c>
      <c r="BV350" s="18" t="str">
        <f>Terminales[[#This Row],[IMEI]]&amp;"SI"</f>
        <v>355108340301326SI</v>
      </c>
      <c r="BW350" s="18" t="str">
        <f>VLOOKUP(Terminales[[#This Row],[OFICINA_USUARIO]],[1]!Locales[#Data],3,0)</f>
        <v>TIENDA RECREO</v>
      </c>
      <c r="BX350" s="18" t="str">
        <f>VLOOKUP(Terminales[[#This Row],[USUARIO_FINAL]],'[1]Personal Ppto vs Real'!$A:$F,6,0)</f>
        <v>LOZADA REYES BERTHA MARIBEL</v>
      </c>
      <c r="BY35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5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50" s="18">
        <f>DAY(Terminales[[#This Row],[FECHA_FACTURA]])</f>
        <v>16</v>
      </c>
      <c r="CB350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50" s="65">
        <f>IFERROR(IF(AND(Terminales[[#This Row],[CANTIDAD]] = 1,Terminales[[#This Row],[MOVIMIENTO]] = "RENOVACION"),Terminales[[#This Row],[TARIFA_BASICA]]*0.5,),)</f>
        <v>0</v>
      </c>
      <c r="CD350" s="65">
        <f>IF('[1]Resumen TM'!$AW$20 &lt; 0.4,0,Terminales[[#This Row],[MONTO]]*0.02)</f>
        <v>3.125</v>
      </c>
      <c r="CE350" s="66">
        <f>Terminales[[#This Row],[COMISIONES TERMINALES]]+Terminales[[#This Row],[COMISIONES RENOVACIONES]]+Terminales[[#This Row],[COMISIONES BONO]]</f>
        <v>18.75</v>
      </c>
      <c r="CF350" s="67">
        <f>(Terminales[[#This Row],[COMISIONES TERMINALES]]*VLOOKUP(Terminales[[#This Row],[LOCALES]],[1]!Calendario[#Data],3,0))/VLOOKUP(Terminales[[#This Row],[LOCALES]],[1]!Calendario[#Data],2,0)</f>
        <v>25.705645161290324</v>
      </c>
      <c r="CG350" s="67">
        <f>(Terminales[[#This Row],[COMISIONES RENOVACIONES]]*VLOOKUP(Terminales[[#This Row],[LOCALES]],[1]!Calendario[#Data],3,0))/VLOOKUP(Terminales[[#This Row],[LOCALES]],[1]!Calendario[#Data],2,0)</f>
        <v>0</v>
      </c>
      <c r="CH350" s="67">
        <f>(Terminales[[#This Row],[COMISIONES BONO]]*VLOOKUP(Terminales[[#This Row],[LOCALES]],[1]!Calendario[#Data],3,0))/VLOOKUP(Terminales[[#This Row],[LOCALES]],[1]!Calendario[#Data],2,0)</f>
        <v>5.1411290322580649</v>
      </c>
      <c r="CI350" s="67">
        <f>Terminales[[#This Row],[PROY. COM. TERMINALES]]+Terminales[[#This Row],[PROY. COM. RENOV.]]+Terminales[[#This Row],[PROY. COM. 2%]]</f>
        <v>30.846774193548388</v>
      </c>
    </row>
    <row r="351" spans="1:87" x14ac:dyDescent="0.25">
      <c r="A351" s="68">
        <v>44926</v>
      </c>
      <c r="B351" s="68">
        <v>44911</v>
      </c>
      <c r="C351" s="18" t="s">
        <v>96</v>
      </c>
      <c r="D351" s="18" t="s">
        <v>96</v>
      </c>
      <c r="E351" s="18" t="s">
        <v>96</v>
      </c>
      <c r="F351" s="18" t="s">
        <v>95</v>
      </c>
      <c r="G351" s="18" t="s">
        <v>292</v>
      </c>
      <c r="H351" s="18" t="s">
        <v>494</v>
      </c>
      <c r="I351" s="18" t="s">
        <v>10221</v>
      </c>
      <c r="J351" s="18" t="s">
        <v>95</v>
      </c>
      <c r="K351" s="18" t="s">
        <v>7970</v>
      </c>
      <c r="L351" s="18" t="s">
        <v>10222</v>
      </c>
      <c r="M351" s="18" t="s">
        <v>10223</v>
      </c>
      <c r="N351" s="18" t="s">
        <v>10224</v>
      </c>
      <c r="O351" s="18" t="s">
        <v>3770</v>
      </c>
      <c r="P351" s="18" t="s">
        <v>10225</v>
      </c>
      <c r="Q351" s="18" t="s">
        <v>7975</v>
      </c>
      <c r="R351" s="18" t="s">
        <v>7976</v>
      </c>
      <c r="S351" s="18" t="s">
        <v>8045</v>
      </c>
      <c r="T351" s="18" t="s">
        <v>8099</v>
      </c>
      <c r="U351" s="18" t="s">
        <v>8100</v>
      </c>
      <c r="V351" s="18" t="s">
        <v>6963</v>
      </c>
      <c r="W351" s="18" t="s">
        <v>95</v>
      </c>
      <c r="X351" s="18" t="s">
        <v>95</v>
      </c>
      <c r="Y351" s="18" t="s">
        <v>7980</v>
      </c>
      <c r="Z351" s="18" t="s">
        <v>6996</v>
      </c>
      <c r="AA351" s="69">
        <v>1</v>
      </c>
      <c r="AB351" s="18">
        <v>406.25</v>
      </c>
      <c r="AC351" s="18" t="s">
        <v>95</v>
      </c>
      <c r="AD351" s="18" t="s">
        <v>96</v>
      </c>
      <c r="AE351" s="18">
        <v>396.5</v>
      </c>
      <c r="AF351" s="18" t="s">
        <v>7983</v>
      </c>
      <c r="AG351" s="18">
        <v>396.5</v>
      </c>
      <c r="AH351" s="18" t="s">
        <v>95</v>
      </c>
      <c r="AI351" s="18" t="s">
        <v>95</v>
      </c>
      <c r="AJ351" s="18" t="s">
        <v>95</v>
      </c>
      <c r="AK351" s="18" t="s">
        <v>95</v>
      </c>
      <c r="AL351" s="18" t="s">
        <v>95</v>
      </c>
      <c r="AM351" s="18" t="s">
        <v>95</v>
      </c>
      <c r="AN351" s="18" t="s">
        <v>7984</v>
      </c>
      <c r="AO351" s="18" t="s">
        <v>139</v>
      </c>
      <c r="AP351" s="18" t="s">
        <v>492</v>
      </c>
      <c r="AQ351" s="18" t="s">
        <v>493</v>
      </c>
      <c r="AR351" s="18" t="s">
        <v>496</v>
      </c>
      <c r="AS351" s="18">
        <v>1</v>
      </c>
      <c r="AT351" s="18" t="s">
        <v>177</v>
      </c>
      <c r="AU351" s="18" t="s">
        <v>90</v>
      </c>
      <c r="AV351" s="18" t="s">
        <v>8104</v>
      </c>
      <c r="AW351" s="18" t="s">
        <v>8105</v>
      </c>
      <c r="AX351" s="18" t="s">
        <v>83</v>
      </c>
      <c r="AY351" s="18" t="s">
        <v>95</v>
      </c>
      <c r="AZ351" s="18" t="s">
        <v>95</v>
      </c>
      <c r="BA351" s="18" t="s">
        <v>95</v>
      </c>
      <c r="BB351" s="18" t="s">
        <v>95</v>
      </c>
      <c r="BC351" s="18" t="s">
        <v>95</v>
      </c>
      <c r="BD351" s="18" t="s">
        <v>95</v>
      </c>
      <c r="BE351" s="18" t="s">
        <v>95</v>
      </c>
      <c r="BF351" s="18" t="s">
        <v>95</v>
      </c>
      <c r="BG351" s="18" t="s">
        <v>95</v>
      </c>
      <c r="BH351" s="18" t="s">
        <v>95</v>
      </c>
      <c r="BI351" s="18">
        <v>12</v>
      </c>
      <c r="BJ351" s="18">
        <v>2022</v>
      </c>
      <c r="BK351" s="18" t="s">
        <v>95</v>
      </c>
      <c r="BL351" s="18" t="s">
        <v>95</v>
      </c>
      <c r="BM351" s="18" t="s">
        <v>95</v>
      </c>
      <c r="BN351" s="18" t="s">
        <v>85</v>
      </c>
      <c r="BO351" s="18" t="s">
        <v>86</v>
      </c>
      <c r="BP351" s="18" t="s">
        <v>90</v>
      </c>
      <c r="BQ351" s="18" t="s">
        <v>8002</v>
      </c>
      <c r="BR351" s="18" t="s">
        <v>139</v>
      </c>
      <c r="BS351" s="18" t="s">
        <v>8074</v>
      </c>
      <c r="BT351" s="18" t="s">
        <v>7989</v>
      </c>
      <c r="BU351" s="18" t="s">
        <v>496</v>
      </c>
      <c r="BV351" s="18" t="str">
        <f>Terminales[[#This Row],[IMEI]]&amp;"SI"</f>
        <v>353842197669920SI</v>
      </c>
      <c r="BW351" s="18" t="str">
        <f>VLOOKUP(Terminales[[#This Row],[OFICINA_USUARIO]],[1]!Locales[#Data],3,0)</f>
        <v>TIENDA RECREO</v>
      </c>
      <c r="BX351" s="18" t="str">
        <f>VLOOKUP(Terminales[[#This Row],[USUARIO_FINAL]],'[1]Personal Ppto vs Real'!$A:$F,6,0)</f>
        <v>CONDO GARCIA NICOLAS MATIAS</v>
      </c>
      <c r="BY35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5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51" s="18">
        <f>DAY(Terminales[[#This Row],[FECHA_FACTURA]])</f>
        <v>16</v>
      </c>
      <c r="CB351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351" s="65">
        <f>IFERROR(IF(AND(Terminales[[#This Row],[CANTIDAD]] = 1,Terminales[[#This Row],[MOVIMIENTO]] = "RENOVACION"),Terminales[[#This Row],[TARIFA_BASICA]]*0.5,),)</f>
        <v>0</v>
      </c>
      <c r="CD351" s="65">
        <f>IF('[1]Resumen TM'!$AW$20 &lt; 0.4,0,Terminales[[#This Row],[MONTO]]*0.02)</f>
        <v>8.125</v>
      </c>
      <c r="CE351" s="66">
        <f>Terminales[[#This Row],[COMISIONES TERMINALES]]+Terminales[[#This Row],[COMISIONES RENOVACIONES]]+Terminales[[#This Row],[COMISIONES BONO]]</f>
        <v>48.75</v>
      </c>
      <c r="CF351" s="67">
        <f>(Terminales[[#This Row],[COMISIONES TERMINALES]]*VLOOKUP(Terminales[[#This Row],[LOCALES]],[1]!Calendario[#Data],3,0))/VLOOKUP(Terminales[[#This Row],[LOCALES]],[1]!Calendario[#Data],2,0)</f>
        <v>66.834677419354833</v>
      </c>
      <c r="CG351" s="67">
        <f>(Terminales[[#This Row],[COMISIONES RENOVACIONES]]*VLOOKUP(Terminales[[#This Row],[LOCALES]],[1]!Calendario[#Data],3,0))/VLOOKUP(Terminales[[#This Row],[LOCALES]],[1]!Calendario[#Data],2,0)</f>
        <v>0</v>
      </c>
      <c r="CH351" s="67">
        <f>(Terminales[[#This Row],[COMISIONES BONO]]*VLOOKUP(Terminales[[#This Row],[LOCALES]],[1]!Calendario[#Data],3,0))/VLOOKUP(Terminales[[#This Row],[LOCALES]],[1]!Calendario[#Data],2,0)</f>
        <v>13.366935483870968</v>
      </c>
      <c r="CI351" s="67">
        <f>Terminales[[#This Row],[PROY. COM. TERMINALES]]+Terminales[[#This Row],[PROY. COM. RENOV.]]+Terminales[[#This Row],[PROY. COM. 2%]]</f>
        <v>80.201612903225794</v>
      </c>
    </row>
    <row r="352" spans="1:87" x14ac:dyDescent="0.25">
      <c r="A352" s="68">
        <v>44926</v>
      </c>
      <c r="B352" s="68">
        <v>44911</v>
      </c>
      <c r="C352" s="18" t="s">
        <v>291</v>
      </c>
      <c r="D352" s="18" t="s">
        <v>78</v>
      </c>
      <c r="E352" s="18" t="s">
        <v>231</v>
      </c>
      <c r="F352" s="18" t="s">
        <v>10226</v>
      </c>
      <c r="G352" s="18" t="s">
        <v>292</v>
      </c>
      <c r="H352" s="18" t="s">
        <v>293</v>
      </c>
      <c r="I352" s="18" t="s">
        <v>10227</v>
      </c>
      <c r="J352" s="18" t="s">
        <v>95</v>
      </c>
      <c r="K352" s="18" t="s">
        <v>7970</v>
      </c>
      <c r="L352" s="18" t="s">
        <v>10228</v>
      </c>
      <c r="M352" s="18" t="s">
        <v>10229</v>
      </c>
      <c r="N352" s="18" t="s">
        <v>10230</v>
      </c>
      <c r="O352" s="18" t="s">
        <v>338</v>
      </c>
      <c r="P352" s="18" t="s">
        <v>10231</v>
      </c>
      <c r="Q352" s="18" t="s">
        <v>7975</v>
      </c>
      <c r="R352" s="18" t="s">
        <v>7976</v>
      </c>
      <c r="S352" s="18" t="s">
        <v>7977</v>
      </c>
      <c r="T352" s="18" t="s">
        <v>7978</v>
      </c>
      <c r="U352" s="18" t="s">
        <v>7979</v>
      </c>
      <c r="V352" s="18" t="s">
        <v>6963</v>
      </c>
      <c r="W352" s="18" t="s">
        <v>95</v>
      </c>
      <c r="X352" s="18" t="s">
        <v>95</v>
      </c>
      <c r="Y352" s="18" t="s">
        <v>7980</v>
      </c>
      <c r="Z352" s="18" t="s">
        <v>6996</v>
      </c>
      <c r="AA352" s="69">
        <v>1</v>
      </c>
      <c r="AB352" s="18">
        <v>383.92856999999998</v>
      </c>
      <c r="AC352" s="18" t="s">
        <v>10232</v>
      </c>
      <c r="AD352" s="18" t="s">
        <v>7982</v>
      </c>
      <c r="AE352" s="18">
        <v>235</v>
      </c>
      <c r="AF352" s="18" t="s">
        <v>7983</v>
      </c>
      <c r="AG352" s="18">
        <v>235</v>
      </c>
      <c r="AH352" s="18" t="s">
        <v>95</v>
      </c>
      <c r="AI352" s="18" t="s">
        <v>7176</v>
      </c>
      <c r="AJ352" s="18" t="s">
        <v>7177</v>
      </c>
      <c r="AK352" s="18">
        <v>16.989999999999998</v>
      </c>
      <c r="AL352" s="18" t="s">
        <v>95</v>
      </c>
      <c r="AM352" s="18" t="s">
        <v>95</v>
      </c>
      <c r="AN352" s="18" t="s">
        <v>7984</v>
      </c>
      <c r="AO352" s="18" t="s">
        <v>139</v>
      </c>
      <c r="AP352" s="18" t="s">
        <v>280</v>
      </c>
      <c r="AQ352" s="18" t="s">
        <v>281</v>
      </c>
      <c r="AR352" s="18" t="s">
        <v>295</v>
      </c>
      <c r="AS352" s="18">
        <v>1</v>
      </c>
      <c r="AT352" s="18" t="s">
        <v>235</v>
      </c>
      <c r="AU352" s="18" t="s">
        <v>90</v>
      </c>
      <c r="AV352" s="18" t="s">
        <v>7985</v>
      </c>
      <c r="AW352" s="18" t="s">
        <v>7986</v>
      </c>
      <c r="AX352" s="18" t="s">
        <v>83</v>
      </c>
      <c r="AY352" s="18" t="s">
        <v>95</v>
      </c>
      <c r="AZ352" s="18" t="s">
        <v>95</v>
      </c>
      <c r="BA352" s="18" t="s">
        <v>95</v>
      </c>
      <c r="BB352" s="18" t="s">
        <v>95</v>
      </c>
      <c r="BC352" s="18" t="s">
        <v>95</v>
      </c>
      <c r="BD352" s="18">
        <v>77</v>
      </c>
      <c r="BE352" s="18" t="s">
        <v>95</v>
      </c>
      <c r="BF352" s="18" t="s">
        <v>95</v>
      </c>
      <c r="BG352" s="18" t="s">
        <v>95</v>
      </c>
      <c r="BH352" s="18" t="s">
        <v>95</v>
      </c>
      <c r="BI352" s="18">
        <v>12</v>
      </c>
      <c r="BJ352" s="18">
        <v>2022</v>
      </c>
      <c r="BK352" s="18" t="s">
        <v>95</v>
      </c>
      <c r="BL352" s="18" t="s">
        <v>95</v>
      </c>
      <c r="BM352" s="18" t="s">
        <v>95</v>
      </c>
      <c r="BN352" s="18" t="s">
        <v>85</v>
      </c>
      <c r="BO352" s="18" t="s">
        <v>86</v>
      </c>
      <c r="BP352" s="18" t="s">
        <v>90</v>
      </c>
      <c r="BQ352" s="18" t="s">
        <v>8016</v>
      </c>
      <c r="BR352" s="18" t="s">
        <v>139</v>
      </c>
      <c r="BS352" s="18" t="s">
        <v>9828</v>
      </c>
      <c r="BT352" s="18" t="s">
        <v>7989</v>
      </c>
      <c r="BU352" s="18" t="s">
        <v>7990</v>
      </c>
      <c r="BV352" s="18" t="str">
        <f>Terminales[[#This Row],[IMEI]]&amp;"SI"</f>
        <v>866184061818600SI</v>
      </c>
      <c r="BW352" s="18" t="str">
        <f>VLOOKUP(Terminales[[#This Row],[OFICINA_USUARIO]],[1]!Locales[#Data],3,0)</f>
        <v>TIENDA CONDADO</v>
      </c>
      <c r="BX352" s="18" t="str">
        <f>VLOOKUP(Terminales[[#This Row],[USUARIO_FINAL]],'[1]Personal Ppto vs Real'!$A:$F,6,0)</f>
        <v>GUACHAMIN CAZA HUGO ADRIAN</v>
      </c>
      <c r="BY352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5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52" s="18">
        <f>DAY(Terminales[[#This Row],[FECHA_FACTURA]])</f>
        <v>16</v>
      </c>
      <c r="CB352" s="65">
        <f>IF(Terminales[[#This Row],[CANTIDAD]] = 1,INDEX([1]!Comisiones[#Data],MATCH("Terminales",[1]!Comisiones[Producto],0),MATCH(Terminales[[#This Row],[TIPO ALTA COMISIONES]],[1]!Comisiones[#Headers],0))*Terminales[[#This Row],[MONTO]],0)</f>
        <v>38.392856999999999</v>
      </c>
      <c r="CC352" s="65">
        <f>IFERROR(IF(AND(Terminales[[#This Row],[CANTIDAD]] = 1,Terminales[[#This Row],[MOVIMIENTO]] = "RENOVACION"),Terminales[[#This Row],[TARIFA_BASICA]]*0.5,),)</f>
        <v>8.4949999999999992</v>
      </c>
      <c r="CD352" s="65">
        <f>IF('[1]Resumen TM'!$AW$20 &lt; 0.4,0,Terminales[[#This Row],[MONTO]]*0.02)</f>
        <v>7.6785714</v>
      </c>
      <c r="CE352" s="66">
        <f>Terminales[[#This Row],[COMISIONES TERMINALES]]+Terminales[[#This Row],[COMISIONES RENOVACIONES]]+Terminales[[#This Row],[COMISIONES BONO]]</f>
        <v>54.566428399999999</v>
      </c>
      <c r="CF352" s="67">
        <f>(Terminales[[#This Row],[COMISIONES TERMINALES]]*VLOOKUP(Terminales[[#This Row],[LOCALES]],[1]!Calendario[#Data],3,0))/VLOOKUP(Terminales[[#This Row],[LOCALES]],[1]!Calendario[#Data],2,0)</f>
        <v>63.162442161290322</v>
      </c>
      <c r="CG352" s="67">
        <f>(Terminales[[#This Row],[COMISIONES RENOVACIONES]]*VLOOKUP(Terminales[[#This Row],[LOCALES]],[1]!Calendario[#Data],3,0))/VLOOKUP(Terminales[[#This Row],[LOCALES]],[1]!Calendario[#Data],2,0)</f>
        <v>13.975645161290322</v>
      </c>
      <c r="CH352" s="67">
        <f>(Terminales[[#This Row],[COMISIONES BONO]]*VLOOKUP(Terminales[[#This Row],[LOCALES]],[1]!Calendario[#Data],3,0))/VLOOKUP(Terminales[[#This Row],[LOCALES]],[1]!Calendario[#Data],2,0)</f>
        <v>12.632488432258064</v>
      </c>
      <c r="CI352" s="67">
        <f>Terminales[[#This Row],[PROY. COM. TERMINALES]]+Terminales[[#This Row],[PROY. COM. RENOV.]]+Terminales[[#This Row],[PROY. COM. 2%]]</f>
        <v>89.770575754838717</v>
      </c>
    </row>
    <row r="353" spans="1:87" x14ac:dyDescent="0.25">
      <c r="A353" s="68">
        <v>44926</v>
      </c>
      <c r="B353" s="68">
        <v>44911</v>
      </c>
      <c r="C353" s="18" t="s">
        <v>291</v>
      </c>
      <c r="D353" s="18" t="s">
        <v>78</v>
      </c>
      <c r="E353" s="18" t="s">
        <v>2241</v>
      </c>
      <c r="F353" s="18" t="s">
        <v>4901</v>
      </c>
      <c r="G353" s="18" t="s">
        <v>292</v>
      </c>
      <c r="H353" s="18" t="s">
        <v>293</v>
      </c>
      <c r="I353" s="18" t="s">
        <v>10233</v>
      </c>
      <c r="J353" s="18" t="s">
        <v>95</v>
      </c>
      <c r="K353" s="18" t="s">
        <v>7970</v>
      </c>
      <c r="L353" s="18" t="s">
        <v>4902</v>
      </c>
      <c r="M353" s="18" t="s">
        <v>4903</v>
      </c>
      <c r="N353" s="18" t="s">
        <v>4904</v>
      </c>
      <c r="O353" s="18" t="s">
        <v>4907</v>
      </c>
      <c r="P353" s="18" t="s">
        <v>4905</v>
      </c>
      <c r="Q353" s="18" t="s">
        <v>7975</v>
      </c>
      <c r="R353" s="18" t="s">
        <v>7976</v>
      </c>
      <c r="S353" s="18" t="s">
        <v>8045</v>
      </c>
      <c r="T353" s="18" t="s">
        <v>8099</v>
      </c>
      <c r="U353" s="18" t="s">
        <v>8100</v>
      </c>
      <c r="V353" s="18" t="s">
        <v>6963</v>
      </c>
      <c r="W353" s="18" t="s">
        <v>95</v>
      </c>
      <c r="X353" s="18" t="s">
        <v>95</v>
      </c>
      <c r="Y353" s="18" t="s">
        <v>7980</v>
      </c>
      <c r="Z353" s="18" t="s">
        <v>6996</v>
      </c>
      <c r="AA353" s="69">
        <v>1</v>
      </c>
      <c r="AB353" s="18">
        <v>553.57142999999996</v>
      </c>
      <c r="AC353" s="18" t="s">
        <v>10234</v>
      </c>
      <c r="AD353" s="18" t="s">
        <v>8151</v>
      </c>
      <c r="AE353" s="18">
        <v>396.5</v>
      </c>
      <c r="AF353" s="18" t="s">
        <v>7983</v>
      </c>
      <c r="AG353" s="18">
        <v>396.5</v>
      </c>
      <c r="AH353" s="18" t="s">
        <v>95</v>
      </c>
      <c r="AI353" s="18" t="s">
        <v>160</v>
      </c>
      <c r="AJ353" s="18" t="s">
        <v>161</v>
      </c>
      <c r="AK353" s="18">
        <v>14.28</v>
      </c>
      <c r="AL353" s="18" t="s">
        <v>95</v>
      </c>
      <c r="AM353" s="18" t="s">
        <v>95</v>
      </c>
      <c r="AN353" s="18" t="s">
        <v>7984</v>
      </c>
      <c r="AO353" s="18" t="s">
        <v>139</v>
      </c>
      <c r="AP353" s="18" t="s">
        <v>251</v>
      </c>
      <c r="AQ353" s="18" t="s">
        <v>252</v>
      </c>
      <c r="AR353" s="18" t="s">
        <v>295</v>
      </c>
      <c r="AS353" s="18">
        <v>1</v>
      </c>
      <c r="AT353" s="18" t="s">
        <v>177</v>
      </c>
      <c r="AU353" s="18" t="s">
        <v>90</v>
      </c>
      <c r="AV353" s="18" t="s">
        <v>8660</v>
      </c>
      <c r="AW353" s="18" t="s">
        <v>8661</v>
      </c>
      <c r="AX353" s="18" t="s">
        <v>83</v>
      </c>
      <c r="AY353" s="18" t="s">
        <v>95</v>
      </c>
      <c r="AZ353" s="18" t="s">
        <v>95</v>
      </c>
      <c r="BA353" s="18" t="s">
        <v>95</v>
      </c>
      <c r="BB353" s="18" t="s">
        <v>95</v>
      </c>
      <c r="BC353" s="18" t="s">
        <v>95</v>
      </c>
      <c r="BD353" s="18">
        <v>112</v>
      </c>
      <c r="BE353" s="18" t="s">
        <v>95</v>
      </c>
      <c r="BF353" s="18" t="s">
        <v>95</v>
      </c>
      <c r="BG353" s="18" t="s">
        <v>95</v>
      </c>
      <c r="BH353" s="18" t="s">
        <v>95</v>
      </c>
      <c r="BI353" s="18">
        <v>12</v>
      </c>
      <c r="BJ353" s="18">
        <v>2022</v>
      </c>
      <c r="BK353" s="18" t="s">
        <v>95</v>
      </c>
      <c r="BL353" s="18" t="s">
        <v>95</v>
      </c>
      <c r="BM353" s="18" t="s">
        <v>95</v>
      </c>
      <c r="BN353" s="18" t="s">
        <v>85</v>
      </c>
      <c r="BO353" s="18" t="s">
        <v>86</v>
      </c>
      <c r="BP353" s="18" t="s">
        <v>90</v>
      </c>
      <c r="BQ353" s="18" t="s">
        <v>8002</v>
      </c>
      <c r="BR353" s="18" t="s">
        <v>139</v>
      </c>
      <c r="BS353" s="18" t="s">
        <v>9828</v>
      </c>
      <c r="BT353" s="18" t="s">
        <v>7989</v>
      </c>
      <c r="BU353" s="18" t="s">
        <v>7990</v>
      </c>
      <c r="BV353" s="18" t="str">
        <f>Terminales[[#This Row],[IMEI]]&amp;"SI"</f>
        <v>353842197623919SI</v>
      </c>
      <c r="BW353" s="18" t="str">
        <f>VLOOKUP(Terminales[[#This Row],[OFICINA_USUARIO]],[1]!Locales[#Data],3,0)</f>
        <v>TIENDA RECREO</v>
      </c>
      <c r="BX353" s="18" t="str">
        <f>VLOOKUP(Terminales[[#This Row],[USUARIO_FINAL]],'[1]Personal Ppto vs Real'!$A:$F,6,0)</f>
        <v>CRUZ MONTUFAR KATHERINE ALEJANDRA</v>
      </c>
      <c r="BY353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35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53" s="18">
        <f>DAY(Terminales[[#This Row],[FECHA_FACTURA]])</f>
        <v>16</v>
      </c>
      <c r="CB353" s="65">
        <f>IF(Terminales[[#This Row],[CANTIDAD]] = 1,INDEX([1]!Comisiones[#Data],MATCH("Terminales",[1]!Comisiones[Producto],0),MATCH(Terminales[[#This Row],[TIPO ALTA COMISIONES]],[1]!Comisiones[#Headers],0))*Terminales[[#This Row],[MONTO]],0)</f>
        <v>55.357143000000001</v>
      </c>
      <c r="CC353" s="65">
        <f>IFERROR(IF(AND(Terminales[[#This Row],[CANTIDAD]] = 1,Terminales[[#This Row],[MOVIMIENTO]] = "RENOVACION"),Terminales[[#This Row],[TARIFA_BASICA]]*0.5,),)</f>
        <v>0</v>
      </c>
      <c r="CD353" s="65">
        <f>IF('[1]Resumen TM'!$AW$20 &lt; 0.4,0,Terminales[[#This Row],[MONTO]]*0.02)</f>
        <v>11.071428599999999</v>
      </c>
      <c r="CE353" s="66">
        <f>Terminales[[#This Row],[COMISIONES TERMINALES]]+Terminales[[#This Row],[COMISIONES RENOVACIONES]]+Terminales[[#This Row],[COMISIONES BONO]]</f>
        <v>66.428571599999998</v>
      </c>
      <c r="CF353" s="67">
        <f>(Terminales[[#This Row],[COMISIONES TERMINALES]]*VLOOKUP(Terminales[[#This Row],[LOCALES]],[1]!Calendario[#Data],3,0))/VLOOKUP(Terminales[[#This Row],[LOCALES]],[1]!Calendario[#Data],2,0)</f>
        <v>91.071428806451607</v>
      </c>
      <c r="CG353" s="67">
        <f>(Terminales[[#This Row],[COMISIONES RENOVACIONES]]*VLOOKUP(Terminales[[#This Row],[LOCALES]],[1]!Calendario[#Data],3,0))/VLOOKUP(Terminales[[#This Row],[LOCALES]],[1]!Calendario[#Data],2,0)</f>
        <v>0</v>
      </c>
      <c r="CH353" s="67">
        <f>(Terminales[[#This Row],[COMISIONES BONO]]*VLOOKUP(Terminales[[#This Row],[LOCALES]],[1]!Calendario[#Data],3,0))/VLOOKUP(Terminales[[#This Row],[LOCALES]],[1]!Calendario[#Data],2,0)</f>
        <v>18.21428576129032</v>
      </c>
      <c r="CI353" s="67">
        <f>Terminales[[#This Row],[PROY. COM. TERMINALES]]+Terminales[[#This Row],[PROY. COM. RENOV.]]+Terminales[[#This Row],[PROY. COM. 2%]]</f>
        <v>109.28571456774193</v>
      </c>
    </row>
    <row r="354" spans="1:87" x14ac:dyDescent="0.25">
      <c r="A354" s="68">
        <v>44926</v>
      </c>
      <c r="B354" s="68">
        <v>44911</v>
      </c>
      <c r="C354" s="18" t="s">
        <v>291</v>
      </c>
      <c r="D354" s="18" t="s">
        <v>78</v>
      </c>
      <c r="E354" s="18" t="s">
        <v>1378</v>
      </c>
      <c r="F354" s="18" t="s">
        <v>7149</v>
      </c>
      <c r="G354" s="18" t="s">
        <v>292</v>
      </c>
      <c r="H354" s="18" t="s">
        <v>293</v>
      </c>
      <c r="I354" s="18" t="s">
        <v>10235</v>
      </c>
      <c r="J354" s="18" t="s">
        <v>95</v>
      </c>
      <c r="K354" s="18" t="s">
        <v>7970</v>
      </c>
      <c r="L354" s="18" t="s">
        <v>10236</v>
      </c>
      <c r="M354" s="18" t="s">
        <v>10237</v>
      </c>
      <c r="N354" s="18" t="s">
        <v>7151</v>
      </c>
      <c r="O354" s="18" t="s">
        <v>2260</v>
      </c>
      <c r="P354" s="18" t="s">
        <v>10238</v>
      </c>
      <c r="Q354" s="18" t="s">
        <v>7975</v>
      </c>
      <c r="R354" s="18" t="s">
        <v>7976</v>
      </c>
      <c r="S354" s="18" t="s">
        <v>8010</v>
      </c>
      <c r="T354" s="18" t="s">
        <v>8011</v>
      </c>
      <c r="U354" s="18" t="s">
        <v>8012</v>
      </c>
      <c r="V354" s="18" t="s">
        <v>6963</v>
      </c>
      <c r="W354" s="18" t="s">
        <v>95</v>
      </c>
      <c r="X354" s="18" t="s">
        <v>95</v>
      </c>
      <c r="Y354" s="18" t="s">
        <v>7980</v>
      </c>
      <c r="Z354" s="18" t="s">
        <v>6996</v>
      </c>
      <c r="AA354" s="69">
        <v>1</v>
      </c>
      <c r="AB354" s="18">
        <v>245.53570999999999</v>
      </c>
      <c r="AC354" s="18" t="s">
        <v>7150</v>
      </c>
      <c r="AD354" s="18" t="s">
        <v>7982</v>
      </c>
      <c r="AE354" s="18">
        <v>168.8</v>
      </c>
      <c r="AF354" s="18" t="s">
        <v>7983</v>
      </c>
      <c r="AG354" s="18">
        <v>168.8</v>
      </c>
      <c r="AH354" s="18" t="s">
        <v>95</v>
      </c>
      <c r="AI354" s="18" t="s">
        <v>112</v>
      </c>
      <c r="AJ354" s="18" t="s">
        <v>781</v>
      </c>
      <c r="AK354" s="18">
        <v>17.850000000000001</v>
      </c>
      <c r="AL354" s="18" t="s">
        <v>95</v>
      </c>
      <c r="AM354" s="18" t="s">
        <v>95</v>
      </c>
      <c r="AN354" s="18" t="s">
        <v>7984</v>
      </c>
      <c r="AO354" s="18" t="s">
        <v>139</v>
      </c>
      <c r="AP354" s="18" t="s">
        <v>404</v>
      </c>
      <c r="AQ354" s="18" t="s">
        <v>405</v>
      </c>
      <c r="AR354" s="18" t="s">
        <v>295</v>
      </c>
      <c r="AS354" s="18">
        <v>1</v>
      </c>
      <c r="AT354" s="18" t="s">
        <v>177</v>
      </c>
      <c r="AU354" s="18" t="s">
        <v>90</v>
      </c>
      <c r="AV354" s="18" t="s">
        <v>8014</v>
      </c>
      <c r="AW354" s="18" t="s">
        <v>8015</v>
      </c>
      <c r="AX354" s="18" t="s">
        <v>83</v>
      </c>
      <c r="AY354" s="18" t="s">
        <v>95</v>
      </c>
      <c r="AZ354" s="18" t="s">
        <v>95</v>
      </c>
      <c r="BA354" s="18" t="s">
        <v>95</v>
      </c>
      <c r="BB354" s="18" t="s">
        <v>95</v>
      </c>
      <c r="BC354" s="18" t="s">
        <v>95</v>
      </c>
      <c r="BD354" s="18">
        <v>50</v>
      </c>
      <c r="BE354" s="18" t="s">
        <v>95</v>
      </c>
      <c r="BF354" s="18" t="s">
        <v>95</v>
      </c>
      <c r="BG354" s="18" t="s">
        <v>95</v>
      </c>
      <c r="BH354" s="18" t="s">
        <v>95</v>
      </c>
      <c r="BI354" s="18">
        <v>12</v>
      </c>
      <c r="BJ354" s="18">
        <v>2022</v>
      </c>
      <c r="BK354" s="18" t="s">
        <v>95</v>
      </c>
      <c r="BL354" s="18" t="s">
        <v>95</v>
      </c>
      <c r="BM354" s="18" t="s">
        <v>95</v>
      </c>
      <c r="BN354" s="18" t="s">
        <v>85</v>
      </c>
      <c r="BO354" s="18" t="s">
        <v>86</v>
      </c>
      <c r="BP354" s="18" t="s">
        <v>90</v>
      </c>
      <c r="BQ354" s="18" t="s">
        <v>8002</v>
      </c>
      <c r="BR354" s="18" t="s">
        <v>139</v>
      </c>
      <c r="BS354" s="18" t="s">
        <v>9828</v>
      </c>
      <c r="BT354" s="18" t="s">
        <v>7989</v>
      </c>
      <c r="BU354" s="18" t="s">
        <v>7990</v>
      </c>
      <c r="BV354" s="18" t="str">
        <f>Terminales[[#This Row],[IMEI]]&amp;"SI"</f>
        <v>359694275281654SI</v>
      </c>
      <c r="BW354" s="18" t="str">
        <f>VLOOKUP(Terminales[[#This Row],[OFICINA_USUARIO]],[1]!Locales[#Data],3,0)</f>
        <v>TIENDA RECREO</v>
      </c>
      <c r="BX354" s="18" t="str">
        <f>VLOOKUP(Terminales[[#This Row],[USUARIO_FINAL]],'[1]Personal Ppto vs Real'!$A:$F,6,0)</f>
        <v>OTERO YEPEZ ANDREA SOLEDAD</v>
      </c>
      <c r="BY354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5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54" s="18">
        <f>DAY(Terminales[[#This Row],[FECHA_FACTURA]])</f>
        <v>16</v>
      </c>
      <c r="CB354" s="65">
        <f>IF(Terminales[[#This Row],[CANTIDAD]] = 1,INDEX([1]!Comisiones[#Data],MATCH("Terminales",[1]!Comisiones[Producto],0),MATCH(Terminales[[#This Row],[TIPO ALTA COMISIONES]],[1]!Comisiones[#Headers],0))*Terminales[[#This Row],[MONTO]],0)</f>
        <v>24.553571000000002</v>
      </c>
      <c r="CC354" s="65">
        <f>IFERROR(IF(AND(Terminales[[#This Row],[CANTIDAD]] = 1,Terminales[[#This Row],[MOVIMIENTO]] = "RENOVACION"),Terminales[[#This Row],[TARIFA_BASICA]]*0.5,),)</f>
        <v>8.9250000000000007</v>
      </c>
      <c r="CD354" s="65">
        <f>IF('[1]Resumen TM'!$AW$20 &lt; 0.4,0,Terminales[[#This Row],[MONTO]]*0.02)</f>
        <v>4.9107142000000001</v>
      </c>
      <c r="CE354" s="66">
        <f>Terminales[[#This Row],[COMISIONES TERMINALES]]+Terminales[[#This Row],[COMISIONES RENOVACIONES]]+Terminales[[#This Row],[COMISIONES BONO]]</f>
        <v>38.389285200000003</v>
      </c>
      <c r="CF354" s="67">
        <f>(Terminales[[#This Row],[COMISIONES TERMINALES]]*VLOOKUP(Terminales[[#This Row],[LOCALES]],[1]!Calendario[#Data],3,0))/VLOOKUP(Terminales[[#This Row],[LOCALES]],[1]!Calendario[#Data],2,0)</f>
        <v>40.394584548387094</v>
      </c>
      <c r="CG354" s="67">
        <f>(Terminales[[#This Row],[COMISIONES RENOVACIONES]]*VLOOKUP(Terminales[[#This Row],[LOCALES]],[1]!Calendario[#Data],3,0))/VLOOKUP(Terminales[[#This Row],[LOCALES]],[1]!Calendario[#Data],2,0)</f>
        <v>14.683064516129033</v>
      </c>
      <c r="CH354" s="67">
        <f>(Terminales[[#This Row],[COMISIONES BONO]]*VLOOKUP(Terminales[[#This Row],[LOCALES]],[1]!Calendario[#Data],3,0))/VLOOKUP(Terminales[[#This Row],[LOCALES]],[1]!Calendario[#Data],2,0)</f>
        <v>8.0789169096774192</v>
      </c>
      <c r="CI354" s="67">
        <f>Terminales[[#This Row],[PROY. COM. TERMINALES]]+Terminales[[#This Row],[PROY. COM. RENOV.]]+Terminales[[#This Row],[PROY. COM. 2%]]</f>
        <v>63.156565974193541</v>
      </c>
    </row>
    <row r="355" spans="1:87" x14ac:dyDescent="0.25">
      <c r="A355" s="68">
        <v>44926</v>
      </c>
      <c r="B355" s="68">
        <v>44911</v>
      </c>
      <c r="C355" s="18" t="s">
        <v>96</v>
      </c>
      <c r="D355" s="18" t="s">
        <v>96</v>
      </c>
      <c r="E355" s="18" t="s">
        <v>96</v>
      </c>
      <c r="F355" s="18" t="s">
        <v>95</v>
      </c>
      <c r="G355" s="18" t="s">
        <v>292</v>
      </c>
      <c r="H355" s="18" t="s">
        <v>494</v>
      </c>
      <c r="I355" s="18" t="s">
        <v>10239</v>
      </c>
      <c r="J355" s="18" t="s">
        <v>95</v>
      </c>
      <c r="K355" s="18" t="s">
        <v>7970</v>
      </c>
      <c r="L355" s="18" t="s">
        <v>10240</v>
      </c>
      <c r="M355" s="18" t="s">
        <v>10241</v>
      </c>
      <c r="N355" s="18" t="s">
        <v>10242</v>
      </c>
      <c r="O355" s="18" t="s">
        <v>4380</v>
      </c>
      <c r="P355" s="18" t="s">
        <v>10243</v>
      </c>
      <c r="Q355" s="18" t="s">
        <v>7975</v>
      </c>
      <c r="R355" s="18" t="s">
        <v>7976</v>
      </c>
      <c r="S355" s="18" t="s">
        <v>7994</v>
      </c>
      <c r="T355" s="18" t="s">
        <v>7995</v>
      </c>
      <c r="U355" s="18" t="s">
        <v>7996</v>
      </c>
      <c r="V355" s="18" t="s">
        <v>6963</v>
      </c>
      <c r="W355" s="18" t="s">
        <v>95</v>
      </c>
      <c r="X355" s="18" t="s">
        <v>95</v>
      </c>
      <c r="Y355" s="18" t="s">
        <v>7980</v>
      </c>
      <c r="Z355" s="18" t="s">
        <v>6996</v>
      </c>
      <c r="AA355" s="69">
        <v>1</v>
      </c>
      <c r="AB355" s="18">
        <v>125</v>
      </c>
      <c r="AC355" s="18" t="s">
        <v>95</v>
      </c>
      <c r="AD355" s="18" t="s">
        <v>96</v>
      </c>
      <c r="AE355" s="18">
        <v>102</v>
      </c>
      <c r="AF355" s="18" t="s">
        <v>7983</v>
      </c>
      <c r="AG355" s="18">
        <v>102</v>
      </c>
      <c r="AH355" s="18" t="s">
        <v>95</v>
      </c>
      <c r="AI355" s="18" t="s">
        <v>95</v>
      </c>
      <c r="AJ355" s="18" t="s">
        <v>95</v>
      </c>
      <c r="AK355" s="18" t="s">
        <v>95</v>
      </c>
      <c r="AL355" s="18" t="s">
        <v>95</v>
      </c>
      <c r="AM355" s="18" t="s">
        <v>95</v>
      </c>
      <c r="AN355" s="18" t="s">
        <v>7984</v>
      </c>
      <c r="AO355" s="18" t="s">
        <v>139</v>
      </c>
      <c r="AP355" s="18" t="s">
        <v>457</v>
      </c>
      <c r="AQ355" s="18" t="s">
        <v>458</v>
      </c>
      <c r="AR355" s="18" t="s">
        <v>496</v>
      </c>
      <c r="AS355" s="18">
        <v>1</v>
      </c>
      <c r="AT355" s="18" t="s">
        <v>177</v>
      </c>
      <c r="AU355" s="18" t="s">
        <v>90</v>
      </c>
      <c r="AV355" s="18" t="s">
        <v>7998</v>
      </c>
      <c r="AW355" s="18" t="s">
        <v>7999</v>
      </c>
      <c r="AX355" s="18" t="s">
        <v>83</v>
      </c>
      <c r="AY355" s="18" t="s">
        <v>95</v>
      </c>
      <c r="AZ355" s="18" t="s">
        <v>95</v>
      </c>
      <c r="BA355" s="18" t="s">
        <v>95</v>
      </c>
      <c r="BB355" s="18" t="s">
        <v>95</v>
      </c>
      <c r="BC355" s="18" t="s">
        <v>95</v>
      </c>
      <c r="BD355" s="18" t="s">
        <v>95</v>
      </c>
      <c r="BE355" s="18" t="s">
        <v>95</v>
      </c>
      <c r="BF355" s="18" t="s">
        <v>95</v>
      </c>
      <c r="BG355" s="18" t="s">
        <v>95</v>
      </c>
      <c r="BH355" s="18" t="s">
        <v>95</v>
      </c>
      <c r="BI355" s="18">
        <v>12</v>
      </c>
      <c r="BJ355" s="18">
        <v>2022</v>
      </c>
      <c r="BK355" s="18" t="s">
        <v>95</v>
      </c>
      <c r="BL355" s="18" t="s">
        <v>95</v>
      </c>
      <c r="BM355" s="18" t="s">
        <v>95</v>
      </c>
      <c r="BN355" s="18" t="s">
        <v>85</v>
      </c>
      <c r="BO355" s="18" t="s">
        <v>86</v>
      </c>
      <c r="BP355" s="18" t="s">
        <v>90</v>
      </c>
      <c r="BQ355" s="18" t="s">
        <v>8002</v>
      </c>
      <c r="BR355" s="18" t="s">
        <v>139</v>
      </c>
      <c r="BS355" s="18" t="s">
        <v>8074</v>
      </c>
      <c r="BT355" s="18" t="s">
        <v>7989</v>
      </c>
      <c r="BU355" s="18" t="s">
        <v>496</v>
      </c>
      <c r="BV355" s="18" t="str">
        <f>Terminales[[#This Row],[IMEI]]&amp;"SI"</f>
        <v>357321213166746SI</v>
      </c>
      <c r="BW355" s="18" t="str">
        <f>VLOOKUP(Terminales[[#This Row],[OFICINA_USUARIO]],[1]!Locales[#Data],3,0)</f>
        <v>TIENDA RECREO</v>
      </c>
      <c r="BX355" s="18" t="str">
        <f>VLOOKUP(Terminales[[#This Row],[USUARIO_FINAL]],'[1]Personal Ppto vs Real'!$A:$F,6,0)</f>
        <v>LOZADA REYES BERTHA MARIBEL</v>
      </c>
      <c r="BY35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5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55" s="18">
        <f>DAY(Terminales[[#This Row],[FECHA_FACTURA]])</f>
        <v>16</v>
      </c>
      <c r="CB355" s="65">
        <f>IF(Terminales[[#This Row],[CANTIDAD]] = 1,INDEX([1]!Comisiones[#Data],MATCH("Terminales",[1]!Comisiones[Producto],0),MATCH(Terminales[[#This Row],[TIPO ALTA COMISIONES]],[1]!Comisiones[#Headers],0))*Terminales[[#This Row],[MONTO]],0)</f>
        <v>12.5</v>
      </c>
      <c r="CC355" s="65">
        <f>IFERROR(IF(AND(Terminales[[#This Row],[CANTIDAD]] = 1,Terminales[[#This Row],[MOVIMIENTO]] = "RENOVACION"),Terminales[[#This Row],[TARIFA_BASICA]]*0.5,),)</f>
        <v>0</v>
      </c>
      <c r="CD355" s="65">
        <f>IF('[1]Resumen TM'!$AW$20 &lt; 0.4,0,Terminales[[#This Row],[MONTO]]*0.02)</f>
        <v>2.5</v>
      </c>
      <c r="CE355" s="66">
        <f>Terminales[[#This Row],[COMISIONES TERMINALES]]+Terminales[[#This Row],[COMISIONES RENOVACIONES]]+Terminales[[#This Row],[COMISIONES BONO]]</f>
        <v>15</v>
      </c>
      <c r="CF355" s="67">
        <f>(Terminales[[#This Row],[COMISIONES TERMINALES]]*VLOOKUP(Terminales[[#This Row],[LOCALES]],[1]!Calendario[#Data],3,0))/VLOOKUP(Terminales[[#This Row],[LOCALES]],[1]!Calendario[#Data],2,0)</f>
        <v>20.56451612903226</v>
      </c>
      <c r="CG355" s="67">
        <f>(Terminales[[#This Row],[COMISIONES RENOVACIONES]]*VLOOKUP(Terminales[[#This Row],[LOCALES]],[1]!Calendario[#Data],3,0))/VLOOKUP(Terminales[[#This Row],[LOCALES]],[1]!Calendario[#Data],2,0)</f>
        <v>0</v>
      </c>
      <c r="CH355" s="67">
        <f>(Terminales[[#This Row],[COMISIONES BONO]]*VLOOKUP(Terminales[[#This Row],[LOCALES]],[1]!Calendario[#Data],3,0))/VLOOKUP(Terminales[[#This Row],[LOCALES]],[1]!Calendario[#Data],2,0)</f>
        <v>4.112903225806452</v>
      </c>
      <c r="CI355" s="67">
        <f>Terminales[[#This Row],[PROY. COM. TERMINALES]]+Terminales[[#This Row],[PROY. COM. RENOV.]]+Terminales[[#This Row],[PROY. COM. 2%]]</f>
        <v>24.677419354838712</v>
      </c>
    </row>
    <row r="356" spans="1:87" x14ac:dyDescent="0.25">
      <c r="A356" s="68">
        <v>44926</v>
      </c>
      <c r="B356" s="68">
        <v>44911</v>
      </c>
      <c r="C356" s="18" t="s">
        <v>96</v>
      </c>
      <c r="D356" s="18" t="s">
        <v>96</v>
      </c>
      <c r="E356" s="18" t="s">
        <v>96</v>
      </c>
      <c r="F356" s="18" t="s">
        <v>95</v>
      </c>
      <c r="G356" s="18" t="s">
        <v>292</v>
      </c>
      <c r="H356" s="18" t="s">
        <v>494</v>
      </c>
      <c r="I356" s="18" t="s">
        <v>10239</v>
      </c>
      <c r="J356" s="18" t="s">
        <v>95</v>
      </c>
      <c r="K356" s="18" t="s">
        <v>7970</v>
      </c>
      <c r="L356" s="18" t="s">
        <v>10240</v>
      </c>
      <c r="M356" s="18" t="s">
        <v>10241</v>
      </c>
      <c r="N356" s="18" t="s">
        <v>10242</v>
      </c>
      <c r="O356" s="18" t="s">
        <v>4380</v>
      </c>
      <c r="P356" s="18" t="s">
        <v>10244</v>
      </c>
      <c r="Q356" s="18" t="s">
        <v>7975</v>
      </c>
      <c r="R356" s="18" t="s">
        <v>7976</v>
      </c>
      <c r="S356" s="18" t="s">
        <v>7994</v>
      </c>
      <c r="T356" s="18" t="s">
        <v>7995</v>
      </c>
      <c r="U356" s="18" t="s">
        <v>7996</v>
      </c>
      <c r="V356" s="18" t="s">
        <v>6963</v>
      </c>
      <c r="W356" s="18" t="s">
        <v>95</v>
      </c>
      <c r="X356" s="18" t="s">
        <v>95</v>
      </c>
      <c r="Y356" s="18" t="s">
        <v>7980</v>
      </c>
      <c r="Z356" s="18" t="s">
        <v>6996</v>
      </c>
      <c r="AA356" s="69">
        <v>1</v>
      </c>
      <c r="AB356" s="18">
        <v>125</v>
      </c>
      <c r="AC356" s="18" t="s">
        <v>95</v>
      </c>
      <c r="AD356" s="18" t="s">
        <v>96</v>
      </c>
      <c r="AE356" s="18">
        <v>102</v>
      </c>
      <c r="AF356" s="18" t="s">
        <v>7983</v>
      </c>
      <c r="AG356" s="18">
        <v>102</v>
      </c>
      <c r="AH356" s="18" t="s">
        <v>95</v>
      </c>
      <c r="AI356" s="18" t="s">
        <v>95</v>
      </c>
      <c r="AJ356" s="18" t="s">
        <v>95</v>
      </c>
      <c r="AK356" s="18" t="s">
        <v>95</v>
      </c>
      <c r="AL356" s="18" t="s">
        <v>95</v>
      </c>
      <c r="AM356" s="18" t="s">
        <v>95</v>
      </c>
      <c r="AN356" s="18" t="s">
        <v>7984</v>
      </c>
      <c r="AO356" s="18" t="s">
        <v>139</v>
      </c>
      <c r="AP356" s="18" t="s">
        <v>457</v>
      </c>
      <c r="AQ356" s="18" t="s">
        <v>458</v>
      </c>
      <c r="AR356" s="18" t="s">
        <v>496</v>
      </c>
      <c r="AS356" s="18">
        <v>1</v>
      </c>
      <c r="AT356" s="18" t="s">
        <v>177</v>
      </c>
      <c r="AU356" s="18" t="s">
        <v>90</v>
      </c>
      <c r="AV356" s="18" t="s">
        <v>7998</v>
      </c>
      <c r="AW356" s="18" t="s">
        <v>7999</v>
      </c>
      <c r="AX356" s="18" t="s">
        <v>83</v>
      </c>
      <c r="AY356" s="18" t="s">
        <v>95</v>
      </c>
      <c r="AZ356" s="18" t="s">
        <v>95</v>
      </c>
      <c r="BA356" s="18" t="s">
        <v>95</v>
      </c>
      <c r="BB356" s="18" t="s">
        <v>95</v>
      </c>
      <c r="BC356" s="18" t="s">
        <v>95</v>
      </c>
      <c r="BD356" s="18" t="s">
        <v>95</v>
      </c>
      <c r="BE356" s="18" t="s">
        <v>95</v>
      </c>
      <c r="BF356" s="18" t="s">
        <v>95</v>
      </c>
      <c r="BG356" s="18" t="s">
        <v>95</v>
      </c>
      <c r="BH356" s="18" t="s">
        <v>95</v>
      </c>
      <c r="BI356" s="18">
        <v>12</v>
      </c>
      <c r="BJ356" s="18">
        <v>2022</v>
      </c>
      <c r="BK356" s="18" t="s">
        <v>95</v>
      </c>
      <c r="BL356" s="18" t="s">
        <v>95</v>
      </c>
      <c r="BM356" s="18" t="s">
        <v>95</v>
      </c>
      <c r="BN356" s="18" t="s">
        <v>85</v>
      </c>
      <c r="BO356" s="18" t="s">
        <v>86</v>
      </c>
      <c r="BP356" s="18" t="s">
        <v>90</v>
      </c>
      <c r="BQ356" s="18" t="s">
        <v>8002</v>
      </c>
      <c r="BR356" s="18" t="s">
        <v>139</v>
      </c>
      <c r="BS356" s="18" t="s">
        <v>8074</v>
      </c>
      <c r="BT356" s="18" t="s">
        <v>7989</v>
      </c>
      <c r="BU356" s="18" t="s">
        <v>496</v>
      </c>
      <c r="BV356" s="18" t="str">
        <f>Terminales[[#This Row],[IMEI]]&amp;"SI"</f>
        <v>357321213139065SI</v>
      </c>
      <c r="BW356" s="18" t="str">
        <f>VLOOKUP(Terminales[[#This Row],[OFICINA_USUARIO]],[1]!Locales[#Data],3,0)</f>
        <v>TIENDA RECREO</v>
      </c>
      <c r="BX356" s="18" t="str">
        <f>VLOOKUP(Terminales[[#This Row],[USUARIO_FINAL]],'[1]Personal Ppto vs Real'!$A:$F,6,0)</f>
        <v>LOZADA REYES BERTHA MARIBEL</v>
      </c>
      <c r="BY35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5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56" s="18">
        <f>DAY(Terminales[[#This Row],[FECHA_FACTURA]])</f>
        <v>16</v>
      </c>
      <c r="CB356" s="65">
        <f>IF(Terminales[[#This Row],[CANTIDAD]] = 1,INDEX([1]!Comisiones[#Data],MATCH("Terminales",[1]!Comisiones[Producto],0),MATCH(Terminales[[#This Row],[TIPO ALTA COMISIONES]],[1]!Comisiones[#Headers],0))*Terminales[[#This Row],[MONTO]],0)</f>
        <v>12.5</v>
      </c>
      <c r="CC356" s="65">
        <f>IFERROR(IF(AND(Terminales[[#This Row],[CANTIDAD]] = 1,Terminales[[#This Row],[MOVIMIENTO]] = "RENOVACION"),Terminales[[#This Row],[TARIFA_BASICA]]*0.5,),)</f>
        <v>0</v>
      </c>
      <c r="CD356" s="65">
        <f>IF('[1]Resumen TM'!$AW$20 &lt; 0.4,0,Terminales[[#This Row],[MONTO]]*0.02)</f>
        <v>2.5</v>
      </c>
      <c r="CE356" s="66">
        <f>Terminales[[#This Row],[COMISIONES TERMINALES]]+Terminales[[#This Row],[COMISIONES RENOVACIONES]]+Terminales[[#This Row],[COMISIONES BONO]]</f>
        <v>15</v>
      </c>
      <c r="CF356" s="67">
        <f>(Terminales[[#This Row],[COMISIONES TERMINALES]]*VLOOKUP(Terminales[[#This Row],[LOCALES]],[1]!Calendario[#Data],3,0))/VLOOKUP(Terminales[[#This Row],[LOCALES]],[1]!Calendario[#Data],2,0)</f>
        <v>20.56451612903226</v>
      </c>
      <c r="CG356" s="67">
        <f>(Terminales[[#This Row],[COMISIONES RENOVACIONES]]*VLOOKUP(Terminales[[#This Row],[LOCALES]],[1]!Calendario[#Data],3,0))/VLOOKUP(Terminales[[#This Row],[LOCALES]],[1]!Calendario[#Data],2,0)</f>
        <v>0</v>
      </c>
      <c r="CH356" s="67">
        <f>(Terminales[[#This Row],[COMISIONES BONO]]*VLOOKUP(Terminales[[#This Row],[LOCALES]],[1]!Calendario[#Data],3,0))/VLOOKUP(Terminales[[#This Row],[LOCALES]],[1]!Calendario[#Data],2,0)</f>
        <v>4.112903225806452</v>
      </c>
      <c r="CI356" s="67">
        <f>Terminales[[#This Row],[PROY. COM. TERMINALES]]+Terminales[[#This Row],[PROY. COM. RENOV.]]+Terminales[[#This Row],[PROY. COM. 2%]]</f>
        <v>24.677419354838712</v>
      </c>
    </row>
    <row r="357" spans="1:87" x14ac:dyDescent="0.25">
      <c r="A357" s="68">
        <v>44926</v>
      </c>
      <c r="B357" s="68">
        <v>44912</v>
      </c>
      <c r="C357" s="18" t="s">
        <v>291</v>
      </c>
      <c r="D357" s="18" t="s">
        <v>78</v>
      </c>
      <c r="E357" s="18" t="s">
        <v>1378</v>
      </c>
      <c r="F357" s="18" t="s">
        <v>10245</v>
      </c>
      <c r="G357" s="18" t="s">
        <v>292</v>
      </c>
      <c r="H357" s="18" t="s">
        <v>293</v>
      </c>
      <c r="I357" s="18" t="s">
        <v>10246</v>
      </c>
      <c r="J357" s="18" t="s">
        <v>95</v>
      </c>
      <c r="K357" s="18" t="s">
        <v>7970</v>
      </c>
      <c r="L357" s="18" t="s">
        <v>10247</v>
      </c>
      <c r="M357" s="18" t="s">
        <v>10248</v>
      </c>
      <c r="N357" s="18" t="s">
        <v>10249</v>
      </c>
      <c r="O357" s="18" t="s">
        <v>3299</v>
      </c>
      <c r="P357" s="18" t="s">
        <v>10250</v>
      </c>
      <c r="Q357" s="18" t="s">
        <v>7975</v>
      </c>
      <c r="R357" s="18" t="s">
        <v>7976</v>
      </c>
      <c r="S357" s="18" t="s">
        <v>8070</v>
      </c>
      <c r="T357" s="18" t="s">
        <v>8189</v>
      </c>
      <c r="U357" s="18" t="s">
        <v>8100</v>
      </c>
      <c r="V357" s="18" t="s">
        <v>6963</v>
      </c>
      <c r="W357" s="18" t="s">
        <v>95</v>
      </c>
      <c r="X357" s="18" t="s">
        <v>95</v>
      </c>
      <c r="Y357" s="18" t="s">
        <v>7980</v>
      </c>
      <c r="Z357" s="18" t="s">
        <v>6996</v>
      </c>
      <c r="AA357" s="69">
        <v>1</v>
      </c>
      <c r="AB357" s="18">
        <v>602.67857000000004</v>
      </c>
      <c r="AC357" s="18" t="s">
        <v>10251</v>
      </c>
      <c r="AD357" s="18" t="s">
        <v>7982</v>
      </c>
      <c r="AE357" s="18">
        <v>399.99</v>
      </c>
      <c r="AF357" s="18" t="s">
        <v>7983</v>
      </c>
      <c r="AG357" s="18">
        <v>399.99</v>
      </c>
      <c r="AH357" s="18" t="s">
        <v>95</v>
      </c>
      <c r="AI357" s="18" t="s">
        <v>227</v>
      </c>
      <c r="AJ357" s="18" t="s">
        <v>426</v>
      </c>
      <c r="AK357" s="18">
        <v>21.42</v>
      </c>
      <c r="AL357" s="18" t="s">
        <v>95</v>
      </c>
      <c r="AM357" s="18" t="s">
        <v>95</v>
      </c>
      <c r="AN357" s="18" t="s">
        <v>7984</v>
      </c>
      <c r="AO357" s="18" t="s">
        <v>92</v>
      </c>
      <c r="AP357" s="18" t="s">
        <v>289</v>
      </c>
      <c r="AQ357" s="18" t="s">
        <v>290</v>
      </c>
      <c r="AR357" s="18" t="s">
        <v>295</v>
      </c>
      <c r="AS357" s="18">
        <v>1</v>
      </c>
      <c r="AT357" s="18" t="s">
        <v>91</v>
      </c>
      <c r="AU357" s="18" t="s">
        <v>90</v>
      </c>
      <c r="AV357" s="18" t="s">
        <v>8191</v>
      </c>
      <c r="AW357" s="18" t="s">
        <v>8192</v>
      </c>
      <c r="AX357" s="18" t="s">
        <v>83</v>
      </c>
      <c r="AY357" s="18" t="s">
        <v>95</v>
      </c>
      <c r="AZ357" s="18" t="s">
        <v>95</v>
      </c>
      <c r="BA357" s="18" t="s">
        <v>95</v>
      </c>
      <c r="BB357" s="18" t="s">
        <v>95</v>
      </c>
      <c r="BC357" s="18" t="s">
        <v>95</v>
      </c>
      <c r="BD357" s="18">
        <v>121</v>
      </c>
      <c r="BE357" s="18" t="s">
        <v>95</v>
      </c>
      <c r="BF357" s="18" t="s">
        <v>95</v>
      </c>
      <c r="BG357" s="18" t="s">
        <v>95</v>
      </c>
      <c r="BH357" s="18" t="s">
        <v>95</v>
      </c>
      <c r="BI357" s="18">
        <v>12</v>
      </c>
      <c r="BJ357" s="18">
        <v>2022</v>
      </c>
      <c r="BK357" s="18" t="s">
        <v>95</v>
      </c>
      <c r="BL357" s="18" t="s">
        <v>95</v>
      </c>
      <c r="BM357" s="18" t="s">
        <v>95</v>
      </c>
      <c r="BN357" s="18" t="s">
        <v>85</v>
      </c>
      <c r="BO357" s="18" t="s">
        <v>86</v>
      </c>
      <c r="BP357" s="18" t="s">
        <v>90</v>
      </c>
      <c r="BQ357" s="18" t="s">
        <v>8106</v>
      </c>
      <c r="BR357" s="18" t="s">
        <v>92</v>
      </c>
      <c r="BS357" s="18" t="s">
        <v>9828</v>
      </c>
      <c r="BT357" s="18" t="s">
        <v>7989</v>
      </c>
      <c r="BU357" s="18" t="s">
        <v>7990</v>
      </c>
      <c r="BV357" s="18" t="str">
        <f>Terminales[[#This Row],[IMEI]]&amp;"SI"</f>
        <v>868214061212062SI</v>
      </c>
      <c r="BW357" s="18" t="str">
        <f>VLOOKUP(Terminales[[#This Row],[OFICINA_USUARIO]],[1]!Locales[#Data],3,0)</f>
        <v>TIENDA CUENCA CENTRO</v>
      </c>
      <c r="BX357" s="18" t="str">
        <f>VLOOKUP(Terminales[[#This Row],[USUARIO_FINAL]],'[1]Personal Ppto vs Real'!$A:$F,6,0)</f>
        <v>CALLE CHACA JORGE VINICIO</v>
      </c>
      <c r="BY35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5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57" s="18">
        <f>DAY(Terminales[[#This Row],[FECHA_FACTURA]])</f>
        <v>17</v>
      </c>
      <c r="CB357" s="65">
        <f>IF(Terminales[[#This Row],[CANTIDAD]] = 1,INDEX([1]!Comisiones[#Data],MATCH("Terminales",[1]!Comisiones[Producto],0),MATCH(Terminales[[#This Row],[TIPO ALTA COMISIONES]],[1]!Comisiones[#Headers],0))*Terminales[[#This Row],[MONTO]],0)</f>
        <v>60.267857000000006</v>
      </c>
      <c r="CC357" s="65">
        <f>IFERROR(IF(AND(Terminales[[#This Row],[CANTIDAD]] = 1,Terminales[[#This Row],[MOVIMIENTO]] = "RENOVACION"),Terminales[[#This Row],[TARIFA_BASICA]]*0.5,),)</f>
        <v>10.71</v>
      </c>
      <c r="CD357" s="65">
        <f>IF('[1]Resumen TM'!$AW$20 &lt; 0.4,0,Terminales[[#This Row],[MONTO]]*0.02)</f>
        <v>12.053571400000001</v>
      </c>
      <c r="CE357" s="66">
        <f>Terminales[[#This Row],[COMISIONES TERMINALES]]+Terminales[[#This Row],[COMISIONES RENOVACIONES]]+Terminales[[#This Row],[COMISIONES BONO]]</f>
        <v>83.031428399999996</v>
      </c>
      <c r="CF357" s="67">
        <f>(Terminales[[#This Row],[COMISIONES TERMINALES]]*VLOOKUP(Terminales[[#This Row],[LOCALES]],[1]!Calendario[#Data],3,0))/VLOOKUP(Terminales[[#This Row],[LOCALES]],[1]!Calendario[#Data],2,0)</f>
        <v>97.675492379310356</v>
      </c>
      <c r="CG357" s="67">
        <f>(Terminales[[#This Row],[COMISIONES RENOVACIONES]]*VLOOKUP(Terminales[[#This Row],[LOCALES]],[1]!Calendario[#Data],3,0))/VLOOKUP(Terminales[[#This Row],[LOCALES]],[1]!Calendario[#Data],2,0)</f>
        <v>17.357586206896553</v>
      </c>
      <c r="CH357" s="67">
        <f>(Terminales[[#This Row],[COMISIONES BONO]]*VLOOKUP(Terminales[[#This Row],[LOCALES]],[1]!Calendario[#Data],3,0))/VLOOKUP(Terminales[[#This Row],[LOCALES]],[1]!Calendario[#Data],2,0)</f>
        <v>19.535098475862068</v>
      </c>
      <c r="CI357" s="67">
        <f>Terminales[[#This Row],[PROY. COM. TERMINALES]]+Terminales[[#This Row],[PROY. COM. RENOV.]]+Terminales[[#This Row],[PROY. COM. 2%]]</f>
        <v>134.56817706206897</v>
      </c>
    </row>
    <row r="358" spans="1:87" x14ac:dyDescent="0.25">
      <c r="A358" s="68">
        <v>44926</v>
      </c>
      <c r="B358" s="68">
        <v>44912</v>
      </c>
      <c r="C358" s="18" t="s">
        <v>291</v>
      </c>
      <c r="D358" s="18" t="s">
        <v>78</v>
      </c>
      <c r="E358" s="18" t="s">
        <v>311</v>
      </c>
      <c r="F358" s="18" t="s">
        <v>10252</v>
      </c>
      <c r="G358" s="18" t="s">
        <v>292</v>
      </c>
      <c r="H358" s="18" t="s">
        <v>293</v>
      </c>
      <c r="I358" s="18" t="s">
        <v>10253</v>
      </c>
      <c r="J358" s="18" t="s">
        <v>95</v>
      </c>
      <c r="K358" s="18" t="s">
        <v>7970</v>
      </c>
      <c r="L358" s="18" t="s">
        <v>10254</v>
      </c>
      <c r="M358" s="18" t="s">
        <v>10255</v>
      </c>
      <c r="N358" s="18" t="s">
        <v>10256</v>
      </c>
      <c r="O358" s="18" t="s">
        <v>4907</v>
      </c>
      <c r="P358" s="18" t="s">
        <v>10257</v>
      </c>
      <c r="Q358" s="18" t="s">
        <v>7975</v>
      </c>
      <c r="R358" s="18" t="s">
        <v>7976</v>
      </c>
      <c r="S358" s="18" t="s">
        <v>8045</v>
      </c>
      <c r="T358" s="18" t="s">
        <v>8099</v>
      </c>
      <c r="U358" s="18" t="s">
        <v>8100</v>
      </c>
      <c r="V358" s="18" t="s">
        <v>6963</v>
      </c>
      <c r="W358" s="18" t="s">
        <v>95</v>
      </c>
      <c r="X358" s="18" t="s">
        <v>95</v>
      </c>
      <c r="Y358" s="18" t="s">
        <v>7980</v>
      </c>
      <c r="Z358" s="18" t="s">
        <v>6996</v>
      </c>
      <c r="AA358" s="69">
        <v>1</v>
      </c>
      <c r="AB358" s="18">
        <v>616.07142999999996</v>
      </c>
      <c r="AC358" s="18" t="s">
        <v>10258</v>
      </c>
      <c r="AD358" s="18" t="s">
        <v>7982</v>
      </c>
      <c r="AE358" s="18">
        <v>425</v>
      </c>
      <c r="AF358" s="18" t="s">
        <v>7983</v>
      </c>
      <c r="AG358" s="18">
        <v>425</v>
      </c>
      <c r="AH358" s="18" t="s">
        <v>95</v>
      </c>
      <c r="AI358" s="18" t="s">
        <v>7679</v>
      </c>
      <c r="AJ358" s="18" t="s">
        <v>7680</v>
      </c>
      <c r="AK358" s="18">
        <v>25.15</v>
      </c>
      <c r="AL358" s="18" t="s">
        <v>95</v>
      </c>
      <c r="AM358" s="18" t="s">
        <v>95</v>
      </c>
      <c r="AN358" s="18" t="s">
        <v>7984</v>
      </c>
      <c r="AO358" s="18" t="s">
        <v>92</v>
      </c>
      <c r="AP358" s="18" t="s">
        <v>1020</v>
      </c>
      <c r="AQ358" s="18" t="s">
        <v>1021</v>
      </c>
      <c r="AR358" s="18" t="s">
        <v>496</v>
      </c>
      <c r="AS358" s="18">
        <v>1</v>
      </c>
      <c r="AT358" s="18" t="s">
        <v>91</v>
      </c>
      <c r="AU358" s="18" t="s">
        <v>90</v>
      </c>
      <c r="AV358" s="18" t="s">
        <v>8660</v>
      </c>
      <c r="AW358" s="18" t="s">
        <v>8661</v>
      </c>
      <c r="AX358" s="18" t="s">
        <v>83</v>
      </c>
      <c r="AY358" s="18" t="s">
        <v>95</v>
      </c>
      <c r="AZ358" s="18" t="s">
        <v>95</v>
      </c>
      <c r="BA358" s="18" t="s">
        <v>95</v>
      </c>
      <c r="BB358" s="18" t="s">
        <v>95</v>
      </c>
      <c r="BC358" s="18" t="s">
        <v>95</v>
      </c>
      <c r="BD358" s="18" t="s">
        <v>95</v>
      </c>
      <c r="BE358" s="18" t="s">
        <v>95</v>
      </c>
      <c r="BF358" s="18" t="s">
        <v>95</v>
      </c>
      <c r="BG358" s="18" t="s">
        <v>95</v>
      </c>
      <c r="BH358" s="18" t="s">
        <v>95</v>
      </c>
      <c r="BI358" s="18">
        <v>12</v>
      </c>
      <c r="BJ358" s="18">
        <v>2022</v>
      </c>
      <c r="BK358" s="18" t="s">
        <v>95</v>
      </c>
      <c r="BL358" s="18" t="s">
        <v>95</v>
      </c>
      <c r="BM358" s="18" t="s">
        <v>95</v>
      </c>
      <c r="BN358" s="18" t="s">
        <v>85</v>
      </c>
      <c r="BO358" s="18" t="s">
        <v>86</v>
      </c>
      <c r="BP358" s="18" t="s">
        <v>90</v>
      </c>
      <c r="BQ358" s="18" t="s">
        <v>8106</v>
      </c>
      <c r="BR358" s="18" t="s">
        <v>92</v>
      </c>
      <c r="BS358" s="18" t="s">
        <v>9828</v>
      </c>
      <c r="BT358" s="18" t="s">
        <v>7989</v>
      </c>
      <c r="BU358" s="18" t="s">
        <v>7990</v>
      </c>
      <c r="BV358" s="18" t="str">
        <f>Terminales[[#This Row],[IMEI]]&amp;"SI"</f>
        <v>350331801516803SI</v>
      </c>
      <c r="BW358" s="18" t="str">
        <f>VLOOKUP(Terminales[[#This Row],[OFICINA_USUARIO]],[1]!Locales[#Data],3,0)</f>
        <v>TIENDA CUENCA CENTRO</v>
      </c>
      <c r="BX358" s="18" t="str">
        <f>VLOOKUP(Terminales[[#This Row],[USUARIO_FINAL]],'[1]Personal Ppto vs Real'!$A:$F,6,0)</f>
        <v>GONZALES ALVARRACIN PAOLA YESSENIA</v>
      </c>
      <c r="BY35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5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58" s="18">
        <f>DAY(Terminales[[#This Row],[FECHA_FACTURA]])</f>
        <v>17</v>
      </c>
      <c r="CB358" s="65">
        <f>IF(Terminales[[#This Row],[CANTIDAD]] = 1,INDEX([1]!Comisiones[#Data],MATCH("Terminales",[1]!Comisiones[Producto],0),MATCH(Terminales[[#This Row],[TIPO ALTA COMISIONES]],[1]!Comisiones[#Headers],0))*Terminales[[#This Row],[MONTO]],0)</f>
        <v>61.607143000000001</v>
      </c>
      <c r="CC358" s="65">
        <f>IFERROR(IF(AND(Terminales[[#This Row],[CANTIDAD]] = 1,Terminales[[#This Row],[MOVIMIENTO]] = "RENOVACION"),Terminales[[#This Row],[TARIFA_BASICA]]*0.5,),)</f>
        <v>12.574999999999999</v>
      </c>
      <c r="CD358" s="65">
        <f>IF('[1]Resumen TM'!$AW$20 &lt; 0.4,0,Terminales[[#This Row],[MONTO]]*0.02)</f>
        <v>12.321428599999999</v>
      </c>
      <c r="CE358" s="66">
        <f>Terminales[[#This Row],[COMISIONES TERMINALES]]+Terminales[[#This Row],[COMISIONES RENOVACIONES]]+Terminales[[#This Row],[COMISIONES BONO]]</f>
        <v>86.503571600000001</v>
      </c>
      <c r="CF358" s="67">
        <f>(Terminales[[#This Row],[COMISIONES TERMINALES]]*VLOOKUP(Terminales[[#This Row],[LOCALES]],[1]!Calendario[#Data],3,0))/VLOOKUP(Terminales[[#This Row],[LOCALES]],[1]!Calendario[#Data],2,0)</f>
        <v>99.846059344827594</v>
      </c>
      <c r="CG358" s="67">
        <f>(Terminales[[#This Row],[COMISIONES RENOVACIONES]]*VLOOKUP(Terminales[[#This Row],[LOCALES]],[1]!Calendario[#Data],3,0))/VLOOKUP(Terminales[[#This Row],[LOCALES]],[1]!Calendario[#Data],2,0)</f>
        <v>20.380172413793101</v>
      </c>
      <c r="CH358" s="67">
        <f>(Terminales[[#This Row],[COMISIONES BONO]]*VLOOKUP(Terminales[[#This Row],[LOCALES]],[1]!Calendario[#Data],3,0))/VLOOKUP(Terminales[[#This Row],[LOCALES]],[1]!Calendario[#Data],2,0)</f>
        <v>19.969211868965516</v>
      </c>
      <c r="CI358" s="67">
        <f>Terminales[[#This Row],[PROY. COM. TERMINALES]]+Terminales[[#This Row],[PROY. COM. RENOV.]]+Terminales[[#This Row],[PROY. COM. 2%]]</f>
        <v>140.1954436275862</v>
      </c>
    </row>
    <row r="359" spans="1:87" x14ac:dyDescent="0.25">
      <c r="A359" s="68">
        <v>44926</v>
      </c>
      <c r="B359" s="68">
        <v>44912</v>
      </c>
      <c r="C359" s="18" t="s">
        <v>96</v>
      </c>
      <c r="D359" s="18" t="s">
        <v>96</v>
      </c>
      <c r="E359" s="18" t="s">
        <v>96</v>
      </c>
      <c r="F359" s="18" t="s">
        <v>10259</v>
      </c>
      <c r="G359" s="18" t="s">
        <v>292</v>
      </c>
      <c r="H359" s="18" t="s">
        <v>494</v>
      </c>
      <c r="I359" s="18" t="s">
        <v>10260</v>
      </c>
      <c r="J359" s="18" t="s">
        <v>95</v>
      </c>
      <c r="K359" s="18" t="s">
        <v>7970</v>
      </c>
      <c r="L359" s="18" t="s">
        <v>10261</v>
      </c>
      <c r="M359" s="18" t="s">
        <v>10262</v>
      </c>
      <c r="N359" s="18" t="s">
        <v>10263</v>
      </c>
      <c r="O359" s="18" t="s">
        <v>4907</v>
      </c>
      <c r="P359" s="18" t="s">
        <v>10264</v>
      </c>
      <c r="Q359" s="18" t="s">
        <v>7975</v>
      </c>
      <c r="R359" s="18" t="s">
        <v>7976</v>
      </c>
      <c r="S359" s="18" t="s">
        <v>8045</v>
      </c>
      <c r="T359" s="18" t="s">
        <v>8099</v>
      </c>
      <c r="U359" s="18" t="s">
        <v>8100</v>
      </c>
      <c r="V359" s="18" t="s">
        <v>6963</v>
      </c>
      <c r="W359" s="18" t="s">
        <v>95</v>
      </c>
      <c r="X359" s="18" t="s">
        <v>95</v>
      </c>
      <c r="Y359" s="18" t="s">
        <v>7980</v>
      </c>
      <c r="Z359" s="18" t="s">
        <v>6996</v>
      </c>
      <c r="AA359" s="69">
        <v>1</v>
      </c>
      <c r="AB359" s="18">
        <v>406.25</v>
      </c>
      <c r="AC359" s="18" t="s">
        <v>10265</v>
      </c>
      <c r="AD359" s="18" t="s">
        <v>96</v>
      </c>
      <c r="AE359" s="18">
        <v>397</v>
      </c>
      <c r="AF359" s="18" t="s">
        <v>7983</v>
      </c>
      <c r="AG359" s="18">
        <v>397</v>
      </c>
      <c r="AH359" s="18" t="s">
        <v>95</v>
      </c>
      <c r="AI359" s="18" t="s">
        <v>8102</v>
      </c>
      <c r="AJ359" s="18" t="s">
        <v>8103</v>
      </c>
      <c r="AK359" s="18" t="s">
        <v>95</v>
      </c>
      <c r="AL359" s="18" t="s">
        <v>95</v>
      </c>
      <c r="AM359" s="18" t="s">
        <v>95</v>
      </c>
      <c r="AN359" s="18" t="s">
        <v>7984</v>
      </c>
      <c r="AO359" s="18" t="s">
        <v>139</v>
      </c>
      <c r="AP359" s="18" t="s">
        <v>769</v>
      </c>
      <c r="AQ359" s="18" t="s">
        <v>770</v>
      </c>
      <c r="AR359" s="18" t="s">
        <v>496</v>
      </c>
      <c r="AS359" s="18">
        <v>1</v>
      </c>
      <c r="AT359" s="18" t="s">
        <v>235</v>
      </c>
      <c r="AU359" s="18" t="s">
        <v>90</v>
      </c>
      <c r="AV359" s="18" t="s">
        <v>8660</v>
      </c>
      <c r="AW359" s="18" t="s">
        <v>8661</v>
      </c>
      <c r="AX359" s="18" t="s">
        <v>83</v>
      </c>
      <c r="AY359" s="18" t="s">
        <v>95</v>
      </c>
      <c r="AZ359" s="18" t="s">
        <v>95</v>
      </c>
      <c r="BA359" s="18" t="s">
        <v>95</v>
      </c>
      <c r="BB359" s="18" t="s">
        <v>95</v>
      </c>
      <c r="BC359" s="18" t="s">
        <v>95</v>
      </c>
      <c r="BD359" s="18" t="s">
        <v>95</v>
      </c>
      <c r="BE359" s="18" t="s">
        <v>95</v>
      </c>
      <c r="BF359" s="18" t="s">
        <v>95</v>
      </c>
      <c r="BG359" s="18" t="s">
        <v>95</v>
      </c>
      <c r="BH359" s="18" t="s">
        <v>95</v>
      </c>
      <c r="BI359" s="18">
        <v>12</v>
      </c>
      <c r="BJ359" s="18">
        <v>2022</v>
      </c>
      <c r="BK359" s="18" t="s">
        <v>95</v>
      </c>
      <c r="BL359" s="18" t="s">
        <v>95</v>
      </c>
      <c r="BM359" s="18" t="s">
        <v>95</v>
      </c>
      <c r="BN359" s="18" t="s">
        <v>85</v>
      </c>
      <c r="BO359" s="18" t="s">
        <v>86</v>
      </c>
      <c r="BP359" s="18" t="s">
        <v>90</v>
      </c>
      <c r="BQ359" s="18" t="s">
        <v>8016</v>
      </c>
      <c r="BR359" s="18" t="s">
        <v>139</v>
      </c>
      <c r="BS359" s="18" t="s">
        <v>8074</v>
      </c>
      <c r="BT359" s="18" t="s">
        <v>7989</v>
      </c>
      <c r="BU359" s="18" t="s">
        <v>496</v>
      </c>
      <c r="BV359" s="18" t="str">
        <f>Terminales[[#This Row],[IMEI]]&amp;"SI"</f>
        <v>353842195066145SI</v>
      </c>
      <c r="BW359" s="18" t="str">
        <f>VLOOKUP(Terminales[[#This Row],[OFICINA_USUARIO]],[1]!Locales[#Data],3,0)</f>
        <v>TIENDA CONDADO</v>
      </c>
      <c r="BX359" s="18" t="str">
        <f>VLOOKUP(Terminales[[#This Row],[USUARIO_FINAL]],'[1]Personal Ppto vs Real'!$A:$F,6,0)</f>
        <v>ROJAS VEGA JHOSMERY MICHELE</v>
      </c>
      <c r="BY35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5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59" s="18">
        <f>DAY(Terminales[[#This Row],[FECHA_FACTURA]])</f>
        <v>17</v>
      </c>
      <c r="CB359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359" s="65">
        <f>IFERROR(IF(AND(Terminales[[#This Row],[CANTIDAD]] = 1,Terminales[[#This Row],[MOVIMIENTO]] = "RENOVACION"),Terminales[[#This Row],[TARIFA_BASICA]]*0.5,),)</f>
        <v>0</v>
      </c>
      <c r="CD359" s="65">
        <f>IF('[1]Resumen TM'!$AW$20 &lt; 0.4,0,Terminales[[#This Row],[MONTO]]*0.02)</f>
        <v>8.125</v>
      </c>
      <c r="CE359" s="66">
        <f>Terminales[[#This Row],[COMISIONES TERMINALES]]+Terminales[[#This Row],[COMISIONES RENOVACIONES]]+Terminales[[#This Row],[COMISIONES BONO]]</f>
        <v>48.75</v>
      </c>
      <c r="CF359" s="67">
        <f>(Terminales[[#This Row],[COMISIONES TERMINALES]]*VLOOKUP(Terminales[[#This Row],[LOCALES]],[1]!Calendario[#Data],3,0))/VLOOKUP(Terminales[[#This Row],[LOCALES]],[1]!Calendario[#Data],2,0)</f>
        <v>66.834677419354833</v>
      </c>
      <c r="CG359" s="67">
        <f>(Terminales[[#This Row],[COMISIONES RENOVACIONES]]*VLOOKUP(Terminales[[#This Row],[LOCALES]],[1]!Calendario[#Data],3,0))/VLOOKUP(Terminales[[#This Row],[LOCALES]],[1]!Calendario[#Data],2,0)</f>
        <v>0</v>
      </c>
      <c r="CH359" s="67">
        <f>(Terminales[[#This Row],[COMISIONES BONO]]*VLOOKUP(Terminales[[#This Row],[LOCALES]],[1]!Calendario[#Data],3,0))/VLOOKUP(Terminales[[#This Row],[LOCALES]],[1]!Calendario[#Data],2,0)</f>
        <v>13.366935483870968</v>
      </c>
      <c r="CI359" s="67">
        <f>Terminales[[#This Row],[PROY. COM. TERMINALES]]+Terminales[[#This Row],[PROY. COM. RENOV.]]+Terminales[[#This Row],[PROY. COM. 2%]]</f>
        <v>80.201612903225794</v>
      </c>
    </row>
    <row r="360" spans="1:87" x14ac:dyDescent="0.25">
      <c r="A360" s="68">
        <v>44926</v>
      </c>
      <c r="B360" s="68">
        <v>44912</v>
      </c>
      <c r="C360" s="18" t="s">
        <v>291</v>
      </c>
      <c r="D360" s="18" t="s">
        <v>78</v>
      </c>
      <c r="E360" s="18" t="s">
        <v>1378</v>
      </c>
      <c r="F360" s="18" t="s">
        <v>10266</v>
      </c>
      <c r="G360" s="18" t="s">
        <v>292</v>
      </c>
      <c r="H360" s="18" t="s">
        <v>494</v>
      </c>
      <c r="I360" s="18" t="s">
        <v>10267</v>
      </c>
      <c r="J360" s="18" t="s">
        <v>95</v>
      </c>
      <c r="K360" s="18" t="s">
        <v>7970</v>
      </c>
      <c r="L360" s="18" t="s">
        <v>10268</v>
      </c>
      <c r="M360" s="18" t="s">
        <v>10269</v>
      </c>
      <c r="N360" s="18" t="s">
        <v>10270</v>
      </c>
      <c r="O360" s="18" t="s">
        <v>543</v>
      </c>
      <c r="P360" s="18" t="s">
        <v>10271</v>
      </c>
      <c r="Q360" s="18" t="s">
        <v>7975</v>
      </c>
      <c r="R360" s="18" t="s">
        <v>7976</v>
      </c>
      <c r="S360" s="18" t="s">
        <v>7994</v>
      </c>
      <c r="T360" s="18" t="s">
        <v>8245</v>
      </c>
      <c r="U360" s="18" t="s">
        <v>8012</v>
      </c>
      <c r="V360" s="18" t="s">
        <v>6963</v>
      </c>
      <c r="W360" s="18" t="s">
        <v>95</v>
      </c>
      <c r="X360" s="18" t="s">
        <v>95</v>
      </c>
      <c r="Y360" s="18" t="s">
        <v>7980</v>
      </c>
      <c r="Z360" s="18" t="s">
        <v>6996</v>
      </c>
      <c r="AA360" s="69">
        <v>1</v>
      </c>
      <c r="AB360" s="18">
        <v>156.25</v>
      </c>
      <c r="AC360" s="18" t="s">
        <v>10272</v>
      </c>
      <c r="AD360" s="18" t="s">
        <v>7982</v>
      </c>
      <c r="AE360" s="18">
        <v>156</v>
      </c>
      <c r="AF360" s="18" t="s">
        <v>7983</v>
      </c>
      <c r="AG360" s="18">
        <v>156</v>
      </c>
      <c r="AH360" s="18" t="s">
        <v>95</v>
      </c>
      <c r="AI360" s="18" t="s">
        <v>160</v>
      </c>
      <c r="AJ360" s="18" t="s">
        <v>161</v>
      </c>
      <c r="AK360" s="18">
        <v>14.28</v>
      </c>
      <c r="AL360" s="18" t="s">
        <v>95</v>
      </c>
      <c r="AM360" s="18" t="s">
        <v>95</v>
      </c>
      <c r="AN360" s="18" t="s">
        <v>7984</v>
      </c>
      <c r="AO360" s="18" t="s">
        <v>139</v>
      </c>
      <c r="AP360" s="18" t="s">
        <v>1545</v>
      </c>
      <c r="AQ360" s="18" t="s">
        <v>1546</v>
      </c>
      <c r="AR360" s="18" t="s">
        <v>496</v>
      </c>
      <c r="AS360" s="18">
        <v>1</v>
      </c>
      <c r="AT360" s="18" t="s">
        <v>138</v>
      </c>
      <c r="AU360" s="18" t="s">
        <v>90</v>
      </c>
      <c r="AV360" s="18" t="s">
        <v>8247</v>
      </c>
      <c r="AW360" s="18" t="s">
        <v>8248</v>
      </c>
      <c r="AX360" s="18" t="s">
        <v>83</v>
      </c>
      <c r="AY360" s="18" t="s">
        <v>95</v>
      </c>
      <c r="AZ360" s="18" t="s">
        <v>95</v>
      </c>
      <c r="BA360" s="18" t="s">
        <v>95</v>
      </c>
      <c r="BB360" s="18" t="s">
        <v>95</v>
      </c>
      <c r="BC360" s="18" t="s">
        <v>95</v>
      </c>
      <c r="BD360" s="18" t="s">
        <v>95</v>
      </c>
      <c r="BE360" s="18" t="s">
        <v>8000</v>
      </c>
      <c r="BF360" s="18" t="s">
        <v>8171</v>
      </c>
      <c r="BG360" s="18" t="s">
        <v>95</v>
      </c>
      <c r="BH360" s="18" t="s">
        <v>95</v>
      </c>
      <c r="BI360" s="18">
        <v>12</v>
      </c>
      <c r="BJ360" s="18">
        <v>2022</v>
      </c>
      <c r="BK360" s="18" t="s">
        <v>95</v>
      </c>
      <c r="BL360" s="18" t="s">
        <v>95</v>
      </c>
      <c r="BM360" s="18" t="s">
        <v>95</v>
      </c>
      <c r="BN360" s="18" t="s">
        <v>85</v>
      </c>
      <c r="BO360" s="18" t="s">
        <v>86</v>
      </c>
      <c r="BP360" s="18" t="s">
        <v>90</v>
      </c>
      <c r="BQ360" s="18" t="s">
        <v>7987</v>
      </c>
      <c r="BR360" s="18" t="s">
        <v>139</v>
      </c>
      <c r="BS360" s="18" t="s">
        <v>8003</v>
      </c>
      <c r="BT360" s="18" t="s">
        <v>7989</v>
      </c>
      <c r="BU360" s="18" t="s">
        <v>496</v>
      </c>
      <c r="BV360" s="18" t="str">
        <f>Terminales[[#This Row],[IMEI]]&amp;"SI"</f>
        <v>355108340309444SI</v>
      </c>
      <c r="BW360" s="18" t="str">
        <f>VLOOKUP(Terminales[[#This Row],[OFICINA_USUARIO]],[1]!Locales[#Data],3,0)</f>
        <v>TIENDA AMERICA</v>
      </c>
      <c r="BX360" s="18" t="str">
        <f>VLOOKUP(Terminales[[#This Row],[USUARIO_FINAL]],'[1]Personal Ppto vs Real'!$A:$F,6,0)</f>
        <v>GRANDA ESPINOZA ANDRES SEBASTIAN</v>
      </c>
      <c r="BY360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6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60" s="18">
        <f>DAY(Terminales[[#This Row],[FECHA_FACTURA]])</f>
        <v>17</v>
      </c>
      <c r="CB360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60" s="65">
        <f>IFERROR(IF(AND(Terminales[[#This Row],[CANTIDAD]] = 1,Terminales[[#This Row],[MOVIMIENTO]] = "RENOVACION"),Terminales[[#This Row],[TARIFA_BASICA]]*0.5,),)</f>
        <v>7.14</v>
      </c>
      <c r="CD360" s="65">
        <f>IF('[1]Resumen TM'!$AW$20 &lt; 0.4,0,Terminales[[#This Row],[MONTO]]*0.02)</f>
        <v>3.125</v>
      </c>
      <c r="CE360" s="66">
        <f>Terminales[[#This Row],[COMISIONES TERMINALES]]+Terminales[[#This Row],[COMISIONES RENOVACIONES]]+Terminales[[#This Row],[COMISIONES BONO]]</f>
        <v>25.89</v>
      </c>
      <c r="CF360" s="67">
        <f>(Terminales[[#This Row],[COMISIONES TERMINALES]]*VLOOKUP(Terminales[[#This Row],[LOCALES]],[1]!Calendario[#Data],3,0))/VLOOKUP(Terminales[[#This Row],[LOCALES]],[1]!Calendario[#Data],2,0)</f>
        <v>25.669642857142858</v>
      </c>
      <c r="CG360" s="67">
        <f>(Terminales[[#This Row],[COMISIONES RENOVACIONES]]*VLOOKUP(Terminales[[#This Row],[LOCALES]],[1]!Calendario[#Data],3,0))/VLOOKUP(Terminales[[#This Row],[LOCALES]],[1]!Calendario[#Data],2,0)</f>
        <v>11.73</v>
      </c>
      <c r="CH360" s="67">
        <f>(Terminales[[#This Row],[COMISIONES BONO]]*VLOOKUP(Terminales[[#This Row],[LOCALES]],[1]!Calendario[#Data],3,0))/VLOOKUP(Terminales[[#This Row],[LOCALES]],[1]!Calendario[#Data],2,0)</f>
        <v>5.1339285714285712</v>
      </c>
      <c r="CI360" s="67">
        <f>Terminales[[#This Row],[PROY. COM. TERMINALES]]+Terminales[[#This Row],[PROY. COM. RENOV.]]+Terminales[[#This Row],[PROY. COM. 2%]]</f>
        <v>42.533571428571427</v>
      </c>
    </row>
    <row r="361" spans="1:87" x14ac:dyDescent="0.25">
      <c r="A361" s="68">
        <v>44926</v>
      </c>
      <c r="B361" s="68">
        <v>44912</v>
      </c>
      <c r="C361" s="18" t="s">
        <v>291</v>
      </c>
      <c r="D361" s="18" t="s">
        <v>78</v>
      </c>
      <c r="E361" s="18" t="s">
        <v>2241</v>
      </c>
      <c r="F361" s="18" t="s">
        <v>10273</v>
      </c>
      <c r="G361" s="18" t="s">
        <v>292</v>
      </c>
      <c r="H361" s="18" t="s">
        <v>293</v>
      </c>
      <c r="I361" s="18" t="s">
        <v>10274</v>
      </c>
      <c r="J361" s="18" t="s">
        <v>95</v>
      </c>
      <c r="K361" s="18" t="s">
        <v>7970</v>
      </c>
      <c r="L361" s="18" t="s">
        <v>10275</v>
      </c>
      <c r="M361" s="18" t="s">
        <v>10276</v>
      </c>
      <c r="N361" s="18" t="s">
        <v>10277</v>
      </c>
      <c r="O361" s="18" t="s">
        <v>3669</v>
      </c>
      <c r="P361" s="18" t="s">
        <v>10278</v>
      </c>
      <c r="Q361" s="18" t="s">
        <v>7975</v>
      </c>
      <c r="R361" s="18" t="s">
        <v>7976</v>
      </c>
      <c r="S361" s="18" t="s">
        <v>8045</v>
      </c>
      <c r="T361" s="18" t="s">
        <v>8046</v>
      </c>
      <c r="U361" s="18" t="s">
        <v>7996</v>
      </c>
      <c r="V361" s="18" t="s">
        <v>6963</v>
      </c>
      <c r="W361" s="18" t="s">
        <v>95</v>
      </c>
      <c r="X361" s="18" t="s">
        <v>95</v>
      </c>
      <c r="Y361" s="18" t="s">
        <v>7980</v>
      </c>
      <c r="Z361" s="18" t="s">
        <v>6996</v>
      </c>
      <c r="AA361" s="69">
        <v>1</v>
      </c>
      <c r="AB361" s="18">
        <v>200.89286000000001</v>
      </c>
      <c r="AC361" s="18" t="s">
        <v>10279</v>
      </c>
      <c r="AD361" s="18" t="s">
        <v>7982</v>
      </c>
      <c r="AE361" s="18">
        <v>124.5</v>
      </c>
      <c r="AF361" s="18" t="s">
        <v>7983</v>
      </c>
      <c r="AG361" s="18">
        <v>124.5</v>
      </c>
      <c r="AH361" s="18" t="s">
        <v>95</v>
      </c>
      <c r="AI361" s="18" t="s">
        <v>7184</v>
      </c>
      <c r="AJ361" s="18" t="s">
        <v>7185</v>
      </c>
      <c r="AK361" s="18">
        <v>10.54</v>
      </c>
      <c r="AL361" s="18" t="s">
        <v>95</v>
      </c>
      <c r="AM361" s="18" t="s">
        <v>95</v>
      </c>
      <c r="AN361" s="18" t="s">
        <v>7984</v>
      </c>
      <c r="AO361" s="18" t="s">
        <v>139</v>
      </c>
      <c r="AP361" s="18" t="s">
        <v>233</v>
      </c>
      <c r="AQ361" s="18" t="s">
        <v>234</v>
      </c>
      <c r="AR361" s="18" t="s">
        <v>496</v>
      </c>
      <c r="AS361" s="18">
        <v>1</v>
      </c>
      <c r="AT361" s="18" t="s">
        <v>235</v>
      </c>
      <c r="AU361" s="18" t="s">
        <v>90</v>
      </c>
      <c r="AV361" s="18" t="s">
        <v>8048</v>
      </c>
      <c r="AW361" s="18" t="s">
        <v>8049</v>
      </c>
      <c r="AX361" s="18" t="s">
        <v>83</v>
      </c>
      <c r="AY361" s="18" t="s">
        <v>95</v>
      </c>
      <c r="AZ361" s="18" t="s">
        <v>95</v>
      </c>
      <c r="BA361" s="18" t="s">
        <v>95</v>
      </c>
      <c r="BB361" s="18" t="s">
        <v>95</v>
      </c>
      <c r="BC361" s="18" t="s">
        <v>95</v>
      </c>
      <c r="BD361" s="18" t="s">
        <v>95</v>
      </c>
      <c r="BE361" s="18" t="s">
        <v>95</v>
      </c>
      <c r="BF361" s="18" t="s">
        <v>95</v>
      </c>
      <c r="BG361" s="18" t="s">
        <v>95</v>
      </c>
      <c r="BH361" s="18" t="s">
        <v>95</v>
      </c>
      <c r="BI361" s="18">
        <v>12</v>
      </c>
      <c r="BJ361" s="18">
        <v>2022</v>
      </c>
      <c r="BK361" s="18" t="s">
        <v>95</v>
      </c>
      <c r="BL361" s="18" t="s">
        <v>95</v>
      </c>
      <c r="BM361" s="18" t="s">
        <v>95</v>
      </c>
      <c r="BN361" s="18" t="s">
        <v>85</v>
      </c>
      <c r="BO361" s="18" t="s">
        <v>86</v>
      </c>
      <c r="BP361" s="18" t="s">
        <v>90</v>
      </c>
      <c r="BQ361" s="18" t="s">
        <v>8016</v>
      </c>
      <c r="BR361" s="18" t="s">
        <v>139</v>
      </c>
      <c r="BS361" s="18" t="s">
        <v>9828</v>
      </c>
      <c r="BT361" s="18" t="s">
        <v>7989</v>
      </c>
      <c r="BU361" s="18" t="s">
        <v>7990</v>
      </c>
      <c r="BV361" s="18" t="str">
        <f>Terminales[[#This Row],[IMEI]]&amp;"SI"</f>
        <v>354379559491113SI</v>
      </c>
      <c r="BW361" s="18" t="str">
        <f>VLOOKUP(Terminales[[#This Row],[OFICINA_USUARIO]],[1]!Locales[#Data],3,0)</f>
        <v>TIENDA CONDADO</v>
      </c>
      <c r="BX361" s="18" t="str">
        <f>VLOOKUP(Terminales[[#This Row],[USUARIO_FINAL]],'[1]Personal Ppto vs Real'!$A:$F,6,0)</f>
        <v>ROSALES MALDONADO JESSICA GABRIELA</v>
      </c>
      <c r="BY36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6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61" s="18">
        <f>DAY(Terminales[[#This Row],[FECHA_FACTURA]])</f>
        <v>17</v>
      </c>
      <c r="CB361" s="65">
        <f>IF(Terminales[[#This Row],[CANTIDAD]] = 1,INDEX([1]!Comisiones[#Data],MATCH("Terminales",[1]!Comisiones[Producto],0),MATCH(Terminales[[#This Row],[TIPO ALTA COMISIONES]],[1]!Comisiones[#Headers],0))*Terminales[[#This Row],[MONTO]],0)</f>
        <v>20.089286000000001</v>
      </c>
      <c r="CC361" s="65">
        <f>IFERROR(IF(AND(Terminales[[#This Row],[CANTIDAD]] = 1,Terminales[[#This Row],[MOVIMIENTO]] = "RENOVACION"),Terminales[[#This Row],[TARIFA_BASICA]]*0.5,),)</f>
        <v>5.27</v>
      </c>
      <c r="CD361" s="65">
        <f>IF('[1]Resumen TM'!$AW$20 &lt; 0.4,0,Terminales[[#This Row],[MONTO]]*0.02)</f>
        <v>4.0178571999999999</v>
      </c>
      <c r="CE361" s="66">
        <f>Terminales[[#This Row],[COMISIONES TERMINALES]]+Terminales[[#This Row],[COMISIONES RENOVACIONES]]+Terminales[[#This Row],[COMISIONES BONO]]</f>
        <v>29.377143199999999</v>
      </c>
      <c r="CF361" s="67">
        <f>(Terminales[[#This Row],[COMISIONES TERMINALES]]*VLOOKUP(Terminales[[#This Row],[LOCALES]],[1]!Calendario[#Data],3,0))/VLOOKUP(Terminales[[#This Row],[LOCALES]],[1]!Calendario[#Data],2,0)</f>
        <v>33.050115677419356</v>
      </c>
      <c r="CG361" s="67">
        <f>(Terminales[[#This Row],[COMISIONES RENOVACIONES]]*VLOOKUP(Terminales[[#This Row],[LOCALES]],[1]!Calendario[#Data],3,0))/VLOOKUP(Terminales[[#This Row],[LOCALES]],[1]!Calendario[#Data],2,0)</f>
        <v>8.67</v>
      </c>
      <c r="CH361" s="67">
        <f>(Terminales[[#This Row],[COMISIONES BONO]]*VLOOKUP(Terminales[[#This Row],[LOCALES]],[1]!Calendario[#Data],3,0))/VLOOKUP(Terminales[[#This Row],[LOCALES]],[1]!Calendario[#Data],2,0)</f>
        <v>6.6100231354838703</v>
      </c>
      <c r="CI361" s="67">
        <f>Terminales[[#This Row],[PROY. COM. TERMINALES]]+Terminales[[#This Row],[PROY. COM. RENOV.]]+Terminales[[#This Row],[PROY. COM. 2%]]</f>
        <v>48.330138812903229</v>
      </c>
    </row>
    <row r="362" spans="1:87" x14ac:dyDescent="0.25">
      <c r="A362" s="68">
        <v>44926</v>
      </c>
      <c r="B362" s="68">
        <v>44912</v>
      </c>
      <c r="C362" s="18" t="s">
        <v>291</v>
      </c>
      <c r="D362" s="18" t="s">
        <v>78</v>
      </c>
      <c r="E362" s="18" t="s">
        <v>164</v>
      </c>
      <c r="F362" s="18" t="s">
        <v>6373</v>
      </c>
      <c r="G362" s="18" t="s">
        <v>292</v>
      </c>
      <c r="H362" s="18" t="s">
        <v>494</v>
      </c>
      <c r="I362" s="18" t="s">
        <v>10280</v>
      </c>
      <c r="J362" s="18" t="s">
        <v>95</v>
      </c>
      <c r="K362" s="18" t="s">
        <v>7970</v>
      </c>
      <c r="L362" s="18" t="s">
        <v>6374</v>
      </c>
      <c r="M362" s="18" t="s">
        <v>6375</v>
      </c>
      <c r="N362" s="18" t="s">
        <v>6376</v>
      </c>
      <c r="O362" s="18" t="s">
        <v>4907</v>
      </c>
      <c r="P362" s="18" t="s">
        <v>6377</v>
      </c>
      <c r="Q362" s="18" t="s">
        <v>7975</v>
      </c>
      <c r="R362" s="18" t="s">
        <v>7976</v>
      </c>
      <c r="S362" s="18" t="s">
        <v>8045</v>
      </c>
      <c r="T362" s="18" t="s">
        <v>8099</v>
      </c>
      <c r="U362" s="18" t="s">
        <v>8100</v>
      </c>
      <c r="V362" s="18" t="s">
        <v>6963</v>
      </c>
      <c r="W362" s="18" t="s">
        <v>95</v>
      </c>
      <c r="X362" s="18" t="s">
        <v>95</v>
      </c>
      <c r="Y362" s="18" t="s">
        <v>7980</v>
      </c>
      <c r="Z362" s="18" t="s">
        <v>6996</v>
      </c>
      <c r="AA362" s="69">
        <v>1</v>
      </c>
      <c r="AB362" s="18">
        <v>406.25</v>
      </c>
      <c r="AC362" s="18" t="s">
        <v>10281</v>
      </c>
      <c r="AD362" s="18" t="s">
        <v>8151</v>
      </c>
      <c r="AE362" s="18">
        <v>402.5</v>
      </c>
      <c r="AF362" s="18" t="s">
        <v>7983</v>
      </c>
      <c r="AG362" s="18">
        <v>402.5</v>
      </c>
      <c r="AH362" s="18" t="s">
        <v>95</v>
      </c>
      <c r="AI362" s="18" t="s">
        <v>160</v>
      </c>
      <c r="AJ362" s="18" t="s">
        <v>161</v>
      </c>
      <c r="AK362" s="18">
        <v>14.28</v>
      </c>
      <c r="AL362" s="18" t="s">
        <v>95</v>
      </c>
      <c r="AM362" s="18" t="s">
        <v>95</v>
      </c>
      <c r="AN362" s="18" t="s">
        <v>7984</v>
      </c>
      <c r="AO362" s="18" t="s">
        <v>92</v>
      </c>
      <c r="AP362" s="18" t="s">
        <v>1020</v>
      </c>
      <c r="AQ362" s="18" t="s">
        <v>1021</v>
      </c>
      <c r="AR362" s="18" t="s">
        <v>496</v>
      </c>
      <c r="AS362" s="18">
        <v>1</v>
      </c>
      <c r="AT362" s="18" t="s">
        <v>91</v>
      </c>
      <c r="AU362" s="18" t="s">
        <v>90</v>
      </c>
      <c r="AV362" s="18" t="s">
        <v>8660</v>
      </c>
      <c r="AW362" s="18" t="s">
        <v>8661</v>
      </c>
      <c r="AX362" s="18" t="s">
        <v>83</v>
      </c>
      <c r="AY362" s="18" t="s">
        <v>95</v>
      </c>
      <c r="AZ362" s="18" t="s">
        <v>95</v>
      </c>
      <c r="BA362" s="18" t="s">
        <v>95</v>
      </c>
      <c r="BB362" s="18" t="s">
        <v>95</v>
      </c>
      <c r="BC362" s="18" t="s">
        <v>95</v>
      </c>
      <c r="BD362" s="18" t="s">
        <v>95</v>
      </c>
      <c r="BE362" s="18" t="s">
        <v>95</v>
      </c>
      <c r="BF362" s="18" t="s">
        <v>95</v>
      </c>
      <c r="BG362" s="18" t="s">
        <v>95</v>
      </c>
      <c r="BH362" s="18" t="s">
        <v>95</v>
      </c>
      <c r="BI362" s="18">
        <v>12</v>
      </c>
      <c r="BJ362" s="18">
        <v>2022</v>
      </c>
      <c r="BK362" s="18" t="s">
        <v>95</v>
      </c>
      <c r="BL362" s="18" t="s">
        <v>95</v>
      </c>
      <c r="BM362" s="18" t="s">
        <v>95</v>
      </c>
      <c r="BN362" s="18" t="s">
        <v>85</v>
      </c>
      <c r="BO362" s="18" t="s">
        <v>86</v>
      </c>
      <c r="BP362" s="18" t="s">
        <v>90</v>
      </c>
      <c r="BQ362" s="18" t="s">
        <v>8106</v>
      </c>
      <c r="BR362" s="18" t="s">
        <v>92</v>
      </c>
      <c r="BS362" s="18" t="s">
        <v>8074</v>
      </c>
      <c r="BT362" s="18" t="s">
        <v>7989</v>
      </c>
      <c r="BU362" s="18" t="s">
        <v>496</v>
      </c>
      <c r="BV362" s="18" t="str">
        <f>Terminales[[#This Row],[IMEI]]&amp;"SI"</f>
        <v>353842194257315SI</v>
      </c>
      <c r="BW362" s="18" t="str">
        <f>VLOOKUP(Terminales[[#This Row],[OFICINA_USUARIO]],[1]!Locales[#Data],3,0)</f>
        <v>TIENDA CUENCA CENTRO</v>
      </c>
      <c r="BX362" s="18" t="str">
        <f>VLOOKUP(Terminales[[#This Row],[USUARIO_FINAL]],'[1]Personal Ppto vs Real'!$A:$F,6,0)</f>
        <v>GONZALES ALVARRACIN PAOLA YESSENIA</v>
      </c>
      <c r="BY362" s="18" t="str">
        <f>Terminales[[#This Row],[MOVIMIENTO]]&amp;" "&amp;IF(Terminales[[#This Row],[TIPO_VENTA]]="DOWNPAYMENT","FINANCIADO",IF(Terminales[[#This Row],[TIPO_VENTA]]="PAYJOY","CONTADO",Terminales[[#This Row],[TIPO_VENTA]]))</f>
        <v>CONTRATO CONTADO</v>
      </c>
      <c r="BZ36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62" s="18">
        <f>DAY(Terminales[[#This Row],[FECHA_FACTURA]])</f>
        <v>17</v>
      </c>
      <c r="CB362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362" s="65">
        <f>IFERROR(IF(AND(Terminales[[#This Row],[CANTIDAD]] = 1,Terminales[[#This Row],[MOVIMIENTO]] = "RENOVACION"),Terminales[[#This Row],[TARIFA_BASICA]]*0.5,),)</f>
        <v>0</v>
      </c>
      <c r="CD362" s="65">
        <f>IF('[1]Resumen TM'!$AW$20 &lt; 0.4,0,Terminales[[#This Row],[MONTO]]*0.02)</f>
        <v>8.125</v>
      </c>
      <c r="CE362" s="66">
        <f>Terminales[[#This Row],[COMISIONES TERMINALES]]+Terminales[[#This Row],[COMISIONES RENOVACIONES]]+Terminales[[#This Row],[COMISIONES BONO]]</f>
        <v>48.75</v>
      </c>
      <c r="CF362" s="67">
        <f>(Terminales[[#This Row],[COMISIONES TERMINALES]]*VLOOKUP(Terminales[[#This Row],[LOCALES]],[1]!Calendario[#Data],3,0))/VLOOKUP(Terminales[[#This Row],[LOCALES]],[1]!Calendario[#Data],2,0)</f>
        <v>65.840517241379317</v>
      </c>
      <c r="CG362" s="67">
        <f>(Terminales[[#This Row],[COMISIONES RENOVACIONES]]*VLOOKUP(Terminales[[#This Row],[LOCALES]],[1]!Calendario[#Data],3,0))/VLOOKUP(Terminales[[#This Row],[LOCALES]],[1]!Calendario[#Data],2,0)</f>
        <v>0</v>
      </c>
      <c r="CH362" s="67">
        <f>(Terminales[[#This Row],[COMISIONES BONO]]*VLOOKUP(Terminales[[#This Row],[LOCALES]],[1]!Calendario[#Data],3,0))/VLOOKUP(Terminales[[#This Row],[LOCALES]],[1]!Calendario[#Data],2,0)</f>
        <v>13.168103448275861</v>
      </c>
      <c r="CI362" s="67">
        <f>Terminales[[#This Row],[PROY. COM. TERMINALES]]+Terminales[[#This Row],[PROY. COM. RENOV.]]+Terminales[[#This Row],[PROY. COM. 2%]]</f>
        <v>79.008620689655174</v>
      </c>
    </row>
    <row r="363" spans="1:87" x14ac:dyDescent="0.25">
      <c r="A363" s="68">
        <v>44926</v>
      </c>
      <c r="B363" s="68">
        <v>44912</v>
      </c>
      <c r="C363" s="18" t="s">
        <v>291</v>
      </c>
      <c r="D363" s="18" t="s">
        <v>521</v>
      </c>
      <c r="E363" s="18" t="s">
        <v>8017</v>
      </c>
      <c r="F363" s="18" t="s">
        <v>10282</v>
      </c>
      <c r="G363" s="18" t="s">
        <v>292</v>
      </c>
      <c r="H363" s="18" t="s">
        <v>293</v>
      </c>
      <c r="I363" s="18" t="s">
        <v>10283</v>
      </c>
      <c r="J363" s="18" t="s">
        <v>95</v>
      </c>
      <c r="K363" s="18" t="s">
        <v>7970</v>
      </c>
      <c r="L363" s="18" t="s">
        <v>10284</v>
      </c>
      <c r="M363" s="18" t="s">
        <v>10285</v>
      </c>
      <c r="N363" s="18" t="s">
        <v>10286</v>
      </c>
      <c r="O363" s="18" t="s">
        <v>10129</v>
      </c>
      <c r="P363" s="18" t="s">
        <v>10287</v>
      </c>
      <c r="Q363" s="18" t="s">
        <v>7975</v>
      </c>
      <c r="R363" s="18" t="s">
        <v>7976</v>
      </c>
      <c r="S363" s="18" t="s">
        <v>7977</v>
      </c>
      <c r="T363" s="18" t="s">
        <v>10131</v>
      </c>
      <c r="U363" s="18" t="s">
        <v>8012</v>
      </c>
      <c r="V363" s="18" t="s">
        <v>6963</v>
      </c>
      <c r="W363" s="18" t="s">
        <v>95</v>
      </c>
      <c r="X363" s="18" t="s">
        <v>95</v>
      </c>
      <c r="Y363" s="18" t="s">
        <v>7980</v>
      </c>
      <c r="Z363" s="18" t="s">
        <v>6996</v>
      </c>
      <c r="AA363" s="69">
        <v>1</v>
      </c>
      <c r="AB363" s="18">
        <v>267.85714000000002</v>
      </c>
      <c r="AC363" s="18" t="s">
        <v>10288</v>
      </c>
      <c r="AD363" s="18" t="s">
        <v>7982</v>
      </c>
      <c r="AE363" s="18">
        <v>190</v>
      </c>
      <c r="AF363" s="18" t="s">
        <v>7983</v>
      </c>
      <c r="AG363" s="18">
        <v>190</v>
      </c>
      <c r="AH363" s="18" t="s">
        <v>95</v>
      </c>
      <c r="AI363" s="18" t="s">
        <v>4963</v>
      </c>
      <c r="AJ363" s="18" t="s">
        <v>4964</v>
      </c>
      <c r="AK363" s="18">
        <v>32.130000000000003</v>
      </c>
      <c r="AL363" s="18" t="s">
        <v>95</v>
      </c>
      <c r="AM363" s="18" t="s">
        <v>95</v>
      </c>
      <c r="AN363" s="18" t="s">
        <v>7984</v>
      </c>
      <c r="AO363" s="18" t="s">
        <v>8121</v>
      </c>
      <c r="AP363" s="18" t="s">
        <v>326</v>
      </c>
      <c r="AQ363" s="18" t="s">
        <v>327</v>
      </c>
      <c r="AR363" s="18" t="s">
        <v>295</v>
      </c>
      <c r="AS363" s="18">
        <v>1</v>
      </c>
      <c r="AT363" s="18" t="s">
        <v>138</v>
      </c>
      <c r="AU363" s="18" t="s">
        <v>90</v>
      </c>
      <c r="AV363" s="18" t="s">
        <v>10133</v>
      </c>
      <c r="AW363" s="18" t="s">
        <v>10134</v>
      </c>
      <c r="AX363" s="18" t="s">
        <v>83</v>
      </c>
      <c r="AY363" s="18" t="s">
        <v>95</v>
      </c>
      <c r="AZ363" s="18" t="s">
        <v>95</v>
      </c>
      <c r="BA363" s="18" t="s">
        <v>95</v>
      </c>
      <c r="BB363" s="18" t="s">
        <v>95</v>
      </c>
      <c r="BC363" s="18" t="s">
        <v>95</v>
      </c>
      <c r="BD363" s="18">
        <v>54</v>
      </c>
      <c r="BE363" s="18" t="s">
        <v>95</v>
      </c>
      <c r="BF363" s="18" t="s">
        <v>95</v>
      </c>
      <c r="BG363" s="18" t="s">
        <v>95</v>
      </c>
      <c r="BH363" s="18" t="s">
        <v>95</v>
      </c>
      <c r="BI363" s="18">
        <v>12</v>
      </c>
      <c r="BJ363" s="18">
        <v>2022</v>
      </c>
      <c r="BK363" s="18" t="s">
        <v>95</v>
      </c>
      <c r="BL363" s="18" t="s">
        <v>95</v>
      </c>
      <c r="BM363" s="18" t="s">
        <v>95</v>
      </c>
      <c r="BN363" s="18" t="s">
        <v>85</v>
      </c>
      <c r="BO363" s="18" t="s">
        <v>86</v>
      </c>
      <c r="BP363" s="18" t="s">
        <v>90</v>
      </c>
      <c r="BQ363" s="18" t="s">
        <v>7987</v>
      </c>
      <c r="BR363" s="18" t="s">
        <v>8121</v>
      </c>
      <c r="BS363" s="18" t="s">
        <v>9828</v>
      </c>
      <c r="BT363" s="18" t="s">
        <v>7989</v>
      </c>
      <c r="BU363" s="18" t="s">
        <v>7990</v>
      </c>
      <c r="BV363" s="18" t="str">
        <f>Terminales[[#This Row],[IMEI]]&amp;"SI"</f>
        <v>869937054132546SI</v>
      </c>
      <c r="BW363" s="18" t="str">
        <f>VLOOKUP(Terminales[[#This Row],[OFICINA_USUARIO]],[1]!Locales[#Data],3,0)</f>
        <v>TIENDA AMERICA</v>
      </c>
      <c r="BX363" s="18" t="str">
        <f>VLOOKUP(Terminales[[#This Row],[USUARIO_FINAL]],'[1]Personal Ppto vs Real'!$A:$F,6,0)</f>
        <v>AMBULUDI ROLDAN GIANELLA GRIMANEZA</v>
      </c>
      <c r="BY363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6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63" s="18">
        <f>DAY(Terminales[[#This Row],[FECHA_FACTURA]])</f>
        <v>17</v>
      </c>
      <c r="CB363" s="65">
        <f>IF(Terminales[[#This Row],[CANTIDAD]] = 1,INDEX([1]!Comisiones[#Data],MATCH("Terminales",[1]!Comisiones[Producto],0),MATCH(Terminales[[#This Row],[TIPO ALTA COMISIONES]],[1]!Comisiones[#Headers],0))*Terminales[[#This Row],[MONTO]],0)</f>
        <v>26.785714000000002</v>
      </c>
      <c r="CC363" s="65">
        <f>IFERROR(IF(AND(Terminales[[#This Row],[CANTIDAD]] = 1,Terminales[[#This Row],[MOVIMIENTO]] = "RENOVACION"),Terminales[[#This Row],[TARIFA_BASICA]]*0.5,),)</f>
        <v>16.065000000000001</v>
      </c>
      <c r="CD363" s="65">
        <f>IF('[1]Resumen TM'!$AW$20 &lt; 0.4,0,Terminales[[#This Row],[MONTO]]*0.02)</f>
        <v>5.3571428000000001</v>
      </c>
      <c r="CE363" s="66">
        <f>Terminales[[#This Row],[COMISIONES TERMINALES]]+Terminales[[#This Row],[COMISIONES RENOVACIONES]]+Terminales[[#This Row],[COMISIONES BONO]]</f>
        <v>48.207856800000002</v>
      </c>
      <c r="CF363" s="67">
        <f>(Terminales[[#This Row],[COMISIONES TERMINALES]]*VLOOKUP(Terminales[[#This Row],[LOCALES]],[1]!Calendario[#Data],3,0))/VLOOKUP(Terminales[[#This Row],[LOCALES]],[1]!Calendario[#Data],2,0)</f>
        <v>44.005101571428575</v>
      </c>
      <c r="CG363" s="67">
        <f>(Terminales[[#This Row],[COMISIONES RENOVACIONES]]*VLOOKUP(Terminales[[#This Row],[LOCALES]],[1]!Calendario[#Data],3,0))/VLOOKUP(Terminales[[#This Row],[LOCALES]],[1]!Calendario[#Data],2,0)</f>
        <v>26.392500000000002</v>
      </c>
      <c r="CH363" s="67">
        <f>(Terminales[[#This Row],[COMISIONES BONO]]*VLOOKUP(Terminales[[#This Row],[LOCALES]],[1]!Calendario[#Data],3,0))/VLOOKUP(Terminales[[#This Row],[LOCALES]],[1]!Calendario[#Data],2,0)</f>
        <v>8.8010203142857133</v>
      </c>
      <c r="CI363" s="67">
        <f>Terminales[[#This Row],[PROY. COM. TERMINALES]]+Terminales[[#This Row],[PROY. COM. RENOV.]]+Terminales[[#This Row],[PROY. COM. 2%]]</f>
        <v>79.198621885714289</v>
      </c>
    </row>
    <row r="364" spans="1:87" x14ac:dyDescent="0.25">
      <c r="A364" s="68">
        <v>44926</v>
      </c>
      <c r="B364" s="68">
        <v>44912</v>
      </c>
      <c r="C364" s="18" t="s">
        <v>96</v>
      </c>
      <c r="D364" s="18" t="s">
        <v>96</v>
      </c>
      <c r="E364" s="18" t="s">
        <v>96</v>
      </c>
      <c r="F364" s="18" t="s">
        <v>10289</v>
      </c>
      <c r="G364" s="18" t="s">
        <v>292</v>
      </c>
      <c r="H364" s="18" t="s">
        <v>494</v>
      </c>
      <c r="I364" s="18" t="s">
        <v>10290</v>
      </c>
      <c r="J364" s="18" t="s">
        <v>95</v>
      </c>
      <c r="K364" s="18" t="s">
        <v>7970</v>
      </c>
      <c r="L364" s="18" t="s">
        <v>10291</v>
      </c>
      <c r="M364" s="18" t="s">
        <v>10292</v>
      </c>
      <c r="N364" s="18" t="s">
        <v>10293</v>
      </c>
      <c r="O364" s="18" t="s">
        <v>4346</v>
      </c>
      <c r="P364" s="18" t="s">
        <v>10294</v>
      </c>
      <c r="Q364" s="18" t="s">
        <v>7975</v>
      </c>
      <c r="R364" s="18" t="s">
        <v>7976</v>
      </c>
      <c r="S364" s="18" t="s">
        <v>8250</v>
      </c>
      <c r="T364" s="18" t="s">
        <v>8251</v>
      </c>
      <c r="U364" s="18" t="s">
        <v>8059</v>
      </c>
      <c r="V364" s="18" t="s">
        <v>6963</v>
      </c>
      <c r="W364" s="18" t="s">
        <v>95</v>
      </c>
      <c r="X364" s="18" t="s">
        <v>95</v>
      </c>
      <c r="Y364" s="18" t="s">
        <v>7980</v>
      </c>
      <c r="Z364" s="18" t="s">
        <v>6996</v>
      </c>
      <c r="AA364" s="69">
        <v>1</v>
      </c>
      <c r="AB364" s="18">
        <v>1151.7857100000001</v>
      </c>
      <c r="AC364" s="18" t="s">
        <v>10295</v>
      </c>
      <c r="AD364" s="18" t="s">
        <v>7982</v>
      </c>
      <c r="AE364" s="18">
        <v>1017.37</v>
      </c>
      <c r="AF364" s="18" t="s">
        <v>7983</v>
      </c>
      <c r="AG364" s="18">
        <v>1017.37</v>
      </c>
      <c r="AH364" s="18" t="s">
        <v>95</v>
      </c>
      <c r="AI364" s="18" t="s">
        <v>8102</v>
      </c>
      <c r="AJ364" s="18" t="s">
        <v>8103</v>
      </c>
      <c r="AK364" s="18" t="s">
        <v>95</v>
      </c>
      <c r="AL364" s="18" t="s">
        <v>95</v>
      </c>
      <c r="AM364" s="18" t="s">
        <v>95</v>
      </c>
      <c r="AN364" s="18" t="s">
        <v>7984</v>
      </c>
      <c r="AO364" s="18" t="s">
        <v>139</v>
      </c>
      <c r="AP364" s="18" t="s">
        <v>136</v>
      </c>
      <c r="AQ364" s="18" t="s">
        <v>137</v>
      </c>
      <c r="AR364" s="18" t="s">
        <v>496</v>
      </c>
      <c r="AS364" s="18">
        <v>1</v>
      </c>
      <c r="AT364" s="18" t="s">
        <v>138</v>
      </c>
      <c r="AU364" s="18" t="s">
        <v>90</v>
      </c>
      <c r="AV364" s="18" t="s">
        <v>8253</v>
      </c>
      <c r="AW364" s="18" t="s">
        <v>8254</v>
      </c>
      <c r="AX364" s="18" t="s">
        <v>83</v>
      </c>
      <c r="AY364" s="18" t="s">
        <v>95</v>
      </c>
      <c r="AZ364" s="18" t="s">
        <v>95</v>
      </c>
      <c r="BA364" s="18" t="s">
        <v>95</v>
      </c>
      <c r="BB364" s="18" t="s">
        <v>95</v>
      </c>
      <c r="BC364" s="18" t="s">
        <v>95</v>
      </c>
      <c r="BD364" s="18" t="s">
        <v>95</v>
      </c>
      <c r="BE364" s="18" t="s">
        <v>8989</v>
      </c>
      <c r="BF364" s="18" t="s">
        <v>8064</v>
      </c>
      <c r="BG364" s="18" t="s">
        <v>95</v>
      </c>
      <c r="BH364" s="18" t="s">
        <v>95</v>
      </c>
      <c r="BI364" s="18">
        <v>12</v>
      </c>
      <c r="BJ364" s="18">
        <v>2022</v>
      </c>
      <c r="BK364" s="18" t="s">
        <v>95</v>
      </c>
      <c r="BL364" s="18" t="s">
        <v>95</v>
      </c>
      <c r="BM364" s="18" t="s">
        <v>95</v>
      </c>
      <c r="BN364" s="18" t="s">
        <v>85</v>
      </c>
      <c r="BO364" s="18" t="s">
        <v>86</v>
      </c>
      <c r="BP364" s="18" t="s">
        <v>90</v>
      </c>
      <c r="BQ364" s="18" t="s">
        <v>7987</v>
      </c>
      <c r="BR364" s="18" t="s">
        <v>139</v>
      </c>
      <c r="BS364" s="18" t="s">
        <v>8003</v>
      </c>
      <c r="BT364" s="18" t="s">
        <v>7989</v>
      </c>
      <c r="BU364" s="18" t="s">
        <v>496</v>
      </c>
      <c r="BV364" s="18" t="str">
        <f>Terminales[[#This Row],[IMEI]]&amp;"SI"</f>
        <v>353981764901389SI</v>
      </c>
      <c r="BW364" s="18" t="str">
        <f>VLOOKUP(Terminales[[#This Row],[OFICINA_USUARIO]],[1]!Locales[#Data],3,0)</f>
        <v>TIENDA AMERICA</v>
      </c>
      <c r="BX364" s="18" t="str">
        <f>VLOOKUP(Terminales[[#This Row],[USUARIO_FINAL]],'[1]Personal Ppto vs Real'!$A:$F,6,0)</f>
        <v>SALVATIERRA GUERRA JULIAN ENRIQUE</v>
      </c>
      <c r="BY36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6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64" s="18">
        <f>DAY(Terminales[[#This Row],[FECHA_FACTURA]])</f>
        <v>17</v>
      </c>
      <c r="CB364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364" s="65">
        <f>IFERROR(IF(AND(Terminales[[#This Row],[CANTIDAD]] = 1,Terminales[[#This Row],[MOVIMIENTO]] = "RENOVACION"),Terminales[[#This Row],[TARIFA_BASICA]]*0.5,),)</f>
        <v>0</v>
      </c>
      <c r="CD364" s="65">
        <f>IF('[1]Resumen TM'!$AW$20 &lt; 0.4,0,Terminales[[#This Row],[MONTO]]*0.02)</f>
        <v>23.035714200000001</v>
      </c>
      <c r="CE364" s="66">
        <f>Terminales[[#This Row],[COMISIONES TERMINALES]]+Terminales[[#This Row],[COMISIONES RENOVACIONES]]+Terminales[[#This Row],[COMISIONES BONO]]</f>
        <v>138.21428520000001</v>
      </c>
      <c r="CF364" s="67">
        <f>(Terminales[[#This Row],[COMISIONES TERMINALES]]*VLOOKUP(Terminales[[#This Row],[LOCALES]],[1]!Calendario[#Data],3,0))/VLOOKUP(Terminales[[#This Row],[LOCALES]],[1]!Calendario[#Data],2,0)</f>
        <v>189.22193807142861</v>
      </c>
      <c r="CG364" s="67">
        <f>(Terminales[[#This Row],[COMISIONES RENOVACIONES]]*VLOOKUP(Terminales[[#This Row],[LOCALES]],[1]!Calendario[#Data],3,0))/VLOOKUP(Terminales[[#This Row],[LOCALES]],[1]!Calendario[#Data],2,0)</f>
        <v>0</v>
      </c>
      <c r="CH364" s="67">
        <f>(Terminales[[#This Row],[COMISIONES BONO]]*VLOOKUP(Terminales[[#This Row],[LOCALES]],[1]!Calendario[#Data],3,0))/VLOOKUP(Terminales[[#This Row],[LOCALES]],[1]!Calendario[#Data],2,0)</f>
        <v>37.844387614285715</v>
      </c>
      <c r="CI364" s="67">
        <f>Terminales[[#This Row],[PROY. COM. TERMINALES]]+Terminales[[#This Row],[PROY. COM. RENOV.]]+Terminales[[#This Row],[PROY. COM. 2%]]</f>
        <v>227.06632568571433</v>
      </c>
    </row>
    <row r="365" spans="1:87" x14ac:dyDescent="0.25">
      <c r="A365" s="68">
        <v>44926</v>
      </c>
      <c r="B365" s="68">
        <v>44912</v>
      </c>
      <c r="C365" s="18" t="s">
        <v>96</v>
      </c>
      <c r="D365" s="18" t="s">
        <v>96</v>
      </c>
      <c r="E365" s="18" t="s">
        <v>96</v>
      </c>
      <c r="F365" s="18" t="s">
        <v>95</v>
      </c>
      <c r="G365" s="18" t="s">
        <v>292</v>
      </c>
      <c r="H365" s="18" t="s">
        <v>494</v>
      </c>
      <c r="I365" s="18" t="s">
        <v>10296</v>
      </c>
      <c r="J365" s="18" t="s">
        <v>95</v>
      </c>
      <c r="K365" s="18" t="s">
        <v>7970</v>
      </c>
      <c r="L365" s="18" t="s">
        <v>10297</v>
      </c>
      <c r="M365" s="18" t="s">
        <v>10298</v>
      </c>
      <c r="N365" s="18" t="s">
        <v>10299</v>
      </c>
      <c r="O365" s="18" t="s">
        <v>543</v>
      </c>
      <c r="P365" s="18" t="s">
        <v>10300</v>
      </c>
      <c r="Q365" s="18" t="s">
        <v>7975</v>
      </c>
      <c r="R365" s="18" t="s">
        <v>7976</v>
      </c>
      <c r="S365" s="18" t="s">
        <v>7994</v>
      </c>
      <c r="T365" s="18" t="s">
        <v>8245</v>
      </c>
      <c r="U365" s="18" t="s">
        <v>8012</v>
      </c>
      <c r="V365" s="18" t="s">
        <v>6963</v>
      </c>
      <c r="W365" s="18" t="s">
        <v>95</v>
      </c>
      <c r="X365" s="18" t="s">
        <v>95</v>
      </c>
      <c r="Y365" s="18" t="s">
        <v>7980</v>
      </c>
      <c r="Z365" s="18" t="s">
        <v>6996</v>
      </c>
      <c r="AA365" s="69">
        <v>1</v>
      </c>
      <c r="AB365" s="18">
        <v>156.25</v>
      </c>
      <c r="AC365" s="18" t="s">
        <v>95</v>
      </c>
      <c r="AD365" s="18" t="s">
        <v>96</v>
      </c>
      <c r="AE365" s="18">
        <v>156</v>
      </c>
      <c r="AF365" s="18" t="s">
        <v>7983</v>
      </c>
      <c r="AG365" s="18">
        <v>156</v>
      </c>
      <c r="AH365" s="18" t="s">
        <v>95</v>
      </c>
      <c r="AI365" s="18" t="s">
        <v>95</v>
      </c>
      <c r="AJ365" s="18" t="s">
        <v>95</v>
      </c>
      <c r="AK365" s="18" t="s">
        <v>95</v>
      </c>
      <c r="AL365" s="18" t="s">
        <v>95</v>
      </c>
      <c r="AM365" s="18" t="s">
        <v>95</v>
      </c>
      <c r="AN365" s="18" t="s">
        <v>7984</v>
      </c>
      <c r="AO365" s="18" t="s">
        <v>139</v>
      </c>
      <c r="AP365" s="18" t="s">
        <v>377</v>
      </c>
      <c r="AQ365" s="18" t="s">
        <v>378</v>
      </c>
      <c r="AR365" s="18" t="s">
        <v>496</v>
      </c>
      <c r="AS365" s="18">
        <v>1</v>
      </c>
      <c r="AT365" s="18" t="s">
        <v>235</v>
      </c>
      <c r="AU365" s="18" t="s">
        <v>90</v>
      </c>
      <c r="AV365" s="18" t="s">
        <v>8247</v>
      </c>
      <c r="AW365" s="18" t="s">
        <v>8248</v>
      </c>
      <c r="AX365" s="18" t="s">
        <v>83</v>
      </c>
      <c r="AY365" s="18" t="s">
        <v>95</v>
      </c>
      <c r="AZ365" s="18" t="s">
        <v>95</v>
      </c>
      <c r="BA365" s="18" t="s">
        <v>95</v>
      </c>
      <c r="BB365" s="18" t="s">
        <v>95</v>
      </c>
      <c r="BC365" s="18" t="s">
        <v>95</v>
      </c>
      <c r="BD365" s="18" t="s">
        <v>95</v>
      </c>
      <c r="BE365" s="18" t="s">
        <v>95</v>
      </c>
      <c r="BF365" s="18" t="s">
        <v>95</v>
      </c>
      <c r="BG365" s="18" t="s">
        <v>95</v>
      </c>
      <c r="BH365" s="18" t="s">
        <v>95</v>
      </c>
      <c r="BI365" s="18">
        <v>12</v>
      </c>
      <c r="BJ365" s="18">
        <v>2022</v>
      </c>
      <c r="BK365" s="18" t="s">
        <v>95</v>
      </c>
      <c r="BL365" s="18" t="s">
        <v>95</v>
      </c>
      <c r="BM365" s="18" t="s">
        <v>95</v>
      </c>
      <c r="BN365" s="18" t="s">
        <v>85</v>
      </c>
      <c r="BO365" s="18" t="s">
        <v>86</v>
      </c>
      <c r="BP365" s="18" t="s">
        <v>90</v>
      </c>
      <c r="BQ365" s="18" t="s">
        <v>8016</v>
      </c>
      <c r="BR365" s="18" t="s">
        <v>139</v>
      </c>
      <c r="BS365" s="18" t="s">
        <v>8074</v>
      </c>
      <c r="BT365" s="18" t="s">
        <v>7989</v>
      </c>
      <c r="BU365" s="18" t="s">
        <v>496</v>
      </c>
      <c r="BV365" s="18" t="str">
        <f>Terminales[[#This Row],[IMEI]]&amp;"SI"</f>
        <v>355108340299181SI</v>
      </c>
      <c r="BW365" s="18" t="str">
        <f>VLOOKUP(Terminales[[#This Row],[OFICINA_USUARIO]],[1]!Locales[#Data],3,0)</f>
        <v>TIENDA CONDADO</v>
      </c>
      <c r="BX365" s="18" t="str">
        <f>VLOOKUP(Terminales[[#This Row],[USUARIO_FINAL]],'[1]Personal Ppto vs Real'!$A:$F,6,0)</f>
        <v>MELCHIADE ISAAC VALMORE</v>
      </c>
      <c r="BY36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6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65" s="18">
        <f>DAY(Terminales[[#This Row],[FECHA_FACTURA]])</f>
        <v>17</v>
      </c>
      <c r="CB365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65" s="65">
        <f>IFERROR(IF(AND(Terminales[[#This Row],[CANTIDAD]] = 1,Terminales[[#This Row],[MOVIMIENTO]] = "RENOVACION"),Terminales[[#This Row],[TARIFA_BASICA]]*0.5,),)</f>
        <v>0</v>
      </c>
      <c r="CD365" s="65">
        <f>IF('[1]Resumen TM'!$AW$20 &lt; 0.4,0,Terminales[[#This Row],[MONTO]]*0.02)</f>
        <v>3.125</v>
      </c>
      <c r="CE365" s="66">
        <f>Terminales[[#This Row],[COMISIONES TERMINALES]]+Terminales[[#This Row],[COMISIONES RENOVACIONES]]+Terminales[[#This Row],[COMISIONES BONO]]</f>
        <v>18.75</v>
      </c>
      <c r="CF365" s="67">
        <f>(Terminales[[#This Row],[COMISIONES TERMINALES]]*VLOOKUP(Terminales[[#This Row],[LOCALES]],[1]!Calendario[#Data],3,0))/VLOOKUP(Terminales[[#This Row],[LOCALES]],[1]!Calendario[#Data],2,0)</f>
        <v>25.705645161290324</v>
      </c>
      <c r="CG365" s="67">
        <f>(Terminales[[#This Row],[COMISIONES RENOVACIONES]]*VLOOKUP(Terminales[[#This Row],[LOCALES]],[1]!Calendario[#Data],3,0))/VLOOKUP(Terminales[[#This Row],[LOCALES]],[1]!Calendario[#Data],2,0)</f>
        <v>0</v>
      </c>
      <c r="CH365" s="67">
        <f>(Terminales[[#This Row],[COMISIONES BONO]]*VLOOKUP(Terminales[[#This Row],[LOCALES]],[1]!Calendario[#Data],3,0))/VLOOKUP(Terminales[[#This Row],[LOCALES]],[1]!Calendario[#Data],2,0)</f>
        <v>5.1411290322580649</v>
      </c>
      <c r="CI365" s="67">
        <f>Terminales[[#This Row],[PROY. COM. TERMINALES]]+Terminales[[#This Row],[PROY. COM. RENOV.]]+Terminales[[#This Row],[PROY. COM. 2%]]</f>
        <v>30.846774193548388</v>
      </c>
    </row>
    <row r="366" spans="1:87" x14ac:dyDescent="0.25">
      <c r="A366" s="68">
        <v>44926</v>
      </c>
      <c r="B366" s="68">
        <v>44912</v>
      </c>
      <c r="C366" s="18" t="s">
        <v>96</v>
      </c>
      <c r="D366" s="18" t="s">
        <v>96</v>
      </c>
      <c r="E366" s="18" t="s">
        <v>96</v>
      </c>
      <c r="F366" s="18" t="s">
        <v>10301</v>
      </c>
      <c r="G366" s="18" t="s">
        <v>292</v>
      </c>
      <c r="H366" s="18" t="s">
        <v>494</v>
      </c>
      <c r="I366" s="18" t="s">
        <v>10302</v>
      </c>
      <c r="J366" s="18" t="s">
        <v>95</v>
      </c>
      <c r="K366" s="18" t="s">
        <v>7970</v>
      </c>
      <c r="L366" s="18" t="s">
        <v>10303</v>
      </c>
      <c r="M366" s="18" t="s">
        <v>10304</v>
      </c>
      <c r="N366" s="18" t="s">
        <v>10305</v>
      </c>
      <c r="O366" s="18" t="s">
        <v>6467</v>
      </c>
      <c r="P366" s="18" t="s">
        <v>10306</v>
      </c>
      <c r="Q366" s="18" t="s">
        <v>7975</v>
      </c>
      <c r="R366" s="18" t="s">
        <v>7976</v>
      </c>
      <c r="S366" s="18" t="s">
        <v>8045</v>
      </c>
      <c r="T366" s="18" t="s">
        <v>8331</v>
      </c>
      <c r="U366" s="18" t="s">
        <v>7996</v>
      </c>
      <c r="V366" s="18" t="s">
        <v>6963</v>
      </c>
      <c r="W366" s="18" t="s">
        <v>95</v>
      </c>
      <c r="X366" s="18" t="s">
        <v>95</v>
      </c>
      <c r="Y366" s="18" t="s">
        <v>7980</v>
      </c>
      <c r="Z366" s="18" t="s">
        <v>6996</v>
      </c>
      <c r="AA366" s="69">
        <v>1</v>
      </c>
      <c r="AB366" s="18">
        <v>120.53570999999999</v>
      </c>
      <c r="AC366" s="18" t="s">
        <v>10307</v>
      </c>
      <c r="AD366" s="18" t="s">
        <v>7982</v>
      </c>
      <c r="AE366" s="18">
        <v>91</v>
      </c>
      <c r="AF366" s="18" t="s">
        <v>7983</v>
      </c>
      <c r="AG366" s="18">
        <v>91</v>
      </c>
      <c r="AH366" s="18" t="s">
        <v>95</v>
      </c>
      <c r="AI366" s="18" t="s">
        <v>8102</v>
      </c>
      <c r="AJ366" s="18" t="s">
        <v>8103</v>
      </c>
      <c r="AK366" s="18" t="s">
        <v>95</v>
      </c>
      <c r="AL366" s="18" t="s">
        <v>95</v>
      </c>
      <c r="AM366" s="18" t="s">
        <v>95</v>
      </c>
      <c r="AN366" s="18" t="s">
        <v>7984</v>
      </c>
      <c r="AO366" s="18" t="s">
        <v>139</v>
      </c>
      <c r="AP366" s="18" t="s">
        <v>233</v>
      </c>
      <c r="AQ366" s="18" t="s">
        <v>234</v>
      </c>
      <c r="AR366" s="18" t="s">
        <v>496</v>
      </c>
      <c r="AS366" s="18">
        <v>1</v>
      </c>
      <c r="AT366" s="18" t="s">
        <v>235</v>
      </c>
      <c r="AU366" s="18" t="s">
        <v>90</v>
      </c>
      <c r="AV366" s="18" t="s">
        <v>8333</v>
      </c>
      <c r="AW366" s="18" t="s">
        <v>8334</v>
      </c>
      <c r="AX366" s="18" t="s">
        <v>83</v>
      </c>
      <c r="AY366" s="18" t="s">
        <v>95</v>
      </c>
      <c r="AZ366" s="18" t="s">
        <v>95</v>
      </c>
      <c r="BA366" s="18" t="s">
        <v>95</v>
      </c>
      <c r="BB366" s="18" t="s">
        <v>95</v>
      </c>
      <c r="BC366" s="18" t="s">
        <v>95</v>
      </c>
      <c r="BD366" s="18" t="s">
        <v>95</v>
      </c>
      <c r="BE366" s="18" t="s">
        <v>95</v>
      </c>
      <c r="BF366" s="18" t="s">
        <v>95</v>
      </c>
      <c r="BG366" s="18" t="s">
        <v>95</v>
      </c>
      <c r="BH366" s="18" t="s">
        <v>95</v>
      </c>
      <c r="BI366" s="18">
        <v>12</v>
      </c>
      <c r="BJ366" s="18">
        <v>2022</v>
      </c>
      <c r="BK366" s="18" t="s">
        <v>95</v>
      </c>
      <c r="BL366" s="18" t="s">
        <v>95</v>
      </c>
      <c r="BM366" s="18" t="s">
        <v>95</v>
      </c>
      <c r="BN366" s="18" t="s">
        <v>85</v>
      </c>
      <c r="BO366" s="18" t="s">
        <v>86</v>
      </c>
      <c r="BP366" s="18" t="s">
        <v>90</v>
      </c>
      <c r="BQ366" s="18" t="s">
        <v>8016</v>
      </c>
      <c r="BR366" s="18" t="s">
        <v>139</v>
      </c>
      <c r="BS366" s="18" t="s">
        <v>8074</v>
      </c>
      <c r="BT366" s="18" t="s">
        <v>7989</v>
      </c>
      <c r="BU366" s="18" t="s">
        <v>496</v>
      </c>
      <c r="BV366" s="18" t="str">
        <f>Terminales[[#This Row],[IMEI]]&amp;"SI"</f>
        <v>352286990938416SI</v>
      </c>
      <c r="BW366" s="18" t="str">
        <f>VLOOKUP(Terminales[[#This Row],[OFICINA_USUARIO]],[1]!Locales[#Data],3,0)</f>
        <v>TIENDA CONDADO</v>
      </c>
      <c r="BX366" s="18" t="str">
        <f>VLOOKUP(Terminales[[#This Row],[USUARIO_FINAL]],'[1]Personal Ppto vs Real'!$A:$F,6,0)</f>
        <v>ROSALES MALDONADO JESSICA GABRIELA</v>
      </c>
      <c r="BY36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6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66" s="18">
        <f>DAY(Terminales[[#This Row],[FECHA_FACTURA]])</f>
        <v>17</v>
      </c>
      <c r="CB366" s="65">
        <f>IF(Terminales[[#This Row],[CANTIDAD]] = 1,INDEX([1]!Comisiones[#Data],MATCH("Terminales",[1]!Comisiones[Producto],0),MATCH(Terminales[[#This Row],[TIPO ALTA COMISIONES]],[1]!Comisiones[#Headers],0))*Terminales[[#This Row],[MONTO]],0)</f>
        <v>12.053571</v>
      </c>
      <c r="CC366" s="65">
        <f>IFERROR(IF(AND(Terminales[[#This Row],[CANTIDAD]] = 1,Terminales[[#This Row],[MOVIMIENTO]] = "RENOVACION"),Terminales[[#This Row],[TARIFA_BASICA]]*0.5,),)</f>
        <v>0</v>
      </c>
      <c r="CD366" s="65">
        <f>IF('[1]Resumen TM'!$AW$20 &lt; 0.4,0,Terminales[[#This Row],[MONTO]]*0.02)</f>
        <v>2.4107142000000001</v>
      </c>
      <c r="CE366" s="66">
        <f>Terminales[[#This Row],[COMISIONES TERMINALES]]+Terminales[[#This Row],[COMISIONES RENOVACIONES]]+Terminales[[#This Row],[COMISIONES BONO]]</f>
        <v>14.464285199999999</v>
      </c>
      <c r="CF366" s="67">
        <f>(Terminales[[#This Row],[COMISIONES TERMINALES]]*VLOOKUP(Terminales[[#This Row],[LOCALES]],[1]!Calendario[#Data],3,0))/VLOOKUP(Terminales[[#This Row],[LOCALES]],[1]!Calendario[#Data],2,0)</f>
        <v>19.830068419354838</v>
      </c>
      <c r="CG366" s="67">
        <f>(Terminales[[#This Row],[COMISIONES RENOVACIONES]]*VLOOKUP(Terminales[[#This Row],[LOCALES]],[1]!Calendario[#Data],3,0))/VLOOKUP(Terminales[[#This Row],[LOCALES]],[1]!Calendario[#Data],2,0)</f>
        <v>0</v>
      </c>
      <c r="CH366" s="67">
        <f>(Terminales[[#This Row],[COMISIONES BONO]]*VLOOKUP(Terminales[[#This Row],[LOCALES]],[1]!Calendario[#Data],3,0))/VLOOKUP(Terminales[[#This Row],[LOCALES]],[1]!Calendario[#Data],2,0)</f>
        <v>3.9660136838709681</v>
      </c>
      <c r="CI366" s="67">
        <f>Terminales[[#This Row],[PROY. COM. TERMINALES]]+Terminales[[#This Row],[PROY. COM. RENOV.]]+Terminales[[#This Row],[PROY. COM. 2%]]</f>
        <v>23.796082103225807</v>
      </c>
    </row>
    <row r="367" spans="1:87" x14ac:dyDescent="0.25">
      <c r="A367" s="68">
        <v>44926</v>
      </c>
      <c r="B367" s="68">
        <v>44912</v>
      </c>
      <c r="C367" s="18" t="s">
        <v>291</v>
      </c>
      <c r="D367" s="18" t="s">
        <v>78</v>
      </c>
      <c r="E367" s="18" t="s">
        <v>2241</v>
      </c>
      <c r="F367" s="18" t="s">
        <v>7129</v>
      </c>
      <c r="G367" s="18" t="s">
        <v>292</v>
      </c>
      <c r="H367" s="18" t="s">
        <v>293</v>
      </c>
      <c r="I367" s="18" t="s">
        <v>10308</v>
      </c>
      <c r="J367" s="18" t="s">
        <v>95</v>
      </c>
      <c r="K367" s="18" t="s">
        <v>7970</v>
      </c>
      <c r="L367" s="18" t="s">
        <v>10309</v>
      </c>
      <c r="M367" s="18" t="s">
        <v>10310</v>
      </c>
      <c r="N367" s="18" t="s">
        <v>7131</v>
      </c>
      <c r="O367" s="18" t="s">
        <v>338</v>
      </c>
      <c r="P367" s="18" t="s">
        <v>10311</v>
      </c>
      <c r="Q367" s="18" t="s">
        <v>7975</v>
      </c>
      <c r="R367" s="18" t="s">
        <v>7976</v>
      </c>
      <c r="S367" s="18" t="s">
        <v>7977</v>
      </c>
      <c r="T367" s="18" t="s">
        <v>7978</v>
      </c>
      <c r="U367" s="18" t="s">
        <v>7979</v>
      </c>
      <c r="V367" s="18" t="s">
        <v>6963</v>
      </c>
      <c r="W367" s="18" t="s">
        <v>95</v>
      </c>
      <c r="X367" s="18" t="s">
        <v>95</v>
      </c>
      <c r="Y367" s="18" t="s">
        <v>7980</v>
      </c>
      <c r="Z367" s="18" t="s">
        <v>6996</v>
      </c>
      <c r="AA367" s="69">
        <v>1</v>
      </c>
      <c r="AB367" s="18">
        <v>383.92856999999998</v>
      </c>
      <c r="AC367" s="18" t="s">
        <v>7130</v>
      </c>
      <c r="AD367" s="18" t="s">
        <v>7982</v>
      </c>
      <c r="AE367" s="18">
        <v>235</v>
      </c>
      <c r="AF367" s="18" t="s">
        <v>7983</v>
      </c>
      <c r="AG367" s="18">
        <v>235</v>
      </c>
      <c r="AH367" s="18" t="s">
        <v>95</v>
      </c>
      <c r="AI367" s="18" t="s">
        <v>160</v>
      </c>
      <c r="AJ367" s="18" t="s">
        <v>161</v>
      </c>
      <c r="AK367" s="18">
        <v>14.28</v>
      </c>
      <c r="AL367" s="18" t="s">
        <v>95</v>
      </c>
      <c r="AM367" s="18" t="s">
        <v>95</v>
      </c>
      <c r="AN367" s="18" t="s">
        <v>7984</v>
      </c>
      <c r="AO367" s="18" t="s">
        <v>139</v>
      </c>
      <c r="AP367" s="18" t="s">
        <v>136</v>
      </c>
      <c r="AQ367" s="18" t="s">
        <v>137</v>
      </c>
      <c r="AR367" s="18" t="s">
        <v>295</v>
      </c>
      <c r="AS367" s="18">
        <v>1</v>
      </c>
      <c r="AT367" s="18" t="s">
        <v>138</v>
      </c>
      <c r="AU367" s="18" t="s">
        <v>90</v>
      </c>
      <c r="AV367" s="18" t="s">
        <v>7985</v>
      </c>
      <c r="AW367" s="18" t="s">
        <v>7986</v>
      </c>
      <c r="AX367" s="18" t="s">
        <v>83</v>
      </c>
      <c r="AY367" s="18" t="s">
        <v>95</v>
      </c>
      <c r="AZ367" s="18" t="s">
        <v>95</v>
      </c>
      <c r="BA367" s="18" t="s">
        <v>95</v>
      </c>
      <c r="BB367" s="18" t="s">
        <v>95</v>
      </c>
      <c r="BC367" s="18" t="s">
        <v>95</v>
      </c>
      <c r="BD367" s="18">
        <v>77</v>
      </c>
      <c r="BE367" s="18" t="s">
        <v>95</v>
      </c>
      <c r="BF367" s="18" t="s">
        <v>95</v>
      </c>
      <c r="BG367" s="18" t="s">
        <v>95</v>
      </c>
      <c r="BH367" s="18" t="s">
        <v>95</v>
      </c>
      <c r="BI367" s="18">
        <v>12</v>
      </c>
      <c r="BJ367" s="18">
        <v>2022</v>
      </c>
      <c r="BK367" s="18" t="s">
        <v>95</v>
      </c>
      <c r="BL367" s="18" t="s">
        <v>95</v>
      </c>
      <c r="BM367" s="18" t="s">
        <v>95</v>
      </c>
      <c r="BN367" s="18" t="s">
        <v>85</v>
      </c>
      <c r="BO367" s="18" t="s">
        <v>86</v>
      </c>
      <c r="BP367" s="18" t="s">
        <v>90</v>
      </c>
      <c r="BQ367" s="18" t="s">
        <v>7987</v>
      </c>
      <c r="BR367" s="18" t="s">
        <v>139</v>
      </c>
      <c r="BS367" s="18" t="s">
        <v>9828</v>
      </c>
      <c r="BT367" s="18" t="s">
        <v>7989</v>
      </c>
      <c r="BU367" s="18" t="s">
        <v>7990</v>
      </c>
      <c r="BV367" s="18" t="str">
        <f>Terminales[[#This Row],[IMEI]]&amp;"SI"</f>
        <v>866184060681561SI</v>
      </c>
      <c r="BW367" s="18" t="str">
        <f>VLOOKUP(Terminales[[#This Row],[OFICINA_USUARIO]],[1]!Locales[#Data],3,0)</f>
        <v>TIENDA AMERICA</v>
      </c>
      <c r="BX367" s="18" t="str">
        <f>VLOOKUP(Terminales[[#This Row],[USUARIO_FINAL]],'[1]Personal Ppto vs Real'!$A:$F,6,0)</f>
        <v>SALVATIERRA GUERRA JULIAN ENRIQUE</v>
      </c>
      <c r="BY36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6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67" s="18">
        <f>DAY(Terminales[[#This Row],[FECHA_FACTURA]])</f>
        <v>17</v>
      </c>
      <c r="CB367" s="65">
        <f>IF(Terminales[[#This Row],[CANTIDAD]] = 1,INDEX([1]!Comisiones[#Data],MATCH("Terminales",[1]!Comisiones[Producto],0),MATCH(Terminales[[#This Row],[TIPO ALTA COMISIONES]],[1]!Comisiones[#Headers],0))*Terminales[[#This Row],[MONTO]],0)</f>
        <v>38.392856999999999</v>
      </c>
      <c r="CC367" s="65">
        <f>IFERROR(IF(AND(Terminales[[#This Row],[CANTIDAD]] = 1,Terminales[[#This Row],[MOVIMIENTO]] = "RENOVACION"),Terminales[[#This Row],[TARIFA_BASICA]]*0.5,),)</f>
        <v>7.14</v>
      </c>
      <c r="CD367" s="65">
        <f>IF('[1]Resumen TM'!$AW$20 &lt; 0.4,0,Terminales[[#This Row],[MONTO]]*0.02)</f>
        <v>7.6785714</v>
      </c>
      <c r="CE367" s="66">
        <f>Terminales[[#This Row],[COMISIONES TERMINALES]]+Terminales[[#This Row],[COMISIONES RENOVACIONES]]+Terminales[[#This Row],[COMISIONES BONO]]</f>
        <v>53.211428400000003</v>
      </c>
      <c r="CF367" s="67">
        <f>(Terminales[[#This Row],[COMISIONES TERMINALES]]*VLOOKUP(Terminales[[#This Row],[LOCALES]],[1]!Calendario[#Data],3,0))/VLOOKUP(Terminales[[#This Row],[LOCALES]],[1]!Calendario[#Data],2,0)</f>
        <v>63.073979357142854</v>
      </c>
      <c r="CG367" s="67">
        <f>(Terminales[[#This Row],[COMISIONES RENOVACIONES]]*VLOOKUP(Terminales[[#This Row],[LOCALES]],[1]!Calendario[#Data],3,0))/VLOOKUP(Terminales[[#This Row],[LOCALES]],[1]!Calendario[#Data],2,0)</f>
        <v>11.73</v>
      </c>
      <c r="CH367" s="67">
        <f>(Terminales[[#This Row],[COMISIONES BONO]]*VLOOKUP(Terminales[[#This Row],[LOCALES]],[1]!Calendario[#Data],3,0))/VLOOKUP(Terminales[[#This Row],[LOCALES]],[1]!Calendario[#Data],2,0)</f>
        <v>12.614795871428571</v>
      </c>
      <c r="CI367" s="67">
        <f>Terminales[[#This Row],[PROY. COM. TERMINALES]]+Terminales[[#This Row],[PROY. COM. RENOV.]]+Terminales[[#This Row],[PROY. COM. 2%]]</f>
        <v>87.41877522857142</v>
      </c>
    </row>
    <row r="368" spans="1:87" x14ac:dyDescent="0.25">
      <c r="A368" s="68">
        <v>44926</v>
      </c>
      <c r="B368" s="68">
        <v>44912</v>
      </c>
      <c r="C368" s="18" t="s">
        <v>96</v>
      </c>
      <c r="D368" s="18" t="s">
        <v>96</v>
      </c>
      <c r="E368" s="18" t="s">
        <v>96</v>
      </c>
      <c r="F368" s="18" t="s">
        <v>10312</v>
      </c>
      <c r="G368" s="18" t="s">
        <v>292</v>
      </c>
      <c r="H368" s="18" t="s">
        <v>494</v>
      </c>
      <c r="I368" s="18" t="s">
        <v>10313</v>
      </c>
      <c r="J368" s="18" t="s">
        <v>95</v>
      </c>
      <c r="K368" s="18" t="s">
        <v>7970</v>
      </c>
      <c r="L368" s="18" t="s">
        <v>10314</v>
      </c>
      <c r="M368" s="18" t="s">
        <v>10315</v>
      </c>
      <c r="N368" s="18" t="s">
        <v>10316</v>
      </c>
      <c r="O368" s="18" t="s">
        <v>354</v>
      </c>
      <c r="P368" s="18" t="s">
        <v>10317</v>
      </c>
      <c r="Q368" s="18" t="s">
        <v>7975</v>
      </c>
      <c r="R368" s="18" t="s">
        <v>7976</v>
      </c>
      <c r="S368" s="18" t="s">
        <v>8070</v>
      </c>
      <c r="T368" s="18" t="s">
        <v>8071</v>
      </c>
      <c r="U368" s="18" t="s">
        <v>8012</v>
      </c>
      <c r="V368" s="18" t="s">
        <v>6963</v>
      </c>
      <c r="W368" s="18" t="s">
        <v>95</v>
      </c>
      <c r="X368" s="18" t="s">
        <v>95</v>
      </c>
      <c r="Y368" s="18" t="s">
        <v>7980</v>
      </c>
      <c r="Z368" s="18" t="s">
        <v>6996</v>
      </c>
      <c r="AA368" s="69">
        <v>1</v>
      </c>
      <c r="AB368" s="18">
        <v>205.35713999999999</v>
      </c>
      <c r="AC368" s="18" t="s">
        <v>10318</v>
      </c>
      <c r="AD368" s="18" t="s">
        <v>7982</v>
      </c>
      <c r="AE368" s="18">
        <v>199.79</v>
      </c>
      <c r="AF368" s="18" t="s">
        <v>7983</v>
      </c>
      <c r="AG368" s="18">
        <v>199.79</v>
      </c>
      <c r="AH368" s="18" t="s">
        <v>95</v>
      </c>
      <c r="AI368" s="18" t="s">
        <v>8102</v>
      </c>
      <c r="AJ368" s="18" t="s">
        <v>8103</v>
      </c>
      <c r="AK368" s="18" t="s">
        <v>95</v>
      </c>
      <c r="AL368" s="18" t="s">
        <v>95</v>
      </c>
      <c r="AM368" s="18" t="s">
        <v>95</v>
      </c>
      <c r="AN368" s="18" t="s">
        <v>7984</v>
      </c>
      <c r="AO368" s="18" t="s">
        <v>139</v>
      </c>
      <c r="AP368" s="18" t="s">
        <v>630</v>
      </c>
      <c r="AQ368" s="18" t="s">
        <v>631</v>
      </c>
      <c r="AR368" s="18" t="s">
        <v>496</v>
      </c>
      <c r="AS368" s="18">
        <v>1</v>
      </c>
      <c r="AT368" s="18" t="s">
        <v>177</v>
      </c>
      <c r="AU368" s="18" t="s">
        <v>90</v>
      </c>
      <c r="AV368" s="18" t="s">
        <v>8072</v>
      </c>
      <c r="AW368" s="18" t="s">
        <v>8073</v>
      </c>
      <c r="AX368" s="18" t="s">
        <v>83</v>
      </c>
      <c r="AY368" s="18" t="s">
        <v>95</v>
      </c>
      <c r="AZ368" s="18" t="s">
        <v>95</v>
      </c>
      <c r="BA368" s="18" t="s">
        <v>95</v>
      </c>
      <c r="BB368" s="18" t="s">
        <v>95</v>
      </c>
      <c r="BC368" s="18" t="s">
        <v>95</v>
      </c>
      <c r="BD368" s="18" t="s">
        <v>95</v>
      </c>
      <c r="BE368" s="18" t="s">
        <v>8140</v>
      </c>
      <c r="BF368" s="18" t="s">
        <v>8064</v>
      </c>
      <c r="BG368" s="18" t="s">
        <v>95</v>
      </c>
      <c r="BH368" s="18" t="s">
        <v>95</v>
      </c>
      <c r="BI368" s="18">
        <v>12</v>
      </c>
      <c r="BJ368" s="18">
        <v>2022</v>
      </c>
      <c r="BK368" s="18" t="s">
        <v>95</v>
      </c>
      <c r="BL368" s="18" t="s">
        <v>95</v>
      </c>
      <c r="BM368" s="18" t="s">
        <v>95</v>
      </c>
      <c r="BN368" s="18" t="s">
        <v>85</v>
      </c>
      <c r="BO368" s="18" t="s">
        <v>86</v>
      </c>
      <c r="BP368" s="18" t="s">
        <v>90</v>
      </c>
      <c r="BQ368" s="18" t="s">
        <v>8002</v>
      </c>
      <c r="BR368" s="18" t="s">
        <v>139</v>
      </c>
      <c r="BS368" s="18" t="s">
        <v>8003</v>
      </c>
      <c r="BT368" s="18" t="s">
        <v>7989</v>
      </c>
      <c r="BU368" s="18" t="s">
        <v>496</v>
      </c>
      <c r="BV368" s="18" t="str">
        <f>Terminales[[#This Row],[IMEI]]&amp;"SI"</f>
        <v>869113065751266SI</v>
      </c>
      <c r="BW368" s="18" t="str">
        <f>VLOOKUP(Terminales[[#This Row],[OFICINA_USUARIO]],[1]!Locales[#Data],3,0)</f>
        <v>TIENDA RECREO</v>
      </c>
      <c r="BX368" s="18" t="str">
        <f>VLOOKUP(Terminales[[#This Row],[USUARIO_FINAL]],'[1]Personal Ppto vs Real'!$A:$F,6,0)</f>
        <v>LOAYZA AGUILAR JONATHAN FABIAN</v>
      </c>
      <c r="BY36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6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68" s="18">
        <f>DAY(Terminales[[#This Row],[FECHA_FACTURA]])</f>
        <v>17</v>
      </c>
      <c r="CB368" s="65">
        <f>IF(Terminales[[#This Row],[CANTIDAD]] = 1,INDEX([1]!Comisiones[#Data],MATCH("Terminales",[1]!Comisiones[Producto],0),MATCH(Terminales[[#This Row],[TIPO ALTA COMISIONES]],[1]!Comisiones[#Headers],0))*Terminales[[#This Row],[MONTO]],0)</f>
        <v>20.535713999999999</v>
      </c>
      <c r="CC368" s="65">
        <f>IFERROR(IF(AND(Terminales[[#This Row],[CANTIDAD]] = 1,Terminales[[#This Row],[MOVIMIENTO]] = "RENOVACION"),Terminales[[#This Row],[TARIFA_BASICA]]*0.5,),)</f>
        <v>0</v>
      </c>
      <c r="CD368" s="65">
        <f>IF('[1]Resumen TM'!$AW$20 &lt; 0.4,0,Terminales[[#This Row],[MONTO]]*0.02)</f>
        <v>4.1071428000000001</v>
      </c>
      <c r="CE368" s="66">
        <f>Terminales[[#This Row],[COMISIONES TERMINALES]]+Terminales[[#This Row],[COMISIONES RENOVACIONES]]+Terminales[[#This Row],[COMISIONES BONO]]</f>
        <v>24.642856799999997</v>
      </c>
      <c r="CF368" s="67">
        <f>(Terminales[[#This Row],[COMISIONES TERMINALES]]*VLOOKUP(Terminales[[#This Row],[LOCALES]],[1]!Calendario[#Data],3,0))/VLOOKUP(Terminales[[#This Row],[LOCALES]],[1]!Calendario[#Data],2,0)</f>
        <v>33.784561741935484</v>
      </c>
      <c r="CG368" s="67">
        <f>(Terminales[[#This Row],[COMISIONES RENOVACIONES]]*VLOOKUP(Terminales[[#This Row],[LOCALES]],[1]!Calendario[#Data],3,0))/VLOOKUP(Terminales[[#This Row],[LOCALES]],[1]!Calendario[#Data],2,0)</f>
        <v>0</v>
      </c>
      <c r="CH368" s="67">
        <f>(Terminales[[#This Row],[COMISIONES BONO]]*VLOOKUP(Terminales[[#This Row],[LOCALES]],[1]!Calendario[#Data],3,0))/VLOOKUP(Terminales[[#This Row],[LOCALES]],[1]!Calendario[#Data],2,0)</f>
        <v>6.7569123483870968</v>
      </c>
      <c r="CI368" s="67">
        <f>Terminales[[#This Row],[PROY. COM. TERMINALES]]+Terminales[[#This Row],[PROY. COM. RENOV.]]+Terminales[[#This Row],[PROY. COM. 2%]]</f>
        <v>40.541474090322581</v>
      </c>
    </row>
    <row r="369" spans="1:87" x14ac:dyDescent="0.25">
      <c r="A369" s="68">
        <v>44926</v>
      </c>
      <c r="B369" s="68">
        <v>44912</v>
      </c>
      <c r="C369" s="18" t="s">
        <v>291</v>
      </c>
      <c r="D369" s="18" t="s">
        <v>78</v>
      </c>
      <c r="E369" s="18" t="s">
        <v>768</v>
      </c>
      <c r="F369" s="18" t="s">
        <v>7791</v>
      </c>
      <c r="G369" s="18" t="s">
        <v>292</v>
      </c>
      <c r="H369" s="18" t="s">
        <v>494</v>
      </c>
      <c r="I369" s="18" t="s">
        <v>10319</v>
      </c>
      <c r="J369" s="18" t="s">
        <v>95</v>
      </c>
      <c r="K369" s="18" t="s">
        <v>7970</v>
      </c>
      <c r="L369" s="18" t="s">
        <v>10320</v>
      </c>
      <c r="M369" s="18" t="s">
        <v>10321</v>
      </c>
      <c r="N369" s="18" t="s">
        <v>7793</v>
      </c>
      <c r="O369" s="18" t="s">
        <v>543</v>
      </c>
      <c r="P369" s="18" t="s">
        <v>10322</v>
      </c>
      <c r="Q369" s="18" t="s">
        <v>7975</v>
      </c>
      <c r="R369" s="18" t="s">
        <v>7976</v>
      </c>
      <c r="S369" s="18" t="s">
        <v>7994</v>
      </c>
      <c r="T369" s="18" t="s">
        <v>8245</v>
      </c>
      <c r="U369" s="18" t="s">
        <v>8012</v>
      </c>
      <c r="V369" s="18" t="s">
        <v>6963</v>
      </c>
      <c r="W369" s="18" t="s">
        <v>95</v>
      </c>
      <c r="X369" s="18" t="s">
        <v>95</v>
      </c>
      <c r="Y369" s="18" t="s">
        <v>7980</v>
      </c>
      <c r="Z369" s="18" t="s">
        <v>6996</v>
      </c>
      <c r="AA369" s="69">
        <v>1</v>
      </c>
      <c r="AB369" s="18">
        <v>156.25</v>
      </c>
      <c r="AC369" s="18" t="s">
        <v>7792</v>
      </c>
      <c r="AD369" s="18" t="s">
        <v>7982</v>
      </c>
      <c r="AE369" s="18">
        <v>156</v>
      </c>
      <c r="AF369" s="18" t="s">
        <v>7983</v>
      </c>
      <c r="AG369" s="18">
        <v>156</v>
      </c>
      <c r="AH369" s="18" t="s">
        <v>95</v>
      </c>
      <c r="AI369" s="18" t="s">
        <v>183</v>
      </c>
      <c r="AJ369" s="18" t="s">
        <v>184</v>
      </c>
      <c r="AK369" s="18">
        <v>11.42</v>
      </c>
      <c r="AL369" s="18" t="s">
        <v>95</v>
      </c>
      <c r="AM369" s="18" t="s">
        <v>95</v>
      </c>
      <c r="AN369" s="18" t="s">
        <v>7984</v>
      </c>
      <c r="AO369" s="18" t="s">
        <v>139</v>
      </c>
      <c r="AP369" s="18" t="s">
        <v>326</v>
      </c>
      <c r="AQ369" s="18" t="s">
        <v>327</v>
      </c>
      <c r="AR369" s="18" t="s">
        <v>496</v>
      </c>
      <c r="AS369" s="18">
        <v>1</v>
      </c>
      <c r="AT369" s="18" t="s">
        <v>138</v>
      </c>
      <c r="AU369" s="18" t="s">
        <v>90</v>
      </c>
      <c r="AV369" s="18" t="s">
        <v>8247</v>
      </c>
      <c r="AW369" s="18" t="s">
        <v>8248</v>
      </c>
      <c r="AX369" s="18" t="s">
        <v>83</v>
      </c>
      <c r="AY369" s="18" t="s">
        <v>95</v>
      </c>
      <c r="AZ369" s="18" t="s">
        <v>95</v>
      </c>
      <c r="BA369" s="18" t="s">
        <v>95</v>
      </c>
      <c r="BB369" s="18" t="s">
        <v>95</v>
      </c>
      <c r="BC369" s="18" t="s">
        <v>95</v>
      </c>
      <c r="BD369" s="18" t="s">
        <v>95</v>
      </c>
      <c r="BE369" s="18" t="s">
        <v>8300</v>
      </c>
      <c r="BF369" s="18" t="s">
        <v>8064</v>
      </c>
      <c r="BG369" s="18" t="s">
        <v>95</v>
      </c>
      <c r="BH369" s="18" t="s">
        <v>95</v>
      </c>
      <c r="BI369" s="18">
        <v>12</v>
      </c>
      <c r="BJ369" s="18">
        <v>2022</v>
      </c>
      <c r="BK369" s="18" t="s">
        <v>95</v>
      </c>
      <c r="BL369" s="18" t="s">
        <v>95</v>
      </c>
      <c r="BM369" s="18" t="s">
        <v>95</v>
      </c>
      <c r="BN369" s="18" t="s">
        <v>85</v>
      </c>
      <c r="BO369" s="18" t="s">
        <v>86</v>
      </c>
      <c r="BP369" s="18" t="s">
        <v>90</v>
      </c>
      <c r="BQ369" s="18" t="s">
        <v>7987</v>
      </c>
      <c r="BR369" s="18" t="s">
        <v>139</v>
      </c>
      <c r="BS369" s="18" t="s">
        <v>8003</v>
      </c>
      <c r="BT369" s="18" t="s">
        <v>7989</v>
      </c>
      <c r="BU369" s="18" t="s">
        <v>496</v>
      </c>
      <c r="BV369" s="18" t="str">
        <f>Terminales[[#This Row],[IMEI]]&amp;"SI"</f>
        <v>355108340320169SI</v>
      </c>
      <c r="BW369" s="18" t="str">
        <f>VLOOKUP(Terminales[[#This Row],[OFICINA_USUARIO]],[1]!Locales[#Data],3,0)</f>
        <v>TIENDA AMERICA</v>
      </c>
      <c r="BX369" s="18" t="str">
        <f>VLOOKUP(Terminales[[#This Row],[USUARIO_FINAL]],'[1]Personal Ppto vs Real'!$A:$F,6,0)</f>
        <v>AMBULUDI ROLDAN GIANELLA GRIMANEZA</v>
      </c>
      <c r="BY36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6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69" s="18">
        <f>DAY(Terminales[[#This Row],[FECHA_FACTURA]])</f>
        <v>17</v>
      </c>
      <c r="CB369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69" s="65">
        <f>IFERROR(IF(AND(Terminales[[#This Row],[CANTIDAD]] = 1,Terminales[[#This Row],[MOVIMIENTO]] = "RENOVACION"),Terminales[[#This Row],[TARIFA_BASICA]]*0.5,),)</f>
        <v>5.71</v>
      </c>
      <c r="CD369" s="65">
        <f>IF('[1]Resumen TM'!$AW$20 &lt; 0.4,0,Terminales[[#This Row],[MONTO]]*0.02)</f>
        <v>3.125</v>
      </c>
      <c r="CE369" s="66">
        <f>Terminales[[#This Row],[COMISIONES TERMINALES]]+Terminales[[#This Row],[COMISIONES RENOVACIONES]]+Terminales[[#This Row],[COMISIONES BONO]]</f>
        <v>24.46</v>
      </c>
      <c r="CF369" s="67">
        <f>(Terminales[[#This Row],[COMISIONES TERMINALES]]*VLOOKUP(Terminales[[#This Row],[LOCALES]],[1]!Calendario[#Data],3,0))/VLOOKUP(Terminales[[#This Row],[LOCALES]],[1]!Calendario[#Data],2,0)</f>
        <v>25.669642857142858</v>
      </c>
      <c r="CG369" s="67">
        <f>(Terminales[[#This Row],[COMISIONES RENOVACIONES]]*VLOOKUP(Terminales[[#This Row],[LOCALES]],[1]!Calendario[#Data],3,0))/VLOOKUP(Terminales[[#This Row],[LOCALES]],[1]!Calendario[#Data],2,0)</f>
        <v>9.3807142857142871</v>
      </c>
      <c r="CH369" s="67">
        <f>(Terminales[[#This Row],[COMISIONES BONO]]*VLOOKUP(Terminales[[#This Row],[LOCALES]],[1]!Calendario[#Data],3,0))/VLOOKUP(Terminales[[#This Row],[LOCALES]],[1]!Calendario[#Data],2,0)</f>
        <v>5.1339285714285712</v>
      </c>
      <c r="CI369" s="67">
        <f>Terminales[[#This Row],[PROY. COM. TERMINALES]]+Terminales[[#This Row],[PROY. COM. RENOV.]]+Terminales[[#This Row],[PROY. COM. 2%]]</f>
        <v>40.184285714285714</v>
      </c>
    </row>
    <row r="370" spans="1:87" x14ac:dyDescent="0.25">
      <c r="A370" s="68">
        <v>44926</v>
      </c>
      <c r="B370" s="68">
        <v>44912</v>
      </c>
      <c r="C370" s="18" t="s">
        <v>96</v>
      </c>
      <c r="D370" s="18" t="s">
        <v>96</v>
      </c>
      <c r="E370" s="18" t="s">
        <v>96</v>
      </c>
      <c r="F370" s="18" t="s">
        <v>95</v>
      </c>
      <c r="G370" s="18" t="s">
        <v>292</v>
      </c>
      <c r="H370" s="18" t="s">
        <v>494</v>
      </c>
      <c r="I370" s="18" t="s">
        <v>10323</v>
      </c>
      <c r="J370" s="18" t="s">
        <v>95</v>
      </c>
      <c r="K370" s="18" t="s">
        <v>7970</v>
      </c>
      <c r="L370" s="18" t="s">
        <v>10324</v>
      </c>
      <c r="M370" s="18" t="s">
        <v>10325</v>
      </c>
      <c r="N370" s="18" t="s">
        <v>10326</v>
      </c>
      <c r="O370" s="18" t="s">
        <v>495</v>
      </c>
      <c r="P370" s="18" t="s">
        <v>10327</v>
      </c>
      <c r="Q370" s="18" t="s">
        <v>7975</v>
      </c>
      <c r="R370" s="18" t="s">
        <v>7976</v>
      </c>
      <c r="S370" s="18" t="s">
        <v>7994</v>
      </c>
      <c r="T370" s="18" t="s">
        <v>10210</v>
      </c>
      <c r="U370" s="18" t="s">
        <v>7996</v>
      </c>
      <c r="V370" s="18" t="s">
        <v>6963</v>
      </c>
      <c r="W370" s="18" t="s">
        <v>95</v>
      </c>
      <c r="X370" s="18" t="s">
        <v>95</v>
      </c>
      <c r="Y370" s="18" t="s">
        <v>7980</v>
      </c>
      <c r="Z370" s="18" t="s">
        <v>6996</v>
      </c>
      <c r="AA370" s="69">
        <v>1</v>
      </c>
      <c r="AB370" s="18">
        <v>156.25</v>
      </c>
      <c r="AC370" s="18" t="s">
        <v>95</v>
      </c>
      <c r="AD370" s="18" t="s">
        <v>96</v>
      </c>
      <c r="AE370" s="18">
        <v>135</v>
      </c>
      <c r="AF370" s="18" t="s">
        <v>7983</v>
      </c>
      <c r="AG370" s="18">
        <v>135</v>
      </c>
      <c r="AH370" s="18" t="s">
        <v>95</v>
      </c>
      <c r="AI370" s="18" t="s">
        <v>95</v>
      </c>
      <c r="AJ370" s="18" t="s">
        <v>95</v>
      </c>
      <c r="AK370" s="18" t="s">
        <v>95</v>
      </c>
      <c r="AL370" s="18" t="s">
        <v>95</v>
      </c>
      <c r="AM370" s="18" t="s">
        <v>95</v>
      </c>
      <c r="AN370" s="18" t="s">
        <v>7984</v>
      </c>
      <c r="AO370" s="18" t="s">
        <v>139</v>
      </c>
      <c r="AP370" s="18" t="s">
        <v>492</v>
      </c>
      <c r="AQ370" s="18" t="s">
        <v>493</v>
      </c>
      <c r="AR370" s="18" t="s">
        <v>496</v>
      </c>
      <c r="AS370" s="18">
        <v>1</v>
      </c>
      <c r="AT370" s="18" t="s">
        <v>177</v>
      </c>
      <c r="AU370" s="18" t="s">
        <v>90</v>
      </c>
      <c r="AV370" s="18" t="s">
        <v>10212</v>
      </c>
      <c r="AW370" s="18" t="s">
        <v>10213</v>
      </c>
      <c r="AX370" s="18" t="s">
        <v>83</v>
      </c>
      <c r="AY370" s="18" t="s">
        <v>95</v>
      </c>
      <c r="AZ370" s="18" t="s">
        <v>95</v>
      </c>
      <c r="BA370" s="18" t="s">
        <v>95</v>
      </c>
      <c r="BB370" s="18" t="s">
        <v>95</v>
      </c>
      <c r="BC370" s="18" t="s">
        <v>95</v>
      </c>
      <c r="BD370" s="18" t="s">
        <v>95</v>
      </c>
      <c r="BE370" s="18" t="s">
        <v>95</v>
      </c>
      <c r="BF370" s="18" t="s">
        <v>95</v>
      </c>
      <c r="BG370" s="18" t="s">
        <v>95</v>
      </c>
      <c r="BH370" s="18" t="s">
        <v>95</v>
      </c>
      <c r="BI370" s="18">
        <v>12</v>
      </c>
      <c r="BJ370" s="18">
        <v>2022</v>
      </c>
      <c r="BK370" s="18" t="s">
        <v>95</v>
      </c>
      <c r="BL370" s="18" t="s">
        <v>95</v>
      </c>
      <c r="BM370" s="18" t="s">
        <v>95</v>
      </c>
      <c r="BN370" s="18" t="s">
        <v>85</v>
      </c>
      <c r="BO370" s="18" t="s">
        <v>86</v>
      </c>
      <c r="BP370" s="18" t="s">
        <v>90</v>
      </c>
      <c r="BQ370" s="18" t="s">
        <v>8002</v>
      </c>
      <c r="BR370" s="18" t="s">
        <v>139</v>
      </c>
      <c r="BS370" s="18" t="s">
        <v>8074</v>
      </c>
      <c r="BT370" s="18" t="s">
        <v>7989</v>
      </c>
      <c r="BU370" s="18" t="s">
        <v>496</v>
      </c>
      <c r="BV370" s="18" t="str">
        <f>Terminales[[#This Row],[IMEI]]&amp;"SI"</f>
        <v>358742571274773SI</v>
      </c>
      <c r="BW370" s="18" t="str">
        <f>VLOOKUP(Terminales[[#This Row],[OFICINA_USUARIO]],[1]!Locales[#Data],3,0)</f>
        <v>TIENDA RECREO</v>
      </c>
      <c r="BX370" s="18" t="str">
        <f>VLOOKUP(Terminales[[#This Row],[USUARIO_FINAL]],'[1]Personal Ppto vs Real'!$A:$F,6,0)</f>
        <v>CONDO GARCIA NICOLAS MATIAS</v>
      </c>
      <c r="BY37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7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70" s="18">
        <f>DAY(Terminales[[#This Row],[FECHA_FACTURA]])</f>
        <v>17</v>
      </c>
      <c r="CB370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70" s="65">
        <f>IFERROR(IF(AND(Terminales[[#This Row],[CANTIDAD]] = 1,Terminales[[#This Row],[MOVIMIENTO]] = "RENOVACION"),Terminales[[#This Row],[TARIFA_BASICA]]*0.5,),)</f>
        <v>0</v>
      </c>
      <c r="CD370" s="65">
        <f>IF('[1]Resumen TM'!$AW$20 &lt; 0.4,0,Terminales[[#This Row],[MONTO]]*0.02)</f>
        <v>3.125</v>
      </c>
      <c r="CE370" s="66">
        <f>Terminales[[#This Row],[COMISIONES TERMINALES]]+Terminales[[#This Row],[COMISIONES RENOVACIONES]]+Terminales[[#This Row],[COMISIONES BONO]]</f>
        <v>18.75</v>
      </c>
      <c r="CF370" s="67">
        <f>(Terminales[[#This Row],[COMISIONES TERMINALES]]*VLOOKUP(Terminales[[#This Row],[LOCALES]],[1]!Calendario[#Data],3,0))/VLOOKUP(Terminales[[#This Row],[LOCALES]],[1]!Calendario[#Data],2,0)</f>
        <v>25.705645161290324</v>
      </c>
      <c r="CG370" s="67">
        <f>(Terminales[[#This Row],[COMISIONES RENOVACIONES]]*VLOOKUP(Terminales[[#This Row],[LOCALES]],[1]!Calendario[#Data],3,0))/VLOOKUP(Terminales[[#This Row],[LOCALES]],[1]!Calendario[#Data],2,0)</f>
        <v>0</v>
      </c>
      <c r="CH370" s="67">
        <f>(Terminales[[#This Row],[COMISIONES BONO]]*VLOOKUP(Terminales[[#This Row],[LOCALES]],[1]!Calendario[#Data],3,0))/VLOOKUP(Terminales[[#This Row],[LOCALES]],[1]!Calendario[#Data],2,0)</f>
        <v>5.1411290322580649</v>
      </c>
      <c r="CI370" s="67">
        <f>Terminales[[#This Row],[PROY. COM. TERMINALES]]+Terminales[[#This Row],[PROY. COM. RENOV.]]+Terminales[[#This Row],[PROY. COM. 2%]]</f>
        <v>30.846774193548388</v>
      </c>
    </row>
    <row r="371" spans="1:87" x14ac:dyDescent="0.25">
      <c r="A371" s="68">
        <v>44926</v>
      </c>
      <c r="B371" s="68">
        <v>44912</v>
      </c>
      <c r="C371" s="18" t="s">
        <v>291</v>
      </c>
      <c r="D371" s="18" t="s">
        <v>78</v>
      </c>
      <c r="E371" s="18" t="s">
        <v>768</v>
      </c>
      <c r="F371" s="18" t="s">
        <v>10328</v>
      </c>
      <c r="G371" s="18" t="s">
        <v>292</v>
      </c>
      <c r="H371" s="18" t="s">
        <v>293</v>
      </c>
      <c r="I371" s="18" t="s">
        <v>10329</v>
      </c>
      <c r="J371" s="18" t="s">
        <v>95</v>
      </c>
      <c r="K371" s="18" t="s">
        <v>7970</v>
      </c>
      <c r="L371" s="18" t="s">
        <v>5924</v>
      </c>
      <c r="M371" s="18" t="s">
        <v>5925</v>
      </c>
      <c r="N371" s="18" t="s">
        <v>5926</v>
      </c>
      <c r="O371" s="18" t="s">
        <v>9355</v>
      </c>
      <c r="P371" s="18" t="s">
        <v>10330</v>
      </c>
      <c r="Q371" s="18" t="s">
        <v>7975</v>
      </c>
      <c r="R371" s="18" t="s">
        <v>7976</v>
      </c>
      <c r="S371" s="18" t="s">
        <v>7977</v>
      </c>
      <c r="T371" s="18" t="s">
        <v>8035</v>
      </c>
      <c r="U371" s="18" t="s">
        <v>7996</v>
      </c>
      <c r="V371" s="18" t="s">
        <v>6963</v>
      </c>
      <c r="W371" s="18" t="s">
        <v>95</v>
      </c>
      <c r="X371" s="18" t="s">
        <v>95</v>
      </c>
      <c r="Y371" s="18" t="s">
        <v>7980</v>
      </c>
      <c r="Z371" s="18" t="s">
        <v>6996</v>
      </c>
      <c r="AA371" s="69">
        <v>1</v>
      </c>
      <c r="AB371" s="18">
        <v>236.60713999999999</v>
      </c>
      <c r="AC371" s="18" t="s">
        <v>10331</v>
      </c>
      <c r="AD371" s="18" t="s">
        <v>7982</v>
      </c>
      <c r="AE371" s="18">
        <v>147</v>
      </c>
      <c r="AF371" s="18" t="s">
        <v>7983</v>
      </c>
      <c r="AG371" s="18">
        <v>147</v>
      </c>
      <c r="AH371" s="18" t="s">
        <v>95</v>
      </c>
      <c r="AI371" s="18" t="s">
        <v>7575</v>
      </c>
      <c r="AJ371" s="18" t="s">
        <v>7576</v>
      </c>
      <c r="AK371" s="18">
        <v>30.02</v>
      </c>
      <c r="AL371" s="18" t="s">
        <v>95</v>
      </c>
      <c r="AM371" s="18" t="s">
        <v>95</v>
      </c>
      <c r="AN371" s="18" t="s">
        <v>7984</v>
      </c>
      <c r="AO371" s="18" t="s">
        <v>139</v>
      </c>
      <c r="AP371" s="18" t="s">
        <v>262</v>
      </c>
      <c r="AQ371" s="18" t="s">
        <v>263</v>
      </c>
      <c r="AR371" s="18" t="s">
        <v>295</v>
      </c>
      <c r="AS371" s="18">
        <v>1</v>
      </c>
      <c r="AT371" s="18" t="s">
        <v>177</v>
      </c>
      <c r="AU371" s="18" t="s">
        <v>90</v>
      </c>
      <c r="AV371" s="18" t="s">
        <v>9358</v>
      </c>
      <c r="AW371" s="18" t="s">
        <v>9359</v>
      </c>
      <c r="AX371" s="18" t="s">
        <v>83</v>
      </c>
      <c r="AY371" s="18" t="s">
        <v>95</v>
      </c>
      <c r="AZ371" s="18" t="s">
        <v>95</v>
      </c>
      <c r="BA371" s="18" t="s">
        <v>95</v>
      </c>
      <c r="BB371" s="18" t="s">
        <v>95</v>
      </c>
      <c r="BC371" s="18" t="s">
        <v>95</v>
      </c>
      <c r="BD371" s="18">
        <v>40</v>
      </c>
      <c r="BE371" s="18" t="s">
        <v>95</v>
      </c>
      <c r="BF371" s="18" t="s">
        <v>95</v>
      </c>
      <c r="BG371" s="18" t="s">
        <v>95</v>
      </c>
      <c r="BH371" s="18" t="s">
        <v>95</v>
      </c>
      <c r="BI371" s="18">
        <v>12</v>
      </c>
      <c r="BJ371" s="18">
        <v>2022</v>
      </c>
      <c r="BK371" s="18" t="s">
        <v>95</v>
      </c>
      <c r="BL371" s="18" t="s">
        <v>95</v>
      </c>
      <c r="BM371" s="18" t="s">
        <v>95</v>
      </c>
      <c r="BN371" s="18" t="s">
        <v>85</v>
      </c>
      <c r="BO371" s="18" t="s">
        <v>86</v>
      </c>
      <c r="BP371" s="18" t="s">
        <v>90</v>
      </c>
      <c r="BQ371" s="18" t="s">
        <v>8002</v>
      </c>
      <c r="BR371" s="18" t="s">
        <v>139</v>
      </c>
      <c r="BS371" s="18" t="s">
        <v>9828</v>
      </c>
      <c r="BT371" s="18" t="s">
        <v>7989</v>
      </c>
      <c r="BU371" s="18" t="s">
        <v>7990</v>
      </c>
      <c r="BV371" s="18" t="str">
        <f>Terminales[[#This Row],[IMEI]]&amp;"SI"</f>
        <v>862800060812880SI</v>
      </c>
      <c r="BW371" s="18" t="str">
        <f>VLOOKUP(Terminales[[#This Row],[OFICINA_USUARIO]],[1]!Locales[#Data],3,0)</f>
        <v>TIENDA RECREO</v>
      </c>
      <c r="BX371" s="18" t="str">
        <f>VLOOKUP(Terminales[[#This Row],[USUARIO_FINAL]],'[1]Personal Ppto vs Real'!$A:$F,6,0)</f>
        <v>CHICAIZA TOAPANTA ALEX DANILO</v>
      </c>
      <c r="BY371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7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71" s="18">
        <f>DAY(Terminales[[#This Row],[FECHA_FACTURA]])</f>
        <v>17</v>
      </c>
      <c r="CB371" s="65">
        <f>IF(Terminales[[#This Row],[CANTIDAD]] = 1,INDEX([1]!Comisiones[#Data],MATCH("Terminales",[1]!Comisiones[Producto],0),MATCH(Terminales[[#This Row],[TIPO ALTA COMISIONES]],[1]!Comisiones[#Headers],0))*Terminales[[#This Row],[MONTO]],0)</f>
        <v>23.660713999999999</v>
      </c>
      <c r="CC371" s="65">
        <f>IFERROR(IF(AND(Terminales[[#This Row],[CANTIDAD]] = 1,Terminales[[#This Row],[MOVIMIENTO]] = "RENOVACION"),Terminales[[#This Row],[TARIFA_BASICA]]*0.5,),)</f>
        <v>15.01</v>
      </c>
      <c r="CD371" s="65">
        <f>IF('[1]Resumen TM'!$AW$20 &lt; 0.4,0,Terminales[[#This Row],[MONTO]]*0.02)</f>
        <v>4.7321428000000001</v>
      </c>
      <c r="CE371" s="66">
        <f>Terminales[[#This Row],[COMISIONES TERMINALES]]+Terminales[[#This Row],[COMISIONES RENOVACIONES]]+Terminales[[#This Row],[COMISIONES BONO]]</f>
        <v>43.402856799999995</v>
      </c>
      <c r="CF371" s="67">
        <f>(Terminales[[#This Row],[COMISIONES TERMINALES]]*VLOOKUP(Terminales[[#This Row],[LOCALES]],[1]!Calendario[#Data],3,0))/VLOOKUP(Terminales[[#This Row],[LOCALES]],[1]!Calendario[#Data],2,0)</f>
        <v>38.925690774193548</v>
      </c>
      <c r="CG371" s="67">
        <f>(Terminales[[#This Row],[COMISIONES RENOVACIONES]]*VLOOKUP(Terminales[[#This Row],[LOCALES]],[1]!Calendario[#Data],3,0))/VLOOKUP(Terminales[[#This Row],[LOCALES]],[1]!Calendario[#Data],2,0)</f>
        <v>24.693870967741937</v>
      </c>
      <c r="CH371" s="67">
        <f>(Terminales[[#This Row],[COMISIONES BONO]]*VLOOKUP(Terminales[[#This Row],[LOCALES]],[1]!Calendario[#Data],3,0))/VLOOKUP(Terminales[[#This Row],[LOCALES]],[1]!Calendario[#Data],2,0)</f>
        <v>7.7851381548387097</v>
      </c>
      <c r="CI371" s="67">
        <f>Terminales[[#This Row],[PROY. COM. TERMINALES]]+Terminales[[#This Row],[PROY. COM. RENOV.]]+Terminales[[#This Row],[PROY. COM. 2%]]</f>
        <v>71.40469989677419</v>
      </c>
    </row>
    <row r="372" spans="1:87" x14ac:dyDescent="0.25">
      <c r="A372" s="68">
        <v>44926</v>
      </c>
      <c r="B372" s="68">
        <v>44912</v>
      </c>
      <c r="C372" s="18" t="s">
        <v>96</v>
      </c>
      <c r="D372" s="18" t="s">
        <v>96</v>
      </c>
      <c r="E372" s="18" t="s">
        <v>96</v>
      </c>
      <c r="F372" s="18" t="s">
        <v>10332</v>
      </c>
      <c r="G372" s="18" t="s">
        <v>292</v>
      </c>
      <c r="H372" s="18" t="s">
        <v>494</v>
      </c>
      <c r="I372" s="18" t="s">
        <v>10333</v>
      </c>
      <c r="J372" s="18" t="s">
        <v>95</v>
      </c>
      <c r="K372" s="18" t="s">
        <v>7970</v>
      </c>
      <c r="L372" s="18" t="s">
        <v>10334</v>
      </c>
      <c r="M372" s="18" t="s">
        <v>10335</v>
      </c>
      <c r="N372" s="18" t="s">
        <v>10336</v>
      </c>
      <c r="O372" s="18" t="s">
        <v>2260</v>
      </c>
      <c r="P372" s="18" t="s">
        <v>10337</v>
      </c>
      <c r="Q372" s="18" t="s">
        <v>7975</v>
      </c>
      <c r="R372" s="18" t="s">
        <v>7976</v>
      </c>
      <c r="S372" s="18" t="s">
        <v>8010</v>
      </c>
      <c r="T372" s="18" t="s">
        <v>8011</v>
      </c>
      <c r="U372" s="18" t="s">
        <v>8012</v>
      </c>
      <c r="V372" s="18" t="s">
        <v>6963</v>
      </c>
      <c r="W372" s="18" t="s">
        <v>95</v>
      </c>
      <c r="X372" s="18" t="s">
        <v>95</v>
      </c>
      <c r="Y372" s="18" t="s">
        <v>7980</v>
      </c>
      <c r="Z372" s="18" t="s">
        <v>6996</v>
      </c>
      <c r="AA372" s="69">
        <v>1</v>
      </c>
      <c r="AB372" s="18">
        <v>196.42857000000001</v>
      </c>
      <c r="AC372" s="18" t="s">
        <v>10338</v>
      </c>
      <c r="AD372" s="18" t="s">
        <v>7982</v>
      </c>
      <c r="AE372" s="18">
        <v>168.8</v>
      </c>
      <c r="AF372" s="18" t="s">
        <v>7983</v>
      </c>
      <c r="AG372" s="18">
        <v>168.8</v>
      </c>
      <c r="AH372" s="18" t="s">
        <v>95</v>
      </c>
      <c r="AI372" s="18" t="s">
        <v>8102</v>
      </c>
      <c r="AJ372" s="18" t="s">
        <v>8103</v>
      </c>
      <c r="AK372" s="18" t="s">
        <v>95</v>
      </c>
      <c r="AL372" s="18" t="s">
        <v>95</v>
      </c>
      <c r="AM372" s="18" t="s">
        <v>95</v>
      </c>
      <c r="AN372" s="18" t="s">
        <v>7984</v>
      </c>
      <c r="AO372" s="18" t="s">
        <v>139</v>
      </c>
      <c r="AP372" s="18" t="s">
        <v>760</v>
      </c>
      <c r="AQ372" s="18" t="s">
        <v>761</v>
      </c>
      <c r="AR372" s="18" t="s">
        <v>496</v>
      </c>
      <c r="AS372" s="18">
        <v>1</v>
      </c>
      <c r="AT372" s="18" t="s">
        <v>177</v>
      </c>
      <c r="AU372" s="18" t="s">
        <v>90</v>
      </c>
      <c r="AV372" s="18" t="s">
        <v>8014</v>
      </c>
      <c r="AW372" s="18" t="s">
        <v>8015</v>
      </c>
      <c r="AX372" s="18" t="s">
        <v>83</v>
      </c>
      <c r="AY372" s="18" t="s">
        <v>95</v>
      </c>
      <c r="AZ372" s="18" t="s">
        <v>95</v>
      </c>
      <c r="BA372" s="18" t="s">
        <v>95</v>
      </c>
      <c r="BB372" s="18" t="s">
        <v>95</v>
      </c>
      <c r="BC372" s="18" t="s">
        <v>95</v>
      </c>
      <c r="BD372" s="18" t="s">
        <v>95</v>
      </c>
      <c r="BE372" s="18" t="s">
        <v>95</v>
      </c>
      <c r="BF372" s="18" t="s">
        <v>95</v>
      </c>
      <c r="BG372" s="18" t="s">
        <v>95</v>
      </c>
      <c r="BH372" s="18" t="s">
        <v>95</v>
      </c>
      <c r="BI372" s="18">
        <v>12</v>
      </c>
      <c r="BJ372" s="18">
        <v>2022</v>
      </c>
      <c r="BK372" s="18" t="s">
        <v>95</v>
      </c>
      <c r="BL372" s="18" t="s">
        <v>95</v>
      </c>
      <c r="BM372" s="18" t="s">
        <v>95</v>
      </c>
      <c r="BN372" s="18" t="s">
        <v>85</v>
      </c>
      <c r="BO372" s="18" t="s">
        <v>86</v>
      </c>
      <c r="BP372" s="18" t="s">
        <v>90</v>
      </c>
      <c r="BQ372" s="18" t="s">
        <v>8002</v>
      </c>
      <c r="BR372" s="18" t="s">
        <v>139</v>
      </c>
      <c r="BS372" s="18" t="s">
        <v>8074</v>
      </c>
      <c r="BT372" s="18" t="s">
        <v>7989</v>
      </c>
      <c r="BU372" s="18" t="s">
        <v>496</v>
      </c>
      <c r="BV372" s="18" t="str">
        <f>Terminales[[#This Row],[IMEI]]&amp;"SI"</f>
        <v>359694275330170SI</v>
      </c>
      <c r="BW372" s="18" t="str">
        <f>VLOOKUP(Terminales[[#This Row],[OFICINA_USUARIO]],[1]!Locales[#Data],3,0)</f>
        <v>TIENDA RECREO</v>
      </c>
      <c r="BX372" s="18" t="str">
        <f>VLOOKUP(Terminales[[#This Row],[USUARIO_FINAL]],'[1]Personal Ppto vs Real'!$A:$F,6,0)</f>
        <v>VALBUENA SANCHEZ ALBERT ANTHONY</v>
      </c>
      <c r="BY37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7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72" s="18">
        <f>DAY(Terminales[[#This Row],[FECHA_FACTURA]])</f>
        <v>17</v>
      </c>
      <c r="CB372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372" s="65">
        <f>IFERROR(IF(AND(Terminales[[#This Row],[CANTIDAD]] = 1,Terminales[[#This Row],[MOVIMIENTO]] = "RENOVACION"),Terminales[[#This Row],[TARIFA_BASICA]]*0.5,),)</f>
        <v>0</v>
      </c>
      <c r="CD372" s="65">
        <f>IF('[1]Resumen TM'!$AW$20 &lt; 0.4,0,Terminales[[#This Row],[MONTO]]*0.02)</f>
        <v>3.9285714</v>
      </c>
      <c r="CE372" s="66">
        <f>Terminales[[#This Row],[COMISIONES TERMINALES]]+Terminales[[#This Row],[COMISIONES RENOVACIONES]]+Terminales[[#This Row],[COMISIONES BONO]]</f>
        <v>23.571428400000002</v>
      </c>
      <c r="CF372" s="67">
        <f>(Terminales[[#This Row],[COMISIONES TERMINALES]]*VLOOKUP(Terminales[[#This Row],[LOCALES]],[1]!Calendario[#Data],3,0))/VLOOKUP(Terminales[[#This Row],[LOCALES]],[1]!Calendario[#Data],2,0)</f>
        <v>32.315667967741938</v>
      </c>
      <c r="CG372" s="67">
        <f>(Terminales[[#This Row],[COMISIONES RENOVACIONES]]*VLOOKUP(Terminales[[#This Row],[LOCALES]],[1]!Calendario[#Data],3,0))/VLOOKUP(Terminales[[#This Row],[LOCALES]],[1]!Calendario[#Data],2,0)</f>
        <v>0</v>
      </c>
      <c r="CH372" s="67">
        <f>(Terminales[[#This Row],[COMISIONES BONO]]*VLOOKUP(Terminales[[#This Row],[LOCALES]],[1]!Calendario[#Data],3,0))/VLOOKUP(Terminales[[#This Row],[LOCALES]],[1]!Calendario[#Data],2,0)</f>
        <v>6.4631335935483865</v>
      </c>
      <c r="CI372" s="67">
        <f>Terminales[[#This Row],[PROY. COM. TERMINALES]]+Terminales[[#This Row],[PROY. COM. RENOV.]]+Terminales[[#This Row],[PROY. COM. 2%]]</f>
        <v>38.778801561290322</v>
      </c>
    </row>
    <row r="373" spans="1:87" x14ac:dyDescent="0.25">
      <c r="A373" s="68">
        <v>44926</v>
      </c>
      <c r="B373" s="68">
        <v>44912</v>
      </c>
      <c r="C373" s="18" t="s">
        <v>291</v>
      </c>
      <c r="D373" s="18" t="s">
        <v>78</v>
      </c>
      <c r="E373" s="18" t="s">
        <v>1532</v>
      </c>
      <c r="F373" s="18" t="s">
        <v>7643</v>
      </c>
      <c r="G373" s="18" t="s">
        <v>292</v>
      </c>
      <c r="H373" s="18" t="s">
        <v>293</v>
      </c>
      <c r="I373" s="18" t="s">
        <v>10339</v>
      </c>
      <c r="J373" s="18" t="s">
        <v>95</v>
      </c>
      <c r="K373" s="18" t="s">
        <v>7970</v>
      </c>
      <c r="L373" s="18" t="s">
        <v>180</v>
      </c>
      <c r="M373" s="18" t="s">
        <v>181</v>
      </c>
      <c r="N373" s="18" t="s">
        <v>182</v>
      </c>
      <c r="O373" s="18" t="s">
        <v>354</v>
      </c>
      <c r="P373" s="18" t="s">
        <v>10340</v>
      </c>
      <c r="Q373" s="18" t="s">
        <v>7975</v>
      </c>
      <c r="R373" s="18" t="s">
        <v>7976</v>
      </c>
      <c r="S373" s="18" t="s">
        <v>8070</v>
      </c>
      <c r="T373" s="18" t="s">
        <v>8071</v>
      </c>
      <c r="U373" s="18" t="s">
        <v>8012</v>
      </c>
      <c r="V373" s="18" t="s">
        <v>6963</v>
      </c>
      <c r="W373" s="18" t="s">
        <v>95</v>
      </c>
      <c r="X373" s="18" t="s">
        <v>95</v>
      </c>
      <c r="Y373" s="18" t="s">
        <v>7980</v>
      </c>
      <c r="Z373" s="18" t="s">
        <v>6996</v>
      </c>
      <c r="AA373" s="69">
        <v>1</v>
      </c>
      <c r="AB373" s="18">
        <v>285.71429000000001</v>
      </c>
      <c r="AC373" s="18" t="s">
        <v>7644</v>
      </c>
      <c r="AD373" s="18" t="s">
        <v>7982</v>
      </c>
      <c r="AE373" s="18">
        <v>199.79</v>
      </c>
      <c r="AF373" s="18" t="s">
        <v>7983</v>
      </c>
      <c r="AG373" s="18">
        <v>199.79</v>
      </c>
      <c r="AH373" s="18" t="s">
        <v>95</v>
      </c>
      <c r="AI373" s="18" t="s">
        <v>359</v>
      </c>
      <c r="AJ373" s="18" t="s">
        <v>360</v>
      </c>
      <c r="AK373" s="18">
        <v>14.28</v>
      </c>
      <c r="AL373" s="18" t="s">
        <v>95</v>
      </c>
      <c r="AM373" s="18" t="s">
        <v>95</v>
      </c>
      <c r="AN373" s="18" t="s">
        <v>7984</v>
      </c>
      <c r="AO373" s="18" t="s">
        <v>139</v>
      </c>
      <c r="AP373" s="18" t="s">
        <v>187</v>
      </c>
      <c r="AQ373" s="18" t="s">
        <v>188</v>
      </c>
      <c r="AR373" s="18" t="s">
        <v>295</v>
      </c>
      <c r="AS373" s="18">
        <v>1</v>
      </c>
      <c r="AT373" s="18" t="s">
        <v>177</v>
      </c>
      <c r="AU373" s="18" t="s">
        <v>90</v>
      </c>
      <c r="AV373" s="18" t="s">
        <v>8072</v>
      </c>
      <c r="AW373" s="18" t="s">
        <v>8073</v>
      </c>
      <c r="AX373" s="18" t="s">
        <v>83</v>
      </c>
      <c r="AY373" s="18" t="s">
        <v>95</v>
      </c>
      <c r="AZ373" s="18" t="s">
        <v>95</v>
      </c>
      <c r="BA373" s="18" t="s">
        <v>95</v>
      </c>
      <c r="BB373" s="18" t="s">
        <v>95</v>
      </c>
      <c r="BC373" s="18" t="s">
        <v>95</v>
      </c>
      <c r="BD373" s="18">
        <v>58</v>
      </c>
      <c r="BE373" s="18" t="s">
        <v>95</v>
      </c>
      <c r="BF373" s="18" t="s">
        <v>95</v>
      </c>
      <c r="BG373" s="18" t="s">
        <v>95</v>
      </c>
      <c r="BH373" s="18" t="s">
        <v>95</v>
      </c>
      <c r="BI373" s="18">
        <v>12</v>
      </c>
      <c r="BJ373" s="18">
        <v>2022</v>
      </c>
      <c r="BK373" s="18" t="s">
        <v>95</v>
      </c>
      <c r="BL373" s="18" t="s">
        <v>95</v>
      </c>
      <c r="BM373" s="18" t="s">
        <v>95</v>
      </c>
      <c r="BN373" s="18" t="s">
        <v>85</v>
      </c>
      <c r="BO373" s="18" t="s">
        <v>86</v>
      </c>
      <c r="BP373" s="18" t="s">
        <v>90</v>
      </c>
      <c r="BQ373" s="18" t="s">
        <v>8002</v>
      </c>
      <c r="BR373" s="18" t="s">
        <v>139</v>
      </c>
      <c r="BS373" s="18" t="s">
        <v>9828</v>
      </c>
      <c r="BT373" s="18" t="s">
        <v>7989</v>
      </c>
      <c r="BU373" s="18" t="s">
        <v>7990</v>
      </c>
      <c r="BV373" s="18" t="str">
        <f>Terminales[[#This Row],[IMEI]]&amp;"SI"</f>
        <v>869113065613680SI</v>
      </c>
      <c r="BW373" s="18" t="str">
        <f>VLOOKUP(Terminales[[#This Row],[OFICINA_USUARIO]],[1]!Locales[#Data],3,0)</f>
        <v>TIENDA RECREO</v>
      </c>
      <c r="BX373" s="18" t="str">
        <f>VLOOKUP(Terminales[[#This Row],[USUARIO_FINAL]],'[1]Personal Ppto vs Real'!$A:$F,6,0)</f>
        <v>ESPINOZA MARTINES LAURA XIOMARA</v>
      </c>
      <c r="BY373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7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73" s="18">
        <f>DAY(Terminales[[#This Row],[FECHA_FACTURA]])</f>
        <v>17</v>
      </c>
      <c r="CB373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373" s="65">
        <f>IFERROR(IF(AND(Terminales[[#This Row],[CANTIDAD]] = 1,Terminales[[#This Row],[MOVIMIENTO]] = "RENOVACION"),Terminales[[#This Row],[TARIFA_BASICA]]*0.5,),)</f>
        <v>7.14</v>
      </c>
      <c r="CD373" s="65">
        <f>IF('[1]Resumen TM'!$AW$20 &lt; 0.4,0,Terminales[[#This Row],[MONTO]]*0.02)</f>
        <v>5.7142857999999999</v>
      </c>
      <c r="CE373" s="66">
        <f>Terminales[[#This Row],[COMISIONES TERMINALES]]+Terminales[[#This Row],[COMISIONES RENOVACIONES]]+Terminales[[#This Row],[COMISIONES BONO]]</f>
        <v>41.425714800000002</v>
      </c>
      <c r="CF373" s="67">
        <f>(Terminales[[#This Row],[COMISIONES TERMINALES]]*VLOOKUP(Terminales[[#This Row],[LOCALES]],[1]!Calendario[#Data],3,0))/VLOOKUP(Terminales[[#This Row],[LOCALES]],[1]!Calendario[#Data],2,0)</f>
        <v>47.004609000000002</v>
      </c>
      <c r="CG373" s="67">
        <f>(Terminales[[#This Row],[COMISIONES RENOVACIONES]]*VLOOKUP(Terminales[[#This Row],[LOCALES]],[1]!Calendario[#Data],3,0))/VLOOKUP(Terminales[[#This Row],[LOCALES]],[1]!Calendario[#Data],2,0)</f>
        <v>11.746451612903225</v>
      </c>
      <c r="CH373" s="67">
        <f>(Terminales[[#This Row],[COMISIONES BONO]]*VLOOKUP(Terminales[[#This Row],[LOCALES]],[1]!Calendario[#Data],3,0))/VLOOKUP(Terminales[[#This Row],[LOCALES]],[1]!Calendario[#Data],2,0)</f>
        <v>9.400921799999999</v>
      </c>
      <c r="CI373" s="67">
        <f>Terminales[[#This Row],[PROY. COM. TERMINALES]]+Terminales[[#This Row],[PROY. COM. RENOV.]]+Terminales[[#This Row],[PROY. COM. 2%]]</f>
        <v>68.151982412903237</v>
      </c>
    </row>
    <row r="374" spans="1:87" x14ac:dyDescent="0.25">
      <c r="A374" s="68">
        <v>44926</v>
      </c>
      <c r="B374" s="68">
        <v>44912</v>
      </c>
      <c r="C374" s="18" t="s">
        <v>291</v>
      </c>
      <c r="D374" s="18" t="s">
        <v>78</v>
      </c>
      <c r="E374" s="18" t="s">
        <v>231</v>
      </c>
      <c r="F374" s="18" t="s">
        <v>10341</v>
      </c>
      <c r="G374" s="18" t="s">
        <v>292</v>
      </c>
      <c r="H374" s="18" t="s">
        <v>494</v>
      </c>
      <c r="I374" s="18" t="s">
        <v>10342</v>
      </c>
      <c r="J374" s="18" t="s">
        <v>95</v>
      </c>
      <c r="K374" s="18" t="s">
        <v>7970</v>
      </c>
      <c r="L374" s="18" t="s">
        <v>10343</v>
      </c>
      <c r="M374" s="18" t="s">
        <v>10344</v>
      </c>
      <c r="N374" s="18" t="s">
        <v>10345</v>
      </c>
      <c r="O374" s="18" t="s">
        <v>338</v>
      </c>
      <c r="P374" s="18" t="s">
        <v>10346</v>
      </c>
      <c r="Q374" s="18" t="s">
        <v>7975</v>
      </c>
      <c r="R374" s="18" t="s">
        <v>7976</v>
      </c>
      <c r="S374" s="18" t="s">
        <v>7977</v>
      </c>
      <c r="T374" s="18" t="s">
        <v>7978</v>
      </c>
      <c r="U374" s="18" t="s">
        <v>7979</v>
      </c>
      <c r="V374" s="18" t="s">
        <v>6963</v>
      </c>
      <c r="W374" s="18" t="s">
        <v>95</v>
      </c>
      <c r="X374" s="18" t="s">
        <v>95</v>
      </c>
      <c r="Y374" s="18" t="s">
        <v>7980</v>
      </c>
      <c r="Z374" s="18" t="s">
        <v>6996</v>
      </c>
      <c r="AA374" s="69">
        <v>1</v>
      </c>
      <c r="AB374" s="18">
        <v>276.78570999999999</v>
      </c>
      <c r="AC374" s="18" t="s">
        <v>10347</v>
      </c>
      <c r="AD374" s="18" t="s">
        <v>7982</v>
      </c>
      <c r="AE374" s="18">
        <v>235</v>
      </c>
      <c r="AF374" s="18" t="s">
        <v>7983</v>
      </c>
      <c r="AG374" s="18">
        <v>235</v>
      </c>
      <c r="AH374" s="18" t="s">
        <v>95</v>
      </c>
      <c r="AI374" s="18" t="s">
        <v>3972</v>
      </c>
      <c r="AJ374" s="18" t="s">
        <v>3973</v>
      </c>
      <c r="AK374" s="18">
        <v>26.78</v>
      </c>
      <c r="AL374" s="18" t="s">
        <v>95</v>
      </c>
      <c r="AM374" s="18" t="s">
        <v>95</v>
      </c>
      <c r="AN374" s="18" t="s">
        <v>7984</v>
      </c>
      <c r="AO374" s="18" t="s">
        <v>139</v>
      </c>
      <c r="AP374" s="18" t="s">
        <v>492</v>
      </c>
      <c r="AQ374" s="18" t="s">
        <v>493</v>
      </c>
      <c r="AR374" s="18" t="s">
        <v>496</v>
      </c>
      <c r="AS374" s="18">
        <v>1</v>
      </c>
      <c r="AT374" s="18" t="s">
        <v>177</v>
      </c>
      <c r="AU374" s="18" t="s">
        <v>90</v>
      </c>
      <c r="AV374" s="18" t="s">
        <v>7985</v>
      </c>
      <c r="AW374" s="18" t="s">
        <v>7986</v>
      </c>
      <c r="AX374" s="18" t="s">
        <v>83</v>
      </c>
      <c r="AY374" s="18" t="s">
        <v>95</v>
      </c>
      <c r="AZ374" s="18" t="s">
        <v>95</v>
      </c>
      <c r="BA374" s="18" t="s">
        <v>95</v>
      </c>
      <c r="BB374" s="18" t="s">
        <v>95</v>
      </c>
      <c r="BC374" s="18" t="s">
        <v>95</v>
      </c>
      <c r="BD374" s="18" t="s">
        <v>95</v>
      </c>
      <c r="BE374" s="18" t="s">
        <v>8212</v>
      </c>
      <c r="BF374" s="18" t="s">
        <v>8064</v>
      </c>
      <c r="BG374" s="18" t="s">
        <v>95</v>
      </c>
      <c r="BH374" s="18" t="s">
        <v>95</v>
      </c>
      <c r="BI374" s="18">
        <v>12</v>
      </c>
      <c r="BJ374" s="18">
        <v>2022</v>
      </c>
      <c r="BK374" s="18" t="s">
        <v>95</v>
      </c>
      <c r="BL374" s="18" t="s">
        <v>95</v>
      </c>
      <c r="BM374" s="18" t="s">
        <v>95</v>
      </c>
      <c r="BN374" s="18" t="s">
        <v>85</v>
      </c>
      <c r="BO374" s="18" t="s">
        <v>86</v>
      </c>
      <c r="BP374" s="18" t="s">
        <v>90</v>
      </c>
      <c r="BQ374" s="18" t="s">
        <v>8002</v>
      </c>
      <c r="BR374" s="18" t="s">
        <v>139</v>
      </c>
      <c r="BS374" s="18" t="s">
        <v>8003</v>
      </c>
      <c r="BT374" s="18" t="s">
        <v>7989</v>
      </c>
      <c r="BU374" s="18" t="s">
        <v>496</v>
      </c>
      <c r="BV374" s="18" t="str">
        <f>Terminales[[#This Row],[IMEI]]&amp;"SI"</f>
        <v>866184061821869SI</v>
      </c>
      <c r="BW374" s="18" t="str">
        <f>VLOOKUP(Terminales[[#This Row],[OFICINA_USUARIO]],[1]!Locales[#Data],3,0)</f>
        <v>TIENDA RECREO</v>
      </c>
      <c r="BX374" s="18" t="str">
        <f>VLOOKUP(Terminales[[#This Row],[USUARIO_FINAL]],'[1]Personal Ppto vs Real'!$A:$F,6,0)</f>
        <v>CONDO GARCIA NICOLAS MATIAS</v>
      </c>
      <c r="BY37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7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74" s="18">
        <f>DAY(Terminales[[#This Row],[FECHA_FACTURA]])</f>
        <v>17</v>
      </c>
      <c r="CB374" s="65">
        <f>IF(Terminales[[#This Row],[CANTIDAD]] = 1,INDEX([1]!Comisiones[#Data],MATCH("Terminales",[1]!Comisiones[Producto],0),MATCH(Terminales[[#This Row],[TIPO ALTA COMISIONES]],[1]!Comisiones[#Headers],0))*Terminales[[#This Row],[MONTO]],0)</f>
        <v>27.678571000000002</v>
      </c>
      <c r="CC374" s="65">
        <f>IFERROR(IF(AND(Terminales[[#This Row],[CANTIDAD]] = 1,Terminales[[#This Row],[MOVIMIENTO]] = "RENOVACION"),Terminales[[#This Row],[TARIFA_BASICA]]*0.5,),)</f>
        <v>13.39</v>
      </c>
      <c r="CD374" s="65">
        <f>IF('[1]Resumen TM'!$AW$20 &lt; 0.4,0,Terminales[[#This Row],[MONTO]]*0.02)</f>
        <v>5.5357142000000001</v>
      </c>
      <c r="CE374" s="66">
        <f>Terminales[[#This Row],[COMISIONES TERMINALES]]+Terminales[[#This Row],[COMISIONES RENOVACIONES]]+Terminales[[#This Row],[COMISIONES BONO]]</f>
        <v>46.604285200000007</v>
      </c>
      <c r="CF374" s="67">
        <f>(Terminales[[#This Row],[COMISIONES TERMINALES]]*VLOOKUP(Terminales[[#This Row],[LOCALES]],[1]!Calendario[#Data],3,0))/VLOOKUP(Terminales[[#This Row],[LOCALES]],[1]!Calendario[#Data],2,0)</f>
        <v>45.535713580645158</v>
      </c>
      <c r="CG374" s="67">
        <f>(Terminales[[#This Row],[COMISIONES RENOVACIONES]]*VLOOKUP(Terminales[[#This Row],[LOCALES]],[1]!Calendario[#Data],3,0))/VLOOKUP(Terminales[[#This Row],[LOCALES]],[1]!Calendario[#Data],2,0)</f>
        <v>22.028709677419354</v>
      </c>
      <c r="CH374" s="67">
        <f>(Terminales[[#This Row],[COMISIONES BONO]]*VLOOKUP(Terminales[[#This Row],[LOCALES]],[1]!Calendario[#Data],3,0))/VLOOKUP(Terminales[[#This Row],[LOCALES]],[1]!Calendario[#Data],2,0)</f>
        <v>9.107142716129033</v>
      </c>
      <c r="CI374" s="67">
        <f>Terminales[[#This Row],[PROY. COM. TERMINALES]]+Terminales[[#This Row],[PROY. COM. RENOV.]]+Terminales[[#This Row],[PROY. COM. 2%]]</f>
        <v>76.671565974193541</v>
      </c>
    </row>
    <row r="375" spans="1:87" x14ac:dyDescent="0.25">
      <c r="A375" s="68">
        <v>44926</v>
      </c>
      <c r="B375" s="68">
        <v>44912</v>
      </c>
      <c r="C375" s="18" t="s">
        <v>96</v>
      </c>
      <c r="D375" s="18" t="s">
        <v>96</v>
      </c>
      <c r="E375" s="18" t="s">
        <v>96</v>
      </c>
      <c r="F375" s="18" t="s">
        <v>10348</v>
      </c>
      <c r="G375" s="18" t="s">
        <v>292</v>
      </c>
      <c r="H375" s="18" t="s">
        <v>494</v>
      </c>
      <c r="I375" s="18" t="s">
        <v>10349</v>
      </c>
      <c r="J375" s="18" t="s">
        <v>95</v>
      </c>
      <c r="K375" s="18" t="s">
        <v>7970</v>
      </c>
      <c r="L375" s="18" t="s">
        <v>10350</v>
      </c>
      <c r="M375" s="18" t="s">
        <v>10351</v>
      </c>
      <c r="N375" s="18" t="s">
        <v>10352</v>
      </c>
      <c r="O375" s="18" t="s">
        <v>543</v>
      </c>
      <c r="P375" s="18" t="s">
        <v>10353</v>
      </c>
      <c r="Q375" s="18" t="s">
        <v>7975</v>
      </c>
      <c r="R375" s="18" t="s">
        <v>7976</v>
      </c>
      <c r="S375" s="18" t="s">
        <v>7994</v>
      </c>
      <c r="T375" s="18" t="s">
        <v>8245</v>
      </c>
      <c r="U375" s="18" t="s">
        <v>8012</v>
      </c>
      <c r="V375" s="18" t="s">
        <v>6963</v>
      </c>
      <c r="W375" s="18" t="s">
        <v>95</v>
      </c>
      <c r="X375" s="18" t="s">
        <v>95</v>
      </c>
      <c r="Y375" s="18" t="s">
        <v>7980</v>
      </c>
      <c r="Z375" s="18" t="s">
        <v>6996</v>
      </c>
      <c r="AA375" s="69">
        <v>1</v>
      </c>
      <c r="AB375" s="18">
        <v>156.25</v>
      </c>
      <c r="AC375" s="18" t="s">
        <v>10354</v>
      </c>
      <c r="AD375" s="18" t="s">
        <v>7982</v>
      </c>
      <c r="AE375" s="18">
        <v>156</v>
      </c>
      <c r="AF375" s="18" t="s">
        <v>7983</v>
      </c>
      <c r="AG375" s="18">
        <v>156</v>
      </c>
      <c r="AH375" s="18" t="s">
        <v>95</v>
      </c>
      <c r="AI375" s="18" t="s">
        <v>8102</v>
      </c>
      <c r="AJ375" s="18" t="s">
        <v>8103</v>
      </c>
      <c r="AK375" s="18" t="s">
        <v>95</v>
      </c>
      <c r="AL375" s="18" t="s">
        <v>95</v>
      </c>
      <c r="AM375" s="18" t="s">
        <v>95</v>
      </c>
      <c r="AN375" s="18" t="s">
        <v>7984</v>
      </c>
      <c r="AO375" s="18" t="s">
        <v>139</v>
      </c>
      <c r="AP375" s="18" t="s">
        <v>769</v>
      </c>
      <c r="AQ375" s="18" t="s">
        <v>770</v>
      </c>
      <c r="AR375" s="18" t="s">
        <v>496</v>
      </c>
      <c r="AS375" s="18">
        <v>1</v>
      </c>
      <c r="AT375" s="18" t="s">
        <v>235</v>
      </c>
      <c r="AU375" s="18" t="s">
        <v>90</v>
      </c>
      <c r="AV375" s="18" t="s">
        <v>8247</v>
      </c>
      <c r="AW375" s="18" t="s">
        <v>8248</v>
      </c>
      <c r="AX375" s="18" t="s">
        <v>83</v>
      </c>
      <c r="AY375" s="18" t="s">
        <v>95</v>
      </c>
      <c r="AZ375" s="18" t="s">
        <v>95</v>
      </c>
      <c r="BA375" s="18" t="s">
        <v>95</v>
      </c>
      <c r="BB375" s="18" t="s">
        <v>95</v>
      </c>
      <c r="BC375" s="18" t="s">
        <v>95</v>
      </c>
      <c r="BD375" s="18" t="s">
        <v>95</v>
      </c>
      <c r="BE375" s="18" t="s">
        <v>95</v>
      </c>
      <c r="BF375" s="18" t="s">
        <v>95</v>
      </c>
      <c r="BG375" s="18" t="s">
        <v>95</v>
      </c>
      <c r="BH375" s="18" t="s">
        <v>95</v>
      </c>
      <c r="BI375" s="18">
        <v>12</v>
      </c>
      <c r="BJ375" s="18">
        <v>2022</v>
      </c>
      <c r="BK375" s="18" t="s">
        <v>95</v>
      </c>
      <c r="BL375" s="18" t="s">
        <v>95</v>
      </c>
      <c r="BM375" s="18" t="s">
        <v>95</v>
      </c>
      <c r="BN375" s="18" t="s">
        <v>85</v>
      </c>
      <c r="BO375" s="18" t="s">
        <v>86</v>
      </c>
      <c r="BP375" s="18" t="s">
        <v>90</v>
      </c>
      <c r="BQ375" s="18" t="s">
        <v>8016</v>
      </c>
      <c r="BR375" s="18" t="s">
        <v>139</v>
      </c>
      <c r="BS375" s="18" t="s">
        <v>8074</v>
      </c>
      <c r="BT375" s="18" t="s">
        <v>7989</v>
      </c>
      <c r="BU375" s="18" t="s">
        <v>496</v>
      </c>
      <c r="BV375" s="18" t="str">
        <f>Terminales[[#This Row],[IMEI]]&amp;"SI"</f>
        <v>355108340318270SI</v>
      </c>
      <c r="BW375" s="18" t="str">
        <f>VLOOKUP(Terminales[[#This Row],[OFICINA_USUARIO]],[1]!Locales[#Data],3,0)</f>
        <v>TIENDA CONDADO</v>
      </c>
      <c r="BX375" s="18" t="str">
        <f>VLOOKUP(Terminales[[#This Row],[USUARIO_FINAL]],'[1]Personal Ppto vs Real'!$A:$F,6,0)</f>
        <v>ROJAS VEGA JHOSMERY MICHELE</v>
      </c>
      <c r="BY375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7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75" s="18">
        <f>DAY(Terminales[[#This Row],[FECHA_FACTURA]])</f>
        <v>17</v>
      </c>
      <c r="CB375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75" s="65">
        <f>IFERROR(IF(AND(Terminales[[#This Row],[CANTIDAD]] = 1,Terminales[[#This Row],[MOVIMIENTO]] = "RENOVACION"),Terminales[[#This Row],[TARIFA_BASICA]]*0.5,),)</f>
        <v>0</v>
      </c>
      <c r="CD375" s="65">
        <f>IF('[1]Resumen TM'!$AW$20 &lt; 0.4,0,Terminales[[#This Row],[MONTO]]*0.02)</f>
        <v>3.125</v>
      </c>
      <c r="CE375" s="66">
        <f>Terminales[[#This Row],[COMISIONES TERMINALES]]+Terminales[[#This Row],[COMISIONES RENOVACIONES]]+Terminales[[#This Row],[COMISIONES BONO]]</f>
        <v>18.75</v>
      </c>
      <c r="CF375" s="67">
        <f>(Terminales[[#This Row],[COMISIONES TERMINALES]]*VLOOKUP(Terminales[[#This Row],[LOCALES]],[1]!Calendario[#Data],3,0))/VLOOKUP(Terminales[[#This Row],[LOCALES]],[1]!Calendario[#Data],2,0)</f>
        <v>25.705645161290324</v>
      </c>
      <c r="CG375" s="67">
        <f>(Terminales[[#This Row],[COMISIONES RENOVACIONES]]*VLOOKUP(Terminales[[#This Row],[LOCALES]],[1]!Calendario[#Data],3,0))/VLOOKUP(Terminales[[#This Row],[LOCALES]],[1]!Calendario[#Data],2,0)</f>
        <v>0</v>
      </c>
      <c r="CH375" s="67">
        <f>(Terminales[[#This Row],[COMISIONES BONO]]*VLOOKUP(Terminales[[#This Row],[LOCALES]],[1]!Calendario[#Data],3,0))/VLOOKUP(Terminales[[#This Row],[LOCALES]],[1]!Calendario[#Data],2,0)</f>
        <v>5.1411290322580649</v>
      </c>
      <c r="CI375" s="67">
        <f>Terminales[[#This Row],[PROY. COM. TERMINALES]]+Terminales[[#This Row],[PROY. COM. RENOV.]]+Terminales[[#This Row],[PROY. COM. 2%]]</f>
        <v>30.846774193548388</v>
      </c>
    </row>
    <row r="376" spans="1:87" x14ac:dyDescent="0.25">
      <c r="A376" s="68">
        <v>44926</v>
      </c>
      <c r="B376" s="68">
        <v>44912</v>
      </c>
      <c r="C376" s="18" t="s">
        <v>96</v>
      </c>
      <c r="D376" s="18" t="s">
        <v>96</v>
      </c>
      <c r="E376" s="18" t="s">
        <v>96</v>
      </c>
      <c r="F376" s="18" t="s">
        <v>10355</v>
      </c>
      <c r="G376" s="18" t="s">
        <v>292</v>
      </c>
      <c r="H376" s="18" t="s">
        <v>494</v>
      </c>
      <c r="I376" s="18" t="s">
        <v>10356</v>
      </c>
      <c r="J376" s="18" t="s">
        <v>95</v>
      </c>
      <c r="K376" s="18" t="s">
        <v>7970</v>
      </c>
      <c r="L376" s="18" t="s">
        <v>10357</v>
      </c>
      <c r="M376" s="18" t="s">
        <v>10358</v>
      </c>
      <c r="N376" s="18" t="s">
        <v>10359</v>
      </c>
      <c r="O376" s="18" t="s">
        <v>1691</v>
      </c>
      <c r="P376" s="18" t="s">
        <v>10360</v>
      </c>
      <c r="Q376" s="18" t="s">
        <v>7975</v>
      </c>
      <c r="R376" s="18" t="s">
        <v>7976</v>
      </c>
      <c r="S376" s="18" t="s">
        <v>8045</v>
      </c>
      <c r="T376" s="18" t="s">
        <v>8225</v>
      </c>
      <c r="U376" s="18" t="s">
        <v>8012</v>
      </c>
      <c r="V376" s="18" t="s">
        <v>6963</v>
      </c>
      <c r="W376" s="18" t="s">
        <v>95</v>
      </c>
      <c r="X376" s="18" t="s">
        <v>95</v>
      </c>
      <c r="Y376" s="18" t="s">
        <v>7980</v>
      </c>
      <c r="Z376" s="18" t="s">
        <v>6996</v>
      </c>
      <c r="AA376" s="69">
        <v>1</v>
      </c>
      <c r="AB376" s="18">
        <v>241.07142999999999</v>
      </c>
      <c r="AC376" s="18" t="s">
        <v>10361</v>
      </c>
      <c r="AD376" s="18" t="s">
        <v>7982</v>
      </c>
      <c r="AE376" s="18">
        <v>232.5</v>
      </c>
      <c r="AF376" s="18" t="s">
        <v>7983</v>
      </c>
      <c r="AG376" s="18">
        <v>232.5</v>
      </c>
      <c r="AH376" s="18" t="s">
        <v>95</v>
      </c>
      <c r="AI376" s="18" t="s">
        <v>8102</v>
      </c>
      <c r="AJ376" s="18" t="s">
        <v>8103</v>
      </c>
      <c r="AK376" s="18" t="s">
        <v>95</v>
      </c>
      <c r="AL376" s="18" t="s">
        <v>95</v>
      </c>
      <c r="AM376" s="18" t="s">
        <v>95</v>
      </c>
      <c r="AN376" s="18" t="s">
        <v>7984</v>
      </c>
      <c r="AO376" s="18" t="s">
        <v>139</v>
      </c>
      <c r="AP376" s="18" t="s">
        <v>492</v>
      </c>
      <c r="AQ376" s="18" t="s">
        <v>493</v>
      </c>
      <c r="AR376" s="18" t="s">
        <v>496</v>
      </c>
      <c r="AS376" s="18">
        <v>1</v>
      </c>
      <c r="AT376" s="18" t="s">
        <v>177</v>
      </c>
      <c r="AU376" s="18" t="s">
        <v>90</v>
      </c>
      <c r="AV376" s="18" t="s">
        <v>8228</v>
      </c>
      <c r="AW376" s="18" t="s">
        <v>8229</v>
      </c>
      <c r="AX376" s="18" t="s">
        <v>83</v>
      </c>
      <c r="AY376" s="18" t="s">
        <v>95</v>
      </c>
      <c r="AZ376" s="18" t="s">
        <v>95</v>
      </c>
      <c r="BA376" s="18" t="s">
        <v>95</v>
      </c>
      <c r="BB376" s="18" t="s">
        <v>95</v>
      </c>
      <c r="BC376" s="18" t="s">
        <v>95</v>
      </c>
      <c r="BD376" s="18" t="s">
        <v>95</v>
      </c>
      <c r="BE376" s="18" t="s">
        <v>8321</v>
      </c>
      <c r="BF376" s="18" t="s">
        <v>8064</v>
      </c>
      <c r="BG376" s="18" t="s">
        <v>95</v>
      </c>
      <c r="BH376" s="18" t="s">
        <v>95</v>
      </c>
      <c r="BI376" s="18">
        <v>12</v>
      </c>
      <c r="BJ376" s="18">
        <v>2022</v>
      </c>
      <c r="BK376" s="18" t="s">
        <v>95</v>
      </c>
      <c r="BL376" s="18" t="s">
        <v>95</v>
      </c>
      <c r="BM376" s="18" t="s">
        <v>95</v>
      </c>
      <c r="BN376" s="18" t="s">
        <v>85</v>
      </c>
      <c r="BO376" s="18" t="s">
        <v>86</v>
      </c>
      <c r="BP376" s="18" t="s">
        <v>90</v>
      </c>
      <c r="BQ376" s="18" t="s">
        <v>8002</v>
      </c>
      <c r="BR376" s="18" t="s">
        <v>139</v>
      </c>
      <c r="BS376" s="18" t="s">
        <v>8003</v>
      </c>
      <c r="BT376" s="18" t="s">
        <v>7989</v>
      </c>
      <c r="BU376" s="18" t="s">
        <v>496</v>
      </c>
      <c r="BV376" s="18" t="str">
        <f>Terminales[[#This Row],[IMEI]]&amp;"SI"</f>
        <v>356795950574207SI</v>
      </c>
      <c r="BW376" s="18" t="str">
        <f>VLOOKUP(Terminales[[#This Row],[OFICINA_USUARIO]],[1]!Locales[#Data],3,0)</f>
        <v>TIENDA RECREO</v>
      </c>
      <c r="BX376" s="18" t="str">
        <f>VLOOKUP(Terminales[[#This Row],[USUARIO_FINAL]],'[1]Personal Ppto vs Real'!$A:$F,6,0)</f>
        <v>CONDO GARCIA NICOLAS MATIAS</v>
      </c>
      <c r="BY376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7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76" s="18">
        <f>DAY(Terminales[[#This Row],[FECHA_FACTURA]])</f>
        <v>17</v>
      </c>
      <c r="CB376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376" s="65">
        <f>IFERROR(IF(AND(Terminales[[#This Row],[CANTIDAD]] = 1,Terminales[[#This Row],[MOVIMIENTO]] = "RENOVACION"),Terminales[[#This Row],[TARIFA_BASICA]]*0.5,),)</f>
        <v>0</v>
      </c>
      <c r="CD376" s="65">
        <f>IF('[1]Resumen TM'!$AW$20 &lt; 0.4,0,Terminales[[#This Row],[MONTO]]*0.02)</f>
        <v>4.8214286</v>
      </c>
      <c r="CE376" s="66">
        <f>Terminales[[#This Row],[COMISIONES TERMINALES]]+Terminales[[#This Row],[COMISIONES RENOVACIONES]]+Terminales[[#This Row],[COMISIONES BONO]]</f>
        <v>28.928571600000001</v>
      </c>
      <c r="CF376" s="67">
        <f>(Terminales[[#This Row],[COMISIONES TERMINALES]]*VLOOKUP(Terminales[[#This Row],[LOCALES]],[1]!Calendario[#Data],3,0))/VLOOKUP(Terminales[[#This Row],[LOCALES]],[1]!Calendario[#Data],2,0)</f>
        <v>39.660138483870966</v>
      </c>
      <c r="CG376" s="67">
        <f>(Terminales[[#This Row],[COMISIONES RENOVACIONES]]*VLOOKUP(Terminales[[#This Row],[LOCALES]],[1]!Calendario[#Data],3,0))/VLOOKUP(Terminales[[#This Row],[LOCALES]],[1]!Calendario[#Data],2,0)</f>
        <v>0</v>
      </c>
      <c r="CH376" s="67">
        <f>(Terminales[[#This Row],[COMISIONES BONO]]*VLOOKUP(Terminales[[#This Row],[LOCALES]],[1]!Calendario[#Data],3,0))/VLOOKUP(Terminales[[#This Row],[LOCALES]],[1]!Calendario[#Data],2,0)</f>
        <v>7.9320276967741936</v>
      </c>
      <c r="CI376" s="67">
        <f>Terminales[[#This Row],[PROY. COM. TERMINALES]]+Terminales[[#This Row],[PROY. COM. RENOV.]]+Terminales[[#This Row],[PROY. COM. 2%]]</f>
        <v>47.592166180645158</v>
      </c>
    </row>
    <row r="377" spans="1:87" x14ac:dyDescent="0.25">
      <c r="A377" s="68">
        <v>44926</v>
      </c>
      <c r="B377" s="68">
        <v>44912</v>
      </c>
      <c r="C377" s="18" t="s">
        <v>291</v>
      </c>
      <c r="D377" s="18" t="s">
        <v>78</v>
      </c>
      <c r="E377" s="18" t="s">
        <v>2241</v>
      </c>
      <c r="F377" s="18" t="s">
        <v>10362</v>
      </c>
      <c r="G377" s="18" t="s">
        <v>292</v>
      </c>
      <c r="H377" s="18" t="s">
        <v>494</v>
      </c>
      <c r="I377" s="18" t="s">
        <v>10363</v>
      </c>
      <c r="J377" s="18" t="s">
        <v>95</v>
      </c>
      <c r="K377" s="18" t="s">
        <v>7970</v>
      </c>
      <c r="L377" s="18" t="s">
        <v>10364</v>
      </c>
      <c r="M377" s="18" t="s">
        <v>10365</v>
      </c>
      <c r="N377" s="18" t="s">
        <v>10366</v>
      </c>
      <c r="O377" s="18" t="s">
        <v>9021</v>
      </c>
      <c r="P377" s="18" t="s">
        <v>10367</v>
      </c>
      <c r="Q377" s="18" t="s">
        <v>7975</v>
      </c>
      <c r="R377" s="18" t="s">
        <v>7976</v>
      </c>
      <c r="S377" s="18" t="s">
        <v>8250</v>
      </c>
      <c r="T377" s="18" t="s">
        <v>9023</v>
      </c>
      <c r="U377" s="18" t="s">
        <v>8059</v>
      </c>
      <c r="V377" s="18" t="s">
        <v>6963</v>
      </c>
      <c r="W377" s="18" t="s">
        <v>95</v>
      </c>
      <c r="X377" s="18" t="s">
        <v>95</v>
      </c>
      <c r="Y377" s="18" t="s">
        <v>7980</v>
      </c>
      <c r="Z377" s="18" t="s">
        <v>6996</v>
      </c>
      <c r="AA377" s="69">
        <v>1</v>
      </c>
      <c r="AB377" s="18">
        <v>1321.42857</v>
      </c>
      <c r="AC377" s="18" t="s">
        <v>10368</v>
      </c>
      <c r="AD377" s="18" t="s">
        <v>7982</v>
      </c>
      <c r="AE377" s="18">
        <v>1166.1500000000001</v>
      </c>
      <c r="AF377" s="18" t="s">
        <v>7983</v>
      </c>
      <c r="AG377" s="18">
        <v>1166.1500000000001</v>
      </c>
      <c r="AH377" s="18" t="s">
        <v>95</v>
      </c>
      <c r="AI377" s="18" t="s">
        <v>71</v>
      </c>
      <c r="AJ377" s="18" t="s">
        <v>258</v>
      </c>
      <c r="AK377" s="18">
        <v>11.42</v>
      </c>
      <c r="AL377" s="18" t="s">
        <v>95</v>
      </c>
      <c r="AM377" s="18" t="s">
        <v>95</v>
      </c>
      <c r="AN377" s="18" t="s">
        <v>7984</v>
      </c>
      <c r="AO377" s="18" t="s">
        <v>139</v>
      </c>
      <c r="AP377" s="18" t="s">
        <v>233</v>
      </c>
      <c r="AQ377" s="18" t="s">
        <v>234</v>
      </c>
      <c r="AR377" s="18" t="s">
        <v>496</v>
      </c>
      <c r="AS377" s="18">
        <v>1</v>
      </c>
      <c r="AT377" s="18" t="s">
        <v>235</v>
      </c>
      <c r="AU377" s="18" t="s">
        <v>90</v>
      </c>
      <c r="AV377" s="18" t="s">
        <v>9024</v>
      </c>
      <c r="AW377" s="18" t="s">
        <v>9025</v>
      </c>
      <c r="AX377" s="18" t="s">
        <v>83</v>
      </c>
      <c r="AY377" s="18" t="s">
        <v>95</v>
      </c>
      <c r="AZ377" s="18" t="s">
        <v>95</v>
      </c>
      <c r="BA377" s="18" t="s">
        <v>95</v>
      </c>
      <c r="BB377" s="18" t="s">
        <v>95</v>
      </c>
      <c r="BC377" s="18" t="s">
        <v>95</v>
      </c>
      <c r="BD377" s="18" t="s">
        <v>95</v>
      </c>
      <c r="BE377" s="18" t="s">
        <v>95</v>
      </c>
      <c r="BF377" s="18" t="s">
        <v>95</v>
      </c>
      <c r="BG377" s="18" t="s">
        <v>95</v>
      </c>
      <c r="BH377" s="18" t="s">
        <v>95</v>
      </c>
      <c r="BI377" s="18">
        <v>12</v>
      </c>
      <c r="BJ377" s="18">
        <v>2022</v>
      </c>
      <c r="BK377" s="18" t="s">
        <v>95</v>
      </c>
      <c r="BL377" s="18" t="s">
        <v>95</v>
      </c>
      <c r="BM377" s="18" t="s">
        <v>95</v>
      </c>
      <c r="BN377" s="18" t="s">
        <v>85</v>
      </c>
      <c r="BO377" s="18" t="s">
        <v>86</v>
      </c>
      <c r="BP377" s="18" t="s">
        <v>90</v>
      </c>
      <c r="BQ377" s="18" t="s">
        <v>8016</v>
      </c>
      <c r="BR377" s="18" t="s">
        <v>139</v>
      </c>
      <c r="BS377" s="18" t="s">
        <v>8074</v>
      </c>
      <c r="BT377" s="18" t="s">
        <v>7989</v>
      </c>
      <c r="BU377" s="18" t="s">
        <v>496</v>
      </c>
      <c r="BV377" s="18" t="str">
        <f>Terminales[[#This Row],[IMEI]]&amp;"SI"</f>
        <v>350302398157848SI</v>
      </c>
      <c r="BW377" s="18" t="str">
        <f>VLOOKUP(Terminales[[#This Row],[OFICINA_USUARIO]],[1]!Locales[#Data],3,0)</f>
        <v>TIENDA CONDADO</v>
      </c>
      <c r="BX377" s="18" t="str">
        <f>VLOOKUP(Terminales[[#This Row],[USUARIO_FINAL]],'[1]Personal Ppto vs Real'!$A:$F,6,0)</f>
        <v>ROSALES MALDONADO JESSICA GABRIELA</v>
      </c>
      <c r="BY377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7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77" s="18">
        <f>DAY(Terminales[[#This Row],[FECHA_FACTURA]])</f>
        <v>17</v>
      </c>
      <c r="CB377" s="65">
        <f>IF(Terminales[[#This Row],[CANTIDAD]] = 1,INDEX([1]!Comisiones[#Data],MATCH("Terminales",[1]!Comisiones[Producto],0),MATCH(Terminales[[#This Row],[TIPO ALTA COMISIONES]],[1]!Comisiones[#Headers],0))*Terminales[[#This Row],[MONTO]],0)</f>
        <v>132.14285700000002</v>
      </c>
      <c r="CC377" s="65">
        <f>IFERROR(IF(AND(Terminales[[#This Row],[CANTIDAD]] = 1,Terminales[[#This Row],[MOVIMIENTO]] = "RENOVACION"),Terminales[[#This Row],[TARIFA_BASICA]]*0.5,),)</f>
        <v>5.71</v>
      </c>
      <c r="CD377" s="65">
        <f>IF('[1]Resumen TM'!$AW$20 &lt; 0.4,0,Terminales[[#This Row],[MONTO]]*0.02)</f>
        <v>26.428571400000003</v>
      </c>
      <c r="CE377" s="66">
        <f>Terminales[[#This Row],[COMISIONES TERMINALES]]+Terminales[[#This Row],[COMISIONES RENOVACIONES]]+Terminales[[#This Row],[COMISIONES BONO]]</f>
        <v>164.28142840000004</v>
      </c>
      <c r="CF377" s="67">
        <f>(Terminales[[#This Row],[COMISIONES TERMINALES]]*VLOOKUP(Terminales[[#This Row],[LOCALES]],[1]!Calendario[#Data],3,0))/VLOOKUP(Terminales[[#This Row],[LOCALES]],[1]!Calendario[#Data],2,0)</f>
        <v>217.39631312903228</v>
      </c>
      <c r="CG377" s="67">
        <f>(Terminales[[#This Row],[COMISIONES RENOVACIONES]]*VLOOKUP(Terminales[[#This Row],[LOCALES]],[1]!Calendario[#Data],3,0))/VLOOKUP(Terminales[[#This Row],[LOCALES]],[1]!Calendario[#Data],2,0)</f>
        <v>9.3938709677419343</v>
      </c>
      <c r="CH377" s="67">
        <f>(Terminales[[#This Row],[COMISIONES BONO]]*VLOOKUP(Terminales[[#This Row],[LOCALES]],[1]!Calendario[#Data],3,0))/VLOOKUP(Terminales[[#This Row],[LOCALES]],[1]!Calendario[#Data],2,0)</f>
        <v>43.479262625806456</v>
      </c>
      <c r="CI377" s="67">
        <f>Terminales[[#This Row],[PROY. COM. TERMINALES]]+Terminales[[#This Row],[PROY. COM. RENOV.]]+Terminales[[#This Row],[PROY. COM. 2%]]</f>
        <v>270.26944672258071</v>
      </c>
    </row>
    <row r="378" spans="1:87" x14ac:dyDescent="0.25">
      <c r="A378" s="68">
        <v>44926</v>
      </c>
      <c r="B378" s="68">
        <v>44913</v>
      </c>
      <c r="C378" s="18" t="s">
        <v>291</v>
      </c>
      <c r="D378" s="18" t="s">
        <v>78</v>
      </c>
      <c r="E378" s="18" t="s">
        <v>231</v>
      </c>
      <c r="F378" s="18" t="s">
        <v>10369</v>
      </c>
      <c r="G378" s="18" t="s">
        <v>292</v>
      </c>
      <c r="H378" s="18" t="s">
        <v>494</v>
      </c>
      <c r="I378" s="18" t="s">
        <v>10370</v>
      </c>
      <c r="J378" s="18" t="s">
        <v>95</v>
      </c>
      <c r="K378" s="18" t="s">
        <v>7970</v>
      </c>
      <c r="L378" s="18" t="s">
        <v>10371</v>
      </c>
      <c r="M378" s="18" t="s">
        <v>10372</v>
      </c>
      <c r="N378" s="18" t="s">
        <v>10373</v>
      </c>
      <c r="O378" s="18" t="s">
        <v>8316</v>
      </c>
      <c r="P378" s="18" t="s">
        <v>10374</v>
      </c>
      <c r="Q378" s="18" t="s">
        <v>7975</v>
      </c>
      <c r="R378" s="18" t="s">
        <v>7976</v>
      </c>
      <c r="S378" s="18" t="s">
        <v>8250</v>
      </c>
      <c r="T378" s="18" t="s">
        <v>8318</v>
      </c>
      <c r="U378" s="18" t="s">
        <v>8059</v>
      </c>
      <c r="V378" s="18" t="s">
        <v>6963</v>
      </c>
      <c r="W378" s="18" t="s">
        <v>95</v>
      </c>
      <c r="X378" s="18" t="s">
        <v>95</v>
      </c>
      <c r="Y378" s="18" t="s">
        <v>7980</v>
      </c>
      <c r="Z378" s="18" t="s">
        <v>6996</v>
      </c>
      <c r="AA378" s="69">
        <v>1</v>
      </c>
      <c r="AB378" s="18">
        <v>1151.7857100000001</v>
      </c>
      <c r="AC378" s="18" t="s">
        <v>10375</v>
      </c>
      <c r="AD378" s="18" t="s">
        <v>7982</v>
      </c>
      <c r="AE378" s="18">
        <v>955.13</v>
      </c>
      <c r="AF378" s="18" t="s">
        <v>7983</v>
      </c>
      <c r="AG378" s="18">
        <v>955.13</v>
      </c>
      <c r="AH378" s="18" t="s">
        <v>95</v>
      </c>
      <c r="AI378" s="18" t="s">
        <v>8597</v>
      </c>
      <c r="AJ378" s="18" t="s">
        <v>8869</v>
      </c>
      <c r="AK378" s="18">
        <v>25</v>
      </c>
      <c r="AL378" s="18" t="s">
        <v>95</v>
      </c>
      <c r="AM378" s="18" t="s">
        <v>95</v>
      </c>
      <c r="AN378" s="18" t="s">
        <v>7984</v>
      </c>
      <c r="AO378" s="18" t="s">
        <v>139</v>
      </c>
      <c r="AP378" s="18" t="s">
        <v>396</v>
      </c>
      <c r="AQ378" s="18" t="s">
        <v>397</v>
      </c>
      <c r="AR378" s="18" t="s">
        <v>496</v>
      </c>
      <c r="AS378" s="18">
        <v>1</v>
      </c>
      <c r="AT378" s="18" t="s">
        <v>177</v>
      </c>
      <c r="AU378" s="18" t="s">
        <v>90</v>
      </c>
      <c r="AV378" s="18" t="s">
        <v>8319</v>
      </c>
      <c r="AW378" s="18" t="s">
        <v>8320</v>
      </c>
      <c r="AX378" s="18" t="s">
        <v>83</v>
      </c>
      <c r="AY378" s="18" t="s">
        <v>95</v>
      </c>
      <c r="AZ378" s="18" t="s">
        <v>95</v>
      </c>
      <c r="BA378" s="18" t="s">
        <v>95</v>
      </c>
      <c r="BB378" s="18" t="s">
        <v>95</v>
      </c>
      <c r="BC378" s="18" t="s">
        <v>95</v>
      </c>
      <c r="BD378" s="18" t="s">
        <v>95</v>
      </c>
      <c r="BE378" s="18" t="s">
        <v>95</v>
      </c>
      <c r="BF378" s="18" t="s">
        <v>95</v>
      </c>
      <c r="BG378" s="18" t="s">
        <v>95</v>
      </c>
      <c r="BH378" s="18" t="s">
        <v>95</v>
      </c>
      <c r="BI378" s="18">
        <v>12</v>
      </c>
      <c r="BJ378" s="18">
        <v>2022</v>
      </c>
      <c r="BK378" s="18" t="s">
        <v>95</v>
      </c>
      <c r="BL378" s="18" t="s">
        <v>95</v>
      </c>
      <c r="BM378" s="18" t="s">
        <v>95</v>
      </c>
      <c r="BN378" s="18" t="s">
        <v>85</v>
      </c>
      <c r="BO378" s="18" t="s">
        <v>86</v>
      </c>
      <c r="BP378" s="18" t="s">
        <v>90</v>
      </c>
      <c r="BQ378" s="18" t="s">
        <v>8002</v>
      </c>
      <c r="BR378" s="18" t="s">
        <v>139</v>
      </c>
      <c r="BS378" s="18" t="s">
        <v>8074</v>
      </c>
      <c r="BT378" s="18" t="s">
        <v>7989</v>
      </c>
      <c r="BU378" s="18" t="s">
        <v>496</v>
      </c>
      <c r="BV378" s="18" t="str">
        <f>Terminales[[#This Row],[IMEI]]&amp;"SI"</f>
        <v>358330275362217SI</v>
      </c>
      <c r="BW378" s="18" t="str">
        <f>VLOOKUP(Terminales[[#This Row],[OFICINA_USUARIO]],[1]!Locales[#Data],3,0)</f>
        <v>TIENDA RECREO</v>
      </c>
      <c r="BX378" s="18" t="str">
        <f>VLOOKUP(Terminales[[#This Row],[USUARIO_FINAL]],'[1]Personal Ppto vs Real'!$A:$F,6,0)</f>
        <v>VINUEZA VELASCO ANGY DAYANA</v>
      </c>
      <c r="BY37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7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78" s="18">
        <f>DAY(Terminales[[#This Row],[FECHA_FACTURA]])</f>
        <v>18</v>
      </c>
      <c r="CB378" s="65">
        <f>IF(Terminales[[#This Row],[CANTIDAD]] = 1,INDEX([1]!Comisiones[#Data],MATCH("Terminales",[1]!Comisiones[Producto],0),MATCH(Terminales[[#This Row],[TIPO ALTA COMISIONES]],[1]!Comisiones[#Headers],0))*Terminales[[#This Row],[MONTO]],0)</f>
        <v>115.17857100000002</v>
      </c>
      <c r="CC378" s="65">
        <f>IFERROR(IF(AND(Terminales[[#This Row],[CANTIDAD]] = 1,Terminales[[#This Row],[MOVIMIENTO]] = "RENOVACION"),Terminales[[#This Row],[TARIFA_BASICA]]*0.5,),)</f>
        <v>12.5</v>
      </c>
      <c r="CD378" s="65">
        <f>IF('[1]Resumen TM'!$AW$20 &lt; 0.4,0,Terminales[[#This Row],[MONTO]]*0.02)</f>
        <v>23.035714200000001</v>
      </c>
      <c r="CE378" s="66">
        <f>Terminales[[#This Row],[COMISIONES TERMINALES]]+Terminales[[#This Row],[COMISIONES RENOVACIONES]]+Terminales[[#This Row],[COMISIONES BONO]]</f>
        <v>150.71428520000001</v>
      </c>
      <c r="CF378" s="67">
        <f>(Terminales[[#This Row],[COMISIONES TERMINALES]]*VLOOKUP(Terminales[[#This Row],[LOCALES]],[1]!Calendario[#Data],3,0))/VLOOKUP(Terminales[[#This Row],[LOCALES]],[1]!Calendario[#Data],2,0)</f>
        <v>189.48732648387099</v>
      </c>
      <c r="CG378" s="67">
        <f>(Terminales[[#This Row],[COMISIONES RENOVACIONES]]*VLOOKUP(Terminales[[#This Row],[LOCALES]],[1]!Calendario[#Data],3,0))/VLOOKUP(Terminales[[#This Row],[LOCALES]],[1]!Calendario[#Data],2,0)</f>
        <v>20.56451612903226</v>
      </c>
      <c r="CH378" s="67">
        <f>(Terminales[[#This Row],[COMISIONES BONO]]*VLOOKUP(Terminales[[#This Row],[LOCALES]],[1]!Calendario[#Data],3,0))/VLOOKUP(Terminales[[#This Row],[LOCALES]],[1]!Calendario[#Data],2,0)</f>
        <v>37.8974652967742</v>
      </c>
      <c r="CI378" s="67">
        <f>Terminales[[#This Row],[PROY. COM. TERMINALES]]+Terminales[[#This Row],[PROY. COM. RENOV.]]+Terminales[[#This Row],[PROY. COM. 2%]]</f>
        <v>247.94930790967743</v>
      </c>
    </row>
    <row r="379" spans="1:87" x14ac:dyDescent="0.25">
      <c r="A379" s="68">
        <v>44926</v>
      </c>
      <c r="B379" s="68">
        <v>44913</v>
      </c>
      <c r="C379" s="18" t="s">
        <v>291</v>
      </c>
      <c r="D379" s="18" t="s">
        <v>78</v>
      </c>
      <c r="E379" s="18" t="s">
        <v>7168</v>
      </c>
      <c r="F379" s="18" t="s">
        <v>10376</v>
      </c>
      <c r="G379" s="18" t="s">
        <v>292</v>
      </c>
      <c r="H379" s="18" t="s">
        <v>494</v>
      </c>
      <c r="I379" s="18" t="s">
        <v>10377</v>
      </c>
      <c r="J379" s="18" t="s">
        <v>95</v>
      </c>
      <c r="K379" s="18" t="s">
        <v>7970</v>
      </c>
      <c r="L379" s="18" t="s">
        <v>10378</v>
      </c>
      <c r="M379" s="18" t="s">
        <v>10379</v>
      </c>
      <c r="N379" s="18" t="s">
        <v>10380</v>
      </c>
      <c r="O379" s="18" t="s">
        <v>2260</v>
      </c>
      <c r="P379" s="18" t="s">
        <v>10381</v>
      </c>
      <c r="Q379" s="18" t="s">
        <v>7975</v>
      </c>
      <c r="R379" s="18" t="s">
        <v>7976</v>
      </c>
      <c r="S379" s="18" t="s">
        <v>8010</v>
      </c>
      <c r="T379" s="18" t="s">
        <v>8011</v>
      </c>
      <c r="U379" s="18" t="s">
        <v>8012</v>
      </c>
      <c r="V379" s="18" t="s">
        <v>6963</v>
      </c>
      <c r="W379" s="18" t="s">
        <v>95</v>
      </c>
      <c r="X379" s="18" t="s">
        <v>95</v>
      </c>
      <c r="Y379" s="18" t="s">
        <v>7980</v>
      </c>
      <c r="Z379" s="18" t="s">
        <v>6996</v>
      </c>
      <c r="AA379" s="69">
        <v>1</v>
      </c>
      <c r="AB379" s="18">
        <v>196.42857000000001</v>
      </c>
      <c r="AC379" s="18" t="s">
        <v>10382</v>
      </c>
      <c r="AD379" s="18" t="s">
        <v>7982</v>
      </c>
      <c r="AE379" s="18">
        <v>168.8</v>
      </c>
      <c r="AF379" s="18" t="s">
        <v>7983</v>
      </c>
      <c r="AG379" s="18">
        <v>168.8</v>
      </c>
      <c r="AH379" s="18" t="s">
        <v>95</v>
      </c>
      <c r="AI379" s="18" t="s">
        <v>160</v>
      </c>
      <c r="AJ379" s="18" t="s">
        <v>161</v>
      </c>
      <c r="AK379" s="18">
        <v>14.28</v>
      </c>
      <c r="AL379" s="18" t="s">
        <v>95</v>
      </c>
      <c r="AM379" s="18" t="s">
        <v>95</v>
      </c>
      <c r="AN379" s="18" t="s">
        <v>7984</v>
      </c>
      <c r="AO379" s="18" t="s">
        <v>139</v>
      </c>
      <c r="AP379" s="18" t="s">
        <v>769</v>
      </c>
      <c r="AQ379" s="18" t="s">
        <v>770</v>
      </c>
      <c r="AR379" s="18" t="s">
        <v>496</v>
      </c>
      <c r="AS379" s="18">
        <v>1</v>
      </c>
      <c r="AT379" s="18" t="s">
        <v>235</v>
      </c>
      <c r="AU379" s="18" t="s">
        <v>90</v>
      </c>
      <c r="AV379" s="18" t="s">
        <v>8014</v>
      </c>
      <c r="AW379" s="18" t="s">
        <v>8015</v>
      </c>
      <c r="AX379" s="18" t="s">
        <v>83</v>
      </c>
      <c r="AY379" s="18" t="s">
        <v>95</v>
      </c>
      <c r="AZ379" s="18" t="s">
        <v>95</v>
      </c>
      <c r="BA379" s="18" t="s">
        <v>95</v>
      </c>
      <c r="BB379" s="18" t="s">
        <v>95</v>
      </c>
      <c r="BC379" s="18" t="s">
        <v>95</v>
      </c>
      <c r="BD379" s="18" t="s">
        <v>95</v>
      </c>
      <c r="BE379" s="18" t="s">
        <v>95</v>
      </c>
      <c r="BF379" s="18" t="s">
        <v>95</v>
      </c>
      <c r="BG379" s="18" t="s">
        <v>95</v>
      </c>
      <c r="BH379" s="18" t="s">
        <v>95</v>
      </c>
      <c r="BI379" s="18">
        <v>12</v>
      </c>
      <c r="BJ379" s="18">
        <v>2022</v>
      </c>
      <c r="BK379" s="18" t="s">
        <v>95</v>
      </c>
      <c r="BL379" s="18" t="s">
        <v>95</v>
      </c>
      <c r="BM379" s="18" t="s">
        <v>95</v>
      </c>
      <c r="BN379" s="18" t="s">
        <v>85</v>
      </c>
      <c r="BO379" s="18" t="s">
        <v>86</v>
      </c>
      <c r="BP379" s="18" t="s">
        <v>90</v>
      </c>
      <c r="BQ379" s="18" t="s">
        <v>8016</v>
      </c>
      <c r="BR379" s="18" t="s">
        <v>139</v>
      </c>
      <c r="BS379" s="18" t="s">
        <v>8074</v>
      </c>
      <c r="BT379" s="18" t="s">
        <v>7989</v>
      </c>
      <c r="BU379" s="18" t="s">
        <v>496</v>
      </c>
      <c r="BV379" s="18" t="str">
        <f>Terminales[[#This Row],[IMEI]]&amp;"SI"</f>
        <v>359694275329602SI</v>
      </c>
      <c r="BW379" s="18" t="str">
        <f>VLOOKUP(Terminales[[#This Row],[OFICINA_USUARIO]],[1]!Locales[#Data],3,0)</f>
        <v>TIENDA CONDADO</v>
      </c>
      <c r="BX379" s="18" t="str">
        <f>VLOOKUP(Terminales[[#This Row],[USUARIO_FINAL]],'[1]Personal Ppto vs Real'!$A:$F,6,0)</f>
        <v>ROJAS VEGA JHOSMERY MICHELE</v>
      </c>
      <c r="BY379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7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79" s="18">
        <f>DAY(Terminales[[#This Row],[FECHA_FACTURA]])</f>
        <v>18</v>
      </c>
      <c r="CB379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379" s="65">
        <f>IFERROR(IF(AND(Terminales[[#This Row],[CANTIDAD]] = 1,Terminales[[#This Row],[MOVIMIENTO]] = "RENOVACION"),Terminales[[#This Row],[TARIFA_BASICA]]*0.5,),)</f>
        <v>7.14</v>
      </c>
      <c r="CD379" s="65">
        <f>IF('[1]Resumen TM'!$AW$20 &lt; 0.4,0,Terminales[[#This Row],[MONTO]]*0.02)</f>
        <v>3.9285714</v>
      </c>
      <c r="CE379" s="66">
        <f>Terminales[[#This Row],[COMISIONES TERMINALES]]+Terminales[[#This Row],[COMISIONES RENOVACIONES]]+Terminales[[#This Row],[COMISIONES BONO]]</f>
        <v>30.711428400000003</v>
      </c>
      <c r="CF379" s="67">
        <f>(Terminales[[#This Row],[COMISIONES TERMINALES]]*VLOOKUP(Terminales[[#This Row],[LOCALES]],[1]!Calendario[#Data],3,0))/VLOOKUP(Terminales[[#This Row],[LOCALES]],[1]!Calendario[#Data],2,0)</f>
        <v>32.315667967741938</v>
      </c>
      <c r="CG379" s="67">
        <f>(Terminales[[#This Row],[COMISIONES RENOVACIONES]]*VLOOKUP(Terminales[[#This Row],[LOCALES]],[1]!Calendario[#Data],3,0))/VLOOKUP(Terminales[[#This Row],[LOCALES]],[1]!Calendario[#Data],2,0)</f>
        <v>11.746451612903225</v>
      </c>
      <c r="CH379" s="67">
        <f>(Terminales[[#This Row],[COMISIONES BONO]]*VLOOKUP(Terminales[[#This Row],[LOCALES]],[1]!Calendario[#Data],3,0))/VLOOKUP(Terminales[[#This Row],[LOCALES]],[1]!Calendario[#Data],2,0)</f>
        <v>6.4631335935483865</v>
      </c>
      <c r="CI379" s="67">
        <f>Terminales[[#This Row],[PROY. COM. TERMINALES]]+Terminales[[#This Row],[PROY. COM. RENOV.]]+Terminales[[#This Row],[PROY. COM. 2%]]</f>
        <v>50.525253174193544</v>
      </c>
    </row>
    <row r="380" spans="1:87" x14ac:dyDescent="0.25">
      <c r="A380" s="68">
        <v>44926</v>
      </c>
      <c r="B380" s="68">
        <v>44913</v>
      </c>
      <c r="C380" s="18" t="s">
        <v>291</v>
      </c>
      <c r="D380" s="18" t="s">
        <v>78</v>
      </c>
      <c r="E380" s="18" t="s">
        <v>768</v>
      </c>
      <c r="F380" s="18" t="s">
        <v>10383</v>
      </c>
      <c r="G380" s="18" t="s">
        <v>292</v>
      </c>
      <c r="H380" s="18" t="s">
        <v>293</v>
      </c>
      <c r="I380" s="18" t="s">
        <v>10384</v>
      </c>
      <c r="J380" s="18" t="s">
        <v>95</v>
      </c>
      <c r="K380" s="18" t="s">
        <v>7970</v>
      </c>
      <c r="L380" s="18" t="s">
        <v>10385</v>
      </c>
      <c r="M380" s="18" t="s">
        <v>10386</v>
      </c>
      <c r="N380" s="18" t="s">
        <v>10387</v>
      </c>
      <c r="O380" s="18" t="s">
        <v>8379</v>
      </c>
      <c r="P380" s="18" t="s">
        <v>10388</v>
      </c>
      <c r="Q380" s="18" t="s">
        <v>7975</v>
      </c>
      <c r="R380" s="18" t="s">
        <v>7976</v>
      </c>
      <c r="S380" s="18" t="s">
        <v>8010</v>
      </c>
      <c r="T380" s="18" t="s">
        <v>8381</v>
      </c>
      <c r="U380" s="18" t="s">
        <v>7979</v>
      </c>
      <c r="V380" s="18" t="s">
        <v>6963</v>
      </c>
      <c r="W380" s="18" t="s">
        <v>95</v>
      </c>
      <c r="X380" s="18" t="s">
        <v>95</v>
      </c>
      <c r="Y380" s="18" t="s">
        <v>7980</v>
      </c>
      <c r="Z380" s="18" t="s">
        <v>6996</v>
      </c>
      <c r="AA380" s="69">
        <v>1</v>
      </c>
      <c r="AB380" s="18">
        <v>348.21429000000001</v>
      </c>
      <c r="AC380" s="18" t="s">
        <v>10389</v>
      </c>
      <c r="AD380" s="18" t="s">
        <v>7982</v>
      </c>
      <c r="AE380" s="18">
        <v>291.10000000000002</v>
      </c>
      <c r="AF380" s="18" t="s">
        <v>7983</v>
      </c>
      <c r="AG380" s="18">
        <v>291.10000000000002</v>
      </c>
      <c r="AH380" s="18" t="s">
        <v>95</v>
      </c>
      <c r="AI380" s="18" t="s">
        <v>3972</v>
      </c>
      <c r="AJ380" s="18" t="s">
        <v>3973</v>
      </c>
      <c r="AK380" s="18">
        <v>26.78</v>
      </c>
      <c r="AL380" s="18" t="s">
        <v>95</v>
      </c>
      <c r="AM380" s="18" t="s">
        <v>95</v>
      </c>
      <c r="AN380" s="18" t="s">
        <v>7984</v>
      </c>
      <c r="AO380" s="18" t="s">
        <v>139</v>
      </c>
      <c r="AP380" s="18" t="s">
        <v>199</v>
      </c>
      <c r="AQ380" s="18" t="s">
        <v>200</v>
      </c>
      <c r="AR380" s="18" t="s">
        <v>295</v>
      </c>
      <c r="AS380" s="18">
        <v>1</v>
      </c>
      <c r="AT380" s="18" t="s">
        <v>177</v>
      </c>
      <c r="AU380" s="18" t="s">
        <v>90</v>
      </c>
      <c r="AV380" s="18" t="s">
        <v>8383</v>
      </c>
      <c r="AW380" s="18" t="s">
        <v>8384</v>
      </c>
      <c r="AX380" s="18" t="s">
        <v>83</v>
      </c>
      <c r="AY380" s="18" t="s">
        <v>95</v>
      </c>
      <c r="AZ380" s="18" t="s">
        <v>95</v>
      </c>
      <c r="BA380" s="18" t="s">
        <v>95</v>
      </c>
      <c r="BB380" s="18" t="s">
        <v>95</v>
      </c>
      <c r="BC380" s="18" t="s">
        <v>95</v>
      </c>
      <c r="BD380" s="18">
        <v>70</v>
      </c>
      <c r="BE380" s="18" t="s">
        <v>95</v>
      </c>
      <c r="BF380" s="18" t="s">
        <v>95</v>
      </c>
      <c r="BG380" s="18" t="s">
        <v>95</v>
      </c>
      <c r="BH380" s="18" t="s">
        <v>95</v>
      </c>
      <c r="BI380" s="18">
        <v>12</v>
      </c>
      <c r="BJ380" s="18">
        <v>2022</v>
      </c>
      <c r="BK380" s="18" t="s">
        <v>95</v>
      </c>
      <c r="BL380" s="18" t="s">
        <v>95</v>
      </c>
      <c r="BM380" s="18" t="s">
        <v>95</v>
      </c>
      <c r="BN380" s="18" t="s">
        <v>85</v>
      </c>
      <c r="BO380" s="18" t="s">
        <v>86</v>
      </c>
      <c r="BP380" s="18" t="s">
        <v>90</v>
      </c>
      <c r="BQ380" s="18" t="s">
        <v>8002</v>
      </c>
      <c r="BR380" s="18" t="s">
        <v>139</v>
      </c>
      <c r="BS380" s="18" t="s">
        <v>9828</v>
      </c>
      <c r="BT380" s="18" t="s">
        <v>7989</v>
      </c>
      <c r="BU380" s="18" t="s">
        <v>7990</v>
      </c>
      <c r="BV380" s="18" t="str">
        <f>Terminales[[#This Row],[IMEI]]&amp;"SI"</f>
        <v>354911551724495SI</v>
      </c>
      <c r="BW380" s="18" t="str">
        <f>VLOOKUP(Terminales[[#This Row],[OFICINA_USUARIO]],[1]!Locales[#Data],3,0)</f>
        <v>TIENDA RECREO</v>
      </c>
      <c r="BX380" s="18" t="str">
        <f>VLOOKUP(Terminales[[#This Row],[USUARIO_FINAL]],'[1]Personal Ppto vs Real'!$A:$F,6,0)</f>
        <v>MEDINA LAPO DAYANNA CAROLINA</v>
      </c>
      <c r="BY380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8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80" s="18">
        <f>DAY(Terminales[[#This Row],[FECHA_FACTURA]])</f>
        <v>18</v>
      </c>
      <c r="CB380" s="65">
        <f>IF(Terminales[[#This Row],[CANTIDAD]] = 1,INDEX([1]!Comisiones[#Data],MATCH("Terminales",[1]!Comisiones[Producto],0),MATCH(Terminales[[#This Row],[TIPO ALTA COMISIONES]],[1]!Comisiones[#Headers],0))*Terminales[[#This Row],[MONTO]],0)</f>
        <v>34.821429000000002</v>
      </c>
      <c r="CC380" s="65">
        <f>IFERROR(IF(AND(Terminales[[#This Row],[CANTIDAD]] = 1,Terminales[[#This Row],[MOVIMIENTO]] = "RENOVACION"),Terminales[[#This Row],[TARIFA_BASICA]]*0.5,),)</f>
        <v>13.39</v>
      </c>
      <c r="CD380" s="65">
        <f>IF('[1]Resumen TM'!$AW$20 &lt; 0.4,0,Terminales[[#This Row],[MONTO]]*0.02)</f>
        <v>6.9642857999999999</v>
      </c>
      <c r="CE380" s="66">
        <f>Terminales[[#This Row],[COMISIONES TERMINALES]]+Terminales[[#This Row],[COMISIONES RENOVACIONES]]+Terminales[[#This Row],[COMISIONES BONO]]</f>
        <v>55.175714800000002</v>
      </c>
      <c r="CF380" s="67">
        <f>(Terminales[[#This Row],[COMISIONES TERMINALES]]*VLOOKUP(Terminales[[#This Row],[LOCALES]],[1]!Calendario[#Data],3,0))/VLOOKUP(Terminales[[#This Row],[LOCALES]],[1]!Calendario[#Data],2,0)</f>
        <v>57.28686706451613</v>
      </c>
      <c r="CG380" s="67">
        <f>(Terminales[[#This Row],[COMISIONES RENOVACIONES]]*VLOOKUP(Terminales[[#This Row],[LOCALES]],[1]!Calendario[#Data],3,0))/VLOOKUP(Terminales[[#This Row],[LOCALES]],[1]!Calendario[#Data],2,0)</f>
        <v>22.028709677419354</v>
      </c>
      <c r="CH380" s="67">
        <f>(Terminales[[#This Row],[COMISIONES BONO]]*VLOOKUP(Terminales[[#This Row],[LOCALES]],[1]!Calendario[#Data],3,0))/VLOOKUP(Terminales[[#This Row],[LOCALES]],[1]!Calendario[#Data],2,0)</f>
        <v>11.457373412903225</v>
      </c>
      <c r="CI380" s="67">
        <f>Terminales[[#This Row],[PROY. COM. TERMINALES]]+Terminales[[#This Row],[PROY. COM. RENOV.]]+Terminales[[#This Row],[PROY. COM. 2%]]</f>
        <v>90.772950154838711</v>
      </c>
    </row>
    <row r="381" spans="1:87" x14ac:dyDescent="0.25">
      <c r="A381" s="68">
        <v>44926</v>
      </c>
      <c r="B381" s="68">
        <v>44913</v>
      </c>
      <c r="C381" s="18" t="s">
        <v>291</v>
      </c>
      <c r="D381" s="18" t="s">
        <v>78</v>
      </c>
      <c r="E381" s="18" t="s">
        <v>1532</v>
      </c>
      <c r="F381" s="18" t="s">
        <v>10390</v>
      </c>
      <c r="G381" s="18" t="s">
        <v>292</v>
      </c>
      <c r="H381" s="18" t="s">
        <v>494</v>
      </c>
      <c r="I381" s="18" t="s">
        <v>10391</v>
      </c>
      <c r="J381" s="18" t="s">
        <v>95</v>
      </c>
      <c r="K381" s="18" t="s">
        <v>7970</v>
      </c>
      <c r="L381" s="18" t="s">
        <v>10392</v>
      </c>
      <c r="M381" s="18" t="s">
        <v>10393</v>
      </c>
      <c r="N381" s="18" t="s">
        <v>10394</v>
      </c>
      <c r="O381" s="18" t="s">
        <v>2260</v>
      </c>
      <c r="P381" s="18" t="s">
        <v>10395</v>
      </c>
      <c r="Q381" s="18" t="s">
        <v>7975</v>
      </c>
      <c r="R381" s="18" t="s">
        <v>7976</v>
      </c>
      <c r="S381" s="18" t="s">
        <v>8010</v>
      </c>
      <c r="T381" s="18" t="s">
        <v>8011</v>
      </c>
      <c r="U381" s="18" t="s">
        <v>8012</v>
      </c>
      <c r="V381" s="18" t="s">
        <v>6963</v>
      </c>
      <c r="W381" s="18" t="s">
        <v>95</v>
      </c>
      <c r="X381" s="18" t="s">
        <v>95</v>
      </c>
      <c r="Y381" s="18" t="s">
        <v>7980</v>
      </c>
      <c r="Z381" s="18" t="s">
        <v>6996</v>
      </c>
      <c r="AA381" s="69">
        <v>1</v>
      </c>
      <c r="AB381" s="18">
        <v>196.42857000000001</v>
      </c>
      <c r="AC381" s="18" t="s">
        <v>10396</v>
      </c>
      <c r="AD381" s="18" t="s">
        <v>7982</v>
      </c>
      <c r="AE381" s="18">
        <v>168.8</v>
      </c>
      <c r="AF381" s="18" t="s">
        <v>7983</v>
      </c>
      <c r="AG381" s="18">
        <v>168.8</v>
      </c>
      <c r="AH381" s="18" t="s">
        <v>95</v>
      </c>
      <c r="AI381" s="18" t="s">
        <v>359</v>
      </c>
      <c r="AJ381" s="18" t="s">
        <v>360</v>
      </c>
      <c r="AK381" s="18">
        <v>14.28</v>
      </c>
      <c r="AL381" s="18" t="s">
        <v>95</v>
      </c>
      <c r="AM381" s="18" t="s">
        <v>95</v>
      </c>
      <c r="AN381" s="18" t="s">
        <v>7984</v>
      </c>
      <c r="AO381" s="18" t="s">
        <v>139</v>
      </c>
      <c r="AP381" s="18" t="s">
        <v>187</v>
      </c>
      <c r="AQ381" s="18" t="s">
        <v>188</v>
      </c>
      <c r="AR381" s="18" t="s">
        <v>496</v>
      </c>
      <c r="AS381" s="18">
        <v>1</v>
      </c>
      <c r="AT381" s="18" t="s">
        <v>177</v>
      </c>
      <c r="AU381" s="18" t="s">
        <v>90</v>
      </c>
      <c r="AV381" s="18" t="s">
        <v>8014</v>
      </c>
      <c r="AW381" s="18" t="s">
        <v>8015</v>
      </c>
      <c r="AX381" s="18" t="s">
        <v>83</v>
      </c>
      <c r="AY381" s="18" t="s">
        <v>95</v>
      </c>
      <c r="AZ381" s="18" t="s">
        <v>95</v>
      </c>
      <c r="BA381" s="18" t="s">
        <v>95</v>
      </c>
      <c r="BB381" s="18" t="s">
        <v>95</v>
      </c>
      <c r="BC381" s="18" t="s">
        <v>95</v>
      </c>
      <c r="BD381" s="18" t="s">
        <v>95</v>
      </c>
      <c r="BE381" s="18" t="s">
        <v>8230</v>
      </c>
      <c r="BF381" s="18" t="s">
        <v>8064</v>
      </c>
      <c r="BG381" s="18" t="s">
        <v>95</v>
      </c>
      <c r="BH381" s="18" t="s">
        <v>95</v>
      </c>
      <c r="BI381" s="18">
        <v>12</v>
      </c>
      <c r="BJ381" s="18">
        <v>2022</v>
      </c>
      <c r="BK381" s="18" t="s">
        <v>95</v>
      </c>
      <c r="BL381" s="18" t="s">
        <v>95</v>
      </c>
      <c r="BM381" s="18" t="s">
        <v>95</v>
      </c>
      <c r="BN381" s="18" t="s">
        <v>85</v>
      </c>
      <c r="BO381" s="18" t="s">
        <v>86</v>
      </c>
      <c r="BP381" s="18" t="s">
        <v>90</v>
      </c>
      <c r="BQ381" s="18" t="s">
        <v>8002</v>
      </c>
      <c r="BR381" s="18" t="s">
        <v>139</v>
      </c>
      <c r="BS381" s="18" t="s">
        <v>8003</v>
      </c>
      <c r="BT381" s="18" t="s">
        <v>7989</v>
      </c>
      <c r="BU381" s="18" t="s">
        <v>496</v>
      </c>
      <c r="BV381" s="18" t="str">
        <f>Terminales[[#This Row],[IMEI]]&amp;"SI"</f>
        <v>359694275284401SI</v>
      </c>
      <c r="BW381" s="18" t="str">
        <f>VLOOKUP(Terminales[[#This Row],[OFICINA_USUARIO]],[1]!Locales[#Data],3,0)</f>
        <v>TIENDA RECREO</v>
      </c>
      <c r="BX381" s="18" t="str">
        <f>VLOOKUP(Terminales[[#This Row],[USUARIO_FINAL]],'[1]Personal Ppto vs Real'!$A:$F,6,0)</f>
        <v>ESPINOZA MARTINES LAURA XIOMARA</v>
      </c>
      <c r="BY38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8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81" s="18">
        <f>DAY(Terminales[[#This Row],[FECHA_FACTURA]])</f>
        <v>18</v>
      </c>
      <c r="CB381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381" s="65">
        <f>IFERROR(IF(AND(Terminales[[#This Row],[CANTIDAD]] = 1,Terminales[[#This Row],[MOVIMIENTO]] = "RENOVACION"),Terminales[[#This Row],[TARIFA_BASICA]]*0.5,),)</f>
        <v>7.14</v>
      </c>
      <c r="CD381" s="65">
        <f>IF('[1]Resumen TM'!$AW$20 &lt; 0.4,0,Terminales[[#This Row],[MONTO]]*0.02)</f>
        <v>3.9285714</v>
      </c>
      <c r="CE381" s="66">
        <f>Terminales[[#This Row],[COMISIONES TERMINALES]]+Terminales[[#This Row],[COMISIONES RENOVACIONES]]+Terminales[[#This Row],[COMISIONES BONO]]</f>
        <v>30.711428400000003</v>
      </c>
      <c r="CF381" s="67">
        <f>(Terminales[[#This Row],[COMISIONES TERMINALES]]*VLOOKUP(Terminales[[#This Row],[LOCALES]],[1]!Calendario[#Data],3,0))/VLOOKUP(Terminales[[#This Row],[LOCALES]],[1]!Calendario[#Data],2,0)</f>
        <v>32.315667967741938</v>
      </c>
      <c r="CG381" s="67">
        <f>(Terminales[[#This Row],[COMISIONES RENOVACIONES]]*VLOOKUP(Terminales[[#This Row],[LOCALES]],[1]!Calendario[#Data],3,0))/VLOOKUP(Terminales[[#This Row],[LOCALES]],[1]!Calendario[#Data],2,0)</f>
        <v>11.746451612903225</v>
      </c>
      <c r="CH381" s="67">
        <f>(Terminales[[#This Row],[COMISIONES BONO]]*VLOOKUP(Terminales[[#This Row],[LOCALES]],[1]!Calendario[#Data],3,0))/VLOOKUP(Terminales[[#This Row],[LOCALES]],[1]!Calendario[#Data],2,0)</f>
        <v>6.4631335935483865</v>
      </c>
      <c r="CI381" s="67">
        <f>Terminales[[#This Row],[PROY. COM. TERMINALES]]+Terminales[[#This Row],[PROY. COM. RENOV.]]+Terminales[[#This Row],[PROY. COM. 2%]]</f>
        <v>50.525253174193544</v>
      </c>
    </row>
    <row r="382" spans="1:87" x14ac:dyDescent="0.25">
      <c r="A382" s="68">
        <v>44926</v>
      </c>
      <c r="B382" s="68">
        <v>44913</v>
      </c>
      <c r="C382" s="18" t="s">
        <v>291</v>
      </c>
      <c r="D382" s="18" t="s">
        <v>78</v>
      </c>
      <c r="E382" s="18" t="s">
        <v>231</v>
      </c>
      <c r="F382" s="18" t="s">
        <v>10397</v>
      </c>
      <c r="G382" s="18" t="s">
        <v>292</v>
      </c>
      <c r="H382" s="18" t="s">
        <v>494</v>
      </c>
      <c r="I382" s="18" t="s">
        <v>10398</v>
      </c>
      <c r="J382" s="18" t="s">
        <v>95</v>
      </c>
      <c r="K382" s="18" t="s">
        <v>7970</v>
      </c>
      <c r="L382" s="18" t="s">
        <v>10399</v>
      </c>
      <c r="M382" s="18" t="s">
        <v>10400</v>
      </c>
      <c r="N382" s="18" t="s">
        <v>10401</v>
      </c>
      <c r="O382" s="18" t="s">
        <v>5764</v>
      </c>
      <c r="P382" s="18" t="s">
        <v>10402</v>
      </c>
      <c r="Q382" s="18" t="s">
        <v>7975</v>
      </c>
      <c r="R382" s="18" t="s">
        <v>7976</v>
      </c>
      <c r="S382" s="18" t="s">
        <v>8250</v>
      </c>
      <c r="T382" s="18" t="s">
        <v>8294</v>
      </c>
      <c r="U382" s="18" t="s">
        <v>8059</v>
      </c>
      <c r="V382" s="18" t="s">
        <v>6963</v>
      </c>
      <c r="W382" s="18" t="s">
        <v>95</v>
      </c>
      <c r="X382" s="18" t="s">
        <v>95</v>
      </c>
      <c r="Y382" s="18" t="s">
        <v>7980</v>
      </c>
      <c r="Z382" s="18" t="s">
        <v>6996</v>
      </c>
      <c r="AA382" s="69">
        <v>1</v>
      </c>
      <c r="AB382" s="18">
        <v>1053.57143</v>
      </c>
      <c r="AC382" s="18" t="s">
        <v>10403</v>
      </c>
      <c r="AD382" s="18" t="s">
        <v>7982</v>
      </c>
      <c r="AE382" s="18">
        <v>848.89</v>
      </c>
      <c r="AF382" s="18" t="s">
        <v>7983</v>
      </c>
      <c r="AG382" s="18">
        <v>848.89</v>
      </c>
      <c r="AH382" s="18" t="s">
        <v>95</v>
      </c>
      <c r="AI382" s="18" t="s">
        <v>7213</v>
      </c>
      <c r="AJ382" s="18" t="s">
        <v>7214</v>
      </c>
      <c r="AK382" s="18">
        <v>24.99</v>
      </c>
      <c r="AL382" s="18" t="s">
        <v>95</v>
      </c>
      <c r="AM382" s="18" t="s">
        <v>95</v>
      </c>
      <c r="AN382" s="18" t="s">
        <v>7984</v>
      </c>
      <c r="AO382" s="18" t="s">
        <v>139</v>
      </c>
      <c r="AP382" s="18" t="s">
        <v>199</v>
      </c>
      <c r="AQ382" s="18" t="s">
        <v>200</v>
      </c>
      <c r="AR382" s="18" t="s">
        <v>496</v>
      </c>
      <c r="AS382" s="18">
        <v>1</v>
      </c>
      <c r="AT382" s="18" t="s">
        <v>177</v>
      </c>
      <c r="AU382" s="18" t="s">
        <v>90</v>
      </c>
      <c r="AV382" s="18" t="s">
        <v>9643</v>
      </c>
      <c r="AW382" s="18" t="s">
        <v>9644</v>
      </c>
      <c r="AX382" s="18" t="s">
        <v>83</v>
      </c>
      <c r="AY382" s="18" t="s">
        <v>95</v>
      </c>
      <c r="AZ382" s="18" t="s">
        <v>95</v>
      </c>
      <c r="BA382" s="18" t="s">
        <v>95</v>
      </c>
      <c r="BB382" s="18" t="s">
        <v>95</v>
      </c>
      <c r="BC382" s="18" t="s">
        <v>95</v>
      </c>
      <c r="BD382" s="18" t="s">
        <v>95</v>
      </c>
      <c r="BE382" s="18" t="s">
        <v>95</v>
      </c>
      <c r="BF382" s="18" t="s">
        <v>95</v>
      </c>
      <c r="BG382" s="18" t="s">
        <v>95</v>
      </c>
      <c r="BH382" s="18" t="s">
        <v>95</v>
      </c>
      <c r="BI382" s="18">
        <v>12</v>
      </c>
      <c r="BJ382" s="18">
        <v>2022</v>
      </c>
      <c r="BK382" s="18" t="s">
        <v>95</v>
      </c>
      <c r="BL382" s="18" t="s">
        <v>95</v>
      </c>
      <c r="BM382" s="18" t="s">
        <v>95</v>
      </c>
      <c r="BN382" s="18" t="s">
        <v>85</v>
      </c>
      <c r="BO382" s="18" t="s">
        <v>86</v>
      </c>
      <c r="BP382" s="18" t="s">
        <v>90</v>
      </c>
      <c r="BQ382" s="18" t="s">
        <v>8002</v>
      </c>
      <c r="BR382" s="18" t="s">
        <v>139</v>
      </c>
      <c r="BS382" s="18" t="s">
        <v>8074</v>
      </c>
      <c r="BT382" s="18" t="s">
        <v>7989</v>
      </c>
      <c r="BU382" s="18" t="s">
        <v>496</v>
      </c>
      <c r="BV382" s="18" t="str">
        <f>Terminales[[#This Row],[IMEI]]&amp;"SI"</f>
        <v>359675692711738SI</v>
      </c>
      <c r="BW382" s="18" t="str">
        <f>VLOOKUP(Terminales[[#This Row],[OFICINA_USUARIO]],[1]!Locales[#Data],3,0)</f>
        <v>TIENDA RECREO</v>
      </c>
      <c r="BX382" s="18" t="str">
        <f>VLOOKUP(Terminales[[#This Row],[USUARIO_FINAL]],'[1]Personal Ppto vs Real'!$A:$F,6,0)</f>
        <v>MEDINA LAPO DAYANNA CAROLINA</v>
      </c>
      <c r="BY38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8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82" s="18">
        <f>DAY(Terminales[[#This Row],[FECHA_FACTURA]])</f>
        <v>18</v>
      </c>
      <c r="CB382" s="65">
        <f>IF(Terminales[[#This Row],[CANTIDAD]] = 1,INDEX([1]!Comisiones[#Data],MATCH("Terminales",[1]!Comisiones[Producto],0),MATCH(Terminales[[#This Row],[TIPO ALTA COMISIONES]],[1]!Comisiones[#Headers],0))*Terminales[[#This Row],[MONTO]],0)</f>
        <v>105.35714300000001</v>
      </c>
      <c r="CC382" s="65">
        <f>IFERROR(IF(AND(Terminales[[#This Row],[CANTIDAD]] = 1,Terminales[[#This Row],[MOVIMIENTO]] = "RENOVACION"),Terminales[[#This Row],[TARIFA_BASICA]]*0.5,),)</f>
        <v>12.494999999999999</v>
      </c>
      <c r="CD382" s="65">
        <f>IF('[1]Resumen TM'!$AW$20 &lt; 0.4,0,Terminales[[#This Row],[MONTO]]*0.02)</f>
        <v>21.071428600000001</v>
      </c>
      <c r="CE382" s="66">
        <f>Terminales[[#This Row],[COMISIONES TERMINALES]]+Terminales[[#This Row],[COMISIONES RENOVACIONES]]+Terminales[[#This Row],[COMISIONES BONO]]</f>
        <v>138.9235716</v>
      </c>
      <c r="CF382" s="67">
        <f>(Terminales[[#This Row],[COMISIONES TERMINALES]]*VLOOKUP(Terminales[[#This Row],[LOCALES]],[1]!Calendario[#Data],3,0))/VLOOKUP(Terminales[[#This Row],[LOCALES]],[1]!Calendario[#Data],2,0)</f>
        <v>173.32949332258065</v>
      </c>
      <c r="CG382" s="67">
        <f>(Terminales[[#This Row],[COMISIONES RENOVACIONES]]*VLOOKUP(Terminales[[#This Row],[LOCALES]],[1]!Calendario[#Data],3,0))/VLOOKUP(Terminales[[#This Row],[LOCALES]],[1]!Calendario[#Data],2,0)</f>
        <v>20.556290322580644</v>
      </c>
      <c r="CH382" s="67">
        <f>(Terminales[[#This Row],[COMISIONES BONO]]*VLOOKUP(Terminales[[#This Row],[LOCALES]],[1]!Calendario[#Data],3,0))/VLOOKUP(Terminales[[#This Row],[LOCALES]],[1]!Calendario[#Data],2,0)</f>
        <v>34.665898664516128</v>
      </c>
      <c r="CI382" s="67">
        <f>Terminales[[#This Row],[PROY. COM. TERMINALES]]+Terminales[[#This Row],[PROY. COM. RENOV.]]+Terminales[[#This Row],[PROY. COM. 2%]]</f>
        <v>228.55168230967743</v>
      </c>
    </row>
    <row r="383" spans="1:87" x14ac:dyDescent="0.25">
      <c r="A383" s="68">
        <v>44926</v>
      </c>
      <c r="B383" s="68">
        <v>44913</v>
      </c>
      <c r="C383" s="18" t="s">
        <v>96</v>
      </c>
      <c r="D383" s="18" t="s">
        <v>96</v>
      </c>
      <c r="E383" s="18" t="s">
        <v>96</v>
      </c>
      <c r="F383" s="18" t="s">
        <v>10404</v>
      </c>
      <c r="G383" s="18" t="s">
        <v>292</v>
      </c>
      <c r="H383" s="18" t="s">
        <v>494</v>
      </c>
      <c r="I383" s="18" t="s">
        <v>10405</v>
      </c>
      <c r="J383" s="18" t="s">
        <v>95</v>
      </c>
      <c r="K383" s="18" t="s">
        <v>7970</v>
      </c>
      <c r="L383" s="18" t="s">
        <v>10406</v>
      </c>
      <c r="M383" s="18" t="s">
        <v>10407</v>
      </c>
      <c r="N383" s="18" t="s">
        <v>10408</v>
      </c>
      <c r="O383" s="18" t="s">
        <v>543</v>
      </c>
      <c r="P383" s="18" t="s">
        <v>10409</v>
      </c>
      <c r="Q383" s="18" t="s">
        <v>7975</v>
      </c>
      <c r="R383" s="18" t="s">
        <v>7976</v>
      </c>
      <c r="S383" s="18" t="s">
        <v>7994</v>
      </c>
      <c r="T383" s="18" t="s">
        <v>8245</v>
      </c>
      <c r="U383" s="18" t="s">
        <v>8012</v>
      </c>
      <c r="V383" s="18" t="s">
        <v>6963</v>
      </c>
      <c r="W383" s="18" t="s">
        <v>95</v>
      </c>
      <c r="X383" s="18" t="s">
        <v>95</v>
      </c>
      <c r="Y383" s="18" t="s">
        <v>7980</v>
      </c>
      <c r="Z383" s="18" t="s">
        <v>6996</v>
      </c>
      <c r="AA383" s="69">
        <v>1</v>
      </c>
      <c r="AB383" s="18">
        <v>156.25</v>
      </c>
      <c r="AC383" s="18" t="s">
        <v>10410</v>
      </c>
      <c r="AD383" s="18" t="s">
        <v>96</v>
      </c>
      <c r="AE383" s="18">
        <v>156</v>
      </c>
      <c r="AF383" s="18" t="s">
        <v>7983</v>
      </c>
      <c r="AG383" s="18">
        <v>156</v>
      </c>
      <c r="AH383" s="18" t="s">
        <v>95</v>
      </c>
      <c r="AI383" s="18" t="s">
        <v>8102</v>
      </c>
      <c r="AJ383" s="18" t="s">
        <v>8103</v>
      </c>
      <c r="AK383" s="18" t="s">
        <v>95</v>
      </c>
      <c r="AL383" s="18" t="s">
        <v>95</v>
      </c>
      <c r="AM383" s="18" t="s">
        <v>95</v>
      </c>
      <c r="AN383" s="18" t="s">
        <v>7984</v>
      </c>
      <c r="AO383" s="18" t="s">
        <v>139</v>
      </c>
      <c r="AP383" s="18" t="s">
        <v>769</v>
      </c>
      <c r="AQ383" s="18" t="s">
        <v>770</v>
      </c>
      <c r="AR383" s="18" t="s">
        <v>496</v>
      </c>
      <c r="AS383" s="18">
        <v>1</v>
      </c>
      <c r="AT383" s="18" t="s">
        <v>235</v>
      </c>
      <c r="AU383" s="18" t="s">
        <v>90</v>
      </c>
      <c r="AV383" s="18" t="s">
        <v>8247</v>
      </c>
      <c r="AW383" s="18" t="s">
        <v>8248</v>
      </c>
      <c r="AX383" s="18" t="s">
        <v>83</v>
      </c>
      <c r="AY383" s="18" t="s">
        <v>95</v>
      </c>
      <c r="AZ383" s="18" t="s">
        <v>95</v>
      </c>
      <c r="BA383" s="18" t="s">
        <v>95</v>
      </c>
      <c r="BB383" s="18" t="s">
        <v>95</v>
      </c>
      <c r="BC383" s="18" t="s">
        <v>95</v>
      </c>
      <c r="BD383" s="18" t="s">
        <v>95</v>
      </c>
      <c r="BE383" s="18" t="s">
        <v>95</v>
      </c>
      <c r="BF383" s="18" t="s">
        <v>95</v>
      </c>
      <c r="BG383" s="18" t="s">
        <v>95</v>
      </c>
      <c r="BH383" s="18" t="s">
        <v>95</v>
      </c>
      <c r="BI383" s="18">
        <v>12</v>
      </c>
      <c r="BJ383" s="18">
        <v>2022</v>
      </c>
      <c r="BK383" s="18" t="s">
        <v>95</v>
      </c>
      <c r="BL383" s="18" t="s">
        <v>95</v>
      </c>
      <c r="BM383" s="18" t="s">
        <v>95</v>
      </c>
      <c r="BN383" s="18" t="s">
        <v>85</v>
      </c>
      <c r="BO383" s="18" t="s">
        <v>86</v>
      </c>
      <c r="BP383" s="18" t="s">
        <v>90</v>
      </c>
      <c r="BQ383" s="18" t="s">
        <v>8016</v>
      </c>
      <c r="BR383" s="18" t="s">
        <v>139</v>
      </c>
      <c r="BS383" s="18" t="s">
        <v>8074</v>
      </c>
      <c r="BT383" s="18" t="s">
        <v>7989</v>
      </c>
      <c r="BU383" s="18" t="s">
        <v>496</v>
      </c>
      <c r="BV383" s="18" t="str">
        <f>Terminales[[#This Row],[IMEI]]&amp;"SI"</f>
        <v>355108340301300SI</v>
      </c>
      <c r="BW383" s="18" t="str">
        <f>VLOOKUP(Terminales[[#This Row],[OFICINA_USUARIO]],[1]!Locales[#Data],3,0)</f>
        <v>TIENDA CONDADO</v>
      </c>
      <c r="BX383" s="18" t="str">
        <f>VLOOKUP(Terminales[[#This Row],[USUARIO_FINAL]],'[1]Personal Ppto vs Real'!$A:$F,6,0)</f>
        <v>ROJAS VEGA JHOSMERY MICHELE</v>
      </c>
      <c r="BY38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8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83" s="18">
        <f>DAY(Terminales[[#This Row],[FECHA_FACTURA]])</f>
        <v>18</v>
      </c>
      <c r="CB383" s="65">
        <f>IF(Terminales[[#This Row],[CANTIDAD]] = 1,INDEX([1]!Comisiones[#Data],MATCH("Terminales",[1]!Comisiones[Producto],0),MATCH(Terminales[[#This Row],[TIPO ALTA COMISIONES]],[1]!Comisiones[#Headers],0))*Terminales[[#This Row],[MONTO]],0)</f>
        <v>15.625</v>
      </c>
      <c r="CC383" s="65">
        <f>IFERROR(IF(AND(Terminales[[#This Row],[CANTIDAD]] = 1,Terminales[[#This Row],[MOVIMIENTO]] = "RENOVACION"),Terminales[[#This Row],[TARIFA_BASICA]]*0.5,),)</f>
        <v>0</v>
      </c>
      <c r="CD383" s="65">
        <f>IF('[1]Resumen TM'!$AW$20 &lt; 0.4,0,Terminales[[#This Row],[MONTO]]*0.02)</f>
        <v>3.125</v>
      </c>
      <c r="CE383" s="66">
        <f>Terminales[[#This Row],[COMISIONES TERMINALES]]+Terminales[[#This Row],[COMISIONES RENOVACIONES]]+Terminales[[#This Row],[COMISIONES BONO]]</f>
        <v>18.75</v>
      </c>
      <c r="CF383" s="67">
        <f>(Terminales[[#This Row],[COMISIONES TERMINALES]]*VLOOKUP(Terminales[[#This Row],[LOCALES]],[1]!Calendario[#Data],3,0))/VLOOKUP(Terminales[[#This Row],[LOCALES]],[1]!Calendario[#Data],2,0)</f>
        <v>25.705645161290324</v>
      </c>
      <c r="CG383" s="67">
        <f>(Terminales[[#This Row],[COMISIONES RENOVACIONES]]*VLOOKUP(Terminales[[#This Row],[LOCALES]],[1]!Calendario[#Data],3,0))/VLOOKUP(Terminales[[#This Row],[LOCALES]],[1]!Calendario[#Data],2,0)</f>
        <v>0</v>
      </c>
      <c r="CH383" s="67">
        <f>(Terminales[[#This Row],[COMISIONES BONO]]*VLOOKUP(Terminales[[#This Row],[LOCALES]],[1]!Calendario[#Data],3,0))/VLOOKUP(Terminales[[#This Row],[LOCALES]],[1]!Calendario[#Data],2,0)</f>
        <v>5.1411290322580649</v>
      </c>
      <c r="CI383" s="67">
        <f>Terminales[[#This Row],[PROY. COM. TERMINALES]]+Terminales[[#This Row],[PROY. COM. RENOV.]]+Terminales[[#This Row],[PROY. COM. 2%]]</f>
        <v>30.846774193548388</v>
      </c>
    </row>
    <row r="384" spans="1:87" x14ac:dyDescent="0.25">
      <c r="A384" s="68">
        <v>44926</v>
      </c>
      <c r="B384" s="68">
        <v>44913</v>
      </c>
      <c r="C384" s="18" t="s">
        <v>291</v>
      </c>
      <c r="D384" s="18" t="s">
        <v>78</v>
      </c>
      <c r="E384" s="18" t="s">
        <v>2241</v>
      </c>
      <c r="F384" s="18" t="s">
        <v>10411</v>
      </c>
      <c r="G384" s="18" t="s">
        <v>292</v>
      </c>
      <c r="H384" s="18" t="s">
        <v>494</v>
      </c>
      <c r="I384" s="18" t="s">
        <v>10412</v>
      </c>
      <c r="J384" s="18" t="s">
        <v>95</v>
      </c>
      <c r="K384" s="18" t="s">
        <v>7970</v>
      </c>
      <c r="L384" s="18" t="s">
        <v>10413</v>
      </c>
      <c r="M384" s="18" t="s">
        <v>10414</v>
      </c>
      <c r="N384" s="18" t="s">
        <v>10415</v>
      </c>
      <c r="O384" s="18" t="s">
        <v>8438</v>
      </c>
      <c r="P384" s="18" t="s">
        <v>10416</v>
      </c>
      <c r="Q384" s="18" t="s">
        <v>7975</v>
      </c>
      <c r="R384" s="18" t="s">
        <v>7976</v>
      </c>
      <c r="S384" s="18" t="s">
        <v>8070</v>
      </c>
      <c r="T384" s="18" t="s">
        <v>8364</v>
      </c>
      <c r="U384" s="18" t="s">
        <v>8012</v>
      </c>
      <c r="V384" s="18" t="s">
        <v>6963</v>
      </c>
      <c r="W384" s="18" t="s">
        <v>95</v>
      </c>
      <c r="X384" s="18" t="s">
        <v>95</v>
      </c>
      <c r="Y384" s="18" t="s">
        <v>7980</v>
      </c>
      <c r="Z384" s="18" t="s">
        <v>6996</v>
      </c>
      <c r="AA384" s="69">
        <v>1</v>
      </c>
      <c r="AB384" s="18">
        <v>281.25</v>
      </c>
      <c r="AC384" s="18" t="s">
        <v>10417</v>
      </c>
      <c r="AD384" s="18" t="s">
        <v>7982</v>
      </c>
      <c r="AE384" s="18">
        <v>259.99</v>
      </c>
      <c r="AF384" s="18" t="s">
        <v>7983</v>
      </c>
      <c r="AG384" s="18">
        <v>259.99</v>
      </c>
      <c r="AH384" s="18" t="s">
        <v>95</v>
      </c>
      <c r="AI384" s="18" t="s">
        <v>112</v>
      </c>
      <c r="AJ384" s="18" t="s">
        <v>781</v>
      </c>
      <c r="AK384" s="18">
        <v>17.850000000000001</v>
      </c>
      <c r="AL384" s="18" t="s">
        <v>95</v>
      </c>
      <c r="AM384" s="18" t="s">
        <v>95</v>
      </c>
      <c r="AN384" s="18" t="s">
        <v>7984</v>
      </c>
      <c r="AO384" s="18" t="s">
        <v>139</v>
      </c>
      <c r="AP384" s="18" t="s">
        <v>369</v>
      </c>
      <c r="AQ384" s="18" t="s">
        <v>370</v>
      </c>
      <c r="AR384" s="18" t="s">
        <v>496</v>
      </c>
      <c r="AS384" s="18">
        <v>1</v>
      </c>
      <c r="AT384" s="18" t="s">
        <v>177</v>
      </c>
      <c r="AU384" s="18" t="s">
        <v>90</v>
      </c>
      <c r="AV384" s="18" t="s">
        <v>8441</v>
      </c>
      <c r="AW384" s="18" t="s">
        <v>8442</v>
      </c>
      <c r="AX384" s="18" t="s">
        <v>83</v>
      </c>
      <c r="AY384" s="18" t="s">
        <v>95</v>
      </c>
      <c r="AZ384" s="18" t="s">
        <v>95</v>
      </c>
      <c r="BA384" s="18" t="s">
        <v>95</v>
      </c>
      <c r="BB384" s="18" t="s">
        <v>95</v>
      </c>
      <c r="BC384" s="18" t="s">
        <v>95</v>
      </c>
      <c r="BD384" s="18" t="s">
        <v>95</v>
      </c>
      <c r="BE384" s="18" t="s">
        <v>8000</v>
      </c>
      <c r="BF384" s="18" t="s">
        <v>8064</v>
      </c>
      <c r="BG384" s="18" t="s">
        <v>95</v>
      </c>
      <c r="BH384" s="18" t="s">
        <v>95</v>
      </c>
      <c r="BI384" s="18">
        <v>12</v>
      </c>
      <c r="BJ384" s="18">
        <v>2022</v>
      </c>
      <c r="BK384" s="18" t="s">
        <v>95</v>
      </c>
      <c r="BL384" s="18" t="s">
        <v>95</v>
      </c>
      <c r="BM384" s="18" t="s">
        <v>95</v>
      </c>
      <c r="BN384" s="18" t="s">
        <v>85</v>
      </c>
      <c r="BO384" s="18" t="s">
        <v>86</v>
      </c>
      <c r="BP384" s="18" t="s">
        <v>90</v>
      </c>
      <c r="BQ384" s="18" t="s">
        <v>8002</v>
      </c>
      <c r="BR384" s="18" t="s">
        <v>139</v>
      </c>
      <c r="BS384" s="18" t="s">
        <v>8003</v>
      </c>
      <c r="BT384" s="18" t="s">
        <v>7989</v>
      </c>
      <c r="BU384" s="18" t="s">
        <v>496</v>
      </c>
      <c r="BV384" s="18" t="str">
        <f>Terminales[[#This Row],[IMEI]]&amp;"SI"</f>
        <v>865954061383727SI</v>
      </c>
      <c r="BW384" s="18" t="str">
        <f>VLOOKUP(Terminales[[#This Row],[OFICINA_USUARIO]],[1]!Locales[#Data],3,0)</f>
        <v>TIENDA RECREO</v>
      </c>
      <c r="BX384" s="18" t="str">
        <f>VLOOKUP(Terminales[[#This Row],[USUARIO_FINAL]],'[1]Personal Ppto vs Real'!$A:$F,6,0)</f>
        <v>GUAIGUA REINOSO GENESIS CAROLINA</v>
      </c>
      <c r="BY38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8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84" s="18">
        <f>DAY(Terminales[[#This Row],[FECHA_FACTURA]])</f>
        <v>18</v>
      </c>
      <c r="CB384" s="65">
        <f>IF(Terminales[[#This Row],[CANTIDAD]] = 1,INDEX([1]!Comisiones[#Data],MATCH("Terminales",[1]!Comisiones[Producto],0),MATCH(Terminales[[#This Row],[TIPO ALTA COMISIONES]],[1]!Comisiones[#Headers],0))*Terminales[[#This Row],[MONTO]],0)</f>
        <v>28.125</v>
      </c>
      <c r="CC384" s="65">
        <f>IFERROR(IF(AND(Terminales[[#This Row],[CANTIDAD]] = 1,Terminales[[#This Row],[MOVIMIENTO]] = "RENOVACION"),Terminales[[#This Row],[TARIFA_BASICA]]*0.5,),)</f>
        <v>8.9250000000000007</v>
      </c>
      <c r="CD384" s="65">
        <f>IF('[1]Resumen TM'!$AW$20 &lt; 0.4,0,Terminales[[#This Row],[MONTO]]*0.02)</f>
        <v>5.625</v>
      </c>
      <c r="CE384" s="66">
        <f>Terminales[[#This Row],[COMISIONES TERMINALES]]+Terminales[[#This Row],[COMISIONES RENOVACIONES]]+Terminales[[#This Row],[COMISIONES BONO]]</f>
        <v>42.674999999999997</v>
      </c>
      <c r="CF384" s="67">
        <f>(Terminales[[#This Row],[COMISIONES TERMINALES]]*VLOOKUP(Terminales[[#This Row],[LOCALES]],[1]!Calendario[#Data],3,0))/VLOOKUP(Terminales[[#This Row],[LOCALES]],[1]!Calendario[#Data],2,0)</f>
        <v>46.270161290322584</v>
      </c>
      <c r="CG384" s="67">
        <f>(Terminales[[#This Row],[COMISIONES RENOVACIONES]]*VLOOKUP(Terminales[[#This Row],[LOCALES]],[1]!Calendario[#Data],3,0))/VLOOKUP(Terminales[[#This Row],[LOCALES]],[1]!Calendario[#Data],2,0)</f>
        <v>14.683064516129033</v>
      </c>
      <c r="CH384" s="67">
        <f>(Terminales[[#This Row],[COMISIONES BONO]]*VLOOKUP(Terminales[[#This Row],[LOCALES]],[1]!Calendario[#Data],3,0))/VLOOKUP(Terminales[[#This Row],[LOCALES]],[1]!Calendario[#Data],2,0)</f>
        <v>9.254032258064516</v>
      </c>
      <c r="CI384" s="67">
        <f>Terminales[[#This Row],[PROY. COM. TERMINALES]]+Terminales[[#This Row],[PROY. COM. RENOV.]]+Terminales[[#This Row],[PROY. COM. 2%]]</f>
        <v>70.207258064516125</v>
      </c>
    </row>
    <row r="385" spans="1:87" x14ac:dyDescent="0.25">
      <c r="A385" s="68">
        <v>44926</v>
      </c>
      <c r="B385" s="68">
        <v>44913</v>
      </c>
      <c r="C385" s="18" t="s">
        <v>291</v>
      </c>
      <c r="D385" s="18" t="s">
        <v>78</v>
      </c>
      <c r="E385" s="18" t="s">
        <v>1378</v>
      </c>
      <c r="F385" s="18" t="s">
        <v>10418</v>
      </c>
      <c r="G385" s="18" t="s">
        <v>292</v>
      </c>
      <c r="H385" s="18" t="s">
        <v>293</v>
      </c>
      <c r="I385" s="18" t="s">
        <v>10419</v>
      </c>
      <c r="J385" s="18" t="s">
        <v>95</v>
      </c>
      <c r="K385" s="18" t="s">
        <v>7970</v>
      </c>
      <c r="L385" s="18" t="s">
        <v>10420</v>
      </c>
      <c r="M385" s="18" t="s">
        <v>10421</v>
      </c>
      <c r="N385" s="18" t="s">
        <v>10422</v>
      </c>
      <c r="O385" s="18" t="s">
        <v>3669</v>
      </c>
      <c r="P385" s="18" t="s">
        <v>10423</v>
      </c>
      <c r="Q385" s="18" t="s">
        <v>7975</v>
      </c>
      <c r="R385" s="18" t="s">
        <v>7976</v>
      </c>
      <c r="S385" s="18" t="s">
        <v>8045</v>
      </c>
      <c r="T385" s="18" t="s">
        <v>8046</v>
      </c>
      <c r="U385" s="18" t="s">
        <v>7996</v>
      </c>
      <c r="V385" s="18" t="s">
        <v>6963</v>
      </c>
      <c r="W385" s="18" t="s">
        <v>95</v>
      </c>
      <c r="X385" s="18" t="s">
        <v>95</v>
      </c>
      <c r="Y385" s="18" t="s">
        <v>7980</v>
      </c>
      <c r="Z385" s="18" t="s">
        <v>6996</v>
      </c>
      <c r="AA385" s="69">
        <v>1</v>
      </c>
      <c r="AB385" s="18">
        <v>200.89286000000001</v>
      </c>
      <c r="AC385" s="18" t="s">
        <v>10424</v>
      </c>
      <c r="AD385" s="18" t="s">
        <v>7982</v>
      </c>
      <c r="AE385" s="18">
        <v>124.5</v>
      </c>
      <c r="AF385" s="18" t="s">
        <v>7983</v>
      </c>
      <c r="AG385" s="18">
        <v>124.5</v>
      </c>
      <c r="AH385" s="18" t="s">
        <v>95</v>
      </c>
      <c r="AI385" s="18" t="s">
        <v>112</v>
      </c>
      <c r="AJ385" s="18" t="s">
        <v>781</v>
      </c>
      <c r="AK385" s="18">
        <v>17.850000000000001</v>
      </c>
      <c r="AL385" s="18" t="s">
        <v>95</v>
      </c>
      <c r="AM385" s="18" t="s">
        <v>95</v>
      </c>
      <c r="AN385" s="18" t="s">
        <v>7984</v>
      </c>
      <c r="AO385" s="18" t="s">
        <v>139</v>
      </c>
      <c r="AP385" s="18" t="s">
        <v>187</v>
      </c>
      <c r="AQ385" s="18" t="s">
        <v>188</v>
      </c>
      <c r="AR385" s="18" t="s">
        <v>295</v>
      </c>
      <c r="AS385" s="18">
        <v>1</v>
      </c>
      <c r="AT385" s="18" t="s">
        <v>177</v>
      </c>
      <c r="AU385" s="18" t="s">
        <v>90</v>
      </c>
      <c r="AV385" s="18" t="s">
        <v>8048</v>
      </c>
      <c r="AW385" s="18" t="s">
        <v>8049</v>
      </c>
      <c r="AX385" s="18" t="s">
        <v>83</v>
      </c>
      <c r="AY385" s="18" t="s">
        <v>95</v>
      </c>
      <c r="AZ385" s="18" t="s">
        <v>95</v>
      </c>
      <c r="BA385" s="18" t="s">
        <v>95</v>
      </c>
      <c r="BB385" s="18" t="s">
        <v>95</v>
      </c>
      <c r="BC385" s="18" t="s">
        <v>95</v>
      </c>
      <c r="BD385" s="18">
        <v>40.18</v>
      </c>
      <c r="BE385" s="18" t="s">
        <v>95</v>
      </c>
      <c r="BF385" s="18" t="s">
        <v>95</v>
      </c>
      <c r="BG385" s="18" t="s">
        <v>95</v>
      </c>
      <c r="BH385" s="18" t="s">
        <v>95</v>
      </c>
      <c r="BI385" s="18">
        <v>12</v>
      </c>
      <c r="BJ385" s="18">
        <v>2022</v>
      </c>
      <c r="BK385" s="18" t="s">
        <v>95</v>
      </c>
      <c r="BL385" s="18" t="s">
        <v>95</v>
      </c>
      <c r="BM385" s="18" t="s">
        <v>95</v>
      </c>
      <c r="BN385" s="18" t="s">
        <v>85</v>
      </c>
      <c r="BO385" s="18" t="s">
        <v>86</v>
      </c>
      <c r="BP385" s="18" t="s">
        <v>90</v>
      </c>
      <c r="BQ385" s="18" t="s">
        <v>8002</v>
      </c>
      <c r="BR385" s="18" t="s">
        <v>139</v>
      </c>
      <c r="BS385" s="18" t="s">
        <v>9828</v>
      </c>
      <c r="BT385" s="18" t="s">
        <v>7989</v>
      </c>
      <c r="BU385" s="18" t="s">
        <v>7990</v>
      </c>
      <c r="BV385" s="18" t="str">
        <f>Terminales[[#This Row],[IMEI]]&amp;"SI"</f>
        <v>351084957811697SI</v>
      </c>
      <c r="BW385" s="18" t="str">
        <f>VLOOKUP(Terminales[[#This Row],[OFICINA_USUARIO]],[1]!Locales[#Data],3,0)</f>
        <v>TIENDA RECREO</v>
      </c>
      <c r="BX385" s="18" t="str">
        <f>VLOOKUP(Terminales[[#This Row],[USUARIO_FINAL]],'[1]Personal Ppto vs Real'!$A:$F,6,0)</f>
        <v>ESPINOZA MARTINES LAURA XIOMARA</v>
      </c>
      <c r="BY38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8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85" s="18">
        <f>DAY(Terminales[[#This Row],[FECHA_FACTURA]])</f>
        <v>18</v>
      </c>
      <c r="CB385" s="65">
        <f>IF(Terminales[[#This Row],[CANTIDAD]] = 1,INDEX([1]!Comisiones[#Data],MATCH("Terminales",[1]!Comisiones[Producto],0),MATCH(Terminales[[#This Row],[TIPO ALTA COMISIONES]],[1]!Comisiones[#Headers],0))*Terminales[[#This Row],[MONTO]],0)</f>
        <v>20.089286000000001</v>
      </c>
      <c r="CC385" s="65">
        <f>IFERROR(IF(AND(Terminales[[#This Row],[CANTIDAD]] = 1,Terminales[[#This Row],[MOVIMIENTO]] = "RENOVACION"),Terminales[[#This Row],[TARIFA_BASICA]]*0.5,),)</f>
        <v>8.9250000000000007</v>
      </c>
      <c r="CD385" s="65">
        <f>IF('[1]Resumen TM'!$AW$20 &lt; 0.4,0,Terminales[[#This Row],[MONTO]]*0.02)</f>
        <v>4.0178571999999999</v>
      </c>
      <c r="CE385" s="66">
        <f>Terminales[[#This Row],[COMISIONES TERMINALES]]+Terminales[[#This Row],[COMISIONES RENOVACIONES]]+Terminales[[#This Row],[COMISIONES BONO]]</f>
        <v>33.0321432</v>
      </c>
      <c r="CF385" s="67">
        <f>(Terminales[[#This Row],[COMISIONES TERMINALES]]*VLOOKUP(Terminales[[#This Row],[LOCALES]],[1]!Calendario[#Data],3,0))/VLOOKUP(Terminales[[#This Row],[LOCALES]],[1]!Calendario[#Data],2,0)</f>
        <v>33.050115677419356</v>
      </c>
      <c r="CG385" s="67">
        <f>(Terminales[[#This Row],[COMISIONES RENOVACIONES]]*VLOOKUP(Terminales[[#This Row],[LOCALES]],[1]!Calendario[#Data],3,0))/VLOOKUP(Terminales[[#This Row],[LOCALES]],[1]!Calendario[#Data],2,0)</f>
        <v>14.683064516129033</v>
      </c>
      <c r="CH385" s="67">
        <f>(Terminales[[#This Row],[COMISIONES BONO]]*VLOOKUP(Terminales[[#This Row],[LOCALES]],[1]!Calendario[#Data],3,0))/VLOOKUP(Terminales[[#This Row],[LOCALES]],[1]!Calendario[#Data],2,0)</f>
        <v>6.6100231354838703</v>
      </c>
      <c r="CI385" s="67">
        <f>Terminales[[#This Row],[PROY. COM. TERMINALES]]+Terminales[[#This Row],[PROY. COM. RENOV.]]+Terminales[[#This Row],[PROY. COM. 2%]]</f>
        <v>54.343203329032264</v>
      </c>
    </row>
    <row r="386" spans="1:87" x14ac:dyDescent="0.25">
      <c r="A386" s="68">
        <v>44926</v>
      </c>
      <c r="B386" s="68">
        <v>44913</v>
      </c>
      <c r="C386" s="18" t="s">
        <v>96</v>
      </c>
      <c r="D386" s="18" t="s">
        <v>96</v>
      </c>
      <c r="E386" s="18" t="s">
        <v>96</v>
      </c>
      <c r="F386" s="18" t="s">
        <v>95</v>
      </c>
      <c r="G386" s="18" t="s">
        <v>292</v>
      </c>
      <c r="H386" s="18" t="s">
        <v>494</v>
      </c>
      <c r="I386" s="18" t="s">
        <v>10425</v>
      </c>
      <c r="J386" s="18" t="s">
        <v>95</v>
      </c>
      <c r="K386" s="18" t="s">
        <v>7970</v>
      </c>
      <c r="L386" s="18" t="s">
        <v>10426</v>
      </c>
      <c r="M386" s="18" t="s">
        <v>10427</v>
      </c>
      <c r="N386" s="18" t="s">
        <v>10428</v>
      </c>
      <c r="O386" s="18" t="s">
        <v>2260</v>
      </c>
      <c r="P386" s="18" t="s">
        <v>10429</v>
      </c>
      <c r="Q386" s="18" t="s">
        <v>7975</v>
      </c>
      <c r="R386" s="18" t="s">
        <v>7976</v>
      </c>
      <c r="S386" s="18" t="s">
        <v>8010</v>
      </c>
      <c r="T386" s="18" t="s">
        <v>8011</v>
      </c>
      <c r="U386" s="18" t="s">
        <v>8012</v>
      </c>
      <c r="V386" s="18" t="s">
        <v>6963</v>
      </c>
      <c r="W386" s="18" t="s">
        <v>95</v>
      </c>
      <c r="X386" s="18" t="s">
        <v>95</v>
      </c>
      <c r="Y386" s="18" t="s">
        <v>7980</v>
      </c>
      <c r="Z386" s="18" t="s">
        <v>6996</v>
      </c>
      <c r="AA386" s="69">
        <v>1</v>
      </c>
      <c r="AB386" s="18">
        <v>196.42857000000001</v>
      </c>
      <c r="AC386" s="18" t="s">
        <v>95</v>
      </c>
      <c r="AD386" s="18" t="s">
        <v>96</v>
      </c>
      <c r="AE386" s="18">
        <v>168.8</v>
      </c>
      <c r="AF386" s="18" t="s">
        <v>7983</v>
      </c>
      <c r="AG386" s="18">
        <v>168.8</v>
      </c>
      <c r="AH386" s="18" t="s">
        <v>95</v>
      </c>
      <c r="AI386" s="18" t="s">
        <v>95</v>
      </c>
      <c r="AJ386" s="18" t="s">
        <v>95</v>
      </c>
      <c r="AK386" s="18" t="s">
        <v>95</v>
      </c>
      <c r="AL386" s="18" t="s">
        <v>95</v>
      </c>
      <c r="AM386" s="18" t="s">
        <v>95</v>
      </c>
      <c r="AN386" s="18" t="s">
        <v>7984</v>
      </c>
      <c r="AO386" s="18" t="s">
        <v>139</v>
      </c>
      <c r="AP386" s="18" t="s">
        <v>377</v>
      </c>
      <c r="AQ386" s="18" t="s">
        <v>378</v>
      </c>
      <c r="AR386" s="18" t="s">
        <v>496</v>
      </c>
      <c r="AS386" s="18">
        <v>1</v>
      </c>
      <c r="AT386" s="18" t="s">
        <v>235</v>
      </c>
      <c r="AU386" s="18" t="s">
        <v>90</v>
      </c>
      <c r="AV386" s="18" t="s">
        <v>8014</v>
      </c>
      <c r="AW386" s="18" t="s">
        <v>8015</v>
      </c>
      <c r="AX386" s="18" t="s">
        <v>83</v>
      </c>
      <c r="AY386" s="18" t="s">
        <v>95</v>
      </c>
      <c r="AZ386" s="18" t="s">
        <v>95</v>
      </c>
      <c r="BA386" s="18" t="s">
        <v>95</v>
      </c>
      <c r="BB386" s="18" t="s">
        <v>95</v>
      </c>
      <c r="BC386" s="18" t="s">
        <v>95</v>
      </c>
      <c r="BD386" s="18" t="s">
        <v>95</v>
      </c>
      <c r="BE386" s="18" t="s">
        <v>95</v>
      </c>
      <c r="BF386" s="18" t="s">
        <v>95</v>
      </c>
      <c r="BG386" s="18" t="s">
        <v>95</v>
      </c>
      <c r="BH386" s="18" t="s">
        <v>95</v>
      </c>
      <c r="BI386" s="18">
        <v>12</v>
      </c>
      <c r="BJ386" s="18">
        <v>2022</v>
      </c>
      <c r="BK386" s="18" t="s">
        <v>95</v>
      </c>
      <c r="BL386" s="18" t="s">
        <v>95</v>
      </c>
      <c r="BM386" s="18" t="s">
        <v>95</v>
      </c>
      <c r="BN386" s="18" t="s">
        <v>85</v>
      </c>
      <c r="BO386" s="18" t="s">
        <v>86</v>
      </c>
      <c r="BP386" s="18" t="s">
        <v>90</v>
      </c>
      <c r="BQ386" s="18" t="s">
        <v>8016</v>
      </c>
      <c r="BR386" s="18" t="s">
        <v>139</v>
      </c>
      <c r="BS386" s="18" t="s">
        <v>8074</v>
      </c>
      <c r="BT386" s="18" t="s">
        <v>7989</v>
      </c>
      <c r="BU386" s="18" t="s">
        <v>496</v>
      </c>
      <c r="BV386" s="18" t="str">
        <f>Terminales[[#This Row],[IMEI]]&amp;"SI"</f>
        <v>359694275287131SI</v>
      </c>
      <c r="BW386" s="18" t="str">
        <f>VLOOKUP(Terminales[[#This Row],[OFICINA_USUARIO]],[1]!Locales[#Data],3,0)</f>
        <v>TIENDA CONDADO</v>
      </c>
      <c r="BX386" s="18" t="str">
        <f>VLOOKUP(Terminales[[#This Row],[USUARIO_FINAL]],'[1]Personal Ppto vs Real'!$A:$F,6,0)</f>
        <v>MELCHIADE ISAAC VALMORE</v>
      </c>
      <c r="BY38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8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86" s="18">
        <f>DAY(Terminales[[#This Row],[FECHA_FACTURA]])</f>
        <v>18</v>
      </c>
      <c r="CB386" s="65">
        <f>IF(Terminales[[#This Row],[CANTIDAD]] = 1,INDEX([1]!Comisiones[#Data],MATCH("Terminales",[1]!Comisiones[Producto],0),MATCH(Terminales[[#This Row],[TIPO ALTA COMISIONES]],[1]!Comisiones[#Headers],0))*Terminales[[#This Row],[MONTO]],0)</f>
        <v>19.642857000000003</v>
      </c>
      <c r="CC386" s="65">
        <f>IFERROR(IF(AND(Terminales[[#This Row],[CANTIDAD]] = 1,Terminales[[#This Row],[MOVIMIENTO]] = "RENOVACION"),Terminales[[#This Row],[TARIFA_BASICA]]*0.5,),)</f>
        <v>0</v>
      </c>
      <c r="CD386" s="65">
        <f>IF('[1]Resumen TM'!$AW$20 &lt; 0.4,0,Terminales[[#This Row],[MONTO]]*0.02)</f>
        <v>3.9285714</v>
      </c>
      <c r="CE386" s="66">
        <f>Terminales[[#This Row],[COMISIONES TERMINALES]]+Terminales[[#This Row],[COMISIONES RENOVACIONES]]+Terminales[[#This Row],[COMISIONES BONO]]</f>
        <v>23.571428400000002</v>
      </c>
      <c r="CF386" s="67">
        <f>(Terminales[[#This Row],[COMISIONES TERMINALES]]*VLOOKUP(Terminales[[#This Row],[LOCALES]],[1]!Calendario[#Data],3,0))/VLOOKUP(Terminales[[#This Row],[LOCALES]],[1]!Calendario[#Data],2,0)</f>
        <v>32.315667967741938</v>
      </c>
      <c r="CG386" s="67">
        <f>(Terminales[[#This Row],[COMISIONES RENOVACIONES]]*VLOOKUP(Terminales[[#This Row],[LOCALES]],[1]!Calendario[#Data],3,0))/VLOOKUP(Terminales[[#This Row],[LOCALES]],[1]!Calendario[#Data],2,0)</f>
        <v>0</v>
      </c>
      <c r="CH386" s="67">
        <f>(Terminales[[#This Row],[COMISIONES BONO]]*VLOOKUP(Terminales[[#This Row],[LOCALES]],[1]!Calendario[#Data],3,0))/VLOOKUP(Terminales[[#This Row],[LOCALES]],[1]!Calendario[#Data],2,0)</f>
        <v>6.4631335935483865</v>
      </c>
      <c r="CI386" s="67">
        <f>Terminales[[#This Row],[PROY. COM. TERMINALES]]+Terminales[[#This Row],[PROY. COM. RENOV.]]+Terminales[[#This Row],[PROY. COM. 2%]]</f>
        <v>38.778801561290322</v>
      </c>
    </row>
    <row r="387" spans="1:87" x14ac:dyDescent="0.25">
      <c r="A387" s="68">
        <v>44926</v>
      </c>
      <c r="B387" s="68">
        <v>44913</v>
      </c>
      <c r="C387" s="18" t="s">
        <v>291</v>
      </c>
      <c r="D387" s="18" t="s">
        <v>78</v>
      </c>
      <c r="E387" s="18" t="s">
        <v>7125</v>
      </c>
      <c r="F387" s="18" t="s">
        <v>7123</v>
      </c>
      <c r="G387" s="18" t="s">
        <v>292</v>
      </c>
      <c r="H387" s="18" t="s">
        <v>293</v>
      </c>
      <c r="I387" s="18" t="s">
        <v>10430</v>
      </c>
      <c r="J387" s="18" t="s">
        <v>95</v>
      </c>
      <c r="K387" s="18" t="s">
        <v>7970</v>
      </c>
      <c r="L387" s="18" t="s">
        <v>10431</v>
      </c>
      <c r="M387" s="18" t="s">
        <v>10432</v>
      </c>
      <c r="N387" s="18" t="s">
        <v>7126</v>
      </c>
      <c r="O387" s="18" t="s">
        <v>8379</v>
      </c>
      <c r="P387" s="18" t="s">
        <v>10433</v>
      </c>
      <c r="Q387" s="18" t="s">
        <v>7975</v>
      </c>
      <c r="R387" s="18" t="s">
        <v>7976</v>
      </c>
      <c r="S387" s="18" t="s">
        <v>8010</v>
      </c>
      <c r="T387" s="18" t="s">
        <v>8381</v>
      </c>
      <c r="U387" s="18" t="s">
        <v>7979</v>
      </c>
      <c r="V387" s="18" t="s">
        <v>6963</v>
      </c>
      <c r="W387" s="18" t="s">
        <v>95</v>
      </c>
      <c r="X387" s="18" t="s">
        <v>95</v>
      </c>
      <c r="Y387" s="18" t="s">
        <v>7980</v>
      </c>
      <c r="Z387" s="18" t="s">
        <v>6996</v>
      </c>
      <c r="AA387" s="69">
        <v>1</v>
      </c>
      <c r="AB387" s="18">
        <v>348.21429000000001</v>
      </c>
      <c r="AC387" s="18" t="s">
        <v>7124</v>
      </c>
      <c r="AD387" s="18" t="s">
        <v>7982</v>
      </c>
      <c r="AE387" s="18">
        <v>291.2</v>
      </c>
      <c r="AF387" s="18" t="s">
        <v>7983</v>
      </c>
      <c r="AG387" s="18">
        <v>291.2</v>
      </c>
      <c r="AH387" s="18" t="s">
        <v>95</v>
      </c>
      <c r="AI387" s="18" t="s">
        <v>160</v>
      </c>
      <c r="AJ387" s="18" t="s">
        <v>161</v>
      </c>
      <c r="AK387" s="18">
        <v>14.28</v>
      </c>
      <c r="AL387" s="18" t="s">
        <v>95</v>
      </c>
      <c r="AM387" s="18" t="s">
        <v>95</v>
      </c>
      <c r="AN387" s="18" t="s">
        <v>7984</v>
      </c>
      <c r="AO387" s="18" t="s">
        <v>139</v>
      </c>
      <c r="AP387" s="18" t="s">
        <v>187</v>
      </c>
      <c r="AQ387" s="18" t="s">
        <v>188</v>
      </c>
      <c r="AR387" s="18" t="s">
        <v>295</v>
      </c>
      <c r="AS387" s="18">
        <v>1</v>
      </c>
      <c r="AT387" s="18" t="s">
        <v>177</v>
      </c>
      <c r="AU387" s="18" t="s">
        <v>90</v>
      </c>
      <c r="AV387" s="18" t="s">
        <v>8383</v>
      </c>
      <c r="AW387" s="18" t="s">
        <v>8384</v>
      </c>
      <c r="AX387" s="18" t="s">
        <v>83</v>
      </c>
      <c r="AY387" s="18" t="s">
        <v>95</v>
      </c>
      <c r="AZ387" s="18" t="s">
        <v>95</v>
      </c>
      <c r="BA387" s="18" t="s">
        <v>95</v>
      </c>
      <c r="BB387" s="18" t="s">
        <v>95</v>
      </c>
      <c r="BC387" s="18" t="s">
        <v>95</v>
      </c>
      <c r="BD387" s="18">
        <v>70</v>
      </c>
      <c r="BE387" s="18" t="s">
        <v>95</v>
      </c>
      <c r="BF387" s="18" t="s">
        <v>95</v>
      </c>
      <c r="BG387" s="18" t="s">
        <v>95</v>
      </c>
      <c r="BH387" s="18" t="s">
        <v>95</v>
      </c>
      <c r="BI387" s="18">
        <v>12</v>
      </c>
      <c r="BJ387" s="18">
        <v>2022</v>
      </c>
      <c r="BK387" s="18" t="s">
        <v>95</v>
      </c>
      <c r="BL387" s="18" t="s">
        <v>95</v>
      </c>
      <c r="BM387" s="18" t="s">
        <v>95</v>
      </c>
      <c r="BN387" s="18" t="s">
        <v>85</v>
      </c>
      <c r="BO387" s="18" t="s">
        <v>86</v>
      </c>
      <c r="BP387" s="18" t="s">
        <v>90</v>
      </c>
      <c r="BQ387" s="18" t="s">
        <v>8002</v>
      </c>
      <c r="BR387" s="18" t="s">
        <v>139</v>
      </c>
      <c r="BS387" s="18" t="s">
        <v>9828</v>
      </c>
      <c r="BT387" s="18" t="s">
        <v>7989</v>
      </c>
      <c r="BU387" s="18" t="s">
        <v>7990</v>
      </c>
      <c r="BV387" s="18" t="str">
        <f>Terminales[[#This Row],[IMEI]]&amp;"SI"</f>
        <v>354911551806672SI</v>
      </c>
      <c r="BW387" s="18" t="str">
        <f>VLOOKUP(Terminales[[#This Row],[OFICINA_USUARIO]],[1]!Locales[#Data],3,0)</f>
        <v>TIENDA RECREO</v>
      </c>
      <c r="BX387" s="18" t="str">
        <f>VLOOKUP(Terminales[[#This Row],[USUARIO_FINAL]],'[1]Personal Ppto vs Real'!$A:$F,6,0)</f>
        <v>ESPINOZA MARTINES LAURA XIOMARA</v>
      </c>
      <c r="BY387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8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87" s="18">
        <f>DAY(Terminales[[#This Row],[FECHA_FACTURA]])</f>
        <v>18</v>
      </c>
      <c r="CB387" s="65">
        <f>IF(Terminales[[#This Row],[CANTIDAD]] = 1,INDEX([1]!Comisiones[#Data],MATCH("Terminales",[1]!Comisiones[Producto],0),MATCH(Terminales[[#This Row],[TIPO ALTA COMISIONES]],[1]!Comisiones[#Headers],0))*Terminales[[#This Row],[MONTO]],0)</f>
        <v>34.821429000000002</v>
      </c>
      <c r="CC387" s="65">
        <f>IFERROR(IF(AND(Terminales[[#This Row],[CANTIDAD]] = 1,Terminales[[#This Row],[MOVIMIENTO]] = "RENOVACION"),Terminales[[#This Row],[TARIFA_BASICA]]*0.5,),)</f>
        <v>7.14</v>
      </c>
      <c r="CD387" s="65">
        <f>IF('[1]Resumen TM'!$AW$20 &lt; 0.4,0,Terminales[[#This Row],[MONTO]]*0.02)</f>
        <v>6.9642857999999999</v>
      </c>
      <c r="CE387" s="66">
        <f>Terminales[[#This Row],[COMISIONES TERMINALES]]+Terminales[[#This Row],[COMISIONES RENOVACIONES]]+Terminales[[#This Row],[COMISIONES BONO]]</f>
        <v>48.925714800000002</v>
      </c>
      <c r="CF387" s="67">
        <f>(Terminales[[#This Row],[COMISIONES TERMINALES]]*VLOOKUP(Terminales[[#This Row],[LOCALES]],[1]!Calendario[#Data],3,0))/VLOOKUP(Terminales[[#This Row],[LOCALES]],[1]!Calendario[#Data],2,0)</f>
        <v>57.28686706451613</v>
      </c>
      <c r="CG387" s="67">
        <f>(Terminales[[#This Row],[COMISIONES RENOVACIONES]]*VLOOKUP(Terminales[[#This Row],[LOCALES]],[1]!Calendario[#Data],3,0))/VLOOKUP(Terminales[[#This Row],[LOCALES]],[1]!Calendario[#Data],2,0)</f>
        <v>11.746451612903225</v>
      </c>
      <c r="CH387" s="67">
        <f>(Terminales[[#This Row],[COMISIONES BONO]]*VLOOKUP(Terminales[[#This Row],[LOCALES]],[1]!Calendario[#Data],3,0))/VLOOKUP(Terminales[[#This Row],[LOCALES]],[1]!Calendario[#Data],2,0)</f>
        <v>11.457373412903225</v>
      </c>
      <c r="CI387" s="67">
        <f>Terminales[[#This Row],[PROY. COM. TERMINALES]]+Terminales[[#This Row],[PROY. COM. RENOV.]]+Terminales[[#This Row],[PROY. COM. 2%]]</f>
        <v>80.490692090322582</v>
      </c>
    </row>
    <row r="388" spans="1:87" x14ac:dyDescent="0.25">
      <c r="A388" s="68">
        <v>44926</v>
      </c>
      <c r="B388" s="68">
        <v>44913</v>
      </c>
      <c r="C388" s="18" t="s">
        <v>291</v>
      </c>
      <c r="D388" s="18" t="s">
        <v>78</v>
      </c>
      <c r="E388" s="18" t="s">
        <v>164</v>
      </c>
      <c r="F388" s="18" t="s">
        <v>10434</v>
      </c>
      <c r="G388" s="18" t="s">
        <v>292</v>
      </c>
      <c r="H388" s="18" t="s">
        <v>293</v>
      </c>
      <c r="I388" s="18" t="s">
        <v>10435</v>
      </c>
      <c r="J388" s="18" t="s">
        <v>95</v>
      </c>
      <c r="K388" s="18" t="s">
        <v>7970</v>
      </c>
      <c r="L388" s="18" t="s">
        <v>10436</v>
      </c>
      <c r="M388" s="18" t="s">
        <v>10437</v>
      </c>
      <c r="N388" s="18" t="s">
        <v>10438</v>
      </c>
      <c r="O388" s="18" t="s">
        <v>354</v>
      </c>
      <c r="P388" s="18" t="s">
        <v>10439</v>
      </c>
      <c r="Q388" s="18" t="s">
        <v>7975</v>
      </c>
      <c r="R388" s="18" t="s">
        <v>7976</v>
      </c>
      <c r="S388" s="18" t="s">
        <v>8070</v>
      </c>
      <c r="T388" s="18" t="s">
        <v>8071</v>
      </c>
      <c r="U388" s="18" t="s">
        <v>8012</v>
      </c>
      <c r="V388" s="18" t="s">
        <v>6963</v>
      </c>
      <c r="W388" s="18" t="s">
        <v>95</v>
      </c>
      <c r="X388" s="18" t="s">
        <v>95</v>
      </c>
      <c r="Y388" s="18" t="s">
        <v>7980</v>
      </c>
      <c r="Z388" s="18" t="s">
        <v>6996</v>
      </c>
      <c r="AA388" s="69">
        <v>1</v>
      </c>
      <c r="AB388" s="18">
        <v>285.71429000000001</v>
      </c>
      <c r="AC388" s="18" t="s">
        <v>10440</v>
      </c>
      <c r="AD388" s="18" t="s">
        <v>7982</v>
      </c>
      <c r="AE388" s="18">
        <v>199.79</v>
      </c>
      <c r="AF388" s="18" t="s">
        <v>7983</v>
      </c>
      <c r="AG388" s="18">
        <v>199.79</v>
      </c>
      <c r="AH388" s="18" t="s">
        <v>95</v>
      </c>
      <c r="AI388" s="18" t="s">
        <v>4157</v>
      </c>
      <c r="AJ388" s="18" t="s">
        <v>7138</v>
      </c>
      <c r="AK388" s="18">
        <v>32.130000000000003</v>
      </c>
      <c r="AL388" s="18" t="s">
        <v>95</v>
      </c>
      <c r="AM388" s="18" t="s">
        <v>95</v>
      </c>
      <c r="AN388" s="18" t="s">
        <v>7984</v>
      </c>
      <c r="AO388" s="18" t="s">
        <v>139</v>
      </c>
      <c r="AP388" s="18" t="s">
        <v>251</v>
      </c>
      <c r="AQ388" s="18" t="s">
        <v>252</v>
      </c>
      <c r="AR388" s="18" t="s">
        <v>295</v>
      </c>
      <c r="AS388" s="18">
        <v>1</v>
      </c>
      <c r="AT388" s="18" t="s">
        <v>177</v>
      </c>
      <c r="AU388" s="18" t="s">
        <v>90</v>
      </c>
      <c r="AV388" s="18" t="s">
        <v>8072</v>
      </c>
      <c r="AW388" s="18" t="s">
        <v>8073</v>
      </c>
      <c r="AX388" s="18" t="s">
        <v>83</v>
      </c>
      <c r="AY388" s="18" t="s">
        <v>95</v>
      </c>
      <c r="AZ388" s="18" t="s">
        <v>95</v>
      </c>
      <c r="BA388" s="18" t="s">
        <v>95</v>
      </c>
      <c r="BB388" s="18" t="s">
        <v>95</v>
      </c>
      <c r="BC388" s="18" t="s">
        <v>95</v>
      </c>
      <c r="BD388" s="18">
        <v>59</v>
      </c>
      <c r="BE388" s="18" t="s">
        <v>95</v>
      </c>
      <c r="BF388" s="18" t="s">
        <v>95</v>
      </c>
      <c r="BG388" s="18" t="s">
        <v>95</v>
      </c>
      <c r="BH388" s="18" t="s">
        <v>95</v>
      </c>
      <c r="BI388" s="18">
        <v>12</v>
      </c>
      <c r="BJ388" s="18">
        <v>2022</v>
      </c>
      <c r="BK388" s="18" t="s">
        <v>95</v>
      </c>
      <c r="BL388" s="18" t="s">
        <v>95</v>
      </c>
      <c r="BM388" s="18" t="s">
        <v>95</v>
      </c>
      <c r="BN388" s="18" t="s">
        <v>85</v>
      </c>
      <c r="BO388" s="18" t="s">
        <v>86</v>
      </c>
      <c r="BP388" s="18" t="s">
        <v>90</v>
      </c>
      <c r="BQ388" s="18" t="s">
        <v>8002</v>
      </c>
      <c r="BR388" s="18" t="s">
        <v>139</v>
      </c>
      <c r="BS388" s="18" t="s">
        <v>9828</v>
      </c>
      <c r="BT388" s="18" t="s">
        <v>7989</v>
      </c>
      <c r="BU388" s="18" t="s">
        <v>7990</v>
      </c>
      <c r="BV388" s="18" t="str">
        <f>Terminales[[#This Row],[IMEI]]&amp;"SI"</f>
        <v>869113065697980SI</v>
      </c>
      <c r="BW388" s="18" t="str">
        <f>VLOOKUP(Terminales[[#This Row],[OFICINA_USUARIO]],[1]!Locales[#Data],3,0)</f>
        <v>TIENDA RECREO</v>
      </c>
      <c r="BX388" s="18" t="str">
        <f>VLOOKUP(Terminales[[#This Row],[USUARIO_FINAL]],'[1]Personal Ppto vs Real'!$A:$F,6,0)</f>
        <v>CRUZ MONTUFAR KATHERINE ALEJANDRA</v>
      </c>
      <c r="BY388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8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88" s="18">
        <f>DAY(Terminales[[#This Row],[FECHA_FACTURA]])</f>
        <v>18</v>
      </c>
      <c r="CB388" s="65">
        <f>IF(Terminales[[#This Row],[CANTIDAD]] = 1,INDEX([1]!Comisiones[#Data],MATCH("Terminales",[1]!Comisiones[Producto],0),MATCH(Terminales[[#This Row],[TIPO ALTA COMISIONES]],[1]!Comisiones[#Headers],0))*Terminales[[#This Row],[MONTO]],0)</f>
        <v>28.571429000000002</v>
      </c>
      <c r="CC388" s="65">
        <f>IFERROR(IF(AND(Terminales[[#This Row],[CANTIDAD]] = 1,Terminales[[#This Row],[MOVIMIENTO]] = "RENOVACION"),Terminales[[#This Row],[TARIFA_BASICA]]*0.5,),)</f>
        <v>16.065000000000001</v>
      </c>
      <c r="CD388" s="65">
        <f>IF('[1]Resumen TM'!$AW$20 &lt; 0.4,0,Terminales[[#This Row],[MONTO]]*0.02)</f>
        <v>5.7142857999999999</v>
      </c>
      <c r="CE388" s="66">
        <f>Terminales[[#This Row],[COMISIONES TERMINALES]]+Terminales[[#This Row],[COMISIONES RENOVACIONES]]+Terminales[[#This Row],[COMISIONES BONO]]</f>
        <v>50.350714800000006</v>
      </c>
      <c r="CF388" s="67">
        <f>(Terminales[[#This Row],[COMISIONES TERMINALES]]*VLOOKUP(Terminales[[#This Row],[LOCALES]],[1]!Calendario[#Data],3,0))/VLOOKUP(Terminales[[#This Row],[LOCALES]],[1]!Calendario[#Data],2,0)</f>
        <v>47.004609000000002</v>
      </c>
      <c r="CG388" s="67">
        <f>(Terminales[[#This Row],[COMISIONES RENOVACIONES]]*VLOOKUP(Terminales[[#This Row],[LOCALES]],[1]!Calendario[#Data],3,0))/VLOOKUP(Terminales[[#This Row],[LOCALES]],[1]!Calendario[#Data],2,0)</f>
        <v>26.429516129032258</v>
      </c>
      <c r="CH388" s="67">
        <f>(Terminales[[#This Row],[COMISIONES BONO]]*VLOOKUP(Terminales[[#This Row],[LOCALES]],[1]!Calendario[#Data],3,0))/VLOOKUP(Terminales[[#This Row],[LOCALES]],[1]!Calendario[#Data],2,0)</f>
        <v>9.400921799999999</v>
      </c>
      <c r="CI388" s="67">
        <f>Terminales[[#This Row],[PROY. COM. TERMINALES]]+Terminales[[#This Row],[PROY. COM. RENOV.]]+Terminales[[#This Row],[PROY. COM. 2%]]</f>
        <v>82.835046929032245</v>
      </c>
    </row>
    <row r="389" spans="1:87" x14ac:dyDescent="0.25">
      <c r="A389" s="68">
        <v>44926</v>
      </c>
      <c r="B389" s="68">
        <v>44913</v>
      </c>
      <c r="C389" s="18" t="s">
        <v>96</v>
      </c>
      <c r="D389" s="18" t="s">
        <v>96</v>
      </c>
      <c r="E389" s="18" t="s">
        <v>96</v>
      </c>
      <c r="F389" s="18" t="s">
        <v>10441</v>
      </c>
      <c r="G389" s="18" t="s">
        <v>292</v>
      </c>
      <c r="H389" s="18" t="s">
        <v>494</v>
      </c>
      <c r="I389" s="18" t="s">
        <v>10442</v>
      </c>
      <c r="J389" s="18" t="s">
        <v>95</v>
      </c>
      <c r="K389" s="18" t="s">
        <v>7970</v>
      </c>
      <c r="L389" s="18" t="s">
        <v>10443</v>
      </c>
      <c r="M389" s="18" t="s">
        <v>10444</v>
      </c>
      <c r="N389" s="18" t="s">
        <v>10445</v>
      </c>
      <c r="O389" s="18" t="s">
        <v>4907</v>
      </c>
      <c r="P389" s="18" t="s">
        <v>10446</v>
      </c>
      <c r="Q389" s="18" t="s">
        <v>7975</v>
      </c>
      <c r="R389" s="18" t="s">
        <v>7976</v>
      </c>
      <c r="S389" s="18" t="s">
        <v>8045</v>
      </c>
      <c r="T389" s="18" t="s">
        <v>8099</v>
      </c>
      <c r="U389" s="18" t="s">
        <v>8100</v>
      </c>
      <c r="V389" s="18" t="s">
        <v>6963</v>
      </c>
      <c r="W389" s="18" t="s">
        <v>95</v>
      </c>
      <c r="X389" s="18" t="s">
        <v>95</v>
      </c>
      <c r="Y389" s="18" t="s">
        <v>7980</v>
      </c>
      <c r="Z389" s="18" t="s">
        <v>6996</v>
      </c>
      <c r="AA389" s="69">
        <v>1</v>
      </c>
      <c r="AB389" s="18">
        <v>406.25</v>
      </c>
      <c r="AC389" s="18" t="s">
        <v>10447</v>
      </c>
      <c r="AD389" s="18" t="s">
        <v>96</v>
      </c>
      <c r="AE389" s="18">
        <v>425</v>
      </c>
      <c r="AF389" s="18" t="s">
        <v>7983</v>
      </c>
      <c r="AG389" s="18">
        <v>425</v>
      </c>
      <c r="AH389" s="18" t="s">
        <v>95</v>
      </c>
      <c r="AI389" s="18" t="s">
        <v>8102</v>
      </c>
      <c r="AJ389" s="18" t="s">
        <v>8103</v>
      </c>
      <c r="AK389" s="18" t="s">
        <v>95</v>
      </c>
      <c r="AL389" s="18" t="s">
        <v>95</v>
      </c>
      <c r="AM389" s="18" t="s">
        <v>95</v>
      </c>
      <c r="AN389" s="18" t="s">
        <v>7984</v>
      </c>
      <c r="AO389" s="18" t="s">
        <v>139</v>
      </c>
      <c r="AP389" s="18" t="s">
        <v>369</v>
      </c>
      <c r="AQ389" s="18" t="s">
        <v>370</v>
      </c>
      <c r="AR389" s="18" t="s">
        <v>496</v>
      </c>
      <c r="AS389" s="18">
        <v>1</v>
      </c>
      <c r="AT389" s="18" t="s">
        <v>177</v>
      </c>
      <c r="AU389" s="18" t="s">
        <v>90</v>
      </c>
      <c r="AV389" s="18" t="s">
        <v>8660</v>
      </c>
      <c r="AW389" s="18" t="s">
        <v>8661</v>
      </c>
      <c r="AX389" s="18" t="s">
        <v>83</v>
      </c>
      <c r="AY389" s="18" t="s">
        <v>95</v>
      </c>
      <c r="AZ389" s="18" t="s">
        <v>95</v>
      </c>
      <c r="BA389" s="18" t="s">
        <v>95</v>
      </c>
      <c r="BB389" s="18" t="s">
        <v>95</v>
      </c>
      <c r="BC389" s="18" t="s">
        <v>95</v>
      </c>
      <c r="BD389" s="18" t="s">
        <v>95</v>
      </c>
      <c r="BE389" s="18" t="s">
        <v>8170</v>
      </c>
      <c r="BF389" s="18" t="s">
        <v>8064</v>
      </c>
      <c r="BG389" s="18" t="s">
        <v>95</v>
      </c>
      <c r="BH389" s="18" t="s">
        <v>95</v>
      </c>
      <c r="BI389" s="18">
        <v>12</v>
      </c>
      <c r="BJ389" s="18">
        <v>2022</v>
      </c>
      <c r="BK389" s="18" t="s">
        <v>95</v>
      </c>
      <c r="BL389" s="18" t="s">
        <v>95</v>
      </c>
      <c r="BM389" s="18" t="s">
        <v>95</v>
      </c>
      <c r="BN389" s="18" t="s">
        <v>85</v>
      </c>
      <c r="BO389" s="18" t="s">
        <v>86</v>
      </c>
      <c r="BP389" s="18" t="s">
        <v>90</v>
      </c>
      <c r="BQ389" s="18" t="s">
        <v>8002</v>
      </c>
      <c r="BR389" s="18" t="s">
        <v>139</v>
      </c>
      <c r="BS389" s="18" t="s">
        <v>8003</v>
      </c>
      <c r="BT389" s="18" t="s">
        <v>7989</v>
      </c>
      <c r="BU389" s="18" t="s">
        <v>496</v>
      </c>
      <c r="BV389" s="18" t="str">
        <f>Terminales[[#This Row],[IMEI]]&amp;"SI"</f>
        <v>353842190617561SI</v>
      </c>
      <c r="BW389" s="18" t="str">
        <f>VLOOKUP(Terminales[[#This Row],[OFICINA_USUARIO]],[1]!Locales[#Data],3,0)</f>
        <v>TIENDA RECREO</v>
      </c>
      <c r="BX389" s="18" t="str">
        <f>VLOOKUP(Terminales[[#This Row],[USUARIO_FINAL]],'[1]Personal Ppto vs Real'!$A:$F,6,0)</f>
        <v>GUAIGUA REINOSO GENESIS CAROLINA</v>
      </c>
      <c r="BY38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8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TAR</v>
      </c>
      <c r="CA389" s="18">
        <f>DAY(Terminales[[#This Row],[FECHA_FACTURA]])</f>
        <v>18</v>
      </c>
      <c r="CB389" s="65">
        <f>IF(Terminales[[#This Row],[CANTIDAD]] = 1,INDEX([1]!Comisiones[#Data],MATCH("Terminales",[1]!Comisiones[Producto],0),MATCH(Terminales[[#This Row],[TIPO ALTA COMISIONES]],[1]!Comisiones[#Headers],0))*Terminales[[#This Row],[MONTO]],0)</f>
        <v>40.625</v>
      </c>
      <c r="CC389" s="65">
        <f>IFERROR(IF(AND(Terminales[[#This Row],[CANTIDAD]] = 1,Terminales[[#This Row],[MOVIMIENTO]] = "RENOVACION"),Terminales[[#This Row],[TARIFA_BASICA]]*0.5,),)</f>
        <v>0</v>
      </c>
      <c r="CD389" s="65">
        <f>IF('[1]Resumen TM'!$AW$20 &lt; 0.4,0,Terminales[[#This Row],[MONTO]]*0.02)</f>
        <v>8.125</v>
      </c>
      <c r="CE389" s="66">
        <f>Terminales[[#This Row],[COMISIONES TERMINALES]]+Terminales[[#This Row],[COMISIONES RENOVACIONES]]+Terminales[[#This Row],[COMISIONES BONO]]</f>
        <v>48.75</v>
      </c>
      <c r="CF389" s="67">
        <f>(Terminales[[#This Row],[COMISIONES TERMINALES]]*VLOOKUP(Terminales[[#This Row],[LOCALES]],[1]!Calendario[#Data],3,0))/VLOOKUP(Terminales[[#This Row],[LOCALES]],[1]!Calendario[#Data],2,0)</f>
        <v>66.834677419354833</v>
      </c>
      <c r="CG389" s="67">
        <f>(Terminales[[#This Row],[COMISIONES RENOVACIONES]]*VLOOKUP(Terminales[[#This Row],[LOCALES]],[1]!Calendario[#Data],3,0))/VLOOKUP(Terminales[[#This Row],[LOCALES]],[1]!Calendario[#Data],2,0)</f>
        <v>0</v>
      </c>
      <c r="CH389" s="67">
        <f>(Terminales[[#This Row],[COMISIONES BONO]]*VLOOKUP(Terminales[[#This Row],[LOCALES]],[1]!Calendario[#Data],3,0))/VLOOKUP(Terminales[[#This Row],[LOCALES]],[1]!Calendario[#Data],2,0)</f>
        <v>13.366935483870968</v>
      </c>
      <c r="CI389" s="67">
        <f>Terminales[[#This Row],[PROY. COM. TERMINALES]]+Terminales[[#This Row],[PROY. COM. RENOV.]]+Terminales[[#This Row],[PROY. COM. 2%]]</f>
        <v>80.201612903225794</v>
      </c>
    </row>
    <row r="390" spans="1:87" x14ac:dyDescent="0.25">
      <c r="A390" s="68">
        <v>44926</v>
      </c>
      <c r="B390" s="68">
        <v>44909</v>
      </c>
      <c r="C390" s="18" t="s">
        <v>291</v>
      </c>
      <c r="D390" s="18" t="s">
        <v>78</v>
      </c>
      <c r="E390" s="18" t="s">
        <v>164</v>
      </c>
      <c r="F390" s="18" t="s">
        <v>10448</v>
      </c>
      <c r="G390" s="18" t="s">
        <v>292</v>
      </c>
      <c r="H390" s="18" t="s">
        <v>10449</v>
      </c>
      <c r="I390" s="18" t="s">
        <v>10450</v>
      </c>
      <c r="J390" s="18" t="s">
        <v>10451</v>
      </c>
      <c r="K390" s="18" t="s">
        <v>7970</v>
      </c>
      <c r="L390" s="18" t="s">
        <v>10452</v>
      </c>
      <c r="M390" s="18" t="s">
        <v>10453</v>
      </c>
      <c r="N390" s="18" t="s">
        <v>10454</v>
      </c>
      <c r="O390" s="18" t="s">
        <v>543</v>
      </c>
      <c r="P390" s="18" t="s">
        <v>10455</v>
      </c>
      <c r="Q390" s="18" t="s">
        <v>7975</v>
      </c>
      <c r="R390" s="18" t="s">
        <v>7976</v>
      </c>
      <c r="S390" s="18" t="s">
        <v>7994</v>
      </c>
      <c r="T390" s="18" t="s">
        <v>8245</v>
      </c>
      <c r="U390" s="18" t="s">
        <v>8012</v>
      </c>
      <c r="V390" s="18" t="s">
        <v>6963</v>
      </c>
      <c r="W390" s="18" t="s">
        <v>95</v>
      </c>
      <c r="X390" s="18" t="s">
        <v>95</v>
      </c>
      <c r="Y390" s="18" t="s">
        <v>7980</v>
      </c>
      <c r="Z390" s="18" t="s">
        <v>6996</v>
      </c>
      <c r="AA390" s="69">
        <v>-1</v>
      </c>
      <c r="AB390" s="18">
        <v>-241.07142999999999</v>
      </c>
      <c r="AC390" s="18" t="s">
        <v>10456</v>
      </c>
      <c r="AD390" s="18" t="s">
        <v>8151</v>
      </c>
      <c r="AE390" s="18">
        <v>163</v>
      </c>
      <c r="AF390" s="18" t="s">
        <v>7983</v>
      </c>
      <c r="AG390" s="18">
        <v>-163</v>
      </c>
      <c r="AH390" s="18" t="s">
        <v>95</v>
      </c>
      <c r="AI390" s="18" t="s">
        <v>160</v>
      </c>
      <c r="AJ390" s="18" t="s">
        <v>161</v>
      </c>
      <c r="AK390" s="18">
        <v>14.28</v>
      </c>
      <c r="AL390" s="18" t="s">
        <v>10457</v>
      </c>
      <c r="AM390" s="18" t="s">
        <v>95</v>
      </c>
      <c r="AN390" s="18" t="s">
        <v>7984</v>
      </c>
      <c r="AO390" s="18" t="s">
        <v>139</v>
      </c>
      <c r="AP390" s="18" t="s">
        <v>175</v>
      </c>
      <c r="AQ390" s="18" t="s">
        <v>176</v>
      </c>
      <c r="AR390" s="18" t="s">
        <v>3771</v>
      </c>
      <c r="AS390" s="18">
        <v>1</v>
      </c>
      <c r="AT390" s="18" t="s">
        <v>177</v>
      </c>
      <c r="AU390" s="18" t="s">
        <v>90</v>
      </c>
      <c r="AV390" s="18" t="s">
        <v>8247</v>
      </c>
      <c r="AW390" s="18" t="s">
        <v>8248</v>
      </c>
      <c r="AX390" s="18" t="s">
        <v>83</v>
      </c>
      <c r="AY390" s="18" t="s">
        <v>95</v>
      </c>
      <c r="AZ390" s="18" t="s">
        <v>95</v>
      </c>
      <c r="BA390" s="18" t="s">
        <v>95</v>
      </c>
      <c r="BB390" s="18" t="s">
        <v>95</v>
      </c>
      <c r="BC390" s="18" t="s">
        <v>95</v>
      </c>
      <c r="BD390" s="18" t="s">
        <v>95</v>
      </c>
      <c r="BE390" s="18" t="s">
        <v>95</v>
      </c>
      <c r="BF390" s="18" t="s">
        <v>95</v>
      </c>
      <c r="BG390" s="18" t="s">
        <v>95</v>
      </c>
      <c r="BH390" s="18" t="s">
        <v>95</v>
      </c>
      <c r="BI390" s="18">
        <v>12</v>
      </c>
      <c r="BJ390" s="18">
        <v>2022</v>
      </c>
      <c r="BK390" s="18" t="s">
        <v>95</v>
      </c>
      <c r="BL390" s="18" t="s">
        <v>95</v>
      </c>
      <c r="BM390" s="18" t="s">
        <v>95</v>
      </c>
      <c r="BN390" s="18" t="s">
        <v>85</v>
      </c>
      <c r="BO390" s="18" t="s">
        <v>86</v>
      </c>
      <c r="BP390" s="18" t="s">
        <v>90</v>
      </c>
      <c r="BQ390" s="18" t="s">
        <v>8002</v>
      </c>
      <c r="BR390" s="18" t="s">
        <v>139</v>
      </c>
      <c r="BS390" s="18" t="s">
        <v>8074</v>
      </c>
      <c r="BT390" s="18" t="s">
        <v>7989</v>
      </c>
      <c r="BU390" s="18" t="s">
        <v>496</v>
      </c>
      <c r="BV390" s="18" t="str">
        <f>Terminales[[#This Row],[IMEI]]&amp;"SI"</f>
        <v>355108340392168SI</v>
      </c>
      <c r="BW390" s="18" t="str">
        <f>VLOOKUP(Terminales[[#This Row],[OFICINA_USUARIO]],[1]!Locales[#Data],3,0)</f>
        <v>TIENDA RECREO</v>
      </c>
      <c r="BX390" s="18" t="str">
        <f>VLOOKUP(Terminales[[#This Row],[USUARIO_FINAL]],'[1]Personal Ppto vs Real'!$A:$F,6,0)</f>
        <v>VARGAS REYES LUIS EDUARDO</v>
      </c>
      <c r="BY390" s="18" t="str">
        <f>Terminales[[#This Row],[MOVIMIENTO]]&amp;" "&amp;IF(Terminales[[#This Row],[TIPO_VENTA]]="DOWNPAYMENT","FINANCIADO",IF(Terminales[[#This Row],[TIPO_VENTA]]="PAYJOY","CONTADO",Terminales[[#This Row],[TIPO_VENTA]]))</f>
        <v>CONTRATO FINANCIADO</v>
      </c>
      <c r="BZ39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NT CONTADO COR</v>
      </c>
      <c r="CA390" s="18">
        <f>DAY(Terminales[[#This Row],[FECHA_FACTURA]])</f>
        <v>14</v>
      </c>
      <c r="CB390" s="65">
        <f>IF(Terminales[[#This Row],[CANTIDAD]] = 1,INDEX([1]!Comisiones[#Data],MATCH("Terminales",[1]!Comisiones[Producto],0),MATCH(Terminales[[#This Row],[TIPO ALTA COMISIONES]],[1]!Comisiones[#Headers],0))*Terminales[[#This Row],[MONTO]],0)</f>
        <v>0</v>
      </c>
      <c r="CC390" s="65">
        <f>IFERROR(IF(AND(Terminales[[#This Row],[CANTIDAD]] = 1,Terminales[[#This Row],[MOVIMIENTO]] = "RENOVACION"),Terminales[[#This Row],[TARIFA_BASICA]]*0.5,),)</f>
        <v>0</v>
      </c>
      <c r="CD390" s="65">
        <f>IF('[1]Resumen TM'!$AW$20 &lt; 0.4,0,Terminales[[#This Row],[MONTO]]*0.02)</f>
        <v>-4.8214286</v>
      </c>
      <c r="CE390" s="66">
        <f>Terminales[[#This Row],[COMISIONES TERMINALES]]+Terminales[[#This Row],[COMISIONES RENOVACIONES]]+Terminales[[#This Row],[COMISIONES BONO]]</f>
        <v>-4.8214286</v>
      </c>
      <c r="CF390" s="67">
        <f>(Terminales[[#This Row],[COMISIONES TERMINALES]]*VLOOKUP(Terminales[[#This Row],[LOCALES]],[1]!Calendario[#Data],3,0))/VLOOKUP(Terminales[[#This Row],[LOCALES]],[1]!Calendario[#Data],2,0)</f>
        <v>0</v>
      </c>
      <c r="CG390" s="67">
        <f>(Terminales[[#This Row],[COMISIONES RENOVACIONES]]*VLOOKUP(Terminales[[#This Row],[LOCALES]],[1]!Calendario[#Data],3,0))/VLOOKUP(Terminales[[#This Row],[LOCALES]],[1]!Calendario[#Data],2,0)</f>
        <v>0</v>
      </c>
      <c r="CH390" s="67">
        <f>(Terminales[[#This Row],[COMISIONES BONO]]*VLOOKUP(Terminales[[#This Row],[LOCALES]],[1]!Calendario[#Data],3,0))/VLOOKUP(Terminales[[#This Row],[LOCALES]],[1]!Calendario[#Data],2,0)</f>
        <v>-7.9320276967741936</v>
      </c>
      <c r="CI390" s="67">
        <f>Terminales[[#This Row],[PROY. COM. TERMINALES]]+Terminales[[#This Row],[PROY. COM. RENOV.]]+Terminales[[#This Row],[PROY. COM. 2%]]</f>
        <v>-7.9320276967741936</v>
      </c>
    </row>
    <row r="391" spans="1:87" x14ac:dyDescent="0.25">
      <c r="A391" s="68">
        <v>44926</v>
      </c>
      <c r="B391" s="68">
        <v>44897</v>
      </c>
      <c r="C391" s="18" t="s">
        <v>96</v>
      </c>
      <c r="D391" s="18" t="s">
        <v>96</v>
      </c>
      <c r="E391" s="18" t="s">
        <v>96</v>
      </c>
      <c r="F391" s="18" t="s">
        <v>10458</v>
      </c>
      <c r="G391" s="18" t="s">
        <v>292</v>
      </c>
      <c r="H391" s="18" t="s">
        <v>10449</v>
      </c>
      <c r="I391" s="18" t="s">
        <v>10459</v>
      </c>
      <c r="J391" s="18" t="s">
        <v>10460</v>
      </c>
      <c r="K391" s="18" t="s">
        <v>7970</v>
      </c>
      <c r="L391" s="18" t="s">
        <v>10461</v>
      </c>
      <c r="M391" s="18" t="s">
        <v>10462</v>
      </c>
      <c r="N391" s="18" t="s">
        <v>10463</v>
      </c>
      <c r="O391" s="18" t="s">
        <v>543</v>
      </c>
      <c r="P391" s="18" t="s">
        <v>10464</v>
      </c>
      <c r="Q391" s="18" t="s">
        <v>7975</v>
      </c>
      <c r="R391" s="18" t="s">
        <v>7976</v>
      </c>
      <c r="S391" s="18" t="s">
        <v>7994</v>
      </c>
      <c r="T391" s="18" t="s">
        <v>8245</v>
      </c>
      <c r="U391" s="18" t="s">
        <v>8012</v>
      </c>
      <c r="V391" s="18" t="s">
        <v>6963</v>
      </c>
      <c r="W391" s="18" t="s">
        <v>95</v>
      </c>
      <c r="X391" s="18" t="s">
        <v>95</v>
      </c>
      <c r="Y391" s="18" t="s">
        <v>7980</v>
      </c>
      <c r="Z391" s="18" t="s">
        <v>6996</v>
      </c>
      <c r="AA391" s="69">
        <v>-1</v>
      </c>
      <c r="AB391" s="18">
        <v>-159.82142999999999</v>
      </c>
      <c r="AC391" s="18" t="s">
        <v>10465</v>
      </c>
      <c r="AD391" s="18" t="s">
        <v>7982</v>
      </c>
      <c r="AE391" s="18">
        <v>156</v>
      </c>
      <c r="AF391" s="18" t="s">
        <v>7983</v>
      </c>
      <c r="AG391" s="18">
        <v>-156</v>
      </c>
      <c r="AH391" s="18" t="s">
        <v>95</v>
      </c>
      <c r="AI391" s="18" t="s">
        <v>8102</v>
      </c>
      <c r="AJ391" s="18" t="s">
        <v>8103</v>
      </c>
      <c r="AK391" s="18" t="s">
        <v>95</v>
      </c>
      <c r="AL391" s="18" t="s">
        <v>10466</v>
      </c>
      <c r="AM391" s="18" t="s">
        <v>95</v>
      </c>
      <c r="AN391" s="18" t="s">
        <v>7984</v>
      </c>
      <c r="AO391" s="18" t="s">
        <v>139</v>
      </c>
      <c r="AP391" s="18" t="s">
        <v>233</v>
      </c>
      <c r="AQ391" s="18" t="s">
        <v>234</v>
      </c>
      <c r="AR391" s="18" t="s">
        <v>496</v>
      </c>
      <c r="AS391" s="18">
        <v>1</v>
      </c>
      <c r="AT391" s="18" t="s">
        <v>235</v>
      </c>
      <c r="AU391" s="18" t="s">
        <v>90</v>
      </c>
      <c r="AV391" s="18" t="s">
        <v>8247</v>
      </c>
      <c r="AW391" s="18" t="s">
        <v>8248</v>
      </c>
      <c r="AX391" s="18" t="s">
        <v>83</v>
      </c>
      <c r="AY391" s="18" t="s">
        <v>95</v>
      </c>
      <c r="AZ391" s="18" t="s">
        <v>95</v>
      </c>
      <c r="BA391" s="18" t="s">
        <v>95</v>
      </c>
      <c r="BB391" s="18" t="s">
        <v>95</v>
      </c>
      <c r="BC391" s="18" t="s">
        <v>95</v>
      </c>
      <c r="BD391" s="18" t="s">
        <v>95</v>
      </c>
      <c r="BE391" s="18" t="s">
        <v>95</v>
      </c>
      <c r="BF391" s="18" t="s">
        <v>95</v>
      </c>
      <c r="BG391" s="18" t="s">
        <v>95</v>
      </c>
      <c r="BH391" s="18" t="s">
        <v>95</v>
      </c>
      <c r="BI391" s="18">
        <v>12</v>
      </c>
      <c r="BJ391" s="18">
        <v>2022</v>
      </c>
      <c r="BK391" s="18" t="s">
        <v>95</v>
      </c>
      <c r="BL391" s="18" t="s">
        <v>95</v>
      </c>
      <c r="BM391" s="18" t="s">
        <v>95</v>
      </c>
      <c r="BN391" s="18" t="s">
        <v>85</v>
      </c>
      <c r="BO391" s="18" t="s">
        <v>86</v>
      </c>
      <c r="BP391" s="18" t="s">
        <v>90</v>
      </c>
      <c r="BQ391" s="18" t="s">
        <v>8016</v>
      </c>
      <c r="BR391" s="18" t="s">
        <v>139</v>
      </c>
      <c r="BS391" s="18" t="s">
        <v>8074</v>
      </c>
      <c r="BT391" s="18" t="s">
        <v>7989</v>
      </c>
      <c r="BU391" s="18" t="s">
        <v>496</v>
      </c>
      <c r="BV391" s="18" t="str">
        <f>Terminales[[#This Row],[IMEI]]&amp;"SI"</f>
        <v>355108340391400SI</v>
      </c>
      <c r="BW391" s="18" t="str">
        <f>VLOOKUP(Terminales[[#This Row],[OFICINA_USUARIO]],[1]!Locales[#Data],3,0)</f>
        <v>TIENDA CONDADO</v>
      </c>
      <c r="BX391" s="18" t="str">
        <f>VLOOKUP(Terminales[[#This Row],[USUARIO_FINAL]],'[1]Personal Ppto vs Real'!$A:$F,6,0)</f>
        <v>ROSALES MALDONADO JESSICA GABRIELA</v>
      </c>
      <c r="BY39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9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NT CONTADO COR</v>
      </c>
      <c r="CA391" s="18">
        <f>DAY(Terminales[[#This Row],[FECHA_FACTURA]])</f>
        <v>2</v>
      </c>
      <c r="CB391" s="65">
        <f>IF(Terminales[[#This Row],[CANTIDAD]] = 1,INDEX([1]!Comisiones[#Data],MATCH("Terminales",[1]!Comisiones[Producto],0),MATCH(Terminales[[#This Row],[TIPO ALTA COMISIONES]],[1]!Comisiones[#Headers],0))*Terminales[[#This Row],[MONTO]],0)</f>
        <v>0</v>
      </c>
      <c r="CC391" s="65">
        <f>IFERROR(IF(AND(Terminales[[#This Row],[CANTIDAD]] = 1,Terminales[[#This Row],[MOVIMIENTO]] = "RENOVACION"),Terminales[[#This Row],[TARIFA_BASICA]]*0.5,),)</f>
        <v>0</v>
      </c>
      <c r="CD391" s="65">
        <f>IF('[1]Resumen TM'!$AW$20 &lt; 0.4,0,Terminales[[#This Row],[MONTO]]*0.02)</f>
        <v>-3.1964286</v>
      </c>
      <c r="CE391" s="66">
        <f>Terminales[[#This Row],[COMISIONES TERMINALES]]+Terminales[[#This Row],[COMISIONES RENOVACIONES]]+Terminales[[#This Row],[COMISIONES BONO]]</f>
        <v>-3.1964286</v>
      </c>
      <c r="CF391" s="67">
        <f>(Terminales[[#This Row],[COMISIONES TERMINALES]]*VLOOKUP(Terminales[[#This Row],[LOCALES]],[1]!Calendario[#Data],3,0))/VLOOKUP(Terminales[[#This Row],[LOCALES]],[1]!Calendario[#Data],2,0)</f>
        <v>0</v>
      </c>
      <c r="CG391" s="67">
        <f>(Terminales[[#This Row],[COMISIONES RENOVACIONES]]*VLOOKUP(Terminales[[#This Row],[LOCALES]],[1]!Calendario[#Data],3,0))/VLOOKUP(Terminales[[#This Row],[LOCALES]],[1]!Calendario[#Data],2,0)</f>
        <v>0</v>
      </c>
      <c r="CH391" s="67">
        <f>(Terminales[[#This Row],[COMISIONES BONO]]*VLOOKUP(Terminales[[#This Row],[LOCALES]],[1]!Calendario[#Data],3,0))/VLOOKUP(Terminales[[#This Row],[LOCALES]],[1]!Calendario[#Data],2,0)</f>
        <v>-5.2586406000000006</v>
      </c>
      <c r="CI391" s="67">
        <f>Terminales[[#This Row],[PROY. COM. TERMINALES]]+Terminales[[#This Row],[PROY. COM. RENOV.]]+Terminales[[#This Row],[PROY. COM. 2%]]</f>
        <v>-5.2586406000000006</v>
      </c>
    </row>
    <row r="392" spans="1:87" x14ac:dyDescent="0.25">
      <c r="A392" s="68">
        <v>44926</v>
      </c>
      <c r="B392" s="68">
        <v>44903</v>
      </c>
      <c r="C392" s="18" t="s">
        <v>291</v>
      </c>
      <c r="D392" s="18" t="s">
        <v>78</v>
      </c>
      <c r="E392" s="18" t="s">
        <v>231</v>
      </c>
      <c r="F392" s="18" t="s">
        <v>10467</v>
      </c>
      <c r="G392" s="18" t="s">
        <v>292</v>
      </c>
      <c r="H392" s="18" t="s">
        <v>10449</v>
      </c>
      <c r="I392" s="18" t="s">
        <v>10468</v>
      </c>
      <c r="J392" s="18" t="s">
        <v>10469</v>
      </c>
      <c r="K392" s="18" t="s">
        <v>7970</v>
      </c>
      <c r="L392" s="18" t="s">
        <v>10470</v>
      </c>
      <c r="M392" s="18" t="s">
        <v>10471</v>
      </c>
      <c r="N392" s="18" t="s">
        <v>10472</v>
      </c>
      <c r="O392" s="18" t="s">
        <v>8640</v>
      </c>
      <c r="P392" s="18" t="s">
        <v>10473</v>
      </c>
      <c r="Q392" s="18" t="s">
        <v>7975</v>
      </c>
      <c r="R392" s="18" t="s">
        <v>7976</v>
      </c>
      <c r="S392" s="18" t="s">
        <v>8045</v>
      </c>
      <c r="T392" s="18" t="s">
        <v>8642</v>
      </c>
      <c r="U392" s="18" t="s">
        <v>8059</v>
      </c>
      <c r="V392" s="18" t="s">
        <v>6963</v>
      </c>
      <c r="W392" s="18" t="s">
        <v>95</v>
      </c>
      <c r="X392" s="18" t="s">
        <v>95</v>
      </c>
      <c r="Y392" s="18" t="s">
        <v>7980</v>
      </c>
      <c r="Z392" s="18" t="s">
        <v>6996</v>
      </c>
      <c r="AA392" s="69">
        <v>-1</v>
      </c>
      <c r="AB392" s="18">
        <v>-1204.4642899999999</v>
      </c>
      <c r="AC392" s="18" t="s">
        <v>10474</v>
      </c>
      <c r="AD392" s="18" t="s">
        <v>7982</v>
      </c>
      <c r="AE392" s="18">
        <v>1244</v>
      </c>
      <c r="AF392" s="18" t="s">
        <v>7983</v>
      </c>
      <c r="AG392" s="18">
        <v>-1244</v>
      </c>
      <c r="AH392" s="18" t="s">
        <v>95</v>
      </c>
      <c r="AI392" s="18" t="s">
        <v>574</v>
      </c>
      <c r="AJ392" s="18" t="s">
        <v>575</v>
      </c>
      <c r="AK392" s="18">
        <v>17.850000000000001</v>
      </c>
      <c r="AL392" s="18" t="s">
        <v>10457</v>
      </c>
      <c r="AM392" s="18" t="s">
        <v>95</v>
      </c>
      <c r="AN392" s="18" t="s">
        <v>7984</v>
      </c>
      <c r="AO392" s="18" t="s">
        <v>139</v>
      </c>
      <c r="AP392" s="18" t="s">
        <v>412</v>
      </c>
      <c r="AQ392" s="18" t="s">
        <v>413</v>
      </c>
      <c r="AR392" s="18" t="s">
        <v>496</v>
      </c>
      <c r="AS392" s="18">
        <v>1</v>
      </c>
      <c r="AT392" s="18" t="s">
        <v>235</v>
      </c>
      <c r="AU392" s="18" t="s">
        <v>90</v>
      </c>
      <c r="AV392" s="18" t="s">
        <v>8644</v>
      </c>
      <c r="AW392" s="18" t="s">
        <v>8645</v>
      </c>
      <c r="AX392" s="18" t="s">
        <v>83</v>
      </c>
      <c r="AY392" s="18" t="s">
        <v>95</v>
      </c>
      <c r="AZ392" s="18" t="s">
        <v>95</v>
      </c>
      <c r="BA392" s="18" t="s">
        <v>95</v>
      </c>
      <c r="BB392" s="18" t="s">
        <v>95</v>
      </c>
      <c r="BC392" s="18" t="s">
        <v>95</v>
      </c>
      <c r="BD392" s="18" t="s">
        <v>95</v>
      </c>
      <c r="BE392" s="18" t="s">
        <v>95</v>
      </c>
      <c r="BF392" s="18" t="s">
        <v>95</v>
      </c>
      <c r="BG392" s="18" t="s">
        <v>95</v>
      </c>
      <c r="BH392" s="18" t="s">
        <v>95</v>
      </c>
      <c r="BI392" s="18">
        <v>12</v>
      </c>
      <c r="BJ392" s="18">
        <v>2022</v>
      </c>
      <c r="BK392" s="18" t="s">
        <v>95</v>
      </c>
      <c r="BL392" s="18" t="s">
        <v>95</v>
      </c>
      <c r="BM392" s="18" t="s">
        <v>95</v>
      </c>
      <c r="BN392" s="18" t="s">
        <v>85</v>
      </c>
      <c r="BO392" s="18" t="s">
        <v>86</v>
      </c>
      <c r="BP392" s="18" t="s">
        <v>90</v>
      </c>
      <c r="BQ392" s="18" t="s">
        <v>8016</v>
      </c>
      <c r="BR392" s="18" t="s">
        <v>139</v>
      </c>
      <c r="BS392" s="18" t="s">
        <v>8074</v>
      </c>
      <c r="BT392" s="18" t="s">
        <v>7989</v>
      </c>
      <c r="BU392" s="18" t="s">
        <v>496</v>
      </c>
      <c r="BV392" s="18" t="str">
        <f>Terminales[[#This Row],[IMEI]]&amp;"SI"</f>
        <v>351338912444261SI</v>
      </c>
      <c r="BW392" s="18" t="str">
        <f>VLOOKUP(Terminales[[#This Row],[OFICINA_USUARIO]],[1]!Locales[#Data],3,0)</f>
        <v>TIENDA CONDADO</v>
      </c>
      <c r="BX392" s="18" t="str">
        <f>VLOOKUP(Terminales[[#This Row],[USUARIO_FINAL]],'[1]Personal Ppto vs Real'!$A:$F,6,0)</f>
        <v>PADILLA MALDONADO HENRY LEOPOLDO</v>
      </c>
      <c r="BY39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9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NT CONTADO COR</v>
      </c>
      <c r="CA392" s="18">
        <f>DAY(Terminales[[#This Row],[FECHA_FACTURA]])</f>
        <v>8</v>
      </c>
      <c r="CB392" s="65">
        <f>IF(Terminales[[#This Row],[CANTIDAD]] = 1,INDEX([1]!Comisiones[#Data],MATCH("Terminales",[1]!Comisiones[Producto],0),MATCH(Terminales[[#This Row],[TIPO ALTA COMISIONES]],[1]!Comisiones[#Headers],0))*Terminales[[#This Row],[MONTO]],0)</f>
        <v>0</v>
      </c>
      <c r="CC392" s="65">
        <f>IFERROR(IF(AND(Terminales[[#This Row],[CANTIDAD]] = 1,Terminales[[#This Row],[MOVIMIENTO]] = "RENOVACION"),Terminales[[#This Row],[TARIFA_BASICA]]*0.5,),)</f>
        <v>0</v>
      </c>
      <c r="CD392" s="65">
        <f>IF('[1]Resumen TM'!$AW$20 &lt; 0.4,0,Terminales[[#This Row],[MONTO]]*0.02)</f>
        <v>-24.089285799999999</v>
      </c>
      <c r="CE392" s="66">
        <f>Terminales[[#This Row],[COMISIONES TERMINALES]]+Terminales[[#This Row],[COMISIONES RENOVACIONES]]+Terminales[[#This Row],[COMISIONES BONO]]</f>
        <v>-24.089285799999999</v>
      </c>
      <c r="CF392" s="67">
        <f>(Terminales[[#This Row],[COMISIONES TERMINALES]]*VLOOKUP(Terminales[[#This Row],[LOCALES]],[1]!Calendario[#Data],3,0))/VLOOKUP(Terminales[[#This Row],[LOCALES]],[1]!Calendario[#Data],2,0)</f>
        <v>0</v>
      </c>
      <c r="CG392" s="67">
        <f>(Terminales[[#This Row],[COMISIONES RENOVACIONES]]*VLOOKUP(Terminales[[#This Row],[LOCALES]],[1]!Calendario[#Data],3,0))/VLOOKUP(Terminales[[#This Row],[LOCALES]],[1]!Calendario[#Data],2,0)</f>
        <v>0</v>
      </c>
      <c r="CH392" s="67">
        <f>(Terminales[[#This Row],[COMISIONES BONO]]*VLOOKUP(Terminales[[#This Row],[LOCALES]],[1]!Calendario[#Data],3,0))/VLOOKUP(Terminales[[#This Row],[LOCALES]],[1]!Calendario[#Data],2,0)</f>
        <v>-39.630760509677415</v>
      </c>
      <c r="CI392" s="67">
        <f>Terminales[[#This Row],[PROY. COM. TERMINALES]]+Terminales[[#This Row],[PROY. COM. RENOV.]]+Terminales[[#This Row],[PROY. COM. 2%]]</f>
        <v>-39.630760509677415</v>
      </c>
    </row>
    <row r="393" spans="1:87" x14ac:dyDescent="0.25">
      <c r="A393" s="68">
        <v>44926</v>
      </c>
      <c r="B393" s="68">
        <v>44904</v>
      </c>
      <c r="C393" s="18" t="s">
        <v>291</v>
      </c>
      <c r="D393" s="18" t="s">
        <v>78</v>
      </c>
      <c r="E393" s="18" t="s">
        <v>231</v>
      </c>
      <c r="F393" s="18" t="s">
        <v>10475</v>
      </c>
      <c r="G393" s="18" t="s">
        <v>292</v>
      </c>
      <c r="H393" s="18" t="s">
        <v>10449</v>
      </c>
      <c r="I393" s="18" t="s">
        <v>10476</v>
      </c>
      <c r="J393" s="18" t="s">
        <v>10477</v>
      </c>
      <c r="K393" s="18" t="s">
        <v>7970</v>
      </c>
      <c r="L393" s="18" t="s">
        <v>10478</v>
      </c>
      <c r="M393" s="18" t="s">
        <v>9010</v>
      </c>
      <c r="N393" s="18" t="s">
        <v>9011</v>
      </c>
      <c r="O393" s="18" t="s">
        <v>8316</v>
      </c>
      <c r="P393" s="18" t="s">
        <v>10479</v>
      </c>
      <c r="Q393" s="18" t="s">
        <v>7975</v>
      </c>
      <c r="R393" s="18" t="s">
        <v>7976</v>
      </c>
      <c r="S393" s="18" t="s">
        <v>8250</v>
      </c>
      <c r="T393" s="18" t="s">
        <v>8318</v>
      </c>
      <c r="U393" s="18" t="s">
        <v>8059</v>
      </c>
      <c r="V393" s="18" t="s">
        <v>6963</v>
      </c>
      <c r="W393" s="18" t="s">
        <v>95</v>
      </c>
      <c r="X393" s="18" t="s">
        <v>95</v>
      </c>
      <c r="Y393" s="18" t="s">
        <v>7980</v>
      </c>
      <c r="Z393" s="18" t="s">
        <v>6996</v>
      </c>
      <c r="AA393" s="69">
        <v>-1</v>
      </c>
      <c r="AB393" s="18">
        <v>-1107.1428599999999</v>
      </c>
      <c r="AC393" s="18" t="s">
        <v>10480</v>
      </c>
      <c r="AD393" s="18" t="s">
        <v>7982</v>
      </c>
      <c r="AE393" s="18">
        <v>956.01</v>
      </c>
      <c r="AF393" s="18" t="s">
        <v>7983</v>
      </c>
      <c r="AG393" s="18">
        <v>-956.01</v>
      </c>
      <c r="AH393" s="18" t="s">
        <v>95</v>
      </c>
      <c r="AI393" s="18" t="s">
        <v>7213</v>
      </c>
      <c r="AJ393" s="18" t="s">
        <v>7214</v>
      </c>
      <c r="AK393" s="18">
        <v>24.99</v>
      </c>
      <c r="AL393" s="18" t="s">
        <v>10457</v>
      </c>
      <c r="AM393" s="18" t="s">
        <v>95</v>
      </c>
      <c r="AN393" s="18" t="s">
        <v>7984</v>
      </c>
      <c r="AO393" s="18" t="s">
        <v>8121</v>
      </c>
      <c r="AP393" s="18" t="s">
        <v>271</v>
      </c>
      <c r="AQ393" s="18" t="s">
        <v>272</v>
      </c>
      <c r="AR393" s="18" t="s">
        <v>496</v>
      </c>
      <c r="AS393" s="18">
        <v>1</v>
      </c>
      <c r="AT393" s="18" t="s">
        <v>235</v>
      </c>
      <c r="AU393" s="18" t="s">
        <v>90</v>
      </c>
      <c r="AV393" s="18" t="s">
        <v>8319</v>
      </c>
      <c r="AW393" s="18" t="s">
        <v>8320</v>
      </c>
      <c r="AX393" s="18" t="s">
        <v>83</v>
      </c>
      <c r="AY393" s="18" t="s">
        <v>95</v>
      </c>
      <c r="AZ393" s="18" t="s">
        <v>95</v>
      </c>
      <c r="BA393" s="18" t="s">
        <v>95</v>
      </c>
      <c r="BB393" s="18" t="s">
        <v>95</v>
      </c>
      <c r="BC393" s="18" t="s">
        <v>95</v>
      </c>
      <c r="BD393" s="18" t="s">
        <v>95</v>
      </c>
      <c r="BE393" s="18" t="s">
        <v>95</v>
      </c>
      <c r="BF393" s="18" t="s">
        <v>95</v>
      </c>
      <c r="BG393" s="18" t="s">
        <v>95</v>
      </c>
      <c r="BH393" s="18" t="s">
        <v>95</v>
      </c>
      <c r="BI393" s="18">
        <v>12</v>
      </c>
      <c r="BJ393" s="18">
        <v>2022</v>
      </c>
      <c r="BK393" s="18" t="s">
        <v>95</v>
      </c>
      <c r="BL393" s="18" t="s">
        <v>95</v>
      </c>
      <c r="BM393" s="18" t="s">
        <v>95</v>
      </c>
      <c r="BN393" s="18" t="s">
        <v>85</v>
      </c>
      <c r="BO393" s="18" t="s">
        <v>86</v>
      </c>
      <c r="BP393" s="18" t="s">
        <v>90</v>
      </c>
      <c r="BQ393" s="18" t="s">
        <v>8016</v>
      </c>
      <c r="BR393" s="18" t="s">
        <v>8121</v>
      </c>
      <c r="BS393" s="18" t="s">
        <v>8074</v>
      </c>
      <c r="BT393" s="18" t="s">
        <v>7989</v>
      </c>
      <c r="BU393" s="18" t="s">
        <v>496</v>
      </c>
      <c r="BV393" s="18" t="str">
        <f>Terminales[[#This Row],[IMEI]]&amp;"SI"</f>
        <v>353514358068578SI</v>
      </c>
      <c r="BW393" s="18" t="str">
        <f>VLOOKUP(Terminales[[#This Row],[OFICINA_USUARIO]],[1]!Locales[#Data],3,0)</f>
        <v>TIENDA CONDADO</v>
      </c>
      <c r="BX393" s="18" t="str">
        <f>VLOOKUP(Terminales[[#This Row],[USUARIO_FINAL]],'[1]Personal Ppto vs Real'!$A:$F,6,0)</f>
        <v>CASTILLO AGUIRRE EDWIN MODESTO</v>
      </c>
      <c r="BY393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9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NT CONTADO COR</v>
      </c>
      <c r="CA393" s="18">
        <f>DAY(Terminales[[#This Row],[FECHA_FACTURA]])</f>
        <v>9</v>
      </c>
      <c r="CB393" s="65">
        <f>IF(Terminales[[#This Row],[CANTIDAD]] = 1,INDEX([1]!Comisiones[#Data],MATCH("Terminales",[1]!Comisiones[Producto],0),MATCH(Terminales[[#This Row],[TIPO ALTA COMISIONES]],[1]!Comisiones[#Headers],0))*Terminales[[#This Row],[MONTO]],0)</f>
        <v>0</v>
      </c>
      <c r="CC393" s="65">
        <f>IFERROR(IF(AND(Terminales[[#This Row],[CANTIDAD]] = 1,Terminales[[#This Row],[MOVIMIENTO]] = "RENOVACION"),Terminales[[#This Row],[TARIFA_BASICA]]*0.5,),)</f>
        <v>0</v>
      </c>
      <c r="CD393" s="65">
        <f>IF('[1]Resumen TM'!$AW$20 &lt; 0.4,0,Terminales[[#This Row],[MONTO]]*0.02)</f>
        <v>-22.142857199999998</v>
      </c>
      <c r="CE393" s="66">
        <f>Terminales[[#This Row],[COMISIONES TERMINALES]]+Terminales[[#This Row],[COMISIONES RENOVACIONES]]+Terminales[[#This Row],[COMISIONES BONO]]</f>
        <v>-22.142857199999998</v>
      </c>
      <c r="CF393" s="67">
        <f>(Terminales[[#This Row],[COMISIONES TERMINALES]]*VLOOKUP(Terminales[[#This Row],[LOCALES]],[1]!Calendario[#Data],3,0))/VLOOKUP(Terminales[[#This Row],[LOCALES]],[1]!Calendario[#Data],2,0)</f>
        <v>0</v>
      </c>
      <c r="CG393" s="67">
        <f>(Terminales[[#This Row],[COMISIONES RENOVACIONES]]*VLOOKUP(Terminales[[#This Row],[LOCALES]],[1]!Calendario[#Data],3,0))/VLOOKUP(Terminales[[#This Row],[LOCALES]],[1]!Calendario[#Data],2,0)</f>
        <v>0</v>
      </c>
      <c r="CH393" s="67">
        <f>(Terminales[[#This Row],[COMISIONES BONO]]*VLOOKUP(Terminales[[#This Row],[LOCALES]],[1]!Calendario[#Data],3,0))/VLOOKUP(Terminales[[#This Row],[LOCALES]],[1]!Calendario[#Data],2,0)</f>
        <v>-36.42857152258064</v>
      </c>
      <c r="CI393" s="67">
        <f>Terminales[[#This Row],[PROY. COM. TERMINALES]]+Terminales[[#This Row],[PROY. COM. RENOV.]]+Terminales[[#This Row],[PROY. COM. 2%]]</f>
        <v>-36.42857152258064</v>
      </c>
    </row>
    <row r="394" spans="1:87" x14ac:dyDescent="0.25">
      <c r="A394" s="68">
        <v>44926</v>
      </c>
      <c r="B394" s="68">
        <v>44906</v>
      </c>
      <c r="C394" s="18" t="s">
        <v>96</v>
      </c>
      <c r="D394" s="18" t="s">
        <v>96</v>
      </c>
      <c r="E394" s="18" t="s">
        <v>96</v>
      </c>
      <c r="F394" s="18" t="s">
        <v>10481</v>
      </c>
      <c r="G394" s="18" t="s">
        <v>292</v>
      </c>
      <c r="H394" s="18" t="s">
        <v>494</v>
      </c>
      <c r="I394" s="18" t="s">
        <v>10482</v>
      </c>
      <c r="J394" s="18" t="s">
        <v>95</v>
      </c>
      <c r="K394" s="18" t="s">
        <v>7970</v>
      </c>
      <c r="L394" s="18" t="s">
        <v>10483</v>
      </c>
      <c r="M394" s="18" t="s">
        <v>10484</v>
      </c>
      <c r="N394" s="18" t="s">
        <v>10485</v>
      </c>
      <c r="O394" s="18" t="s">
        <v>1691</v>
      </c>
      <c r="P394" s="18" t="s">
        <v>10486</v>
      </c>
      <c r="Q394" s="18" t="s">
        <v>7975</v>
      </c>
      <c r="R394" s="18" t="s">
        <v>7976</v>
      </c>
      <c r="S394" s="18" t="s">
        <v>8045</v>
      </c>
      <c r="T394" s="18" t="s">
        <v>8225</v>
      </c>
      <c r="U394" s="18" t="s">
        <v>8012</v>
      </c>
      <c r="V394" s="18" t="s">
        <v>6963</v>
      </c>
      <c r="W394" s="18" t="s">
        <v>95</v>
      </c>
      <c r="X394" s="18" t="s">
        <v>95</v>
      </c>
      <c r="Y394" s="18" t="s">
        <v>7980</v>
      </c>
      <c r="Z394" s="18" t="s">
        <v>6996</v>
      </c>
      <c r="AA394" s="69">
        <v>1</v>
      </c>
      <c r="AB394" s="18">
        <v>241.07142999999999</v>
      </c>
      <c r="AC394" s="18" t="s">
        <v>10487</v>
      </c>
      <c r="AD394" s="18" t="s">
        <v>7982</v>
      </c>
      <c r="AE394" s="18">
        <v>232</v>
      </c>
      <c r="AF394" s="18" t="s">
        <v>7983</v>
      </c>
      <c r="AG394" s="18">
        <v>232</v>
      </c>
      <c r="AH394" s="18" t="s">
        <v>95</v>
      </c>
      <c r="AI394" s="18" t="s">
        <v>8102</v>
      </c>
      <c r="AJ394" s="18" t="s">
        <v>8103</v>
      </c>
      <c r="AK394" s="18" t="s">
        <v>95</v>
      </c>
      <c r="AL394" s="18" t="s">
        <v>95</v>
      </c>
      <c r="AM394" s="18" t="s">
        <v>95</v>
      </c>
      <c r="AN394" s="18" t="s">
        <v>7984</v>
      </c>
      <c r="AO394" s="18" t="s">
        <v>139</v>
      </c>
      <c r="AP394" s="20" t="s">
        <v>1315</v>
      </c>
      <c r="AQ394" s="18" t="s">
        <v>1316</v>
      </c>
      <c r="AR394" s="18" t="s">
        <v>496</v>
      </c>
      <c r="AS394" s="18">
        <v>1</v>
      </c>
      <c r="AT394" s="18" t="s">
        <v>177</v>
      </c>
      <c r="AU394" s="18" t="s">
        <v>90</v>
      </c>
      <c r="AV394" s="18" t="s">
        <v>8228</v>
      </c>
      <c r="AW394" s="18" t="s">
        <v>8229</v>
      </c>
      <c r="AX394" s="18" t="s">
        <v>83</v>
      </c>
      <c r="AY394" s="18" t="s">
        <v>95</v>
      </c>
      <c r="AZ394" s="18" t="s">
        <v>95</v>
      </c>
      <c r="BA394" s="18" t="s">
        <v>95</v>
      </c>
      <c r="BB394" s="18" t="s">
        <v>95</v>
      </c>
      <c r="BC394" s="18" t="s">
        <v>118</v>
      </c>
      <c r="BD394" s="18" t="s">
        <v>95</v>
      </c>
      <c r="BE394" s="18" t="s">
        <v>95</v>
      </c>
      <c r="BF394" s="18" t="s">
        <v>95</v>
      </c>
      <c r="BG394" s="18" t="s">
        <v>95</v>
      </c>
      <c r="BH394" s="18" t="s">
        <v>95</v>
      </c>
      <c r="BI394" s="18">
        <v>12</v>
      </c>
      <c r="BJ394" s="18">
        <v>2022</v>
      </c>
      <c r="BK394" s="18" t="s">
        <v>95</v>
      </c>
      <c r="BL394" s="18" t="s">
        <v>95</v>
      </c>
      <c r="BM394" s="18" t="s">
        <v>95</v>
      </c>
      <c r="BN394" s="18" t="s">
        <v>85</v>
      </c>
      <c r="BO394" s="18" t="s">
        <v>86</v>
      </c>
      <c r="BP394" s="18" t="s">
        <v>90</v>
      </c>
      <c r="BQ394" s="18" t="s">
        <v>8002</v>
      </c>
      <c r="BR394" s="18" t="s">
        <v>139</v>
      </c>
      <c r="BS394" s="18" t="s">
        <v>8074</v>
      </c>
      <c r="BT394" s="18" t="s">
        <v>7989</v>
      </c>
      <c r="BU394" s="18" t="s">
        <v>496</v>
      </c>
      <c r="BV394" s="18" t="str">
        <f>Terminales[[#This Row],[IMEI]]&amp;"SI"</f>
        <v>356795951169890SI</v>
      </c>
      <c r="BW394" s="18" t="str">
        <f>VLOOKUP(Terminales[[#This Row],[OFICINA_USUARIO]],[1]!Locales[#Data],3,0)</f>
        <v>TIENDA RECREO</v>
      </c>
      <c r="BX394" s="18" t="str">
        <f>VLOOKUP(Terminales[[#This Row],[USUARIO_FINAL]],'[1]Personal Ppto vs Real'!$A:$F,6,0)</f>
        <v>ORTEGA  NATALIE MÉNDEZ</v>
      </c>
      <c r="BY394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39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94" s="18">
        <f>DAY(Terminales[[#This Row],[FECHA_FACTURA]])</f>
        <v>11</v>
      </c>
      <c r="CB394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394" s="65">
        <f>IFERROR(IF(AND(Terminales[[#This Row],[CANTIDAD]] = 1,Terminales[[#This Row],[MOVIMIENTO]] = "RENOVACION"),Terminales[[#This Row],[TARIFA_BASICA]]*0.5,),)</f>
        <v>0</v>
      </c>
      <c r="CD394" s="65">
        <f>IF('[1]Resumen TM'!$AW$20 &lt; 0.4,0,Terminales[[#This Row],[MONTO]]*0.02)</f>
        <v>4.8214286</v>
      </c>
      <c r="CE394" s="66">
        <f>Terminales[[#This Row],[COMISIONES TERMINALES]]+Terminales[[#This Row],[COMISIONES RENOVACIONES]]+Terminales[[#This Row],[COMISIONES BONO]]</f>
        <v>28.928571600000001</v>
      </c>
      <c r="CF394" s="67">
        <f>(Terminales[[#This Row],[COMISIONES TERMINALES]]*VLOOKUP(Terminales[[#This Row],[LOCALES]],[1]!Calendario[#Data],3,0))/VLOOKUP(Terminales[[#This Row],[LOCALES]],[1]!Calendario[#Data],2,0)</f>
        <v>39.660138483870966</v>
      </c>
      <c r="CG394" s="67">
        <f>(Terminales[[#This Row],[COMISIONES RENOVACIONES]]*VLOOKUP(Terminales[[#This Row],[LOCALES]],[1]!Calendario[#Data],3,0))/VLOOKUP(Terminales[[#This Row],[LOCALES]],[1]!Calendario[#Data],2,0)</f>
        <v>0</v>
      </c>
      <c r="CH394" s="67">
        <f>(Terminales[[#This Row],[COMISIONES BONO]]*VLOOKUP(Terminales[[#This Row],[LOCALES]],[1]!Calendario[#Data],3,0))/VLOOKUP(Terminales[[#This Row],[LOCALES]],[1]!Calendario[#Data],2,0)</f>
        <v>7.9320276967741936</v>
      </c>
      <c r="CI394" s="67">
        <f>Terminales[[#This Row],[PROY. COM. TERMINALES]]+Terminales[[#This Row],[PROY. COM. RENOV.]]+Terminales[[#This Row],[PROY. COM. 2%]]</f>
        <v>47.592166180645158</v>
      </c>
    </row>
    <row r="395" spans="1:87" x14ac:dyDescent="0.25">
      <c r="A395" s="68">
        <v>44926</v>
      </c>
      <c r="B395" s="68">
        <v>44909</v>
      </c>
      <c r="C395" s="18" t="s">
        <v>291</v>
      </c>
      <c r="D395" s="18" t="s">
        <v>78</v>
      </c>
      <c r="E395" s="18" t="s">
        <v>311</v>
      </c>
      <c r="F395" s="18" t="s">
        <v>10488</v>
      </c>
      <c r="G395" s="18" t="s">
        <v>292</v>
      </c>
      <c r="H395" s="18" t="s">
        <v>293</v>
      </c>
      <c r="I395" s="18" t="s">
        <v>10489</v>
      </c>
      <c r="J395" s="18" t="s">
        <v>95</v>
      </c>
      <c r="K395" s="18" t="s">
        <v>7970</v>
      </c>
      <c r="L395" s="18" t="s">
        <v>10490</v>
      </c>
      <c r="M395" s="18" t="s">
        <v>10491</v>
      </c>
      <c r="N395" s="18" t="s">
        <v>10492</v>
      </c>
      <c r="O395" s="18" t="s">
        <v>6241</v>
      </c>
      <c r="P395" s="18" t="s">
        <v>10493</v>
      </c>
      <c r="Q395" s="18" t="s">
        <v>7975</v>
      </c>
      <c r="R395" s="18" t="s">
        <v>7976</v>
      </c>
      <c r="S395" s="18" t="s">
        <v>8070</v>
      </c>
      <c r="T395" s="18" t="s">
        <v>8364</v>
      </c>
      <c r="U395" s="18" t="s">
        <v>8012</v>
      </c>
      <c r="V395" s="18" t="s">
        <v>6963</v>
      </c>
      <c r="W395" s="18" t="s">
        <v>95</v>
      </c>
      <c r="X395" s="18" t="s">
        <v>95</v>
      </c>
      <c r="Y395" s="18" t="s">
        <v>7980</v>
      </c>
      <c r="Z395" s="18" t="s">
        <v>6996</v>
      </c>
      <c r="AA395" s="69">
        <v>1</v>
      </c>
      <c r="AB395" s="18">
        <v>428.57143000000002</v>
      </c>
      <c r="AC395" s="18" t="s">
        <v>10494</v>
      </c>
      <c r="AD395" s="18" t="s">
        <v>7982</v>
      </c>
      <c r="AE395" s="18">
        <v>269.92</v>
      </c>
      <c r="AF395" s="18" t="s">
        <v>7983</v>
      </c>
      <c r="AG395" s="18">
        <v>269.92</v>
      </c>
      <c r="AH395" s="18" t="s">
        <v>95</v>
      </c>
      <c r="AI395" s="18" t="s">
        <v>4963</v>
      </c>
      <c r="AJ395" s="18" t="s">
        <v>4964</v>
      </c>
      <c r="AK395" s="18">
        <v>32.130000000000003</v>
      </c>
      <c r="AL395" s="18" t="s">
        <v>95</v>
      </c>
      <c r="AM395" s="18" t="s">
        <v>95</v>
      </c>
      <c r="AN395" s="18" t="s">
        <v>7984</v>
      </c>
      <c r="AO395" s="18" t="s">
        <v>92</v>
      </c>
      <c r="AP395" s="20" t="s">
        <v>880</v>
      </c>
      <c r="AQ395" s="18" t="s">
        <v>881</v>
      </c>
      <c r="AR395" s="18" t="s">
        <v>295</v>
      </c>
      <c r="AS395" s="18">
        <v>1</v>
      </c>
      <c r="AT395" s="18" t="s">
        <v>91</v>
      </c>
      <c r="AU395" s="18" t="s">
        <v>90</v>
      </c>
      <c r="AV395" s="18" t="s">
        <v>8366</v>
      </c>
      <c r="AW395" s="18" t="s">
        <v>8367</v>
      </c>
      <c r="AX395" s="18" t="s">
        <v>83</v>
      </c>
      <c r="AY395" s="18" t="s">
        <v>95</v>
      </c>
      <c r="AZ395" s="18" t="s">
        <v>95</v>
      </c>
      <c r="BA395" s="18" t="s">
        <v>95</v>
      </c>
      <c r="BB395" s="18" t="s">
        <v>95</v>
      </c>
      <c r="BC395" s="18" t="s">
        <v>95</v>
      </c>
      <c r="BD395" s="18">
        <v>86</v>
      </c>
      <c r="BE395" s="18" t="s">
        <v>95</v>
      </c>
      <c r="BF395" s="18" t="s">
        <v>95</v>
      </c>
      <c r="BG395" s="18" t="s">
        <v>95</v>
      </c>
      <c r="BH395" s="18" t="s">
        <v>95</v>
      </c>
      <c r="BI395" s="18">
        <v>12</v>
      </c>
      <c r="BJ395" s="18">
        <v>2022</v>
      </c>
      <c r="BK395" s="18" t="s">
        <v>95</v>
      </c>
      <c r="BL395" s="18" t="s">
        <v>95</v>
      </c>
      <c r="BM395" s="18" t="s">
        <v>95</v>
      </c>
      <c r="BN395" s="18" t="s">
        <v>85</v>
      </c>
      <c r="BO395" s="18" t="s">
        <v>86</v>
      </c>
      <c r="BP395" s="18" t="s">
        <v>90</v>
      </c>
      <c r="BQ395" s="18" t="s">
        <v>8106</v>
      </c>
      <c r="BR395" s="18" t="s">
        <v>92</v>
      </c>
      <c r="BS395" s="18" t="s">
        <v>9828</v>
      </c>
      <c r="BT395" s="18" t="s">
        <v>7989</v>
      </c>
      <c r="BU395" s="18" t="s">
        <v>7990</v>
      </c>
      <c r="BV395" s="18" t="str">
        <f>Terminales[[#This Row],[IMEI]]&amp;"SI"</f>
        <v>865954062572500SI</v>
      </c>
      <c r="BW395" s="18" t="str">
        <f>VLOOKUP(Terminales[[#This Row],[OFICINA_USUARIO]],[1]!Locales[#Data],3,0)</f>
        <v>TIENDA CUENCA CENTRO</v>
      </c>
      <c r="BX395" s="18" t="str">
        <f>VLOOKUP(Terminales[[#This Row],[USUARIO_FINAL]],'[1]Personal Ppto vs Real'!$A:$F,6,0)</f>
        <v>LUNA JACHO ANDREA GABRIELA</v>
      </c>
      <c r="BY395" s="18" t="str">
        <f>Terminales[[#This Row],[MOVIMIENTO]]&amp;" "&amp;IF(Terminales[[#This Row],[TIPO_VENTA]]="DOWNPAYMENT","FINANCIADO",IF(Terminales[[#This Row],[TIPO_VENTA]]="PAYJOY","CONTADO",Terminales[[#This Row],[TIPO_VENTA]]))</f>
        <v>RENOVACION FINANCIADO</v>
      </c>
      <c r="BZ39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FAC FINANCIADO DIRECTO OT</v>
      </c>
      <c r="CA395" s="18">
        <f>DAY(Terminales[[#This Row],[FECHA_FACTURA]])</f>
        <v>14</v>
      </c>
      <c r="CB395" s="65">
        <f>IF(Terminales[[#This Row],[CANTIDAD]] = 1,INDEX([1]!Comisiones[#Data],MATCH("Terminales",[1]!Comisiones[Producto],0),MATCH(Terminales[[#This Row],[TIPO ALTA COMISIONES]],[1]!Comisiones[#Headers],0))*Terminales[[#This Row],[MONTO]],0)</f>
        <v>42.857143000000008</v>
      </c>
      <c r="CC395" s="65">
        <f>IFERROR(IF(AND(Terminales[[#This Row],[CANTIDAD]] = 1,Terminales[[#This Row],[MOVIMIENTO]] = "RENOVACION"),Terminales[[#This Row],[TARIFA_BASICA]]*0.5,),)</f>
        <v>16.065000000000001</v>
      </c>
      <c r="CD395" s="65">
        <f>IF('[1]Resumen TM'!$AW$20 &lt; 0.4,0,Terminales[[#This Row],[MONTO]]*0.02)</f>
        <v>8.5714286000000008</v>
      </c>
      <c r="CE395" s="66">
        <f>Terminales[[#This Row],[COMISIONES TERMINALES]]+Terminales[[#This Row],[COMISIONES RENOVACIONES]]+Terminales[[#This Row],[COMISIONES BONO]]</f>
        <v>67.49357160000001</v>
      </c>
      <c r="CF395" s="67">
        <f>(Terminales[[#This Row],[COMISIONES TERMINALES]]*VLOOKUP(Terminales[[#This Row],[LOCALES]],[1]!Calendario[#Data],3,0))/VLOOKUP(Terminales[[#This Row],[LOCALES]],[1]!Calendario[#Data],2,0)</f>
        <v>69.458128310344847</v>
      </c>
      <c r="CG395" s="67">
        <f>(Terminales[[#This Row],[COMISIONES RENOVACIONES]]*VLOOKUP(Terminales[[#This Row],[LOCALES]],[1]!Calendario[#Data],3,0))/VLOOKUP(Terminales[[#This Row],[LOCALES]],[1]!Calendario[#Data],2,0)</f>
        <v>26.036379310344831</v>
      </c>
      <c r="CH395" s="67">
        <f>(Terminales[[#This Row],[COMISIONES BONO]]*VLOOKUP(Terminales[[#This Row],[LOCALES]],[1]!Calendario[#Data],3,0))/VLOOKUP(Terminales[[#This Row],[LOCALES]],[1]!Calendario[#Data],2,0)</f>
        <v>13.891625662068968</v>
      </c>
      <c r="CI395" s="67">
        <f>Terminales[[#This Row],[PROY. COM. TERMINALES]]+Terminales[[#This Row],[PROY. COM. RENOV.]]+Terminales[[#This Row],[PROY. COM. 2%]]</f>
        <v>109.38613328275864</v>
      </c>
    </row>
    <row r="396" spans="1:87" x14ac:dyDescent="0.25">
      <c r="A396" s="68">
        <v>44926</v>
      </c>
      <c r="B396" s="68">
        <v>44896</v>
      </c>
      <c r="C396" s="18" t="s">
        <v>96</v>
      </c>
      <c r="D396" s="18" t="s">
        <v>96</v>
      </c>
      <c r="E396" s="18" t="s">
        <v>96</v>
      </c>
      <c r="F396" s="18" t="s">
        <v>95</v>
      </c>
      <c r="G396" s="18" t="s">
        <v>292</v>
      </c>
      <c r="H396" s="18" t="s">
        <v>494</v>
      </c>
      <c r="I396" s="18" t="s">
        <v>10495</v>
      </c>
      <c r="J396" s="18" t="s">
        <v>95</v>
      </c>
      <c r="K396" s="18" t="s">
        <v>7970</v>
      </c>
      <c r="L396" s="18" t="s">
        <v>10496</v>
      </c>
      <c r="M396" s="18" t="s">
        <v>10497</v>
      </c>
      <c r="N396" s="18" t="s">
        <v>10498</v>
      </c>
      <c r="O396" s="18" t="s">
        <v>4380</v>
      </c>
      <c r="P396" s="18" t="s">
        <v>10499</v>
      </c>
      <c r="Q396" s="18" t="s">
        <v>7975</v>
      </c>
      <c r="R396" s="18" t="s">
        <v>7976</v>
      </c>
      <c r="S396" s="18" t="s">
        <v>7994</v>
      </c>
      <c r="T396" s="18" t="s">
        <v>7995</v>
      </c>
      <c r="U396" s="18" t="s">
        <v>7996</v>
      </c>
      <c r="V396" s="18" t="s">
        <v>6963</v>
      </c>
      <c r="W396" s="18" t="s">
        <v>95</v>
      </c>
      <c r="X396" s="18" t="s">
        <v>95</v>
      </c>
      <c r="Y396" s="18" t="s">
        <v>7980</v>
      </c>
      <c r="Z396" s="18" t="s">
        <v>6996</v>
      </c>
      <c r="AA396" s="69">
        <v>1</v>
      </c>
      <c r="AB396" s="18">
        <v>116.07143000000001</v>
      </c>
      <c r="AC396" s="18" t="s">
        <v>10500</v>
      </c>
      <c r="AD396" s="18" t="s">
        <v>96</v>
      </c>
      <c r="AE396" s="18">
        <v>102</v>
      </c>
      <c r="AF396" s="18" t="s">
        <v>7983</v>
      </c>
      <c r="AG396" s="18">
        <v>102</v>
      </c>
      <c r="AH396" s="18" t="s">
        <v>95</v>
      </c>
      <c r="AI396" s="18" t="s">
        <v>95</v>
      </c>
      <c r="AJ396" s="18" t="s">
        <v>95</v>
      </c>
      <c r="AK396" s="18" t="s">
        <v>95</v>
      </c>
      <c r="AL396" s="18" t="s">
        <v>95</v>
      </c>
      <c r="AM396" s="18" t="s">
        <v>95</v>
      </c>
      <c r="AN396" s="18" t="s">
        <v>7984</v>
      </c>
      <c r="AO396" s="18" t="s">
        <v>92</v>
      </c>
      <c r="AP396" s="18" t="s">
        <v>1020</v>
      </c>
      <c r="AQ396" s="18" t="s">
        <v>1021</v>
      </c>
      <c r="AR396" s="18" t="s">
        <v>10501</v>
      </c>
      <c r="AS396" s="18">
        <v>1</v>
      </c>
      <c r="AT396" s="18" t="s">
        <v>91</v>
      </c>
      <c r="AU396" s="18" t="s">
        <v>90</v>
      </c>
      <c r="AV396" s="18" t="s">
        <v>7998</v>
      </c>
      <c r="AW396" s="18" t="s">
        <v>7999</v>
      </c>
      <c r="AX396" s="18" t="s">
        <v>83</v>
      </c>
      <c r="AY396" s="18" t="s">
        <v>95</v>
      </c>
      <c r="AZ396" s="18" t="s">
        <v>95</v>
      </c>
      <c r="BA396" s="18" t="s">
        <v>95</v>
      </c>
      <c r="BB396" s="18" t="s">
        <v>95</v>
      </c>
      <c r="BC396" s="18" t="s">
        <v>95</v>
      </c>
      <c r="BD396" s="18" t="s">
        <v>95</v>
      </c>
      <c r="BE396" s="18" t="s">
        <v>95</v>
      </c>
      <c r="BF396" s="18" t="s">
        <v>95</v>
      </c>
      <c r="BG396" s="18" t="s">
        <v>95</v>
      </c>
      <c r="BH396" s="18" t="s">
        <v>95</v>
      </c>
      <c r="BI396" s="18">
        <v>12</v>
      </c>
      <c r="BJ396" s="18">
        <v>2022</v>
      </c>
      <c r="BK396" s="18" t="s">
        <v>95</v>
      </c>
      <c r="BL396" s="18" t="s">
        <v>95</v>
      </c>
      <c r="BM396" s="18" t="s">
        <v>95</v>
      </c>
      <c r="BN396" s="18" t="s">
        <v>85</v>
      </c>
      <c r="BO396" s="18" t="s">
        <v>86</v>
      </c>
      <c r="BP396" s="18" t="s">
        <v>90</v>
      </c>
      <c r="BQ396" s="18" t="s">
        <v>8106</v>
      </c>
      <c r="BR396" s="18" t="s">
        <v>92</v>
      </c>
      <c r="BS396" s="18" t="s">
        <v>8074</v>
      </c>
      <c r="BT396" s="18" t="s">
        <v>10502</v>
      </c>
      <c r="BU396" s="18" t="s">
        <v>496</v>
      </c>
      <c r="BV396" s="18" t="str">
        <f>Terminales[[#This Row],[IMEI]]&amp;"SI"</f>
        <v>357321213171886SI</v>
      </c>
      <c r="BW396" s="18" t="str">
        <f>VLOOKUP(Terminales[[#This Row],[OFICINA_USUARIO]],[1]!Locales[#Data],3,0)</f>
        <v>TIENDA CUENCA CENTRO</v>
      </c>
      <c r="BX396" s="18" t="str">
        <f>VLOOKUP(Terminales[[#This Row],[USUARIO_FINAL]],'[1]Personal Ppto vs Real'!$A:$F,6,0)</f>
        <v>GONZALES ALVARRACIN PAOLA YESSENIA</v>
      </c>
      <c r="BY39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9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96" s="18">
        <f>DAY(Terminales[[#This Row],[FECHA_FACTURA]])</f>
        <v>1</v>
      </c>
      <c r="CB396" s="65">
        <f>IF(Terminales[[#This Row],[CANTIDAD]] = 1,INDEX([1]!Comisiones[#Data],MATCH("Terminales",[1]!Comisiones[Producto],0),MATCH(Terminales[[#This Row],[TIPO ALTA COMISIONES]],[1]!Comisiones[#Headers],0))*Terminales[[#This Row],[MONTO]],0)</f>
        <v>11.607143000000001</v>
      </c>
      <c r="CC396" s="65">
        <f>IFERROR(IF(AND(Terminales[[#This Row],[CANTIDAD]] = 1,Terminales[[#This Row],[MOVIMIENTO]] = "RENOVACION"),Terminales[[#This Row],[TARIFA_BASICA]]*0.5,),)</f>
        <v>0</v>
      </c>
      <c r="CD396" s="65">
        <f>IF('[1]Resumen TM'!$AW$20 &lt; 0.4,0,Terminales[[#This Row],[MONTO]]*0.02)</f>
        <v>2.3214286000000004</v>
      </c>
      <c r="CE396" s="66">
        <f>Terminales[[#This Row],[COMISIONES TERMINALES]]+Terminales[[#This Row],[COMISIONES RENOVACIONES]]+Terminales[[#This Row],[COMISIONES BONO]]</f>
        <v>13.928571600000001</v>
      </c>
      <c r="CF396" s="67">
        <f>(Terminales[[#This Row],[COMISIONES TERMINALES]]*VLOOKUP(Terminales[[#This Row],[LOCALES]],[1]!Calendario[#Data],3,0))/VLOOKUP(Terminales[[#This Row],[LOCALES]],[1]!Calendario[#Data],2,0)</f>
        <v>18.8115765862069</v>
      </c>
      <c r="CG396" s="67">
        <f>(Terminales[[#This Row],[COMISIONES RENOVACIONES]]*VLOOKUP(Terminales[[#This Row],[LOCALES]],[1]!Calendario[#Data],3,0))/VLOOKUP(Terminales[[#This Row],[LOCALES]],[1]!Calendario[#Data],2,0)</f>
        <v>0</v>
      </c>
      <c r="CH396" s="67">
        <f>(Terminales[[#This Row],[COMISIONES BONO]]*VLOOKUP(Terminales[[#This Row],[LOCALES]],[1]!Calendario[#Data],3,0))/VLOOKUP(Terminales[[#This Row],[LOCALES]],[1]!Calendario[#Data],2,0)</f>
        <v>3.7623153172413799</v>
      </c>
      <c r="CI396" s="67">
        <f>Terminales[[#This Row],[PROY. COM. TERMINALES]]+Terminales[[#This Row],[PROY. COM. RENOV.]]+Terminales[[#This Row],[PROY. COM. 2%]]</f>
        <v>22.573891903448281</v>
      </c>
    </row>
    <row r="397" spans="1:87" x14ac:dyDescent="0.25">
      <c r="A397" s="68">
        <v>44926</v>
      </c>
      <c r="B397" s="68">
        <v>44896</v>
      </c>
      <c r="C397" s="18" t="s">
        <v>96</v>
      </c>
      <c r="D397" s="18" t="s">
        <v>96</v>
      </c>
      <c r="E397" s="18" t="s">
        <v>96</v>
      </c>
      <c r="F397" s="18" t="s">
        <v>95</v>
      </c>
      <c r="G397" s="18" t="s">
        <v>292</v>
      </c>
      <c r="H397" s="18" t="s">
        <v>494</v>
      </c>
      <c r="I397" s="18" t="s">
        <v>10503</v>
      </c>
      <c r="J397" s="18" t="s">
        <v>95</v>
      </c>
      <c r="K397" s="18" t="s">
        <v>7970</v>
      </c>
      <c r="L397" s="18" t="s">
        <v>10496</v>
      </c>
      <c r="M397" s="18" t="s">
        <v>10497</v>
      </c>
      <c r="N397" s="18" t="s">
        <v>10498</v>
      </c>
      <c r="O397" s="18" t="s">
        <v>8127</v>
      </c>
      <c r="P397" s="18" t="s">
        <v>10504</v>
      </c>
      <c r="Q397" s="18" t="s">
        <v>7975</v>
      </c>
      <c r="R397" s="18" t="s">
        <v>7976</v>
      </c>
      <c r="S397" s="18" t="s">
        <v>8045</v>
      </c>
      <c r="T397" s="18" t="s">
        <v>8129</v>
      </c>
      <c r="U397" s="18" t="s">
        <v>8012</v>
      </c>
      <c r="V397" s="18" t="s">
        <v>6963</v>
      </c>
      <c r="W397" s="18" t="s">
        <v>95</v>
      </c>
      <c r="X397" s="18" t="s">
        <v>95</v>
      </c>
      <c r="Y397" s="18" t="s">
        <v>7980</v>
      </c>
      <c r="Z397" s="18" t="s">
        <v>6996</v>
      </c>
      <c r="AA397" s="69">
        <v>1</v>
      </c>
      <c r="AB397" s="18">
        <v>225</v>
      </c>
      <c r="AC397" s="18" t="s">
        <v>10505</v>
      </c>
      <c r="AD397" s="18" t="s">
        <v>96</v>
      </c>
      <c r="AE397" s="18">
        <v>199.5</v>
      </c>
      <c r="AF397" s="18" t="s">
        <v>7983</v>
      </c>
      <c r="AG397" s="18">
        <v>199.5</v>
      </c>
      <c r="AH397" s="18" t="s">
        <v>95</v>
      </c>
      <c r="AI397" s="18" t="s">
        <v>95</v>
      </c>
      <c r="AJ397" s="18" t="s">
        <v>95</v>
      </c>
      <c r="AK397" s="18" t="s">
        <v>95</v>
      </c>
      <c r="AL397" s="18" t="s">
        <v>95</v>
      </c>
      <c r="AM397" s="18" t="s">
        <v>95</v>
      </c>
      <c r="AN397" s="18" t="s">
        <v>7984</v>
      </c>
      <c r="AO397" s="18" t="s">
        <v>92</v>
      </c>
      <c r="AP397" s="18" t="s">
        <v>1043</v>
      </c>
      <c r="AQ397" s="18" t="s">
        <v>1044</v>
      </c>
      <c r="AR397" s="18" t="s">
        <v>10501</v>
      </c>
      <c r="AS397" s="18">
        <v>1</v>
      </c>
      <c r="AT397" s="18" t="s">
        <v>122</v>
      </c>
      <c r="AU397" s="18" t="s">
        <v>90</v>
      </c>
      <c r="AV397" s="18" t="s">
        <v>8131</v>
      </c>
      <c r="AW397" s="18" t="s">
        <v>8132</v>
      </c>
      <c r="AX397" s="18" t="s">
        <v>83</v>
      </c>
      <c r="AY397" s="18" t="s">
        <v>95</v>
      </c>
      <c r="AZ397" s="18" t="s">
        <v>95</v>
      </c>
      <c r="BA397" s="18" t="s">
        <v>95</v>
      </c>
      <c r="BB397" s="18" t="s">
        <v>95</v>
      </c>
      <c r="BC397" s="18" t="s">
        <v>95</v>
      </c>
      <c r="BD397" s="18" t="s">
        <v>95</v>
      </c>
      <c r="BE397" s="18" t="s">
        <v>95</v>
      </c>
      <c r="BF397" s="18" t="s">
        <v>95</v>
      </c>
      <c r="BG397" s="18" t="s">
        <v>95</v>
      </c>
      <c r="BH397" s="18" t="s">
        <v>95</v>
      </c>
      <c r="BI397" s="18">
        <v>12</v>
      </c>
      <c r="BJ397" s="18">
        <v>2022</v>
      </c>
      <c r="BK397" s="18" t="s">
        <v>95</v>
      </c>
      <c r="BL397" s="18" t="s">
        <v>95</v>
      </c>
      <c r="BM397" s="18" t="s">
        <v>95</v>
      </c>
      <c r="BN397" s="18" t="s">
        <v>85</v>
      </c>
      <c r="BO397" s="18" t="s">
        <v>86</v>
      </c>
      <c r="BP397" s="18" t="s">
        <v>90</v>
      </c>
      <c r="BQ397" s="18" t="s">
        <v>8050</v>
      </c>
      <c r="BR397" s="18" t="s">
        <v>92</v>
      </c>
      <c r="BS397" s="18" t="s">
        <v>8074</v>
      </c>
      <c r="BT397" s="18" t="s">
        <v>10502</v>
      </c>
      <c r="BU397" s="18" t="s">
        <v>496</v>
      </c>
      <c r="BV397" s="18" t="str">
        <f>Terminales[[#This Row],[IMEI]]&amp;"SI"</f>
        <v>352177399166909SI</v>
      </c>
      <c r="BW397" s="18" t="str">
        <f>VLOOKUP(Terminales[[#This Row],[OFICINA_USUARIO]],[1]!Locales[#Data],3,0)</f>
        <v>TIENDA MACHALA</v>
      </c>
      <c r="BX397" s="18" t="str">
        <f>VLOOKUP(Terminales[[#This Row],[USUARIO_FINAL]],'[1]Personal Ppto vs Real'!$A:$F,6,0)</f>
        <v>GONZAGA YUPANGUI LIZBETH KATHERINE</v>
      </c>
      <c r="BY39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9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97" s="18">
        <f>DAY(Terminales[[#This Row],[FECHA_FACTURA]])</f>
        <v>1</v>
      </c>
      <c r="CB397" s="65">
        <f>IF(Terminales[[#This Row],[CANTIDAD]] = 1,INDEX([1]!Comisiones[#Data],MATCH("Terminales",[1]!Comisiones[Producto],0),MATCH(Terminales[[#This Row],[TIPO ALTA COMISIONES]],[1]!Comisiones[#Headers],0))*Terminales[[#This Row],[MONTO]],0)</f>
        <v>22.5</v>
      </c>
      <c r="CC397" s="65">
        <f>IFERROR(IF(AND(Terminales[[#This Row],[CANTIDAD]] = 1,Terminales[[#This Row],[MOVIMIENTO]] = "RENOVACION"),Terminales[[#This Row],[TARIFA_BASICA]]*0.5,),)</f>
        <v>0</v>
      </c>
      <c r="CD397" s="65">
        <f>IF('[1]Resumen TM'!$AW$20 &lt; 0.4,0,Terminales[[#This Row],[MONTO]]*0.02)</f>
        <v>4.5</v>
      </c>
      <c r="CE397" s="66">
        <f>Terminales[[#This Row],[COMISIONES TERMINALES]]+Terminales[[#This Row],[COMISIONES RENOVACIONES]]+Terminales[[#This Row],[COMISIONES BONO]]</f>
        <v>27</v>
      </c>
      <c r="CF397" s="67">
        <f>(Terminales[[#This Row],[COMISIONES TERMINALES]]*VLOOKUP(Terminales[[#This Row],[LOCALES]],[1]!Calendario[#Data],3,0))/VLOOKUP(Terminales[[#This Row],[LOCALES]],[1]!Calendario[#Data],2,0)</f>
        <v>36.46551724137931</v>
      </c>
      <c r="CG397" s="67">
        <f>(Terminales[[#This Row],[COMISIONES RENOVACIONES]]*VLOOKUP(Terminales[[#This Row],[LOCALES]],[1]!Calendario[#Data],3,0))/VLOOKUP(Terminales[[#This Row],[LOCALES]],[1]!Calendario[#Data],2,0)</f>
        <v>0</v>
      </c>
      <c r="CH397" s="67">
        <f>(Terminales[[#This Row],[COMISIONES BONO]]*VLOOKUP(Terminales[[#This Row],[LOCALES]],[1]!Calendario[#Data],3,0))/VLOOKUP(Terminales[[#This Row],[LOCALES]],[1]!Calendario[#Data],2,0)</f>
        <v>7.2931034482758621</v>
      </c>
      <c r="CI397" s="67">
        <f>Terminales[[#This Row],[PROY. COM. TERMINALES]]+Terminales[[#This Row],[PROY. COM. RENOV.]]+Terminales[[#This Row],[PROY. COM. 2%]]</f>
        <v>43.758620689655174</v>
      </c>
    </row>
    <row r="398" spans="1:87" x14ac:dyDescent="0.25">
      <c r="A398" s="68">
        <v>44926</v>
      </c>
      <c r="B398" s="68">
        <v>44896</v>
      </c>
      <c r="C398" s="18" t="s">
        <v>96</v>
      </c>
      <c r="D398" s="18" t="s">
        <v>96</v>
      </c>
      <c r="E398" s="18" t="s">
        <v>96</v>
      </c>
      <c r="F398" s="18" t="s">
        <v>95</v>
      </c>
      <c r="G398" s="18" t="s">
        <v>292</v>
      </c>
      <c r="H398" s="18" t="s">
        <v>494</v>
      </c>
      <c r="I398" s="18" t="s">
        <v>10506</v>
      </c>
      <c r="J398" s="18" t="s">
        <v>95</v>
      </c>
      <c r="K398" s="18" t="s">
        <v>7970</v>
      </c>
      <c r="L398" s="18" t="s">
        <v>10496</v>
      </c>
      <c r="M398" s="18" t="s">
        <v>10497</v>
      </c>
      <c r="N398" s="18" t="s">
        <v>10498</v>
      </c>
      <c r="O398" s="18" t="s">
        <v>9096</v>
      </c>
      <c r="P398" s="18" t="s">
        <v>10507</v>
      </c>
      <c r="Q398" s="18" t="s">
        <v>7975</v>
      </c>
      <c r="R398" s="18" t="s">
        <v>7976</v>
      </c>
      <c r="S398" s="18" t="s">
        <v>8045</v>
      </c>
      <c r="T398" s="18" t="s">
        <v>8129</v>
      </c>
      <c r="U398" s="18" t="s">
        <v>8012</v>
      </c>
      <c r="V398" s="18" t="s">
        <v>6963</v>
      </c>
      <c r="W398" s="18" t="s">
        <v>95</v>
      </c>
      <c r="X398" s="18" t="s">
        <v>95</v>
      </c>
      <c r="Y398" s="18" t="s">
        <v>7980</v>
      </c>
      <c r="Z398" s="18" t="s">
        <v>6996</v>
      </c>
      <c r="AA398" s="69">
        <v>1</v>
      </c>
      <c r="AB398" s="18">
        <v>225</v>
      </c>
      <c r="AC398" s="18" t="s">
        <v>10508</v>
      </c>
      <c r="AD398" s="18" t="s">
        <v>96</v>
      </c>
      <c r="AE398" s="18">
        <v>194.5</v>
      </c>
      <c r="AF398" s="18" t="s">
        <v>7983</v>
      </c>
      <c r="AG398" s="18">
        <v>194.5</v>
      </c>
      <c r="AH398" s="18" t="s">
        <v>95</v>
      </c>
      <c r="AI398" s="18" t="s">
        <v>95</v>
      </c>
      <c r="AJ398" s="18" t="s">
        <v>95</v>
      </c>
      <c r="AK398" s="18" t="s">
        <v>95</v>
      </c>
      <c r="AL398" s="18" t="s">
        <v>95</v>
      </c>
      <c r="AM398" s="18" t="s">
        <v>95</v>
      </c>
      <c r="AN398" s="18" t="s">
        <v>7984</v>
      </c>
      <c r="AO398" s="18" t="s">
        <v>92</v>
      </c>
      <c r="AP398" s="18" t="s">
        <v>1043</v>
      </c>
      <c r="AQ398" s="18" t="s">
        <v>1044</v>
      </c>
      <c r="AR398" s="18" t="s">
        <v>10501</v>
      </c>
      <c r="AS398" s="18">
        <v>1</v>
      </c>
      <c r="AT398" s="18" t="s">
        <v>122</v>
      </c>
      <c r="AU398" s="18" t="s">
        <v>90</v>
      </c>
      <c r="AV398" s="18" t="s">
        <v>9099</v>
      </c>
      <c r="AW398" s="18" t="s">
        <v>9100</v>
      </c>
      <c r="AX398" s="18" t="s">
        <v>83</v>
      </c>
      <c r="AY398" s="18" t="s">
        <v>95</v>
      </c>
      <c r="AZ398" s="18" t="s">
        <v>95</v>
      </c>
      <c r="BA398" s="18" t="s">
        <v>95</v>
      </c>
      <c r="BB398" s="18" t="s">
        <v>95</v>
      </c>
      <c r="BC398" s="18" t="s">
        <v>95</v>
      </c>
      <c r="BD398" s="18" t="s">
        <v>95</v>
      </c>
      <c r="BE398" s="18" t="s">
        <v>95</v>
      </c>
      <c r="BF398" s="18" t="s">
        <v>95</v>
      </c>
      <c r="BG398" s="18" t="s">
        <v>95</v>
      </c>
      <c r="BH398" s="18" t="s">
        <v>95</v>
      </c>
      <c r="BI398" s="18">
        <v>12</v>
      </c>
      <c r="BJ398" s="18">
        <v>2022</v>
      </c>
      <c r="BK398" s="18" t="s">
        <v>95</v>
      </c>
      <c r="BL398" s="18" t="s">
        <v>95</v>
      </c>
      <c r="BM398" s="18" t="s">
        <v>95</v>
      </c>
      <c r="BN398" s="18" t="s">
        <v>85</v>
      </c>
      <c r="BO398" s="18" t="s">
        <v>86</v>
      </c>
      <c r="BP398" s="18" t="s">
        <v>90</v>
      </c>
      <c r="BQ398" s="18" t="s">
        <v>8050</v>
      </c>
      <c r="BR398" s="18" t="s">
        <v>92</v>
      </c>
      <c r="BS398" s="18" t="s">
        <v>8074</v>
      </c>
      <c r="BT398" s="18" t="s">
        <v>10502</v>
      </c>
      <c r="BU398" s="18" t="s">
        <v>496</v>
      </c>
      <c r="BV398" s="18" t="str">
        <f>Terminales[[#This Row],[IMEI]]&amp;"SI"</f>
        <v>350068480541484SI</v>
      </c>
      <c r="BW398" s="18" t="str">
        <f>VLOOKUP(Terminales[[#This Row],[OFICINA_USUARIO]],[1]!Locales[#Data],3,0)</f>
        <v>TIENDA MACHALA</v>
      </c>
      <c r="BX398" s="18" t="str">
        <f>VLOOKUP(Terminales[[#This Row],[USUARIO_FINAL]],'[1]Personal Ppto vs Real'!$A:$F,6,0)</f>
        <v>GONZAGA YUPANGUI LIZBETH KATHERINE</v>
      </c>
      <c r="BY398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9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98" s="18">
        <f>DAY(Terminales[[#This Row],[FECHA_FACTURA]])</f>
        <v>1</v>
      </c>
      <c r="CB398" s="65">
        <f>IF(Terminales[[#This Row],[CANTIDAD]] = 1,INDEX([1]!Comisiones[#Data],MATCH("Terminales",[1]!Comisiones[Producto],0),MATCH(Terminales[[#This Row],[TIPO ALTA COMISIONES]],[1]!Comisiones[#Headers],0))*Terminales[[#This Row],[MONTO]],0)</f>
        <v>22.5</v>
      </c>
      <c r="CC398" s="65">
        <f>IFERROR(IF(AND(Terminales[[#This Row],[CANTIDAD]] = 1,Terminales[[#This Row],[MOVIMIENTO]] = "RENOVACION"),Terminales[[#This Row],[TARIFA_BASICA]]*0.5,),)</f>
        <v>0</v>
      </c>
      <c r="CD398" s="65">
        <f>IF('[1]Resumen TM'!$AW$20 &lt; 0.4,0,Terminales[[#This Row],[MONTO]]*0.02)</f>
        <v>4.5</v>
      </c>
      <c r="CE398" s="66">
        <f>Terminales[[#This Row],[COMISIONES TERMINALES]]+Terminales[[#This Row],[COMISIONES RENOVACIONES]]+Terminales[[#This Row],[COMISIONES BONO]]</f>
        <v>27</v>
      </c>
      <c r="CF398" s="67">
        <f>(Terminales[[#This Row],[COMISIONES TERMINALES]]*VLOOKUP(Terminales[[#This Row],[LOCALES]],[1]!Calendario[#Data],3,0))/VLOOKUP(Terminales[[#This Row],[LOCALES]],[1]!Calendario[#Data],2,0)</f>
        <v>36.46551724137931</v>
      </c>
      <c r="CG398" s="67">
        <f>(Terminales[[#This Row],[COMISIONES RENOVACIONES]]*VLOOKUP(Terminales[[#This Row],[LOCALES]],[1]!Calendario[#Data],3,0))/VLOOKUP(Terminales[[#This Row],[LOCALES]],[1]!Calendario[#Data],2,0)</f>
        <v>0</v>
      </c>
      <c r="CH398" s="67">
        <f>(Terminales[[#This Row],[COMISIONES BONO]]*VLOOKUP(Terminales[[#This Row],[LOCALES]],[1]!Calendario[#Data],3,0))/VLOOKUP(Terminales[[#This Row],[LOCALES]],[1]!Calendario[#Data],2,0)</f>
        <v>7.2931034482758621</v>
      </c>
      <c r="CI398" s="67">
        <f>Terminales[[#This Row],[PROY. COM. TERMINALES]]+Terminales[[#This Row],[PROY. COM. RENOV.]]+Terminales[[#This Row],[PROY. COM. 2%]]</f>
        <v>43.758620689655174</v>
      </c>
    </row>
    <row r="399" spans="1:87" x14ac:dyDescent="0.25">
      <c r="A399" s="68">
        <v>44926</v>
      </c>
      <c r="B399" s="68">
        <v>44896</v>
      </c>
      <c r="C399" s="18" t="s">
        <v>96</v>
      </c>
      <c r="D399" s="18" t="s">
        <v>96</v>
      </c>
      <c r="E399" s="18" t="s">
        <v>96</v>
      </c>
      <c r="F399" s="18" t="s">
        <v>95</v>
      </c>
      <c r="G399" s="18" t="s">
        <v>292</v>
      </c>
      <c r="H399" s="18" t="s">
        <v>494</v>
      </c>
      <c r="I399" s="18" t="s">
        <v>10509</v>
      </c>
      <c r="J399" s="18" t="s">
        <v>95</v>
      </c>
      <c r="K399" s="18" t="s">
        <v>7970</v>
      </c>
      <c r="L399" s="18" t="s">
        <v>10496</v>
      </c>
      <c r="M399" s="18" t="s">
        <v>10497</v>
      </c>
      <c r="N399" s="18" t="s">
        <v>10498</v>
      </c>
      <c r="O399" s="18" t="s">
        <v>3669</v>
      </c>
      <c r="P399" s="18" t="s">
        <v>10510</v>
      </c>
      <c r="Q399" s="18" t="s">
        <v>7975</v>
      </c>
      <c r="R399" s="18" t="s">
        <v>7976</v>
      </c>
      <c r="S399" s="18" t="s">
        <v>8045</v>
      </c>
      <c r="T399" s="18" t="s">
        <v>8046</v>
      </c>
      <c r="U399" s="18" t="s">
        <v>7996</v>
      </c>
      <c r="V399" s="18" t="s">
        <v>6963</v>
      </c>
      <c r="W399" s="18" t="s">
        <v>95</v>
      </c>
      <c r="X399" s="18" t="s">
        <v>95</v>
      </c>
      <c r="Y399" s="18" t="s">
        <v>7980</v>
      </c>
      <c r="Z399" s="18" t="s">
        <v>6996</v>
      </c>
      <c r="AA399" s="69">
        <v>1</v>
      </c>
      <c r="AB399" s="18">
        <v>144.64286000000001</v>
      </c>
      <c r="AC399" s="18" t="s">
        <v>10511</v>
      </c>
      <c r="AD399" s="18" t="s">
        <v>96</v>
      </c>
      <c r="AE399" s="18">
        <v>124.5</v>
      </c>
      <c r="AF399" s="18" t="s">
        <v>7983</v>
      </c>
      <c r="AG399" s="18">
        <v>124.5</v>
      </c>
      <c r="AH399" s="18" t="s">
        <v>95</v>
      </c>
      <c r="AI399" s="18" t="s">
        <v>95</v>
      </c>
      <c r="AJ399" s="18" t="s">
        <v>95</v>
      </c>
      <c r="AK399" s="18" t="s">
        <v>95</v>
      </c>
      <c r="AL399" s="18" t="s">
        <v>95</v>
      </c>
      <c r="AM399" s="18" t="s">
        <v>95</v>
      </c>
      <c r="AN399" s="18" t="s">
        <v>7984</v>
      </c>
      <c r="AO399" s="18" t="s">
        <v>139</v>
      </c>
      <c r="AP399" s="18" t="s">
        <v>926</v>
      </c>
      <c r="AQ399" s="18" t="s">
        <v>927</v>
      </c>
      <c r="AR399" s="18" t="s">
        <v>10501</v>
      </c>
      <c r="AS399" s="18">
        <v>1</v>
      </c>
      <c r="AT399" s="18" t="s">
        <v>177</v>
      </c>
      <c r="AU399" s="18" t="s">
        <v>90</v>
      </c>
      <c r="AV399" s="18" t="s">
        <v>8048</v>
      </c>
      <c r="AW399" s="18" t="s">
        <v>8049</v>
      </c>
      <c r="AX399" s="18" t="s">
        <v>83</v>
      </c>
      <c r="AY399" s="18" t="s">
        <v>95</v>
      </c>
      <c r="AZ399" s="18" t="s">
        <v>95</v>
      </c>
      <c r="BA399" s="18" t="s">
        <v>95</v>
      </c>
      <c r="BB399" s="18" t="s">
        <v>95</v>
      </c>
      <c r="BC399" s="18" t="s">
        <v>95</v>
      </c>
      <c r="BD399" s="18" t="s">
        <v>95</v>
      </c>
      <c r="BE399" s="18" t="s">
        <v>95</v>
      </c>
      <c r="BF399" s="18" t="s">
        <v>95</v>
      </c>
      <c r="BG399" s="18" t="s">
        <v>95</v>
      </c>
      <c r="BH399" s="18" t="s">
        <v>95</v>
      </c>
      <c r="BI399" s="18">
        <v>12</v>
      </c>
      <c r="BJ399" s="18">
        <v>2022</v>
      </c>
      <c r="BK399" s="18" t="s">
        <v>95</v>
      </c>
      <c r="BL399" s="18" t="s">
        <v>95</v>
      </c>
      <c r="BM399" s="18" t="s">
        <v>95</v>
      </c>
      <c r="BN399" s="18" t="s">
        <v>85</v>
      </c>
      <c r="BO399" s="18" t="s">
        <v>86</v>
      </c>
      <c r="BP399" s="18" t="s">
        <v>90</v>
      </c>
      <c r="BQ399" s="18" t="s">
        <v>8002</v>
      </c>
      <c r="BR399" s="18" t="s">
        <v>139</v>
      </c>
      <c r="BS399" s="18" t="s">
        <v>8074</v>
      </c>
      <c r="BT399" s="18" t="s">
        <v>10502</v>
      </c>
      <c r="BU399" s="18" t="s">
        <v>496</v>
      </c>
      <c r="BV399" s="18" t="str">
        <f>Terminales[[#This Row],[IMEI]]&amp;"SI"</f>
        <v>351084952901329SI</v>
      </c>
      <c r="BW399" s="18" t="str">
        <f>VLOOKUP(Terminales[[#This Row],[OFICINA_USUARIO]],[1]!Locales[#Data],3,0)</f>
        <v>TIENDA RECREO</v>
      </c>
      <c r="BX399" s="18" t="str">
        <f>VLOOKUP(Terminales[[#This Row],[USUARIO_FINAL]],'[1]Personal Ppto vs Real'!$A:$F,6,0)</f>
        <v>CABEZAS LOPEZ ROBERTO ALEJANDRO</v>
      </c>
      <c r="BY39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39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399" s="18">
        <f>DAY(Terminales[[#This Row],[FECHA_FACTURA]])</f>
        <v>1</v>
      </c>
      <c r="CB399" s="65">
        <f>IF(Terminales[[#This Row],[CANTIDAD]] = 1,INDEX([1]!Comisiones[#Data],MATCH("Terminales",[1]!Comisiones[Producto],0),MATCH(Terminales[[#This Row],[TIPO ALTA COMISIONES]],[1]!Comisiones[#Headers],0))*Terminales[[#This Row],[MONTO]],0)</f>
        <v>14.464286000000001</v>
      </c>
      <c r="CC399" s="65">
        <f>IFERROR(IF(AND(Terminales[[#This Row],[CANTIDAD]] = 1,Terminales[[#This Row],[MOVIMIENTO]] = "RENOVACION"),Terminales[[#This Row],[TARIFA_BASICA]]*0.5,),)</f>
        <v>0</v>
      </c>
      <c r="CD399" s="65">
        <f>IF('[1]Resumen TM'!$AW$20 &lt; 0.4,0,Terminales[[#This Row],[MONTO]]*0.02)</f>
        <v>2.8928572000000004</v>
      </c>
      <c r="CE399" s="66">
        <f>Terminales[[#This Row],[COMISIONES TERMINALES]]+Terminales[[#This Row],[COMISIONES RENOVACIONES]]+Terminales[[#This Row],[COMISIONES BONO]]</f>
        <v>17.357143200000003</v>
      </c>
      <c r="CF399" s="67">
        <f>(Terminales[[#This Row],[COMISIONES TERMINALES]]*VLOOKUP(Terminales[[#This Row],[LOCALES]],[1]!Calendario[#Data],3,0))/VLOOKUP(Terminales[[#This Row],[LOCALES]],[1]!Calendario[#Data],2,0)</f>
        <v>23.796083419354844</v>
      </c>
      <c r="CG399" s="67">
        <f>(Terminales[[#This Row],[COMISIONES RENOVACIONES]]*VLOOKUP(Terminales[[#This Row],[LOCALES]],[1]!Calendario[#Data],3,0))/VLOOKUP(Terminales[[#This Row],[LOCALES]],[1]!Calendario[#Data],2,0)</f>
        <v>0</v>
      </c>
      <c r="CH399" s="67">
        <f>(Terminales[[#This Row],[COMISIONES BONO]]*VLOOKUP(Terminales[[#This Row],[LOCALES]],[1]!Calendario[#Data],3,0))/VLOOKUP(Terminales[[#This Row],[LOCALES]],[1]!Calendario[#Data],2,0)</f>
        <v>4.7592166838709682</v>
      </c>
      <c r="CI399" s="67">
        <f>Terminales[[#This Row],[PROY. COM. TERMINALES]]+Terminales[[#This Row],[PROY. COM. RENOV.]]+Terminales[[#This Row],[PROY. COM. 2%]]</f>
        <v>28.555300103225811</v>
      </c>
    </row>
    <row r="400" spans="1:87" x14ac:dyDescent="0.25">
      <c r="A400" s="68">
        <v>44926</v>
      </c>
      <c r="B400" s="68">
        <v>44897</v>
      </c>
      <c r="C400" s="18" t="s">
        <v>96</v>
      </c>
      <c r="D400" s="18" t="s">
        <v>96</v>
      </c>
      <c r="E400" s="18" t="s">
        <v>96</v>
      </c>
      <c r="F400" s="18" t="s">
        <v>95</v>
      </c>
      <c r="G400" s="18" t="s">
        <v>292</v>
      </c>
      <c r="H400" s="18" t="s">
        <v>494</v>
      </c>
      <c r="I400" s="18" t="s">
        <v>10512</v>
      </c>
      <c r="J400" s="18" t="s">
        <v>95</v>
      </c>
      <c r="K400" s="18" t="s">
        <v>7970</v>
      </c>
      <c r="L400" s="18" t="s">
        <v>10496</v>
      </c>
      <c r="M400" s="18" t="s">
        <v>10497</v>
      </c>
      <c r="N400" s="18" t="s">
        <v>10498</v>
      </c>
      <c r="O400" s="18" t="s">
        <v>495</v>
      </c>
      <c r="P400" s="18" t="s">
        <v>10513</v>
      </c>
      <c r="Q400" s="18" t="s">
        <v>7975</v>
      </c>
      <c r="R400" s="18" t="s">
        <v>7976</v>
      </c>
      <c r="S400" s="18" t="s">
        <v>7994</v>
      </c>
      <c r="T400" s="18" t="s">
        <v>10210</v>
      </c>
      <c r="U400" s="18" t="s">
        <v>7996</v>
      </c>
      <c r="V400" s="18" t="s">
        <v>6963</v>
      </c>
      <c r="W400" s="18" t="s">
        <v>95</v>
      </c>
      <c r="X400" s="18" t="s">
        <v>95</v>
      </c>
      <c r="Y400" s="18" t="s">
        <v>7980</v>
      </c>
      <c r="Z400" s="18" t="s">
        <v>6996</v>
      </c>
      <c r="AA400" s="69">
        <v>1</v>
      </c>
      <c r="AB400" s="18">
        <v>152.67857000000001</v>
      </c>
      <c r="AC400" s="18" t="s">
        <v>10514</v>
      </c>
      <c r="AD400" s="18" t="s">
        <v>96</v>
      </c>
      <c r="AE400" s="18">
        <v>135</v>
      </c>
      <c r="AF400" s="18" t="s">
        <v>7983</v>
      </c>
      <c r="AG400" s="18">
        <v>135</v>
      </c>
      <c r="AH400" s="18" t="s">
        <v>95</v>
      </c>
      <c r="AI400" s="18" t="s">
        <v>95</v>
      </c>
      <c r="AJ400" s="18" t="s">
        <v>95</v>
      </c>
      <c r="AK400" s="18" t="s">
        <v>95</v>
      </c>
      <c r="AL400" s="18" t="s">
        <v>95</v>
      </c>
      <c r="AM400" s="18" t="s">
        <v>95</v>
      </c>
      <c r="AN400" s="18" t="s">
        <v>7984</v>
      </c>
      <c r="AO400" s="18" t="s">
        <v>92</v>
      </c>
      <c r="AP400" s="18" t="s">
        <v>120</v>
      </c>
      <c r="AQ400" s="18" t="s">
        <v>121</v>
      </c>
      <c r="AR400" s="18" t="s">
        <v>10501</v>
      </c>
      <c r="AS400" s="18">
        <v>1</v>
      </c>
      <c r="AT400" s="18" t="s">
        <v>122</v>
      </c>
      <c r="AU400" s="18" t="s">
        <v>90</v>
      </c>
      <c r="AV400" s="18" t="s">
        <v>10212</v>
      </c>
      <c r="AW400" s="18" t="s">
        <v>10213</v>
      </c>
      <c r="AX400" s="18" t="s">
        <v>83</v>
      </c>
      <c r="AY400" s="18" t="s">
        <v>95</v>
      </c>
      <c r="AZ400" s="18" t="s">
        <v>95</v>
      </c>
      <c r="BA400" s="18" t="s">
        <v>95</v>
      </c>
      <c r="BB400" s="18" t="s">
        <v>95</v>
      </c>
      <c r="BC400" s="18" t="s">
        <v>95</v>
      </c>
      <c r="BD400" s="18" t="s">
        <v>95</v>
      </c>
      <c r="BE400" s="18" t="s">
        <v>95</v>
      </c>
      <c r="BF400" s="18" t="s">
        <v>95</v>
      </c>
      <c r="BG400" s="18" t="s">
        <v>95</v>
      </c>
      <c r="BH400" s="18" t="s">
        <v>95</v>
      </c>
      <c r="BI400" s="18">
        <v>12</v>
      </c>
      <c r="BJ400" s="18">
        <v>2022</v>
      </c>
      <c r="BK400" s="18" t="s">
        <v>95</v>
      </c>
      <c r="BL400" s="18" t="s">
        <v>95</v>
      </c>
      <c r="BM400" s="18" t="s">
        <v>95</v>
      </c>
      <c r="BN400" s="18" t="s">
        <v>85</v>
      </c>
      <c r="BO400" s="18" t="s">
        <v>86</v>
      </c>
      <c r="BP400" s="18" t="s">
        <v>90</v>
      </c>
      <c r="BQ400" s="18" t="s">
        <v>8050</v>
      </c>
      <c r="BR400" s="18" t="s">
        <v>92</v>
      </c>
      <c r="BS400" s="18" t="s">
        <v>8074</v>
      </c>
      <c r="BT400" s="18" t="s">
        <v>10502</v>
      </c>
      <c r="BU400" s="18" t="s">
        <v>496</v>
      </c>
      <c r="BV400" s="18" t="str">
        <f>Terminales[[#This Row],[IMEI]]&amp;"SI"</f>
        <v>358742571307516SI</v>
      </c>
      <c r="BW400" s="18" t="str">
        <f>VLOOKUP(Terminales[[#This Row],[OFICINA_USUARIO]],[1]!Locales[#Data],3,0)</f>
        <v>TIENDA MACHALA</v>
      </c>
      <c r="BX400" s="18" t="str">
        <f>VLOOKUP(Terminales[[#This Row],[USUARIO_FINAL]],'[1]Personal Ppto vs Real'!$A:$F,6,0)</f>
        <v>ARROBO VICENTE YADIRA ESPERANZA</v>
      </c>
      <c r="BY40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0" s="18">
        <f>DAY(Terminales[[#This Row],[FECHA_FACTURA]])</f>
        <v>2</v>
      </c>
      <c r="CB400" s="65">
        <f>IF(Terminales[[#This Row],[CANTIDAD]] = 1,INDEX([1]!Comisiones[#Data],MATCH("Terminales",[1]!Comisiones[Producto],0),MATCH(Terminales[[#This Row],[TIPO ALTA COMISIONES]],[1]!Comisiones[#Headers],0))*Terminales[[#This Row],[MONTO]],0)</f>
        <v>15.267857000000001</v>
      </c>
      <c r="CC400" s="65">
        <f>IFERROR(IF(AND(Terminales[[#This Row],[CANTIDAD]] = 1,Terminales[[#This Row],[MOVIMIENTO]] = "RENOVACION"),Terminales[[#This Row],[TARIFA_BASICA]]*0.5,),)</f>
        <v>0</v>
      </c>
      <c r="CD400" s="65">
        <f>IF('[1]Resumen TM'!$AW$20 &lt; 0.4,0,Terminales[[#This Row],[MONTO]]*0.02)</f>
        <v>3.0535714</v>
      </c>
      <c r="CE400" s="66">
        <f>Terminales[[#This Row],[COMISIONES TERMINALES]]+Terminales[[#This Row],[COMISIONES RENOVACIONES]]+Terminales[[#This Row],[COMISIONES BONO]]</f>
        <v>18.321428400000002</v>
      </c>
      <c r="CF400" s="67">
        <f>(Terminales[[#This Row],[COMISIONES TERMINALES]]*VLOOKUP(Terminales[[#This Row],[LOCALES]],[1]!Calendario[#Data],3,0))/VLOOKUP(Terminales[[#This Row],[LOCALES]],[1]!Calendario[#Data],2,0)</f>
        <v>24.744457896551726</v>
      </c>
      <c r="CG400" s="67">
        <f>(Terminales[[#This Row],[COMISIONES RENOVACIONES]]*VLOOKUP(Terminales[[#This Row],[LOCALES]],[1]!Calendario[#Data],3,0))/VLOOKUP(Terminales[[#This Row],[LOCALES]],[1]!Calendario[#Data],2,0)</f>
        <v>0</v>
      </c>
      <c r="CH400" s="67">
        <f>(Terminales[[#This Row],[COMISIONES BONO]]*VLOOKUP(Terminales[[#This Row],[LOCALES]],[1]!Calendario[#Data],3,0))/VLOOKUP(Terminales[[#This Row],[LOCALES]],[1]!Calendario[#Data],2,0)</f>
        <v>4.9488915793103452</v>
      </c>
      <c r="CI400" s="67">
        <f>Terminales[[#This Row],[PROY. COM. TERMINALES]]+Terminales[[#This Row],[PROY. COM. RENOV.]]+Terminales[[#This Row],[PROY. COM. 2%]]</f>
        <v>29.693349475862071</v>
      </c>
    </row>
    <row r="401" spans="1:87" x14ac:dyDescent="0.25">
      <c r="A401" s="68">
        <v>44926</v>
      </c>
      <c r="B401" s="68">
        <v>44898</v>
      </c>
      <c r="C401" s="18" t="s">
        <v>96</v>
      </c>
      <c r="D401" s="18" t="s">
        <v>96</v>
      </c>
      <c r="E401" s="18" t="s">
        <v>96</v>
      </c>
      <c r="F401" s="18" t="s">
        <v>95</v>
      </c>
      <c r="G401" s="18" t="s">
        <v>292</v>
      </c>
      <c r="H401" s="18" t="s">
        <v>494</v>
      </c>
      <c r="I401" s="18" t="s">
        <v>10515</v>
      </c>
      <c r="J401" s="18" t="s">
        <v>95</v>
      </c>
      <c r="K401" s="18" t="s">
        <v>7970</v>
      </c>
      <c r="L401" s="18" t="s">
        <v>10496</v>
      </c>
      <c r="M401" s="18" t="s">
        <v>10497</v>
      </c>
      <c r="N401" s="18" t="s">
        <v>10498</v>
      </c>
      <c r="O401" s="18" t="s">
        <v>1022</v>
      </c>
      <c r="P401" s="18" t="s">
        <v>10516</v>
      </c>
      <c r="Q401" s="18" t="s">
        <v>7975</v>
      </c>
      <c r="R401" s="18" t="s">
        <v>7976</v>
      </c>
      <c r="S401" s="18" t="s">
        <v>8045</v>
      </c>
      <c r="T401" s="18" t="s">
        <v>8225</v>
      </c>
      <c r="U401" s="18" t="s">
        <v>8012</v>
      </c>
      <c r="V401" s="18" t="s">
        <v>6963</v>
      </c>
      <c r="W401" s="18" t="s">
        <v>95</v>
      </c>
      <c r="X401" s="18" t="s">
        <v>95</v>
      </c>
      <c r="Y401" s="18" t="s">
        <v>7980</v>
      </c>
      <c r="Z401" s="18" t="s">
        <v>6996</v>
      </c>
      <c r="AA401" s="69">
        <v>1</v>
      </c>
      <c r="AB401" s="18">
        <v>266.96429000000001</v>
      </c>
      <c r="AC401" s="18" t="s">
        <v>10517</v>
      </c>
      <c r="AD401" s="18" t="s">
        <v>96</v>
      </c>
      <c r="AE401" s="18">
        <v>232</v>
      </c>
      <c r="AF401" s="18" t="s">
        <v>7983</v>
      </c>
      <c r="AG401" s="18">
        <v>232</v>
      </c>
      <c r="AH401" s="18" t="s">
        <v>95</v>
      </c>
      <c r="AI401" s="18" t="s">
        <v>95</v>
      </c>
      <c r="AJ401" s="18" t="s">
        <v>95</v>
      </c>
      <c r="AK401" s="18" t="s">
        <v>95</v>
      </c>
      <c r="AL401" s="18" t="s">
        <v>95</v>
      </c>
      <c r="AM401" s="18" t="s">
        <v>95</v>
      </c>
      <c r="AN401" s="18" t="s">
        <v>7984</v>
      </c>
      <c r="AO401" s="18" t="s">
        <v>92</v>
      </c>
      <c r="AP401" s="18" t="s">
        <v>88</v>
      </c>
      <c r="AQ401" s="18" t="s">
        <v>89</v>
      </c>
      <c r="AR401" s="18" t="s">
        <v>10501</v>
      </c>
      <c r="AS401" s="18">
        <v>1</v>
      </c>
      <c r="AT401" s="18" t="s">
        <v>91</v>
      </c>
      <c r="AU401" s="18" t="s">
        <v>90</v>
      </c>
      <c r="AV401" s="18" t="s">
        <v>8392</v>
      </c>
      <c r="AW401" s="18" t="s">
        <v>8393</v>
      </c>
      <c r="AX401" s="18" t="s">
        <v>83</v>
      </c>
      <c r="AY401" s="18" t="s">
        <v>95</v>
      </c>
      <c r="AZ401" s="18" t="s">
        <v>95</v>
      </c>
      <c r="BA401" s="18" t="s">
        <v>95</v>
      </c>
      <c r="BB401" s="18" t="s">
        <v>95</v>
      </c>
      <c r="BC401" s="18" t="s">
        <v>95</v>
      </c>
      <c r="BD401" s="18" t="s">
        <v>95</v>
      </c>
      <c r="BE401" s="18" t="s">
        <v>95</v>
      </c>
      <c r="BF401" s="18" t="s">
        <v>95</v>
      </c>
      <c r="BG401" s="18" t="s">
        <v>95</v>
      </c>
      <c r="BH401" s="18" t="s">
        <v>95</v>
      </c>
      <c r="BI401" s="18">
        <v>12</v>
      </c>
      <c r="BJ401" s="18">
        <v>2022</v>
      </c>
      <c r="BK401" s="18" t="s">
        <v>95</v>
      </c>
      <c r="BL401" s="18" t="s">
        <v>95</v>
      </c>
      <c r="BM401" s="18" t="s">
        <v>95</v>
      </c>
      <c r="BN401" s="18" t="s">
        <v>85</v>
      </c>
      <c r="BO401" s="18" t="s">
        <v>86</v>
      </c>
      <c r="BP401" s="18" t="s">
        <v>90</v>
      </c>
      <c r="BQ401" s="18" t="s">
        <v>8106</v>
      </c>
      <c r="BR401" s="18" t="s">
        <v>92</v>
      </c>
      <c r="BS401" s="18" t="s">
        <v>8074</v>
      </c>
      <c r="BT401" s="18" t="s">
        <v>10502</v>
      </c>
      <c r="BU401" s="18" t="s">
        <v>496</v>
      </c>
      <c r="BV401" s="18" t="str">
        <f>Terminales[[#This Row],[IMEI]]&amp;"SI"</f>
        <v>356795951139992SI</v>
      </c>
      <c r="BW401" s="18" t="str">
        <f>VLOOKUP(Terminales[[#This Row],[OFICINA_USUARIO]],[1]!Locales[#Data],3,0)</f>
        <v>TIENDA CUENCA CENTRO</v>
      </c>
      <c r="BX401" s="18" t="str">
        <f>VLOOKUP(Terminales[[#This Row],[USUARIO_FINAL]],'[1]Personal Ppto vs Real'!$A:$F,6,0)</f>
        <v>ANDRADE CONDO CHRISTIAN EDUARDO</v>
      </c>
      <c r="BY40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1" s="18">
        <f>DAY(Terminales[[#This Row],[FECHA_FACTURA]])</f>
        <v>3</v>
      </c>
      <c r="CB401" s="65">
        <f>IF(Terminales[[#This Row],[CANTIDAD]] = 1,INDEX([1]!Comisiones[#Data],MATCH("Terminales",[1]!Comisiones[Producto],0),MATCH(Terminales[[#This Row],[TIPO ALTA COMISIONES]],[1]!Comisiones[#Headers],0))*Terminales[[#This Row],[MONTO]],0)</f>
        <v>26.696429000000002</v>
      </c>
      <c r="CC401" s="65">
        <f>IFERROR(IF(AND(Terminales[[#This Row],[CANTIDAD]] = 1,Terminales[[#This Row],[MOVIMIENTO]] = "RENOVACION"),Terminales[[#This Row],[TARIFA_BASICA]]*0.5,),)</f>
        <v>0</v>
      </c>
      <c r="CD401" s="65">
        <f>IF('[1]Resumen TM'!$AW$20 &lt; 0.4,0,Terminales[[#This Row],[MONTO]]*0.02)</f>
        <v>5.3392857999999999</v>
      </c>
      <c r="CE401" s="66">
        <f>Terminales[[#This Row],[COMISIONES TERMINALES]]+Terminales[[#This Row],[COMISIONES RENOVACIONES]]+Terminales[[#This Row],[COMISIONES BONO]]</f>
        <v>32.035714800000001</v>
      </c>
      <c r="CF401" s="67">
        <f>(Terminales[[#This Row],[COMISIONES TERMINALES]]*VLOOKUP(Terminales[[#This Row],[LOCALES]],[1]!Calendario[#Data],3,0))/VLOOKUP(Terminales[[#This Row],[LOCALES]],[1]!Calendario[#Data],2,0)</f>
        <v>43.266626310344833</v>
      </c>
      <c r="CG401" s="67">
        <f>(Terminales[[#This Row],[COMISIONES RENOVACIONES]]*VLOOKUP(Terminales[[#This Row],[LOCALES]],[1]!Calendario[#Data],3,0))/VLOOKUP(Terminales[[#This Row],[LOCALES]],[1]!Calendario[#Data],2,0)</f>
        <v>0</v>
      </c>
      <c r="CH401" s="67">
        <f>(Terminales[[#This Row],[COMISIONES BONO]]*VLOOKUP(Terminales[[#This Row],[LOCALES]],[1]!Calendario[#Data],3,0))/VLOOKUP(Terminales[[#This Row],[LOCALES]],[1]!Calendario[#Data],2,0)</f>
        <v>8.6533252620689645</v>
      </c>
      <c r="CI401" s="67">
        <f>Terminales[[#This Row],[PROY. COM. TERMINALES]]+Terminales[[#This Row],[PROY. COM. RENOV.]]+Terminales[[#This Row],[PROY. COM. 2%]]</f>
        <v>51.919951572413794</v>
      </c>
    </row>
    <row r="402" spans="1:87" x14ac:dyDescent="0.25">
      <c r="A402" s="68">
        <v>44926</v>
      </c>
      <c r="B402" s="68">
        <v>44898</v>
      </c>
      <c r="C402" s="18" t="s">
        <v>96</v>
      </c>
      <c r="D402" s="18" t="s">
        <v>96</v>
      </c>
      <c r="E402" s="18" t="s">
        <v>96</v>
      </c>
      <c r="F402" s="18" t="s">
        <v>95</v>
      </c>
      <c r="G402" s="18" t="s">
        <v>292</v>
      </c>
      <c r="H402" s="18" t="s">
        <v>494</v>
      </c>
      <c r="I402" s="18" t="s">
        <v>10518</v>
      </c>
      <c r="J402" s="18" t="s">
        <v>95</v>
      </c>
      <c r="K402" s="18" t="s">
        <v>7970</v>
      </c>
      <c r="L402" s="18" t="s">
        <v>10496</v>
      </c>
      <c r="M402" s="18" t="s">
        <v>10497</v>
      </c>
      <c r="N402" s="18" t="s">
        <v>10498</v>
      </c>
      <c r="O402" s="18" t="s">
        <v>3669</v>
      </c>
      <c r="P402" s="18" t="s">
        <v>10519</v>
      </c>
      <c r="Q402" s="18" t="s">
        <v>7975</v>
      </c>
      <c r="R402" s="18" t="s">
        <v>7976</v>
      </c>
      <c r="S402" s="18" t="s">
        <v>8045</v>
      </c>
      <c r="T402" s="18" t="s">
        <v>8046</v>
      </c>
      <c r="U402" s="18" t="s">
        <v>7996</v>
      </c>
      <c r="V402" s="18" t="s">
        <v>6963</v>
      </c>
      <c r="W402" s="18" t="s">
        <v>95</v>
      </c>
      <c r="X402" s="18" t="s">
        <v>95</v>
      </c>
      <c r="Y402" s="18" t="s">
        <v>7980</v>
      </c>
      <c r="Z402" s="18" t="s">
        <v>6996</v>
      </c>
      <c r="AA402" s="69">
        <v>1</v>
      </c>
      <c r="AB402" s="18">
        <v>144.64286000000001</v>
      </c>
      <c r="AC402" s="18" t="s">
        <v>10520</v>
      </c>
      <c r="AD402" s="18" t="s">
        <v>96</v>
      </c>
      <c r="AE402" s="18">
        <v>124.5</v>
      </c>
      <c r="AF402" s="18" t="s">
        <v>7983</v>
      </c>
      <c r="AG402" s="18">
        <v>124.5</v>
      </c>
      <c r="AH402" s="18" t="s">
        <v>95</v>
      </c>
      <c r="AI402" s="18" t="s">
        <v>95</v>
      </c>
      <c r="AJ402" s="18" t="s">
        <v>95</v>
      </c>
      <c r="AK402" s="18" t="s">
        <v>95</v>
      </c>
      <c r="AL402" s="18" t="s">
        <v>95</v>
      </c>
      <c r="AM402" s="18" t="s">
        <v>95</v>
      </c>
      <c r="AN402" s="18" t="s">
        <v>7984</v>
      </c>
      <c r="AO402" s="18" t="s">
        <v>92</v>
      </c>
      <c r="AP402" s="18" t="s">
        <v>88</v>
      </c>
      <c r="AQ402" s="18" t="s">
        <v>89</v>
      </c>
      <c r="AR402" s="18" t="s">
        <v>10501</v>
      </c>
      <c r="AS402" s="18">
        <v>1</v>
      </c>
      <c r="AT402" s="18" t="s">
        <v>91</v>
      </c>
      <c r="AU402" s="18" t="s">
        <v>90</v>
      </c>
      <c r="AV402" s="18" t="s">
        <v>8048</v>
      </c>
      <c r="AW402" s="18" t="s">
        <v>8049</v>
      </c>
      <c r="AX402" s="18" t="s">
        <v>83</v>
      </c>
      <c r="AY402" s="18" t="s">
        <v>95</v>
      </c>
      <c r="AZ402" s="18" t="s">
        <v>95</v>
      </c>
      <c r="BA402" s="18" t="s">
        <v>95</v>
      </c>
      <c r="BB402" s="18" t="s">
        <v>95</v>
      </c>
      <c r="BC402" s="18" t="s">
        <v>95</v>
      </c>
      <c r="BD402" s="18" t="s">
        <v>95</v>
      </c>
      <c r="BE402" s="18" t="s">
        <v>95</v>
      </c>
      <c r="BF402" s="18" t="s">
        <v>95</v>
      </c>
      <c r="BG402" s="18" t="s">
        <v>95</v>
      </c>
      <c r="BH402" s="18" t="s">
        <v>95</v>
      </c>
      <c r="BI402" s="18">
        <v>12</v>
      </c>
      <c r="BJ402" s="18">
        <v>2022</v>
      </c>
      <c r="BK402" s="18" t="s">
        <v>95</v>
      </c>
      <c r="BL402" s="18" t="s">
        <v>95</v>
      </c>
      <c r="BM402" s="18" t="s">
        <v>95</v>
      </c>
      <c r="BN402" s="18" t="s">
        <v>85</v>
      </c>
      <c r="BO402" s="18" t="s">
        <v>86</v>
      </c>
      <c r="BP402" s="18" t="s">
        <v>90</v>
      </c>
      <c r="BQ402" s="18" t="s">
        <v>8106</v>
      </c>
      <c r="BR402" s="18" t="s">
        <v>92</v>
      </c>
      <c r="BS402" s="18" t="s">
        <v>8074</v>
      </c>
      <c r="BT402" s="18" t="s">
        <v>10502</v>
      </c>
      <c r="BU402" s="18" t="s">
        <v>496</v>
      </c>
      <c r="BV402" s="18" t="str">
        <f>Terminales[[#This Row],[IMEI]]&amp;"SI"</f>
        <v>354379559476585SI</v>
      </c>
      <c r="BW402" s="18" t="str">
        <f>VLOOKUP(Terminales[[#This Row],[OFICINA_USUARIO]],[1]!Locales[#Data],3,0)</f>
        <v>TIENDA CUENCA CENTRO</v>
      </c>
      <c r="BX402" s="18" t="str">
        <f>VLOOKUP(Terminales[[#This Row],[USUARIO_FINAL]],'[1]Personal Ppto vs Real'!$A:$F,6,0)</f>
        <v>ANDRADE CONDO CHRISTIAN EDUARDO</v>
      </c>
      <c r="BY40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2" s="18">
        <f>DAY(Terminales[[#This Row],[FECHA_FACTURA]])</f>
        <v>3</v>
      </c>
      <c r="CB402" s="65">
        <f>IF(Terminales[[#This Row],[CANTIDAD]] = 1,INDEX([1]!Comisiones[#Data],MATCH("Terminales",[1]!Comisiones[Producto],0),MATCH(Terminales[[#This Row],[TIPO ALTA COMISIONES]],[1]!Comisiones[#Headers],0))*Terminales[[#This Row],[MONTO]],0)</f>
        <v>14.464286000000001</v>
      </c>
      <c r="CC402" s="65">
        <f>IFERROR(IF(AND(Terminales[[#This Row],[CANTIDAD]] = 1,Terminales[[#This Row],[MOVIMIENTO]] = "RENOVACION"),Terminales[[#This Row],[TARIFA_BASICA]]*0.5,),)</f>
        <v>0</v>
      </c>
      <c r="CD402" s="65">
        <f>IF('[1]Resumen TM'!$AW$20 &lt; 0.4,0,Terminales[[#This Row],[MONTO]]*0.02)</f>
        <v>2.8928572000000004</v>
      </c>
      <c r="CE402" s="66">
        <f>Terminales[[#This Row],[COMISIONES TERMINALES]]+Terminales[[#This Row],[COMISIONES RENOVACIONES]]+Terminales[[#This Row],[COMISIONES BONO]]</f>
        <v>17.357143200000003</v>
      </c>
      <c r="CF402" s="67">
        <f>(Terminales[[#This Row],[COMISIONES TERMINALES]]*VLOOKUP(Terminales[[#This Row],[LOCALES]],[1]!Calendario[#Data],3,0))/VLOOKUP(Terminales[[#This Row],[LOCALES]],[1]!Calendario[#Data],2,0)</f>
        <v>23.442118689655175</v>
      </c>
      <c r="CG402" s="67">
        <f>(Terminales[[#This Row],[COMISIONES RENOVACIONES]]*VLOOKUP(Terminales[[#This Row],[LOCALES]],[1]!Calendario[#Data],3,0))/VLOOKUP(Terminales[[#This Row],[LOCALES]],[1]!Calendario[#Data],2,0)</f>
        <v>0</v>
      </c>
      <c r="CH402" s="67">
        <f>(Terminales[[#This Row],[COMISIONES BONO]]*VLOOKUP(Terminales[[#This Row],[LOCALES]],[1]!Calendario[#Data],3,0))/VLOOKUP(Terminales[[#This Row],[LOCALES]],[1]!Calendario[#Data],2,0)</f>
        <v>4.6884237379310347</v>
      </c>
      <c r="CI402" s="67">
        <f>Terminales[[#This Row],[PROY. COM. TERMINALES]]+Terminales[[#This Row],[PROY. COM. RENOV.]]+Terminales[[#This Row],[PROY. COM. 2%]]</f>
        <v>28.13054242758621</v>
      </c>
    </row>
    <row r="403" spans="1:87" x14ac:dyDescent="0.25">
      <c r="A403" s="68">
        <v>44926</v>
      </c>
      <c r="B403" s="68">
        <v>44898</v>
      </c>
      <c r="C403" s="18" t="s">
        <v>96</v>
      </c>
      <c r="D403" s="18" t="s">
        <v>96</v>
      </c>
      <c r="E403" s="18" t="s">
        <v>96</v>
      </c>
      <c r="F403" s="18" t="s">
        <v>95</v>
      </c>
      <c r="G403" s="18" t="s">
        <v>292</v>
      </c>
      <c r="H403" s="18" t="s">
        <v>494</v>
      </c>
      <c r="I403" s="18" t="s">
        <v>10521</v>
      </c>
      <c r="J403" s="18" t="s">
        <v>95</v>
      </c>
      <c r="K403" s="18" t="s">
        <v>7970</v>
      </c>
      <c r="L403" s="18" t="s">
        <v>10496</v>
      </c>
      <c r="M403" s="18" t="s">
        <v>10497</v>
      </c>
      <c r="N403" s="18" t="s">
        <v>10498</v>
      </c>
      <c r="O403" s="18" t="s">
        <v>338</v>
      </c>
      <c r="P403" s="18" t="s">
        <v>10522</v>
      </c>
      <c r="Q403" s="18" t="s">
        <v>7975</v>
      </c>
      <c r="R403" s="18" t="s">
        <v>7976</v>
      </c>
      <c r="S403" s="18" t="s">
        <v>7977</v>
      </c>
      <c r="T403" s="18" t="s">
        <v>7978</v>
      </c>
      <c r="U403" s="18" t="s">
        <v>7979</v>
      </c>
      <c r="V403" s="18" t="s">
        <v>6963</v>
      </c>
      <c r="W403" s="18" t="s">
        <v>95</v>
      </c>
      <c r="X403" s="18" t="s">
        <v>95</v>
      </c>
      <c r="Y403" s="18" t="s">
        <v>7980</v>
      </c>
      <c r="Z403" s="18" t="s">
        <v>6996</v>
      </c>
      <c r="AA403" s="69">
        <v>1</v>
      </c>
      <c r="AB403" s="18">
        <v>299.11</v>
      </c>
      <c r="AC403" s="18" t="s">
        <v>10523</v>
      </c>
      <c r="AD403" s="18" t="s">
        <v>96</v>
      </c>
      <c r="AE403" s="18">
        <v>235</v>
      </c>
      <c r="AF403" s="18" t="s">
        <v>7983</v>
      </c>
      <c r="AG403" s="18">
        <v>235</v>
      </c>
      <c r="AH403" s="18" t="s">
        <v>95</v>
      </c>
      <c r="AI403" s="18" t="s">
        <v>95</v>
      </c>
      <c r="AJ403" s="18" t="s">
        <v>95</v>
      </c>
      <c r="AK403" s="18" t="s">
        <v>95</v>
      </c>
      <c r="AL403" s="18" t="s">
        <v>95</v>
      </c>
      <c r="AM403" s="18" t="s">
        <v>95</v>
      </c>
      <c r="AN403" s="18" t="s">
        <v>7984</v>
      </c>
      <c r="AO403" s="18" t="s">
        <v>139</v>
      </c>
      <c r="AP403" s="18" t="s">
        <v>280</v>
      </c>
      <c r="AQ403" s="18" t="s">
        <v>281</v>
      </c>
      <c r="AR403" s="18" t="s">
        <v>10501</v>
      </c>
      <c r="AS403" s="18">
        <v>1</v>
      </c>
      <c r="AT403" s="18" t="s">
        <v>235</v>
      </c>
      <c r="AU403" s="18" t="s">
        <v>90</v>
      </c>
      <c r="AV403" s="18" t="s">
        <v>7985</v>
      </c>
      <c r="AW403" s="18" t="s">
        <v>7986</v>
      </c>
      <c r="AX403" s="18" t="s">
        <v>83</v>
      </c>
      <c r="AY403" s="18" t="s">
        <v>95</v>
      </c>
      <c r="AZ403" s="18" t="s">
        <v>95</v>
      </c>
      <c r="BA403" s="18" t="s">
        <v>95</v>
      </c>
      <c r="BB403" s="18" t="s">
        <v>95</v>
      </c>
      <c r="BC403" s="18" t="s">
        <v>95</v>
      </c>
      <c r="BD403" s="18" t="s">
        <v>95</v>
      </c>
      <c r="BE403" s="18" t="s">
        <v>95</v>
      </c>
      <c r="BF403" s="18" t="s">
        <v>95</v>
      </c>
      <c r="BG403" s="18" t="s">
        <v>95</v>
      </c>
      <c r="BH403" s="18" t="s">
        <v>95</v>
      </c>
      <c r="BI403" s="18">
        <v>12</v>
      </c>
      <c r="BJ403" s="18">
        <v>2022</v>
      </c>
      <c r="BK403" s="18" t="s">
        <v>95</v>
      </c>
      <c r="BL403" s="18" t="s">
        <v>95</v>
      </c>
      <c r="BM403" s="18" t="s">
        <v>95</v>
      </c>
      <c r="BN403" s="18" t="s">
        <v>85</v>
      </c>
      <c r="BO403" s="18" t="s">
        <v>86</v>
      </c>
      <c r="BP403" s="18" t="s">
        <v>90</v>
      </c>
      <c r="BQ403" s="18" t="s">
        <v>8016</v>
      </c>
      <c r="BR403" s="18" t="s">
        <v>139</v>
      </c>
      <c r="BS403" s="18" t="s">
        <v>8074</v>
      </c>
      <c r="BT403" s="18" t="s">
        <v>10502</v>
      </c>
      <c r="BU403" s="18" t="s">
        <v>496</v>
      </c>
      <c r="BV403" s="18" t="str">
        <f>Terminales[[#This Row],[IMEI]]&amp;"SI"</f>
        <v>866184060680522SI</v>
      </c>
      <c r="BW403" s="18" t="str">
        <f>VLOOKUP(Terminales[[#This Row],[OFICINA_USUARIO]],[1]!Locales[#Data],3,0)</f>
        <v>TIENDA CONDADO</v>
      </c>
      <c r="BX403" s="18" t="str">
        <f>VLOOKUP(Terminales[[#This Row],[USUARIO_FINAL]],'[1]Personal Ppto vs Real'!$A:$F,6,0)</f>
        <v>GUACHAMIN CAZA HUGO ADRIAN</v>
      </c>
      <c r="BY40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3" s="18">
        <f>DAY(Terminales[[#This Row],[FECHA_FACTURA]])</f>
        <v>3</v>
      </c>
      <c r="CB403" s="65">
        <f>IF(Terminales[[#This Row],[CANTIDAD]] = 1,INDEX([1]!Comisiones[#Data],MATCH("Terminales",[1]!Comisiones[Producto],0),MATCH(Terminales[[#This Row],[TIPO ALTA COMISIONES]],[1]!Comisiones[#Headers],0))*Terminales[[#This Row],[MONTO]],0)</f>
        <v>29.911000000000001</v>
      </c>
      <c r="CC403" s="65">
        <f>IFERROR(IF(AND(Terminales[[#This Row],[CANTIDAD]] = 1,Terminales[[#This Row],[MOVIMIENTO]] = "RENOVACION"),Terminales[[#This Row],[TARIFA_BASICA]]*0.5,),)</f>
        <v>0</v>
      </c>
      <c r="CD403" s="65">
        <f>IF('[1]Resumen TM'!$AW$20 &lt; 0.4,0,Terminales[[#This Row],[MONTO]]*0.02)</f>
        <v>5.9822000000000006</v>
      </c>
      <c r="CE403" s="66">
        <f>Terminales[[#This Row],[COMISIONES TERMINALES]]+Terminales[[#This Row],[COMISIONES RENOVACIONES]]+Terminales[[#This Row],[COMISIONES BONO]]</f>
        <v>35.8932</v>
      </c>
      <c r="CF403" s="67">
        <f>(Terminales[[#This Row],[COMISIONES TERMINALES]]*VLOOKUP(Terminales[[#This Row],[LOCALES]],[1]!Calendario[#Data],3,0))/VLOOKUP(Terminales[[#This Row],[LOCALES]],[1]!Calendario[#Data],2,0)</f>
        <v>49.208419354838711</v>
      </c>
      <c r="CG403" s="67">
        <f>(Terminales[[#This Row],[COMISIONES RENOVACIONES]]*VLOOKUP(Terminales[[#This Row],[LOCALES]],[1]!Calendario[#Data],3,0))/VLOOKUP(Terminales[[#This Row],[LOCALES]],[1]!Calendario[#Data],2,0)</f>
        <v>0</v>
      </c>
      <c r="CH403" s="67">
        <f>(Terminales[[#This Row],[COMISIONES BONO]]*VLOOKUP(Terminales[[#This Row],[LOCALES]],[1]!Calendario[#Data],3,0))/VLOOKUP(Terminales[[#This Row],[LOCALES]],[1]!Calendario[#Data],2,0)</f>
        <v>9.8416838709677439</v>
      </c>
      <c r="CI403" s="67">
        <f>Terminales[[#This Row],[PROY. COM. TERMINALES]]+Terminales[[#This Row],[PROY. COM. RENOV.]]+Terminales[[#This Row],[PROY. COM. 2%]]</f>
        <v>59.050103225806453</v>
      </c>
    </row>
    <row r="404" spans="1:87" x14ac:dyDescent="0.25">
      <c r="A404" s="68">
        <v>44926</v>
      </c>
      <c r="B404" s="68">
        <v>44898</v>
      </c>
      <c r="C404" s="18" t="s">
        <v>96</v>
      </c>
      <c r="D404" s="18" t="s">
        <v>96</v>
      </c>
      <c r="E404" s="18" t="s">
        <v>96</v>
      </c>
      <c r="F404" s="18" t="s">
        <v>95</v>
      </c>
      <c r="G404" s="18" t="s">
        <v>292</v>
      </c>
      <c r="H404" s="18" t="s">
        <v>494</v>
      </c>
      <c r="I404" s="18" t="s">
        <v>10524</v>
      </c>
      <c r="J404" s="18" t="s">
        <v>95</v>
      </c>
      <c r="K404" s="18" t="s">
        <v>7970</v>
      </c>
      <c r="L404" s="18" t="s">
        <v>10496</v>
      </c>
      <c r="M404" s="18" t="s">
        <v>10497</v>
      </c>
      <c r="N404" s="18" t="s">
        <v>10498</v>
      </c>
      <c r="O404" s="18" t="s">
        <v>2260</v>
      </c>
      <c r="P404" s="18" t="s">
        <v>10525</v>
      </c>
      <c r="Q404" s="18" t="s">
        <v>7975</v>
      </c>
      <c r="R404" s="18" t="s">
        <v>7976</v>
      </c>
      <c r="S404" s="18" t="s">
        <v>8010</v>
      </c>
      <c r="T404" s="18" t="s">
        <v>8011</v>
      </c>
      <c r="U404" s="18" t="s">
        <v>8012</v>
      </c>
      <c r="V404" s="18" t="s">
        <v>6963</v>
      </c>
      <c r="W404" s="18" t="s">
        <v>95</v>
      </c>
      <c r="X404" s="18" t="s">
        <v>95</v>
      </c>
      <c r="Y404" s="18" t="s">
        <v>7980</v>
      </c>
      <c r="Z404" s="18" t="s">
        <v>6996</v>
      </c>
      <c r="AA404" s="69">
        <v>1</v>
      </c>
      <c r="AB404" s="18">
        <v>223.21429000000001</v>
      </c>
      <c r="AC404" s="18" t="s">
        <v>10526</v>
      </c>
      <c r="AD404" s="18" t="s">
        <v>96</v>
      </c>
      <c r="AE404" s="18">
        <v>168.8</v>
      </c>
      <c r="AF404" s="18" t="s">
        <v>7983</v>
      </c>
      <c r="AG404" s="18">
        <v>168.8</v>
      </c>
      <c r="AH404" s="18" t="s">
        <v>95</v>
      </c>
      <c r="AI404" s="18" t="s">
        <v>95</v>
      </c>
      <c r="AJ404" s="18" t="s">
        <v>95</v>
      </c>
      <c r="AK404" s="18" t="s">
        <v>95</v>
      </c>
      <c r="AL404" s="18" t="s">
        <v>95</v>
      </c>
      <c r="AM404" s="18" t="s">
        <v>95</v>
      </c>
      <c r="AN404" s="18" t="s">
        <v>7984</v>
      </c>
      <c r="AO404" s="18" t="s">
        <v>139</v>
      </c>
      <c r="AP404" s="18" t="s">
        <v>303</v>
      </c>
      <c r="AQ404" s="18" t="s">
        <v>304</v>
      </c>
      <c r="AR404" s="18" t="s">
        <v>10501</v>
      </c>
      <c r="AS404" s="18">
        <v>1</v>
      </c>
      <c r="AT404" s="18" t="s">
        <v>177</v>
      </c>
      <c r="AU404" s="18" t="s">
        <v>90</v>
      </c>
      <c r="AV404" s="18" t="s">
        <v>8014</v>
      </c>
      <c r="AW404" s="18" t="s">
        <v>8015</v>
      </c>
      <c r="AX404" s="18" t="s">
        <v>83</v>
      </c>
      <c r="AY404" s="18" t="s">
        <v>95</v>
      </c>
      <c r="AZ404" s="18" t="s">
        <v>95</v>
      </c>
      <c r="BA404" s="18" t="s">
        <v>95</v>
      </c>
      <c r="BB404" s="18" t="s">
        <v>95</v>
      </c>
      <c r="BC404" s="18" t="s">
        <v>95</v>
      </c>
      <c r="BD404" s="18" t="s">
        <v>95</v>
      </c>
      <c r="BE404" s="18" t="s">
        <v>95</v>
      </c>
      <c r="BF404" s="18" t="s">
        <v>95</v>
      </c>
      <c r="BG404" s="18" t="s">
        <v>95</v>
      </c>
      <c r="BH404" s="18" t="s">
        <v>95</v>
      </c>
      <c r="BI404" s="18">
        <v>12</v>
      </c>
      <c r="BJ404" s="18">
        <v>2022</v>
      </c>
      <c r="BK404" s="18" t="s">
        <v>95</v>
      </c>
      <c r="BL404" s="18" t="s">
        <v>95</v>
      </c>
      <c r="BM404" s="18" t="s">
        <v>95</v>
      </c>
      <c r="BN404" s="18" t="s">
        <v>85</v>
      </c>
      <c r="BO404" s="18" t="s">
        <v>86</v>
      </c>
      <c r="BP404" s="18" t="s">
        <v>90</v>
      </c>
      <c r="BQ404" s="18" t="s">
        <v>8002</v>
      </c>
      <c r="BR404" s="18" t="s">
        <v>139</v>
      </c>
      <c r="BS404" s="18" t="s">
        <v>8074</v>
      </c>
      <c r="BT404" s="18" t="s">
        <v>10502</v>
      </c>
      <c r="BU404" s="18" t="s">
        <v>496</v>
      </c>
      <c r="BV404" s="18" t="str">
        <f>Terminales[[#This Row],[IMEI]]&amp;"SI"</f>
        <v>359694275282538SI</v>
      </c>
      <c r="BW404" s="18" t="str">
        <f>VLOOKUP(Terminales[[#This Row],[OFICINA_USUARIO]],[1]!Locales[#Data],3,0)</f>
        <v>TIENDA RECREO</v>
      </c>
      <c r="BX404" s="18" t="str">
        <f>VLOOKUP(Terminales[[#This Row],[USUARIO_FINAL]],'[1]Personal Ppto vs Real'!$A:$F,6,0)</f>
        <v>CORDOVA GAIBOR JONATHAN HERNAN</v>
      </c>
      <c r="BY40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4" s="18">
        <f>DAY(Terminales[[#This Row],[FECHA_FACTURA]])</f>
        <v>3</v>
      </c>
      <c r="CB404" s="65">
        <f>IF(Terminales[[#This Row],[CANTIDAD]] = 1,INDEX([1]!Comisiones[#Data],MATCH("Terminales",[1]!Comisiones[Producto],0),MATCH(Terminales[[#This Row],[TIPO ALTA COMISIONES]],[1]!Comisiones[#Headers],0))*Terminales[[#This Row],[MONTO]],0)</f>
        <v>22.321429000000002</v>
      </c>
      <c r="CC404" s="65">
        <f>IFERROR(IF(AND(Terminales[[#This Row],[CANTIDAD]] = 1,Terminales[[#This Row],[MOVIMIENTO]] = "RENOVACION"),Terminales[[#This Row],[TARIFA_BASICA]]*0.5,),)</f>
        <v>0</v>
      </c>
      <c r="CD404" s="65">
        <f>IF('[1]Resumen TM'!$AW$20 &lt; 0.4,0,Terminales[[#This Row],[MONTO]]*0.02)</f>
        <v>4.4642857999999999</v>
      </c>
      <c r="CE404" s="66">
        <f>Terminales[[#This Row],[COMISIONES TERMINALES]]+Terminales[[#This Row],[COMISIONES RENOVACIONES]]+Terminales[[#This Row],[COMISIONES BONO]]</f>
        <v>26.785714800000001</v>
      </c>
      <c r="CF404" s="67">
        <f>(Terminales[[#This Row],[COMISIONES TERMINALES]]*VLOOKUP(Terminales[[#This Row],[LOCALES]],[1]!Calendario[#Data],3,0))/VLOOKUP(Terminales[[#This Row],[LOCALES]],[1]!Calendario[#Data],2,0)</f>
        <v>36.722350935483874</v>
      </c>
      <c r="CG404" s="67">
        <f>(Terminales[[#This Row],[COMISIONES RENOVACIONES]]*VLOOKUP(Terminales[[#This Row],[LOCALES]],[1]!Calendario[#Data],3,0))/VLOOKUP(Terminales[[#This Row],[LOCALES]],[1]!Calendario[#Data],2,0)</f>
        <v>0</v>
      </c>
      <c r="CH404" s="67">
        <f>(Terminales[[#This Row],[COMISIONES BONO]]*VLOOKUP(Terminales[[#This Row],[LOCALES]],[1]!Calendario[#Data],3,0))/VLOOKUP(Terminales[[#This Row],[LOCALES]],[1]!Calendario[#Data],2,0)</f>
        <v>7.3444701870967739</v>
      </c>
      <c r="CI404" s="67">
        <f>Terminales[[#This Row],[PROY. COM. TERMINALES]]+Terminales[[#This Row],[PROY. COM. RENOV.]]+Terminales[[#This Row],[PROY. COM. 2%]]</f>
        <v>44.066821122580649</v>
      </c>
    </row>
    <row r="405" spans="1:87" x14ac:dyDescent="0.25">
      <c r="A405" s="68">
        <v>44926</v>
      </c>
      <c r="B405" s="68">
        <v>44898</v>
      </c>
      <c r="C405" s="18" t="s">
        <v>96</v>
      </c>
      <c r="D405" s="18" t="s">
        <v>96</v>
      </c>
      <c r="E405" s="18" t="s">
        <v>96</v>
      </c>
      <c r="F405" s="18" t="s">
        <v>95</v>
      </c>
      <c r="G405" s="18" t="s">
        <v>292</v>
      </c>
      <c r="H405" s="18" t="s">
        <v>494</v>
      </c>
      <c r="I405" s="18" t="s">
        <v>10527</v>
      </c>
      <c r="J405" s="18" t="s">
        <v>95</v>
      </c>
      <c r="K405" s="18" t="s">
        <v>7970</v>
      </c>
      <c r="L405" s="18" t="s">
        <v>10496</v>
      </c>
      <c r="M405" s="18" t="s">
        <v>10497</v>
      </c>
      <c r="N405" s="18" t="s">
        <v>10498</v>
      </c>
      <c r="O405" s="18" t="s">
        <v>1691</v>
      </c>
      <c r="P405" s="18" t="s">
        <v>10528</v>
      </c>
      <c r="Q405" s="18" t="s">
        <v>7975</v>
      </c>
      <c r="R405" s="18" t="s">
        <v>7976</v>
      </c>
      <c r="S405" s="18" t="s">
        <v>8045</v>
      </c>
      <c r="T405" s="18" t="s">
        <v>8225</v>
      </c>
      <c r="U405" s="18" t="s">
        <v>8012</v>
      </c>
      <c r="V405" s="18" t="s">
        <v>6963</v>
      </c>
      <c r="W405" s="18" t="s">
        <v>95</v>
      </c>
      <c r="X405" s="18" t="s">
        <v>95</v>
      </c>
      <c r="Y405" s="18" t="s">
        <v>7980</v>
      </c>
      <c r="Z405" s="18" t="s">
        <v>6996</v>
      </c>
      <c r="AA405" s="69">
        <v>1</v>
      </c>
      <c r="AB405" s="18">
        <v>266.96429000000001</v>
      </c>
      <c r="AC405" s="18" t="s">
        <v>10529</v>
      </c>
      <c r="AD405" s="18" t="s">
        <v>96</v>
      </c>
      <c r="AE405" s="18">
        <v>232</v>
      </c>
      <c r="AF405" s="18" t="s">
        <v>7983</v>
      </c>
      <c r="AG405" s="18">
        <v>232</v>
      </c>
      <c r="AH405" s="18" t="s">
        <v>95</v>
      </c>
      <c r="AI405" s="18" t="s">
        <v>95</v>
      </c>
      <c r="AJ405" s="18" t="s">
        <v>95</v>
      </c>
      <c r="AK405" s="18" t="s">
        <v>95</v>
      </c>
      <c r="AL405" s="18" t="s">
        <v>95</v>
      </c>
      <c r="AM405" s="18" t="s">
        <v>95</v>
      </c>
      <c r="AN405" s="18" t="s">
        <v>7984</v>
      </c>
      <c r="AO405" s="18" t="s">
        <v>139</v>
      </c>
      <c r="AP405" s="18" t="s">
        <v>280</v>
      </c>
      <c r="AQ405" s="18" t="s">
        <v>281</v>
      </c>
      <c r="AR405" s="18" t="s">
        <v>10501</v>
      </c>
      <c r="AS405" s="18">
        <v>1</v>
      </c>
      <c r="AT405" s="18" t="s">
        <v>235</v>
      </c>
      <c r="AU405" s="18" t="s">
        <v>90</v>
      </c>
      <c r="AV405" s="18" t="s">
        <v>8228</v>
      </c>
      <c r="AW405" s="18" t="s">
        <v>8229</v>
      </c>
      <c r="AX405" s="18" t="s">
        <v>83</v>
      </c>
      <c r="AY405" s="18" t="s">
        <v>95</v>
      </c>
      <c r="AZ405" s="18" t="s">
        <v>95</v>
      </c>
      <c r="BA405" s="18" t="s">
        <v>95</v>
      </c>
      <c r="BB405" s="18" t="s">
        <v>95</v>
      </c>
      <c r="BC405" s="18" t="s">
        <v>95</v>
      </c>
      <c r="BD405" s="18" t="s">
        <v>95</v>
      </c>
      <c r="BE405" s="18" t="s">
        <v>95</v>
      </c>
      <c r="BF405" s="18" t="s">
        <v>95</v>
      </c>
      <c r="BG405" s="18" t="s">
        <v>95</v>
      </c>
      <c r="BH405" s="18" t="s">
        <v>95</v>
      </c>
      <c r="BI405" s="18">
        <v>12</v>
      </c>
      <c r="BJ405" s="18">
        <v>2022</v>
      </c>
      <c r="BK405" s="18" t="s">
        <v>95</v>
      </c>
      <c r="BL405" s="18" t="s">
        <v>95</v>
      </c>
      <c r="BM405" s="18" t="s">
        <v>95</v>
      </c>
      <c r="BN405" s="18" t="s">
        <v>85</v>
      </c>
      <c r="BO405" s="18" t="s">
        <v>86</v>
      </c>
      <c r="BP405" s="18" t="s">
        <v>90</v>
      </c>
      <c r="BQ405" s="18" t="s">
        <v>8016</v>
      </c>
      <c r="BR405" s="18" t="s">
        <v>139</v>
      </c>
      <c r="BS405" s="18" t="s">
        <v>8074</v>
      </c>
      <c r="BT405" s="18" t="s">
        <v>10502</v>
      </c>
      <c r="BU405" s="18" t="s">
        <v>496</v>
      </c>
      <c r="BV405" s="18" t="str">
        <f>Terminales[[#This Row],[IMEI]]&amp;"SI"</f>
        <v>356795951300255SI</v>
      </c>
      <c r="BW405" s="18" t="str">
        <f>VLOOKUP(Terminales[[#This Row],[OFICINA_USUARIO]],[1]!Locales[#Data],3,0)</f>
        <v>TIENDA CONDADO</v>
      </c>
      <c r="BX405" s="18" t="str">
        <f>VLOOKUP(Terminales[[#This Row],[USUARIO_FINAL]],'[1]Personal Ppto vs Real'!$A:$F,6,0)</f>
        <v>GUACHAMIN CAZA HUGO ADRIAN</v>
      </c>
      <c r="BY40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5" s="18">
        <f>DAY(Terminales[[#This Row],[FECHA_FACTURA]])</f>
        <v>3</v>
      </c>
      <c r="CB405" s="65">
        <f>IF(Terminales[[#This Row],[CANTIDAD]] = 1,INDEX([1]!Comisiones[#Data],MATCH("Terminales",[1]!Comisiones[Producto],0),MATCH(Terminales[[#This Row],[TIPO ALTA COMISIONES]],[1]!Comisiones[#Headers],0))*Terminales[[#This Row],[MONTO]],0)</f>
        <v>26.696429000000002</v>
      </c>
      <c r="CC405" s="65">
        <f>IFERROR(IF(AND(Terminales[[#This Row],[CANTIDAD]] = 1,Terminales[[#This Row],[MOVIMIENTO]] = "RENOVACION"),Terminales[[#This Row],[TARIFA_BASICA]]*0.5,),)</f>
        <v>0</v>
      </c>
      <c r="CD405" s="65">
        <f>IF('[1]Resumen TM'!$AW$20 &lt; 0.4,0,Terminales[[#This Row],[MONTO]]*0.02)</f>
        <v>5.3392857999999999</v>
      </c>
      <c r="CE405" s="66">
        <f>Terminales[[#This Row],[COMISIONES TERMINALES]]+Terminales[[#This Row],[COMISIONES RENOVACIONES]]+Terminales[[#This Row],[COMISIONES BONO]]</f>
        <v>32.035714800000001</v>
      </c>
      <c r="CF405" s="67">
        <f>(Terminales[[#This Row],[COMISIONES TERMINALES]]*VLOOKUP(Terminales[[#This Row],[LOCALES]],[1]!Calendario[#Data],3,0))/VLOOKUP(Terminales[[#This Row],[LOCALES]],[1]!Calendario[#Data],2,0)</f>
        <v>43.919931580645162</v>
      </c>
      <c r="CG405" s="67">
        <f>(Terminales[[#This Row],[COMISIONES RENOVACIONES]]*VLOOKUP(Terminales[[#This Row],[LOCALES]],[1]!Calendario[#Data],3,0))/VLOOKUP(Terminales[[#This Row],[LOCALES]],[1]!Calendario[#Data],2,0)</f>
        <v>0</v>
      </c>
      <c r="CH405" s="67">
        <f>(Terminales[[#This Row],[COMISIONES BONO]]*VLOOKUP(Terminales[[#This Row],[LOCALES]],[1]!Calendario[#Data],3,0))/VLOOKUP(Terminales[[#This Row],[LOCALES]],[1]!Calendario[#Data],2,0)</f>
        <v>8.783986316129031</v>
      </c>
      <c r="CI405" s="67">
        <f>Terminales[[#This Row],[PROY. COM. TERMINALES]]+Terminales[[#This Row],[PROY. COM. RENOV.]]+Terminales[[#This Row],[PROY. COM. 2%]]</f>
        <v>52.703917896774193</v>
      </c>
    </row>
    <row r="406" spans="1:87" x14ac:dyDescent="0.25">
      <c r="A406" s="68">
        <v>44926</v>
      </c>
      <c r="B406" s="68">
        <v>44899</v>
      </c>
      <c r="C406" s="18" t="s">
        <v>96</v>
      </c>
      <c r="D406" s="18" t="s">
        <v>96</v>
      </c>
      <c r="E406" s="18" t="s">
        <v>96</v>
      </c>
      <c r="F406" s="18" t="s">
        <v>95</v>
      </c>
      <c r="G406" s="18" t="s">
        <v>292</v>
      </c>
      <c r="H406" s="18" t="s">
        <v>494</v>
      </c>
      <c r="I406" s="18" t="s">
        <v>10530</v>
      </c>
      <c r="J406" s="18" t="s">
        <v>95</v>
      </c>
      <c r="K406" s="18" t="s">
        <v>7970</v>
      </c>
      <c r="L406" s="18" t="s">
        <v>10496</v>
      </c>
      <c r="M406" s="18" t="s">
        <v>10497</v>
      </c>
      <c r="N406" s="18" t="s">
        <v>10498</v>
      </c>
      <c r="O406" s="18" t="s">
        <v>338</v>
      </c>
      <c r="P406" s="18" t="s">
        <v>10531</v>
      </c>
      <c r="Q406" s="18" t="s">
        <v>7975</v>
      </c>
      <c r="R406" s="18" t="s">
        <v>7976</v>
      </c>
      <c r="S406" s="18" t="s">
        <v>7977</v>
      </c>
      <c r="T406" s="18" t="s">
        <v>7978</v>
      </c>
      <c r="U406" s="18" t="s">
        <v>7979</v>
      </c>
      <c r="V406" s="18" t="s">
        <v>6963</v>
      </c>
      <c r="W406" s="18" t="s">
        <v>95</v>
      </c>
      <c r="X406" s="18" t="s">
        <v>95</v>
      </c>
      <c r="Y406" s="18" t="s">
        <v>7980</v>
      </c>
      <c r="Z406" s="18" t="s">
        <v>6996</v>
      </c>
      <c r="AA406" s="69">
        <v>1</v>
      </c>
      <c r="AB406" s="18">
        <v>299.11</v>
      </c>
      <c r="AC406" s="18" t="s">
        <v>10532</v>
      </c>
      <c r="AD406" s="18" t="s">
        <v>96</v>
      </c>
      <c r="AE406" s="18">
        <v>249</v>
      </c>
      <c r="AF406" s="18" t="s">
        <v>7983</v>
      </c>
      <c r="AG406" s="18">
        <v>249</v>
      </c>
      <c r="AH406" s="18" t="s">
        <v>95</v>
      </c>
      <c r="AI406" s="18" t="s">
        <v>95</v>
      </c>
      <c r="AJ406" s="18" t="s">
        <v>95</v>
      </c>
      <c r="AK406" s="18" t="s">
        <v>95</v>
      </c>
      <c r="AL406" s="18" t="s">
        <v>95</v>
      </c>
      <c r="AM406" s="18" t="s">
        <v>95</v>
      </c>
      <c r="AN406" s="18" t="s">
        <v>7984</v>
      </c>
      <c r="AO406" s="18" t="s">
        <v>139</v>
      </c>
      <c r="AP406" s="18" t="s">
        <v>822</v>
      </c>
      <c r="AQ406" s="18" t="s">
        <v>823</v>
      </c>
      <c r="AR406" s="18" t="s">
        <v>10501</v>
      </c>
      <c r="AS406" s="18">
        <v>1</v>
      </c>
      <c r="AT406" s="18" t="s">
        <v>177</v>
      </c>
      <c r="AU406" s="18" t="s">
        <v>90</v>
      </c>
      <c r="AV406" s="18" t="s">
        <v>7985</v>
      </c>
      <c r="AW406" s="18" t="s">
        <v>7986</v>
      </c>
      <c r="AX406" s="18" t="s">
        <v>83</v>
      </c>
      <c r="AY406" s="18" t="s">
        <v>95</v>
      </c>
      <c r="AZ406" s="18" t="s">
        <v>95</v>
      </c>
      <c r="BA406" s="18" t="s">
        <v>95</v>
      </c>
      <c r="BB406" s="18" t="s">
        <v>95</v>
      </c>
      <c r="BC406" s="18" t="s">
        <v>95</v>
      </c>
      <c r="BD406" s="18" t="s">
        <v>95</v>
      </c>
      <c r="BE406" s="18" t="s">
        <v>95</v>
      </c>
      <c r="BF406" s="18" t="s">
        <v>95</v>
      </c>
      <c r="BG406" s="18" t="s">
        <v>95</v>
      </c>
      <c r="BH406" s="18" t="s">
        <v>95</v>
      </c>
      <c r="BI406" s="18">
        <v>12</v>
      </c>
      <c r="BJ406" s="18">
        <v>2022</v>
      </c>
      <c r="BK406" s="18" t="s">
        <v>95</v>
      </c>
      <c r="BL406" s="18" t="s">
        <v>95</v>
      </c>
      <c r="BM406" s="18" t="s">
        <v>95</v>
      </c>
      <c r="BN406" s="18" t="s">
        <v>85</v>
      </c>
      <c r="BO406" s="18" t="s">
        <v>86</v>
      </c>
      <c r="BP406" s="18" t="s">
        <v>90</v>
      </c>
      <c r="BQ406" s="18" t="s">
        <v>8002</v>
      </c>
      <c r="BR406" s="18" t="s">
        <v>139</v>
      </c>
      <c r="BS406" s="18" t="s">
        <v>8074</v>
      </c>
      <c r="BT406" s="18" t="s">
        <v>10502</v>
      </c>
      <c r="BU406" s="18" t="s">
        <v>496</v>
      </c>
      <c r="BV406" s="18" t="str">
        <f>Terminales[[#This Row],[IMEI]]&amp;"SI"</f>
        <v>864331068689342SI</v>
      </c>
      <c r="BW406" s="18" t="str">
        <f>VLOOKUP(Terminales[[#This Row],[OFICINA_USUARIO]],[1]!Locales[#Data],3,0)</f>
        <v>TIENDA RECREO</v>
      </c>
      <c r="BX406" s="18" t="str">
        <f>VLOOKUP(Terminales[[#This Row],[USUARIO_FINAL]],'[1]Personal Ppto vs Real'!$A:$F,6,0)</f>
        <v>SALAS PARRA MARIA JOSE</v>
      </c>
      <c r="BY40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6" s="18">
        <f>DAY(Terminales[[#This Row],[FECHA_FACTURA]])</f>
        <v>4</v>
      </c>
      <c r="CB406" s="65">
        <f>IF(Terminales[[#This Row],[CANTIDAD]] = 1,INDEX([1]!Comisiones[#Data],MATCH("Terminales",[1]!Comisiones[Producto],0),MATCH(Terminales[[#This Row],[TIPO ALTA COMISIONES]],[1]!Comisiones[#Headers],0))*Terminales[[#This Row],[MONTO]],0)</f>
        <v>29.911000000000001</v>
      </c>
      <c r="CC406" s="65">
        <f>IFERROR(IF(AND(Terminales[[#This Row],[CANTIDAD]] = 1,Terminales[[#This Row],[MOVIMIENTO]] = "RENOVACION"),Terminales[[#This Row],[TARIFA_BASICA]]*0.5,),)</f>
        <v>0</v>
      </c>
      <c r="CD406" s="65">
        <f>IF('[1]Resumen TM'!$AW$20 &lt; 0.4,0,Terminales[[#This Row],[MONTO]]*0.02)</f>
        <v>5.9822000000000006</v>
      </c>
      <c r="CE406" s="66">
        <f>Terminales[[#This Row],[COMISIONES TERMINALES]]+Terminales[[#This Row],[COMISIONES RENOVACIONES]]+Terminales[[#This Row],[COMISIONES BONO]]</f>
        <v>35.8932</v>
      </c>
      <c r="CF406" s="67">
        <f>(Terminales[[#This Row],[COMISIONES TERMINALES]]*VLOOKUP(Terminales[[#This Row],[LOCALES]],[1]!Calendario[#Data],3,0))/VLOOKUP(Terminales[[#This Row],[LOCALES]],[1]!Calendario[#Data],2,0)</f>
        <v>49.208419354838711</v>
      </c>
      <c r="CG406" s="67">
        <f>(Terminales[[#This Row],[COMISIONES RENOVACIONES]]*VLOOKUP(Terminales[[#This Row],[LOCALES]],[1]!Calendario[#Data],3,0))/VLOOKUP(Terminales[[#This Row],[LOCALES]],[1]!Calendario[#Data],2,0)</f>
        <v>0</v>
      </c>
      <c r="CH406" s="67">
        <f>(Terminales[[#This Row],[COMISIONES BONO]]*VLOOKUP(Terminales[[#This Row],[LOCALES]],[1]!Calendario[#Data],3,0))/VLOOKUP(Terminales[[#This Row],[LOCALES]],[1]!Calendario[#Data],2,0)</f>
        <v>9.8416838709677439</v>
      </c>
      <c r="CI406" s="67">
        <f>Terminales[[#This Row],[PROY. COM. TERMINALES]]+Terminales[[#This Row],[PROY. COM. RENOV.]]+Terminales[[#This Row],[PROY. COM. 2%]]</f>
        <v>59.050103225806453</v>
      </c>
    </row>
    <row r="407" spans="1:87" x14ac:dyDescent="0.25">
      <c r="A407" s="68">
        <v>44926</v>
      </c>
      <c r="B407" s="68">
        <v>44900</v>
      </c>
      <c r="C407" s="18" t="s">
        <v>96</v>
      </c>
      <c r="D407" s="18" t="s">
        <v>96</v>
      </c>
      <c r="E407" s="18" t="s">
        <v>96</v>
      </c>
      <c r="F407" s="18" t="s">
        <v>95</v>
      </c>
      <c r="G407" s="18" t="s">
        <v>292</v>
      </c>
      <c r="H407" s="18" t="s">
        <v>494</v>
      </c>
      <c r="I407" s="18" t="s">
        <v>10533</v>
      </c>
      <c r="J407" s="18" t="s">
        <v>95</v>
      </c>
      <c r="K407" s="18" t="s">
        <v>7970</v>
      </c>
      <c r="L407" s="18" t="s">
        <v>10496</v>
      </c>
      <c r="M407" s="18" t="s">
        <v>10497</v>
      </c>
      <c r="N407" s="18" t="s">
        <v>10498</v>
      </c>
      <c r="O407" s="18" t="s">
        <v>8127</v>
      </c>
      <c r="P407" s="18" t="s">
        <v>10534</v>
      </c>
      <c r="Q407" s="18" t="s">
        <v>7975</v>
      </c>
      <c r="R407" s="18" t="s">
        <v>7976</v>
      </c>
      <c r="S407" s="18" t="s">
        <v>8045</v>
      </c>
      <c r="T407" s="18" t="s">
        <v>8129</v>
      </c>
      <c r="U407" s="18" t="s">
        <v>8012</v>
      </c>
      <c r="V407" s="18" t="s">
        <v>6963</v>
      </c>
      <c r="W407" s="18" t="s">
        <v>95</v>
      </c>
      <c r="X407" s="18" t="s">
        <v>95</v>
      </c>
      <c r="Y407" s="18" t="s">
        <v>7980</v>
      </c>
      <c r="Z407" s="18" t="s">
        <v>6996</v>
      </c>
      <c r="AA407" s="69">
        <v>1</v>
      </c>
      <c r="AB407" s="18">
        <v>225</v>
      </c>
      <c r="AC407" s="18" t="s">
        <v>10535</v>
      </c>
      <c r="AD407" s="18" t="s">
        <v>96</v>
      </c>
      <c r="AE407" s="18">
        <v>194.5</v>
      </c>
      <c r="AF407" s="18" t="s">
        <v>7983</v>
      </c>
      <c r="AG407" s="18">
        <v>194.5</v>
      </c>
      <c r="AH407" s="18" t="s">
        <v>95</v>
      </c>
      <c r="AI407" s="18" t="s">
        <v>95</v>
      </c>
      <c r="AJ407" s="18" t="s">
        <v>95</v>
      </c>
      <c r="AK407" s="18" t="s">
        <v>95</v>
      </c>
      <c r="AL407" s="18" t="s">
        <v>95</v>
      </c>
      <c r="AM407" s="18" t="s">
        <v>95</v>
      </c>
      <c r="AN407" s="18" t="s">
        <v>7984</v>
      </c>
      <c r="AO407" s="18" t="s">
        <v>92</v>
      </c>
      <c r="AP407" s="18" t="s">
        <v>242</v>
      </c>
      <c r="AQ407" s="18" t="s">
        <v>243</v>
      </c>
      <c r="AR407" s="18" t="s">
        <v>10501</v>
      </c>
      <c r="AS407" s="18">
        <v>1</v>
      </c>
      <c r="AT407" s="18" t="s">
        <v>91</v>
      </c>
      <c r="AU407" s="18" t="s">
        <v>90</v>
      </c>
      <c r="AV407" s="18" t="s">
        <v>8131</v>
      </c>
      <c r="AW407" s="18" t="s">
        <v>8132</v>
      </c>
      <c r="AX407" s="18" t="s">
        <v>83</v>
      </c>
      <c r="AY407" s="18" t="s">
        <v>95</v>
      </c>
      <c r="AZ407" s="18" t="s">
        <v>95</v>
      </c>
      <c r="BA407" s="18" t="s">
        <v>95</v>
      </c>
      <c r="BB407" s="18" t="s">
        <v>95</v>
      </c>
      <c r="BC407" s="18" t="s">
        <v>95</v>
      </c>
      <c r="BD407" s="18" t="s">
        <v>95</v>
      </c>
      <c r="BE407" s="18" t="s">
        <v>95</v>
      </c>
      <c r="BF407" s="18" t="s">
        <v>95</v>
      </c>
      <c r="BG407" s="18" t="s">
        <v>95</v>
      </c>
      <c r="BH407" s="18" t="s">
        <v>95</v>
      </c>
      <c r="BI407" s="18">
        <v>12</v>
      </c>
      <c r="BJ407" s="18">
        <v>2022</v>
      </c>
      <c r="BK407" s="18" t="s">
        <v>95</v>
      </c>
      <c r="BL407" s="18" t="s">
        <v>95</v>
      </c>
      <c r="BM407" s="18" t="s">
        <v>95</v>
      </c>
      <c r="BN407" s="18" t="s">
        <v>85</v>
      </c>
      <c r="BO407" s="18" t="s">
        <v>86</v>
      </c>
      <c r="BP407" s="18" t="s">
        <v>90</v>
      </c>
      <c r="BQ407" s="18" t="s">
        <v>8106</v>
      </c>
      <c r="BR407" s="18" t="s">
        <v>92</v>
      </c>
      <c r="BS407" s="18" t="s">
        <v>8074</v>
      </c>
      <c r="BT407" s="18" t="s">
        <v>10502</v>
      </c>
      <c r="BU407" s="18" t="s">
        <v>496</v>
      </c>
      <c r="BV407" s="18" t="str">
        <f>Terminales[[#This Row],[IMEI]]&amp;"SI"</f>
        <v>350068480693574SI</v>
      </c>
      <c r="BW407" s="18" t="str">
        <f>VLOOKUP(Terminales[[#This Row],[OFICINA_USUARIO]],[1]!Locales[#Data],3,0)</f>
        <v>TIENDA CUENCA CENTRO</v>
      </c>
      <c r="BX407" s="18" t="str">
        <f>VLOOKUP(Terminales[[#This Row],[USUARIO_FINAL]],'[1]Personal Ppto vs Real'!$A:$F,6,0)</f>
        <v>VALLEJO DELEG ROMAN NICOLAS</v>
      </c>
      <c r="BY40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7" s="18">
        <f>DAY(Terminales[[#This Row],[FECHA_FACTURA]])</f>
        <v>5</v>
      </c>
      <c r="CB407" s="65">
        <f>IF(Terminales[[#This Row],[CANTIDAD]] = 1,INDEX([1]!Comisiones[#Data],MATCH("Terminales",[1]!Comisiones[Producto],0),MATCH(Terminales[[#This Row],[TIPO ALTA COMISIONES]],[1]!Comisiones[#Headers],0))*Terminales[[#This Row],[MONTO]],0)</f>
        <v>22.5</v>
      </c>
      <c r="CC407" s="65">
        <f>IFERROR(IF(AND(Terminales[[#This Row],[CANTIDAD]] = 1,Terminales[[#This Row],[MOVIMIENTO]] = "RENOVACION"),Terminales[[#This Row],[TARIFA_BASICA]]*0.5,),)</f>
        <v>0</v>
      </c>
      <c r="CD407" s="65">
        <f>IF('[1]Resumen TM'!$AW$20 &lt; 0.4,0,Terminales[[#This Row],[MONTO]]*0.02)</f>
        <v>4.5</v>
      </c>
      <c r="CE407" s="66">
        <f>Terminales[[#This Row],[COMISIONES TERMINALES]]+Terminales[[#This Row],[COMISIONES RENOVACIONES]]+Terminales[[#This Row],[COMISIONES BONO]]</f>
        <v>27</v>
      </c>
      <c r="CF407" s="67">
        <f>(Terminales[[#This Row],[COMISIONES TERMINALES]]*VLOOKUP(Terminales[[#This Row],[LOCALES]],[1]!Calendario[#Data],3,0))/VLOOKUP(Terminales[[#This Row],[LOCALES]],[1]!Calendario[#Data],2,0)</f>
        <v>36.46551724137931</v>
      </c>
      <c r="CG407" s="67">
        <f>(Terminales[[#This Row],[COMISIONES RENOVACIONES]]*VLOOKUP(Terminales[[#This Row],[LOCALES]],[1]!Calendario[#Data],3,0))/VLOOKUP(Terminales[[#This Row],[LOCALES]],[1]!Calendario[#Data],2,0)</f>
        <v>0</v>
      </c>
      <c r="CH407" s="67">
        <f>(Terminales[[#This Row],[COMISIONES BONO]]*VLOOKUP(Terminales[[#This Row],[LOCALES]],[1]!Calendario[#Data],3,0))/VLOOKUP(Terminales[[#This Row],[LOCALES]],[1]!Calendario[#Data],2,0)</f>
        <v>7.2931034482758621</v>
      </c>
      <c r="CI407" s="67">
        <f>Terminales[[#This Row],[PROY. COM. TERMINALES]]+Terminales[[#This Row],[PROY. COM. RENOV.]]+Terminales[[#This Row],[PROY. COM. 2%]]</f>
        <v>43.758620689655174</v>
      </c>
    </row>
    <row r="408" spans="1:87" x14ac:dyDescent="0.25">
      <c r="A408" s="68">
        <v>44926</v>
      </c>
      <c r="B408" s="68">
        <v>44900</v>
      </c>
      <c r="C408" s="18" t="s">
        <v>96</v>
      </c>
      <c r="D408" s="18" t="s">
        <v>96</v>
      </c>
      <c r="E408" s="18" t="s">
        <v>96</v>
      </c>
      <c r="F408" s="18" t="s">
        <v>95</v>
      </c>
      <c r="G408" s="18" t="s">
        <v>292</v>
      </c>
      <c r="H408" s="18" t="s">
        <v>494</v>
      </c>
      <c r="I408" s="18" t="s">
        <v>10536</v>
      </c>
      <c r="J408" s="18" t="s">
        <v>95</v>
      </c>
      <c r="K408" s="18" t="s">
        <v>7970</v>
      </c>
      <c r="L408" s="18" t="s">
        <v>10496</v>
      </c>
      <c r="M408" s="18" t="s">
        <v>10497</v>
      </c>
      <c r="N408" s="18" t="s">
        <v>10498</v>
      </c>
      <c r="O408" s="18" t="s">
        <v>8033</v>
      </c>
      <c r="P408" s="18" t="s">
        <v>10537</v>
      </c>
      <c r="Q408" s="18" t="s">
        <v>7975</v>
      </c>
      <c r="R408" s="18" t="s">
        <v>7976</v>
      </c>
      <c r="S408" s="18" t="s">
        <v>7977</v>
      </c>
      <c r="T408" s="18" t="s">
        <v>8035</v>
      </c>
      <c r="U408" s="18" t="s">
        <v>7996</v>
      </c>
      <c r="V408" s="18" t="s">
        <v>6963</v>
      </c>
      <c r="W408" s="18" t="s">
        <v>95</v>
      </c>
      <c r="X408" s="18" t="s">
        <v>95</v>
      </c>
      <c r="Y408" s="18" t="s">
        <v>7980</v>
      </c>
      <c r="Z408" s="18" t="s">
        <v>6996</v>
      </c>
      <c r="AA408" s="69">
        <v>1</v>
      </c>
      <c r="AB408" s="18">
        <v>174.10713999999999</v>
      </c>
      <c r="AC408" s="18" t="s">
        <v>10538</v>
      </c>
      <c r="AD408" s="18" t="s">
        <v>96</v>
      </c>
      <c r="AE408" s="18">
        <v>147</v>
      </c>
      <c r="AF408" s="18" t="s">
        <v>7983</v>
      </c>
      <c r="AG408" s="18">
        <v>147</v>
      </c>
      <c r="AH408" s="18" t="s">
        <v>95</v>
      </c>
      <c r="AI408" s="18" t="s">
        <v>95</v>
      </c>
      <c r="AJ408" s="18" t="s">
        <v>95</v>
      </c>
      <c r="AK408" s="18" t="s">
        <v>95</v>
      </c>
      <c r="AL408" s="18" t="s">
        <v>95</v>
      </c>
      <c r="AM408" s="18" t="s">
        <v>95</v>
      </c>
      <c r="AN408" s="18" t="s">
        <v>7984</v>
      </c>
      <c r="AO408" s="18" t="s">
        <v>92</v>
      </c>
      <c r="AP408" s="18" t="s">
        <v>1020</v>
      </c>
      <c r="AQ408" s="18" t="s">
        <v>1021</v>
      </c>
      <c r="AR408" s="18" t="s">
        <v>10501</v>
      </c>
      <c r="AS408" s="18">
        <v>1</v>
      </c>
      <c r="AT408" s="18" t="s">
        <v>91</v>
      </c>
      <c r="AU408" s="18" t="s">
        <v>90</v>
      </c>
      <c r="AV408" s="18" t="s">
        <v>8037</v>
      </c>
      <c r="AW408" s="18" t="s">
        <v>8038</v>
      </c>
      <c r="AX408" s="18" t="s">
        <v>83</v>
      </c>
      <c r="AY408" s="18" t="s">
        <v>95</v>
      </c>
      <c r="AZ408" s="18" t="s">
        <v>95</v>
      </c>
      <c r="BA408" s="18" t="s">
        <v>95</v>
      </c>
      <c r="BB408" s="18" t="s">
        <v>95</v>
      </c>
      <c r="BC408" s="18" t="s">
        <v>95</v>
      </c>
      <c r="BD408" s="18" t="s">
        <v>95</v>
      </c>
      <c r="BE408" s="18" t="s">
        <v>95</v>
      </c>
      <c r="BF408" s="18" t="s">
        <v>95</v>
      </c>
      <c r="BG408" s="18" t="s">
        <v>95</v>
      </c>
      <c r="BH408" s="18" t="s">
        <v>95</v>
      </c>
      <c r="BI408" s="18">
        <v>12</v>
      </c>
      <c r="BJ408" s="18">
        <v>2022</v>
      </c>
      <c r="BK408" s="18" t="s">
        <v>95</v>
      </c>
      <c r="BL408" s="18" t="s">
        <v>95</v>
      </c>
      <c r="BM408" s="18" t="s">
        <v>95</v>
      </c>
      <c r="BN408" s="18" t="s">
        <v>85</v>
      </c>
      <c r="BO408" s="18" t="s">
        <v>86</v>
      </c>
      <c r="BP408" s="18" t="s">
        <v>90</v>
      </c>
      <c r="BQ408" s="18" t="s">
        <v>8106</v>
      </c>
      <c r="BR408" s="18" t="s">
        <v>92</v>
      </c>
      <c r="BS408" s="18" t="s">
        <v>8074</v>
      </c>
      <c r="BT408" s="18" t="s">
        <v>10502</v>
      </c>
      <c r="BU408" s="18" t="s">
        <v>496</v>
      </c>
      <c r="BV408" s="18" t="str">
        <f>Terminales[[#This Row],[IMEI]]&amp;"SI"</f>
        <v>862800063002117SI</v>
      </c>
      <c r="BW408" s="18" t="str">
        <f>VLOOKUP(Terminales[[#This Row],[OFICINA_USUARIO]],[1]!Locales[#Data],3,0)</f>
        <v>TIENDA CUENCA CENTRO</v>
      </c>
      <c r="BX408" s="18" t="str">
        <f>VLOOKUP(Terminales[[#This Row],[USUARIO_FINAL]],'[1]Personal Ppto vs Real'!$A:$F,6,0)</f>
        <v>GONZALES ALVARRACIN PAOLA YESSENIA</v>
      </c>
      <c r="BY408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8" s="18">
        <f>DAY(Terminales[[#This Row],[FECHA_FACTURA]])</f>
        <v>5</v>
      </c>
      <c r="CB408" s="65">
        <f>IF(Terminales[[#This Row],[CANTIDAD]] = 1,INDEX([1]!Comisiones[#Data],MATCH("Terminales",[1]!Comisiones[Producto],0),MATCH(Terminales[[#This Row],[TIPO ALTA COMISIONES]],[1]!Comisiones[#Headers],0))*Terminales[[#This Row],[MONTO]],0)</f>
        <v>17.410713999999999</v>
      </c>
      <c r="CC408" s="65">
        <f>IFERROR(IF(AND(Terminales[[#This Row],[CANTIDAD]] = 1,Terminales[[#This Row],[MOVIMIENTO]] = "RENOVACION"),Terminales[[#This Row],[TARIFA_BASICA]]*0.5,),)</f>
        <v>0</v>
      </c>
      <c r="CD408" s="65">
        <f>IF('[1]Resumen TM'!$AW$20 &lt; 0.4,0,Terminales[[#This Row],[MONTO]]*0.02)</f>
        <v>3.4821427999999996</v>
      </c>
      <c r="CE408" s="66">
        <f>Terminales[[#This Row],[COMISIONES TERMINALES]]+Terminales[[#This Row],[COMISIONES RENOVACIONES]]+Terminales[[#This Row],[COMISIONES BONO]]</f>
        <v>20.892856799999997</v>
      </c>
      <c r="CF408" s="67">
        <f>(Terminales[[#This Row],[COMISIONES TERMINALES]]*VLOOKUP(Terminales[[#This Row],[LOCALES]],[1]!Calendario[#Data],3,0))/VLOOKUP(Terminales[[#This Row],[LOCALES]],[1]!Calendario[#Data],2,0)</f>
        <v>28.217364068965516</v>
      </c>
      <c r="CG408" s="67">
        <f>(Terminales[[#This Row],[COMISIONES RENOVACIONES]]*VLOOKUP(Terminales[[#This Row],[LOCALES]],[1]!Calendario[#Data],3,0))/VLOOKUP(Terminales[[#This Row],[LOCALES]],[1]!Calendario[#Data],2,0)</f>
        <v>0</v>
      </c>
      <c r="CH408" s="67">
        <f>(Terminales[[#This Row],[COMISIONES BONO]]*VLOOKUP(Terminales[[#This Row],[LOCALES]],[1]!Calendario[#Data],3,0))/VLOOKUP(Terminales[[#This Row],[LOCALES]],[1]!Calendario[#Data],2,0)</f>
        <v>5.6434728137931032</v>
      </c>
      <c r="CI408" s="67">
        <f>Terminales[[#This Row],[PROY. COM. TERMINALES]]+Terminales[[#This Row],[PROY. COM. RENOV.]]+Terminales[[#This Row],[PROY. COM. 2%]]</f>
        <v>33.860836882758619</v>
      </c>
    </row>
    <row r="409" spans="1:87" x14ac:dyDescent="0.25">
      <c r="A409" s="68">
        <v>44926</v>
      </c>
      <c r="B409" s="68">
        <v>44900</v>
      </c>
      <c r="C409" s="18" t="s">
        <v>96</v>
      </c>
      <c r="D409" s="18" t="s">
        <v>96</v>
      </c>
      <c r="E409" s="18" t="s">
        <v>96</v>
      </c>
      <c r="F409" s="18" t="s">
        <v>95</v>
      </c>
      <c r="G409" s="18" t="s">
        <v>292</v>
      </c>
      <c r="H409" s="18" t="s">
        <v>494</v>
      </c>
      <c r="I409" s="18" t="s">
        <v>10539</v>
      </c>
      <c r="J409" s="18" t="s">
        <v>95</v>
      </c>
      <c r="K409" s="18" t="s">
        <v>7970</v>
      </c>
      <c r="L409" s="18" t="s">
        <v>10496</v>
      </c>
      <c r="M409" s="18" t="s">
        <v>10497</v>
      </c>
      <c r="N409" s="18" t="s">
        <v>10498</v>
      </c>
      <c r="O409" s="18" t="s">
        <v>338</v>
      </c>
      <c r="P409" s="18" t="s">
        <v>10540</v>
      </c>
      <c r="Q409" s="18" t="s">
        <v>7975</v>
      </c>
      <c r="R409" s="18" t="s">
        <v>7976</v>
      </c>
      <c r="S409" s="18" t="s">
        <v>7977</v>
      </c>
      <c r="T409" s="18" t="s">
        <v>7978</v>
      </c>
      <c r="U409" s="18" t="s">
        <v>7979</v>
      </c>
      <c r="V409" s="18" t="s">
        <v>6963</v>
      </c>
      <c r="W409" s="18" t="s">
        <v>95</v>
      </c>
      <c r="X409" s="18" t="s">
        <v>95</v>
      </c>
      <c r="Y409" s="18" t="s">
        <v>7980</v>
      </c>
      <c r="Z409" s="18" t="s">
        <v>6996</v>
      </c>
      <c r="AA409" s="69">
        <v>1</v>
      </c>
      <c r="AB409" s="18">
        <v>299.11</v>
      </c>
      <c r="AC409" s="18" t="s">
        <v>10541</v>
      </c>
      <c r="AD409" s="18" t="s">
        <v>96</v>
      </c>
      <c r="AE409" s="18">
        <v>235</v>
      </c>
      <c r="AF409" s="18" t="s">
        <v>7983</v>
      </c>
      <c r="AG409" s="18">
        <v>235</v>
      </c>
      <c r="AH409" s="18" t="s">
        <v>95</v>
      </c>
      <c r="AI409" s="18" t="s">
        <v>95</v>
      </c>
      <c r="AJ409" s="18" t="s">
        <v>95</v>
      </c>
      <c r="AK409" s="18" t="s">
        <v>95</v>
      </c>
      <c r="AL409" s="18" t="s">
        <v>95</v>
      </c>
      <c r="AM409" s="18" t="s">
        <v>95</v>
      </c>
      <c r="AN409" s="18" t="s">
        <v>7984</v>
      </c>
      <c r="AO409" s="18" t="s">
        <v>92</v>
      </c>
      <c r="AP409" s="18" t="s">
        <v>88</v>
      </c>
      <c r="AQ409" s="18" t="s">
        <v>89</v>
      </c>
      <c r="AR409" s="18" t="s">
        <v>10501</v>
      </c>
      <c r="AS409" s="18">
        <v>1</v>
      </c>
      <c r="AT409" s="18" t="s">
        <v>91</v>
      </c>
      <c r="AU409" s="18" t="s">
        <v>90</v>
      </c>
      <c r="AV409" s="18" t="s">
        <v>7985</v>
      </c>
      <c r="AW409" s="18" t="s">
        <v>7986</v>
      </c>
      <c r="AX409" s="18" t="s">
        <v>83</v>
      </c>
      <c r="AY409" s="18" t="s">
        <v>95</v>
      </c>
      <c r="AZ409" s="18" t="s">
        <v>95</v>
      </c>
      <c r="BA409" s="18" t="s">
        <v>95</v>
      </c>
      <c r="BB409" s="18" t="s">
        <v>95</v>
      </c>
      <c r="BC409" s="18" t="s">
        <v>95</v>
      </c>
      <c r="BD409" s="18" t="s">
        <v>95</v>
      </c>
      <c r="BE409" s="18" t="s">
        <v>95</v>
      </c>
      <c r="BF409" s="18" t="s">
        <v>95</v>
      </c>
      <c r="BG409" s="18" t="s">
        <v>95</v>
      </c>
      <c r="BH409" s="18" t="s">
        <v>95</v>
      </c>
      <c r="BI409" s="18">
        <v>12</v>
      </c>
      <c r="BJ409" s="18">
        <v>2022</v>
      </c>
      <c r="BK409" s="18" t="s">
        <v>95</v>
      </c>
      <c r="BL409" s="18" t="s">
        <v>95</v>
      </c>
      <c r="BM409" s="18" t="s">
        <v>95</v>
      </c>
      <c r="BN409" s="18" t="s">
        <v>85</v>
      </c>
      <c r="BO409" s="18" t="s">
        <v>86</v>
      </c>
      <c r="BP409" s="18" t="s">
        <v>90</v>
      </c>
      <c r="BQ409" s="18" t="s">
        <v>8106</v>
      </c>
      <c r="BR409" s="18" t="s">
        <v>92</v>
      </c>
      <c r="BS409" s="18" t="s">
        <v>8074</v>
      </c>
      <c r="BT409" s="18" t="s">
        <v>10502</v>
      </c>
      <c r="BU409" s="18" t="s">
        <v>496</v>
      </c>
      <c r="BV409" s="18" t="str">
        <f>Terminales[[#This Row],[IMEI]]&amp;"SI"</f>
        <v>866184060684235SI</v>
      </c>
      <c r="BW409" s="18" t="str">
        <f>VLOOKUP(Terminales[[#This Row],[OFICINA_USUARIO]],[1]!Locales[#Data],3,0)</f>
        <v>TIENDA CUENCA CENTRO</v>
      </c>
      <c r="BX409" s="18" t="str">
        <f>VLOOKUP(Terminales[[#This Row],[USUARIO_FINAL]],'[1]Personal Ppto vs Real'!$A:$F,6,0)</f>
        <v>ANDRADE CONDO CHRISTIAN EDUARDO</v>
      </c>
      <c r="BY40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0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09" s="18">
        <f>DAY(Terminales[[#This Row],[FECHA_FACTURA]])</f>
        <v>5</v>
      </c>
      <c r="CB409" s="65">
        <f>IF(Terminales[[#This Row],[CANTIDAD]] = 1,INDEX([1]!Comisiones[#Data],MATCH("Terminales",[1]!Comisiones[Producto],0),MATCH(Terminales[[#This Row],[TIPO ALTA COMISIONES]],[1]!Comisiones[#Headers],0))*Terminales[[#This Row],[MONTO]],0)</f>
        <v>29.911000000000001</v>
      </c>
      <c r="CC409" s="65">
        <f>IFERROR(IF(AND(Terminales[[#This Row],[CANTIDAD]] = 1,Terminales[[#This Row],[MOVIMIENTO]] = "RENOVACION"),Terminales[[#This Row],[TARIFA_BASICA]]*0.5,),)</f>
        <v>0</v>
      </c>
      <c r="CD409" s="65">
        <f>IF('[1]Resumen TM'!$AW$20 &lt; 0.4,0,Terminales[[#This Row],[MONTO]]*0.02)</f>
        <v>5.9822000000000006</v>
      </c>
      <c r="CE409" s="66">
        <f>Terminales[[#This Row],[COMISIONES TERMINALES]]+Terminales[[#This Row],[COMISIONES RENOVACIONES]]+Terminales[[#This Row],[COMISIONES BONO]]</f>
        <v>35.8932</v>
      </c>
      <c r="CF409" s="67">
        <f>(Terminales[[#This Row],[COMISIONES TERMINALES]]*VLOOKUP(Terminales[[#This Row],[LOCALES]],[1]!Calendario[#Data],3,0))/VLOOKUP(Terminales[[#This Row],[LOCALES]],[1]!Calendario[#Data],2,0)</f>
        <v>48.476448275862069</v>
      </c>
      <c r="CG409" s="67">
        <f>(Terminales[[#This Row],[COMISIONES RENOVACIONES]]*VLOOKUP(Terminales[[#This Row],[LOCALES]],[1]!Calendario[#Data],3,0))/VLOOKUP(Terminales[[#This Row],[LOCALES]],[1]!Calendario[#Data],2,0)</f>
        <v>0</v>
      </c>
      <c r="CH409" s="67">
        <f>(Terminales[[#This Row],[COMISIONES BONO]]*VLOOKUP(Terminales[[#This Row],[LOCALES]],[1]!Calendario[#Data],3,0))/VLOOKUP(Terminales[[#This Row],[LOCALES]],[1]!Calendario[#Data],2,0)</f>
        <v>9.6952896551724148</v>
      </c>
      <c r="CI409" s="67">
        <f>Terminales[[#This Row],[PROY. COM. TERMINALES]]+Terminales[[#This Row],[PROY. COM. RENOV.]]+Terminales[[#This Row],[PROY. COM. 2%]]</f>
        <v>58.171737931034485</v>
      </c>
    </row>
    <row r="410" spans="1:87" x14ac:dyDescent="0.25">
      <c r="A410" s="68">
        <v>44926</v>
      </c>
      <c r="B410" s="68">
        <v>44900</v>
      </c>
      <c r="C410" s="18" t="s">
        <v>96</v>
      </c>
      <c r="D410" s="18" t="s">
        <v>96</v>
      </c>
      <c r="E410" s="18" t="s">
        <v>96</v>
      </c>
      <c r="F410" s="18" t="s">
        <v>95</v>
      </c>
      <c r="G410" s="18" t="s">
        <v>292</v>
      </c>
      <c r="H410" s="18" t="s">
        <v>494</v>
      </c>
      <c r="I410" s="18" t="s">
        <v>10542</v>
      </c>
      <c r="J410" s="18" t="s">
        <v>95</v>
      </c>
      <c r="K410" s="18" t="s">
        <v>7970</v>
      </c>
      <c r="L410" s="18" t="s">
        <v>10496</v>
      </c>
      <c r="M410" s="18" t="s">
        <v>10497</v>
      </c>
      <c r="N410" s="18" t="s">
        <v>10498</v>
      </c>
      <c r="O410" s="18" t="s">
        <v>1691</v>
      </c>
      <c r="P410" s="18" t="s">
        <v>10543</v>
      </c>
      <c r="Q410" s="18" t="s">
        <v>7975</v>
      </c>
      <c r="R410" s="18" t="s">
        <v>7976</v>
      </c>
      <c r="S410" s="18" t="s">
        <v>8045</v>
      </c>
      <c r="T410" s="18" t="s">
        <v>8225</v>
      </c>
      <c r="U410" s="18" t="s">
        <v>8012</v>
      </c>
      <c r="V410" s="18" t="s">
        <v>6963</v>
      </c>
      <c r="W410" s="18" t="s">
        <v>95</v>
      </c>
      <c r="X410" s="18" t="s">
        <v>95</v>
      </c>
      <c r="Y410" s="18" t="s">
        <v>7980</v>
      </c>
      <c r="Z410" s="18" t="s">
        <v>6996</v>
      </c>
      <c r="AA410" s="69">
        <v>1</v>
      </c>
      <c r="AB410" s="18">
        <v>266.96429000000001</v>
      </c>
      <c r="AC410" s="18" t="s">
        <v>10544</v>
      </c>
      <c r="AD410" s="18" t="s">
        <v>96</v>
      </c>
      <c r="AE410" s="18">
        <v>232</v>
      </c>
      <c r="AF410" s="18" t="s">
        <v>7983</v>
      </c>
      <c r="AG410" s="18">
        <v>232</v>
      </c>
      <c r="AH410" s="18" t="s">
        <v>95</v>
      </c>
      <c r="AI410" s="18" t="s">
        <v>95</v>
      </c>
      <c r="AJ410" s="18" t="s">
        <v>95</v>
      </c>
      <c r="AK410" s="18" t="s">
        <v>95</v>
      </c>
      <c r="AL410" s="18" t="s">
        <v>95</v>
      </c>
      <c r="AM410" s="18" t="s">
        <v>95</v>
      </c>
      <c r="AN410" s="18" t="s">
        <v>7984</v>
      </c>
      <c r="AO410" s="18" t="s">
        <v>92</v>
      </c>
      <c r="AP410" s="18" t="s">
        <v>88</v>
      </c>
      <c r="AQ410" s="18" t="s">
        <v>89</v>
      </c>
      <c r="AR410" s="18" t="s">
        <v>10501</v>
      </c>
      <c r="AS410" s="18">
        <v>1</v>
      </c>
      <c r="AT410" s="18" t="s">
        <v>91</v>
      </c>
      <c r="AU410" s="18" t="s">
        <v>90</v>
      </c>
      <c r="AV410" s="18" t="s">
        <v>8228</v>
      </c>
      <c r="AW410" s="18" t="s">
        <v>8229</v>
      </c>
      <c r="AX410" s="18" t="s">
        <v>83</v>
      </c>
      <c r="AY410" s="18" t="s">
        <v>95</v>
      </c>
      <c r="AZ410" s="18" t="s">
        <v>95</v>
      </c>
      <c r="BA410" s="18" t="s">
        <v>95</v>
      </c>
      <c r="BB410" s="18" t="s">
        <v>95</v>
      </c>
      <c r="BC410" s="18" t="s">
        <v>95</v>
      </c>
      <c r="BD410" s="18" t="s">
        <v>95</v>
      </c>
      <c r="BE410" s="18" t="s">
        <v>95</v>
      </c>
      <c r="BF410" s="18" t="s">
        <v>95</v>
      </c>
      <c r="BG410" s="18" t="s">
        <v>95</v>
      </c>
      <c r="BH410" s="18" t="s">
        <v>95</v>
      </c>
      <c r="BI410" s="18">
        <v>12</v>
      </c>
      <c r="BJ410" s="18">
        <v>2022</v>
      </c>
      <c r="BK410" s="18" t="s">
        <v>95</v>
      </c>
      <c r="BL410" s="18" t="s">
        <v>95</v>
      </c>
      <c r="BM410" s="18" t="s">
        <v>95</v>
      </c>
      <c r="BN410" s="18" t="s">
        <v>85</v>
      </c>
      <c r="BO410" s="18" t="s">
        <v>86</v>
      </c>
      <c r="BP410" s="18" t="s">
        <v>90</v>
      </c>
      <c r="BQ410" s="18" t="s">
        <v>8106</v>
      </c>
      <c r="BR410" s="18" t="s">
        <v>92</v>
      </c>
      <c r="BS410" s="18" t="s">
        <v>8074</v>
      </c>
      <c r="BT410" s="18" t="s">
        <v>10502</v>
      </c>
      <c r="BU410" s="18" t="s">
        <v>496</v>
      </c>
      <c r="BV410" s="18" t="str">
        <f>Terminales[[#This Row],[IMEI]]&amp;"SI"</f>
        <v>356795951172050SI</v>
      </c>
      <c r="BW410" s="18" t="str">
        <f>VLOOKUP(Terminales[[#This Row],[OFICINA_USUARIO]],[1]!Locales[#Data],3,0)</f>
        <v>TIENDA CUENCA CENTRO</v>
      </c>
      <c r="BX410" s="18" t="str">
        <f>VLOOKUP(Terminales[[#This Row],[USUARIO_FINAL]],'[1]Personal Ppto vs Real'!$A:$F,6,0)</f>
        <v>ANDRADE CONDO CHRISTIAN EDUARDO</v>
      </c>
      <c r="BY41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1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0" s="18">
        <f>DAY(Terminales[[#This Row],[FECHA_FACTURA]])</f>
        <v>5</v>
      </c>
      <c r="CB410" s="65">
        <f>IF(Terminales[[#This Row],[CANTIDAD]] = 1,INDEX([1]!Comisiones[#Data],MATCH("Terminales",[1]!Comisiones[Producto],0),MATCH(Terminales[[#This Row],[TIPO ALTA COMISIONES]],[1]!Comisiones[#Headers],0))*Terminales[[#This Row],[MONTO]],0)</f>
        <v>26.696429000000002</v>
      </c>
      <c r="CC410" s="65">
        <f>IFERROR(IF(AND(Terminales[[#This Row],[CANTIDAD]] = 1,Terminales[[#This Row],[MOVIMIENTO]] = "RENOVACION"),Terminales[[#This Row],[TARIFA_BASICA]]*0.5,),)</f>
        <v>0</v>
      </c>
      <c r="CD410" s="65">
        <f>IF('[1]Resumen TM'!$AW$20 &lt; 0.4,0,Terminales[[#This Row],[MONTO]]*0.02)</f>
        <v>5.3392857999999999</v>
      </c>
      <c r="CE410" s="66">
        <f>Terminales[[#This Row],[COMISIONES TERMINALES]]+Terminales[[#This Row],[COMISIONES RENOVACIONES]]+Terminales[[#This Row],[COMISIONES BONO]]</f>
        <v>32.035714800000001</v>
      </c>
      <c r="CF410" s="67">
        <f>(Terminales[[#This Row],[COMISIONES TERMINALES]]*VLOOKUP(Terminales[[#This Row],[LOCALES]],[1]!Calendario[#Data],3,0))/VLOOKUP(Terminales[[#This Row],[LOCALES]],[1]!Calendario[#Data],2,0)</f>
        <v>43.266626310344833</v>
      </c>
      <c r="CG410" s="67">
        <f>(Terminales[[#This Row],[COMISIONES RENOVACIONES]]*VLOOKUP(Terminales[[#This Row],[LOCALES]],[1]!Calendario[#Data],3,0))/VLOOKUP(Terminales[[#This Row],[LOCALES]],[1]!Calendario[#Data],2,0)</f>
        <v>0</v>
      </c>
      <c r="CH410" s="67">
        <f>(Terminales[[#This Row],[COMISIONES BONO]]*VLOOKUP(Terminales[[#This Row],[LOCALES]],[1]!Calendario[#Data],3,0))/VLOOKUP(Terminales[[#This Row],[LOCALES]],[1]!Calendario[#Data],2,0)</f>
        <v>8.6533252620689645</v>
      </c>
      <c r="CI410" s="67">
        <f>Terminales[[#This Row],[PROY. COM. TERMINALES]]+Terminales[[#This Row],[PROY. COM. RENOV.]]+Terminales[[#This Row],[PROY. COM. 2%]]</f>
        <v>51.919951572413794</v>
      </c>
    </row>
    <row r="411" spans="1:87" x14ac:dyDescent="0.25">
      <c r="A411" s="68">
        <v>44926</v>
      </c>
      <c r="B411" s="68">
        <v>44901</v>
      </c>
      <c r="C411" s="18" t="s">
        <v>96</v>
      </c>
      <c r="D411" s="18" t="s">
        <v>96</v>
      </c>
      <c r="E411" s="18" t="s">
        <v>96</v>
      </c>
      <c r="F411" s="18" t="s">
        <v>10545</v>
      </c>
      <c r="G411" s="18" t="s">
        <v>292</v>
      </c>
      <c r="H411" s="18" t="s">
        <v>494</v>
      </c>
      <c r="I411" s="18" t="s">
        <v>10546</v>
      </c>
      <c r="J411" s="18" t="s">
        <v>95</v>
      </c>
      <c r="K411" s="18" t="s">
        <v>7970</v>
      </c>
      <c r="L411" s="18" t="s">
        <v>10547</v>
      </c>
      <c r="M411" s="18" t="s">
        <v>10497</v>
      </c>
      <c r="N411" s="18" t="s">
        <v>10498</v>
      </c>
      <c r="O411" s="18" t="s">
        <v>2260</v>
      </c>
      <c r="P411" s="18" t="s">
        <v>10548</v>
      </c>
      <c r="Q411" s="18" t="s">
        <v>7975</v>
      </c>
      <c r="R411" s="18" t="s">
        <v>7976</v>
      </c>
      <c r="S411" s="18" t="s">
        <v>8010</v>
      </c>
      <c r="T411" s="18" t="s">
        <v>8011</v>
      </c>
      <c r="U411" s="18" t="s">
        <v>8012</v>
      </c>
      <c r="V411" s="18" t="s">
        <v>6963</v>
      </c>
      <c r="W411" s="18" t="s">
        <v>95</v>
      </c>
      <c r="X411" s="18" t="s">
        <v>95</v>
      </c>
      <c r="Y411" s="18" t="s">
        <v>7980</v>
      </c>
      <c r="Z411" s="18" t="s">
        <v>6996</v>
      </c>
      <c r="AA411" s="69">
        <v>1</v>
      </c>
      <c r="AB411" s="18">
        <v>223.21429000000001</v>
      </c>
      <c r="AC411" s="18" t="s">
        <v>10549</v>
      </c>
      <c r="AD411" s="18" t="s">
        <v>7982</v>
      </c>
      <c r="AE411" s="18">
        <v>168.8</v>
      </c>
      <c r="AF411" s="18" t="s">
        <v>7983</v>
      </c>
      <c r="AG411" s="18">
        <v>168.8</v>
      </c>
      <c r="AH411" s="18" t="s">
        <v>95</v>
      </c>
      <c r="AI411" s="18" t="s">
        <v>8102</v>
      </c>
      <c r="AJ411" s="18" t="s">
        <v>8103</v>
      </c>
      <c r="AK411" s="18" t="s">
        <v>95</v>
      </c>
      <c r="AL411" s="18" t="s">
        <v>95</v>
      </c>
      <c r="AM411" s="18" t="s">
        <v>95</v>
      </c>
      <c r="AN411" s="18" t="s">
        <v>7984</v>
      </c>
      <c r="AO411" s="18" t="s">
        <v>92</v>
      </c>
      <c r="AP411" s="20" t="s">
        <v>808</v>
      </c>
      <c r="AQ411" s="18" t="s">
        <v>809</v>
      </c>
      <c r="AR411" s="18" t="s">
        <v>10501</v>
      </c>
      <c r="AS411" s="18">
        <v>1</v>
      </c>
      <c r="AT411" s="18" t="s">
        <v>122</v>
      </c>
      <c r="AU411" s="18" t="s">
        <v>90</v>
      </c>
      <c r="AV411" s="18" t="s">
        <v>8014</v>
      </c>
      <c r="AW411" s="18" t="s">
        <v>8015</v>
      </c>
      <c r="AX411" s="18" t="s">
        <v>83</v>
      </c>
      <c r="AY411" s="18" t="s">
        <v>95</v>
      </c>
      <c r="AZ411" s="18" t="s">
        <v>95</v>
      </c>
      <c r="BA411" s="18" t="s">
        <v>95</v>
      </c>
      <c r="BB411" s="18" t="s">
        <v>95</v>
      </c>
      <c r="BC411" s="18" t="s">
        <v>118</v>
      </c>
      <c r="BD411" s="18" t="s">
        <v>95</v>
      </c>
      <c r="BE411" s="18" t="s">
        <v>95</v>
      </c>
      <c r="BF411" s="18" t="s">
        <v>95</v>
      </c>
      <c r="BG411" s="18" t="s">
        <v>95</v>
      </c>
      <c r="BH411" s="18" t="s">
        <v>95</v>
      </c>
      <c r="BI411" s="18">
        <v>12</v>
      </c>
      <c r="BJ411" s="18">
        <v>2022</v>
      </c>
      <c r="BK411" s="18" t="s">
        <v>95</v>
      </c>
      <c r="BL411" s="18" t="s">
        <v>95</v>
      </c>
      <c r="BM411" s="18" t="s">
        <v>95</v>
      </c>
      <c r="BN411" s="18" t="s">
        <v>85</v>
      </c>
      <c r="BO411" s="18" t="s">
        <v>86</v>
      </c>
      <c r="BP411" s="18" t="s">
        <v>90</v>
      </c>
      <c r="BQ411" s="18" t="s">
        <v>8050</v>
      </c>
      <c r="BR411" s="18" t="s">
        <v>92</v>
      </c>
      <c r="BS411" s="18" t="s">
        <v>8074</v>
      </c>
      <c r="BT411" s="18" t="s">
        <v>10502</v>
      </c>
      <c r="BU411" s="18" t="s">
        <v>496</v>
      </c>
      <c r="BV411" s="18" t="str">
        <f>Terminales[[#This Row],[IMEI]]&amp;"SI"</f>
        <v>359694275286984SI</v>
      </c>
      <c r="BW411" s="18" t="str">
        <f>VLOOKUP(Terminales[[#This Row],[OFICINA_USUARIO]],[1]!Locales[#Data],3,0)</f>
        <v>TIENDA MACHALA</v>
      </c>
      <c r="BX411" s="18" t="str">
        <f>VLOOKUP(Terminales[[#This Row],[USUARIO_FINAL]],'[1]Personal Ppto vs Real'!$A:$F,6,0)</f>
        <v>ALICIA ROMINA GONZALEZ SANDOYA</v>
      </c>
      <c r="BY411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41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1" s="18">
        <f>DAY(Terminales[[#This Row],[FECHA_FACTURA]])</f>
        <v>6</v>
      </c>
      <c r="CB411" s="65">
        <f>IF(Terminales[[#This Row],[CANTIDAD]] = 1,INDEX([1]!Comisiones[#Data],MATCH("Terminales",[1]!Comisiones[Producto],0),MATCH(Terminales[[#This Row],[TIPO ALTA COMISIONES]],[1]!Comisiones[#Headers],0))*Terminales[[#This Row],[MONTO]],0)</f>
        <v>22.321429000000002</v>
      </c>
      <c r="CC411" s="65">
        <f>IFERROR(IF(AND(Terminales[[#This Row],[CANTIDAD]] = 1,Terminales[[#This Row],[MOVIMIENTO]] = "RENOVACION"),Terminales[[#This Row],[TARIFA_BASICA]]*0.5,),)</f>
        <v>0</v>
      </c>
      <c r="CD411" s="65">
        <f>IF('[1]Resumen TM'!$AW$20 &lt; 0.4,0,Terminales[[#This Row],[MONTO]]*0.02)</f>
        <v>4.4642857999999999</v>
      </c>
      <c r="CE411" s="66">
        <f>Terminales[[#This Row],[COMISIONES TERMINALES]]+Terminales[[#This Row],[COMISIONES RENOVACIONES]]+Terminales[[#This Row],[COMISIONES BONO]]</f>
        <v>26.785714800000001</v>
      </c>
      <c r="CF411" s="67">
        <f>(Terminales[[#This Row],[COMISIONES TERMINALES]]*VLOOKUP(Terminales[[#This Row],[LOCALES]],[1]!Calendario[#Data],3,0))/VLOOKUP(Terminales[[#This Row],[LOCALES]],[1]!Calendario[#Data],2,0)</f>
        <v>36.176109068965523</v>
      </c>
      <c r="CG411" s="67">
        <f>(Terminales[[#This Row],[COMISIONES RENOVACIONES]]*VLOOKUP(Terminales[[#This Row],[LOCALES]],[1]!Calendario[#Data],3,0))/VLOOKUP(Terminales[[#This Row],[LOCALES]],[1]!Calendario[#Data],2,0)</f>
        <v>0</v>
      </c>
      <c r="CH411" s="67">
        <f>(Terminales[[#This Row],[COMISIONES BONO]]*VLOOKUP(Terminales[[#This Row],[LOCALES]],[1]!Calendario[#Data],3,0))/VLOOKUP(Terminales[[#This Row],[LOCALES]],[1]!Calendario[#Data],2,0)</f>
        <v>7.2352218137931024</v>
      </c>
      <c r="CI411" s="67">
        <f>Terminales[[#This Row],[PROY. COM. TERMINALES]]+Terminales[[#This Row],[PROY. COM. RENOV.]]+Terminales[[#This Row],[PROY. COM. 2%]]</f>
        <v>43.411330882758627</v>
      </c>
    </row>
    <row r="412" spans="1:87" x14ac:dyDescent="0.25">
      <c r="A412" s="68">
        <v>44926</v>
      </c>
      <c r="B412" s="68">
        <v>44901</v>
      </c>
      <c r="C412" s="18" t="s">
        <v>96</v>
      </c>
      <c r="D412" s="18" t="s">
        <v>96</v>
      </c>
      <c r="E412" s="18" t="s">
        <v>96</v>
      </c>
      <c r="F412" s="18" t="s">
        <v>10545</v>
      </c>
      <c r="G412" s="18" t="s">
        <v>292</v>
      </c>
      <c r="H412" s="18" t="s">
        <v>494</v>
      </c>
      <c r="I412" s="18" t="s">
        <v>10550</v>
      </c>
      <c r="J412" s="18" t="s">
        <v>95</v>
      </c>
      <c r="K412" s="18" t="s">
        <v>7970</v>
      </c>
      <c r="L412" s="18" t="s">
        <v>10547</v>
      </c>
      <c r="M412" s="18" t="s">
        <v>10497</v>
      </c>
      <c r="N412" s="18" t="s">
        <v>10498</v>
      </c>
      <c r="O412" s="18" t="s">
        <v>1691</v>
      </c>
      <c r="P412" s="18" t="s">
        <v>10551</v>
      </c>
      <c r="Q412" s="18" t="s">
        <v>7975</v>
      </c>
      <c r="R412" s="18" t="s">
        <v>7976</v>
      </c>
      <c r="S412" s="18" t="s">
        <v>8045</v>
      </c>
      <c r="T412" s="18" t="s">
        <v>8225</v>
      </c>
      <c r="U412" s="18" t="s">
        <v>8012</v>
      </c>
      <c r="V412" s="18" t="s">
        <v>6963</v>
      </c>
      <c r="W412" s="18" t="s">
        <v>95</v>
      </c>
      <c r="X412" s="18" t="s">
        <v>95</v>
      </c>
      <c r="Y412" s="18" t="s">
        <v>7980</v>
      </c>
      <c r="Z412" s="18" t="s">
        <v>6996</v>
      </c>
      <c r="AA412" s="69">
        <v>1</v>
      </c>
      <c r="AB412" s="18">
        <v>266.96429000000001</v>
      </c>
      <c r="AC412" s="18" t="s">
        <v>10549</v>
      </c>
      <c r="AD412" s="18" t="s">
        <v>7982</v>
      </c>
      <c r="AE412" s="18">
        <v>232</v>
      </c>
      <c r="AF412" s="18" t="s">
        <v>7983</v>
      </c>
      <c r="AG412" s="18">
        <v>232</v>
      </c>
      <c r="AH412" s="18" t="s">
        <v>95</v>
      </c>
      <c r="AI412" s="18" t="s">
        <v>8102</v>
      </c>
      <c r="AJ412" s="18" t="s">
        <v>8103</v>
      </c>
      <c r="AK412" s="18" t="s">
        <v>95</v>
      </c>
      <c r="AL412" s="18" t="s">
        <v>95</v>
      </c>
      <c r="AM412" s="18" t="s">
        <v>95</v>
      </c>
      <c r="AN412" s="18" t="s">
        <v>7984</v>
      </c>
      <c r="AO412" s="18" t="s">
        <v>92</v>
      </c>
      <c r="AP412" s="20" t="s">
        <v>808</v>
      </c>
      <c r="AQ412" s="18" t="s">
        <v>809</v>
      </c>
      <c r="AR412" s="18" t="s">
        <v>10501</v>
      </c>
      <c r="AS412" s="18">
        <v>1</v>
      </c>
      <c r="AT412" s="18" t="s">
        <v>122</v>
      </c>
      <c r="AU412" s="18" t="s">
        <v>90</v>
      </c>
      <c r="AV412" s="18" t="s">
        <v>8228</v>
      </c>
      <c r="AW412" s="18" t="s">
        <v>8229</v>
      </c>
      <c r="AX412" s="18" t="s">
        <v>83</v>
      </c>
      <c r="AY412" s="18" t="s">
        <v>95</v>
      </c>
      <c r="AZ412" s="18" t="s">
        <v>95</v>
      </c>
      <c r="BA412" s="18" t="s">
        <v>95</v>
      </c>
      <c r="BB412" s="18" t="s">
        <v>95</v>
      </c>
      <c r="BC412" s="18" t="s">
        <v>118</v>
      </c>
      <c r="BD412" s="18" t="s">
        <v>95</v>
      </c>
      <c r="BE412" s="18" t="s">
        <v>95</v>
      </c>
      <c r="BF412" s="18" t="s">
        <v>95</v>
      </c>
      <c r="BG412" s="18" t="s">
        <v>95</v>
      </c>
      <c r="BH412" s="18" t="s">
        <v>95</v>
      </c>
      <c r="BI412" s="18">
        <v>12</v>
      </c>
      <c r="BJ412" s="18">
        <v>2022</v>
      </c>
      <c r="BK412" s="18" t="s">
        <v>95</v>
      </c>
      <c r="BL412" s="18" t="s">
        <v>95</v>
      </c>
      <c r="BM412" s="18" t="s">
        <v>95</v>
      </c>
      <c r="BN412" s="18" t="s">
        <v>85</v>
      </c>
      <c r="BO412" s="18" t="s">
        <v>86</v>
      </c>
      <c r="BP412" s="18" t="s">
        <v>90</v>
      </c>
      <c r="BQ412" s="18" t="s">
        <v>8050</v>
      </c>
      <c r="BR412" s="18" t="s">
        <v>92</v>
      </c>
      <c r="BS412" s="18" t="s">
        <v>8074</v>
      </c>
      <c r="BT412" s="18" t="s">
        <v>10502</v>
      </c>
      <c r="BU412" s="18" t="s">
        <v>496</v>
      </c>
      <c r="BV412" s="18" t="str">
        <f>Terminales[[#This Row],[IMEI]]&amp;"SI"</f>
        <v>356795951217467SI</v>
      </c>
      <c r="BW412" s="18" t="str">
        <f>VLOOKUP(Terminales[[#This Row],[OFICINA_USUARIO]],[1]!Locales[#Data],3,0)</f>
        <v>TIENDA MACHALA</v>
      </c>
      <c r="BX412" s="18" t="str">
        <f>VLOOKUP(Terminales[[#This Row],[USUARIO_FINAL]],'[1]Personal Ppto vs Real'!$A:$F,6,0)</f>
        <v>ALICIA ROMINA GONZALEZ SANDOYA</v>
      </c>
      <c r="BY412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41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2" s="18">
        <f>DAY(Terminales[[#This Row],[FECHA_FACTURA]])</f>
        <v>6</v>
      </c>
      <c r="CB412" s="65">
        <f>IF(Terminales[[#This Row],[CANTIDAD]] = 1,INDEX([1]!Comisiones[#Data],MATCH("Terminales",[1]!Comisiones[Producto],0),MATCH(Terminales[[#This Row],[TIPO ALTA COMISIONES]],[1]!Comisiones[#Headers],0))*Terminales[[#This Row],[MONTO]],0)</f>
        <v>26.696429000000002</v>
      </c>
      <c r="CC412" s="65">
        <f>IFERROR(IF(AND(Terminales[[#This Row],[CANTIDAD]] = 1,Terminales[[#This Row],[MOVIMIENTO]] = "RENOVACION"),Terminales[[#This Row],[TARIFA_BASICA]]*0.5,),)</f>
        <v>0</v>
      </c>
      <c r="CD412" s="65">
        <f>IF('[1]Resumen TM'!$AW$20 &lt; 0.4,0,Terminales[[#This Row],[MONTO]]*0.02)</f>
        <v>5.3392857999999999</v>
      </c>
      <c r="CE412" s="66">
        <f>Terminales[[#This Row],[COMISIONES TERMINALES]]+Terminales[[#This Row],[COMISIONES RENOVACIONES]]+Terminales[[#This Row],[COMISIONES BONO]]</f>
        <v>32.035714800000001</v>
      </c>
      <c r="CF412" s="67">
        <f>(Terminales[[#This Row],[COMISIONES TERMINALES]]*VLOOKUP(Terminales[[#This Row],[LOCALES]],[1]!Calendario[#Data],3,0))/VLOOKUP(Terminales[[#This Row],[LOCALES]],[1]!Calendario[#Data],2,0)</f>
        <v>43.266626310344833</v>
      </c>
      <c r="CG412" s="67">
        <f>(Terminales[[#This Row],[COMISIONES RENOVACIONES]]*VLOOKUP(Terminales[[#This Row],[LOCALES]],[1]!Calendario[#Data],3,0))/VLOOKUP(Terminales[[#This Row],[LOCALES]],[1]!Calendario[#Data],2,0)</f>
        <v>0</v>
      </c>
      <c r="CH412" s="67">
        <f>(Terminales[[#This Row],[COMISIONES BONO]]*VLOOKUP(Terminales[[#This Row],[LOCALES]],[1]!Calendario[#Data],3,0))/VLOOKUP(Terminales[[#This Row],[LOCALES]],[1]!Calendario[#Data],2,0)</f>
        <v>8.6533252620689645</v>
      </c>
      <c r="CI412" s="67">
        <f>Terminales[[#This Row],[PROY. COM. TERMINALES]]+Terminales[[#This Row],[PROY. COM. RENOV.]]+Terminales[[#This Row],[PROY. COM. 2%]]</f>
        <v>51.919951572413794</v>
      </c>
    </row>
    <row r="413" spans="1:87" x14ac:dyDescent="0.25">
      <c r="A413" s="68">
        <v>44926</v>
      </c>
      <c r="B413" s="68">
        <v>44901</v>
      </c>
      <c r="C413" s="18" t="s">
        <v>96</v>
      </c>
      <c r="D413" s="18" t="s">
        <v>96</v>
      </c>
      <c r="E413" s="18" t="s">
        <v>96</v>
      </c>
      <c r="F413" s="18" t="s">
        <v>95</v>
      </c>
      <c r="G413" s="18" t="s">
        <v>292</v>
      </c>
      <c r="H413" s="18" t="s">
        <v>494</v>
      </c>
      <c r="I413" s="18" t="s">
        <v>10552</v>
      </c>
      <c r="J413" s="18" t="s">
        <v>95</v>
      </c>
      <c r="K413" s="18" t="s">
        <v>7970</v>
      </c>
      <c r="L413" s="18" t="s">
        <v>10496</v>
      </c>
      <c r="M413" s="18" t="s">
        <v>10497</v>
      </c>
      <c r="N413" s="18" t="s">
        <v>10498</v>
      </c>
      <c r="O413" s="18" t="s">
        <v>6467</v>
      </c>
      <c r="P413" s="18" t="s">
        <v>10553</v>
      </c>
      <c r="Q413" s="18" t="s">
        <v>7975</v>
      </c>
      <c r="R413" s="18" t="s">
        <v>7976</v>
      </c>
      <c r="S413" s="18" t="s">
        <v>8045</v>
      </c>
      <c r="T413" s="18" t="s">
        <v>8331</v>
      </c>
      <c r="U413" s="18" t="s">
        <v>7996</v>
      </c>
      <c r="V413" s="18" t="s">
        <v>6963</v>
      </c>
      <c r="W413" s="18" t="s">
        <v>95</v>
      </c>
      <c r="X413" s="18" t="s">
        <v>95</v>
      </c>
      <c r="Y413" s="18" t="s">
        <v>7980</v>
      </c>
      <c r="Z413" s="18" t="s">
        <v>6996</v>
      </c>
      <c r="AA413" s="69">
        <v>1</v>
      </c>
      <c r="AB413" s="18">
        <v>113.39286</v>
      </c>
      <c r="AC413" s="18" t="s">
        <v>10554</v>
      </c>
      <c r="AD413" s="18" t="s">
        <v>96</v>
      </c>
      <c r="AE413" s="18">
        <v>91</v>
      </c>
      <c r="AF413" s="18" t="s">
        <v>7983</v>
      </c>
      <c r="AG413" s="18">
        <v>91</v>
      </c>
      <c r="AH413" s="18" t="s">
        <v>95</v>
      </c>
      <c r="AI413" s="18" t="s">
        <v>95</v>
      </c>
      <c r="AJ413" s="18" t="s">
        <v>95</v>
      </c>
      <c r="AK413" s="18" t="s">
        <v>95</v>
      </c>
      <c r="AL413" s="18" t="s">
        <v>95</v>
      </c>
      <c r="AM413" s="18" t="s">
        <v>95</v>
      </c>
      <c r="AN413" s="18" t="s">
        <v>7984</v>
      </c>
      <c r="AO413" s="18" t="s">
        <v>92</v>
      </c>
      <c r="AP413" s="18" t="s">
        <v>88</v>
      </c>
      <c r="AQ413" s="18" t="s">
        <v>89</v>
      </c>
      <c r="AR413" s="18" t="s">
        <v>10501</v>
      </c>
      <c r="AS413" s="18">
        <v>1</v>
      </c>
      <c r="AT413" s="18" t="s">
        <v>91</v>
      </c>
      <c r="AU413" s="18" t="s">
        <v>90</v>
      </c>
      <c r="AV413" s="18" t="s">
        <v>8333</v>
      </c>
      <c r="AW413" s="18" t="s">
        <v>8334</v>
      </c>
      <c r="AX413" s="18" t="s">
        <v>83</v>
      </c>
      <c r="AY413" s="18" t="s">
        <v>95</v>
      </c>
      <c r="AZ413" s="18" t="s">
        <v>95</v>
      </c>
      <c r="BA413" s="18" t="s">
        <v>95</v>
      </c>
      <c r="BB413" s="18" t="s">
        <v>95</v>
      </c>
      <c r="BC413" s="18" t="s">
        <v>95</v>
      </c>
      <c r="BD413" s="18" t="s">
        <v>95</v>
      </c>
      <c r="BE413" s="18" t="s">
        <v>95</v>
      </c>
      <c r="BF413" s="18" t="s">
        <v>95</v>
      </c>
      <c r="BG413" s="18" t="s">
        <v>95</v>
      </c>
      <c r="BH413" s="18" t="s">
        <v>95</v>
      </c>
      <c r="BI413" s="18">
        <v>12</v>
      </c>
      <c r="BJ413" s="18">
        <v>2022</v>
      </c>
      <c r="BK413" s="18" t="s">
        <v>95</v>
      </c>
      <c r="BL413" s="18" t="s">
        <v>95</v>
      </c>
      <c r="BM413" s="18" t="s">
        <v>95</v>
      </c>
      <c r="BN413" s="18" t="s">
        <v>85</v>
      </c>
      <c r="BO413" s="18" t="s">
        <v>86</v>
      </c>
      <c r="BP413" s="18" t="s">
        <v>90</v>
      </c>
      <c r="BQ413" s="18" t="s">
        <v>8106</v>
      </c>
      <c r="BR413" s="18" t="s">
        <v>92</v>
      </c>
      <c r="BS413" s="18" t="s">
        <v>8074</v>
      </c>
      <c r="BT413" s="18" t="s">
        <v>10502</v>
      </c>
      <c r="BU413" s="18" t="s">
        <v>496</v>
      </c>
      <c r="BV413" s="18" t="str">
        <f>Terminales[[#This Row],[IMEI]]&amp;"SI"</f>
        <v>352286990938259SI</v>
      </c>
      <c r="BW413" s="18" t="str">
        <f>VLOOKUP(Terminales[[#This Row],[OFICINA_USUARIO]],[1]!Locales[#Data],3,0)</f>
        <v>TIENDA CUENCA CENTRO</v>
      </c>
      <c r="BX413" s="18" t="str">
        <f>VLOOKUP(Terminales[[#This Row],[USUARIO_FINAL]],'[1]Personal Ppto vs Real'!$A:$F,6,0)</f>
        <v>ANDRADE CONDO CHRISTIAN EDUARDO</v>
      </c>
      <c r="BY41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1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3" s="18">
        <f>DAY(Terminales[[#This Row],[FECHA_FACTURA]])</f>
        <v>6</v>
      </c>
      <c r="CB413" s="65">
        <f>IF(Terminales[[#This Row],[CANTIDAD]] = 1,INDEX([1]!Comisiones[#Data],MATCH("Terminales",[1]!Comisiones[Producto],0),MATCH(Terminales[[#This Row],[TIPO ALTA COMISIONES]],[1]!Comisiones[#Headers],0))*Terminales[[#This Row],[MONTO]],0)</f>
        <v>11.339286000000001</v>
      </c>
      <c r="CC413" s="65">
        <f>IFERROR(IF(AND(Terminales[[#This Row],[CANTIDAD]] = 1,Terminales[[#This Row],[MOVIMIENTO]] = "RENOVACION"),Terminales[[#This Row],[TARIFA_BASICA]]*0.5,),)</f>
        <v>0</v>
      </c>
      <c r="CD413" s="65">
        <f>IF('[1]Resumen TM'!$AW$20 &lt; 0.4,0,Terminales[[#This Row],[MONTO]]*0.02)</f>
        <v>2.2678571999999999</v>
      </c>
      <c r="CE413" s="66">
        <f>Terminales[[#This Row],[COMISIONES TERMINALES]]+Terminales[[#This Row],[COMISIONES RENOVACIONES]]+Terminales[[#This Row],[COMISIONES BONO]]</f>
        <v>13.607143200000001</v>
      </c>
      <c r="CF413" s="67">
        <f>(Terminales[[#This Row],[COMISIONES TERMINALES]]*VLOOKUP(Terminales[[#This Row],[LOCALES]],[1]!Calendario[#Data],3,0))/VLOOKUP(Terminales[[#This Row],[LOCALES]],[1]!Calendario[#Data],2,0)</f>
        <v>18.377463517241381</v>
      </c>
      <c r="CG413" s="67">
        <f>(Terminales[[#This Row],[COMISIONES RENOVACIONES]]*VLOOKUP(Terminales[[#This Row],[LOCALES]],[1]!Calendario[#Data],3,0))/VLOOKUP(Terminales[[#This Row],[LOCALES]],[1]!Calendario[#Data],2,0)</f>
        <v>0</v>
      </c>
      <c r="CH413" s="67">
        <f>(Terminales[[#This Row],[COMISIONES BONO]]*VLOOKUP(Terminales[[#This Row],[LOCALES]],[1]!Calendario[#Data],3,0))/VLOOKUP(Terminales[[#This Row],[LOCALES]],[1]!Calendario[#Data],2,0)</f>
        <v>3.6754927034482758</v>
      </c>
      <c r="CI413" s="67">
        <f>Terminales[[#This Row],[PROY. COM. TERMINALES]]+Terminales[[#This Row],[PROY. COM. RENOV.]]+Terminales[[#This Row],[PROY. COM. 2%]]</f>
        <v>22.052956220689659</v>
      </c>
    </row>
    <row r="414" spans="1:87" x14ac:dyDescent="0.25">
      <c r="A414" s="68">
        <v>44926</v>
      </c>
      <c r="B414" s="68">
        <v>44901</v>
      </c>
      <c r="C414" s="18" t="s">
        <v>96</v>
      </c>
      <c r="D414" s="18" t="s">
        <v>96</v>
      </c>
      <c r="E414" s="18" t="s">
        <v>96</v>
      </c>
      <c r="F414" s="18" t="s">
        <v>95</v>
      </c>
      <c r="G414" s="18" t="s">
        <v>292</v>
      </c>
      <c r="H414" s="18" t="s">
        <v>494</v>
      </c>
      <c r="I414" s="18" t="s">
        <v>10555</v>
      </c>
      <c r="J414" s="18" t="s">
        <v>95</v>
      </c>
      <c r="K414" s="18" t="s">
        <v>7970</v>
      </c>
      <c r="L414" s="18" t="s">
        <v>10496</v>
      </c>
      <c r="M414" s="18" t="s">
        <v>10497</v>
      </c>
      <c r="N414" s="18" t="s">
        <v>10498</v>
      </c>
      <c r="O414" s="18" t="s">
        <v>8033</v>
      </c>
      <c r="P414" s="18" t="s">
        <v>10556</v>
      </c>
      <c r="Q414" s="18" t="s">
        <v>7975</v>
      </c>
      <c r="R414" s="18" t="s">
        <v>7976</v>
      </c>
      <c r="S414" s="18" t="s">
        <v>7977</v>
      </c>
      <c r="T414" s="18" t="s">
        <v>8035</v>
      </c>
      <c r="U414" s="18" t="s">
        <v>7996</v>
      </c>
      <c r="V414" s="18" t="s">
        <v>6963</v>
      </c>
      <c r="W414" s="18" t="s">
        <v>95</v>
      </c>
      <c r="X414" s="18" t="s">
        <v>95</v>
      </c>
      <c r="Y414" s="18" t="s">
        <v>7980</v>
      </c>
      <c r="Z414" s="18" t="s">
        <v>6996</v>
      </c>
      <c r="AA414" s="69">
        <v>1</v>
      </c>
      <c r="AB414" s="18">
        <v>174.10713999999999</v>
      </c>
      <c r="AC414" s="18" t="s">
        <v>10557</v>
      </c>
      <c r="AD414" s="18" t="s">
        <v>96</v>
      </c>
      <c r="AE414" s="18">
        <v>147</v>
      </c>
      <c r="AF414" s="18" t="s">
        <v>7983</v>
      </c>
      <c r="AG414" s="18">
        <v>147</v>
      </c>
      <c r="AH414" s="18" t="s">
        <v>95</v>
      </c>
      <c r="AI414" s="18" t="s">
        <v>95</v>
      </c>
      <c r="AJ414" s="18" t="s">
        <v>95</v>
      </c>
      <c r="AK414" s="18" t="s">
        <v>95</v>
      </c>
      <c r="AL414" s="18" t="s">
        <v>95</v>
      </c>
      <c r="AM414" s="18" t="s">
        <v>95</v>
      </c>
      <c r="AN414" s="18" t="s">
        <v>7984</v>
      </c>
      <c r="AO414" s="18" t="s">
        <v>92</v>
      </c>
      <c r="AP414" s="18" t="s">
        <v>1020</v>
      </c>
      <c r="AQ414" s="18" t="s">
        <v>1021</v>
      </c>
      <c r="AR414" s="18" t="s">
        <v>10501</v>
      </c>
      <c r="AS414" s="18">
        <v>1</v>
      </c>
      <c r="AT414" s="18" t="s">
        <v>91</v>
      </c>
      <c r="AU414" s="18" t="s">
        <v>90</v>
      </c>
      <c r="AV414" s="18" t="s">
        <v>8037</v>
      </c>
      <c r="AW414" s="18" t="s">
        <v>8038</v>
      </c>
      <c r="AX414" s="18" t="s">
        <v>83</v>
      </c>
      <c r="AY414" s="18" t="s">
        <v>95</v>
      </c>
      <c r="AZ414" s="18" t="s">
        <v>95</v>
      </c>
      <c r="BA414" s="18" t="s">
        <v>95</v>
      </c>
      <c r="BB414" s="18" t="s">
        <v>95</v>
      </c>
      <c r="BC414" s="18" t="s">
        <v>95</v>
      </c>
      <c r="BD414" s="18" t="s">
        <v>95</v>
      </c>
      <c r="BE414" s="18" t="s">
        <v>95</v>
      </c>
      <c r="BF414" s="18" t="s">
        <v>95</v>
      </c>
      <c r="BG414" s="18" t="s">
        <v>95</v>
      </c>
      <c r="BH414" s="18" t="s">
        <v>95</v>
      </c>
      <c r="BI414" s="18">
        <v>12</v>
      </c>
      <c r="BJ414" s="18">
        <v>2022</v>
      </c>
      <c r="BK414" s="18" t="s">
        <v>95</v>
      </c>
      <c r="BL414" s="18" t="s">
        <v>95</v>
      </c>
      <c r="BM414" s="18" t="s">
        <v>95</v>
      </c>
      <c r="BN414" s="18" t="s">
        <v>85</v>
      </c>
      <c r="BO414" s="18" t="s">
        <v>86</v>
      </c>
      <c r="BP414" s="18" t="s">
        <v>90</v>
      </c>
      <c r="BQ414" s="18" t="s">
        <v>8106</v>
      </c>
      <c r="BR414" s="18" t="s">
        <v>92</v>
      </c>
      <c r="BS414" s="18" t="s">
        <v>8074</v>
      </c>
      <c r="BT414" s="18" t="s">
        <v>10502</v>
      </c>
      <c r="BU414" s="18" t="s">
        <v>496</v>
      </c>
      <c r="BV414" s="18" t="str">
        <f>Terminales[[#This Row],[IMEI]]&amp;"SI"</f>
        <v>862800061028569SI</v>
      </c>
      <c r="BW414" s="18" t="str">
        <f>VLOOKUP(Terminales[[#This Row],[OFICINA_USUARIO]],[1]!Locales[#Data],3,0)</f>
        <v>TIENDA CUENCA CENTRO</v>
      </c>
      <c r="BX414" s="18" t="str">
        <f>VLOOKUP(Terminales[[#This Row],[USUARIO_FINAL]],'[1]Personal Ppto vs Real'!$A:$F,6,0)</f>
        <v>GONZALES ALVARRACIN PAOLA YESSENIA</v>
      </c>
      <c r="BY41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1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4" s="18">
        <f>DAY(Terminales[[#This Row],[FECHA_FACTURA]])</f>
        <v>6</v>
      </c>
      <c r="CB414" s="65">
        <f>IF(Terminales[[#This Row],[CANTIDAD]] = 1,INDEX([1]!Comisiones[#Data],MATCH("Terminales",[1]!Comisiones[Producto],0),MATCH(Terminales[[#This Row],[TIPO ALTA COMISIONES]],[1]!Comisiones[#Headers],0))*Terminales[[#This Row],[MONTO]],0)</f>
        <v>17.410713999999999</v>
      </c>
      <c r="CC414" s="65">
        <f>IFERROR(IF(AND(Terminales[[#This Row],[CANTIDAD]] = 1,Terminales[[#This Row],[MOVIMIENTO]] = "RENOVACION"),Terminales[[#This Row],[TARIFA_BASICA]]*0.5,),)</f>
        <v>0</v>
      </c>
      <c r="CD414" s="65">
        <f>IF('[1]Resumen TM'!$AW$20 &lt; 0.4,0,Terminales[[#This Row],[MONTO]]*0.02)</f>
        <v>3.4821427999999996</v>
      </c>
      <c r="CE414" s="66">
        <f>Terminales[[#This Row],[COMISIONES TERMINALES]]+Terminales[[#This Row],[COMISIONES RENOVACIONES]]+Terminales[[#This Row],[COMISIONES BONO]]</f>
        <v>20.892856799999997</v>
      </c>
      <c r="CF414" s="67">
        <f>(Terminales[[#This Row],[COMISIONES TERMINALES]]*VLOOKUP(Terminales[[#This Row],[LOCALES]],[1]!Calendario[#Data],3,0))/VLOOKUP(Terminales[[#This Row],[LOCALES]],[1]!Calendario[#Data],2,0)</f>
        <v>28.217364068965516</v>
      </c>
      <c r="CG414" s="67">
        <f>(Terminales[[#This Row],[COMISIONES RENOVACIONES]]*VLOOKUP(Terminales[[#This Row],[LOCALES]],[1]!Calendario[#Data],3,0))/VLOOKUP(Terminales[[#This Row],[LOCALES]],[1]!Calendario[#Data],2,0)</f>
        <v>0</v>
      </c>
      <c r="CH414" s="67">
        <f>(Terminales[[#This Row],[COMISIONES BONO]]*VLOOKUP(Terminales[[#This Row],[LOCALES]],[1]!Calendario[#Data],3,0))/VLOOKUP(Terminales[[#This Row],[LOCALES]],[1]!Calendario[#Data],2,0)</f>
        <v>5.6434728137931032</v>
      </c>
      <c r="CI414" s="67">
        <f>Terminales[[#This Row],[PROY. COM. TERMINALES]]+Terminales[[#This Row],[PROY. COM. RENOV.]]+Terminales[[#This Row],[PROY. COM. 2%]]</f>
        <v>33.860836882758619</v>
      </c>
    </row>
    <row r="415" spans="1:87" x14ac:dyDescent="0.25">
      <c r="A415" s="68">
        <v>44926</v>
      </c>
      <c r="B415" s="68">
        <v>44901</v>
      </c>
      <c r="C415" s="18" t="s">
        <v>96</v>
      </c>
      <c r="D415" s="18" t="s">
        <v>96</v>
      </c>
      <c r="E415" s="18" t="s">
        <v>96</v>
      </c>
      <c r="F415" s="18" t="s">
        <v>95</v>
      </c>
      <c r="G415" s="18" t="s">
        <v>292</v>
      </c>
      <c r="H415" s="18" t="s">
        <v>494</v>
      </c>
      <c r="I415" s="18" t="s">
        <v>10558</v>
      </c>
      <c r="J415" s="18" t="s">
        <v>95</v>
      </c>
      <c r="K415" s="18" t="s">
        <v>7970</v>
      </c>
      <c r="L415" s="18" t="s">
        <v>10496</v>
      </c>
      <c r="M415" s="18" t="s">
        <v>10497</v>
      </c>
      <c r="N415" s="18" t="s">
        <v>10498</v>
      </c>
      <c r="O415" s="18" t="s">
        <v>338</v>
      </c>
      <c r="P415" s="18" t="s">
        <v>10559</v>
      </c>
      <c r="Q415" s="18" t="s">
        <v>7975</v>
      </c>
      <c r="R415" s="18" t="s">
        <v>7976</v>
      </c>
      <c r="S415" s="18" t="s">
        <v>7977</v>
      </c>
      <c r="T415" s="18" t="s">
        <v>7978</v>
      </c>
      <c r="U415" s="18" t="s">
        <v>7979</v>
      </c>
      <c r="V415" s="18" t="s">
        <v>6963</v>
      </c>
      <c r="W415" s="18" t="s">
        <v>95</v>
      </c>
      <c r="X415" s="18" t="s">
        <v>95</v>
      </c>
      <c r="Y415" s="18" t="s">
        <v>7980</v>
      </c>
      <c r="Z415" s="18" t="s">
        <v>6996</v>
      </c>
      <c r="AA415" s="69">
        <v>1</v>
      </c>
      <c r="AB415" s="18">
        <v>299.11</v>
      </c>
      <c r="AC415" s="18" t="s">
        <v>10560</v>
      </c>
      <c r="AD415" s="18" t="s">
        <v>96</v>
      </c>
      <c r="AE415" s="18">
        <v>235</v>
      </c>
      <c r="AF415" s="18" t="s">
        <v>7983</v>
      </c>
      <c r="AG415" s="18">
        <v>235</v>
      </c>
      <c r="AH415" s="18" t="s">
        <v>95</v>
      </c>
      <c r="AI415" s="18" t="s">
        <v>95</v>
      </c>
      <c r="AJ415" s="18" t="s">
        <v>95</v>
      </c>
      <c r="AK415" s="18" t="s">
        <v>95</v>
      </c>
      <c r="AL415" s="18" t="s">
        <v>95</v>
      </c>
      <c r="AM415" s="18" t="s">
        <v>95</v>
      </c>
      <c r="AN415" s="18" t="s">
        <v>7984</v>
      </c>
      <c r="AO415" s="18" t="s">
        <v>92</v>
      </c>
      <c r="AP415" s="18" t="s">
        <v>88</v>
      </c>
      <c r="AQ415" s="18" t="s">
        <v>89</v>
      </c>
      <c r="AR415" s="18" t="s">
        <v>10501</v>
      </c>
      <c r="AS415" s="18">
        <v>1</v>
      </c>
      <c r="AT415" s="18" t="s">
        <v>91</v>
      </c>
      <c r="AU415" s="18" t="s">
        <v>90</v>
      </c>
      <c r="AV415" s="18" t="s">
        <v>7985</v>
      </c>
      <c r="AW415" s="18" t="s">
        <v>7986</v>
      </c>
      <c r="AX415" s="18" t="s">
        <v>83</v>
      </c>
      <c r="AY415" s="18" t="s">
        <v>95</v>
      </c>
      <c r="AZ415" s="18" t="s">
        <v>95</v>
      </c>
      <c r="BA415" s="18" t="s">
        <v>95</v>
      </c>
      <c r="BB415" s="18" t="s">
        <v>95</v>
      </c>
      <c r="BC415" s="18" t="s">
        <v>95</v>
      </c>
      <c r="BD415" s="18" t="s">
        <v>95</v>
      </c>
      <c r="BE415" s="18" t="s">
        <v>95</v>
      </c>
      <c r="BF415" s="18" t="s">
        <v>95</v>
      </c>
      <c r="BG415" s="18" t="s">
        <v>95</v>
      </c>
      <c r="BH415" s="18" t="s">
        <v>95</v>
      </c>
      <c r="BI415" s="18">
        <v>12</v>
      </c>
      <c r="BJ415" s="18">
        <v>2022</v>
      </c>
      <c r="BK415" s="18" t="s">
        <v>95</v>
      </c>
      <c r="BL415" s="18" t="s">
        <v>95</v>
      </c>
      <c r="BM415" s="18" t="s">
        <v>95</v>
      </c>
      <c r="BN415" s="18" t="s">
        <v>85</v>
      </c>
      <c r="BO415" s="18" t="s">
        <v>86</v>
      </c>
      <c r="BP415" s="18" t="s">
        <v>90</v>
      </c>
      <c r="BQ415" s="18" t="s">
        <v>8106</v>
      </c>
      <c r="BR415" s="18" t="s">
        <v>92</v>
      </c>
      <c r="BS415" s="18" t="s">
        <v>8074</v>
      </c>
      <c r="BT415" s="18" t="s">
        <v>10502</v>
      </c>
      <c r="BU415" s="18" t="s">
        <v>496</v>
      </c>
      <c r="BV415" s="18" t="str">
        <f>Terminales[[#This Row],[IMEI]]&amp;"SI"</f>
        <v>866184060701898SI</v>
      </c>
      <c r="BW415" s="18" t="str">
        <f>VLOOKUP(Terminales[[#This Row],[OFICINA_USUARIO]],[1]!Locales[#Data],3,0)</f>
        <v>TIENDA CUENCA CENTRO</v>
      </c>
      <c r="BX415" s="18" t="str">
        <f>VLOOKUP(Terminales[[#This Row],[USUARIO_FINAL]],'[1]Personal Ppto vs Real'!$A:$F,6,0)</f>
        <v>ANDRADE CONDO CHRISTIAN EDUARDO</v>
      </c>
      <c r="BY41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1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5" s="18">
        <f>DAY(Terminales[[#This Row],[FECHA_FACTURA]])</f>
        <v>6</v>
      </c>
      <c r="CB415" s="65">
        <f>IF(Terminales[[#This Row],[CANTIDAD]] = 1,INDEX([1]!Comisiones[#Data],MATCH("Terminales",[1]!Comisiones[Producto],0),MATCH(Terminales[[#This Row],[TIPO ALTA COMISIONES]],[1]!Comisiones[#Headers],0))*Terminales[[#This Row],[MONTO]],0)</f>
        <v>29.911000000000001</v>
      </c>
      <c r="CC415" s="65">
        <f>IFERROR(IF(AND(Terminales[[#This Row],[CANTIDAD]] = 1,Terminales[[#This Row],[MOVIMIENTO]] = "RENOVACION"),Terminales[[#This Row],[TARIFA_BASICA]]*0.5,),)</f>
        <v>0</v>
      </c>
      <c r="CD415" s="65">
        <f>IF('[1]Resumen TM'!$AW$20 &lt; 0.4,0,Terminales[[#This Row],[MONTO]]*0.02)</f>
        <v>5.9822000000000006</v>
      </c>
      <c r="CE415" s="66">
        <f>Terminales[[#This Row],[COMISIONES TERMINALES]]+Terminales[[#This Row],[COMISIONES RENOVACIONES]]+Terminales[[#This Row],[COMISIONES BONO]]</f>
        <v>35.8932</v>
      </c>
      <c r="CF415" s="67">
        <f>(Terminales[[#This Row],[COMISIONES TERMINALES]]*VLOOKUP(Terminales[[#This Row],[LOCALES]],[1]!Calendario[#Data],3,0))/VLOOKUP(Terminales[[#This Row],[LOCALES]],[1]!Calendario[#Data],2,0)</f>
        <v>48.476448275862069</v>
      </c>
      <c r="CG415" s="67">
        <f>(Terminales[[#This Row],[COMISIONES RENOVACIONES]]*VLOOKUP(Terminales[[#This Row],[LOCALES]],[1]!Calendario[#Data],3,0))/VLOOKUP(Terminales[[#This Row],[LOCALES]],[1]!Calendario[#Data],2,0)</f>
        <v>0</v>
      </c>
      <c r="CH415" s="67">
        <f>(Terminales[[#This Row],[COMISIONES BONO]]*VLOOKUP(Terminales[[#This Row],[LOCALES]],[1]!Calendario[#Data],3,0))/VLOOKUP(Terminales[[#This Row],[LOCALES]],[1]!Calendario[#Data],2,0)</f>
        <v>9.6952896551724148</v>
      </c>
      <c r="CI415" s="67">
        <f>Terminales[[#This Row],[PROY. COM. TERMINALES]]+Terminales[[#This Row],[PROY. COM. RENOV.]]+Terminales[[#This Row],[PROY. COM. 2%]]</f>
        <v>58.171737931034485</v>
      </c>
    </row>
    <row r="416" spans="1:87" x14ac:dyDescent="0.25">
      <c r="A416" s="68">
        <v>44926</v>
      </c>
      <c r="B416" s="68">
        <v>44901</v>
      </c>
      <c r="C416" s="18" t="s">
        <v>96</v>
      </c>
      <c r="D416" s="18" t="s">
        <v>96</v>
      </c>
      <c r="E416" s="18" t="s">
        <v>96</v>
      </c>
      <c r="F416" s="18" t="s">
        <v>95</v>
      </c>
      <c r="G416" s="18" t="s">
        <v>292</v>
      </c>
      <c r="H416" s="18" t="s">
        <v>494</v>
      </c>
      <c r="I416" s="18" t="s">
        <v>10561</v>
      </c>
      <c r="J416" s="18" t="s">
        <v>95</v>
      </c>
      <c r="K416" s="18" t="s">
        <v>7970</v>
      </c>
      <c r="L416" s="18" t="s">
        <v>10496</v>
      </c>
      <c r="M416" s="18" t="s">
        <v>10497</v>
      </c>
      <c r="N416" s="18" t="s">
        <v>10498</v>
      </c>
      <c r="O416" s="18" t="s">
        <v>338</v>
      </c>
      <c r="P416" s="18" t="s">
        <v>10562</v>
      </c>
      <c r="Q416" s="18" t="s">
        <v>7975</v>
      </c>
      <c r="R416" s="18" t="s">
        <v>7976</v>
      </c>
      <c r="S416" s="18" t="s">
        <v>7977</v>
      </c>
      <c r="T416" s="18" t="s">
        <v>7978</v>
      </c>
      <c r="U416" s="18" t="s">
        <v>7979</v>
      </c>
      <c r="V416" s="18" t="s">
        <v>6963</v>
      </c>
      <c r="W416" s="18" t="s">
        <v>95</v>
      </c>
      <c r="X416" s="18" t="s">
        <v>95</v>
      </c>
      <c r="Y416" s="18" t="s">
        <v>7980</v>
      </c>
      <c r="Z416" s="18" t="s">
        <v>6996</v>
      </c>
      <c r="AA416" s="69">
        <v>1</v>
      </c>
      <c r="AB416" s="18">
        <v>299.11</v>
      </c>
      <c r="AC416" s="18" t="s">
        <v>10563</v>
      </c>
      <c r="AD416" s="18" t="s">
        <v>96</v>
      </c>
      <c r="AE416" s="18">
        <v>235</v>
      </c>
      <c r="AF416" s="18" t="s">
        <v>7983</v>
      </c>
      <c r="AG416" s="18">
        <v>235</v>
      </c>
      <c r="AH416" s="18" t="s">
        <v>95</v>
      </c>
      <c r="AI416" s="18" t="s">
        <v>95</v>
      </c>
      <c r="AJ416" s="18" t="s">
        <v>95</v>
      </c>
      <c r="AK416" s="18" t="s">
        <v>95</v>
      </c>
      <c r="AL416" s="18" t="s">
        <v>95</v>
      </c>
      <c r="AM416" s="18" t="s">
        <v>95</v>
      </c>
      <c r="AN416" s="18" t="s">
        <v>7984</v>
      </c>
      <c r="AO416" s="18" t="s">
        <v>92</v>
      </c>
      <c r="AP416" s="18" t="s">
        <v>352</v>
      </c>
      <c r="AQ416" s="18" t="s">
        <v>353</v>
      </c>
      <c r="AR416" s="18" t="s">
        <v>10501</v>
      </c>
      <c r="AS416" s="18">
        <v>1</v>
      </c>
      <c r="AT416" s="18" t="s">
        <v>122</v>
      </c>
      <c r="AU416" s="18" t="s">
        <v>90</v>
      </c>
      <c r="AV416" s="18" t="s">
        <v>7985</v>
      </c>
      <c r="AW416" s="18" t="s">
        <v>7986</v>
      </c>
      <c r="AX416" s="18" t="s">
        <v>83</v>
      </c>
      <c r="AY416" s="18" t="s">
        <v>95</v>
      </c>
      <c r="AZ416" s="18" t="s">
        <v>95</v>
      </c>
      <c r="BA416" s="18" t="s">
        <v>95</v>
      </c>
      <c r="BB416" s="18" t="s">
        <v>95</v>
      </c>
      <c r="BC416" s="18" t="s">
        <v>95</v>
      </c>
      <c r="BD416" s="18" t="s">
        <v>95</v>
      </c>
      <c r="BE416" s="18" t="s">
        <v>95</v>
      </c>
      <c r="BF416" s="18" t="s">
        <v>95</v>
      </c>
      <c r="BG416" s="18" t="s">
        <v>95</v>
      </c>
      <c r="BH416" s="18" t="s">
        <v>95</v>
      </c>
      <c r="BI416" s="18">
        <v>12</v>
      </c>
      <c r="BJ416" s="18">
        <v>2022</v>
      </c>
      <c r="BK416" s="18" t="s">
        <v>95</v>
      </c>
      <c r="BL416" s="18" t="s">
        <v>95</v>
      </c>
      <c r="BM416" s="18" t="s">
        <v>95</v>
      </c>
      <c r="BN416" s="18" t="s">
        <v>85</v>
      </c>
      <c r="BO416" s="18" t="s">
        <v>86</v>
      </c>
      <c r="BP416" s="18" t="s">
        <v>90</v>
      </c>
      <c r="BQ416" s="18" t="s">
        <v>8050</v>
      </c>
      <c r="BR416" s="18" t="s">
        <v>92</v>
      </c>
      <c r="BS416" s="18" t="s">
        <v>8074</v>
      </c>
      <c r="BT416" s="18" t="s">
        <v>10502</v>
      </c>
      <c r="BU416" s="18" t="s">
        <v>496</v>
      </c>
      <c r="BV416" s="18" t="str">
        <f>Terminales[[#This Row],[IMEI]]&amp;"SI"</f>
        <v>866184060680563SI</v>
      </c>
      <c r="BW416" s="18" t="str">
        <f>VLOOKUP(Terminales[[#This Row],[OFICINA_USUARIO]],[1]!Locales[#Data],3,0)</f>
        <v>TIENDA MACHALA</v>
      </c>
      <c r="BX416" s="18" t="str">
        <f>VLOOKUP(Terminales[[#This Row],[USUARIO_FINAL]],'[1]Personal Ppto vs Real'!$A:$F,6,0)</f>
        <v>TENORIO MARIA DEL PILAR</v>
      </c>
      <c r="BY41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1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6" s="18">
        <f>DAY(Terminales[[#This Row],[FECHA_FACTURA]])</f>
        <v>6</v>
      </c>
      <c r="CB416" s="65">
        <f>IF(Terminales[[#This Row],[CANTIDAD]] = 1,INDEX([1]!Comisiones[#Data],MATCH("Terminales",[1]!Comisiones[Producto],0),MATCH(Terminales[[#This Row],[TIPO ALTA COMISIONES]],[1]!Comisiones[#Headers],0))*Terminales[[#This Row],[MONTO]],0)</f>
        <v>29.911000000000001</v>
      </c>
      <c r="CC416" s="65">
        <f>IFERROR(IF(AND(Terminales[[#This Row],[CANTIDAD]] = 1,Terminales[[#This Row],[MOVIMIENTO]] = "RENOVACION"),Terminales[[#This Row],[TARIFA_BASICA]]*0.5,),)</f>
        <v>0</v>
      </c>
      <c r="CD416" s="65">
        <f>IF('[1]Resumen TM'!$AW$20 &lt; 0.4,0,Terminales[[#This Row],[MONTO]]*0.02)</f>
        <v>5.9822000000000006</v>
      </c>
      <c r="CE416" s="66">
        <f>Terminales[[#This Row],[COMISIONES TERMINALES]]+Terminales[[#This Row],[COMISIONES RENOVACIONES]]+Terminales[[#This Row],[COMISIONES BONO]]</f>
        <v>35.8932</v>
      </c>
      <c r="CF416" s="67">
        <f>(Terminales[[#This Row],[COMISIONES TERMINALES]]*VLOOKUP(Terminales[[#This Row],[LOCALES]],[1]!Calendario[#Data],3,0))/VLOOKUP(Terminales[[#This Row],[LOCALES]],[1]!Calendario[#Data],2,0)</f>
        <v>48.476448275862069</v>
      </c>
      <c r="CG416" s="67">
        <f>(Terminales[[#This Row],[COMISIONES RENOVACIONES]]*VLOOKUP(Terminales[[#This Row],[LOCALES]],[1]!Calendario[#Data],3,0))/VLOOKUP(Terminales[[#This Row],[LOCALES]],[1]!Calendario[#Data],2,0)</f>
        <v>0</v>
      </c>
      <c r="CH416" s="67">
        <f>(Terminales[[#This Row],[COMISIONES BONO]]*VLOOKUP(Terminales[[#This Row],[LOCALES]],[1]!Calendario[#Data],3,0))/VLOOKUP(Terminales[[#This Row],[LOCALES]],[1]!Calendario[#Data],2,0)</f>
        <v>9.6952896551724148</v>
      </c>
      <c r="CI416" s="67">
        <f>Terminales[[#This Row],[PROY. COM. TERMINALES]]+Terminales[[#This Row],[PROY. COM. RENOV.]]+Terminales[[#This Row],[PROY. COM. 2%]]</f>
        <v>58.171737931034485</v>
      </c>
    </row>
    <row r="417" spans="1:87" x14ac:dyDescent="0.25">
      <c r="A417" s="68">
        <v>44926</v>
      </c>
      <c r="B417" s="68">
        <v>44901</v>
      </c>
      <c r="C417" s="18" t="s">
        <v>96</v>
      </c>
      <c r="D417" s="18" t="s">
        <v>96</v>
      </c>
      <c r="E417" s="18" t="s">
        <v>96</v>
      </c>
      <c r="F417" s="18" t="s">
        <v>95</v>
      </c>
      <c r="G417" s="18" t="s">
        <v>292</v>
      </c>
      <c r="H417" s="18" t="s">
        <v>494</v>
      </c>
      <c r="I417" s="18" t="s">
        <v>10564</v>
      </c>
      <c r="J417" s="18" t="s">
        <v>95</v>
      </c>
      <c r="K417" s="18" t="s">
        <v>7970</v>
      </c>
      <c r="L417" s="18" t="s">
        <v>10496</v>
      </c>
      <c r="M417" s="18" t="s">
        <v>10497</v>
      </c>
      <c r="N417" s="18" t="s">
        <v>10498</v>
      </c>
      <c r="O417" s="18" t="s">
        <v>1881</v>
      </c>
      <c r="P417" s="18" t="s">
        <v>10565</v>
      </c>
      <c r="Q417" s="18" t="s">
        <v>7975</v>
      </c>
      <c r="R417" s="18" t="s">
        <v>7976</v>
      </c>
      <c r="S417" s="18" t="s">
        <v>8070</v>
      </c>
      <c r="T417" s="18" t="s">
        <v>8397</v>
      </c>
      <c r="U417" s="18" t="s">
        <v>8012</v>
      </c>
      <c r="V417" s="18" t="s">
        <v>6963</v>
      </c>
      <c r="W417" s="18" t="s">
        <v>95</v>
      </c>
      <c r="X417" s="18" t="s">
        <v>95</v>
      </c>
      <c r="Y417" s="18" t="s">
        <v>7980</v>
      </c>
      <c r="Z417" s="18" t="s">
        <v>6996</v>
      </c>
      <c r="AA417" s="69">
        <v>1</v>
      </c>
      <c r="AB417" s="18">
        <v>200</v>
      </c>
      <c r="AC417" s="18" t="s">
        <v>10566</v>
      </c>
      <c r="AD417" s="18" t="s">
        <v>96</v>
      </c>
      <c r="AE417" s="18">
        <v>173.7</v>
      </c>
      <c r="AF417" s="18" t="s">
        <v>7983</v>
      </c>
      <c r="AG417" s="18">
        <v>173.7</v>
      </c>
      <c r="AH417" s="18" t="s">
        <v>95</v>
      </c>
      <c r="AI417" s="18" t="s">
        <v>95</v>
      </c>
      <c r="AJ417" s="18" t="s">
        <v>95</v>
      </c>
      <c r="AK417" s="18" t="s">
        <v>95</v>
      </c>
      <c r="AL417" s="18" t="s">
        <v>95</v>
      </c>
      <c r="AM417" s="18" t="s">
        <v>95</v>
      </c>
      <c r="AN417" s="18" t="s">
        <v>7984</v>
      </c>
      <c r="AO417" s="18" t="s">
        <v>92</v>
      </c>
      <c r="AP417" s="18" t="s">
        <v>1043</v>
      </c>
      <c r="AQ417" s="18" t="s">
        <v>1044</v>
      </c>
      <c r="AR417" s="18" t="s">
        <v>10501</v>
      </c>
      <c r="AS417" s="18">
        <v>1</v>
      </c>
      <c r="AT417" s="18" t="s">
        <v>122</v>
      </c>
      <c r="AU417" s="18" t="s">
        <v>90</v>
      </c>
      <c r="AV417" s="18" t="s">
        <v>8399</v>
      </c>
      <c r="AW417" s="18" t="s">
        <v>8400</v>
      </c>
      <c r="AX417" s="18" t="s">
        <v>83</v>
      </c>
      <c r="AY417" s="18" t="s">
        <v>95</v>
      </c>
      <c r="AZ417" s="18" t="s">
        <v>95</v>
      </c>
      <c r="BA417" s="18" t="s">
        <v>95</v>
      </c>
      <c r="BB417" s="18" t="s">
        <v>95</v>
      </c>
      <c r="BC417" s="18" t="s">
        <v>95</v>
      </c>
      <c r="BD417" s="18" t="s">
        <v>95</v>
      </c>
      <c r="BE417" s="18" t="s">
        <v>95</v>
      </c>
      <c r="BF417" s="18" t="s">
        <v>95</v>
      </c>
      <c r="BG417" s="18" t="s">
        <v>95</v>
      </c>
      <c r="BH417" s="18" t="s">
        <v>95</v>
      </c>
      <c r="BI417" s="18">
        <v>12</v>
      </c>
      <c r="BJ417" s="18">
        <v>2022</v>
      </c>
      <c r="BK417" s="18" t="s">
        <v>95</v>
      </c>
      <c r="BL417" s="18" t="s">
        <v>95</v>
      </c>
      <c r="BM417" s="18" t="s">
        <v>95</v>
      </c>
      <c r="BN417" s="18" t="s">
        <v>85</v>
      </c>
      <c r="BO417" s="18" t="s">
        <v>86</v>
      </c>
      <c r="BP417" s="18" t="s">
        <v>90</v>
      </c>
      <c r="BQ417" s="18" t="s">
        <v>8050</v>
      </c>
      <c r="BR417" s="18" t="s">
        <v>92</v>
      </c>
      <c r="BS417" s="18" t="s">
        <v>8074</v>
      </c>
      <c r="BT417" s="18" t="s">
        <v>10502</v>
      </c>
      <c r="BU417" s="18" t="s">
        <v>496</v>
      </c>
      <c r="BV417" s="18" t="str">
        <f>Terminales[[#This Row],[IMEI]]&amp;"SI"</f>
        <v>864050068827286SI</v>
      </c>
      <c r="BW417" s="18" t="str">
        <f>VLOOKUP(Terminales[[#This Row],[OFICINA_USUARIO]],[1]!Locales[#Data],3,0)</f>
        <v>TIENDA MACHALA</v>
      </c>
      <c r="BX417" s="18" t="str">
        <f>VLOOKUP(Terminales[[#This Row],[USUARIO_FINAL]],'[1]Personal Ppto vs Real'!$A:$F,6,0)</f>
        <v>GONZAGA YUPANGUI LIZBETH KATHERINE</v>
      </c>
      <c r="BY41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1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7" s="18">
        <f>DAY(Terminales[[#This Row],[FECHA_FACTURA]])</f>
        <v>6</v>
      </c>
      <c r="CB417" s="65">
        <f>IF(Terminales[[#This Row],[CANTIDAD]] = 1,INDEX([1]!Comisiones[#Data],MATCH("Terminales",[1]!Comisiones[Producto],0),MATCH(Terminales[[#This Row],[TIPO ALTA COMISIONES]],[1]!Comisiones[#Headers],0))*Terminales[[#This Row],[MONTO]],0)</f>
        <v>20</v>
      </c>
      <c r="CC417" s="65">
        <f>IFERROR(IF(AND(Terminales[[#This Row],[CANTIDAD]] = 1,Terminales[[#This Row],[MOVIMIENTO]] = "RENOVACION"),Terminales[[#This Row],[TARIFA_BASICA]]*0.5,),)</f>
        <v>0</v>
      </c>
      <c r="CD417" s="65">
        <f>IF('[1]Resumen TM'!$AW$20 &lt; 0.4,0,Terminales[[#This Row],[MONTO]]*0.02)</f>
        <v>4</v>
      </c>
      <c r="CE417" s="66">
        <f>Terminales[[#This Row],[COMISIONES TERMINALES]]+Terminales[[#This Row],[COMISIONES RENOVACIONES]]+Terminales[[#This Row],[COMISIONES BONO]]</f>
        <v>24</v>
      </c>
      <c r="CF417" s="67">
        <f>(Terminales[[#This Row],[COMISIONES TERMINALES]]*VLOOKUP(Terminales[[#This Row],[LOCALES]],[1]!Calendario[#Data],3,0))/VLOOKUP(Terminales[[#This Row],[LOCALES]],[1]!Calendario[#Data],2,0)</f>
        <v>32.413793103448278</v>
      </c>
      <c r="CG417" s="67">
        <f>(Terminales[[#This Row],[COMISIONES RENOVACIONES]]*VLOOKUP(Terminales[[#This Row],[LOCALES]],[1]!Calendario[#Data],3,0))/VLOOKUP(Terminales[[#This Row],[LOCALES]],[1]!Calendario[#Data],2,0)</f>
        <v>0</v>
      </c>
      <c r="CH417" s="67">
        <f>(Terminales[[#This Row],[COMISIONES BONO]]*VLOOKUP(Terminales[[#This Row],[LOCALES]],[1]!Calendario[#Data],3,0))/VLOOKUP(Terminales[[#This Row],[LOCALES]],[1]!Calendario[#Data],2,0)</f>
        <v>6.4827586206896548</v>
      </c>
      <c r="CI417" s="67">
        <f>Terminales[[#This Row],[PROY. COM. TERMINALES]]+Terminales[[#This Row],[PROY. COM. RENOV.]]+Terminales[[#This Row],[PROY. COM. 2%]]</f>
        <v>38.896551724137936</v>
      </c>
    </row>
    <row r="418" spans="1:87" x14ac:dyDescent="0.25">
      <c r="A418" s="68">
        <v>44926</v>
      </c>
      <c r="B418" s="68">
        <v>44901</v>
      </c>
      <c r="C418" s="18" t="s">
        <v>96</v>
      </c>
      <c r="D418" s="18" t="s">
        <v>96</v>
      </c>
      <c r="E418" s="18" t="s">
        <v>96</v>
      </c>
      <c r="F418" s="18" t="s">
        <v>10545</v>
      </c>
      <c r="G418" s="18" t="s">
        <v>292</v>
      </c>
      <c r="H418" s="18" t="s">
        <v>494</v>
      </c>
      <c r="I418" s="18" t="s">
        <v>10567</v>
      </c>
      <c r="J418" s="18" t="s">
        <v>95</v>
      </c>
      <c r="K418" s="18" t="s">
        <v>7970</v>
      </c>
      <c r="L418" s="18" t="s">
        <v>10547</v>
      </c>
      <c r="M418" s="18" t="s">
        <v>10497</v>
      </c>
      <c r="N418" s="18" t="s">
        <v>10498</v>
      </c>
      <c r="O418" s="18" t="s">
        <v>338</v>
      </c>
      <c r="P418" s="18" t="s">
        <v>10568</v>
      </c>
      <c r="Q418" s="18" t="s">
        <v>7975</v>
      </c>
      <c r="R418" s="18" t="s">
        <v>7976</v>
      </c>
      <c r="S418" s="18" t="s">
        <v>7977</v>
      </c>
      <c r="T418" s="18" t="s">
        <v>7978</v>
      </c>
      <c r="U418" s="18" t="s">
        <v>7979</v>
      </c>
      <c r="V418" s="18" t="s">
        <v>6963</v>
      </c>
      <c r="W418" s="18" t="s">
        <v>95</v>
      </c>
      <c r="X418" s="18" t="s">
        <v>95</v>
      </c>
      <c r="Y418" s="18" t="s">
        <v>7980</v>
      </c>
      <c r="Z418" s="18" t="s">
        <v>6996</v>
      </c>
      <c r="AA418" s="69">
        <v>1</v>
      </c>
      <c r="AB418" s="18">
        <v>299.11</v>
      </c>
      <c r="AC418" s="18" t="s">
        <v>10549</v>
      </c>
      <c r="AD418" s="18" t="s">
        <v>7982</v>
      </c>
      <c r="AE418" s="18">
        <v>235</v>
      </c>
      <c r="AF418" s="18" t="s">
        <v>7983</v>
      </c>
      <c r="AG418" s="18">
        <v>235</v>
      </c>
      <c r="AH418" s="18" t="s">
        <v>95</v>
      </c>
      <c r="AI418" s="18" t="s">
        <v>8102</v>
      </c>
      <c r="AJ418" s="18" t="s">
        <v>8103</v>
      </c>
      <c r="AK418" s="18" t="s">
        <v>95</v>
      </c>
      <c r="AL418" s="18" t="s">
        <v>95</v>
      </c>
      <c r="AM418" s="18" t="s">
        <v>95</v>
      </c>
      <c r="AN418" s="18" t="s">
        <v>7984</v>
      </c>
      <c r="AO418" s="18" t="s">
        <v>92</v>
      </c>
      <c r="AP418" s="20" t="s">
        <v>808</v>
      </c>
      <c r="AQ418" s="18" t="s">
        <v>809</v>
      </c>
      <c r="AR418" s="18" t="s">
        <v>10501</v>
      </c>
      <c r="AS418" s="18">
        <v>1</v>
      </c>
      <c r="AT418" s="18" t="s">
        <v>122</v>
      </c>
      <c r="AU418" s="18" t="s">
        <v>90</v>
      </c>
      <c r="AV418" s="18" t="s">
        <v>7985</v>
      </c>
      <c r="AW418" s="18" t="s">
        <v>7986</v>
      </c>
      <c r="AX418" s="18" t="s">
        <v>83</v>
      </c>
      <c r="AY418" s="18" t="s">
        <v>95</v>
      </c>
      <c r="AZ418" s="18" t="s">
        <v>95</v>
      </c>
      <c r="BA418" s="18" t="s">
        <v>95</v>
      </c>
      <c r="BB418" s="18" t="s">
        <v>95</v>
      </c>
      <c r="BC418" s="18" t="s">
        <v>118</v>
      </c>
      <c r="BD418" s="18" t="s">
        <v>95</v>
      </c>
      <c r="BE418" s="18" t="s">
        <v>95</v>
      </c>
      <c r="BF418" s="18" t="s">
        <v>95</v>
      </c>
      <c r="BG418" s="18" t="s">
        <v>95</v>
      </c>
      <c r="BH418" s="18" t="s">
        <v>95</v>
      </c>
      <c r="BI418" s="18">
        <v>12</v>
      </c>
      <c r="BJ418" s="18">
        <v>2022</v>
      </c>
      <c r="BK418" s="18" t="s">
        <v>95</v>
      </c>
      <c r="BL418" s="18" t="s">
        <v>95</v>
      </c>
      <c r="BM418" s="18" t="s">
        <v>95</v>
      </c>
      <c r="BN418" s="18" t="s">
        <v>85</v>
      </c>
      <c r="BO418" s="18" t="s">
        <v>86</v>
      </c>
      <c r="BP418" s="18" t="s">
        <v>90</v>
      </c>
      <c r="BQ418" s="18" t="s">
        <v>8050</v>
      </c>
      <c r="BR418" s="18" t="s">
        <v>92</v>
      </c>
      <c r="BS418" s="18" t="s">
        <v>8074</v>
      </c>
      <c r="BT418" s="18" t="s">
        <v>10502</v>
      </c>
      <c r="BU418" s="18" t="s">
        <v>496</v>
      </c>
      <c r="BV418" s="18" t="str">
        <f>Terminales[[#This Row],[IMEI]]&amp;"SI"</f>
        <v>866184060680340SI</v>
      </c>
      <c r="BW418" s="18" t="str">
        <f>VLOOKUP(Terminales[[#This Row],[OFICINA_USUARIO]],[1]!Locales[#Data],3,0)</f>
        <v>TIENDA MACHALA</v>
      </c>
      <c r="BX418" s="18" t="str">
        <f>VLOOKUP(Terminales[[#This Row],[USUARIO_FINAL]],'[1]Personal Ppto vs Real'!$A:$F,6,0)</f>
        <v>ALICIA ROMINA GONZALEZ SANDOYA</v>
      </c>
      <c r="BY41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41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8" s="18">
        <f>DAY(Terminales[[#This Row],[FECHA_FACTURA]])</f>
        <v>6</v>
      </c>
      <c r="CB418" s="65">
        <f>IF(Terminales[[#This Row],[CANTIDAD]] = 1,INDEX([1]!Comisiones[#Data],MATCH("Terminales",[1]!Comisiones[Producto],0),MATCH(Terminales[[#This Row],[TIPO ALTA COMISIONES]],[1]!Comisiones[#Headers],0))*Terminales[[#This Row],[MONTO]],0)</f>
        <v>29.911000000000001</v>
      </c>
      <c r="CC418" s="65">
        <f>IFERROR(IF(AND(Terminales[[#This Row],[CANTIDAD]] = 1,Terminales[[#This Row],[MOVIMIENTO]] = "RENOVACION"),Terminales[[#This Row],[TARIFA_BASICA]]*0.5,),)</f>
        <v>0</v>
      </c>
      <c r="CD418" s="65">
        <f>IF('[1]Resumen TM'!$AW$20 &lt; 0.4,0,Terminales[[#This Row],[MONTO]]*0.02)</f>
        <v>5.9822000000000006</v>
      </c>
      <c r="CE418" s="66">
        <f>Terminales[[#This Row],[COMISIONES TERMINALES]]+Terminales[[#This Row],[COMISIONES RENOVACIONES]]+Terminales[[#This Row],[COMISIONES BONO]]</f>
        <v>35.8932</v>
      </c>
      <c r="CF418" s="67">
        <f>(Terminales[[#This Row],[COMISIONES TERMINALES]]*VLOOKUP(Terminales[[#This Row],[LOCALES]],[1]!Calendario[#Data],3,0))/VLOOKUP(Terminales[[#This Row],[LOCALES]],[1]!Calendario[#Data],2,0)</f>
        <v>48.476448275862069</v>
      </c>
      <c r="CG418" s="67">
        <f>(Terminales[[#This Row],[COMISIONES RENOVACIONES]]*VLOOKUP(Terminales[[#This Row],[LOCALES]],[1]!Calendario[#Data],3,0))/VLOOKUP(Terminales[[#This Row],[LOCALES]],[1]!Calendario[#Data],2,0)</f>
        <v>0</v>
      </c>
      <c r="CH418" s="67">
        <f>(Terminales[[#This Row],[COMISIONES BONO]]*VLOOKUP(Terminales[[#This Row],[LOCALES]],[1]!Calendario[#Data],3,0))/VLOOKUP(Terminales[[#This Row],[LOCALES]],[1]!Calendario[#Data],2,0)</f>
        <v>9.6952896551724148</v>
      </c>
      <c r="CI418" s="67">
        <f>Terminales[[#This Row],[PROY. COM. TERMINALES]]+Terminales[[#This Row],[PROY. COM. RENOV.]]+Terminales[[#This Row],[PROY. COM. 2%]]</f>
        <v>58.171737931034485</v>
      </c>
    </row>
    <row r="419" spans="1:87" x14ac:dyDescent="0.25">
      <c r="A419" s="68">
        <v>44926</v>
      </c>
      <c r="B419" s="68">
        <v>44902</v>
      </c>
      <c r="C419" s="18" t="s">
        <v>96</v>
      </c>
      <c r="D419" s="18" t="s">
        <v>96</v>
      </c>
      <c r="E419" s="18" t="s">
        <v>96</v>
      </c>
      <c r="F419" s="18" t="s">
        <v>95</v>
      </c>
      <c r="G419" s="18" t="s">
        <v>292</v>
      </c>
      <c r="H419" s="18" t="s">
        <v>494</v>
      </c>
      <c r="I419" s="18" t="s">
        <v>10569</v>
      </c>
      <c r="J419" s="18" t="s">
        <v>95</v>
      </c>
      <c r="K419" s="18" t="s">
        <v>7970</v>
      </c>
      <c r="L419" s="18" t="s">
        <v>10496</v>
      </c>
      <c r="M419" s="18" t="s">
        <v>10497</v>
      </c>
      <c r="N419" s="18" t="s">
        <v>10498</v>
      </c>
      <c r="O419" s="18" t="s">
        <v>6467</v>
      </c>
      <c r="P419" s="18" t="s">
        <v>10570</v>
      </c>
      <c r="Q419" s="18" t="s">
        <v>7975</v>
      </c>
      <c r="R419" s="18" t="s">
        <v>7976</v>
      </c>
      <c r="S419" s="18" t="s">
        <v>8045</v>
      </c>
      <c r="T419" s="18" t="s">
        <v>8331</v>
      </c>
      <c r="U419" s="18" t="s">
        <v>7996</v>
      </c>
      <c r="V419" s="18" t="s">
        <v>6963</v>
      </c>
      <c r="W419" s="18" t="s">
        <v>95</v>
      </c>
      <c r="X419" s="18" t="s">
        <v>95</v>
      </c>
      <c r="Y419" s="18" t="s">
        <v>7980</v>
      </c>
      <c r="Z419" s="18" t="s">
        <v>6996</v>
      </c>
      <c r="AA419" s="69">
        <v>1</v>
      </c>
      <c r="AB419" s="18">
        <v>113.39286</v>
      </c>
      <c r="AC419" s="18" t="s">
        <v>10571</v>
      </c>
      <c r="AD419" s="18" t="s">
        <v>96</v>
      </c>
      <c r="AE419" s="18">
        <v>91</v>
      </c>
      <c r="AF419" s="18" t="s">
        <v>7983</v>
      </c>
      <c r="AG419" s="18">
        <v>91</v>
      </c>
      <c r="AH419" s="18" t="s">
        <v>95</v>
      </c>
      <c r="AI419" s="18" t="s">
        <v>95</v>
      </c>
      <c r="AJ419" s="18" t="s">
        <v>95</v>
      </c>
      <c r="AK419" s="18" t="s">
        <v>95</v>
      </c>
      <c r="AL419" s="18" t="s">
        <v>95</v>
      </c>
      <c r="AM419" s="18" t="s">
        <v>95</v>
      </c>
      <c r="AN419" s="18" t="s">
        <v>7984</v>
      </c>
      <c r="AO419" s="18" t="s">
        <v>92</v>
      </c>
      <c r="AP419" s="18" t="s">
        <v>880</v>
      </c>
      <c r="AQ419" s="18" t="s">
        <v>881</v>
      </c>
      <c r="AR419" s="18" t="s">
        <v>10501</v>
      </c>
      <c r="AS419" s="18">
        <v>1</v>
      </c>
      <c r="AT419" s="18" t="s">
        <v>91</v>
      </c>
      <c r="AU419" s="18" t="s">
        <v>90</v>
      </c>
      <c r="AV419" s="18" t="s">
        <v>8333</v>
      </c>
      <c r="AW419" s="18" t="s">
        <v>8334</v>
      </c>
      <c r="AX419" s="18" t="s">
        <v>83</v>
      </c>
      <c r="AY419" s="18" t="s">
        <v>95</v>
      </c>
      <c r="AZ419" s="18" t="s">
        <v>95</v>
      </c>
      <c r="BA419" s="18" t="s">
        <v>95</v>
      </c>
      <c r="BB419" s="18" t="s">
        <v>95</v>
      </c>
      <c r="BC419" s="18" t="s">
        <v>95</v>
      </c>
      <c r="BD419" s="18" t="s">
        <v>95</v>
      </c>
      <c r="BE419" s="18" t="s">
        <v>95</v>
      </c>
      <c r="BF419" s="18" t="s">
        <v>95</v>
      </c>
      <c r="BG419" s="18" t="s">
        <v>95</v>
      </c>
      <c r="BH419" s="18" t="s">
        <v>95</v>
      </c>
      <c r="BI419" s="18">
        <v>12</v>
      </c>
      <c r="BJ419" s="18">
        <v>2022</v>
      </c>
      <c r="BK419" s="18" t="s">
        <v>95</v>
      </c>
      <c r="BL419" s="18" t="s">
        <v>95</v>
      </c>
      <c r="BM419" s="18" t="s">
        <v>95</v>
      </c>
      <c r="BN419" s="18" t="s">
        <v>85</v>
      </c>
      <c r="BO419" s="18" t="s">
        <v>86</v>
      </c>
      <c r="BP419" s="18" t="s">
        <v>90</v>
      </c>
      <c r="BQ419" s="18" t="s">
        <v>8106</v>
      </c>
      <c r="BR419" s="18" t="s">
        <v>92</v>
      </c>
      <c r="BS419" s="18" t="s">
        <v>8074</v>
      </c>
      <c r="BT419" s="18" t="s">
        <v>10502</v>
      </c>
      <c r="BU419" s="18" t="s">
        <v>496</v>
      </c>
      <c r="BV419" s="18" t="str">
        <f>Terminales[[#This Row],[IMEI]]&amp;"SI"</f>
        <v>352286990939281SI</v>
      </c>
      <c r="BW419" s="18" t="str">
        <f>VLOOKUP(Terminales[[#This Row],[OFICINA_USUARIO]],[1]!Locales[#Data],3,0)</f>
        <v>TIENDA CUENCA CENTRO</v>
      </c>
      <c r="BX419" s="18" t="str">
        <f>VLOOKUP(Terminales[[#This Row],[USUARIO_FINAL]],'[1]Personal Ppto vs Real'!$A:$F,6,0)</f>
        <v>LUNA JACHO ANDREA GABRIELA</v>
      </c>
      <c r="BY41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1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19" s="18">
        <f>DAY(Terminales[[#This Row],[FECHA_FACTURA]])</f>
        <v>7</v>
      </c>
      <c r="CB419" s="65">
        <f>IF(Terminales[[#This Row],[CANTIDAD]] = 1,INDEX([1]!Comisiones[#Data],MATCH("Terminales",[1]!Comisiones[Producto],0),MATCH(Terminales[[#This Row],[TIPO ALTA COMISIONES]],[1]!Comisiones[#Headers],0))*Terminales[[#This Row],[MONTO]],0)</f>
        <v>11.339286000000001</v>
      </c>
      <c r="CC419" s="65">
        <f>IFERROR(IF(AND(Terminales[[#This Row],[CANTIDAD]] = 1,Terminales[[#This Row],[MOVIMIENTO]] = "RENOVACION"),Terminales[[#This Row],[TARIFA_BASICA]]*0.5,),)</f>
        <v>0</v>
      </c>
      <c r="CD419" s="65">
        <f>IF('[1]Resumen TM'!$AW$20 &lt; 0.4,0,Terminales[[#This Row],[MONTO]]*0.02)</f>
        <v>2.2678571999999999</v>
      </c>
      <c r="CE419" s="66">
        <f>Terminales[[#This Row],[COMISIONES TERMINALES]]+Terminales[[#This Row],[COMISIONES RENOVACIONES]]+Terminales[[#This Row],[COMISIONES BONO]]</f>
        <v>13.607143200000001</v>
      </c>
      <c r="CF419" s="67">
        <f>(Terminales[[#This Row],[COMISIONES TERMINALES]]*VLOOKUP(Terminales[[#This Row],[LOCALES]],[1]!Calendario[#Data],3,0))/VLOOKUP(Terminales[[#This Row],[LOCALES]],[1]!Calendario[#Data],2,0)</f>
        <v>18.377463517241381</v>
      </c>
      <c r="CG419" s="67">
        <f>(Terminales[[#This Row],[COMISIONES RENOVACIONES]]*VLOOKUP(Terminales[[#This Row],[LOCALES]],[1]!Calendario[#Data],3,0))/VLOOKUP(Terminales[[#This Row],[LOCALES]],[1]!Calendario[#Data],2,0)</f>
        <v>0</v>
      </c>
      <c r="CH419" s="67">
        <f>(Terminales[[#This Row],[COMISIONES BONO]]*VLOOKUP(Terminales[[#This Row],[LOCALES]],[1]!Calendario[#Data],3,0))/VLOOKUP(Terminales[[#This Row],[LOCALES]],[1]!Calendario[#Data],2,0)</f>
        <v>3.6754927034482758</v>
      </c>
      <c r="CI419" s="67">
        <f>Terminales[[#This Row],[PROY. COM. TERMINALES]]+Terminales[[#This Row],[PROY. COM. RENOV.]]+Terminales[[#This Row],[PROY. COM. 2%]]</f>
        <v>22.052956220689659</v>
      </c>
    </row>
    <row r="420" spans="1:87" x14ac:dyDescent="0.25">
      <c r="A420" s="68">
        <v>44926</v>
      </c>
      <c r="B420" s="68">
        <v>44903</v>
      </c>
      <c r="C420" s="18" t="s">
        <v>96</v>
      </c>
      <c r="D420" s="18" t="s">
        <v>96</v>
      </c>
      <c r="E420" s="18" t="s">
        <v>96</v>
      </c>
      <c r="F420" s="18" t="s">
        <v>95</v>
      </c>
      <c r="G420" s="18" t="s">
        <v>292</v>
      </c>
      <c r="H420" s="18" t="s">
        <v>494</v>
      </c>
      <c r="I420" s="18" t="s">
        <v>10572</v>
      </c>
      <c r="J420" s="18" t="s">
        <v>95</v>
      </c>
      <c r="K420" s="18" t="s">
        <v>7970</v>
      </c>
      <c r="L420" s="18" t="s">
        <v>10496</v>
      </c>
      <c r="M420" s="18" t="s">
        <v>10497</v>
      </c>
      <c r="N420" s="18" t="s">
        <v>10498</v>
      </c>
      <c r="O420" s="18" t="s">
        <v>338</v>
      </c>
      <c r="P420" s="18" t="s">
        <v>10573</v>
      </c>
      <c r="Q420" s="18" t="s">
        <v>7975</v>
      </c>
      <c r="R420" s="18" t="s">
        <v>7976</v>
      </c>
      <c r="S420" s="18" t="s">
        <v>7977</v>
      </c>
      <c r="T420" s="18" t="s">
        <v>7978</v>
      </c>
      <c r="U420" s="18" t="s">
        <v>7979</v>
      </c>
      <c r="V420" s="18" t="s">
        <v>6963</v>
      </c>
      <c r="W420" s="18" t="s">
        <v>95</v>
      </c>
      <c r="X420" s="18" t="s">
        <v>95</v>
      </c>
      <c r="Y420" s="18" t="s">
        <v>7980</v>
      </c>
      <c r="Z420" s="18" t="s">
        <v>6996</v>
      </c>
      <c r="AA420" s="69">
        <v>1</v>
      </c>
      <c r="AB420" s="18">
        <v>299.11</v>
      </c>
      <c r="AC420" s="18" t="s">
        <v>10574</v>
      </c>
      <c r="AD420" s="18" t="s">
        <v>96</v>
      </c>
      <c r="AE420" s="18">
        <v>235</v>
      </c>
      <c r="AF420" s="18" t="s">
        <v>7983</v>
      </c>
      <c r="AG420" s="18">
        <v>235</v>
      </c>
      <c r="AH420" s="18" t="s">
        <v>95</v>
      </c>
      <c r="AI420" s="18" t="s">
        <v>95</v>
      </c>
      <c r="AJ420" s="18" t="s">
        <v>95</v>
      </c>
      <c r="AK420" s="18" t="s">
        <v>95</v>
      </c>
      <c r="AL420" s="18" t="s">
        <v>95</v>
      </c>
      <c r="AM420" s="18" t="s">
        <v>95</v>
      </c>
      <c r="AN420" s="18" t="s">
        <v>7984</v>
      </c>
      <c r="AO420" s="18" t="s">
        <v>92</v>
      </c>
      <c r="AP420" s="18" t="s">
        <v>1020</v>
      </c>
      <c r="AQ420" s="18" t="s">
        <v>1021</v>
      </c>
      <c r="AR420" s="18" t="s">
        <v>10501</v>
      </c>
      <c r="AS420" s="18">
        <v>1</v>
      </c>
      <c r="AT420" s="18" t="s">
        <v>91</v>
      </c>
      <c r="AU420" s="18" t="s">
        <v>90</v>
      </c>
      <c r="AV420" s="18" t="s">
        <v>7985</v>
      </c>
      <c r="AW420" s="18" t="s">
        <v>7986</v>
      </c>
      <c r="AX420" s="18" t="s">
        <v>83</v>
      </c>
      <c r="AY420" s="18" t="s">
        <v>95</v>
      </c>
      <c r="AZ420" s="18" t="s">
        <v>95</v>
      </c>
      <c r="BA420" s="18" t="s">
        <v>95</v>
      </c>
      <c r="BB420" s="18" t="s">
        <v>95</v>
      </c>
      <c r="BC420" s="18" t="s">
        <v>95</v>
      </c>
      <c r="BD420" s="18" t="s">
        <v>95</v>
      </c>
      <c r="BE420" s="18" t="s">
        <v>95</v>
      </c>
      <c r="BF420" s="18" t="s">
        <v>95</v>
      </c>
      <c r="BG420" s="18" t="s">
        <v>95</v>
      </c>
      <c r="BH420" s="18" t="s">
        <v>95</v>
      </c>
      <c r="BI420" s="18">
        <v>12</v>
      </c>
      <c r="BJ420" s="18">
        <v>2022</v>
      </c>
      <c r="BK420" s="18" t="s">
        <v>95</v>
      </c>
      <c r="BL420" s="18" t="s">
        <v>95</v>
      </c>
      <c r="BM420" s="18" t="s">
        <v>95</v>
      </c>
      <c r="BN420" s="18" t="s">
        <v>85</v>
      </c>
      <c r="BO420" s="18" t="s">
        <v>86</v>
      </c>
      <c r="BP420" s="18" t="s">
        <v>90</v>
      </c>
      <c r="BQ420" s="18" t="s">
        <v>8106</v>
      </c>
      <c r="BR420" s="18" t="s">
        <v>92</v>
      </c>
      <c r="BS420" s="18" t="s">
        <v>8074</v>
      </c>
      <c r="BT420" s="18" t="s">
        <v>10502</v>
      </c>
      <c r="BU420" s="18" t="s">
        <v>496</v>
      </c>
      <c r="BV420" s="18" t="str">
        <f>Terminales[[#This Row],[IMEI]]&amp;"SI"</f>
        <v>866184060684466SI</v>
      </c>
      <c r="BW420" s="18" t="str">
        <f>VLOOKUP(Terminales[[#This Row],[OFICINA_USUARIO]],[1]!Locales[#Data],3,0)</f>
        <v>TIENDA CUENCA CENTRO</v>
      </c>
      <c r="BX420" s="18" t="str">
        <f>VLOOKUP(Terminales[[#This Row],[USUARIO_FINAL]],'[1]Personal Ppto vs Real'!$A:$F,6,0)</f>
        <v>GONZALES ALVARRACIN PAOLA YESSENIA</v>
      </c>
      <c r="BY42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0" s="18">
        <f>DAY(Terminales[[#This Row],[FECHA_FACTURA]])</f>
        <v>8</v>
      </c>
      <c r="CB420" s="65">
        <f>IF(Terminales[[#This Row],[CANTIDAD]] = 1,INDEX([1]!Comisiones[#Data],MATCH("Terminales",[1]!Comisiones[Producto],0),MATCH(Terminales[[#This Row],[TIPO ALTA COMISIONES]],[1]!Comisiones[#Headers],0))*Terminales[[#This Row],[MONTO]],0)</f>
        <v>29.911000000000001</v>
      </c>
      <c r="CC420" s="65">
        <f>IFERROR(IF(AND(Terminales[[#This Row],[CANTIDAD]] = 1,Terminales[[#This Row],[MOVIMIENTO]] = "RENOVACION"),Terminales[[#This Row],[TARIFA_BASICA]]*0.5,),)</f>
        <v>0</v>
      </c>
      <c r="CD420" s="65">
        <f>IF('[1]Resumen TM'!$AW$20 &lt; 0.4,0,Terminales[[#This Row],[MONTO]]*0.02)</f>
        <v>5.9822000000000006</v>
      </c>
      <c r="CE420" s="66">
        <f>Terminales[[#This Row],[COMISIONES TERMINALES]]+Terminales[[#This Row],[COMISIONES RENOVACIONES]]+Terminales[[#This Row],[COMISIONES BONO]]</f>
        <v>35.8932</v>
      </c>
      <c r="CF420" s="67">
        <f>(Terminales[[#This Row],[COMISIONES TERMINALES]]*VLOOKUP(Terminales[[#This Row],[LOCALES]],[1]!Calendario[#Data],3,0))/VLOOKUP(Terminales[[#This Row],[LOCALES]],[1]!Calendario[#Data],2,0)</f>
        <v>48.476448275862069</v>
      </c>
      <c r="CG420" s="67">
        <f>(Terminales[[#This Row],[COMISIONES RENOVACIONES]]*VLOOKUP(Terminales[[#This Row],[LOCALES]],[1]!Calendario[#Data],3,0))/VLOOKUP(Terminales[[#This Row],[LOCALES]],[1]!Calendario[#Data],2,0)</f>
        <v>0</v>
      </c>
      <c r="CH420" s="67">
        <f>(Terminales[[#This Row],[COMISIONES BONO]]*VLOOKUP(Terminales[[#This Row],[LOCALES]],[1]!Calendario[#Data],3,0))/VLOOKUP(Terminales[[#This Row],[LOCALES]],[1]!Calendario[#Data],2,0)</f>
        <v>9.6952896551724148</v>
      </c>
      <c r="CI420" s="67">
        <f>Terminales[[#This Row],[PROY. COM. TERMINALES]]+Terminales[[#This Row],[PROY. COM. RENOV.]]+Terminales[[#This Row],[PROY. COM. 2%]]</f>
        <v>58.171737931034485</v>
      </c>
    </row>
    <row r="421" spans="1:87" x14ac:dyDescent="0.25">
      <c r="A421" s="68">
        <v>44926</v>
      </c>
      <c r="B421" s="68">
        <v>44903</v>
      </c>
      <c r="C421" s="18" t="s">
        <v>96</v>
      </c>
      <c r="D421" s="18" t="s">
        <v>96</v>
      </c>
      <c r="E421" s="18" t="s">
        <v>96</v>
      </c>
      <c r="F421" s="18" t="s">
        <v>95</v>
      </c>
      <c r="G421" s="18" t="s">
        <v>292</v>
      </c>
      <c r="H421" s="18" t="s">
        <v>494</v>
      </c>
      <c r="I421" s="18" t="s">
        <v>10575</v>
      </c>
      <c r="J421" s="18" t="s">
        <v>95</v>
      </c>
      <c r="K421" s="18" t="s">
        <v>7970</v>
      </c>
      <c r="L421" s="18" t="s">
        <v>10496</v>
      </c>
      <c r="M421" s="18" t="s">
        <v>10497</v>
      </c>
      <c r="N421" s="18" t="s">
        <v>10498</v>
      </c>
      <c r="O421" s="18" t="s">
        <v>10576</v>
      </c>
      <c r="P421" s="18" t="s">
        <v>10577</v>
      </c>
      <c r="Q421" s="18" t="s">
        <v>7975</v>
      </c>
      <c r="R421" s="18" t="s">
        <v>7976</v>
      </c>
      <c r="S421" s="18" t="s">
        <v>8045</v>
      </c>
      <c r="T421" s="18" t="s">
        <v>8331</v>
      </c>
      <c r="U421" s="18" t="s">
        <v>7996</v>
      </c>
      <c r="V421" s="18" t="s">
        <v>6963</v>
      </c>
      <c r="W421" s="18" t="s">
        <v>95</v>
      </c>
      <c r="X421" s="18" t="s">
        <v>95</v>
      </c>
      <c r="Y421" s="18" t="s">
        <v>7980</v>
      </c>
      <c r="Z421" s="18" t="s">
        <v>6996</v>
      </c>
      <c r="AA421" s="69">
        <v>1</v>
      </c>
      <c r="AB421" s="18">
        <v>113.39286</v>
      </c>
      <c r="AC421" s="18" t="s">
        <v>10578</v>
      </c>
      <c r="AD421" s="18" t="s">
        <v>96</v>
      </c>
      <c r="AE421" s="18">
        <v>91</v>
      </c>
      <c r="AF421" s="18" t="s">
        <v>7983</v>
      </c>
      <c r="AG421" s="18">
        <v>91</v>
      </c>
      <c r="AH421" s="18" t="s">
        <v>95</v>
      </c>
      <c r="AI421" s="18" t="s">
        <v>95</v>
      </c>
      <c r="AJ421" s="18" t="s">
        <v>95</v>
      </c>
      <c r="AK421" s="18" t="s">
        <v>95</v>
      </c>
      <c r="AL421" s="18" t="s">
        <v>95</v>
      </c>
      <c r="AM421" s="18" t="s">
        <v>95</v>
      </c>
      <c r="AN421" s="18" t="s">
        <v>7984</v>
      </c>
      <c r="AO421" s="18" t="s">
        <v>92</v>
      </c>
      <c r="AP421" s="18" t="s">
        <v>352</v>
      </c>
      <c r="AQ421" s="18" t="s">
        <v>353</v>
      </c>
      <c r="AR421" s="18" t="s">
        <v>10501</v>
      </c>
      <c r="AS421" s="18">
        <v>1</v>
      </c>
      <c r="AT421" s="18" t="s">
        <v>122</v>
      </c>
      <c r="AU421" s="18" t="s">
        <v>90</v>
      </c>
      <c r="AV421" s="18" t="s">
        <v>10579</v>
      </c>
      <c r="AW421" s="18" t="s">
        <v>10580</v>
      </c>
      <c r="AX421" s="18" t="s">
        <v>83</v>
      </c>
      <c r="AY421" s="18" t="s">
        <v>95</v>
      </c>
      <c r="AZ421" s="18" t="s">
        <v>95</v>
      </c>
      <c r="BA421" s="18" t="s">
        <v>95</v>
      </c>
      <c r="BB421" s="18" t="s">
        <v>95</v>
      </c>
      <c r="BC421" s="18" t="s">
        <v>95</v>
      </c>
      <c r="BD421" s="18" t="s">
        <v>95</v>
      </c>
      <c r="BE421" s="18" t="s">
        <v>95</v>
      </c>
      <c r="BF421" s="18" t="s">
        <v>95</v>
      </c>
      <c r="BG421" s="18" t="s">
        <v>95</v>
      </c>
      <c r="BH421" s="18" t="s">
        <v>95</v>
      </c>
      <c r="BI421" s="18">
        <v>12</v>
      </c>
      <c r="BJ421" s="18">
        <v>2022</v>
      </c>
      <c r="BK421" s="18" t="s">
        <v>95</v>
      </c>
      <c r="BL421" s="18" t="s">
        <v>95</v>
      </c>
      <c r="BM421" s="18" t="s">
        <v>95</v>
      </c>
      <c r="BN421" s="18" t="s">
        <v>85</v>
      </c>
      <c r="BO421" s="18" t="s">
        <v>86</v>
      </c>
      <c r="BP421" s="18" t="s">
        <v>90</v>
      </c>
      <c r="BQ421" s="18" t="s">
        <v>8050</v>
      </c>
      <c r="BR421" s="18" t="s">
        <v>92</v>
      </c>
      <c r="BS421" s="18" t="s">
        <v>8074</v>
      </c>
      <c r="BT421" s="18" t="s">
        <v>10502</v>
      </c>
      <c r="BU421" s="18" t="s">
        <v>496</v>
      </c>
      <c r="BV421" s="18" t="str">
        <f>Terminales[[#This Row],[IMEI]]&amp;"SI"</f>
        <v>352286991152504SI</v>
      </c>
      <c r="BW421" s="18" t="str">
        <f>VLOOKUP(Terminales[[#This Row],[OFICINA_USUARIO]],[1]!Locales[#Data],3,0)</f>
        <v>TIENDA MACHALA</v>
      </c>
      <c r="BX421" s="18" t="str">
        <f>VLOOKUP(Terminales[[#This Row],[USUARIO_FINAL]],'[1]Personal Ppto vs Real'!$A:$F,6,0)</f>
        <v>TENORIO MARIA DEL PILAR</v>
      </c>
      <c r="BY42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1" s="18">
        <f>DAY(Terminales[[#This Row],[FECHA_FACTURA]])</f>
        <v>8</v>
      </c>
      <c r="CB421" s="65">
        <f>IF(Terminales[[#This Row],[CANTIDAD]] = 1,INDEX([1]!Comisiones[#Data],MATCH("Terminales",[1]!Comisiones[Producto],0),MATCH(Terminales[[#This Row],[TIPO ALTA COMISIONES]],[1]!Comisiones[#Headers],0))*Terminales[[#This Row],[MONTO]],0)</f>
        <v>11.339286000000001</v>
      </c>
      <c r="CC421" s="65">
        <f>IFERROR(IF(AND(Terminales[[#This Row],[CANTIDAD]] = 1,Terminales[[#This Row],[MOVIMIENTO]] = "RENOVACION"),Terminales[[#This Row],[TARIFA_BASICA]]*0.5,),)</f>
        <v>0</v>
      </c>
      <c r="CD421" s="65">
        <f>IF('[1]Resumen TM'!$AW$20 &lt; 0.4,0,Terminales[[#This Row],[MONTO]]*0.02)</f>
        <v>2.2678571999999999</v>
      </c>
      <c r="CE421" s="66">
        <f>Terminales[[#This Row],[COMISIONES TERMINALES]]+Terminales[[#This Row],[COMISIONES RENOVACIONES]]+Terminales[[#This Row],[COMISIONES BONO]]</f>
        <v>13.607143200000001</v>
      </c>
      <c r="CF421" s="67">
        <f>(Terminales[[#This Row],[COMISIONES TERMINALES]]*VLOOKUP(Terminales[[#This Row],[LOCALES]],[1]!Calendario[#Data],3,0))/VLOOKUP(Terminales[[#This Row],[LOCALES]],[1]!Calendario[#Data],2,0)</f>
        <v>18.377463517241381</v>
      </c>
      <c r="CG421" s="67">
        <f>(Terminales[[#This Row],[COMISIONES RENOVACIONES]]*VLOOKUP(Terminales[[#This Row],[LOCALES]],[1]!Calendario[#Data],3,0))/VLOOKUP(Terminales[[#This Row],[LOCALES]],[1]!Calendario[#Data],2,0)</f>
        <v>0</v>
      </c>
      <c r="CH421" s="67">
        <f>(Terminales[[#This Row],[COMISIONES BONO]]*VLOOKUP(Terminales[[#This Row],[LOCALES]],[1]!Calendario[#Data],3,0))/VLOOKUP(Terminales[[#This Row],[LOCALES]],[1]!Calendario[#Data],2,0)</f>
        <v>3.6754927034482758</v>
      </c>
      <c r="CI421" s="67">
        <f>Terminales[[#This Row],[PROY. COM. TERMINALES]]+Terminales[[#This Row],[PROY. COM. RENOV.]]+Terminales[[#This Row],[PROY. COM. 2%]]</f>
        <v>22.052956220689659</v>
      </c>
    </row>
    <row r="422" spans="1:87" x14ac:dyDescent="0.25">
      <c r="A422" s="68">
        <v>44926</v>
      </c>
      <c r="B422" s="68">
        <v>44903</v>
      </c>
      <c r="C422" s="18" t="s">
        <v>96</v>
      </c>
      <c r="D422" s="18" t="s">
        <v>96</v>
      </c>
      <c r="E422" s="18" t="s">
        <v>96</v>
      </c>
      <c r="F422" s="18" t="s">
        <v>95</v>
      </c>
      <c r="G422" s="18" t="s">
        <v>292</v>
      </c>
      <c r="H422" s="18" t="s">
        <v>494</v>
      </c>
      <c r="I422" s="18" t="s">
        <v>10581</v>
      </c>
      <c r="J422" s="18" t="s">
        <v>95</v>
      </c>
      <c r="K422" s="18" t="s">
        <v>7970</v>
      </c>
      <c r="L422" s="18" t="s">
        <v>10496</v>
      </c>
      <c r="M422" s="18" t="s">
        <v>10497</v>
      </c>
      <c r="N422" s="18" t="s">
        <v>10498</v>
      </c>
      <c r="O422" s="18" t="s">
        <v>8033</v>
      </c>
      <c r="P422" s="18" t="s">
        <v>10582</v>
      </c>
      <c r="Q422" s="18" t="s">
        <v>7975</v>
      </c>
      <c r="R422" s="18" t="s">
        <v>7976</v>
      </c>
      <c r="S422" s="18" t="s">
        <v>7977</v>
      </c>
      <c r="T422" s="18" t="s">
        <v>8035</v>
      </c>
      <c r="U422" s="18" t="s">
        <v>7996</v>
      </c>
      <c r="V422" s="18" t="s">
        <v>6963</v>
      </c>
      <c r="W422" s="18" t="s">
        <v>95</v>
      </c>
      <c r="X422" s="18" t="s">
        <v>95</v>
      </c>
      <c r="Y422" s="18" t="s">
        <v>7980</v>
      </c>
      <c r="Z422" s="18" t="s">
        <v>6996</v>
      </c>
      <c r="AA422" s="69">
        <v>1</v>
      </c>
      <c r="AB422" s="18">
        <v>174.10713999999999</v>
      </c>
      <c r="AC422" s="18" t="s">
        <v>10583</v>
      </c>
      <c r="AD422" s="18" t="s">
        <v>96</v>
      </c>
      <c r="AE422" s="18">
        <v>147</v>
      </c>
      <c r="AF422" s="18" t="s">
        <v>7983</v>
      </c>
      <c r="AG422" s="18">
        <v>147</v>
      </c>
      <c r="AH422" s="18" t="s">
        <v>95</v>
      </c>
      <c r="AI422" s="18" t="s">
        <v>95</v>
      </c>
      <c r="AJ422" s="18" t="s">
        <v>95</v>
      </c>
      <c r="AK422" s="18" t="s">
        <v>95</v>
      </c>
      <c r="AL422" s="18" t="s">
        <v>95</v>
      </c>
      <c r="AM422" s="18" t="s">
        <v>95</v>
      </c>
      <c r="AN422" s="18" t="s">
        <v>7984</v>
      </c>
      <c r="AO422" s="18" t="s">
        <v>92</v>
      </c>
      <c r="AP422" s="18" t="s">
        <v>88</v>
      </c>
      <c r="AQ422" s="18" t="s">
        <v>89</v>
      </c>
      <c r="AR422" s="18" t="s">
        <v>10501</v>
      </c>
      <c r="AS422" s="18">
        <v>1</v>
      </c>
      <c r="AT422" s="18" t="s">
        <v>91</v>
      </c>
      <c r="AU422" s="18" t="s">
        <v>90</v>
      </c>
      <c r="AV422" s="18" t="s">
        <v>8037</v>
      </c>
      <c r="AW422" s="18" t="s">
        <v>8038</v>
      </c>
      <c r="AX422" s="18" t="s">
        <v>83</v>
      </c>
      <c r="AY422" s="18" t="s">
        <v>95</v>
      </c>
      <c r="AZ422" s="18" t="s">
        <v>95</v>
      </c>
      <c r="BA422" s="18" t="s">
        <v>95</v>
      </c>
      <c r="BB422" s="18" t="s">
        <v>95</v>
      </c>
      <c r="BC422" s="18" t="s">
        <v>95</v>
      </c>
      <c r="BD422" s="18" t="s">
        <v>95</v>
      </c>
      <c r="BE422" s="18" t="s">
        <v>95</v>
      </c>
      <c r="BF422" s="18" t="s">
        <v>95</v>
      </c>
      <c r="BG422" s="18" t="s">
        <v>95</v>
      </c>
      <c r="BH422" s="18" t="s">
        <v>95</v>
      </c>
      <c r="BI422" s="18">
        <v>12</v>
      </c>
      <c r="BJ422" s="18">
        <v>2022</v>
      </c>
      <c r="BK422" s="18" t="s">
        <v>95</v>
      </c>
      <c r="BL422" s="18" t="s">
        <v>95</v>
      </c>
      <c r="BM422" s="18" t="s">
        <v>95</v>
      </c>
      <c r="BN422" s="18" t="s">
        <v>85</v>
      </c>
      <c r="BO422" s="18" t="s">
        <v>86</v>
      </c>
      <c r="BP422" s="18" t="s">
        <v>90</v>
      </c>
      <c r="BQ422" s="18" t="s">
        <v>8106</v>
      </c>
      <c r="BR422" s="18" t="s">
        <v>92</v>
      </c>
      <c r="BS422" s="18" t="s">
        <v>8074</v>
      </c>
      <c r="BT422" s="18" t="s">
        <v>10502</v>
      </c>
      <c r="BU422" s="18" t="s">
        <v>496</v>
      </c>
      <c r="BV422" s="18" t="str">
        <f>Terminales[[#This Row],[IMEI]]&amp;"SI"</f>
        <v>862800061026506SI</v>
      </c>
      <c r="BW422" s="18" t="str">
        <f>VLOOKUP(Terminales[[#This Row],[OFICINA_USUARIO]],[1]!Locales[#Data],3,0)</f>
        <v>TIENDA CUENCA CENTRO</v>
      </c>
      <c r="BX422" s="18" t="str">
        <f>VLOOKUP(Terminales[[#This Row],[USUARIO_FINAL]],'[1]Personal Ppto vs Real'!$A:$F,6,0)</f>
        <v>ANDRADE CONDO CHRISTIAN EDUARDO</v>
      </c>
      <c r="BY42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2" s="18">
        <f>DAY(Terminales[[#This Row],[FECHA_FACTURA]])</f>
        <v>8</v>
      </c>
      <c r="CB422" s="65">
        <f>IF(Terminales[[#This Row],[CANTIDAD]] = 1,INDEX([1]!Comisiones[#Data],MATCH("Terminales",[1]!Comisiones[Producto],0),MATCH(Terminales[[#This Row],[TIPO ALTA COMISIONES]],[1]!Comisiones[#Headers],0))*Terminales[[#This Row],[MONTO]],0)</f>
        <v>17.410713999999999</v>
      </c>
      <c r="CC422" s="65">
        <f>IFERROR(IF(AND(Terminales[[#This Row],[CANTIDAD]] = 1,Terminales[[#This Row],[MOVIMIENTO]] = "RENOVACION"),Terminales[[#This Row],[TARIFA_BASICA]]*0.5,),)</f>
        <v>0</v>
      </c>
      <c r="CD422" s="65">
        <f>IF('[1]Resumen TM'!$AW$20 &lt; 0.4,0,Terminales[[#This Row],[MONTO]]*0.02)</f>
        <v>3.4821427999999996</v>
      </c>
      <c r="CE422" s="66">
        <f>Terminales[[#This Row],[COMISIONES TERMINALES]]+Terminales[[#This Row],[COMISIONES RENOVACIONES]]+Terminales[[#This Row],[COMISIONES BONO]]</f>
        <v>20.892856799999997</v>
      </c>
      <c r="CF422" s="67">
        <f>(Terminales[[#This Row],[COMISIONES TERMINALES]]*VLOOKUP(Terminales[[#This Row],[LOCALES]],[1]!Calendario[#Data],3,0))/VLOOKUP(Terminales[[#This Row],[LOCALES]],[1]!Calendario[#Data],2,0)</f>
        <v>28.217364068965516</v>
      </c>
      <c r="CG422" s="67">
        <f>(Terminales[[#This Row],[COMISIONES RENOVACIONES]]*VLOOKUP(Terminales[[#This Row],[LOCALES]],[1]!Calendario[#Data],3,0))/VLOOKUP(Terminales[[#This Row],[LOCALES]],[1]!Calendario[#Data],2,0)</f>
        <v>0</v>
      </c>
      <c r="CH422" s="67">
        <f>(Terminales[[#This Row],[COMISIONES BONO]]*VLOOKUP(Terminales[[#This Row],[LOCALES]],[1]!Calendario[#Data],3,0))/VLOOKUP(Terminales[[#This Row],[LOCALES]],[1]!Calendario[#Data],2,0)</f>
        <v>5.6434728137931032</v>
      </c>
      <c r="CI422" s="67">
        <f>Terminales[[#This Row],[PROY. COM. TERMINALES]]+Terminales[[#This Row],[PROY. COM. RENOV.]]+Terminales[[#This Row],[PROY. COM. 2%]]</f>
        <v>33.860836882758619</v>
      </c>
    </row>
    <row r="423" spans="1:87" x14ac:dyDescent="0.25">
      <c r="A423" s="68">
        <v>44926</v>
      </c>
      <c r="B423" s="68">
        <v>44903</v>
      </c>
      <c r="C423" s="18" t="s">
        <v>96</v>
      </c>
      <c r="D423" s="18" t="s">
        <v>96</v>
      </c>
      <c r="E423" s="18" t="s">
        <v>96</v>
      </c>
      <c r="F423" s="18" t="s">
        <v>95</v>
      </c>
      <c r="G423" s="18" t="s">
        <v>292</v>
      </c>
      <c r="H423" s="18" t="s">
        <v>494</v>
      </c>
      <c r="I423" s="18" t="s">
        <v>10584</v>
      </c>
      <c r="J423" s="18" t="s">
        <v>95</v>
      </c>
      <c r="K423" s="18" t="s">
        <v>7970</v>
      </c>
      <c r="L423" s="18" t="s">
        <v>10496</v>
      </c>
      <c r="M423" s="18" t="s">
        <v>10497</v>
      </c>
      <c r="N423" s="18" t="s">
        <v>10498</v>
      </c>
      <c r="O423" s="18" t="s">
        <v>3669</v>
      </c>
      <c r="P423" s="18" t="s">
        <v>10585</v>
      </c>
      <c r="Q423" s="18" t="s">
        <v>7975</v>
      </c>
      <c r="R423" s="18" t="s">
        <v>7976</v>
      </c>
      <c r="S423" s="18" t="s">
        <v>8045</v>
      </c>
      <c r="T423" s="18" t="s">
        <v>8046</v>
      </c>
      <c r="U423" s="18" t="s">
        <v>7996</v>
      </c>
      <c r="V423" s="18" t="s">
        <v>6963</v>
      </c>
      <c r="W423" s="18" t="s">
        <v>95</v>
      </c>
      <c r="X423" s="18" t="s">
        <v>95</v>
      </c>
      <c r="Y423" s="18" t="s">
        <v>7980</v>
      </c>
      <c r="Z423" s="18" t="s">
        <v>6996</v>
      </c>
      <c r="AA423" s="69">
        <v>1</v>
      </c>
      <c r="AB423" s="18">
        <v>144.64286000000001</v>
      </c>
      <c r="AC423" s="18" t="s">
        <v>10586</v>
      </c>
      <c r="AD423" s="18" t="s">
        <v>96</v>
      </c>
      <c r="AE423" s="18">
        <v>124.5</v>
      </c>
      <c r="AF423" s="18" t="s">
        <v>7983</v>
      </c>
      <c r="AG423" s="18">
        <v>124.5</v>
      </c>
      <c r="AH423" s="18" t="s">
        <v>95</v>
      </c>
      <c r="AI423" s="18" t="s">
        <v>95</v>
      </c>
      <c r="AJ423" s="18" t="s">
        <v>95</v>
      </c>
      <c r="AK423" s="18" t="s">
        <v>95</v>
      </c>
      <c r="AL423" s="18" t="s">
        <v>95</v>
      </c>
      <c r="AM423" s="18" t="s">
        <v>95</v>
      </c>
      <c r="AN423" s="18" t="s">
        <v>7984</v>
      </c>
      <c r="AO423" s="18" t="s">
        <v>92</v>
      </c>
      <c r="AP423" s="18" t="s">
        <v>420</v>
      </c>
      <c r="AQ423" s="18" t="s">
        <v>421</v>
      </c>
      <c r="AR423" s="18" t="s">
        <v>10501</v>
      </c>
      <c r="AS423" s="18">
        <v>1</v>
      </c>
      <c r="AT423" s="18" t="s">
        <v>151</v>
      </c>
      <c r="AU423" s="18" t="s">
        <v>90</v>
      </c>
      <c r="AV423" s="18" t="s">
        <v>8048</v>
      </c>
      <c r="AW423" s="18" t="s">
        <v>8049</v>
      </c>
      <c r="AX423" s="18" t="s">
        <v>83</v>
      </c>
      <c r="AY423" s="18" t="s">
        <v>95</v>
      </c>
      <c r="AZ423" s="18" t="s">
        <v>95</v>
      </c>
      <c r="BA423" s="18" t="s">
        <v>95</v>
      </c>
      <c r="BB423" s="18" t="s">
        <v>95</v>
      </c>
      <c r="BC423" s="18" t="s">
        <v>95</v>
      </c>
      <c r="BD423" s="18" t="s">
        <v>95</v>
      </c>
      <c r="BE423" s="18" t="s">
        <v>95</v>
      </c>
      <c r="BF423" s="18" t="s">
        <v>95</v>
      </c>
      <c r="BG423" s="18" t="s">
        <v>95</v>
      </c>
      <c r="BH423" s="18" t="s">
        <v>95</v>
      </c>
      <c r="BI423" s="18">
        <v>12</v>
      </c>
      <c r="BJ423" s="18">
        <v>2022</v>
      </c>
      <c r="BK423" s="18" t="s">
        <v>95</v>
      </c>
      <c r="BL423" s="18" t="s">
        <v>95</v>
      </c>
      <c r="BM423" s="18" t="s">
        <v>95</v>
      </c>
      <c r="BN423" s="18" t="s">
        <v>85</v>
      </c>
      <c r="BO423" s="18" t="s">
        <v>86</v>
      </c>
      <c r="BP423" s="18" t="s">
        <v>90</v>
      </c>
      <c r="BQ423" s="18" t="s">
        <v>8141</v>
      </c>
      <c r="BR423" s="18" t="s">
        <v>92</v>
      </c>
      <c r="BS423" s="18" t="s">
        <v>8074</v>
      </c>
      <c r="BT423" s="18" t="s">
        <v>10502</v>
      </c>
      <c r="BU423" s="18" t="s">
        <v>496</v>
      </c>
      <c r="BV423" s="18" t="str">
        <f>Terminales[[#This Row],[IMEI]]&amp;"SI"</f>
        <v>354379559470281SI</v>
      </c>
      <c r="BW423" s="18" t="str">
        <f>VLOOKUP(Terminales[[#This Row],[OFICINA_USUARIO]],[1]!Locales[#Data],3,0)</f>
        <v>TIENDA CUENCA REMIGIO</v>
      </c>
      <c r="BX423" s="18" t="str">
        <f>VLOOKUP(Terminales[[#This Row],[USUARIO_FINAL]],'[1]Personal Ppto vs Real'!$A:$F,6,0)</f>
        <v>YEPEZ PALOMEQUE DIANA PATRICIA</v>
      </c>
      <c r="BY42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3" s="18">
        <f>DAY(Terminales[[#This Row],[FECHA_FACTURA]])</f>
        <v>8</v>
      </c>
      <c r="CB423" s="65">
        <f>IF(Terminales[[#This Row],[CANTIDAD]] = 1,INDEX([1]!Comisiones[#Data],MATCH("Terminales",[1]!Comisiones[Producto],0),MATCH(Terminales[[#This Row],[TIPO ALTA COMISIONES]],[1]!Comisiones[#Headers],0))*Terminales[[#This Row],[MONTO]],0)</f>
        <v>14.464286000000001</v>
      </c>
      <c r="CC423" s="65">
        <f>IFERROR(IF(AND(Terminales[[#This Row],[CANTIDAD]] = 1,Terminales[[#This Row],[MOVIMIENTO]] = "RENOVACION"),Terminales[[#This Row],[TARIFA_BASICA]]*0.5,),)</f>
        <v>0</v>
      </c>
      <c r="CD423" s="65">
        <f>IF('[1]Resumen TM'!$AW$20 &lt; 0.4,0,Terminales[[#This Row],[MONTO]]*0.02)</f>
        <v>2.8928572000000004</v>
      </c>
      <c r="CE423" s="66">
        <f>Terminales[[#This Row],[COMISIONES TERMINALES]]+Terminales[[#This Row],[COMISIONES RENOVACIONES]]+Terminales[[#This Row],[COMISIONES BONO]]</f>
        <v>17.357143200000003</v>
      </c>
      <c r="CF423" s="67">
        <f>(Terminales[[#This Row],[COMISIONES TERMINALES]]*VLOOKUP(Terminales[[#This Row],[LOCALES]],[1]!Calendario[#Data],3,0))/VLOOKUP(Terminales[[#This Row],[LOCALES]],[1]!Calendario[#Data],2,0)</f>
        <v>23.442118689655175</v>
      </c>
      <c r="CG423" s="67">
        <f>(Terminales[[#This Row],[COMISIONES RENOVACIONES]]*VLOOKUP(Terminales[[#This Row],[LOCALES]],[1]!Calendario[#Data],3,0))/VLOOKUP(Terminales[[#This Row],[LOCALES]],[1]!Calendario[#Data],2,0)</f>
        <v>0</v>
      </c>
      <c r="CH423" s="67">
        <f>(Terminales[[#This Row],[COMISIONES BONO]]*VLOOKUP(Terminales[[#This Row],[LOCALES]],[1]!Calendario[#Data],3,0))/VLOOKUP(Terminales[[#This Row],[LOCALES]],[1]!Calendario[#Data],2,0)</f>
        <v>4.6884237379310347</v>
      </c>
      <c r="CI423" s="67">
        <f>Terminales[[#This Row],[PROY. COM. TERMINALES]]+Terminales[[#This Row],[PROY. COM. RENOV.]]+Terminales[[#This Row],[PROY. COM. 2%]]</f>
        <v>28.13054242758621</v>
      </c>
    </row>
    <row r="424" spans="1:87" x14ac:dyDescent="0.25">
      <c r="A424" s="68">
        <v>44926</v>
      </c>
      <c r="B424" s="68">
        <v>44903</v>
      </c>
      <c r="C424" s="18" t="s">
        <v>96</v>
      </c>
      <c r="D424" s="18" t="s">
        <v>96</v>
      </c>
      <c r="E424" s="18" t="s">
        <v>96</v>
      </c>
      <c r="F424" s="18" t="s">
        <v>95</v>
      </c>
      <c r="G424" s="18" t="s">
        <v>292</v>
      </c>
      <c r="H424" s="18" t="s">
        <v>494</v>
      </c>
      <c r="I424" s="18" t="s">
        <v>10587</v>
      </c>
      <c r="J424" s="18" t="s">
        <v>95</v>
      </c>
      <c r="K424" s="18" t="s">
        <v>7970</v>
      </c>
      <c r="L424" s="18" t="s">
        <v>10496</v>
      </c>
      <c r="M424" s="18" t="s">
        <v>10497</v>
      </c>
      <c r="N424" s="18" t="s">
        <v>10498</v>
      </c>
      <c r="O424" s="18" t="s">
        <v>8127</v>
      </c>
      <c r="P424" s="18" t="s">
        <v>10588</v>
      </c>
      <c r="Q424" s="18" t="s">
        <v>7975</v>
      </c>
      <c r="R424" s="18" t="s">
        <v>7976</v>
      </c>
      <c r="S424" s="18" t="s">
        <v>8045</v>
      </c>
      <c r="T424" s="18" t="s">
        <v>8129</v>
      </c>
      <c r="U424" s="18" t="s">
        <v>8012</v>
      </c>
      <c r="V424" s="18" t="s">
        <v>6963</v>
      </c>
      <c r="W424" s="18" t="s">
        <v>95</v>
      </c>
      <c r="X424" s="18" t="s">
        <v>95</v>
      </c>
      <c r="Y424" s="18" t="s">
        <v>7980</v>
      </c>
      <c r="Z424" s="18" t="s">
        <v>6996</v>
      </c>
      <c r="AA424" s="69">
        <v>1</v>
      </c>
      <c r="AB424" s="18">
        <v>225</v>
      </c>
      <c r="AC424" s="18" t="s">
        <v>10589</v>
      </c>
      <c r="AD424" s="18" t="s">
        <v>96</v>
      </c>
      <c r="AE424" s="18">
        <v>199.5</v>
      </c>
      <c r="AF424" s="18" t="s">
        <v>7983</v>
      </c>
      <c r="AG424" s="18">
        <v>199.5</v>
      </c>
      <c r="AH424" s="18" t="s">
        <v>95</v>
      </c>
      <c r="AI424" s="18" t="s">
        <v>95</v>
      </c>
      <c r="AJ424" s="18" t="s">
        <v>95</v>
      </c>
      <c r="AK424" s="18" t="s">
        <v>95</v>
      </c>
      <c r="AL424" s="18" t="s">
        <v>95</v>
      </c>
      <c r="AM424" s="18" t="s">
        <v>95</v>
      </c>
      <c r="AN424" s="18" t="s">
        <v>7984</v>
      </c>
      <c r="AO424" s="18" t="s">
        <v>92</v>
      </c>
      <c r="AP424" s="18" t="s">
        <v>289</v>
      </c>
      <c r="AQ424" s="18" t="s">
        <v>290</v>
      </c>
      <c r="AR424" s="18" t="s">
        <v>10501</v>
      </c>
      <c r="AS424" s="18">
        <v>1</v>
      </c>
      <c r="AT424" s="18" t="s">
        <v>91</v>
      </c>
      <c r="AU424" s="18" t="s">
        <v>90</v>
      </c>
      <c r="AV424" s="18" t="s">
        <v>8131</v>
      </c>
      <c r="AW424" s="18" t="s">
        <v>8132</v>
      </c>
      <c r="AX424" s="18" t="s">
        <v>83</v>
      </c>
      <c r="AY424" s="18" t="s">
        <v>95</v>
      </c>
      <c r="AZ424" s="18" t="s">
        <v>95</v>
      </c>
      <c r="BA424" s="18" t="s">
        <v>95</v>
      </c>
      <c r="BB424" s="18" t="s">
        <v>95</v>
      </c>
      <c r="BC424" s="18" t="s">
        <v>95</v>
      </c>
      <c r="BD424" s="18" t="s">
        <v>95</v>
      </c>
      <c r="BE424" s="18" t="s">
        <v>95</v>
      </c>
      <c r="BF424" s="18" t="s">
        <v>95</v>
      </c>
      <c r="BG424" s="18" t="s">
        <v>95</v>
      </c>
      <c r="BH424" s="18" t="s">
        <v>95</v>
      </c>
      <c r="BI424" s="18">
        <v>12</v>
      </c>
      <c r="BJ424" s="18">
        <v>2022</v>
      </c>
      <c r="BK424" s="18" t="s">
        <v>95</v>
      </c>
      <c r="BL424" s="18" t="s">
        <v>95</v>
      </c>
      <c r="BM424" s="18" t="s">
        <v>95</v>
      </c>
      <c r="BN424" s="18" t="s">
        <v>85</v>
      </c>
      <c r="BO424" s="18" t="s">
        <v>86</v>
      </c>
      <c r="BP424" s="18" t="s">
        <v>90</v>
      </c>
      <c r="BQ424" s="18" t="s">
        <v>8106</v>
      </c>
      <c r="BR424" s="18" t="s">
        <v>92</v>
      </c>
      <c r="BS424" s="18" t="s">
        <v>8074</v>
      </c>
      <c r="BT424" s="18" t="s">
        <v>10502</v>
      </c>
      <c r="BU424" s="18" t="s">
        <v>496</v>
      </c>
      <c r="BV424" s="18" t="str">
        <f>Terminales[[#This Row],[IMEI]]&amp;"SI"</f>
        <v>352460882782550SI</v>
      </c>
      <c r="BW424" s="18" t="str">
        <f>VLOOKUP(Terminales[[#This Row],[OFICINA_USUARIO]],[1]!Locales[#Data],3,0)</f>
        <v>TIENDA CUENCA CENTRO</v>
      </c>
      <c r="BX424" s="18" t="str">
        <f>VLOOKUP(Terminales[[#This Row],[USUARIO_FINAL]],'[1]Personal Ppto vs Real'!$A:$F,6,0)</f>
        <v>CALLE CHACA JORGE VINICIO</v>
      </c>
      <c r="BY42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4" s="18">
        <f>DAY(Terminales[[#This Row],[FECHA_FACTURA]])</f>
        <v>8</v>
      </c>
      <c r="CB424" s="65">
        <f>IF(Terminales[[#This Row],[CANTIDAD]] = 1,INDEX([1]!Comisiones[#Data],MATCH("Terminales",[1]!Comisiones[Producto],0),MATCH(Terminales[[#This Row],[TIPO ALTA COMISIONES]],[1]!Comisiones[#Headers],0))*Terminales[[#This Row],[MONTO]],0)</f>
        <v>22.5</v>
      </c>
      <c r="CC424" s="65">
        <f>IFERROR(IF(AND(Terminales[[#This Row],[CANTIDAD]] = 1,Terminales[[#This Row],[MOVIMIENTO]] = "RENOVACION"),Terminales[[#This Row],[TARIFA_BASICA]]*0.5,),)</f>
        <v>0</v>
      </c>
      <c r="CD424" s="65">
        <f>IF('[1]Resumen TM'!$AW$20 &lt; 0.4,0,Terminales[[#This Row],[MONTO]]*0.02)</f>
        <v>4.5</v>
      </c>
      <c r="CE424" s="66">
        <f>Terminales[[#This Row],[COMISIONES TERMINALES]]+Terminales[[#This Row],[COMISIONES RENOVACIONES]]+Terminales[[#This Row],[COMISIONES BONO]]</f>
        <v>27</v>
      </c>
      <c r="CF424" s="67">
        <f>(Terminales[[#This Row],[COMISIONES TERMINALES]]*VLOOKUP(Terminales[[#This Row],[LOCALES]],[1]!Calendario[#Data],3,0))/VLOOKUP(Terminales[[#This Row],[LOCALES]],[1]!Calendario[#Data],2,0)</f>
        <v>36.46551724137931</v>
      </c>
      <c r="CG424" s="67">
        <f>(Terminales[[#This Row],[COMISIONES RENOVACIONES]]*VLOOKUP(Terminales[[#This Row],[LOCALES]],[1]!Calendario[#Data],3,0))/VLOOKUP(Terminales[[#This Row],[LOCALES]],[1]!Calendario[#Data],2,0)</f>
        <v>0</v>
      </c>
      <c r="CH424" s="67">
        <f>(Terminales[[#This Row],[COMISIONES BONO]]*VLOOKUP(Terminales[[#This Row],[LOCALES]],[1]!Calendario[#Data],3,0))/VLOOKUP(Terminales[[#This Row],[LOCALES]],[1]!Calendario[#Data],2,0)</f>
        <v>7.2931034482758621</v>
      </c>
      <c r="CI424" s="67">
        <f>Terminales[[#This Row],[PROY. COM. TERMINALES]]+Terminales[[#This Row],[PROY. COM. RENOV.]]+Terminales[[#This Row],[PROY. COM. 2%]]</f>
        <v>43.758620689655174</v>
      </c>
    </row>
    <row r="425" spans="1:87" x14ac:dyDescent="0.25">
      <c r="A425" s="68">
        <v>44926</v>
      </c>
      <c r="B425" s="68">
        <v>44904</v>
      </c>
      <c r="C425" s="18" t="s">
        <v>96</v>
      </c>
      <c r="D425" s="18" t="s">
        <v>96</v>
      </c>
      <c r="E425" s="18" t="s">
        <v>96</v>
      </c>
      <c r="F425" s="18" t="s">
        <v>95</v>
      </c>
      <c r="G425" s="18" t="s">
        <v>292</v>
      </c>
      <c r="H425" s="18" t="s">
        <v>494</v>
      </c>
      <c r="I425" s="18" t="s">
        <v>10590</v>
      </c>
      <c r="J425" s="18" t="s">
        <v>95</v>
      </c>
      <c r="K425" s="18" t="s">
        <v>7970</v>
      </c>
      <c r="L425" s="18" t="s">
        <v>10496</v>
      </c>
      <c r="M425" s="18" t="s">
        <v>10497</v>
      </c>
      <c r="N425" s="18" t="s">
        <v>10498</v>
      </c>
      <c r="O425" s="18" t="s">
        <v>3669</v>
      </c>
      <c r="P425" s="18" t="s">
        <v>10591</v>
      </c>
      <c r="Q425" s="18" t="s">
        <v>7975</v>
      </c>
      <c r="R425" s="18" t="s">
        <v>7976</v>
      </c>
      <c r="S425" s="18" t="s">
        <v>8045</v>
      </c>
      <c r="T425" s="18" t="s">
        <v>8046</v>
      </c>
      <c r="U425" s="18" t="s">
        <v>7996</v>
      </c>
      <c r="V425" s="18" t="s">
        <v>6963</v>
      </c>
      <c r="W425" s="18" t="s">
        <v>95</v>
      </c>
      <c r="X425" s="18" t="s">
        <v>95</v>
      </c>
      <c r="Y425" s="18" t="s">
        <v>7980</v>
      </c>
      <c r="Z425" s="18" t="s">
        <v>6996</v>
      </c>
      <c r="AA425" s="69">
        <v>1</v>
      </c>
      <c r="AB425" s="18">
        <v>144.64286000000001</v>
      </c>
      <c r="AC425" s="18" t="s">
        <v>10592</v>
      </c>
      <c r="AD425" s="18" t="s">
        <v>96</v>
      </c>
      <c r="AE425" s="18">
        <v>124.5</v>
      </c>
      <c r="AF425" s="18" t="s">
        <v>7983</v>
      </c>
      <c r="AG425" s="18">
        <v>124.5</v>
      </c>
      <c r="AH425" s="18" t="s">
        <v>95</v>
      </c>
      <c r="AI425" s="18" t="s">
        <v>95</v>
      </c>
      <c r="AJ425" s="18" t="s">
        <v>95</v>
      </c>
      <c r="AK425" s="18" t="s">
        <v>95</v>
      </c>
      <c r="AL425" s="18" t="s">
        <v>95</v>
      </c>
      <c r="AM425" s="18" t="s">
        <v>95</v>
      </c>
      <c r="AN425" s="18" t="s">
        <v>7984</v>
      </c>
      <c r="AO425" s="18" t="s">
        <v>92</v>
      </c>
      <c r="AP425" s="18" t="s">
        <v>289</v>
      </c>
      <c r="AQ425" s="18" t="s">
        <v>290</v>
      </c>
      <c r="AR425" s="18" t="s">
        <v>10501</v>
      </c>
      <c r="AS425" s="18">
        <v>1</v>
      </c>
      <c r="AT425" s="18" t="s">
        <v>91</v>
      </c>
      <c r="AU425" s="18" t="s">
        <v>90</v>
      </c>
      <c r="AV425" s="18" t="s">
        <v>8048</v>
      </c>
      <c r="AW425" s="18" t="s">
        <v>8049</v>
      </c>
      <c r="AX425" s="18" t="s">
        <v>83</v>
      </c>
      <c r="AY425" s="18" t="s">
        <v>95</v>
      </c>
      <c r="AZ425" s="18" t="s">
        <v>95</v>
      </c>
      <c r="BA425" s="18" t="s">
        <v>95</v>
      </c>
      <c r="BB425" s="18" t="s">
        <v>95</v>
      </c>
      <c r="BC425" s="18" t="s">
        <v>95</v>
      </c>
      <c r="BD425" s="18" t="s">
        <v>95</v>
      </c>
      <c r="BE425" s="18" t="s">
        <v>95</v>
      </c>
      <c r="BF425" s="18" t="s">
        <v>95</v>
      </c>
      <c r="BG425" s="18" t="s">
        <v>95</v>
      </c>
      <c r="BH425" s="18" t="s">
        <v>95</v>
      </c>
      <c r="BI425" s="18">
        <v>12</v>
      </c>
      <c r="BJ425" s="18">
        <v>2022</v>
      </c>
      <c r="BK425" s="18" t="s">
        <v>95</v>
      </c>
      <c r="BL425" s="18" t="s">
        <v>95</v>
      </c>
      <c r="BM425" s="18" t="s">
        <v>95</v>
      </c>
      <c r="BN425" s="18" t="s">
        <v>85</v>
      </c>
      <c r="BO425" s="18" t="s">
        <v>86</v>
      </c>
      <c r="BP425" s="18" t="s">
        <v>90</v>
      </c>
      <c r="BQ425" s="18" t="s">
        <v>8106</v>
      </c>
      <c r="BR425" s="18" t="s">
        <v>92</v>
      </c>
      <c r="BS425" s="18" t="s">
        <v>8074</v>
      </c>
      <c r="BT425" s="18" t="s">
        <v>10502</v>
      </c>
      <c r="BU425" s="18" t="s">
        <v>496</v>
      </c>
      <c r="BV425" s="18" t="str">
        <f>Terminales[[#This Row],[IMEI]]&amp;"SI"</f>
        <v>351084957811259SI</v>
      </c>
      <c r="BW425" s="18" t="str">
        <f>VLOOKUP(Terminales[[#This Row],[OFICINA_USUARIO]],[1]!Locales[#Data],3,0)</f>
        <v>TIENDA CUENCA CENTRO</v>
      </c>
      <c r="BX425" s="18" t="str">
        <f>VLOOKUP(Terminales[[#This Row],[USUARIO_FINAL]],'[1]Personal Ppto vs Real'!$A:$F,6,0)</f>
        <v>CALLE CHACA JORGE VINICIO</v>
      </c>
      <c r="BY42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5" s="18">
        <f>DAY(Terminales[[#This Row],[FECHA_FACTURA]])</f>
        <v>9</v>
      </c>
      <c r="CB425" s="65">
        <f>IF(Terminales[[#This Row],[CANTIDAD]] = 1,INDEX([1]!Comisiones[#Data],MATCH("Terminales",[1]!Comisiones[Producto],0),MATCH(Terminales[[#This Row],[TIPO ALTA COMISIONES]],[1]!Comisiones[#Headers],0))*Terminales[[#This Row],[MONTO]],0)</f>
        <v>14.464286000000001</v>
      </c>
      <c r="CC425" s="65">
        <f>IFERROR(IF(AND(Terminales[[#This Row],[CANTIDAD]] = 1,Terminales[[#This Row],[MOVIMIENTO]] = "RENOVACION"),Terminales[[#This Row],[TARIFA_BASICA]]*0.5,),)</f>
        <v>0</v>
      </c>
      <c r="CD425" s="65">
        <f>IF('[1]Resumen TM'!$AW$20 &lt; 0.4,0,Terminales[[#This Row],[MONTO]]*0.02)</f>
        <v>2.8928572000000004</v>
      </c>
      <c r="CE425" s="66">
        <f>Terminales[[#This Row],[COMISIONES TERMINALES]]+Terminales[[#This Row],[COMISIONES RENOVACIONES]]+Terminales[[#This Row],[COMISIONES BONO]]</f>
        <v>17.357143200000003</v>
      </c>
      <c r="CF425" s="67">
        <f>(Terminales[[#This Row],[COMISIONES TERMINALES]]*VLOOKUP(Terminales[[#This Row],[LOCALES]],[1]!Calendario[#Data],3,0))/VLOOKUP(Terminales[[#This Row],[LOCALES]],[1]!Calendario[#Data],2,0)</f>
        <v>23.442118689655175</v>
      </c>
      <c r="CG425" s="67">
        <f>(Terminales[[#This Row],[COMISIONES RENOVACIONES]]*VLOOKUP(Terminales[[#This Row],[LOCALES]],[1]!Calendario[#Data],3,0))/VLOOKUP(Terminales[[#This Row],[LOCALES]],[1]!Calendario[#Data],2,0)</f>
        <v>0</v>
      </c>
      <c r="CH425" s="67">
        <f>(Terminales[[#This Row],[COMISIONES BONO]]*VLOOKUP(Terminales[[#This Row],[LOCALES]],[1]!Calendario[#Data],3,0))/VLOOKUP(Terminales[[#This Row],[LOCALES]],[1]!Calendario[#Data],2,0)</f>
        <v>4.6884237379310347</v>
      </c>
      <c r="CI425" s="67">
        <f>Terminales[[#This Row],[PROY. COM. TERMINALES]]+Terminales[[#This Row],[PROY. COM. RENOV.]]+Terminales[[#This Row],[PROY. COM. 2%]]</f>
        <v>28.13054242758621</v>
      </c>
    </row>
    <row r="426" spans="1:87" x14ac:dyDescent="0.25">
      <c r="A426" s="68">
        <v>44926</v>
      </c>
      <c r="B426" s="68">
        <v>44904</v>
      </c>
      <c r="C426" s="18" t="s">
        <v>96</v>
      </c>
      <c r="D426" s="18" t="s">
        <v>96</v>
      </c>
      <c r="E426" s="18" t="s">
        <v>96</v>
      </c>
      <c r="F426" s="18" t="s">
        <v>95</v>
      </c>
      <c r="G426" s="18" t="s">
        <v>292</v>
      </c>
      <c r="H426" s="18" t="s">
        <v>494</v>
      </c>
      <c r="I426" s="18" t="s">
        <v>10593</v>
      </c>
      <c r="J426" s="18" t="s">
        <v>95</v>
      </c>
      <c r="K426" s="18" t="s">
        <v>7970</v>
      </c>
      <c r="L426" s="18" t="s">
        <v>10496</v>
      </c>
      <c r="M426" s="18" t="s">
        <v>10497</v>
      </c>
      <c r="N426" s="18" t="s">
        <v>10498</v>
      </c>
      <c r="O426" s="18" t="s">
        <v>10129</v>
      </c>
      <c r="P426" s="18" t="s">
        <v>10594</v>
      </c>
      <c r="Q426" s="18" t="s">
        <v>7975</v>
      </c>
      <c r="R426" s="18" t="s">
        <v>7976</v>
      </c>
      <c r="S426" s="18" t="s">
        <v>7977</v>
      </c>
      <c r="T426" s="18" t="s">
        <v>10131</v>
      </c>
      <c r="U426" s="18" t="s">
        <v>8012</v>
      </c>
      <c r="V426" s="18" t="s">
        <v>6963</v>
      </c>
      <c r="W426" s="18" t="s">
        <v>95</v>
      </c>
      <c r="X426" s="18" t="s">
        <v>95</v>
      </c>
      <c r="Y426" s="18" t="s">
        <v>7980</v>
      </c>
      <c r="Z426" s="18" t="s">
        <v>6996</v>
      </c>
      <c r="AA426" s="69">
        <v>1</v>
      </c>
      <c r="AB426" s="18">
        <v>241.07142999999999</v>
      </c>
      <c r="AC426" s="18" t="s">
        <v>10595</v>
      </c>
      <c r="AD426" s="18" t="s">
        <v>96</v>
      </c>
      <c r="AE426" s="18">
        <v>190</v>
      </c>
      <c r="AF426" s="18" t="s">
        <v>7983</v>
      </c>
      <c r="AG426" s="18">
        <v>190</v>
      </c>
      <c r="AH426" s="18" t="s">
        <v>95</v>
      </c>
      <c r="AI426" s="18" t="s">
        <v>95</v>
      </c>
      <c r="AJ426" s="18" t="s">
        <v>95</v>
      </c>
      <c r="AK426" s="18" t="s">
        <v>95</v>
      </c>
      <c r="AL426" s="18" t="s">
        <v>95</v>
      </c>
      <c r="AM426" s="18" t="s">
        <v>95</v>
      </c>
      <c r="AN426" s="18" t="s">
        <v>7984</v>
      </c>
      <c r="AO426" s="18" t="s">
        <v>92</v>
      </c>
      <c r="AP426" s="18" t="s">
        <v>120</v>
      </c>
      <c r="AQ426" s="18" t="s">
        <v>121</v>
      </c>
      <c r="AR426" s="18" t="s">
        <v>10501</v>
      </c>
      <c r="AS426" s="18">
        <v>1</v>
      </c>
      <c r="AT426" s="18" t="s">
        <v>122</v>
      </c>
      <c r="AU426" s="18" t="s">
        <v>90</v>
      </c>
      <c r="AV426" s="18" t="s">
        <v>10133</v>
      </c>
      <c r="AW426" s="18" t="s">
        <v>10134</v>
      </c>
      <c r="AX426" s="18" t="s">
        <v>83</v>
      </c>
      <c r="AY426" s="18" t="s">
        <v>95</v>
      </c>
      <c r="AZ426" s="18" t="s">
        <v>95</v>
      </c>
      <c r="BA426" s="18" t="s">
        <v>95</v>
      </c>
      <c r="BB426" s="18" t="s">
        <v>95</v>
      </c>
      <c r="BC426" s="18" t="s">
        <v>95</v>
      </c>
      <c r="BD426" s="18" t="s">
        <v>95</v>
      </c>
      <c r="BE426" s="18" t="s">
        <v>95</v>
      </c>
      <c r="BF426" s="18" t="s">
        <v>95</v>
      </c>
      <c r="BG426" s="18" t="s">
        <v>95</v>
      </c>
      <c r="BH426" s="18" t="s">
        <v>95</v>
      </c>
      <c r="BI426" s="18">
        <v>12</v>
      </c>
      <c r="BJ426" s="18">
        <v>2022</v>
      </c>
      <c r="BK426" s="18" t="s">
        <v>95</v>
      </c>
      <c r="BL426" s="18" t="s">
        <v>95</v>
      </c>
      <c r="BM426" s="18" t="s">
        <v>95</v>
      </c>
      <c r="BN426" s="18" t="s">
        <v>85</v>
      </c>
      <c r="BO426" s="18" t="s">
        <v>86</v>
      </c>
      <c r="BP426" s="18" t="s">
        <v>90</v>
      </c>
      <c r="BQ426" s="18" t="s">
        <v>8050</v>
      </c>
      <c r="BR426" s="18" t="s">
        <v>92</v>
      </c>
      <c r="BS426" s="18" t="s">
        <v>8074</v>
      </c>
      <c r="BT426" s="18" t="s">
        <v>10502</v>
      </c>
      <c r="BU426" s="18" t="s">
        <v>496</v>
      </c>
      <c r="BV426" s="18" t="str">
        <f>Terminales[[#This Row],[IMEI]]&amp;"SI"</f>
        <v>869937052010652SI</v>
      </c>
      <c r="BW426" s="18" t="str">
        <f>VLOOKUP(Terminales[[#This Row],[OFICINA_USUARIO]],[1]!Locales[#Data],3,0)</f>
        <v>TIENDA MACHALA</v>
      </c>
      <c r="BX426" s="18" t="str">
        <f>VLOOKUP(Terminales[[#This Row],[USUARIO_FINAL]],'[1]Personal Ppto vs Real'!$A:$F,6,0)</f>
        <v>ARROBO VICENTE YADIRA ESPERANZA</v>
      </c>
      <c r="BY42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6" s="18">
        <f>DAY(Terminales[[#This Row],[FECHA_FACTURA]])</f>
        <v>9</v>
      </c>
      <c r="CB426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426" s="65">
        <f>IFERROR(IF(AND(Terminales[[#This Row],[CANTIDAD]] = 1,Terminales[[#This Row],[MOVIMIENTO]] = "RENOVACION"),Terminales[[#This Row],[TARIFA_BASICA]]*0.5,),)</f>
        <v>0</v>
      </c>
      <c r="CD426" s="65">
        <f>IF('[1]Resumen TM'!$AW$20 &lt; 0.4,0,Terminales[[#This Row],[MONTO]]*0.02)</f>
        <v>4.8214286</v>
      </c>
      <c r="CE426" s="66">
        <f>Terminales[[#This Row],[COMISIONES TERMINALES]]+Terminales[[#This Row],[COMISIONES RENOVACIONES]]+Terminales[[#This Row],[COMISIONES BONO]]</f>
        <v>28.928571600000001</v>
      </c>
      <c r="CF426" s="67">
        <f>(Terminales[[#This Row],[COMISIONES TERMINALES]]*VLOOKUP(Terminales[[#This Row],[LOCALES]],[1]!Calendario[#Data],3,0))/VLOOKUP(Terminales[[#This Row],[LOCALES]],[1]!Calendario[#Data],2,0)</f>
        <v>39.070197275862071</v>
      </c>
      <c r="CG426" s="67">
        <f>(Terminales[[#This Row],[COMISIONES RENOVACIONES]]*VLOOKUP(Terminales[[#This Row],[LOCALES]],[1]!Calendario[#Data],3,0))/VLOOKUP(Terminales[[#This Row],[LOCALES]],[1]!Calendario[#Data],2,0)</f>
        <v>0</v>
      </c>
      <c r="CH426" s="67">
        <f>(Terminales[[#This Row],[COMISIONES BONO]]*VLOOKUP(Terminales[[#This Row],[LOCALES]],[1]!Calendario[#Data],3,0))/VLOOKUP(Terminales[[#This Row],[LOCALES]],[1]!Calendario[#Data],2,0)</f>
        <v>7.8140394551724137</v>
      </c>
      <c r="CI426" s="67">
        <f>Terminales[[#This Row],[PROY. COM. TERMINALES]]+Terminales[[#This Row],[PROY. COM. RENOV.]]+Terminales[[#This Row],[PROY. COM. 2%]]</f>
        <v>46.884236731034484</v>
      </c>
    </row>
    <row r="427" spans="1:87" x14ac:dyDescent="0.25">
      <c r="A427" s="68">
        <v>44926</v>
      </c>
      <c r="B427" s="68">
        <v>44904</v>
      </c>
      <c r="C427" s="18" t="s">
        <v>96</v>
      </c>
      <c r="D427" s="18" t="s">
        <v>96</v>
      </c>
      <c r="E427" s="18" t="s">
        <v>96</v>
      </c>
      <c r="F427" s="18" t="s">
        <v>95</v>
      </c>
      <c r="G427" s="18" t="s">
        <v>292</v>
      </c>
      <c r="H427" s="18" t="s">
        <v>494</v>
      </c>
      <c r="I427" s="18" t="s">
        <v>10596</v>
      </c>
      <c r="J427" s="18" t="s">
        <v>95</v>
      </c>
      <c r="K427" s="18" t="s">
        <v>7970</v>
      </c>
      <c r="L427" s="18" t="s">
        <v>10496</v>
      </c>
      <c r="M427" s="18" t="s">
        <v>10497</v>
      </c>
      <c r="N427" s="18" t="s">
        <v>10498</v>
      </c>
      <c r="O427" s="18" t="s">
        <v>495</v>
      </c>
      <c r="P427" s="18" t="s">
        <v>10597</v>
      </c>
      <c r="Q427" s="18" t="s">
        <v>7975</v>
      </c>
      <c r="R427" s="18" t="s">
        <v>7976</v>
      </c>
      <c r="S427" s="18" t="s">
        <v>7994</v>
      </c>
      <c r="T427" s="18" t="s">
        <v>10210</v>
      </c>
      <c r="U427" s="18" t="s">
        <v>7996</v>
      </c>
      <c r="V427" s="18" t="s">
        <v>6963</v>
      </c>
      <c r="W427" s="18" t="s">
        <v>95</v>
      </c>
      <c r="X427" s="18" t="s">
        <v>95</v>
      </c>
      <c r="Y427" s="18" t="s">
        <v>7980</v>
      </c>
      <c r="Z427" s="18" t="s">
        <v>6996</v>
      </c>
      <c r="AA427" s="69">
        <v>1</v>
      </c>
      <c r="AB427" s="18">
        <v>152.67857000000001</v>
      </c>
      <c r="AC427" s="18" t="s">
        <v>10598</v>
      </c>
      <c r="AD427" s="18" t="s">
        <v>96</v>
      </c>
      <c r="AE427" s="18">
        <v>135</v>
      </c>
      <c r="AF427" s="18" t="s">
        <v>7983</v>
      </c>
      <c r="AG427" s="18">
        <v>135</v>
      </c>
      <c r="AH427" s="18" t="s">
        <v>95</v>
      </c>
      <c r="AI427" s="18" t="s">
        <v>95</v>
      </c>
      <c r="AJ427" s="18" t="s">
        <v>95</v>
      </c>
      <c r="AK427" s="18" t="s">
        <v>95</v>
      </c>
      <c r="AL427" s="18" t="s">
        <v>95</v>
      </c>
      <c r="AM427" s="18" t="s">
        <v>95</v>
      </c>
      <c r="AN427" s="18" t="s">
        <v>7984</v>
      </c>
      <c r="AO427" s="18" t="s">
        <v>139</v>
      </c>
      <c r="AP427" s="18" t="s">
        <v>396</v>
      </c>
      <c r="AQ427" s="18" t="s">
        <v>397</v>
      </c>
      <c r="AR427" s="18" t="s">
        <v>10501</v>
      </c>
      <c r="AS427" s="18">
        <v>1</v>
      </c>
      <c r="AT427" s="18" t="s">
        <v>177</v>
      </c>
      <c r="AU427" s="18" t="s">
        <v>90</v>
      </c>
      <c r="AV427" s="18" t="s">
        <v>10212</v>
      </c>
      <c r="AW427" s="18" t="s">
        <v>10213</v>
      </c>
      <c r="AX427" s="18" t="s">
        <v>83</v>
      </c>
      <c r="AY427" s="18" t="s">
        <v>95</v>
      </c>
      <c r="AZ427" s="18" t="s">
        <v>95</v>
      </c>
      <c r="BA427" s="18" t="s">
        <v>95</v>
      </c>
      <c r="BB427" s="18" t="s">
        <v>95</v>
      </c>
      <c r="BC427" s="18" t="s">
        <v>95</v>
      </c>
      <c r="BD427" s="18" t="s">
        <v>95</v>
      </c>
      <c r="BE427" s="18" t="s">
        <v>95</v>
      </c>
      <c r="BF427" s="18" t="s">
        <v>95</v>
      </c>
      <c r="BG427" s="18" t="s">
        <v>95</v>
      </c>
      <c r="BH427" s="18" t="s">
        <v>95</v>
      </c>
      <c r="BI427" s="18">
        <v>12</v>
      </c>
      <c r="BJ427" s="18">
        <v>2022</v>
      </c>
      <c r="BK427" s="18" t="s">
        <v>95</v>
      </c>
      <c r="BL427" s="18" t="s">
        <v>95</v>
      </c>
      <c r="BM427" s="18" t="s">
        <v>95</v>
      </c>
      <c r="BN427" s="18" t="s">
        <v>85</v>
      </c>
      <c r="BO427" s="18" t="s">
        <v>86</v>
      </c>
      <c r="BP427" s="18" t="s">
        <v>90</v>
      </c>
      <c r="BQ427" s="18" t="s">
        <v>8002</v>
      </c>
      <c r="BR427" s="18" t="s">
        <v>139</v>
      </c>
      <c r="BS427" s="18" t="s">
        <v>8074</v>
      </c>
      <c r="BT427" s="18" t="s">
        <v>10502</v>
      </c>
      <c r="BU427" s="18" t="s">
        <v>496</v>
      </c>
      <c r="BV427" s="18" t="str">
        <f>Terminales[[#This Row],[IMEI]]&amp;"SI"</f>
        <v>358742571307854SI</v>
      </c>
      <c r="BW427" s="18" t="str">
        <f>VLOOKUP(Terminales[[#This Row],[OFICINA_USUARIO]],[1]!Locales[#Data],3,0)</f>
        <v>TIENDA RECREO</v>
      </c>
      <c r="BX427" s="18" t="str">
        <f>VLOOKUP(Terminales[[#This Row],[USUARIO_FINAL]],'[1]Personal Ppto vs Real'!$A:$F,6,0)</f>
        <v>VINUEZA VELASCO ANGY DAYANA</v>
      </c>
      <c r="BY42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7" s="18">
        <f>DAY(Terminales[[#This Row],[FECHA_FACTURA]])</f>
        <v>9</v>
      </c>
      <c r="CB427" s="65">
        <f>IF(Terminales[[#This Row],[CANTIDAD]] = 1,INDEX([1]!Comisiones[#Data],MATCH("Terminales",[1]!Comisiones[Producto],0),MATCH(Terminales[[#This Row],[TIPO ALTA COMISIONES]],[1]!Comisiones[#Headers],0))*Terminales[[#This Row],[MONTO]],0)</f>
        <v>15.267857000000001</v>
      </c>
      <c r="CC427" s="65">
        <f>IFERROR(IF(AND(Terminales[[#This Row],[CANTIDAD]] = 1,Terminales[[#This Row],[MOVIMIENTO]] = "RENOVACION"),Terminales[[#This Row],[TARIFA_BASICA]]*0.5,),)</f>
        <v>0</v>
      </c>
      <c r="CD427" s="65">
        <f>IF('[1]Resumen TM'!$AW$20 &lt; 0.4,0,Terminales[[#This Row],[MONTO]]*0.02)</f>
        <v>3.0535714</v>
      </c>
      <c r="CE427" s="66">
        <f>Terminales[[#This Row],[COMISIONES TERMINALES]]+Terminales[[#This Row],[COMISIONES RENOVACIONES]]+Terminales[[#This Row],[COMISIONES BONO]]</f>
        <v>18.321428400000002</v>
      </c>
      <c r="CF427" s="67">
        <f>(Terminales[[#This Row],[COMISIONES TERMINALES]]*VLOOKUP(Terminales[[#This Row],[LOCALES]],[1]!Calendario[#Data],3,0))/VLOOKUP(Terminales[[#This Row],[LOCALES]],[1]!Calendario[#Data],2,0)</f>
        <v>25.118087322580646</v>
      </c>
      <c r="CG427" s="67">
        <f>(Terminales[[#This Row],[COMISIONES RENOVACIONES]]*VLOOKUP(Terminales[[#This Row],[LOCALES]],[1]!Calendario[#Data],3,0))/VLOOKUP(Terminales[[#This Row],[LOCALES]],[1]!Calendario[#Data],2,0)</f>
        <v>0</v>
      </c>
      <c r="CH427" s="67">
        <f>(Terminales[[#This Row],[COMISIONES BONO]]*VLOOKUP(Terminales[[#This Row],[LOCALES]],[1]!Calendario[#Data],3,0))/VLOOKUP(Terminales[[#This Row],[LOCALES]],[1]!Calendario[#Data],2,0)</f>
        <v>5.0236174645161285</v>
      </c>
      <c r="CI427" s="67">
        <f>Terminales[[#This Row],[PROY. COM. TERMINALES]]+Terminales[[#This Row],[PROY. COM. RENOV.]]+Terminales[[#This Row],[PROY. COM. 2%]]</f>
        <v>30.141704787096774</v>
      </c>
    </row>
    <row r="428" spans="1:87" x14ac:dyDescent="0.25">
      <c r="A428" s="68">
        <v>44926</v>
      </c>
      <c r="B428" s="68">
        <v>44904</v>
      </c>
      <c r="C428" s="18" t="s">
        <v>96</v>
      </c>
      <c r="D428" s="18" t="s">
        <v>96</v>
      </c>
      <c r="E428" s="18" t="s">
        <v>96</v>
      </c>
      <c r="F428" s="18" t="s">
        <v>95</v>
      </c>
      <c r="G428" s="18" t="s">
        <v>292</v>
      </c>
      <c r="H428" s="18" t="s">
        <v>494</v>
      </c>
      <c r="I428" s="18" t="s">
        <v>10599</v>
      </c>
      <c r="J428" s="18" t="s">
        <v>95</v>
      </c>
      <c r="K428" s="18" t="s">
        <v>7970</v>
      </c>
      <c r="L428" s="18" t="s">
        <v>10496</v>
      </c>
      <c r="M428" s="18" t="s">
        <v>10497</v>
      </c>
      <c r="N428" s="18" t="s">
        <v>10498</v>
      </c>
      <c r="O428" s="18" t="s">
        <v>10600</v>
      </c>
      <c r="P428" s="18" t="s">
        <v>10601</v>
      </c>
      <c r="Q428" s="18" t="s">
        <v>7975</v>
      </c>
      <c r="R428" s="18" t="s">
        <v>7976</v>
      </c>
      <c r="S428" s="18" t="s">
        <v>7977</v>
      </c>
      <c r="T428" s="18" t="s">
        <v>7978</v>
      </c>
      <c r="U428" s="18" t="s">
        <v>7979</v>
      </c>
      <c r="V428" s="18" t="s">
        <v>6963</v>
      </c>
      <c r="W428" s="18" t="s">
        <v>95</v>
      </c>
      <c r="X428" s="18" t="s">
        <v>95</v>
      </c>
      <c r="Y428" s="18" t="s">
        <v>7980</v>
      </c>
      <c r="Z428" s="18" t="s">
        <v>6996</v>
      </c>
      <c r="AA428" s="69">
        <v>1</v>
      </c>
      <c r="AB428" s="18">
        <v>299.11</v>
      </c>
      <c r="AC428" s="18" t="s">
        <v>10602</v>
      </c>
      <c r="AD428" s="18" t="s">
        <v>96</v>
      </c>
      <c r="AE428" s="18">
        <v>249</v>
      </c>
      <c r="AF428" s="18" t="s">
        <v>7983</v>
      </c>
      <c r="AG428" s="18">
        <v>249</v>
      </c>
      <c r="AH428" s="18" t="s">
        <v>95</v>
      </c>
      <c r="AI428" s="18" t="s">
        <v>95</v>
      </c>
      <c r="AJ428" s="18" t="s">
        <v>95</v>
      </c>
      <c r="AK428" s="18" t="s">
        <v>95</v>
      </c>
      <c r="AL428" s="18" t="s">
        <v>95</v>
      </c>
      <c r="AM428" s="18" t="s">
        <v>95</v>
      </c>
      <c r="AN428" s="18" t="s">
        <v>7984</v>
      </c>
      <c r="AO428" s="18" t="s">
        <v>139</v>
      </c>
      <c r="AP428" s="18" t="s">
        <v>2159</v>
      </c>
      <c r="AQ428" s="18" t="s">
        <v>2160</v>
      </c>
      <c r="AR428" s="18" t="s">
        <v>10501</v>
      </c>
      <c r="AS428" s="18">
        <v>1</v>
      </c>
      <c r="AT428" s="18" t="s">
        <v>177</v>
      </c>
      <c r="AU428" s="18" t="s">
        <v>90</v>
      </c>
      <c r="AV428" s="18" t="s">
        <v>10603</v>
      </c>
      <c r="AW428" s="18" t="s">
        <v>10604</v>
      </c>
      <c r="AX428" s="18" t="s">
        <v>83</v>
      </c>
      <c r="AY428" s="18" t="s">
        <v>95</v>
      </c>
      <c r="AZ428" s="18" t="s">
        <v>95</v>
      </c>
      <c r="BA428" s="18" t="s">
        <v>95</v>
      </c>
      <c r="BB428" s="18" t="s">
        <v>95</v>
      </c>
      <c r="BC428" s="18" t="s">
        <v>95</v>
      </c>
      <c r="BD428" s="18" t="s">
        <v>95</v>
      </c>
      <c r="BE428" s="18" t="s">
        <v>95</v>
      </c>
      <c r="BF428" s="18" t="s">
        <v>95</v>
      </c>
      <c r="BG428" s="18" t="s">
        <v>95</v>
      </c>
      <c r="BH428" s="18" t="s">
        <v>95</v>
      </c>
      <c r="BI428" s="18">
        <v>12</v>
      </c>
      <c r="BJ428" s="18">
        <v>2022</v>
      </c>
      <c r="BK428" s="18" t="s">
        <v>95</v>
      </c>
      <c r="BL428" s="18" t="s">
        <v>95</v>
      </c>
      <c r="BM428" s="18" t="s">
        <v>95</v>
      </c>
      <c r="BN428" s="18" t="s">
        <v>85</v>
      </c>
      <c r="BO428" s="18" t="s">
        <v>86</v>
      </c>
      <c r="BP428" s="18" t="s">
        <v>90</v>
      </c>
      <c r="BQ428" s="18" t="s">
        <v>8002</v>
      </c>
      <c r="BR428" s="18" t="s">
        <v>139</v>
      </c>
      <c r="BS428" s="18" t="s">
        <v>8074</v>
      </c>
      <c r="BT428" s="18" t="s">
        <v>10502</v>
      </c>
      <c r="BU428" s="18" t="s">
        <v>496</v>
      </c>
      <c r="BV428" s="18" t="str">
        <f>Terminales[[#This Row],[IMEI]]&amp;"SI"</f>
        <v>864331067611164SI</v>
      </c>
      <c r="BW428" s="18" t="str">
        <f>VLOOKUP(Terminales[[#This Row],[OFICINA_USUARIO]],[1]!Locales[#Data],3,0)</f>
        <v>TIENDA RECREO</v>
      </c>
      <c r="BX428" s="18" t="str">
        <f>VLOOKUP(Terminales[[#This Row],[USUARIO_FINAL]],'[1]Personal Ppto vs Real'!$A:$F,6,0)</f>
        <v>GUEVARA MAZA CRISTIAN FABIAN</v>
      </c>
      <c r="BY428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8" s="18">
        <f>DAY(Terminales[[#This Row],[FECHA_FACTURA]])</f>
        <v>9</v>
      </c>
      <c r="CB428" s="65">
        <f>IF(Terminales[[#This Row],[CANTIDAD]] = 1,INDEX([1]!Comisiones[#Data],MATCH("Terminales",[1]!Comisiones[Producto],0),MATCH(Terminales[[#This Row],[TIPO ALTA COMISIONES]],[1]!Comisiones[#Headers],0))*Terminales[[#This Row],[MONTO]],0)</f>
        <v>29.911000000000001</v>
      </c>
      <c r="CC428" s="65">
        <f>IFERROR(IF(AND(Terminales[[#This Row],[CANTIDAD]] = 1,Terminales[[#This Row],[MOVIMIENTO]] = "RENOVACION"),Terminales[[#This Row],[TARIFA_BASICA]]*0.5,),)</f>
        <v>0</v>
      </c>
      <c r="CD428" s="65">
        <f>IF('[1]Resumen TM'!$AW$20 &lt; 0.4,0,Terminales[[#This Row],[MONTO]]*0.02)</f>
        <v>5.9822000000000006</v>
      </c>
      <c r="CE428" s="66">
        <f>Terminales[[#This Row],[COMISIONES TERMINALES]]+Terminales[[#This Row],[COMISIONES RENOVACIONES]]+Terminales[[#This Row],[COMISIONES BONO]]</f>
        <v>35.8932</v>
      </c>
      <c r="CF428" s="67">
        <f>(Terminales[[#This Row],[COMISIONES TERMINALES]]*VLOOKUP(Terminales[[#This Row],[LOCALES]],[1]!Calendario[#Data],3,0))/VLOOKUP(Terminales[[#This Row],[LOCALES]],[1]!Calendario[#Data],2,0)</f>
        <v>49.208419354838711</v>
      </c>
      <c r="CG428" s="67">
        <f>(Terminales[[#This Row],[COMISIONES RENOVACIONES]]*VLOOKUP(Terminales[[#This Row],[LOCALES]],[1]!Calendario[#Data],3,0))/VLOOKUP(Terminales[[#This Row],[LOCALES]],[1]!Calendario[#Data],2,0)</f>
        <v>0</v>
      </c>
      <c r="CH428" s="67">
        <f>(Terminales[[#This Row],[COMISIONES BONO]]*VLOOKUP(Terminales[[#This Row],[LOCALES]],[1]!Calendario[#Data],3,0))/VLOOKUP(Terminales[[#This Row],[LOCALES]],[1]!Calendario[#Data],2,0)</f>
        <v>9.8416838709677439</v>
      </c>
      <c r="CI428" s="67">
        <f>Terminales[[#This Row],[PROY. COM. TERMINALES]]+Terminales[[#This Row],[PROY. COM. RENOV.]]+Terminales[[#This Row],[PROY. COM. 2%]]</f>
        <v>59.050103225806453</v>
      </c>
    </row>
    <row r="429" spans="1:87" x14ac:dyDescent="0.25">
      <c r="A429" s="68">
        <v>44926</v>
      </c>
      <c r="B429" s="68">
        <v>44905</v>
      </c>
      <c r="C429" s="18" t="s">
        <v>96</v>
      </c>
      <c r="D429" s="18" t="s">
        <v>96</v>
      </c>
      <c r="E429" s="18" t="s">
        <v>96</v>
      </c>
      <c r="F429" s="18" t="s">
        <v>95</v>
      </c>
      <c r="G429" s="18" t="s">
        <v>292</v>
      </c>
      <c r="H429" s="18" t="s">
        <v>494</v>
      </c>
      <c r="I429" s="18" t="s">
        <v>10605</v>
      </c>
      <c r="J429" s="18" t="s">
        <v>95</v>
      </c>
      <c r="K429" s="18" t="s">
        <v>7970</v>
      </c>
      <c r="L429" s="18" t="s">
        <v>10496</v>
      </c>
      <c r="M429" s="18" t="s">
        <v>10497</v>
      </c>
      <c r="N429" s="18" t="s">
        <v>10498</v>
      </c>
      <c r="O429" s="18" t="s">
        <v>338</v>
      </c>
      <c r="P429" s="18" t="s">
        <v>10606</v>
      </c>
      <c r="Q429" s="18" t="s">
        <v>7975</v>
      </c>
      <c r="R429" s="18" t="s">
        <v>7976</v>
      </c>
      <c r="S429" s="18" t="s">
        <v>7977</v>
      </c>
      <c r="T429" s="18" t="s">
        <v>7978</v>
      </c>
      <c r="U429" s="18" t="s">
        <v>7979</v>
      </c>
      <c r="V429" s="18" t="s">
        <v>6963</v>
      </c>
      <c r="W429" s="18" t="s">
        <v>95</v>
      </c>
      <c r="X429" s="18" t="s">
        <v>95</v>
      </c>
      <c r="Y429" s="18" t="s">
        <v>7980</v>
      </c>
      <c r="Z429" s="18" t="s">
        <v>6996</v>
      </c>
      <c r="AA429" s="69">
        <v>1</v>
      </c>
      <c r="AB429" s="18">
        <v>299.11</v>
      </c>
      <c r="AC429" s="18" t="s">
        <v>10607</v>
      </c>
      <c r="AD429" s="18" t="s">
        <v>96</v>
      </c>
      <c r="AE429" s="18">
        <v>235</v>
      </c>
      <c r="AF429" s="18" t="s">
        <v>7983</v>
      </c>
      <c r="AG429" s="18">
        <v>235</v>
      </c>
      <c r="AH429" s="18" t="s">
        <v>95</v>
      </c>
      <c r="AI429" s="18" t="s">
        <v>95</v>
      </c>
      <c r="AJ429" s="18" t="s">
        <v>95</v>
      </c>
      <c r="AK429" s="18" t="s">
        <v>95</v>
      </c>
      <c r="AL429" s="18" t="s">
        <v>95</v>
      </c>
      <c r="AM429" s="18" t="s">
        <v>95</v>
      </c>
      <c r="AN429" s="18" t="s">
        <v>7984</v>
      </c>
      <c r="AO429" s="18" t="s">
        <v>139</v>
      </c>
      <c r="AP429" s="18" t="s">
        <v>2159</v>
      </c>
      <c r="AQ429" s="18" t="s">
        <v>2160</v>
      </c>
      <c r="AR429" s="18" t="s">
        <v>10501</v>
      </c>
      <c r="AS429" s="18">
        <v>1</v>
      </c>
      <c r="AT429" s="18" t="s">
        <v>177</v>
      </c>
      <c r="AU429" s="18" t="s">
        <v>90</v>
      </c>
      <c r="AV429" s="18" t="s">
        <v>7985</v>
      </c>
      <c r="AW429" s="18" t="s">
        <v>7986</v>
      </c>
      <c r="AX429" s="18" t="s">
        <v>83</v>
      </c>
      <c r="AY429" s="18" t="s">
        <v>95</v>
      </c>
      <c r="AZ429" s="18" t="s">
        <v>95</v>
      </c>
      <c r="BA429" s="18" t="s">
        <v>95</v>
      </c>
      <c r="BB429" s="18" t="s">
        <v>95</v>
      </c>
      <c r="BC429" s="18" t="s">
        <v>95</v>
      </c>
      <c r="BD429" s="18" t="s">
        <v>95</v>
      </c>
      <c r="BE429" s="18" t="s">
        <v>95</v>
      </c>
      <c r="BF429" s="18" t="s">
        <v>95</v>
      </c>
      <c r="BG429" s="18" t="s">
        <v>95</v>
      </c>
      <c r="BH429" s="18" t="s">
        <v>95</v>
      </c>
      <c r="BI429" s="18">
        <v>12</v>
      </c>
      <c r="BJ429" s="18">
        <v>2022</v>
      </c>
      <c r="BK429" s="18" t="s">
        <v>95</v>
      </c>
      <c r="BL429" s="18" t="s">
        <v>95</v>
      </c>
      <c r="BM429" s="18" t="s">
        <v>95</v>
      </c>
      <c r="BN429" s="18" t="s">
        <v>85</v>
      </c>
      <c r="BO429" s="18" t="s">
        <v>86</v>
      </c>
      <c r="BP429" s="18" t="s">
        <v>90</v>
      </c>
      <c r="BQ429" s="18" t="s">
        <v>8002</v>
      </c>
      <c r="BR429" s="18" t="s">
        <v>139</v>
      </c>
      <c r="BS429" s="18" t="s">
        <v>8074</v>
      </c>
      <c r="BT429" s="18" t="s">
        <v>10502</v>
      </c>
      <c r="BU429" s="18" t="s">
        <v>496</v>
      </c>
      <c r="BV429" s="18" t="str">
        <f>Terminales[[#This Row],[IMEI]]&amp;"SI"</f>
        <v>866184060683583SI</v>
      </c>
      <c r="BW429" s="18" t="str">
        <f>VLOOKUP(Terminales[[#This Row],[OFICINA_USUARIO]],[1]!Locales[#Data],3,0)</f>
        <v>TIENDA RECREO</v>
      </c>
      <c r="BX429" s="18" t="str">
        <f>VLOOKUP(Terminales[[#This Row],[USUARIO_FINAL]],'[1]Personal Ppto vs Real'!$A:$F,6,0)</f>
        <v>GUEVARA MAZA CRISTIAN FABIAN</v>
      </c>
      <c r="BY42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2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29" s="18">
        <f>DAY(Terminales[[#This Row],[FECHA_FACTURA]])</f>
        <v>10</v>
      </c>
      <c r="CB429" s="65">
        <f>IF(Terminales[[#This Row],[CANTIDAD]] = 1,INDEX([1]!Comisiones[#Data],MATCH("Terminales",[1]!Comisiones[Producto],0),MATCH(Terminales[[#This Row],[TIPO ALTA COMISIONES]],[1]!Comisiones[#Headers],0))*Terminales[[#This Row],[MONTO]],0)</f>
        <v>29.911000000000001</v>
      </c>
      <c r="CC429" s="65">
        <f>IFERROR(IF(AND(Terminales[[#This Row],[CANTIDAD]] = 1,Terminales[[#This Row],[MOVIMIENTO]] = "RENOVACION"),Terminales[[#This Row],[TARIFA_BASICA]]*0.5,),)</f>
        <v>0</v>
      </c>
      <c r="CD429" s="65">
        <f>IF('[1]Resumen TM'!$AW$20 &lt; 0.4,0,Terminales[[#This Row],[MONTO]]*0.02)</f>
        <v>5.9822000000000006</v>
      </c>
      <c r="CE429" s="66">
        <f>Terminales[[#This Row],[COMISIONES TERMINALES]]+Terminales[[#This Row],[COMISIONES RENOVACIONES]]+Terminales[[#This Row],[COMISIONES BONO]]</f>
        <v>35.8932</v>
      </c>
      <c r="CF429" s="67">
        <f>(Terminales[[#This Row],[COMISIONES TERMINALES]]*VLOOKUP(Terminales[[#This Row],[LOCALES]],[1]!Calendario[#Data],3,0))/VLOOKUP(Terminales[[#This Row],[LOCALES]],[1]!Calendario[#Data],2,0)</f>
        <v>49.208419354838711</v>
      </c>
      <c r="CG429" s="67">
        <f>(Terminales[[#This Row],[COMISIONES RENOVACIONES]]*VLOOKUP(Terminales[[#This Row],[LOCALES]],[1]!Calendario[#Data],3,0))/VLOOKUP(Terminales[[#This Row],[LOCALES]],[1]!Calendario[#Data],2,0)</f>
        <v>0</v>
      </c>
      <c r="CH429" s="67">
        <f>(Terminales[[#This Row],[COMISIONES BONO]]*VLOOKUP(Terminales[[#This Row],[LOCALES]],[1]!Calendario[#Data],3,0))/VLOOKUP(Terminales[[#This Row],[LOCALES]],[1]!Calendario[#Data],2,0)</f>
        <v>9.8416838709677439</v>
      </c>
      <c r="CI429" s="67">
        <f>Terminales[[#This Row],[PROY. COM. TERMINALES]]+Terminales[[#This Row],[PROY. COM. RENOV.]]+Terminales[[#This Row],[PROY. COM. 2%]]</f>
        <v>59.050103225806453</v>
      </c>
    </row>
    <row r="430" spans="1:87" x14ac:dyDescent="0.25">
      <c r="A430" s="68">
        <v>44926</v>
      </c>
      <c r="B430" s="68">
        <v>44907</v>
      </c>
      <c r="C430" s="18" t="s">
        <v>96</v>
      </c>
      <c r="D430" s="18" t="s">
        <v>96</v>
      </c>
      <c r="E430" s="18" t="s">
        <v>96</v>
      </c>
      <c r="F430" s="18" t="s">
        <v>95</v>
      </c>
      <c r="G430" s="18" t="s">
        <v>292</v>
      </c>
      <c r="H430" s="18" t="s">
        <v>494</v>
      </c>
      <c r="I430" s="18" t="s">
        <v>10608</v>
      </c>
      <c r="J430" s="18" t="s">
        <v>95</v>
      </c>
      <c r="K430" s="18" t="s">
        <v>7970</v>
      </c>
      <c r="L430" s="18" t="s">
        <v>10496</v>
      </c>
      <c r="M430" s="18" t="s">
        <v>10497</v>
      </c>
      <c r="N430" s="18" t="s">
        <v>10498</v>
      </c>
      <c r="O430" s="18" t="s">
        <v>3669</v>
      </c>
      <c r="P430" s="18" t="s">
        <v>10609</v>
      </c>
      <c r="Q430" s="18" t="s">
        <v>7975</v>
      </c>
      <c r="R430" s="18" t="s">
        <v>7976</v>
      </c>
      <c r="S430" s="18" t="s">
        <v>8045</v>
      </c>
      <c r="T430" s="18" t="s">
        <v>8046</v>
      </c>
      <c r="U430" s="18" t="s">
        <v>7996</v>
      </c>
      <c r="V430" s="18" t="s">
        <v>6963</v>
      </c>
      <c r="W430" s="18" t="s">
        <v>95</v>
      </c>
      <c r="X430" s="18" t="s">
        <v>95</v>
      </c>
      <c r="Y430" s="18" t="s">
        <v>7980</v>
      </c>
      <c r="Z430" s="18" t="s">
        <v>6996</v>
      </c>
      <c r="AA430" s="69">
        <v>1</v>
      </c>
      <c r="AB430" s="18">
        <v>144.64286000000001</v>
      </c>
      <c r="AC430" s="18" t="s">
        <v>10610</v>
      </c>
      <c r="AD430" s="18" t="s">
        <v>96</v>
      </c>
      <c r="AE430" s="18">
        <v>124.5</v>
      </c>
      <c r="AF430" s="18" t="s">
        <v>7983</v>
      </c>
      <c r="AG430" s="18">
        <v>124.5</v>
      </c>
      <c r="AH430" s="18" t="s">
        <v>95</v>
      </c>
      <c r="AI430" s="18" t="s">
        <v>95</v>
      </c>
      <c r="AJ430" s="18" t="s">
        <v>95</v>
      </c>
      <c r="AK430" s="18" t="s">
        <v>95</v>
      </c>
      <c r="AL430" s="18" t="s">
        <v>95</v>
      </c>
      <c r="AM430" s="18" t="s">
        <v>95</v>
      </c>
      <c r="AN430" s="18" t="s">
        <v>7984</v>
      </c>
      <c r="AO430" s="18" t="s">
        <v>92</v>
      </c>
      <c r="AP430" s="18" t="s">
        <v>880</v>
      </c>
      <c r="AQ430" s="18" t="s">
        <v>881</v>
      </c>
      <c r="AR430" s="18" t="s">
        <v>10501</v>
      </c>
      <c r="AS430" s="18">
        <v>1</v>
      </c>
      <c r="AT430" s="18" t="s">
        <v>91</v>
      </c>
      <c r="AU430" s="18" t="s">
        <v>90</v>
      </c>
      <c r="AV430" s="18" t="s">
        <v>8048</v>
      </c>
      <c r="AW430" s="18" t="s">
        <v>8049</v>
      </c>
      <c r="AX430" s="18" t="s">
        <v>83</v>
      </c>
      <c r="AY430" s="18" t="s">
        <v>95</v>
      </c>
      <c r="AZ430" s="18" t="s">
        <v>95</v>
      </c>
      <c r="BA430" s="18" t="s">
        <v>95</v>
      </c>
      <c r="BB430" s="18" t="s">
        <v>95</v>
      </c>
      <c r="BC430" s="18" t="s">
        <v>95</v>
      </c>
      <c r="BD430" s="18" t="s">
        <v>95</v>
      </c>
      <c r="BE430" s="18" t="s">
        <v>95</v>
      </c>
      <c r="BF430" s="18" t="s">
        <v>95</v>
      </c>
      <c r="BG430" s="18" t="s">
        <v>95</v>
      </c>
      <c r="BH430" s="18" t="s">
        <v>95</v>
      </c>
      <c r="BI430" s="18">
        <v>12</v>
      </c>
      <c r="BJ430" s="18">
        <v>2022</v>
      </c>
      <c r="BK430" s="18" t="s">
        <v>95</v>
      </c>
      <c r="BL430" s="18" t="s">
        <v>95</v>
      </c>
      <c r="BM430" s="18" t="s">
        <v>95</v>
      </c>
      <c r="BN430" s="18" t="s">
        <v>85</v>
      </c>
      <c r="BO430" s="18" t="s">
        <v>86</v>
      </c>
      <c r="BP430" s="18" t="s">
        <v>90</v>
      </c>
      <c r="BQ430" s="18" t="s">
        <v>8106</v>
      </c>
      <c r="BR430" s="18" t="s">
        <v>92</v>
      </c>
      <c r="BS430" s="18" t="s">
        <v>8074</v>
      </c>
      <c r="BT430" s="18" t="s">
        <v>10502</v>
      </c>
      <c r="BU430" s="18" t="s">
        <v>496</v>
      </c>
      <c r="BV430" s="18" t="str">
        <f>Terminales[[#This Row],[IMEI]]&amp;"SI"</f>
        <v>351084957812760SI</v>
      </c>
      <c r="BW430" s="18" t="str">
        <f>VLOOKUP(Terminales[[#This Row],[OFICINA_USUARIO]],[1]!Locales[#Data],3,0)</f>
        <v>TIENDA CUENCA CENTRO</v>
      </c>
      <c r="BX430" s="18" t="str">
        <f>VLOOKUP(Terminales[[#This Row],[USUARIO_FINAL]],'[1]Personal Ppto vs Real'!$A:$F,6,0)</f>
        <v>LUNA JACHO ANDREA GABRIELA</v>
      </c>
      <c r="BY43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0" s="18">
        <f>DAY(Terminales[[#This Row],[FECHA_FACTURA]])</f>
        <v>12</v>
      </c>
      <c r="CB430" s="65">
        <f>IF(Terminales[[#This Row],[CANTIDAD]] = 1,INDEX([1]!Comisiones[#Data],MATCH("Terminales",[1]!Comisiones[Producto],0),MATCH(Terminales[[#This Row],[TIPO ALTA COMISIONES]],[1]!Comisiones[#Headers],0))*Terminales[[#This Row],[MONTO]],0)</f>
        <v>14.464286000000001</v>
      </c>
      <c r="CC430" s="65">
        <f>IFERROR(IF(AND(Terminales[[#This Row],[CANTIDAD]] = 1,Terminales[[#This Row],[MOVIMIENTO]] = "RENOVACION"),Terminales[[#This Row],[TARIFA_BASICA]]*0.5,),)</f>
        <v>0</v>
      </c>
      <c r="CD430" s="65">
        <f>IF('[1]Resumen TM'!$AW$20 &lt; 0.4,0,Terminales[[#This Row],[MONTO]]*0.02)</f>
        <v>2.8928572000000004</v>
      </c>
      <c r="CE430" s="66">
        <f>Terminales[[#This Row],[COMISIONES TERMINALES]]+Terminales[[#This Row],[COMISIONES RENOVACIONES]]+Terminales[[#This Row],[COMISIONES BONO]]</f>
        <v>17.357143200000003</v>
      </c>
      <c r="CF430" s="67">
        <f>(Terminales[[#This Row],[COMISIONES TERMINALES]]*VLOOKUP(Terminales[[#This Row],[LOCALES]],[1]!Calendario[#Data],3,0))/VLOOKUP(Terminales[[#This Row],[LOCALES]],[1]!Calendario[#Data],2,0)</f>
        <v>23.442118689655175</v>
      </c>
      <c r="CG430" s="67">
        <f>(Terminales[[#This Row],[COMISIONES RENOVACIONES]]*VLOOKUP(Terminales[[#This Row],[LOCALES]],[1]!Calendario[#Data],3,0))/VLOOKUP(Terminales[[#This Row],[LOCALES]],[1]!Calendario[#Data],2,0)</f>
        <v>0</v>
      </c>
      <c r="CH430" s="67">
        <f>(Terminales[[#This Row],[COMISIONES BONO]]*VLOOKUP(Terminales[[#This Row],[LOCALES]],[1]!Calendario[#Data],3,0))/VLOOKUP(Terminales[[#This Row],[LOCALES]],[1]!Calendario[#Data],2,0)</f>
        <v>4.6884237379310347</v>
      </c>
      <c r="CI430" s="67">
        <f>Terminales[[#This Row],[PROY. COM. TERMINALES]]+Terminales[[#This Row],[PROY. COM. RENOV.]]+Terminales[[#This Row],[PROY. COM. 2%]]</f>
        <v>28.13054242758621</v>
      </c>
    </row>
    <row r="431" spans="1:87" x14ac:dyDescent="0.25">
      <c r="A431" s="68">
        <v>44926</v>
      </c>
      <c r="B431" s="68">
        <v>44907</v>
      </c>
      <c r="C431" s="18" t="s">
        <v>96</v>
      </c>
      <c r="D431" s="18" t="s">
        <v>96</v>
      </c>
      <c r="E431" s="18" t="s">
        <v>96</v>
      </c>
      <c r="F431" s="18" t="s">
        <v>95</v>
      </c>
      <c r="G431" s="18" t="s">
        <v>292</v>
      </c>
      <c r="H431" s="18" t="s">
        <v>494</v>
      </c>
      <c r="I431" s="18" t="s">
        <v>10611</v>
      </c>
      <c r="J431" s="18" t="s">
        <v>95</v>
      </c>
      <c r="K431" s="18" t="s">
        <v>7970</v>
      </c>
      <c r="L431" s="18" t="s">
        <v>10496</v>
      </c>
      <c r="M431" s="18" t="s">
        <v>10497</v>
      </c>
      <c r="N431" s="18" t="s">
        <v>10498</v>
      </c>
      <c r="O431" s="18" t="s">
        <v>10612</v>
      </c>
      <c r="P431" s="18" t="s">
        <v>10613</v>
      </c>
      <c r="Q431" s="18" t="s">
        <v>7975</v>
      </c>
      <c r="R431" s="18" t="s">
        <v>7976</v>
      </c>
      <c r="S431" s="18" t="s">
        <v>7977</v>
      </c>
      <c r="T431" s="18" t="s">
        <v>10131</v>
      </c>
      <c r="U431" s="18" t="s">
        <v>8012</v>
      </c>
      <c r="V431" s="18" t="s">
        <v>6963</v>
      </c>
      <c r="W431" s="18" t="s">
        <v>95</v>
      </c>
      <c r="X431" s="18" t="s">
        <v>95</v>
      </c>
      <c r="Y431" s="18" t="s">
        <v>7980</v>
      </c>
      <c r="Z431" s="18" t="s">
        <v>6996</v>
      </c>
      <c r="AA431" s="69">
        <v>1</v>
      </c>
      <c r="AB431" s="18">
        <v>241.07142999999999</v>
      </c>
      <c r="AC431" s="18" t="s">
        <v>10614</v>
      </c>
      <c r="AD431" s="18" t="s">
        <v>96</v>
      </c>
      <c r="AE431" s="18">
        <v>180</v>
      </c>
      <c r="AF431" s="18" t="s">
        <v>7983</v>
      </c>
      <c r="AG431" s="18">
        <v>180</v>
      </c>
      <c r="AH431" s="18" t="s">
        <v>95</v>
      </c>
      <c r="AI431" s="18" t="s">
        <v>95</v>
      </c>
      <c r="AJ431" s="18" t="s">
        <v>95</v>
      </c>
      <c r="AK431" s="18" t="s">
        <v>95</v>
      </c>
      <c r="AL431" s="18" t="s">
        <v>95</v>
      </c>
      <c r="AM431" s="18" t="s">
        <v>95</v>
      </c>
      <c r="AN431" s="18" t="s">
        <v>7984</v>
      </c>
      <c r="AO431" s="18" t="s">
        <v>92</v>
      </c>
      <c r="AP431" s="18" t="s">
        <v>88</v>
      </c>
      <c r="AQ431" s="18" t="s">
        <v>89</v>
      </c>
      <c r="AR431" s="18" t="s">
        <v>10501</v>
      </c>
      <c r="AS431" s="18">
        <v>1</v>
      </c>
      <c r="AT431" s="18" t="s">
        <v>91</v>
      </c>
      <c r="AU431" s="18" t="s">
        <v>90</v>
      </c>
      <c r="AV431" s="18" t="s">
        <v>10615</v>
      </c>
      <c r="AW431" s="18" t="s">
        <v>10616</v>
      </c>
      <c r="AX431" s="18" t="s">
        <v>83</v>
      </c>
      <c r="AY431" s="18" t="s">
        <v>95</v>
      </c>
      <c r="AZ431" s="18" t="s">
        <v>95</v>
      </c>
      <c r="BA431" s="18" t="s">
        <v>95</v>
      </c>
      <c r="BB431" s="18" t="s">
        <v>95</v>
      </c>
      <c r="BC431" s="18" t="s">
        <v>95</v>
      </c>
      <c r="BD431" s="18" t="s">
        <v>95</v>
      </c>
      <c r="BE431" s="18" t="s">
        <v>95</v>
      </c>
      <c r="BF431" s="18" t="s">
        <v>95</v>
      </c>
      <c r="BG431" s="18" t="s">
        <v>95</v>
      </c>
      <c r="BH431" s="18" t="s">
        <v>95</v>
      </c>
      <c r="BI431" s="18">
        <v>12</v>
      </c>
      <c r="BJ431" s="18">
        <v>2022</v>
      </c>
      <c r="BK431" s="18" t="s">
        <v>95</v>
      </c>
      <c r="BL431" s="18" t="s">
        <v>95</v>
      </c>
      <c r="BM431" s="18" t="s">
        <v>95</v>
      </c>
      <c r="BN431" s="18" t="s">
        <v>85</v>
      </c>
      <c r="BO431" s="18" t="s">
        <v>86</v>
      </c>
      <c r="BP431" s="18" t="s">
        <v>90</v>
      </c>
      <c r="BQ431" s="18" t="s">
        <v>8106</v>
      </c>
      <c r="BR431" s="18" t="s">
        <v>92</v>
      </c>
      <c r="BS431" s="18" t="s">
        <v>8074</v>
      </c>
      <c r="BT431" s="18" t="s">
        <v>10502</v>
      </c>
      <c r="BU431" s="18" t="s">
        <v>496</v>
      </c>
      <c r="BV431" s="18" t="str">
        <f>Terminales[[#This Row],[IMEI]]&amp;"SI"</f>
        <v>869937054623874SI</v>
      </c>
      <c r="BW431" s="18" t="str">
        <f>VLOOKUP(Terminales[[#This Row],[OFICINA_USUARIO]],[1]!Locales[#Data],3,0)</f>
        <v>TIENDA CUENCA CENTRO</v>
      </c>
      <c r="BX431" s="18" t="str">
        <f>VLOOKUP(Terminales[[#This Row],[USUARIO_FINAL]],'[1]Personal Ppto vs Real'!$A:$F,6,0)</f>
        <v>ANDRADE CONDO CHRISTIAN EDUARDO</v>
      </c>
      <c r="BY43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1" s="18">
        <f>DAY(Terminales[[#This Row],[FECHA_FACTURA]])</f>
        <v>12</v>
      </c>
      <c r="CB431" s="65">
        <f>IF(Terminales[[#This Row],[CANTIDAD]] = 1,INDEX([1]!Comisiones[#Data],MATCH("Terminales",[1]!Comisiones[Producto],0),MATCH(Terminales[[#This Row],[TIPO ALTA COMISIONES]],[1]!Comisiones[#Headers],0))*Terminales[[#This Row],[MONTO]],0)</f>
        <v>24.107143000000001</v>
      </c>
      <c r="CC431" s="65">
        <f>IFERROR(IF(AND(Terminales[[#This Row],[CANTIDAD]] = 1,Terminales[[#This Row],[MOVIMIENTO]] = "RENOVACION"),Terminales[[#This Row],[TARIFA_BASICA]]*0.5,),)</f>
        <v>0</v>
      </c>
      <c r="CD431" s="65">
        <f>IF('[1]Resumen TM'!$AW$20 &lt; 0.4,0,Terminales[[#This Row],[MONTO]]*0.02)</f>
        <v>4.8214286</v>
      </c>
      <c r="CE431" s="66">
        <f>Terminales[[#This Row],[COMISIONES TERMINALES]]+Terminales[[#This Row],[COMISIONES RENOVACIONES]]+Terminales[[#This Row],[COMISIONES BONO]]</f>
        <v>28.928571600000001</v>
      </c>
      <c r="CF431" s="67">
        <f>(Terminales[[#This Row],[COMISIONES TERMINALES]]*VLOOKUP(Terminales[[#This Row],[LOCALES]],[1]!Calendario[#Data],3,0))/VLOOKUP(Terminales[[#This Row],[LOCALES]],[1]!Calendario[#Data],2,0)</f>
        <v>39.070197275862071</v>
      </c>
      <c r="CG431" s="67">
        <f>(Terminales[[#This Row],[COMISIONES RENOVACIONES]]*VLOOKUP(Terminales[[#This Row],[LOCALES]],[1]!Calendario[#Data],3,0))/VLOOKUP(Terminales[[#This Row],[LOCALES]],[1]!Calendario[#Data],2,0)</f>
        <v>0</v>
      </c>
      <c r="CH431" s="67">
        <f>(Terminales[[#This Row],[COMISIONES BONO]]*VLOOKUP(Terminales[[#This Row],[LOCALES]],[1]!Calendario[#Data],3,0))/VLOOKUP(Terminales[[#This Row],[LOCALES]],[1]!Calendario[#Data],2,0)</f>
        <v>7.8140394551724137</v>
      </c>
      <c r="CI431" s="67">
        <f>Terminales[[#This Row],[PROY. COM. TERMINALES]]+Terminales[[#This Row],[PROY. COM. RENOV.]]+Terminales[[#This Row],[PROY. COM. 2%]]</f>
        <v>46.884236731034484</v>
      </c>
    </row>
    <row r="432" spans="1:87" x14ac:dyDescent="0.25">
      <c r="A432" s="68">
        <v>44926</v>
      </c>
      <c r="B432" s="68">
        <v>44907</v>
      </c>
      <c r="C432" s="18" t="s">
        <v>96</v>
      </c>
      <c r="D432" s="18" t="s">
        <v>96</v>
      </c>
      <c r="E432" s="18" t="s">
        <v>96</v>
      </c>
      <c r="F432" s="18" t="s">
        <v>95</v>
      </c>
      <c r="G432" s="18" t="s">
        <v>292</v>
      </c>
      <c r="H432" s="18" t="s">
        <v>494</v>
      </c>
      <c r="I432" s="18" t="s">
        <v>10617</v>
      </c>
      <c r="J432" s="18" t="s">
        <v>95</v>
      </c>
      <c r="K432" s="18" t="s">
        <v>7970</v>
      </c>
      <c r="L432" s="18" t="s">
        <v>10496</v>
      </c>
      <c r="M432" s="18" t="s">
        <v>10497</v>
      </c>
      <c r="N432" s="18" t="s">
        <v>10498</v>
      </c>
      <c r="O432" s="18" t="s">
        <v>1881</v>
      </c>
      <c r="P432" s="18" t="s">
        <v>10618</v>
      </c>
      <c r="Q432" s="18" t="s">
        <v>7975</v>
      </c>
      <c r="R432" s="18" t="s">
        <v>7976</v>
      </c>
      <c r="S432" s="18" t="s">
        <v>8070</v>
      </c>
      <c r="T432" s="18" t="s">
        <v>8397</v>
      </c>
      <c r="U432" s="18" t="s">
        <v>8012</v>
      </c>
      <c r="V432" s="18" t="s">
        <v>6963</v>
      </c>
      <c r="W432" s="18" t="s">
        <v>95</v>
      </c>
      <c r="X432" s="18" t="s">
        <v>95</v>
      </c>
      <c r="Y432" s="18" t="s">
        <v>7980</v>
      </c>
      <c r="Z432" s="18" t="s">
        <v>6996</v>
      </c>
      <c r="AA432" s="69">
        <v>1</v>
      </c>
      <c r="AB432" s="18">
        <v>200</v>
      </c>
      <c r="AC432" s="18" t="s">
        <v>10619</v>
      </c>
      <c r="AD432" s="18" t="s">
        <v>96</v>
      </c>
      <c r="AE432" s="18">
        <v>173.7</v>
      </c>
      <c r="AF432" s="18" t="s">
        <v>7983</v>
      </c>
      <c r="AG432" s="18">
        <v>173.7</v>
      </c>
      <c r="AH432" s="18" t="s">
        <v>95</v>
      </c>
      <c r="AI432" s="18" t="s">
        <v>95</v>
      </c>
      <c r="AJ432" s="18" t="s">
        <v>95</v>
      </c>
      <c r="AK432" s="18" t="s">
        <v>95</v>
      </c>
      <c r="AL432" s="18" t="s">
        <v>95</v>
      </c>
      <c r="AM432" s="18" t="s">
        <v>95</v>
      </c>
      <c r="AN432" s="18" t="s">
        <v>7984</v>
      </c>
      <c r="AO432" s="18" t="s">
        <v>92</v>
      </c>
      <c r="AP432" s="18" t="s">
        <v>880</v>
      </c>
      <c r="AQ432" s="18" t="s">
        <v>881</v>
      </c>
      <c r="AR432" s="18" t="s">
        <v>10501</v>
      </c>
      <c r="AS432" s="18">
        <v>1</v>
      </c>
      <c r="AT432" s="18" t="s">
        <v>91</v>
      </c>
      <c r="AU432" s="18" t="s">
        <v>90</v>
      </c>
      <c r="AV432" s="18" t="s">
        <v>8399</v>
      </c>
      <c r="AW432" s="18" t="s">
        <v>8400</v>
      </c>
      <c r="AX432" s="18" t="s">
        <v>83</v>
      </c>
      <c r="AY432" s="18" t="s">
        <v>95</v>
      </c>
      <c r="AZ432" s="18" t="s">
        <v>95</v>
      </c>
      <c r="BA432" s="18" t="s">
        <v>95</v>
      </c>
      <c r="BB432" s="18" t="s">
        <v>95</v>
      </c>
      <c r="BC432" s="18" t="s">
        <v>95</v>
      </c>
      <c r="BD432" s="18" t="s">
        <v>95</v>
      </c>
      <c r="BE432" s="18" t="s">
        <v>95</v>
      </c>
      <c r="BF432" s="18" t="s">
        <v>95</v>
      </c>
      <c r="BG432" s="18" t="s">
        <v>95</v>
      </c>
      <c r="BH432" s="18" t="s">
        <v>95</v>
      </c>
      <c r="BI432" s="18">
        <v>12</v>
      </c>
      <c r="BJ432" s="18">
        <v>2022</v>
      </c>
      <c r="BK432" s="18" t="s">
        <v>95</v>
      </c>
      <c r="BL432" s="18" t="s">
        <v>95</v>
      </c>
      <c r="BM432" s="18" t="s">
        <v>95</v>
      </c>
      <c r="BN432" s="18" t="s">
        <v>85</v>
      </c>
      <c r="BO432" s="18" t="s">
        <v>86</v>
      </c>
      <c r="BP432" s="18" t="s">
        <v>90</v>
      </c>
      <c r="BQ432" s="18" t="s">
        <v>8106</v>
      </c>
      <c r="BR432" s="18" t="s">
        <v>92</v>
      </c>
      <c r="BS432" s="18" t="s">
        <v>8074</v>
      </c>
      <c r="BT432" s="18" t="s">
        <v>10502</v>
      </c>
      <c r="BU432" s="18" t="s">
        <v>496</v>
      </c>
      <c r="BV432" s="18" t="str">
        <f>Terminales[[#This Row],[IMEI]]&amp;"SI"</f>
        <v>864050069292944SI</v>
      </c>
      <c r="BW432" s="18" t="str">
        <f>VLOOKUP(Terminales[[#This Row],[OFICINA_USUARIO]],[1]!Locales[#Data],3,0)</f>
        <v>TIENDA CUENCA CENTRO</v>
      </c>
      <c r="BX432" s="18" t="str">
        <f>VLOOKUP(Terminales[[#This Row],[USUARIO_FINAL]],'[1]Personal Ppto vs Real'!$A:$F,6,0)</f>
        <v>LUNA JACHO ANDREA GABRIELA</v>
      </c>
      <c r="BY43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2" s="18">
        <f>DAY(Terminales[[#This Row],[FECHA_FACTURA]])</f>
        <v>12</v>
      </c>
      <c r="CB432" s="65">
        <f>IF(Terminales[[#This Row],[CANTIDAD]] = 1,INDEX([1]!Comisiones[#Data],MATCH("Terminales",[1]!Comisiones[Producto],0),MATCH(Terminales[[#This Row],[TIPO ALTA COMISIONES]],[1]!Comisiones[#Headers],0))*Terminales[[#This Row],[MONTO]],0)</f>
        <v>20</v>
      </c>
      <c r="CC432" s="65">
        <f>IFERROR(IF(AND(Terminales[[#This Row],[CANTIDAD]] = 1,Terminales[[#This Row],[MOVIMIENTO]] = "RENOVACION"),Terminales[[#This Row],[TARIFA_BASICA]]*0.5,),)</f>
        <v>0</v>
      </c>
      <c r="CD432" s="65">
        <f>IF('[1]Resumen TM'!$AW$20 &lt; 0.4,0,Terminales[[#This Row],[MONTO]]*0.02)</f>
        <v>4</v>
      </c>
      <c r="CE432" s="66">
        <f>Terminales[[#This Row],[COMISIONES TERMINALES]]+Terminales[[#This Row],[COMISIONES RENOVACIONES]]+Terminales[[#This Row],[COMISIONES BONO]]</f>
        <v>24</v>
      </c>
      <c r="CF432" s="67">
        <f>(Terminales[[#This Row],[COMISIONES TERMINALES]]*VLOOKUP(Terminales[[#This Row],[LOCALES]],[1]!Calendario[#Data],3,0))/VLOOKUP(Terminales[[#This Row],[LOCALES]],[1]!Calendario[#Data],2,0)</f>
        <v>32.413793103448278</v>
      </c>
      <c r="CG432" s="67">
        <f>(Terminales[[#This Row],[COMISIONES RENOVACIONES]]*VLOOKUP(Terminales[[#This Row],[LOCALES]],[1]!Calendario[#Data],3,0))/VLOOKUP(Terminales[[#This Row],[LOCALES]],[1]!Calendario[#Data],2,0)</f>
        <v>0</v>
      </c>
      <c r="CH432" s="67">
        <f>(Terminales[[#This Row],[COMISIONES BONO]]*VLOOKUP(Terminales[[#This Row],[LOCALES]],[1]!Calendario[#Data],3,0))/VLOOKUP(Terminales[[#This Row],[LOCALES]],[1]!Calendario[#Data],2,0)</f>
        <v>6.4827586206896548</v>
      </c>
      <c r="CI432" s="67">
        <f>Terminales[[#This Row],[PROY. COM. TERMINALES]]+Terminales[[#This Row],[PROY. COM. RENOV.]]+Terminales[[#This Row],[PROY. COM. 2%]]</f>
        <v>38.896551724137936</v>
      </c>
    </row>
    <row r="433" spans="1:87" x14ac:dyDescent="0.25">
      <c r="A433" s="68">
        <v>44926</v>
      </c>
      <c r="B433" s="68">
        <v>44907</v>
      </c>
      <c r="C433" s="18" t="s">
        <v>96</v>
      </c>
      <c r="D433" s="18" t="s">
        <v>96</v>
      </c>
      <c r="E433" s="18" t="s">
        <v>96</v>
      </c>
      <c r="F433" s="18" t="s">
        <v>95</v>
      </c>
      <c r="G433" s="18" t="s">
        <v>292</v>
      </c>
      <c r="H433" s="18" t="s">
        <v>494</v>
      </c>
      <c r="I433" s="18" t="s">
        <v>10620</v>
      </c>
      <c r="J433" s="18" t="s">
        <v>95</v>
      </c>
      <c r="K433" s="18" t="s">
        <v>7970</v>
      </c>
      <c r="L433" s="18" t="s">
        <v>10496</v>
      </c>
      <c r="M433" s="18" t="s">
        <v>10497</v>
      </c>
      <c r="N433" s="18" t="s">
        <v>10498</v>
      </c>
      <c r="O433" s="18" t="s">
        <v>4380</v>
      </c>
      <c r="P433" s="18" t="s">
        <v>10621</v>
      </c>
      <c r="Q433" s="18" t="s">
        <v>7975</v>
      </c>
      <c r="R433" s="18" t="s">
        <v>7976</v>
      </c>
      <c r="S433" s="18" t="s">
        <v>7994</v>
      </c>
      <c r="T433" s="18" t="s">
        <v>7995</v>
      </c>
      <c r="U433" s="18" t="s">
        <v>7996</v>
      </c>
      <c r="V433" s="18" t="s">
        <v>6963</v>
      </c>
      <c r="W433" s="18" t="s">
        <v>95</v>
      </c>
      <c r="X433" s="18" t="s">
        <v>95</v>
      </c>
      <c r="Y433" s="18" t="s">
        <v>7980</v>
      </c>
      <c r="Z433" s="18" t="s">
        <v>6996</v>
      </c>
      <c r="AA433" s="69">
        <v>1</v>
      </c>
      <c r="AB433" s="18">
        <v>116.07143000000001</v>
      </c>
      <c r="AC433" s="18" t="s">
        <v>10622</v>
      </c>
      <c r="AD433" s="18" t="s">
        <v>96</v>
      </c>
      <c r="AE433" s="18">
        <v>102</v>
      </c>
      <c r="AF433" s="18" t="s">
        <v>7983</v>
      </c>
      <c r="AG433" s="18">
        <v>102</v>
      </c>
      <c r="AH433" s="18" t="s">
        <v>95</v>
      </c>
      <c r="AI433" s="18" t="s">
        <v>95</v>
      </c>
      <c r="AJ433" s="18" t="s">
        <v>95</v>
      </c>
      <c r="AK433" s="18" t="s">
        <v>95</v>
      </c>
      <c r="AL433" s="18" t="s">
        <v>95</v>
      </c>
      <c r="AM433" s="18" t="s">
        <v>95</v>
      </c>
      <c r="AN433" s="18" t="s">
        <v>7984</v>
      </c>
      <c r="AO433" s="18" t="s">
        <v>139</v>
      </c>
      <c r="AP433" s="18" t="s">
        <v>187</v>
      </c>
      <c r="AQ433" s="18" t="s">
        <v>188</v>
      </c>
      <c r="AR433" s="18" t="s">
        <v>10501</v>
      </c>
      <c r="AS433" s="18">
        <v>1</v>
      </c>
      <c r="AT433" s="18" t="s">
        <v>177</v>
      </c>
      <c r="AU433" s="18" t="s">
        <v>90</v>
      </c>
      <c r="AV433" s="18" t="s">
        <v>7998</v>
      </c>
      <c r="AW433" s="18" t="s">
        <v>7999</v>
      </c>
      <c r="AX433" s="18" t="s">
        <v>83</v>
      </c>
      <c r="AY433" s="18" t="s">
        <v>95</v>
      </c>
      <c r="AZ433" s="18" t="s">
        <v>95</v>
      </c>
      <c r="BA433" s="18" t="s">
        <v>95</v>
      </c>
      <c r="BB433" s="18" t="s">
        <v>95</v>
      </c>
      <c r="BC433" s="18" t="s">
        <v>95</v>
      </c>
      <c r="BD433" s="18" t="s">
        <v>95</v>
      </c>
      <c r="BE433" s="18" t="s">
        <v>95</v>
      </c>
      <c r="BF433" s="18" t="s">
        <v>95</v>
      </c>
      <c r="BG433" s="18" t="s">
        <v>95</v>
      </c>
      <c r="BH433" s="18" t="s">
        <v>95</v>
      </c>
      <c r="BI433" s="18">
        <v>12</v>
      </c>
      <c r="BJ433" s="18">
        <v>2022</v>
      </c>
      <c r="BK433" s="18" t="s">
        <v>95</v>
      </c>
      <c r="BL433" s="18" t="s">
        <v>95</v>
      </c>
      <c r="BM433" s="18" t="s">
        <v>95</v>
      </c>
      <c r="BN433" s="18" t="s">
        <v>85</v>
      </c>
      <c r="BO433" s="18" t="s">
        <v>86</v>
      </c>
      <c r="BP433" s="18" t="s">
        <v>90</v>
      </c>
      <c r="BQ433" s="18" t="s">
        <v>8002</v>
      </c>
      <c r="BR433" s="18" t="s">
        <v>139</v>
      </c>
      <c r="BS433" s="18" t="s">
        <v>8074</v>
      </c>
      <c r="BT433" s="18" t="s">
        <v>10502</v>
      </c>
      <c r="BU433" s="18" t="s">
        <v>496</v>
      </c>
      <c r="BV433" s="18" t="str">
        <f>Terminales[[#This Row],[IMEI]]&amp;"SI"</f>
        <v>357321213174484SI</v>
      </c>
      <c r="BW433" s="18" t="str">
        <f>VLOOKUP(Terminales[[#This Row],[OFICINA_USUARIO]],[1]!Locales[#Data],3,0)</f>
        <v>TIENDA RECREO</v>
      </c>
      <c r="BX433" s="18" t="str">
        <f>VLOOKUP(Terminales[[#This Row],[USUARIO_FINAL]],'[1]Personal Ppto vs Real'!$A:$F,6,0)</f>
        <v>ESPINOZA MARTINES LAURA XIOMARA</v>
      </c>
      <c r="BY43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3" s="18">
        <f>DAY(Terminales[[#This Row],[FECHA_FACTURA]])</f>
        <v>12</v>
      </c>
      <c r="CB433" s="65">
        <f>IF(Terminales[[#This Row],[CANTIDAD]] = 1,INDEX([1]!Comisiones[#Data],MATCH("Terminales",[1]!Comisiones[Producto],0),MATCH(Terminales[[#This Row],[TIPO ALTA COMISIONES]],[1]!Comisiones[#Headers],0))*Terminales[[#This Row],[MONTO]],0)</f>
        <v>11.607143000000001</v>
      </c>
      <c r="CC433" s="65">
        <f>IFERROR(IF(AND(Terminales[[#This Row],[CANTIDAD]] = 1,Terminales[[#This Row],[MOVIMIENTO]] = "RENOVACION"),Terminales[[#This Row],[TARIFA_BASICA]]*0.5,),)</f>
        <v>0</v>
      </c>
      <c r="CD433" s="65">
        <f>IF('[1]Resumen TM'!$AW$20 &lt; 0.4,0,Terminales[[#This Row],[MONTO]]*0.02)</f>
        <v>2.3214286000000004</v>
      </c>
      <c r="CE433" s="66">
        <f>Terminales[[#This Row],[COMISIONES TERMINALES]]+Terminales[[#This Row],[COMISIONES RENOVACIONES]]+Terminales[[#This Row],[COMISIONES BONO]]</f>
        <v>13.928571600000001</v>
      </c>
      <c r="CF433" s="67">
        <f>(Terminales[[#This Row],[COMISIONES TERMINALES]]*VLOOKUP(Terminales[[#This Row],[LOCALES]],[1]!Calendario[#Data],3,0))/VLOOKUP(Terminales[[#This Row],[LOCALES]],[1]!Calendario[#Data],2,0)</f>
        <v>19.09562235483871</v>
      </c>
      <c r="CG433" s="67">
        <f>(Terminales[[#This Row],[COMISIONES RENOVACIONES]]*VLOOKUP(Terminales[[#This Row],[LOCALES]],[1]!Calendario[#Data],3,0))/VLOOKUP(Terminales[[#This Row],[LOCALES]],[1]!Calendario[#Data],2,0)</f>
        <v>0</v>
      </c>
      <c r="CH433" s="67">
        <f>(Terminales[[#This Row],[COMISIONES BONO]]*VLOOKUP(Terminales[[#This Row],[LOCALES]],[1]!Calendario[#Data],3,0))/VLOOKUP(Terminales[[#This Row],[LOCALES]],[1]!Calendario[#Data],2,0)</f>
        <v>3.8191244709677425</v>
      </c>
      <c r="CI433" s="67">
        <f>Terminales[[#This Row],[PROY. COM. TERMINALES]]+Terminales[[#This Row],[PROY. COM. RENOV.]]+Terminales[[#This Row],[PROY. COM. 2%]]</f>
        <v>22.914746825806454</v>
      </c>
    </row>
    <row r="434" spans="1:87" x14ac:dyDescent="0.25">
      <c r="A434" s="68">
        <v>44926</v>
      </c>
      <c r="B434" s="68">
        <v>44907</v>
      </c>
      <c r="C434" s="18" t="s">
        <v>96</v>
      </c>
      <c r="D434" s="18" t="s">
        <v>96</v>
      </c>
      <c r="E434" s="18" t="s">
        <v>96</v>
      </c>
      <c r="F434" s="18" t="s">
        <v>95</v>
      </c>
      <c r="G434" s="18" t="s">
        <v>292</v>
      </c>
      <c r="H434" s="18" t="s">
        <v>494</v>
      </c>
      <c r="I434" s="18" t="s">
        <v>10623</v>
      </c>
      <c r="J434" s="18" t="s">
        <v>95</v>
      </c>
      <c r="K434" s="18" t="s">
        <v>7970</v>
      </c>
      <c r="L434" s="18" t="s">
        <v>10496</v>
      </c>
      <c r="M434" s="18" t="s">
        <v>10497</v>
      </c>
      <c r="N434" s="18" t="s">
        <v>10498</v>
      </c>
      <c r="O434" s="18" t="s">
        <v>10576</v>
      </c>
      <c r="P434" s="18" t="s">
        <v>10624</v>
      </c>
      <c r="Q434" s="18" t="s">
        <v>7975</v>
      </c>
      <c r="R434" s="18" t="s">
        <v>7976</v>
      </c>
      <c r="S434" s="18" t="s">
        <v>8045</v>
      </c>
      <c r="T434" s="18" t="s">
        <v>8331</v>
      </c>
      <c r="U434" s="18" t="s">
        <v>7996</v>
      </c>
      <c r="V434" s="18" t="s">
        <v>6963</v>
      </c>
      <c r="W434" s="18" t="s">
        <v>95</v>
      </c>
      <c r="X434" s="18" t="s">
        <v>95</v>
      </c>
      <c r="Y434" s="18" t="s">
        <v>7980</v>
      </c>
      <c r="Z434" s="18" t="s">
        <v>6996</v>
      </c>
      <c r="AA434" s="69">
        <v>1</v>
      </c>
      <c r="AB434" s="18">
        <v>113.39286</v>
      </c>
      <c r="AC434" s="18" t="s">
        <v>10625</v>
      </c>
      <c r="AD434" s="18" t="s">
        <v>96</v>
      </c>
      <c r="AE434" s="18">
        <v>91</v>
      </c>
      <c r="AF434" s="18" t="s">
        <v>7983</v>
      </c>
      <c r="AG434" s="18">
        <v>91</v>
      </c>
      <c r="AH434" s="18" t="s">
        <v>95</v>
      </c>
      <c r="AI434" s="18" t="s">
        <v>95</v>
      </c>
      <c r="AJ434" s="18" t="s">
        <v>95</v>
      </c>
      <c r="AK434" s="18" t="s">
        <v>95</v>
      </c>
      <c r="AL434" s="18" t="s">
        <v>95</v>
      </c>
      <c r="AM434" s="18" t="s">
        <v>95</v>
      </c>
      <c r="AN434" s="18" t="s">
        <v>7984</v>
      </c>
      <c r="AO434" s="18" t="s">
        <v>92</v>
      </c>
      <c r="AP434" s="18" t="s">
        <v>149</v>
      </c>
      <c r="AQ434" s="18" t="s">
        <v>150</v>
      </c>
      <c r="AR434" s="18" t="s">
        <v>10501</v>
      </c>
      <c r="AS434" s="18">
        <v>1</v>
      </c>
      <c r="AT434" s="18" t="s">
        <v>151</v>
      </c>
      <c r="AU434" s="18" t="s">
        <v>90</v>
      </c>
      <c r="AV434" s="18" t="s">
        <v>10579</v>
      </c>
      <c r="AW434" s="18" t="s">
        <v>10580</v>
      </c>
      <c r="AX434" s="18" t="s">
        <v>83</v>
      </c>
      <c r="AY434" s="18" t="s">
        <v>95</v>
      </c>
      <c r="AZ434" s="18" t="s">
        <v>95</v>
      </c>
      <c r="BA434" s="18" t="s">
        <v>95</v>
      </c>
      <c r="BB434" s="18" t="s">
        <v>95</v>
      </c>
      <c r="BC434" s="18" t="s">
        <v>95</v>
      </c>
      <c r="BD434" s="18" t="s">
        <v>95</v>
      </c>
      <c r="BE434" s="18" t="s">
        <v>95</v>
      </c>
      <c r="BF434" s="18" t="s">
        <v>95</v>
      </c>
      <c r="BG434" s="18" t="s">
        <v>95</v>
      </c>
      <c r="BH434" s="18" t="s">
        <v>95</v>
      </c>
      <c r="BI434" s="18">
        <v>12</v>
      </c>
      <c r="BJ434" s="18">
        <v>2022</v>
      </c>
      <c r="BK434" s="18" t="s">
        <v>95</v>
      </c>
      <c r="BL434" s="18" t="s">
        <v>95</v>
      </c>
      <c r="BM434" s="18" t="s">
        <v>95</v>
      </c>
      <c r="BN434" s="18" t="s">
        <v>85</v>
      </c>
      <c r="BO434" s="18" t="s">
        <v>86</v>
      </c>
      <c r="BP434" s="18" t="s">
        <v>90</v>
      </c>
      <c r="BQ434" s="18" t="s">
        <v>8141</v>
      </c>
      <c r="BR434" s="18" t="s">
        <v>92</v>
      </c>
      <c r="BS434" s="18" t="s">
        <v>8074</v>
      </c>
      <c r="BT434" s="18" t="s">
        <v>10502</v>
      </c>
      <c r="BU434" s="18" t="s">
        <v>496</v>
      </c>
      <c r="BV434" s="18" t="str">
        <f>Terminales[[#This Row],[IMEI]]&amp;"SI"</f>
        <v>352286991151282SI</v>
      </c>
      <c r="BW434" s="18" t="str">
        <f>VLOOKUP(Terminales[[#This Row],[OFICINA_USUARIO]],[1]!Locales[#Data],3,0)</f>
        <v>TIENDA CUENCA REMIGIO</v>
      </c>
      <c r="BX434" s="18" t="str">
        <f>VLOOKUP(Terminales[[#This Row],[USUARIO_FINAL]],'[1]Personal Ppto vs Real'!$A:$F,6,0)</f>
        <v>OSORIO TEJADA ANA ESTEFANIA</v>
      </c>
      <c r="BY43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4" s="18">
        <f>DAY(Terminales[[#This Row],[FECHA_FACTURA]])</f>
        <v>12</v>
      </c>
      <c r="CB434" s="65">
        <f>IF(Terminales[[#This Row],[CANTIDAD]] = 1,INDEX([1]!Comisiones[#Data],MATCH("Terminales",[1]!Comisiones[Producto],0),MATCH(Terminales[[#This Row],[TIPO ALTA COMISIONES]],[1]!Comisiones[#Headers],0))*Terminales[[#This Row],[MONTO]],0)</f>
        <v>11.339286000000001</v>
      </c>
      <c r="CC434" s="65">
        <f>IFERROR(IF(AND(Terminales[[#This Row],[CANTIDAD]] = 1,Terminales[[#This Row],[MOVIMIENTO]] = "RENOVACION"),Terminales[[#This Row],[TARIFA_BASICA]]*0.5,),)</f>
        <v>0</v>
      </c>
      <c r="CD434" s="65">
        <f>IF('[1]Resumen TM'!$AW$20 &lt; 0.4,0,Terminales[[#This Row],[MONTO]]*0.02)</f>
        <v>2.2678571999999999</v>
      </c>
      <c r="CE434" s="66">
        <f>Terminales[[#This Row],[COMISIONES TERMINALES]]+Terminales[[#This Row],[COMISIONES RENOVACIONES]]+Terminales[[#This Row],[COMISIONES BONO]]</f>
        <v>13.607143200000001</v>
      </c>
      <c r="CF434" s="67">
        <f>(Terminales[[#This Row],[COMISIONES TERMINALES]]*VLOOKUP(Terminales[[#This Row],[LOCALES]],[1]!Calendario[#Data],3,0))/VLOOKUP(Terminales[[#This Row],[LOCALES]],[1]!Calendario[#Data],2,0)</f>
        <v>18.377463517241381</v>
      </c>
      <c r="CG434" s="67">
        <f>(Terminales[[#This Row],[COMISIONES RENOVACIONES]]*VLOOKUP(Terminales[[#This Row],[LOCALES]],[1]!Calendario[#Data],3,0))/VLOOKUP(Terminales[[#This Row],[LOCALES]],[1]!Calendario[#Data],2,0)</f>
        <v>0</v>
      </c>
      <c r="CH434" s="67">
        <f>(Terminales[[#This Row],[COMISIONES BONO]]*VLOOKUP(Terminales[[#This Row],[LOCALES]],[1]!Calendario[#Data],3,0))/VLOOKUP(Terminales[[#This Row],[LOCALES]],[1]!Calendario[#Data],2,0)</f>
        <v>3.6754927034482758</v>
      </c>
      <c r="CI434" s="67">
        <f>Terminales[[#This Row],[PROY. COM. TERMINALES]]+Terminales[[#This Row],[PROY. COM. RENOV.]]+Terminales[[#This Row],[PROY. COM. 2%]]</f>
        <v>22.052956220689659</v>
      </c>
    </row>
    <row r="435" spans="1:87" x14ac:dyDescent="0.25">
      <c r="A435" s="68">
        <v>44926</v>
      </c>
      <c r="B435" s="68">
        <v>44908</v>
      </c>
      <c r="C435" s="18" t="s">
        <v>96</v>
      </c>
      <c r="D435" s="18" t="s">
        <v>96</v>
      </c>
      <c r="E435" s="18" t="s">
        <v>96</v>
      </c>
      <c r="F435" s="18" t="s">
        <v>95</v>
      </c>
      <c r="G435" s="18" t="s">
        <v>292</v>
      </c>
      <c r="H435" s="18" t="s">
        <v>494</v>
      </c>
      <c r="I435" s="18" t="s">
        <v>10626</v>
      </c>
      <c r="J435" s="18" t="s">
        <v>95</v>
      </c>
      <c r="K435" s="18" t="s">
        <v>7970</v>
      </c>
      <c r="L435" s="18" t="s">
        <v>10496</v>
      </c>
      <c r="M435" s="18" t="s">
        <v>10497</v>
      </c>
      <c r="N435" s="18" t="s">
        <v>10498</v>
      </c>
      <c r="O435" s="18" t="s">
        <v>4380</v>
      </c>
      <c r="P435" s="18" t="s">
        <v>10627</v>
      </c>
      <c r="Q435" s="18" t="s">
        <v>7975</v>
      </c>
      <c r="R435" s="18" t="s">
        <v>7976</v>
      </c>
      <c r="S435" s="18" t="s">
        <v>7994</v>
      </c>
      <c r="T435" s="18" t="s">
        <v>7995</v>
      </c>
      <c r="U435" s="18" t="s">
        <v>7996</v>
      </c>
      <c r="V435" s="18" t="s">
        <v>6963</v>
      </c>
      <c r="W435" s="18" t="s">
        <v>95</v>
      </c>
      <c r="X435" s="18" t="s">
        <v>95</v>
      </c>
      <c r="Y435" s="18" t="s">
        <v>7980</v>
      </c>
      <c r="Z435" s="18" t="s">
        <v>6996</v>
      </c>
      <c r="AA435" s="69">
        <v>1</v>
      </c>
      <c r="AB435" s="18">
        <v>116.07143000000001</v>
      </c>
      <c r="AC435" s="18" t="s">
        <v>10628</v>
      </c>
      <c r="AD435" s="18" t="s">
        <v>96</v>
      </c>
      <c r="AE435" s="18">
        <v>102</v>
      </c>
      <c r="AF435" s="18" t="s">
        <v>7983</v>
      </c>
      <c r="AG435" s="18">
        <v>102</v>
      </c>
      <c r="AH435" s="18" t="s">
        <v>95</v>
      </c>
      <c r="AI435" s="18" t="s">
        <v>95</v>
      </c>
      <c r="AJ435" s="18" t="s">
        <v>95</v>
      </c>
      <c r="AK435" s="18" t="s">
        <v>95</v>
      </c>
      <c r="AL435" s="18" t="s">
        <v>95</v>
      </c>
      <c r="AM435" s="18" t="s">
        <v>95</v>
      </c>
      <c r="AN435" s="18" t="s">
        <v>7984</v>
      </c>
      <c r="AO435" s="18" t="s">
        <v>92</v>
      </c>
      <c r="AP435" s="18" t="s">
        <v>420</v>
      </c>
      <c r="AQ435" s="18" t="s">
        <v>421</v>
      </c>
      <c r="AR435" s="18" t="s">
        <v>10501</v>
      </c>
      <c r="AS435" s="18">
        <v>1</v>
      </c>
      <c r="AT435" s="18" t="s">
        <v>151</v>
      </c>
      <c r="AU435" s="18" t="s">
        <v>90</v>
      </c>
      <c r="AV435" s="18" t="s">
        <v>7998</v>
      </c>
      <c r="AW435" s="18" t="s">
        <v>7999</v>
      </c>
      <c r="AX435" s="18" t="s">
        <v>83</v>
      </c>
      <c r="AY435" s="18" t="s">
        <v>95</v>
      </c>
      <c r="AZ435" s="18" t="s">
        <v>95</v>
      </c>
      <c r="BA435" s="18" t="s">
        <v>95</v>
      </c>
      <c r="BB435" s="18" t="s">
        <v>95</v>
      </c>
      <c r="BC435" s="18" t="s">
        <v>95</v>
      </c>
      <c r="BD435" s="18" t="s">
        <v>95</v>
      </c>
      <c r="BE435" s="18" t="s">
        <v>95</v>
      </c>
      <c r="BF435" s="18" t="s">
        <v>95</v>
      </c>
      <c r="BG435" s="18" t="s">
        <v>95</v>
      </c>
      <c r="BH435" s="18" t="s">
        <v>95</v>
      </c>
      <c r="BI435" s="18">
        <v>12</v>
      </c>
      <c r="BJ435" s="18">
        <v>2022</v>
      </c>
      <c r="BK435" s="18" t="s">
        <v>95</v>
      </c>
      <c r="BL435" s="18" t="s">
        <v>95</v>
      </c>
      <c r="BM435" s="18" t="s">
        <v>95</v>
      </c>
      <c r="BN435" s="18" t="s">
        <v>85</v>
      </c>
      <c r="BO435" s="18" t="s">
        <v>86</v>
      </c>
      <c r="BP435" s="18" t="s">
        <v>90</v>
      </c>
      <c r="BQ435" s="18" t="s">
        <v>8141</v>
      </c>
      <c r="BR435" s="18" t="s">
        <v>92</v>
      </c>
      <c r="BS435" s="18" t="s">
        <v>8074</v>
      </c>
      <c r="BT435" s="18" t="s">
        <v>10502</v>
      </c>
      <c r="BU435" s="18" t="s">
        <v>496</v>
      </c>
      <c r="BV435" s="18" t="str">
        <f>Terminales[[#This Row],[IMEI]]&amp;"SI"</f>
        <v>357321213173908SI</v>
      </c>
      <c r="BW435" s="18" t="str">
        <f>VLOOKUP(Terminales[[#This Row],[OFICINA_USUARIO]],[1]!Locales[#Data],3,0)</f>
        <v>TIENDA CUENCA REMIGIO</v>
      </c>
      <c r="BX435" s="18" t="str">
        <f>VLOOKUP(Terminales[[#This Row],[USUARIO_FINAL]],'[1]Personal Ppto vs Real'!$A:$F,6,0)</f>
        <v>YEPEZ PALOMEQUE DIANA PATRICIA</v>
      </c>
      <c r="BY43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5" s="18">
        <f>DAY(Terminales[[#This Row],[FECHA_FACTURA]])</f>
        <v>13</v>
      </c>
      <c r="CB435" s="65">
        <f>IF(Terminales[[#This Row],[CANTIDAD]] = 1,INDEX([1]!Comisiones[#Data],MATCH("Terminales",[1]!Comisiones[Producto],0),MATCH(Terminales[[#This Row],[TIPO ALTA COMISIONES]],[1]!Comisiones[#Headers],0))*Terminales[[#This Row],[MONTO]],0)</f>
        <v>11.607143000000001</v>
      </c>
      <c r="CC435" s="65">
        <f>IFERROR(IF(AND(Terminales[[#This Row],[CANTIDAD]] = 1,Terminales[[#This Row],[MOVIMIENTO]] = "RENOVACION"),Terminales[[#This Row],[TARIFA_BASICA]]*0.5,),)</f>
        <v>0</v>
      </c>
      <c r="CD435" s="65">
        <f>IF('[1]Resumen TM'!$AW$20 &lt; 0.4,0,Terminales[[#This Row],[MONTO]]*0.02)</f>
        <v>2.3214286000000004</v>
      </c>
      <c r="CE435" s="66">
        <f>Terminales[[#This Row],[COMISIONES TERMINALES]]+Terminales[[#This Row],[COMISIONES RENOVACIONES]]+Terminales[[#This Row],[COMISIONES BONO]]</f>
        <v>13.928571600000001</v>
      </c>
      <c r="CF435" s="67">
        <f>(Terminales[[#This Row],[COMISIONES TERMINALES]]*VLOOKUP(Terminales[[#This Row],[LOCALES]],[1]!Calendario[#Data],3,0))/VLOOKUP(Terminales[[#This Row],[LOCALES]],[1]!Calendario[#Data],2,0)</f>
        <v>18.8115765862069</v>
      </c>
      <c r="CG435" s="67">
        <f>(Terminales[[#This Row],[COMISIONES RENOVACIONES]]*VLOOKUP(Terminales[[#This Row],[LOCALES]],[1]!Calendario[#Data],3,0))/VLOOKUP(Terminales[[#This Row],[LOCALES]],[1]!Calendario[#Data],2,0)</f>
        <v>0</v>
      </c>
      <c r="CH435" s="67">
        <f>(Terminales[[#This Row],[COMISIONES BONO]]*VLOOKUP(Terminales[[#This Row],[LOCALES]],[1]!Calendario[#Data],3,0))/VLOOKUP(Terminales[[#This Row],[LOCALES]],[1]!Calendario[#Data],2,0)</f>
        <v>3.7623153172413799</v>
      </c>
      <c r="CI435" s="67">
        <f>Terminales[[#This Row],[PROY. COM. TERMINALES]]+Terminales[[#This Row],[PROY. COM. RENOV.]]+Terminales[[#This Row],[PROY. COM. 2%]]</f>
        <v>22.573891903448281</v>
      </c>
    </row>
    <row r="436" spans="1:87" x14ac:dyDescent="0.25">
      <c r="A436" s="68">
        <v>44926</v>
      </c>
      <c r="B436" s="68">
        <v>44908</v>
      </c>
      <c r="C436" s="18" t="s">
        <v>96</v>
      </c>
      <c r="D436" s="18" t="s">
        <v>96</v>
      </c>
      <c r="E436" s="18" t="s">
        <v>96</v>
      </c>
      <c r="F436" s="18" t="s">
        <v>95</v>
      </c>
      <c r="G436" s="18" t="s">
        <v>292</v>
      </c>
      <c r="H436" s="18" t="s">
        <v>494</v>
      </c>
      <c r="I436" s="18" t="s">
        <v>10629</v>
      </c>
      <c r="J436" s="18" t="s">
        <v>95</v>
      </c>
      <c r="K436" s="18" t="s">
        <v>7970</v>
      </c>
      <c r="L436" s="18" t="s">
        <v>10496</v>
      </c>
      <c r="M436" s="18" t="s">
        <v>10497</v>
      </c>
      <c r="N436" s="18" t="s">
        <v>10498</v>
      </c>
      <c r="O436" s="18" t="s">
        <v>6467</v>
      </c>
      <c r="P436" s="18" t="s">
        <v>10630</v>
      </c>
      <c r="Q436" s="18" t="s">
        <v>7975</v>
      </c>
      <c r="R436" s="18" t="s">
        <v>7976</v>
      </c>
      <c r="S436" s="18" t="s">
        <v>8045</v>
      </c>
      <c r="T436" s="18" t="s">
        <v>8331</v>
      </c>
      <c r="U436" s="18" t="s">
        <v>7996</v>
      </c>
      <c r="V436" s="18" t="s">
        <v>6963</v>
      </c>
      <c r="W436" s="18" t="s">
        <v>95</v>
      </c>
      <c r="X436" s="18" t="s">
        <v>95</v>
      </c>
      <c r="Y436" s="18" t="s">
        <v>7980</v>
      </c>
      <c r="Z436" s="18" t="s">
        <v>6996</v>
      </c>
      <c r="AA436" s="69">
        <v>1</v>
      </c>
      <c r="AB436" s="18">
        <v>113.39286</v>
      </c>
      <c r="AC436" s="18" t="s">
        <v>10631</v>
      </c>
      <c r="AD436" s="18" t="s">
        <v>96</v>
      </c>
      <c r="AE436" s="18">
        <v>91</v>
      </c>
      <c r="AF436" s="18" t="s">
        <v>7983</v>
      </c>
      <c r="AG436" s="18">
        <v>91</v>
      </c>
      <c r="AH436" s="18" t="s">
        <v>95</v>
      </c>
      <c r="AI436" s="18" t="s">
        <v>95</v>
      </c>
      <c r="AJ436" s="18" t="s">
        <v>95</v>
      </c>
      <c r="AK436" s="18" t="s">
        <v>95</v>
      </c>
      <c r="AL436" s="18" t="s">
        <v>95</v>
      </c>
      <c r="AM436" s="18" t="s">
        <v>95</v>
      </c>
      <c r="AN436" s="18" t="s">
        <v>7984</v>
      </c>
      <c r="AO436" s="18" t="s">
        <v>92</v>
      </c>
      <c r="AP436" s="18" t="s">
        <v>352</v>
      </c>
      <c r="AQ436" s="18" t="s">
        <v>353</v>
      </c>
      <c r="AR436" s="18" t="s">
        <v>10501</v>
      </c>
      <c r="AS436" s="18">
        <v>1</v>
      </c>
      <c r="AT436" s="18" t="s">
        <v>122</v>
      </c>
      <c r="AU436" s="18" t="s">
        <v>90</v>
      </c>
      <c r="AV436" s="18" t="s">
        <v>8333</v>
      </c>
      <c r="AW436" s="18" t="s">
        <v>8334</v>
      </c>
      <c r="AX436" s="18" t="s">
        <v>83</v>
      </c>
      <c r="AY436" s="18" t="s">
        <v>95</v>
      </c>
      <c r="AZ436" s="18" t="s">
        <v>95</v>
      </c>
      <c r="BA436" s="18" t="s">
        <v>95</v>
      </c>
      <c r="BB436" s="18" t="s">
        <v>95</v>
      </c>
      <c r="BC436" s="18" t="s">
        <v>95</v>
      </c>
      <c r="BD436" s="18" t="s">
        <v>95</v>
      </c>
      <c r="BE436" s="18" t="s">
        <v>95</v>
      </c>
      <c r="BF436" s="18" t="s">
        <v>95</v>
      </c>
      <c r="BG436" s="18" t="s">
        <v>95</v>
      </c>
      <c r="BH436" s="18" t="s">
        <v>95</v>
      </c>
      <c r="BI436" s="18">
        <v>12</v>
      </c>
      <c r="BJ436" s="18">
        <v>2022</v>
      </c>
      <c r="BK436" s="18" t="s">
        <v>95</v>
      </c>
      <c r="BL436" s="18" t="s">
        <v>95</v>
      </c>
      <c r="BM436" s="18" t="s">
        <v>95</v>
      </c>
      <c r="BN436" s="18" t="s">
        <v>85</v>
      </c>
      <c r="BO436" s="18" t="s">
        <v>86</v>
      </c>
      <c r="BP436" s="18" t="s">
        <v>90</v>
      </c>
      <c r="BQ436" s="18" t="s">
        <v>8050</v>
      </c>
      <c r="BR436" s="18" t="s">
        <v>92</v>
      </c>
      <c r="BS436" s="18" t="s">
        <v>8074</v>
      </c>
      <c r="BT436" s="18" t="s">
        <v>10502</v>
      </c>
      <c r="BU436" s="18" t="s">
        <v>496</v>
      </c>
      <c r="BV436" s="18" t="str">
        <f>Terminales[[#This Row],[IMEI]]&amp;"SI"</f>
        <v>352286990939257SI</v>
      </c>
      <c r="BW436" s="18" t="str">
        <f>VLOOKUP(Terminales[[#This Row],[OFICINA_USUARIO]],[1]!Locales[#Data],3,0)</f>
        <v>TIENDA MACHALA</v>
      </c>
      <c r="BX436" s="18" t="str">
        <f>VLOOKUP(Terminales[[#This Row],[USUARIO_FINAL]],'[1]Personal Ppto vs Real'!$A:$F,6,0)</f>
        <v>TENORIO MARIA DEL PILAR</v>
      </c>
      <c r="BY43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6" s="18">
        <f>DAY(Terminales[[#This Row],[FECHA_FACTURA]])</f>
        <v>13</v>
      </c>
      <c r="CB436" s="65">
        <f>IF(Terminales[[#This Row],[CANTIDAD]] = 1,INDEX([1]!Comisiones[#Data],MATCH("Terminales",[1]!Comisiones[Producto],0),MATCH(Terminales[[#This Row],[TIPO ALTA COMISIONES]],[1]!Comisiones[#Headers],0))*Terminales[[#This Row],[MONTO]],0)</f>
        <v>11.339286000000001</v>
      </c>
      <c r="CC436" s="65">
        <f>IFERROR(IF(AND(Terminales[[#This Row],[CANTIDAD]] = 1,Terminales[[#This Row],[MOVIMIENTO]] = "RENOVACION"),Terminales[[#This Row],[TARIFA_BASICA]]*0.5,),)</f>
        <v>0</v>
      </c>
      <c r="CD436" s="65">
        <f>IF('[1]Resumen TM'!$AW$20 &lt; 0.4,0,Terminales[[#This Row],[MONTO]]*0.02)</f>
        <v>2.2678571999999999</v>
      </c>
      <c r="CE436" s="66">
        <f>Terminales[[#This Row],[COMISIONES TERMINALES]]+Terminales[[#This Row],[COMISIONES RENOVACIONES]]+Terminales[[#This Row],[COMISIONES BONO]]</f>
        <v>13.607143200000001</v>
      </c>
      <c r="CF436" s="67">
        <f>(Terminales[[#This Row],[COMISIONES TERMINALES]]*VLOOKUP(Terminales[[#This Row],[LOCALES]],[1]!Calendario[#Data],3,0))/VLOOKUP(Terminales[[#This Row],[LOCALES]],[1]!Calendario[#Data],2,0)</f>
        <v>18.377463517241381</v>
      </c>
      <c r="CG436" s="67">
        <f>(Terminales[[#This Row],[COMISIONES RENOVACIONES]]*VLOOKUP(Terminales[[#This Row],[LOCALES]],[1]!Calendario[#Data],3,0))/VLOOKUP(Terminales[[#This Row],[LOCALES]],[1]!Calendario[#Data],2,0)</f>
        <v>0</v>
      </c>
      <c r="CH436" s="67">
        <f>(Terminales[[#This Row],[COMISIONES BONO]]*VLOOKUP(Terminales[[#This Row],[LOCALES]],[1]!Calendario[#Data],3,0))/VLOOKUP(Terminales[[#This Row],[LOCALES]],[1]!Calendario[#Data],2,0)</f>
        <v>3.6754927034482758</v>
      </c>
      <c r="CI436" s="67">
        <f>Terminales[[#This Row],[PROY. COM. TERMINALES]]+Terminales[[#This Row],[PROY. COM. RENOV.]]+Terminales[[#This Row],[PROY. COM. 2%]]</f>
        <v>22.052956220689659</v>
      </c>
    </row>
    <row r="437" spans="1:87" x14ac:dyDescent="0.25">
      <c r="A437" s="68">
        <v>44926</v>
      </c>
      <c r="B437" s="68">
        <v>44908</v>
      </c>
      <c r="C437" s="18" t="s">
        <v>96</v>
      </c>
      <c r="D437" s="18" t="s">
        <v>96</v>
      </c>
      <c r="E437" s="18" t="s">
        <v>96</v>
      </c>
      <c r="F437" s="18" t="s">
        <v>95</v>
      </c>
      <c r="G437" s="18" t="s">
        <v>292</v>
      </c>
      <c r="H437" s="18" t="s">
        <v>494</v>
      </c>
      <c r="I437" s="18" t="s">
        <v>10632</v>
      </c>
      <c r="J437" s="18" t="s">
        <v>95</v>
      </c>
      <c r="K437" s="18" t="s">
        <v>7970</v>
      </c>
      <c r="L437" s="18" t="s">
        <v>10496</v>
      </c>
      <c r="M437" s="18" t="s">
        <v>10497</v>
      </c>
      <c r="N437" s="18" t="s">
        <v>10498</v>
      </c>
      <c r="O437" s="18" t="s">
        <v>3669</v>
      </c>
      <c r="P437" s="18" t="s">
        <v>10633</v>
      </c>
      <c r="Q437" s="18" t="s">
        <v>7975</v>
      </c>
      <c r="R437" s="18" t="s">
        <v>7976</v>
      </c>
      <c r="S437" s="18" t="s">
        <v>8045</v>
      </c>
      <c r="T437" s="18" t="s">
        <v>8046</v>
      </c>
      <c r="U437" s="18" t="s">
        <v>7996</v>
      </c>
      <c r="V437" s="18" t="s">
        <v>6963</v>
      </c>
      <c r="W437" s="18" t="s">
        <v>95</v>
      </c>
      <c r="X437" s="18" t="s">
        <v>95</v>
      </c>
      <c r="Y437" s="18" t="s">
        <v>7980</v>
      </c>
      <c r="Z437" s="18" t="s">
        <v>6996</v>
      </c>
      <c r="AA437" s="69">
        <v>1</v>
      </c>
      <c r="AB437" s="18">
        <v>144.64286000000001</v>
      </c>
      <c r="AC437" s="18" t="s">
        <v>10634</v>
      </c>
      <c r="AD437" s="18" t="s">
        <v>96</v>
      </c>
      <c r="AE437" s="18">
        <v>124.5</v>
      </c>
      <c r="AF437" s="18" t="s">
        <v>7983</v>
      </c>
      <c r="AG437" s="18">
        <v>124.5</v>
      </c>
      <c r="AH437" s="18" t="s">
        <v>95</v>
      </c>
      <c r="AI437" s="18" t="s">
        <v>95</v>
      </c>
      <c r="AJ437" s="18" t="s">
        <v>95</v>
      </c>
      <c r="AK437" s="18" t="s">
        <v>95</v>
      </c>
      <c r="AL437" s="18" t="s">
        <v>95</v>
      </c>
      <c r="AM437" s="18" t="s">
        <v>95</v>
      </c>
      <c r="AN437" s="18" t="s">
        <v>7984</v>
      </c>
      <c r="AO437" s="18" t="s">
        <v>92</v>
      </c>
      <c r="AP437" s="18" t="s">
        <v>1415</v>
      </c>
      <c r="AQ437" s="18" t="s">
        <v>1416</v>
      </c>
      <c r="AR437" s="18" t="s">
        <v>10501</v>
      </c>
      <c r="AS437" s="18">
        <v>1</v>
      </c>
      <c r="AT437" s="18" t="s">
        <v>91</v>
      </c>
      <c r="AU437" s="18" t="s">
        <v>90</v>
      </c>
      <c r="AV437" s="18" t="s">
        <v>8048</v>
      </c>
      <c r="AW437" s="18" t="s">
        <v>8049</v>
      </c>
      <c r="AX437" s="18" t="s">
        <v>83</v>
      </c>
      <c r="AY437" s="18" t="s">
        <v>95</v>
      </c>
      <c r="AZ437" s="18" t="s">
        <v>95</v>
      </c>
      <c r="BA437" s="18" t="s">
        <v>95</v>
      </c>
      <c r="BB437" s="18" t="s">
        <v>95</v>
      </c>
      <c r="BC437" s="18" t="s">
        <v>95</v>
      </c>
      <c r="BD437" s="18" t="s">
        <v>95</v>
      </c>
      <c r="BE437" s="18" t="s">
        <v>95</v>
      </c>
      <c r="BF437" s="18" t="s">
        <v>95</v>
      </c>
      <c r="BG437" s="18" t="s">
        <v>95</v>
      </c>
      <c r="BH437" s="18" t="s">
        <v>95</v>
      </c>
      <c r="BI437" s="18">
        <v>12</v>
      </c>
      <c r="BJ437" s="18">
        <v>2022</v>
      </c>
      <c r="BK437" s="18" t="s">
        <v>95</v>
      </c>
      <c r="BL437" s="18" t="s">
        <v>95</v>
      </c>
      <c r="BM437" s="18" t="s">
        <v>95</v>
      </c>
      <c r="BN437" s="18" t="s">
        <v>85</v>
      </c>
      <c r="BO437" s="18" t="s">
        <v>86</v>
      </c>
      <c r="BP437" s="18" t="s">
        <v>90</v>
      </c>
      <c r="BQ437" s="18" t="s">
        <v>8106</v>
      </c>
      <c r="BR437" s="18" t="s">
        <v>92</v>
      </c>
      <c r="BS437" s="18" t="s">
        <v>8074</v>
      </c>
      <c r="BT437" s="18" t="s">
        <v>10502</v>
      </c>
      <c r="BU437" s="18" t="s">
        <v>496</v>
      </c>
      <c r="BV437" s="18" t="str">
        <f>Terminales[[#This Row],[IMEI]]&amp;"SI"</f>
        <v>351084957811093SI</v>
      </c>
      <c r="BW437" s="18" t="str">
        <f>VLOOKUP(Terminales[[#This Row],[OFICINA_USUARIO]],[1]!Locales[#Data],3,0)</f>
        <v>TIENDA CUENCA CENTRO</v>
      </c>
      <c r="BX437" s="18" t="str">
        <f>VLOOKUP(Terminales[[#This Row],[USUARIO_FINAL]],'[1]Personal Ppto vs Real'!$A:$F,6,0)</f>
        <v>PATIÑO URGILES DIANA CATALINA</v>
      </c>
      <c r="BY43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7" s="18">
        <f>DAY(Terminales[[#This Row],[FECHA_FACTURA]])</f>
        <v>13</v>
      </c>
      <c r="CB437" s="65">
        <f>IF(Terminales[[#This Row],[CANTIDAD]] = 1,INDEX([1]!Comisiones[#Data],MATCH("Terminales",[1]!Comisiones[Producto],0),MATCH(Terminales[[#This Row],[TIPO ALTA COMISIONES]],[1]!Comisiones[#Headers],0))*Terminales[[#This Row],[MONTO]],0)</f>
        <v>14.464286000000001</v>
      </c>
      <c r="CC437" s="65">
        <f>IFERROR(IF(AND(Terminales[[#This Row],[CANTIDAD]] = 1,Terminales[[#This Row],[MOVIMIENTO]] = "RENOVACION"),Terminales[[#This Row],[TARIFA_BASICA]]*0.5,),)</f>
        <v>0</v>
      </c>
      <c r="CD437" s="65">
        <f>IF('[1]Resumen TM'!$AW$20 &lt; 0.4,0,Terminales[[#This Row],[MONTO]]*0.02)</f>
        <v>2.8928572000000004</v>
      </c>
      <c r="CE437" s="66">
        <f>Terminales[[#This Row],[COMISIONES TERMINALES]]+Terminales[[#This Row],[COMISIONES RENOVACIONES]]+Terminales[[#This Row],[COMISIONES BONO]]</f>
        <v>17.357143200000003</v>
      </c>
      <c r="CF437" s="67">
        <f>(Terminales[[#This Row],[COMISIONES TERMINALES]]*VLOOKUP(Terminales[[#This Row],[LOCALES]],[1]!Calendario[#Data],3,0))/VLOOKUP(Terminales[[#This Row],[LOCALES]],[1]!Calendario[#Data],2,0)</f>
        <v>23.442118689655175</v>
      </c>
      <c r="CG437" s="67">
        <f>(Terminales[[#This Row],[COMISIONES RENOVACIONES]]*VLOOKUP(Terminales[[#This Row],[LOCALES]],[1]!Calendario[#Data],3,0))/VLOOKUP(Terminales[[#This Row],[LOCALES]],[1]!Calendario[#Data],2,0)</f>
        <v>0</v>
      </c>
      <c r="CH437" s="67">
        <f>(Terminales[[#This Row],[COMISIONES BONO]]*VLOOKUP(Terminales[[#This Row],[LOCALES]],[1]!Calendario[#Data],3,0))/VLOOKUP(Terminales[[#This Row],[LOCALES]],[1]!Calendario[#Data],2,0)</f>
        <v>4.6884237379310347</v>
      </c>
      <c r="CI437" s="67">
        <f>Terminales[[#This Row],[PROY. COM. TERMINALES]]+Terminales[[#This Row],[PROY. COM. RENOV.]]+Terminales[[#This Row],[PROY. COM. 2%]]</f>
        <v>28.13054242758621</v>
      </c>
    </row>
    <row r="438" spans="1:87" x14ac:dyDescent="0.25">
      <c r="A438" s="68">
        <v>44926</v>
      </c>
      <c r="B438" s="68">
        <v>44909</v>
      </c>
      <c r="C438" s="18" t="s">
        <v>96</v>
      </c>
      <c r="D438" s="18" t="s">
        <v>96</v>
      </c>
      <c r="E438" s="18" t="s">
        <v>96</v>
      </c>
      <c r="F438" s="18" t="s">
        <v>95</v>
      </c>
      <c r="G438" s="18" t="s">
        <v>292</v>
      </c>
      <c r="H438" s="18" t="s">
        <v>494</v>
      </c>
      <c r="I438" s="18" t="s">
        <v>10635</v>
      </c>
      <c r="J438" s="18" t="s">
        <v>95</v>
      </c>
      <c r="K438" s="18" t="s">
        <v>7970</v>
      </c>
      <c r="L438" s="18" t="s">
        <v>10496</v>
      </c>
      <c r="M438" s="18" t="s">
        <v>10497</v>
      </c>
      <c r="N438" s="18" t="s">
        <v>10498</v>
      </c>
      <c r="O438" s="18" t="s">
        <v>4380</v>
      </c>
      <c r="P438" s="18" t="s">
        <v>10636</v>
      </c>
      <c r="Q438" s="18" t="s">
        <v>7975</v>
      </c>
      <c r="R438" s="18" t="s">
        <v>7976</v>
      </c>
      <c r="S438" s="18" t="s">
        <v>7994</v>
      </c>
      <c r="T438" s="18" t="s">
        <v>7995</v>
      </c>
      <c r="U438" s="18" t="s">
        <v>7996</v>
      </c>
      <c r="V438" s="18" t="s">
        <v>6963</v>
      </c>
      <c r="W438" s="18" t="s">
        <v>95</v>
      </c>
      <c r="X438" s="18" t="s">
        <v>95</v>
      </c>
      <c r="Y438" s="18" t="s">
        <v>7980</v>
      </c>
      <c r="Z438" s="18" t="s">
        <v>6996</v>
      </c>
      <c r="AA438" s="69">
        <v>1</v>
      </c>
      <c r="AB438" s="18">
        <v>116.07143000000001</v>
      </c>
      <c r="AC438" s="18" t="s">
        <v>10637</v>
      </c>
      <c r="AD438" s="18" t="s">
        <v>96</v>
      </c>
      <c r="AE438" s="18">
        <v>102</v>
      </c>
      <c r="AF438" s="18" t="s">
        <v>7983</v>
      </c>
      <c r="AG438" s="18">
        <v>102</v>
      </c>
      <c r="AH438" s="18" t="s">
        <v>95</v>
      </c>
      <c r="AI438" s="18" t="s">
        <v>95</v>
      </c>
      <c r="AJ438" s="18" t="s">
        <v>95</v>
      </c>
      <c r="AK438" s="18" t="s">
        <v>95</v>
      </c>
      <c r="AL438" s="18" t="s">
        <v>95</v>
      </c>
      <c r="AM438" s="18" t="s">
        <v>95</v>
      </c>
      <c r="AN438" s="18" t="s">
        <v>7984</v>
      </c>
      <c r="AO438" s="18" t="s">
        <v>139</v>
      </c>
      <c r="AP438" s="18" t="s">
        <v>262</v>
      </c>
      <c r="AQ438" s="18" t="s">
        <v>263</v>
      </c>
      <c r="AR438" s="18" t="s">
        <v>10501</v>
      </c>
      <c r="AS438" s="18">
        <v>1</v>
      </c>
      <c r="AT438" s="18" t="s">
        <v>177</v>
      </c>
      <c r="AU438" s="18" t="s">
        <v>90</v>
      </c>
      <c r="AV438" s="18" t="s">
        <v>7998</v>
      </c>
      <c r="AW438" s="18" t="s">
        <v>7999</v>
      </c>
      <c r="AX438" s="18" t="s">
        <v>83</v>
      </c>
      <c r="AY438" s="18" t="s">
        <v>95</v>
      </c>
      <c r="AZ438" s="18" t="s">
        <v>95</v>
      </c>
      <c r="BA438" s="18" t="s">
        <v>95</v>
      </c>
      <c r="BB438" s="18" t="s">
        <v>95</v>
      </c>
      <c r="BC438" s="18" t="s">
        <v>95</v>
      </c>
      <c r="BD438" s="18" t="s">
        <v>95</v>
      </c>
      <c r="BE438" s="18" t="s">
        <v>95</v>
      </c>
      <c r="BF438" s="18" t="s">
        <v>95</v>
      </c>
      <c r="BG438" s="18" t="s">
        <v>95</v>
      </c>
      <c r="BH438" s="18" t="s">
        <v>95</v>
      </c>
      <c r="BI438" s="18">
        <v>12</v>
      </c>
      <c r="BJ438" s="18">
        <v>2022</v>
      </c>
      <c r="BK438" s="18" t="s">
        <v>95</v>
      </c>
      <c r="BL438" s="18" t="s">
        <v>95</v>
      </c>
      <c r="BM438" s="18" t="s">
        <v>95</v>
      </c>
      <c r="BN438" s="18" t="s">
        <v>85</v>
      </c>
      <c r="BO438" s="18" t="s">
        <v>86</v>
      </c>
      <c r="BP438" s="18" t="s">
        <v>90</v>
      </c>
      <c r="BQ438" s="18" t="s">
        <v>8002</v>
      </c>
      <c r="BR438" s="18" t="s">
        <v>139</v>
      </c>
      <c r="BS438" s="18" t="s">
        <v>8074</v>
      </c>
      <c r="BT438" s="18" t="s">
        <v>10502</v>
      </c>
      <c r="BU438" s="18" t="s">
        <v>496</v>
      </c>
      <c r="BV438" s="18" t="str">
        <f>Terminales[[#This Row],[IMEI]]&amp;"SI"</f>
        <v>357321213143323SI</v>
      </c>
      <c r="BW438" s="18" t="str">
        <f>VLOOKUP(Terminales[[#This Row],[OFICINA_USUARIO]],[1]!Locales[#Data],3,0)</f>
        <v>TIENDA RECREO</v>
      </c>
      <c r="BX438" s="18" t="str">
        <f>VLOOKUP(Terminales[[#This Row],[USUARIO_FINAL]],'[1]Personal Ppto vs Real'!$A:$F,6,0)</f>
        <v>CHICAIZA TOAPANTA ALEX DANILO</v>
      </c>
      <c r="BY438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8" s="18">
        <f>DAY(Terminales[[#This Row],[FECHA_FACTURA]])</f>
        <v>14</v>
      </c>
      <c r="CB438" s="65">
        <f>IF(Terminales[[#This Row],[CANTIDAD]] = 1,INDEX([1]!Comisiones[#Data],MATCH("Terminales",[1]!Comisiones[Producto],0),MATCH(Terminales[[#This Row],[TIPO ALTA COMISIONES]],[1]!Comisiones[#Headers],0))*Terminales[[#This Row],[MONTO]],0)</f>
        <v>11.607143000000001</v>
      </c>
      <c r="CC438" s="65">
        <f>IFERROR(IF(AND(Terminales[[#This Row],[CANTIDAD]] = 1,Terminales[[#This Row],[MOVIMIENTO]] = "RENOVACION"),Terminales[[#This Row],[TARIFA_BASICA]]*0.5,),)</f>
        <v>0</v>
      </c>
      <c r="CD438" s="65">
        <f>IF('[1]Resumen TM'!$AW$20 &lt; 0.4,0,Terminales[[#This Row],[MONTO]]*0.02)</f>
        <v>2.3214286000000004</v>
      </c>
      <c r="CE438" s="66">
        <f>Terminales[[#This Row],[COMISIONES TERMINALES]]+Terminales[[#This Row],[COMISIONES RENOVACIONES]]+Terminales[[#This Row],[COMISIONES BONO]]</f>
        <v>13.928571600000001</v>
      </c>
      <c r="CF438" s="67">
        <f>(Terminales[[#This Row],[COMISIONES TERMINALES]]*VLOOKUP(Terminales[[#This Row],[LOCALES]],[1]!Calendario[#Data],3,0))/VLOOKUP(Terminales[[#This Row],[LOCALES]],[1]!Calendario[#Data],2,0)</f>
        <v>19.09562235483871</v>
      </c>
      <c r="CG438" s="67">
        <f>(Terminales[[#This Row],[COMISIONES RENOVACIONES]]*VLOOKUP(Terminales[[#This Row],[LOCALES]],[1]!Calendario[#Data],3,0))/VLOOKUP(Terminales[[#This Row],[LOCALES]],[1]!Calendario[#Data],2,0)</f>
        <v>0</v>
      </c>
      <c r="CH438" s="67">
        <f>(Terminales[[#This Row],[COMISIONES BONO]]*VLOOKUP(Terminales[[#This Row],[LOCALES]],[1]!Calendario[#Data],3,0))/VLOOKUP(Terminales[[#This Row],[LOCALES]],[1]!Calendario[#Data],2,0)</f>
        <v>3.8191244709677425</v>
      </c>
      <c r="CI438" s="67">
        <f>Terminales[[#This Row],[PROY. COM. TERMINALES]]+Terminales[[#This Row],[PROY. COM. RENOV.]]+Terminales[[#This Row],[PROY. COM. 2%]]</f>
        <v>22.914746825806454</v>
      </c>
    </row>
    <row r="439" spans="1:87" x14ac:dyDescent="0.25">
      <c r="A439" s="68">
        <v>44926</v>
      </c>
      <c r="B439" s="68">
        <v>44909</v>
      </c>
      <c r="C439" s="18" t="s">
        <v>96</v>
      </c>
      <c r="D439" s="18" t="s">
        <v>96</v>
      </c>
      <c r="E439" s="18" t="s">
        <v>96</v>
      </c>
      <c r="F439" s="18" t="s">
        <v>95</v>
      </c>
      <c r="G439" s="18" t="s">
        <v>292</v>
      </c>
      <c r="H439" s="18" t="s">
        <v>494</v>
      </c>
      <c r="I439" s="18" t="s">
        <v>10638</v>
      </c>
      <c r="J439" s="18" t="s">
        <v>95</v>
      </c>
      <c r="K439" s="18" t="s">
        <v>7970</v>
      </c>
      <c r="L439" s="18" t="s">
        <v>10496</v>
      </c>
      <c r="M439" s="18" t="s">
        <v>10497</v>
      </c>
      <c r="N439" s="18" t="s">
        <v>10498</v>
      </c>
      <c r="O439" s="18" t="s">
        <v>2260</v>
      </c>
      <c r="P439" s="18" t="s">
        <v>10639</v>
      </c>
      <c r="Q439" s="18" t="s">
        <v>7975</v>
      </c>
      <c r="R439" s="18" t="s">
        <v>7976</v>
      </c>
      <c r="S439" s="18" t="s">
        <v>8010</v>
      </c>
      <c r="T439" s="18" t="s">
        <v>8011</v>
      </c>
      <c r="U439" s="18" t="s">
        <v>8012</v>
      </c>
      <c r="V439" s="18" t="s">
        <v>6963</v>
      </c>
      <c r="W439" s="18" t="s">
        <v>95</v>
      </c>
      <c r="X439" s="18" t="s">
        <v>95</v>
      </c>
      <c r="Y439" s="18" t="s">
        <v>7980</v>
      </c>
      <c r="Z439" s="18" t="s">
        <v>6996</v>
      </c>
      <c r="AA439" s="69">
        <v>1</v>
      </c>
      <c r="AB439" s="18">
        <v>223.21429000000001</v>
      </c>
      <c r="AC439" s="18" t="s">
        <v>10640</v>
      </c>
      <c r="AD439" s="18" t="s">
        <v>96</v>
      </c>
      <c r="AE439" s="18">
        <v>168.8</v>
      </c>
      <c r="AF439" s="18" t="s">
        <v>7983</v>
      </c>
      <c r="AG439" s="18">
        <v>168.8</v>
      </c>
      <c r="AH439" s="18" t="s">
        <v>95</v>
      </c>
      <c r="AI439" s="18" t="s">
        <v>95</v>
      </c>
      <c r="AJ439" s="18" t="s">
        <v>95</v>
      </c>
      <c r="AK439" s="18" t="s">
        <v>95</v>
      </c>
      <c r="AL439" s="18" t="s">
        <v>95</v>
      </c>
      <c r="AM439" s="18" t="s">
        <v>95</v>
      </c>
      <c r="AN439" s="18" t="s">
        <v>7984</v>
      </c>
      <c r="AO439" s="18" t="s">
        <v>139</v>
      </c>
      <c r="AP439" s="18" t="s">
        <v>926</v>
      </c>
      <c r="AQ439" s="18" t="s">
        <v>927</v>
      </c>
      <c r="AR439" s="18" t="s">
        <v>10501</v>
      </c>
      <c r="AS439" s="18">
        <v>1</v>
      </c>
      <c r="AT439" s="18" t="s">
        <v>177</v>
      </c>
      <c r="AU439" s="18" t="s">
        <v>90</v>
      </c>
      <c r="AV439" s="18" t="s">
        <v>8014</v>
      </c>
      <c r="AW439" s="18" t="s">
        <v>8015</v>
      </c>
      <c r="AX439" s="18" t="s">
        <v>83</v>
      </c>
      <c r="AY439" s="18" t="s">
        <v>95</v>
      </c>
      <c r="AZ439" s="18" t="s">
        <v>95</v>
      </c>
      <c r="BA439" s="18" t="s">
        <v>95</v>
      </c>
      <c r="BB439" s="18" t="s">
        <v>95</v>
      </c>
      <c r="BC439" s="18" t="s">
        <v>95</v>
      </c>
      <c r="BD439" s="18" t="s">
        <v>95</v>
      </c>
      <c r="BE439" s="18" t="s">
        <v>95</v>
      </c>
      <c r="BF439" s="18" t="s">
        <v>95</v>
      </c>
      <c r="BG439" s="18" t="s">
        <v>95</v>
      </c>
      <c r="BH439" s="18" t="s">
        <v>95</v>
      </c>
      <c r="BI439" s="18">
        <v>12</v>
      </c>
      <c r="BJ439" s="18">
        <v>2022</v>
      </c>
      <c r="BK439" s="18" t="s">
        <v>95</v>
      </c>
      <c r="BL439" s="18" t="s">
        <v>95</v>
      </c>
      <c r="BM439" s="18" t="s">
        <v>95</v>
      </c>
      <c r="BN439" s="18" t="s">
        <v>85</v>
      </c>
      <c r="BO439" s="18" t="s">
        <v>86</v>
      </c>
      <c r="BP439" s="18" t="s">
        <v>90</v>
      </c>
      <c r="BQ439" s="18" t="s">
        <v>8002</v>
      </c>
      <c r="BR439" s="18" t="s">
        <v>139</v>
      </c>
      <c r="BS439" s="18" t="s">
        <v>8074</v>
      </c>
      <c r="BT439" s="18" t="s">
        <v>10502</v>
      </c>
      <c r="BU439" s="18" t="s">
        <v>496</v>
      </c>
      <c r="BV439" s="18" t="str">
        <f>Terminales[[#This Row],[IMEI]]&amp;"SI"</f>
        <v>359694275290697SI</v>
      </c>
      <c r="BW439" s="18" t="str">
        <f>VLOOKUP(Terminales[[#This Row],[OFICINA_USUARIO]],[1]!Locales[#Data],3,0)</f>
        <v>TIENDA RECREO</v>
      </c>
      <c r="BX439" s="18" t="str">
        <f>VLOOKUP(Terminales[[#This Row],[USUARIO_FINAL]],'[1]Personal Ppto vs Real'!$A:$F,6,0)</f>
        <v>CABEZAS LOPEZ ROBERTO ALEJANDRO</v>
      </c>
      <c r="BY439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39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39" s="18">
        <f>DAY(Terminales[[#This Row],[FECHA_FACTURA]])</f>
        <v>14</v>
      </c>
      <c r="CB439" s="65">
        <f>IF(Terminales[[#This Row],[CANTIDAD]] = 1,INDEX([1]!Comisiones[#Data],MATCH("Terminales",[1]!Comisiones[Producto],0),MATCH(Terminales[[#This Row],[TIPO ALTA COMISIONES]],[1]!Comisiones[#Headers],0))*Terminales[[#This Row],[MONTO]],0)</f>
        <v>22.321429000000002</v>
      </c>
      <c r="CC439" s="65">
        <f>IFERROR(IF(AND(Terminales[[#This Row],[CANTIDAD]] = 1,Terminales[[#This Row],[MOVIMIENTO]] = "RENOVACION"),Terminales[[#This Row],[TARIFA_BASICA]]*0.5,),)</f>
        <v>0</v>
      </c>
      <c r="CD439" s="65">
        <f>IF('[1]Resumen TM'!$AW$20 &lt; 0.4,0,Terminales[[#This Row],[MONTO]]*0.02)</f>
        <v>4.4642857999999999</v>
      </c>
      <c r="CE439" s="66">
        <f>Terminales[[#This Row],[COMISIONES TERMINALES]]+Terminales[[#This Row],[COMISIONES RENOVACIONES]]+Terminales[[#This Row],[COMISIONES BONO]]</f>
        <v>26.785714800000001</v>
      </c>
      <c r="CF439" s="67">
        <f>(Terminales[[#This Row],[COMISIONES TERMINALES]]*VLOOKUP(Terminales[[#This Row],[LOCALES]],[1]!Calendario[#Data],3,0))/VLOOKUP(Terminales[[#This Row],[LOCALES]],[1]!Calendario[#Data],2,0)</f>
        <v>36.722350935483874</v>
      </c>
      <c r="CG439" s="67">
        <f>(Terminales[[#This Row],[COMISIONES RENOVACIONES]]*VLOOKUP(Terminales[[#This Row],[LOCALES]],[1]!Calendario[#Data],3,0))/VLOOKUP(Terminales[[#This Row],[LOCALES]],[1]!Calendario[#Data],2,0)</f>
        <v>0</v>
      </c>
      <c r="CH439" s="67">
        <f>(Terminales[[#This Row],[COMISIONES BONO]]*VLOOKUP(Terminales[[#This Row],[LOCALES]],[1]!Calendario[#Data],3,0))/VLOOKUP(Terminales[[#This Row],[LOCALES]],[1]!Calendario[#Data],2,0)</f>
        <v>7.3444701870967739</v>
      </c>
      <c r="CI439" s="67">
        <f>Terminales[[#This Row],[PROY. COM. TERMINALES]]+Terminales[[#This Row],[PROY. COM. RENOV.]]+Terminales[[#This Row],[PROY. COM. 2%]]</f>
        <v>44.066821122580649</v>
      </c>
    </row>
    <row r="440" spans="1:87" x14ac:dyDescent="0.25">
      <c r="A440" s="68">
        <v>44926</v>
      </c>
      <c r="B440" s="68">
        <v>44909</v>
      </c>
      <c r="C440" s="18" t="s">
        <v>96</v>
      </c>
      <c r="D440" s="18" t="s">
        <v>96</v>
      </c>
      <c r="E440" s="18" t="s">
        <v>96</v>
      </c>
      <c r="F440" s="18" t="s">
        <v>95</v>
      </c>
      <c r="G440" s="18" t="s">
        <v>292</v>
      </c>
      <c r="H440" s="18" t="s">
        <v>494</v>
      </c>
      <c r="I440" s="18" t="s">
        <v>10641</v>
      </c>
      <c r="J440" s="18" t="s">
        <v>95</v>
      </c>
      <c r="K440" s="18" t="s">
        <v>7970</v>
      </c>
      <c r="L440" s="18" t="s">
        <v>10496</v>
      </c>
      <c r="M440" s="18" t="s">
        <v>10497</v>
      </c>
      <c r="N440" s="18" t="s">
        <v>10498</v>
      </c>
      <c r="O440" s="18" t="s">
        <v>3669</v>
      </c>
      <c r="P440" s="18" t="s">
        <v>10642</v>
      </c>
      <c r="Q440" s="18" t="s">
        <v>7975</v>
      </c>
      <c r="R440" s="18" t="s">
        <v>7976</v>
      </c>
      <c r="S440" s="18" t="s">
        <v>8045</v>
      </c>
      <c r="T440" s="18" t="s">
        <v>8046</v>
      </c>
      <c r="U440" s="18" t="s">
        <v>7996</v>
      </c>
      <c r="V440" s="18" t="s">
        <v>6963</v>
      </c>
      <c r="W440" s="18" t="s">
        <v>95</v>
      </c>
      <c r="X440" s="18" t="s">
        <v>95</v>
      </c>
      <c r="Y440" s="18" t="s">
        <v>7980</v>
      </c>
      <c r="Z440" s="18" t="s">
        <v>6996</v>
      </c>
      <c r="AA440" s="69">
        <v>1</v>
      </c>
      <c r="AB440" s="18">
        <v>144.64286000000001</v>
      </c>
      <c r="AC440" s="18" t="s">
        <v>10643</v>
      </c>
      <c r="AD440" s="18" t="s">
        <v>96</v>
      </c>
      <c r="AE440" s="18">
        <v>124.5</v>
      </c>
      <c r="AF440" s="18" t="s">
        <v>7983</v>
      </c>
      <c r="AG440" s="18">
        <v>124.5</v>
      </c>
      <c r="AH440" s="18" t="s">
        <v>95</v>
      </c>
      <c r="AI440" s="18" t="s">
        <v>95</v>
      </c>
      <c r="AJ440" s="18" t="s">
        <v>95</v>
      </c>
      <c r="AK440" s="18" t="s">
        <v>95</v>
      </c>
      <c r="AL440" s="18" t="s">
        <v>95</v>
      </c>
      <c r="AM440" s="18" t="s">
        <v>95</v>
      </c>
      <c r="AN440" s="18" t="s">
        <v>7984</v>
      </c>
      <c r="AO440" s="18" t="s">
        <v>139</v>
      </c>
      <c r="AP440" s="18" t="s">
        <v>175</v>
      </c>
      <c r="AQ440" s="18" t="s">
        <v>176</v>
      </c>
      <c r="AR440" s="18" t="s">
        <v>10501</v>
      </c>
      <c r="AS440" s="18">
        <v>1</v>
      </c>
      <c r="AT440" s="18" t="s">
        <v>177</v>
      </c>
      <c r="AU440" s="18" t="s">
        <v>90</v>
      </c>
      <c r="AV440" s="18" t="s">
        <v>8048</v>
      </c>
      <c r="AW440" s="18" t="s">
        <v>8049</v>
      </c>
      <c r="AX440" s="18" t="s">
        <v>83</v>
      </c>
      <c r="AY440" s="18" t="s">
        <v>95</v>
      </c>
      <c r="AZ440" s="18" t="s">
        <v>95</v>
      </c>
      <c r="BA440" s="18" t="s">
        <v>95</v>
      </c>
      <c r="BB440" s="18" t="s">
        <v>95</v>
      </c>
      <c r="BC440" s="18" t="s">
        <v>95</v>
      </c>
      <c r="BD440" s="18" t="s">
        <v>95</v>
      </c>
      <c r="BE440" s="18" t="s">
        <v>95</v>
      </c>
      <c r="BF440" s="18" t="s">
        <v>95</v>
      </c>
      <c r="BG440" s="18" t="s">
        <v>95</v>
      </c>
      <c r="BH440" s="18" t="s">
        <v>95</v>
      </c>
      <c r="BI440" s="18">
        <v>12</v>
      </c>
      <c r="BJ440" s="18">
        <v>2022</v>
      </c>
      <c r="BK440" s="18" t="s">
        <v>95</v>
      </c>
      <c r="BL440" s="18" t="s">
        <v>95</v>
      </c>
      <c r="BM440" s="18" t="s">
        <v>95</v>
      </c>
      <c r="BN440" s="18" t="s">
        <v>85</v>
      </c>
      <c r="BO440" s="18" t="s">
        <v>86</v>
      </c>
      <c r="BP440" s="18" t="s">
        <v>90</v>
      </c>
      <c r="BQ440" s="18" t="s">
        <v>8002</v>
      </c>
      <c r="BR440" s="18" t="s">
        <v>139</v>
      </c>
      <c r="BS440" s="18" t="s">
        <v>8074</v>
      </c>
      <c r="BT440" s="18" t="s">
        <v>10502</v>
      </c>
      <c r="BU440" s="18" t="s">
        <v>496</v>
      </c>
      <c r="BV440" s="18" t="str">
        <f>Terminales[[#This Row],[IMEI]]&amp;"SI"</f>
        <v>351084957811770SI</v>
      </c>
      <c r="BW440" s="18" t="str">
        <f>VLOOKUP(Terminales[[#This Row],[OFICINA_USUARIO]],[1]!Locales[#Data],3,0)</f>
        <v>TIENDA RECREO</v>
      </c>
      <c r="BX440" s="18" t="str">
        <f>VLOOKUP(Terminales[[#This Row],[USUARIO_FINAL]],'[1]Personal Ppto vs Real'!$A:$F,6,0)</f>
        <v>VARGAS REYES LUIS EDUARDO</v>
      </c>
      <c r="BY440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40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40" s="18">
        <f>DAY(Terminales[[#This Row],[FECHA_FACTURA]])</f>
        <v>14</v>
      </c>
      <c r="CB440" s="65">
        <f>IF(Terminales[[#This Row],[CANTIDAD]] = 1,INDEX([1]!Comisiones[#Data],MATCH("Terminales",[1]!Comisiones[Producto],0),MATCH(Terminales[[#This Row],[TIPO ALTA COMISIONES]],[1]!Comisiones[#Headers],0))*Terminales[[#This Row],[MONTO]],0)</f>
        <v>14.464286000000001</v>
      </c>
      <c r="CC440" s="65">
        <f>IFERROR(IF(AND(Terminales[[#This Row],[CANTIDAD]] = 1,Terminales[[#This Row],[MOVIMIENTO]] = "RENOVACION"),Terminales[[#This Row],[TARIFA_BASICA]]*0.5,),)</f>
        <v>0</v>
      </c>
      <c r="CD440" s="65">
        <f>IF('[1]Resumen TM'!$AW$20 &lt; 0.4,0,Terminales[[#This Row],[MONTO]]*0.02)</f>
        <v>2.8928572000000004</v>
      </c>
      <c r="CE440" s="66">
        <f>Terminales[[#This Row],[COMISIONES TERMINALES]]+Terminales[[#This Row],[COMISIONES RENOVACIONES]]+Terminales[[#This Row],[COMISIONES BONO]]</f>
        <v>17.357143200000003</v>
      </c>
      <c r="CF440" s="67">
        <f>(Terminales[[#This Row],[COMISIONES TERMINALES]]*VLOOKUP(Terminales[[#This Row],[LOCALES]],[1]!Calendario[#Data],3,0))/VLOOKUP(Terminales[[#This Row],[LOCALES]],[1]!Calendario[#Data],2,0)</f>
        <v>23.796083419354844</v>
      </c>
      <c r="CG440" s="67">
        <f>(Terminales[[#This Row],[COMISIONES RENOVACIONES]]*VLOOKUP(Terminales[[#This Row],[LOCALES]],[1]!Calendario[#Data],3,0))/VLOOKUP(Terminales[[#This Row],[LOCALES]],[1]!Calendario[#Data],2,0)</f>
        <v>0</v>
      </c>
      <c r="CH440" s="67">
        <f>(Terminales[[#This Row],[COMISIONES BONO]]*VLOOKUP(Terminales[[#This Row],[LOCALES]],[1]!Calendario[#Data],3,0))/VLOOKUP(Terminales[[#This Row],[LOCALES]],[1]!Calendario[#Data],2,0)</f>
        <v>4.7592166838709682</v>
      </c>
      <c r="CI440" s="67">
        <f>Terminales[[#This Row],[PROY. COM. TERMINALES]]+Terminales[[#This Row],[PROY. COM. RENOV.]]+Terminales[[#This Row],[PROY. COM. 2%]]</f>
        <v>28.555300103225811</v>
      </c>
    </row>
    <row r="441" spans="1:87" x14ac:dyDescent="0.25">
      <c r="A441" s="68">
        <v>44926</v>
      </c>
      <c r="B441" s="68">
        <v>44910</v>
      </c>
      <c r="C441" s="18" t="s">
        <v>96</v>
      </c>
      <c r="D441" s="18" t="s">
        <v>96</v>
      </c>
      <c r="E441" s="18" t="s">
        <v>96</v>
      </c>
      <c r="F441" s="18" t="s">
        <v>95</v>
      </c>
      <c r="G441" s="18" t="s">
        <v>292</v>
      </c>
      <c r="H441" s="18" t="s">
        <v>494</v>
      </c>
      <c r="I441" s="18" t="s">
        <v>10644</v>
      </c>
      <c r="J441" s="18" t="s">
        <v>95</v>
      </c>
      <c r="K441" s="18" t="s">
        <v>7970</v>
      </c>
      <c r="L441" s="18" t="s">
        <v>10496</v>
      </c>
      <c r="M441" s="18" t="s">
        <v>10497</v>
      </c>
      <c r="N441" s="18" t="s">
        <v>10498</v>
      </c>
      <c r="O441" s="18" t="s">
        <v>6467</v>
      </c>
      <c r="P441" s="18" t="s">
        <v>10645</v>
      </c>
      <c r="Q441" s="18" t="s">
        <v>7975</v>
      </c>
      <c r="R441" s="18" t="s">
        <v>7976</v>
      </c>
      <c r="S441" s="18" t="s">
        <v>8045</v>
      </c>
      <c r="T441" s="18" t="s">
        <v>8331</v>
      </c>
      <c r="U441" s="18" t="s">
        <v>7996</v>
      </c>
      <c r="V441" s="18" t="s">
        <v>6963</v>
      </c>
      <c r="W441" s="18" t="s">
        <v>95</v>
      </c>
      <c r="X441" s="18" t="s">
        <v>95</v>
      </c>
      <c r="Y441" s="18" t="s">
        <v>7980</v>
      </c>
      <c r="Z441" s="18" t="s">
        <v>6996</v>
      </c>
      <c r="AA441" s="69">
        <v>1</v>
      </c>
      <c r="AB441" s="18">
        <v>113.39286</v>
      </c>
      <c r="AC441" s="18" t="s">
        <v>10646</v>
      </c>
      <c r="AD441" s="18" t="s">
        <v>96</v>
      </c>
      <c r="AE441" s="18">
        <v>91</v>
      </c>
      <c r="AF441" s="18" t="s">
        <v>7983</v>
      </c>
      <c r="AG441" s="18">
        <v>91</v>
      </c>
      <c r="AH441" s="18" t="s">
        <v>95</v>
      </c>
      <c r="AI441" s="18" t="s">
        <v>95</v>
      </c>
      <c r="AJ441" s="18" t="s">
        <v>95</v>
      </c>
      <c r="AK441" s="18" t="s">
        <v>95</v>
      </c>
      <c r="AL441" s="18" t="s">
        <v>95</v>
      </c>
      <c r="AM441" s="18" t="s">
        <v>95</v>
      </c>
      <c r="AN441" s="18" t="s">
        <v>7984</v>
      </c>
      <c r="AO441" s="18" t="s">
        <v>92</v>
      </c>
      <c r="AP441" s="18" t="s">
        <v>1020</v>
      </c>
      <c r="AQ441" s="18" t="s">
        <v>1021</v>
      </c>
      <c r="AR441" s="18" t="s">
        <v>10501</v>
      </c>
      <c r="AS441" s="18">
        <v>1</v>
      </c>
      <c r="AT441" s="18" t="s">
        <v>91</v>
      </c>
      <c r="AU441" s="18" t="s">
        <v>90</v>
      </c>
      <c r="AV441" s="18" t="s">
        <v>8333</v>
      </c>
      <c r="AW441" s="18" t="s">
        <v>8334</v>
      </c>
      <c r="AX441" s="18" t="s">
        <v>83</v>
      </c>
      <c r="AY441" s="18" t="s">
        <v>95</v>
      </c>
      <c r="AZ441" s="18" t="s">
        <v>95</v>
      </c>
      <c r="BA441" s="18" t="s">
        <v>95</v>
      </c>
      <c r="BB441" s="18" t="s">
        <v>95</v>
      </c>
      <c r="BC441" s="18" t="s">
        <v>95</v>
      </c>
      <c r="BD441" s="18" t="s">
        <v>95</v>
      </c>
      <c r="BE441" s="18" t="s">
        <v>95</v>
      </c>
      <c r="BF441" s="18" t="s">
        <v>95</v>
      </c>
      <c r="BG441" s="18" t="s">
        <v>95</v>
      </c>
      <c r="BH441" s="18" t="s">
        <v>95</v>
      </c>
      <c r="BI441" s="18">
        <v>12</v>
      </c>
      <c r="BJ441" s="18">
        <v>2022</v>
      </c>
      <c r="BK441" s="18" t="s">
        <v>95</v>
      </c>
      <c r="BL441" s="18" t="s">
        <v>95</v>
      </c>
      <c r="BM441" s="18" t="s">
        <v>95</v>
      </c>
      <c r="BN441" s="18" t="s">
        <v>85</v>
      </c>
      <c r="BO441" s="18" t="s">
        <v>86</v>
      </c>
      <c r="BP441" s="18" t="s">
        <v>90</v>
      </c>
      <c r="BQ441" s="18" t="s">
        <v>8106</v>
      </c>
      <c r="BR441" s="18" t="s">
        <v>92</v>
      </c>
      <c r="BS441" s="18" t="s">
        <v>8074</v>
      </c>
      <c r="BT441" s="18" t="s">
        <v>10502</v>
      </c>
      <c r="BU441" s="18" t="s">
        <v>496</v>
      </c>
      <c r="BV441" s="18" t="str">
        <f>Terminales[[#This Row],[IMEI]]&amp;"SI"</f>
        <v>352286990937749SI</v>
      </c>
      <c r="BW441" s="18" t="str">
        <f>VLOOKUP(Terminales[[#This Row],[OFICINA_USUARIO]],[1]!Locales[#Data],3,0)</f>
        <v>TIENDA CUENCA CENTRO</v>
      </c>
      <c r="BX441" s="18" t="str">
        <f>VLOOKUP(Terminales[[#This Row],[USUARIO_FINAL]],'[1]Personal Ppto vs Real'!$A:$F,6,0)</f>
        <v>GONZALES ALVARRACIN PAOLA YESSENIA</v>
      </c>
      <c r="BY441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41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41" s="18">
        <f>DAY(Terminales[[#This Row],[FECHA_FACTURA]])</f>
        <v>15</v>
      </c>
      <c r="CB441" s="65">
        <f>IF(Terminales[[#This Row],[CANTIDAD]] = 1,INDEX([1]!Comisiones[#Data],MATCH("Terminales",[1]!Comisiones[Producto],0),MATCH(Terminales[[#This Row],[TIPO ALTA COMISIONES]],[1]!Comisiones[#Headers],0))*Terminales[[#This Row],[MONTO]],0)</f>
        <v>11.339286000000001</v>
      </c>
      <c r="CC441" s="65">
        <f>IFERROR(IF(AND(Terminales[[#This Row],[CANTIDAD]] = 1,Terminales[[#This Row],[MOVIMIENTO]] = "RENOVACION"),Terminales[[#This Row],[TARIFA_BASICA]]*0.5,),)</f>
        <v>0</v>
      </c>
      <c r="CD441" s="65">
        <f>IF('[1]Resumen TM'!$AW$20 &lt; 0.4,0,Terminales[[#This Row],[MONTO]]*0.02)</f>
        <v>2.2678571999999999</v>
      </c>
      <c r="CE441" s="66">
        <f>Terminales[[#This Row],[COMISIONES TERMINALES]]+Terminales[[#This Row],[COMISIONES RENOVACIONES]]+Terminales[[#This Row],[COMISIONES BONO]]</f>
        <v>13.607143200000001</v>
      </c>
      <c r="CF441" s="67">
        <f>(Terminales[[#This Row],[COMISIONES TERMINALES]]*VLOOKUP(Terminales[[#This Row],[LOCALES]],[1]!Calendario[#Data],3,0))/VLOOKUP(Terminales[[#This Row],[LOCALES]],[1]!Calendario[#Data],2,0)</f>
        <v>18.377463517241381</v>
      </c>
      <c r="CG441" s="67">
        <f>(Terminales[[#This Row],[COMISIONES RENOVACIONES]]*VLOOKUP(Terminales[[#This Row],[LOCALES]],[1]!Calendario[#Data],3,0))/VLOOKUP(Terminales[[#This Row],[LOCALES]],[1]!Calendario[#Data],2,0)</f>
        <v>0</v>
      </c>
      <c r="CH441" s="67">
        <f>(Terminales[[#This Row],[COMISIONES BONO]]*VLOOKUP(Terminales[[#This Row],[LOCALES]],[1]!Calendario[#Data],3,0))/VLOOKUP(Terminales[[#This Row],[LOCALES]],[1]!Calendario[#Data],2,0)</f>
        <v>3.6754927034482758</v>
      </c>
      <c r="CI441" s="67">
        <f>Terminales[[#This Row],[PROY. COM. TERMINALES]]+Terminales[[#This Row],[PROY. COM. RENOV.]]+Terminales[[#This Row],[PROY. COM. 2%]]</f>
        <v>22.052956220689659</v>
      </c>
    </row>
    <row r="442" spans="1:87" x14ac:dyDescent="0.25">
      <c r="A442" s="68">
        <v>44926</v>
      </c>
      <c r="B442" s="68">
        <v>44910</v>
      </c>
      <c r="C442" s="18" t="s">
        <v>96</v>
      </c>
      <c r="D442" s="18" t="s">
        <v>96</v>
      </c>
      <c r="E442" s="18" t="s">
        <v>96</v>
      </c>
      <c r="F442" s="18" t="s">
        <v>95</v>
      </c>
      <c r="G442" s="18" t="s">
        <v>292</v>
      </c>
      <c r="H442" s="18" t="s">
        <v>494</v>
      </c>
      <c r="I442" s="18" t="s">
        <v>10647</v>
      </c>
      <c r="J442" s="18" t="s">
        <v>95</v>
      </c>
      <c r="K442" s="18" t="s">
        <v>7970</v>
      </c>
      <c r="L442" s="18" t="s">
        <v>10496</v>
      </c>
      <c r="M442" s="18" t="s">
        <v>10497</v>
      </c>
      <c r="N442" s="18" t="s">
        <v>10498</v>
      </c>
      <c r="O442" s="18" t="s">
        <v>4380</v>
      </c>
      <c r="P442" s="18" t="s">
        <v>10648</v>
      </c>
      <c r="Q442" s="18" t="s">
        <v>7975</v>
      </c>
      <c r="R442" s="18" t="s">
        <v>7976</v>
      </c>
      <c r="S442" s="18" t="s">
        <v>7994</v>
      </c>
      <c r="T442" s="18" t="s">
        <v>7995</v>
      </c>
      <c r="U442" s="18" t="s">
        <v>7996</v>
      </c>
      <c r="V442" s="18" t="s">
        <v>6963</v>
      </c>
      <c r="W442" s="18" t="s">
        <v>95</v>
      </c>
      <c r="X442" s="18" t="s">
        <v>95</v>
      </c>
      <c r="Y442" s="18" t="s">
        <v>7980</v>
      </c>
      <c r="Z442" s="18" t="s">
        <v>6996</v>
      </c>
      <c r="AA442" s="69">
        <v>1</v>
      </c>
      <c r="AB442" s="18">
        <v>116.07143000000001</v>
      </c>
      <c r="AC442" s="18" t="s">
        <v>10649</v>
      </c>
      <c r="AD442" s="18" t="s">
        <v>96</v>
      </c>
      <c r="AE442" s="18">
        <v>102</v>
      </c>
      <c r="AF442" s="18" t="s">
        <v>7983</v>
      </c>
      <c r="AG442" s="18">
        <v>102</v>
      </c>
      <c r="AH442" s="18" t="s">
        <v>95</v>
      </c>
      <c r="AI442" s="18" t="s">
        <v>95</v>
      </c>
      <c r="AJ442" s="18" t="s">
        <v>95</v>
      </c>
      <c r="AK442" s="18" t="s">
        <v>95</v>
      </c>
      <c r="AL442" s="18" t="s">
        <v>95</v>
      </c>
      <c r="AM442" s="18" t="s">
        <v>95</v>
      </c>
      <c r="AN442" s="18" t="s">
        <v>7984</v>
      </c>
      <c r="AO442" s="18" t="s">
        <v>92</v>
      </c>
      <c r="AP442" s="18" t="s">
        <v>242</v>
      </c>
      <c r="AQ442" s="18" t="s">
        <v>243</v>
      </c>
      <c r="AR442" s="18" t="s">
        <v>10501</v>
      </c>
      <c r="AS442" s="18">
        <v>1</v>
      </c>
      <c r="AT442" s="18" t="s">
        <v>91</v>
      </c>
      <c r="AU442" s="18" t="s">
        <v>90</v>
      </c>
      <c r="AV442" s="18" t="s">
        <v>7998</v>
      </c>
      <c r="AW442" s="18" t="s">
        <v>7999</v>
      </c>
      <c r="AX442" s="18" t="s">
        <v>83</v>
      </c>
      <c r="AY442" s="18" t="s">
        <v>95</v>
      </c>
      <c r="AZ442" s="18" t="s">
        <v>95</v>
      </c>
      <c r="BA442" s="18" t="s">
        <v>95</v>
      </c>
      <c r="BB442" s="18" t="s">
        <v>95</v>
      </c>
      <c r="BC442" s="18" t="s">
        <v>95</v>
      </c>
      <c r="BD442" s="18" t="s">
        <v>95</v>
      </c>
      <c r="BE442" s="18" t="s">
        <v>95</v>
      </c>
      <c r="BF442" s="18" t="s">
        <v>95</v>
      </c>
      <c r="BG442" s="18" t="s">
        <v>95</v>
      </c>
      <c r="BH442" s="18" t="s">
        <v>95</v>
      </c>
      <c r="BI442" s="18">
        <v>12</v>
      </c>
      <c r="BJ442" s="18">
        <v>2022</v>
      </c>
      <c r="BK442" s="18" t="s">
        <v>95</v>
      </c>
      <c r="BL442" s="18" t="s">
        <v>95</v>
      </c>
      <c r="BM442" s="18" t="s">
        <v>95</v>
      </c>
      <c r="BN442" s="18" t="s">
        <v>85</v>
      </c>
      <c r="BO442" s="18" t="s">
        <v>86</v>
      </c>
      <c r="BP442" s="18" t="s">
        <v>90</v>
      </c>
      <c r="BQ442" s="18" t="s">
        <v>8106</v>
      </c>
      <c r="BR442" s="18" t="s">
        <v>92</v>
      </c>
      <c r="BS442" s="18" t="s">
        <v>8074</v>
      </c>
      <c r="BT442" s="18" t="s">
        <v>10502</v>
      </c>
      <c r="BU442" s="18" t="s">
        <v>496</v>
      </c>
      <c r="BV442" s="18" t="str">
        <f>Terminales[[#This Row],[IMEI]]&amp;"SI"</f>
        <v>357321213172082SI</v>
      </c>
      <c r="BW442" s="18" t="str">
        <f>VLOOKUP(Terminales[[#This Row],[OFICINA_USUARIO]],[1]!Locales[#Data],3,0)</f>
        <v>TIENDA CUENCA CENTRO</v>
      </c>
      <c r="BX442" s="18" t="str">
        <f>VLOOKUP(Terminales[[#This Row],[USUARIO_FINAL]],'[1]Personal Ppto vs Real'!$A:$F,6,0)</f>
        <v>VALLEJO DELEG ROMAN NICOLAS</v>
      </c>
      <c r="BY442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42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42" s="18">
        <f>DAY(Terminales[[#This Row],[FECHA_FACTURA]])</f>
        <v>15</v>
      </c>
      <c r="CB442" s="65">
        <f>IF(Terminales[[#This Row],[CANTIDAD]] = 1,INDEX([1]!Comisiones[#Data],MATCH("Terminales",[1]!Comisiones[Producto],0),MATCH(Terminales[[#This Row],[TIPO ALTA COMISIONES]],[1]!Comisiones[#Headers],0))*Terminales[[#This Row],[MONTO]],0)</f>
        <v>11.607143000000001</v>
      </c>
      <c r="CC442" s="65">
        <f>IFERROR(IF(AND(Terminales[[#This Row],[CANTIDAD]] = 1,Terminales[[#This Row],[MOVIMIENTO]] = "RENOVACION"),Terminales[[#This Row],[TARIFA_BASICA]]*0.5,),)</f>
        <v>0</v>
      </c>
      <c r="CD442" s="65">
        <f>IF('[1]Resumen TM'!$AW$20 &lt; 0.4,0,Terminales[[#This Row],[MONTO]]*0.02)</f>
        <v>2.3214286000000004</v>
      </c>
      <c r="CE442" s="66">
        <f>Terminales[[#This Row],[COMISIONES TERMINALES]]+Terminales[[#This Row],[COMISIONES RENOVACIONES]]+Terminales[[#This Row],[COMISIONES BONO]]</f>
        <v>13.928571600000001</v>
      </c>
      <c r="CF442" s="67">
        <f>(Terminales[[#This Row],[COMISIONES TERMINALES]]*VLOOKUP(Terminales[[#This Row],[LOCALES]],[1]!Calendario[#Data],3,0))/VLOOKUP(Terminales[[#This Row],[LOCALES]],[1]!Calendario[#Data],2,0)</f>
        <v>18.8115765862069</v>
      </c>
      <c r="CG442" s="67">
        <f>(Terminales[[#This Row],[COMISIONES RENOVACIONES]]*VLOOKUP(Terminales[[#This Row],[LOCALES]],[1]!Calendario[#Data],3,0))/VLOOKUP(Terminales[[#This Row],[LOCALES]],[1]!Calendario[#Data],2,0)</f>
        <v>0</v>
      </c>
      <c r="CH442" s="67">
        <f>(Terminales[[#This Row],[COMISIONES BONO]]*VLOOKUP(Terminales[[#This Row],[LOCALES]],[1]!Calendario[#Data],3,0))/VLOOKUP(Terminales[[#This Row],[LOCALES]],[1]!Calendario[#Data],2,0)</f>
        <v>3.7623153172413799</v>
      </c>
      <c r="CI442" s="67">
        <f>Terminales[[#This Row],[PROY. COM. TERMINALES]]+Terminales[[#This Row],[PROY. COM. RENOV.]]+Terminales[[#This Row],[PROY. COM. 2%]]</f>
        <v>22.573891903448281</v>
      </c>
    </row>
    <row r="443" spans="1:87" x14ac:dyDescent="0.25">
      <c r="A443" s="68">
        <v>44926</v>
      </c>
      <c r="B443" s="68">
        <v>44910</v>
      </c>
      <c r="C443" s="18" t="s">
        <v>96</v>
      </c>
      <c r="D443" s="18" t="s">
        <v>96</v>
      </c>
      <c r="E443" s="18" t="s">
        <v>96</v>
      </c>
      <c r="F443" s="18" t="s">
        <v>95</v>
      </c>
      <c r="G443" s="18" t="s">
        <v>292</v>
      </c>
      <c r="H443" s="18" t="s">
        <v>494</v>
      </c>
      <c r="I443" s="18" t="s">
        <v>10650</v>
      </c>
      <c r="J443" s="18" t="s">
        <v>95</v>
      </c>
      <c r="K443" s="18" t="s">
        <v>7970</v>
      </c>
      <c r="L443" s="18" t="s">
        <v>10496</v>
      </c>
      <c r="M443" s="18" t="s">
        <v>10497</v>
      </c>
      <c r="N443" s="18" t="s">
        <v>10498</v>
      </c>
      <c r="O443" s="18" t="s">
        <v>4380</v>
      </c>
      <c r="P443" s="18" t="s">
        <v>10651</v>
      </c>
      <c r="Q443" s="18" t="s">
        <v>7975</v>
      </c>
      <c r="R443" s="18" t="s">
        <v>7976</v>
      </c>
      <c r="S443" s="18" t="s">
        <v>7994</v>
      </c>
      <c r="T443" s="18" t="s">
        <v>7995</v>
      </c>
      <c r="U443" s="18" t="s">
        <v>7996</v>
      </c>
      <c r="V443" s="18" t="s">
        <v>6963</v>
      </c>
      <c r="W443" s="18" t="s">
        <v>95</v>
      </c>
      <c r="X443" s="18" t="s">
        <v>95</v>
      </c>
      <c r="Y443" s="18" t="s">
        <v>7980</v>
      </c>
      <c r="Z443" s="18" t="s">
        <v>6996</v>
      </c>
      <c r="AA443" s="69">
        <v>1</v>
      </c>
      <c r="AB443" s="18">
        <v>116.07143000000001</v>
      </c>
      <c r="AC443" s="18" t="s">
        <v>10652</v>
      </c>
      <c r="AD443" s="18" t="s">
        <v>96</v>
      </c>
      <c r="AE443" s="18">
        <v>102</v>
      </c>
      <c r="AF443" s="18" t="s">
        <v>7983</v>
      </c>
      <c r="AG443" s="18">
        <v>102</v>
      </c>
      <c r="AH443" s="18" t="s">
        <v>95</v>
      </c>
      <c r="AI443" s="18" t="s">
        <v>95</v>
      </c>
      <c r="AJ443" s="18" t="s">
        <v>95</v>
      </c>
      <c r="AK443" s="18" t="s">
        <v>95</v>
      </c>
      <c r="AL443" s="18" t="s">
        <v>95</v>
      </c>
      <c r="AM443" s="18" t="s">
        <v>95</v>
      </c>
      <c r="AN443" s="18" t="s">
        <v>7984</v>
      </c>
      <c r="AO443" s="18" t="s">
        <v>92</v>
      </c>
      <c r="AP443" s="18" t="s">
        <v>880</v>
      </c>
      <c r="AQ443" s="18" t="s">
        <v>881</v>
      </c>
      <c r="AR443" s="18" t="s">
        <v>10501</v>
      </c>
      <c r="AS443" s="18">
        <v>1</v>
      </c>
      <c r="AT443" s="18" t="s">
        <v>91</v>
      </c>
      <c r="AU443" s="18" t="s">
        <v>90</v>
      </c>
      <c r="AV443" s="18" t="s">
        <v>7998</v>
      </c>
      <c r="AW443" s="18" t="s">
        <v>7999</v>
      </c>
      <c r="AX443" s="18" t="s">
        <v>83</v>
      </c>
      <c r="AY443" s="18" t="s">
        <v>95</v>
      </c>
      <c r="AZ443" s="18" t="s">
        <v>95</v>
      </c>
      <c r="BA443" s="18" t="s">
        <v>95</v>
      </c>
      <c r="BB443" s="18" t="s">
        <v>95</v>
      </c>
      <c r="BC443" s="18" t="s">
        <v>95</v>
      </c>
      <c r="BD443" s="18" t="s">
        <v>95</v>
      </c>
      <c r="BE443" s="18" t="s">
        <v>95</v>
      </c>
      <c r="BF443" s="18" t="s">
        <v>95</v>
      </c>
      <c r="BG443" s="18" t="s">
        <v>95</v>
      </c>
      <c r="BH443" s="18" t="s">
        <v>95</v>
      </c>
      <c r="BI443" s="18">
        <v>12</v>
      </c>
      <c r="BJ443" s="18">
        <v>2022</v>
      </c>
      <c r="BK443" s="18" t="s">
        <v>95</v>
      </c>
      <c r="BL443" s="18" t="s">
        <v>95</v>
      </c>
      <c r="BM443" s="18" t="s">
        <v>95</v>
      </c>
      <c r="BN443" s="18" t="s">
        <v>85</v>
      </c>
      <c r="BO443" s="18" t="s">
        <v>86</v>
      </c>
      <c r="BP443" s="18" t="s">
        <v>90</v>
      </c>
      <c r="BQ443" s="18" t="s">
        <v>8106</v>
      </c>
      <c r="BR443" s="18" t="s">
        <v>92</v>
      </c>
      <c r="BS443" s="18" t="s">
        <v>8074</v>
      </c>
      <c r="BT443" s="18" t="s">
        <v>10502</v>
      </c>
      <c r="BU443" s="18" t="s">
        <v>496</v>
      </c>
      <c r="BV443" s="18" t="str">
        <f>Terminales[[#This Row],[IMEI]]&amp;"SI"</f>
        <v>357321213160327SI</v>
      </c>
      <c r="BW443" s="18" t="str">
        <f>VLOOKUP(Terminales[[#This Row],[OFICINA_USUARIO]],[1]!Locales[#Data],3,0)</f>
        <v>TIENDA CUENCA CENTRO</v>
      </c>
      <c r="BX443" s="18" t="str">
        <f>VLOOKUP(Terminales[[#This Row],[USUARIO_FINAL]],'[1]Personal Ppto vs Real'!$A:$F,6,0)</f>
        <v>LUNA JACHO ANDREA GABRIELA</v>
      </c>
      <c r="BY443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43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43" s="18">
        <f>DAY(Terminales[[#This Row],[FECHA_FACTURA]])</f>
        <v>15</v>
      </c>
      <c r="CB443" s="65">
        <f>IF(Terminales[[#This Row],[CANTIDAD]] = 1,INDEX([1]!Comisiones[#Data],MATCH("Terminales",[1]!Comisiones[Producto],0),MATCH(Terminales[[#This Row],[TIPO ALTA COMISIONES]],[1]!Comisiones[#Headers],0))*Terminales[[#This Row],[MONTO]],0)</f>
        <v>11.607143000000001</v>
      </c>
      <c r="CC443" s="65">
        <f>IFERROR(IF(AND(Terminales[[#This Row],[CANTIDAD]] = 1,Terminales[[#This Row],[MOVIMIENTO]] = "RENOVACION"),Terminales[[#This Row],[TARIFA_BASICA]]*0.5,),)</f>
        <v>0</v>
      </c>
      <c r="CD443" s="65">
        <f>IF('[1]Resumen TM'!$AW$20 &lt; 0.4,0,Terminales[[#This Row],[MONTO]]*0.02)</f>
        <v>2.3214286000000004</v>
      </c>
      <c r="CE443" s="66">
        <f>Terminales[[#This Row],[COMISIONES TERMINALES]]+Terminales[[#This Row],[COMISIONES RENOVACIONES]]+Terminales[[#This Row],[COMISIONES BONO]]</f>
        <v>13.928571600000001</v>
      </c>
      <c r="CF443" s="67">
        <f>(Terminales[[#This Row],[COMISIONES TERMINALES]]*VLOOKUP(Terminales[[#This Row],[LOCALES]],[1]!Calendario[#Data],3,0))/VLOOKUP(Terminales[[#This Row],[LOCALES]],[1]!Calendario[#Data],2,0)</f>
        <v>18.8115765862069</v>
      </c>
      <c r="CG443" s="67">
        <f>(Terminales[[#This Row],[COMISIONES RENOVACIONES]]*VLOOKUP(Terminales[[#This Row],[LOCALES]],[1]!Calendario[#Data],3,0))/VLOOKUP(Terminales[[#This Row],[LOCALES]],[1]!Calendario[#Data],2,0)</f>
        <v>0</v>
      </c>
      <c r="CH443" s="67">
        <f>(Terminales[[#This Row],[COMISIONES BONO]]*VLOOKUP(Terminales[[#This Row],[LOCALES]],[1]!Calendario[#Data],3,0))/VLOOKUP(Terminales[[#This Row],[LOCALES]],[1]!Calendario[#Data],2,0)</f>
        <v>3.7623153172413799</v>
      </c>
      <c r="CI443" s="67">
        <f>Terminales[[#This Row],[PROY. COM. TERMINALES]]+Terminales[[#This Row],[PROY. COM. RENOV.]]+Terminales[[#This Row],[PROY. COM. 2%]]</f>
        <v>22.573891903448281</v>
      </c>
    </row>
    <row r="444" spans="1:87" x14ac:dyDescent="0.25">
      <c r="A444" s="68">
        <v>44926</v>
      </c>
      <c r="B444" s="68">
        <v>44911</v>
      </c>
      <c r="C444" s="18" t="s">
        <v>96</v>
      </c>
      <c r="D444" s="18" t="s">
        <v>96</v>
      </c>
      <c r="E444" s="18" t="s">
        <v>96</v>
      </c>
      <c r="F444" s="18" t="s">
        <v>95</v>
      </c>
      <c r="G444" s="18" t="s">
        <v>292</v>
      </c>
      <c r="H444" s="18" t="s">
        <v>494</v>
      </c>
      <c r="I444" s="18" t="s">
        <v>10653</v>
      </c>
      <c r="J444" s="18" t="s">
        <v>95</v>
      </c>
      <c r="K444" s="18" t="s">
        <v>7970</v>
      </c>
      <c r="L444" s="18" t="s">
        <v>10496</v>
      </c>
      <c r="M444" s="18" t="s">
        <v>10497</v>
      </c>
      <c r="N444" s="18" t="s">
        <v>10498</v>
      </c>
      <c r="O444" s="18" t="s">
        <v>4380</v>
      </c>
      <c r="P444" s="18" t="s">
        <v>10654</v>
      </c>
      <c r="Q444" s="18" t="s">
        <v>7975</v>
      </c>
      <c r="R444" s="18" t="s">
        <v>7976</v>
      </c>
      <c r="S444" s="18" t="s">
        <v>7994</v>
      </c>
      <c r="T444" s="18" t="s">
        <v>7995</v>
      </c>
      <c r="U444" s="18" t="s">
        <v>7996</v>
      </c>
      <c r="V444" s="18" t="s">
        <v>6963</v>
      </c>
      <c r="W444" s="18" t="s">
        <v>95</v>
      </c>
      <c r="X444" s="18" t="s">
        <v>95</v>
      </c>
      <c r="Y444" s="18" t="s">
        <v>7980</v>
      </c>
      <c r="Z444" s="18" t="s">
        <v>6996</v>
      </c>
      <c r="AA444" s="69">
        <v>1</v>
      </c>
      <c r="AB444" s="18">
        <v>116.07143000000001</v>
      </c>
      <c r="AC444" s="18" t="s">
        <v>10655</v>
      </c>
      <c r="AD444" s="18" t="s">
        <v>96</v>
      </c>
      <c r="AE444" s="18">
        <v>102</v>
      </c>
      <c r="AF444" s="18" t="s">
        <v>7983</v>
      </c>
      <c r="AG444" s="18">
        <v>102</v>
      </c>
      <c r="AH444" s="18" t="s">
        <v>95</v>
      </c>
      <c r="AI444" s="18" t="s">
        <v>95</v>
      </c>
      <c r="AJ444" s="18" t="s">
        <v>95</v>
      </c>
      <c r="AK444" s="18" t="s">
        <v>95</v>
      </c>
      <c r="AL444" s="18" t="s">
        <v>95</v>
      </c>
      <c r="AM444" s="18" t="s">
        <v>95</v>
      </c>
      <c r="AN444" s="18" t="s">
        <v>7984</v>
      </c>
      <c r="AO444" s="18" t="s">
        <v>92</v>
      </c>
      <c r="AP444" s="18" t="s">
        <v>1043</v>
      </c>
      <c r="AQ444" s="18" t="s">
        <v>1044</v>
      </c>
      <c r="AR444" s="18" t="s">
        <v>10501</v>
      </c>
      <c r="AS444" s="18">
        <v>1</v>
      </c>
      <c r="AT444" s="18" t="s">
        <v>122</v>
      </c>
      <c r="AU444" s="18" t="s">
        <v>90</v>
      </c>
      <c r="AV444" s="18" t="s">
        <v>7998</v>
      </c>
      <c r="AW444" s="18" t="s">
        <v>7999</v>
      </c>
      <c r="AX444" s="18" t="s">
        <v>83</v>
      </c>
      <c r="AY444" s="18" t="s">
        <v>95</v>
      </c>
      <c r="AZ444" s="18" t="s">
        <v>95</v>
      </c>
      <c r="BA444" s="18" t="s">
        <v>95</v>
      </c>
      <c r="BB444" s="18" t="s">
        <v>95</v>
      </c>
      <c r="BC444" s="18" t="s">
        <v>95</v>
      </c>
      <c r="BD444" s="18" t="s">
        <v>95</v>
      </c>
      <c r="BE444" s="18" t="s">
        <v>95</v>
      </c>
      <c r="BF444" s="18" t="s">
        <v>95</v>
      </c>
      <c r="BG444" s="18" t="s">
        <v>95</v>
      </c>
      <c r="BH444" s="18" t="s">
        <v>95</v>
      </c>
      <c r="BI444" s="18">
        <v>12</v>
      </c>
      <c r="BJ444" s="18">
        <v>2022</v>
      </c>
      <c r="BK444" s="18" t="s">
        <v>95</v>
      </c>
      <c r="BL444" s="18" t="s">
        <v>95</v>
      </c>
      <c r="BM444" s="18" t="s">
        <v>95</v>
      </c>
      <c r="BN444" s="18" t="s">
        <v>85</v>
      </c>
      <c r="BO444" s="18" t="s">
        <v>86</v>
      </c>
      <c r="BP444" s="18" t="s">
        <v>90</v>
      </c>
      <c r="BQ444" s="18" t="s">
        <v>8050</v>
      </c>
      <c r="BR444" s="18" t="s">
        <v>92</v>
      </c>
      <c r="BS444" s="18" t="s">
        <v>8074</v>
      </c>
      <c r="BT444" s="18" t="s">
        <v>10502</v>
      </c>
      <c r="BU444" s="18" t="s">
        <v>496</v>
      </c>
      <c r="BV444" s="18" t="str">
        <f>Terminales[[#This Row],[IMEI]]&amp;"SI"</f>
        <v>357321213139503SI</v>
      </c>
      <c r="BW444" s="18" t="str">
        <f>VLOOKUP(Terminales[[#This Row],[OFICINA_USUARIO]],[1]!Locales[#Data],3,0)</f>
        <v>TIENDA MACHALA</v>
      </c>
      <c r="BX444" s="18" t="str">
        <f>VLOOKUP(Terminales[[#This Row],[USUARIO_FINAL]],'[1]Personal Ppto vs Real'!$A:$F,6,0)</f>
        <v>GONZAGA YUPANGUI LIZBETH KATHERINE</v>
      </c>
      <c r="BY444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44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44" s="18">
        <f>DAY(Terminales[[#This Row],[FECHA_FACTURA]])</f>
        <v>16</v>
      </c>
      <c r="CB444" s="65">
        <f>IF(Terminales[[#This Row],[CANTIDAD]] = 1,INDEX([1]!Comisiones[#Data],MATCH("Terminales",[1]!Comisiones[Producto],0),MATCH(Terminales[[#This Row],[TIPO ALTA COMISIONES]],[1]!Comisiones[#Headers],0))*Terminales[[#This Row],[MONTO]],0)</f>
        <v>11.607143000000001</v>
      </c>
      <c r="CC444" s="65">
        <f>IFERROR(IF(AND(Terminales[[#This Row],[CANTIDAD]] = 1,Terminales[[#This Row],[MOVIMIENTO]] = "RENOVACION"),Terminales[[#This Row],[TARIFA_BASICA]]*0.5,),)</f>
        <v>0</v>
      </c>
      <c r="CD444" s="65">
        <f>IF('[1]Resumen TM'!$AW$20 &lt; 0.4,0,Terminales[[#This Row],[MONTO]]*0.02)</f>
        <v>2.3214286000000004</v>
      </c>
      <c r="CE444" s="66">
        <f>Terminales[[#This Row],[COMISIONES TERMINALES]]+Terminales[[#This Row],[COMISIONES RENOVACIONES]]+Terminales[[#This Row],[COMISIONES BONO]]</f>
        <v>13.928571600000001</v>
      </c>
      <c r="CF444" s="67">
        <f>(Terminales[[#This Row],[COMISIONES TERMINALES]]*VLOOKUP(Terminales[[#This Row],[LOCALES]],[1]!Calendario[#Data],3,0))/VLOOKUP(Terminales[[#This Row],[LOCALES]],[1]!Calendario[#Data],2,0)</f>
        <v>18.8115765862069</v>
      </c>
      <c r="CG444" s="67">
        <f>(Terminales[[#This Row],[COMISIONES RENOVACIONES]]*VLOOKUP(Terminales[[#This Row],[LOCALES]],[1]!Calendario[#Data],3,0))/VLOOKUP(Terminales[[#This Row],[LOCALES]],[1]!Calendario[#Data],2,0)</f>
        <v>0</v>
      </c>
      <c r="CH444" s="67">
        <f>(Terminales[[#This Row],[COMISIONES BONO]]*VLOOKUP(Terminales[[#This Row],[LOCALES]],[1]!Calendario[#Data],3,0))/VLOOKUP(Terminales[[#This Row],[LOCALES]],[1]!Calendario[#Data],2,0)</f>
        <v>3.7623153172413799</v>
      </c>
      <c r="CI444" s="67">
        <f>Terminales[[#This Row],[PROY. COM. TERMINALES]]+Terminales[[#This Row],[PROY. COM. RENOV.]]+Terminales[[#This Row],[PROY. COM. 2%]]</f>
        <v>22.573891903448281</v>
      </c>
    </row>
    <row r="445" spans="1:87" x14ac:dyDescent="0.25">
      <c r="A445" s="68">
        <v>44926</v>
      </c>
      <c r="B445" s="68">
        <v>44911</v>
      </c>
      <c r="C445" s="18" t="s">
        <v>96</v>
      </c>
      <c r="D445" s="18" t="s">
        <v>96</v>
      </c>
      <c r="E445" s="18" t="s">
        <v>96</v>
      </c>
      <c r="F445" s="18" t="s">
        <v>95</v>
      </c>
      <c r="G445" s="18" t="s">
        <v>292</v>
      </c>
      <c r="H445" s="18" t="s">
        <v>494</v>
      </c>
      <c r="I445" s="18" t="s">
        <v>10656</v>
      </c>
      <c r="J445" s="18" t="s">
        <v>95</v>
      </c>
      <c r="K445" s="18" t="s">
        <v>7970</v>
      </c>
      <c r="L445" s="18" t="s">
        <v>10496</v>
      </c>
      <c r="M445" s="18" t="s">
        <v>10497</v>
      </c>
      <c r="N445" s="18" t="s">
        <v>10498</v>
      </c>
      <c r="O445" s="18" t="s">
        <v>9096</v>
      </c>
      <c r="P445" s="18" t="s">
        <v>10657</v>
      </c>
      <c r="Q445" s="18" t="s">
        <v>7975</v>
      </c>
      <c r="R445" s="18" t="s">
        <v>7976</v>
      </c>
      <c r="S445" s="18" t="s">
        <v>8045</v>
      </c>
      <c r="T445" s="18" t="s">
        <v>8129</v>
      </c>
      <c r="U445" s="18" t="s">
        <v>8012</v>
      </c>
      <c r="V445" s="18" t="s">
        <v>6963</v>
      </c>
      <c r="W445" s="18" t="s">
        <v>95</v>
      </c>
      <c r="X445" s="18" t="s">
        <v>95</v>
      </c>
      <c r="Y445" s="18" t="s">
        <v>7980</v>
      </c>
      <c r="Z445" s="18" t="s">
        <v>6996</v>
      </c>
      <c r="AA445" s="69">
        <v>1</v>
      </c>
      <c r="AB445" s="18">
        <v>225</v>
      </c>
      <c r="AC445" s="18" t="s">
        <v>10658</v>
      </c>
      <c r="AD445" s="18" t="s">
        <v>96</v>
      </c>
      <c r="AE445" s="18">
        <v>199.5</v>
      </c>
      <c r="AF445" s="18" t="s">
        <v>7983</v>
      </c>
      <c r="AG445" s="18">
        <v>199.5</v>
      </c>
      <c r="AH445" s="18" t="s">
        <v>95</v>
      </c>
      <c r="AI445" s="18" t="s">
        <v>95</v>
      </c>
      <c r="AJ445" s="18" t="s">
        <v>95</v>
      </c>
      <c r="AK445" s="18" t="s">
        <v>95</v>
      </c>
      <c r="AL445" s="18" t="s">
        <v>95</v>
      </c>
      <c r="AM445" s="18" t="s">
        <v>95</v>
      </c>
      <c r="AN445" s="18" t="s">
        <v>7984</v>
      </c>
      <c r="AO445" s="18" t="s">
        <v>92</v>
      </c>
      <c r="AP445" s="18" t="s">
        <v>88</v>
      </c>
      <c r="AQ445" s="18" t="s">
        <v>89</v>
      </c>
      <c r="AR445" s="18" t="s">
        <v>10501</v>
      </c>
      <c r="AS445" s="18">
        <v>1</v>
      </c>
      <c r="AT445" s="18" t="s">
        <v>91</v>
      </c>
      <c r="AU445" s="18" t="s">
        <v>90</v>
      </c>
      <c r="AV445" s="18" t="s">
        <v>9099</v>
      </c>
      <c r="AW445" s="18" t="s">
        <v>9100</v>
      </c>
      <c r="AX445" s="18" t="s">
        <v>83</v>
      </c>
      <c r="AY445" s="18" t="s">
        <v>95</v>
      </c>
      <c r="AZ445" s="18" t="s">
        <v>95</v>
      </c>
      <c r="BA445" s="18" t="s">
        <v>95</v>
      </c>
      <c r="BB445" s="18" t="s">
        <v>95</v>
      </c>
      <c r="BC445" s="18" t="s">
        <v>95</v>
      </c>
      <c r="BD445" s="18" t="s">
        <v>95</v>
      </c>
      <c r="BE445" s="18" t="s">
        <v>95</v>
      </c>
      <c r="BF445" s="18" t="s">
        <v>95</v>
      </c>
      <c r="BG445" s="18" t="s">
        <v>95</v>
      </c>
      <c r="BH445" s="18" t="s">
        <v>95</v>
      </c>
      <c r="BI445" s="18">
        <v>12</v>
      </c>
      <c r="BJ445" s="18">
        <v>2022</v>
      </c>
      <c r="BK445" s="18" t="s">
        <v>95</v>
      </c>
      <c r="BL445" s="18" t="s">
        <v>95</v>
      </c>
      <c r="BM445" s="18" t="s">
        <v>95</v>
      </c>
      <c r="BN445" s="18" t="s">
        <v>85</v>
      </c>
      <c r="BO445" s="18" t="s">
        <v>86</v>
      </c>
      <c r="BP445" s="18" t="s">
        <v>90</v>
      </c>
      <c r="BQ445" s="18" t="s">
        <v>8106</v>
      </c>
      <c r="BR445" s="18" t="s">
        <v>92</v>
      </c>
      <c r="BS445" s="18" t="s">
        <v>8074</v>
      </c>
      <c r="BT445" s="18" t="s">
        <v>10502</v>
      </c>
      <c r="BU445" s="18" t="s">
        <v>496</v>
      </c>
      <c r="BV445" s="18" t="str">
        <f>Terminales[[#This Row],[IMEI]]&amp;"SI"</f>
        <v>352460882788854SI</v>
      </c>
      <c r="BW445" s="18" t="str">
        <f>VLOOKUP(Terminales[[#This Row],[OFICINA_USUARIO]],[1]!Locales[#Data],3,0)</f>
        <v>TIENDA CUENCA CENTRO</v>
      </c>
      <c r="BX445" s="18" t="str">
        <f>VLOOKUP(Terminales[[#This Row],[USUARIO_FINAL]],'[1]Personal Ppto vs Real'!$A:$F,6,0)</f>
        <v>ANDRADE CONDO CHRISTIAN EDUARDO</v>
      </c>
      <c r="BY445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45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45" s="18">
        <f>DAY(Terminales[[#This Row],[FECHA_FACTURA]])</f>
        <v>16</v>
      </c>
      <c r="CB445" s="65">
        <f>IF(Terminales[[#This Row],[CANTIDAD]] = 1,INDEX([1]!Comisiones[#Data],MATCH("Terminales",[1]!Comisiones[Producto],0),MATCH(Terminales[[#This Row],[TIPO ALTA COMISIONES]],[1]!Comisiones[#Headers],0))*Terminales[[#This Row],[MONTO]],0)</f>
        <v>22.5</v>
      </c>
      <c r="CC445" s="65">
        <f>IFERROR(IF(AND(Terminales[[#This Row],[CANTIDAD]] = 1,Terminales[[#This Row],[MOVIMIENTO]] = "RENOVACION"),Terminales[[#This Row],[TARIFA_BASICA]]*0.5,),)</f>
        <v>0</v>
      </c>
      <c r="CD445" s="65">
        <f>IF('[1]Resumen TM'!$AW$20 &lt; 0.4,0,Terminales[[#This Row],[MONTO]]*0.02)</f>
        <v>4.5</v>
      </c>
      <c r="CE445" s="66">
        <f>Terminales[[#This Row],[COMISIONES TERMINALES]]+Terminales[[#This Row],[COMISIONES RENOVACIONES]]+Terminales[[#This Row],[COMISIONES BONO]]</f>
        <v>27</v>
      </c>
      <c r="CF445" s="67">
        <f>(Terminales[[#This Row],[COMISIONES TERMINALES]]*VLOOKUP(Terminales[[#This Row],[LOCALES]],[1]!Calendario[#Data],3,0))/VLOOKUP(Terminales[[#This Row],[LOCALES]],[1]!Calendario[#Data],2,0)</f>
        <v>36.46551724137931</v>
      </c>
      <c r="CG445" s="67">
        <f>(Terminales[[#This Row],[COMISIONES RENOVACIONES]]*VLOOKUP(Terminales[[#This Row],[LOCALES]],[1]!Calendario[#Data],3,0))/VLOOKUP(Terminales[[#This Row],[LOCALES]],[1]!Calendario[#Data],2,0)</f>
        <v>0</v>
      </c>
      <c r="CH445" s="67">
        <f>(Terminales[[#This Row],[COMISIONES BONO]]*VLOOKUP(Terminales[[#This Row],[LOCALES]],[1]!Calendario[#Data],3,0))/VLOOKUP(Terminales[[#This Row],[LOCALES]],[1]!Calendario[#Data],2,0)</f>
        <v>7.2931034482758621</v>
      </c>
      <c r="CI445" s="67">
        <f>Terminales[[#This Row],[PROY. COM. TERMINALES]]+Terminales[[#This Row],[PROY. COM. RENOV.]]+Terminales[[#This Row],[PROY. COM. 2%]]</f>
        <v>43.758620689655174</v>
      </c>
    </row>
    <row r="446" spans="1:87" x14ac:dyDescent="0.25">
      <c r="A446" s="68">
        <v>44926</v>
      </c>
      <c r="B446" s="68">
        <v>44911</v>
      </c>
      <c r="C446" s="18" t="s">
        <v>96</v>
      </c>
      <c r="D446" s="18" t="s">
        <v>96</v>
      </c>
      <c r="E446" s="18" t="s">
        <v>96</v>
      </c>
      <c r="F446" s="18" t="s">
        <v>95</v>
      </c>
      <c r="G446" s="18" t="s">
        <v>292</v>
      </c>
      <c r="H446" s="18" t="s">
        <v>494</v>
      </c>
      <c r="I446" s="18" t="s">
        <v>10659</v>
      </c>
      <c r="J446" s="18" t="s">
        <v>95</v>
      </c>
      <c r="K446" s="18" t="s">
        <v>7970</v>
      </c>
      <c r="L446" s="18" t="s">
        <v>10496</v>
      </c>
      <c r="M446" s="18" t="s">
        <v>10497</v>
      </c>
      <c r="N446" s="18" t="s">
        <v>10498</v>
      </c>
      <c r="O446" s="18" t="s">
        <v>4380</v>
      </c>
      <c r="P446" s="18" t="s">
        <v>10660</v>
      </c>
      <c r="Q446" s="18" t="s">
        <v>7975</v>
      </c>
      <c r="R446" s="18" t="s">
        <v>7976</v>
      </c>
      <c r="S446" s="18" t="s">
        <v>7994</v>
      </c>
      <c r="T446" s="18" t="s">
        <v>7995</v>
      </c>
      <c r="U446" s="18" t="s">
        <v>7996</v>
      </c>
      <c r="V446" s="18" t="s">
        <v>6963</v>
      </c>
      <c r="W446" s="18" t="s">
        <v>95</v>
      </c>
      <c r="X446" s="18" t="s">
        <v>95</v>
      </c>
      <c r="Y446" s="18" t="s">
        <v>7980</v>
      </c>
      <c r="Z446" s="18" t="s">
        <v>6996</v>
      </c>
      <c r="AA446" s="69">
        <v>1</v>
      </c>
      <c r="AB446" s="18">
        <v>116.07143000000001</v>
      </c>
      <c r="AC446" s="18" t="s">
        <v>10661</v>
      </c>
      <c r="AD446" s="18" t="s">
        <v>96</v>
      </c>
      <c r="AE446" s="18">
        <v>102</v>
      </c>
      <c r="AF446" s="18" t="s">
        <v>7983</v>
      </c>
      <c r="AG446" s="18">
        <v>102</v>
      </c>
      <c r="AH446" s="18" t="s">
        <v>95</v>
      </c>
      <c r="AI446" s="18" t="s">
        <v>95</v>
      </c>
      <c r="AJ446" s="18" t="s">
        <v>95</v>
      </c>
      <c r="AK446" s="18" t="s">
        <v>95</v>
      </c>
      <c r="AL446" s="18" t="s">
        <v>95</v>
      </c>
      <c r="AM446" s="18" t="s">
        <v>95</v>
      </c>
      <c r="AN446" s="18" t="s">
        <v>7984</v>
      </c>
      <c r="AO446" s="18" t="s">
        <v>92</v>
      </c>
      <c r="AP446" s="18" t="s">
        <v>1043</v>
      </c>
      <c r="AQ446" s="18" t="s">
        <v>1044</v>
      </c>
      <c r="AR446" s="18" t="s">
        <v>10501</v>
      </c>
      <c r="AS446" s="18">
        <v>1</v>
      </c>
      <c r="AT446" s="18" t="s">
        <v>122</v>
      </c>
      <c r="AU446" s="18" t="s">
        <v>90</v>
      </c>
      <c r="AV446" s="18" t="s">
        <v>7998</v>
      </c>
      <c r="AW446" s="18" t="s">
        <v>7999</v>
      </c>
      <c r="AX446" s="18" t="s">
        <v>83</v>
      </c>
      <c r="AY446" s="18" t="s">
        <v>95</v>
      </c>
      <c r="AZ446" s="18" t="s">
        <v>95</v>
      </c>
      <c r="BA446" s="18" t="s">
        <v>95</v>
      </c>
      <c r="BB446" s="18" t="s">
        <v>95</v>
      </c>
      <c r="BC446" s="18" t="s">
        <v>95</v>
      </c>
      <c r="BD446" s="18" t="s">
        <v>95</v>
      </c>
      <c r="BE446" s="18" t="s">
        <v>95</v>
      </c>
      <c r="BF446" s="18" t="s">
        <v>95</v>
      </c>
      <c r="BG446" s="18" t="s">
        <v>95</v>
      </c>
      <c r="BH446" s="18" t="s">
        <v>95</v>
      </c>
      <c r="BI446" s="18">
        <v>12</v>
      </c>
      <c r="BJ446" s="18">
        <v>2022</v>
      </c>
      <c r="BK446" s="18" t="s">
        <v>95</v>
      </c>
      <c r="BL446" s="18" t="s">
        <v>95</v>
      </c>
      <c r="BM446" s="18" t="s">
        <v>95</v>
      </c>
      <c r="BN446" s="18" t="s">
        <v>85</v>
      </c>
      <c r="BO446" s="18" t="s">
        <v>86</v>
      </c>
      <c r="BP446" s="18" t="s">
        <v>90</v>
      </c>
      <c r="BQ446" s="18" t="s">
        <v>8050</v>
      </c>
      <c r="BR446" s="18" t="s">
        <v>92</v>
      </c>
      <c r="BS446" s="18" t="s">
        <v>8074</v>
      </c>
      <c r="BT446" s="18" t="s">
        <v>10502</v>
      </c>
      <c r="BU446" s="18" t="s">
        <v>496</v>
      </c>
      <c r="BV446" s="18" t="str">
        <f>Terminales[[#This Row],[IMEI]]&amp;"SI"</f>
        <v>357321213172405SI</v>
      </c>
      <c r="BW446" s="18" t="str">
        <f>VLOOKUP(Terminales[[#This Row],[OFICINA_USUARIO]],[1]!Locales[#Data],3,0)</f>
        <v>TIENDA MACHALA</v>
      </c>
      <c r="BX446" s="18" t="str">
        <f>VLOOKUP(Terminales[[#This Row],[USUARIO_FINAL]],'[1]Personal Ppto vs Real'!$A:$F,6,0)</f>
        <v>GONZAGA YUPANGUI LIZBETH KATHERINE</v>
      </c>
      <c r="BY446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46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46" s="18">
        <f>DAY(Terminales[[#This Row],[FECHA_FACTURA]])</f>
        <v>16</v>
      </c>
      <c r="CB446" s="65">
        <f>IF(Terminales[[#This Row],[CANTIDAD]] = 1,INDEX([1]!Comisiones[#Data],MATCH("Terminales",[1]!Comisiones[Producto],0),MATCH(Terminales[[#This Row],[TIPO ALTA COMISIONES]],[1]!Comisiones[#Headers],0))*Terminales[[#This Row],[MONTO]],0)</f>
        <v>11.607143000000001</v>
      </c>
      <c r="CC446" s="65">
        <f>IFERROR(IF(AND(Terminales[[#This Row],[CANTIDAD]] = 1,Terminales[[#This Row],[MOVIMIENTO]] = "RENOVACION"),Terminales[[#This Row],[TARIFA_BASICA]]*0.5,),)</f>
        <v>0</v>
      </c>
      <c r="CD446" s="65">
        <f>IF('[1]Resumen TM'!$AW$20 &lt; 0.4,0,Terminales[[#This Row],[MONTO]]*0.02)</f>
        <v>2.3214286000000004</v>
      </c>
      <c r="CE446" s="66">
        <f>Terminales[[#This Row],[COMISIONES TERMINALES]]+Terminales[[#This Row],[COMISIONES RENOVACIONES]]+Terminales[[#This Row],[COMISIONES BONO]]</f>
        <v>13.928571600000001</v>
      </c>
      <c r="CF446" s="67">
        <f>(Terminales[[#This Row],[COMISIONES TERMINALES]]*VLOOKUP(Terminales[[#This Row],[LOCALES]],[1]!Calendario[#Data],3,0))/VLOOKUP(Terminales[[#This Row],[LOCALES]],[1]!Calendario[#Data],2,0)</f>
        <v>18.8115765862069</v>
      </c>
      <c r="CG446" s="67">
        <f>(Terminales[[#This Row],[COMISIONES RENOVACIONES]]*VLOOKUP(Terminales[[#This Row],[LOCALES]],[1]!Calendario[#Data],3,0))/VLOOKUP(Terminales[[#This Row],[LOCALES]],[1]!Calendario[#Data],2,0)</f>
        <v>0</v>
      </c>
      <c r="CH446" s="67">
        <f>(Terminales[[#This Row],[COMISIONES BONO]]*VLOOKUP(Terminales[[#This Row],[LOCALES]],[1]!Calendario[#Data],3,0))/VLOOKUP(Terminales[[#This Row],[LOCALES]],[1]!Calendario[#Data],2,0)</f>
        <v>3.7623153172413799</v>
      </c>
      <c r="CI446" s="67">
        <f>Terminales[[#This Row],[PROY. COM. TERMINALES]]+Terminales[[#This Row],[PROY. COM. RENOV.]]+Terminales[[#This Row],[PROY. COM. 2%]]</f>
        <v>22.573891903448281</v>
      </c>
    </row>
    <row r="447" spans="1:87" x14ac:dyDescent="0.25">
      <c r="A447" s="68">
        <v>44926</v>
      </c>
      <c r="B447" s="68">
        <v>44911</v>
      </c>
      <c r="C447" s="18" t="s">
        <v>96</v>
      </c>
      <c r="D447" s="18" t="s">
        <v>96</v>
      </c>
      <c r="E447" s="18" t="s">
        <v>96</v>
      </c>
      <c r="F447" s="18" t="s">
        <v>95</v>
      </c>
      <c r="G447" s="18" t="s">
        <v>292</v>
      </c>
      <c r="H447" s="18" t="s">
        <v>494</v>
      </c>
      <c r="I447" s="18" t="s">
        <v>10662</v>
      </c>
      <c r="J447" s="18" t="s">
        <v>95</v>
      </c>
      <c r="K447" s="18" t="s">
        <v>7970</v>
      </c>
      <c r="L447" s="18" t="s">
        <v>10496</v>
      </c>
      <c r="M447" s="18" t="s">
        <v>10497</v>
      </c>
      <c r="N447" s="18" t="s">
        <v>10498</v>
      </c>
      <c r="O447" s="18" t="s">
        <v>1691</v>
      </c>
      <c r="P447" s="18" t="s">
        <v>10663</v>
      </c>
      <c r="Q447" s="18" t="s">
        <v>7975</v>
      </c>
      <c r="R447" s="18" t="s">
        <v>7976</v>
      </c>
      <c r="S447" s="18" t="s">
        <v>8045</v>
      </c>
      <c r="T447" s="18" t="s">
        <v>8225</v>
      </c>
      <c r="U447" s="18" t="s">
        <v>8012</v>
      </c>
      <c r="V447" s="18" t="s">
        <v>6963</v>
      </c>
      <c r="W447" s="18" t="s">
        <v>95</v>
      </c>
      <c r="X447" s="18" t="s">
        <v>95</v>
      </c>
      <c r="Y447" s="18" t="s">
        <v>7980</v>
      </c>
      <c r="Z447" s="18" t="s">
        <v>6996</v>
      </c>
      <c r="AA447" s="69">
        <v>1</v>
      </c>
      <c r="AB447" s="18">
        <v>266.96429000000001</v>
      </c>
      <c r="AC447" s="18" t="s">
        <v>10664</v>
      </c>
      <c r="AD447" s="18" t="s">
        <v>96</v>
      </c>
      <c r="AE447" s="18">
        <v>232</v>
      </c>
      <c r="AF447" s="18" t="s">
        <v>7983</v>
      </c>
      <c r="AG447" s="18">
        <v>232</v>
      </c>
      <c r="AH447" s="18" t="s">
        <v>95</v>
      </c>
      <c r="AI447" s="18" t="s">
        <v>95</v>
      </c>
      <c r="AJ447" s="18" t="s">
        <v>95</v>
      </c>
      <c r="AK447" s="18" t="s">
        <v>95</v>
      </c>
      <c r="AL447" s="18" t="s">
        <v>95</v>
      </c>
      <c r="AM447" s="18" t="s">
        <v>95</v>
      </c>
      <c r="AN447" s="18" t="s">
        <v>7984</v>
      </c>
      <c r="AO447" s="18" t="s">
        <v>139</v>
      </c>
      <c r="AP447" s="18" t="s">
        <v>280</v>
      </c>
      <c r="AQ447" s="18" t="s">
        <v>281</v>
      </c>
      <c r="AR447" s="18" t="s">
        <v>10501</v>
      </c>
      <c r="AS447" s="18">
        <v>1</v>
      </c>
      <c r="AT447" s="18" t="s">
        <v>235</v>
      </c>
      <c r="AU447" s="18" t="s">
        <v>90</v>
      </c>
      <c r="AV447" s="18" t="s">
        <v>8228</v>
      </c>
      <c r="AW447" s="18" t="s">
        <v>8229</v>
      </c>
      <c r="AX447" s="18" t="s">
        <v>83</v>
      </c>
      <c r="AY447" s="18" t="s">
        <v>95</v>
      </c>
      <c r="AZ447" s="18" t="s">
        <v>95</v>
      </c>
      <c r="BA447" s="18" t="s">
        <v>95</v>
      </c>
      <c r="BB447" s="18" t="s">
        <v>95</v>
      </c>
      <c r="BC447" s="18" t="s">
        <v>95</v>
      </c>
      <c r="BD447" s="18" t="s">
        <v>95</v>
      </c>
      <c r="BE447" s="18" t="s">
        <v>95</v>
      </c>
      <c r="BF447" s="18" t="s">
        <v>95</v>
      </c>
      <c r="BG447" s="18" t="s">
        <v>95</v>
      </c>
      <c r="BH447" s="18" t="s">
        <v>95</v>
      </c>
      <c r="BI447" s="18">
        <v>12</v>
      </c>
      <c r="BJ447" s="18">
        <v>2022</v>
      </c>
      <c r="BK447" s="18" t="s">
        <v>95</v>
      </c>
      <c r="BL447" s="18" t="s">
        <v>95</v>
      </c>
      <c r="BM447" s="18" t="s">
        <v>95</v>
      </c>
      <c r="BN447" s="18" t="s">
        <v>85</v>
      </c>
      <c r="BO447" s="18" t="s">
        <v>86</v>
      </c>
      <c r="BP447" s="18" t="s">
        <v>90</v>
      </c>
      <c r="BQ447" s="18" t="s">
        <v>8016</v>
      </c>
      <c r="BR447" s="18" t="s">
        <v>139</v>
      </c>
      <c r="BS447" s="18" t="s">
        <v>8074</v>
      </c>
      <c r="BT447" s="18" t="s">
        <v>10502</v>
      </c>
      <c r="BU447" s="18" t="s">
        <v>496</v>
      </c>
      <c r="BV447" s="18" t="str">
        <f>Terminales[[#This Row],[IMEI]]&amp;"SI"</f>
        <v>356795951297931SI</v>
      </c>
      <c r="BW447" s="18" t="str">
        <f>VLOOKUP(Terminales[[#This Row],[OFICINA_USUARIO]],[1]!Locales[#Data],3,0)</f>
        <v>TIENDA CONDADO</v>
      </c>
      <c r="BX447" s="18" t="str">
        <f>VLOOKUP(Terminales[[#This Row],[USUARIO_FINAL]],'[1]Personal Ppto vs Real'!$A:$F,6,0)</f>
        <v>GUACHAMIN CAZA HUGO ADRIAN</v>
      </c>
      <c r="BY447" s="18" t="str">
        <f>Terminales[[#This Row],[MOVIMIENTO]]&amp;" "&amp;IF(Terminales[[#This Row],[TIPO_VENTA]]="DOWNPAYMENT","FINANCIADO",IF(Terminales[[#This Row],[TIPO_VENTA]]="PAYJOY","CONTADO",Terminales[[#This Row],[TIPO_VENTA]]))</f>
        <v>PREPAGO CONTADO</v>
      </c>
      <c r="BZ447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47" s="18">
        <f>DAY(Terminales[[#This Row],[FECHA_FACTURA]])</f>
        <v>16</v>
      </c>
      <c r="CB447" s="65">
        <f>IF(Terminales[[#This Row],[CANTIDAD]] = 1,INDEX([1]!Comisiones[#Data],MATCH("Terminales",[1]!Comisiones[Producto],0),MATCH(Terminales[[#This Row],[TIPO ALTA COMISIONES]],[1]!Comisiones[#Headers],0))*Terminales[[#This Row],[MONTO]],0)</f>
        <v>26.696429000000002</v>
      </c>
      <c r="CC447" s="65">
        <f>IFERROR(IF(AND(Terminales[[#This Row],[CANTIDAD]] = 1,Terminales[[#This Row],[MOVIMIENTO]] = "RENOVACION"),Terminales[[#This Row],[TARIFA_BASICA]]*0.5,),)</f>
        <v>0</v>
      </c>
      <c r="CD447" s="65">
        <f>IF('[1]Resumen TM'!$AW$20 &lt; 0.4,0,Terminales[[#This Row],[MONTO]]*0.02)</f>
        <v>5.3392857999999999</v>
      </c>
      <c r="CE447" s="66">
        <f>Terminales[[#This Row],[COMISIONES TERMINALES]]+Terminales[[#This Row],[COMISIONES RENOVACIONES]]+Terminales[[#This Row],[COMISIONES BONO]]</f>
        <v>32.035714800000001</v>
      </c>
      <c r="CF447" s="67">
        <f>(Terminales[[#This Row],[COMISIONES TERMINALES]]*VLOOKUP(Terminales[[#This Row],[LOCALES]],[1]!Calendario[#Data],3,0))/VLOOKUP(Terminales[[#This Row],[LOCALES]],[1]!Calendario[#Data],2,0)</f>
        <v>43.919931580645162</v>
      </c>
      <c r="CG447" s="67">
        <f>(Terminales[[#This Row],[COMISIONES RENOVACIONES]]*VLOOKUP(Terminales[[#This Row],[LOCALES]],[1]!Calendario[#Data],3,0))/VLOOKUP(Terminales[[#This Row],[LOCALES]],[1]!Calendario[#Data],2,0)</f>
        <v>0</v>
      </c>
      <c r="CH447" s="67">
        <f>(Terminales[[#This Row],[COMISIONES BONO]]*VLOOKUP(Terminales[[#This Row],[LOCALES]],[1]!Calendario[#Data],3,0))/VLOOKUP(Terminales[[#This Row],[LOCALES]],[1]!Calendario[#Data],2,0)</f>
        <v>8.783986316129031</v>
      </c>
      <c r="CI447" s="67">
        <f>Terminales[[#This Row],[PROY. COM. TERMINALES]]+Terminales[[#This Row],[PROY. COM. RENOV.]]+Terminales[[#This Row],[PROY. COM. 2%]]</f>
        <v>52.703917896774193</v>
      </c>
    </row>
    <row r="448" spans="1:87" x14ac:dyDescent="0.25">
      <c r="A448" s="68">
        <v>44926</v>
      </c>
      <c r="B448" s="68">
        <v>44912</v>
      </c>
      <c r="C448" s="18" t="s">
        <v>96</v>
      </c>
      <c r="D448" s="18" t="s">
        <v>96</v>
      </c>
      <c r="E448" s="18" t="s">
        <v>96</v>
      </c>
      <c r="F448" s="18" t="s">
        <v>10545</v>
      </c>
      <c r="G448" s="18" t="s">
        <v>292</v>
      </c>
      <c r="H448" s="18" t="s">
        <v>494</v>
      </c>
      <c r="I448" s="18" t="s">
        <v>10665</v>
      </c>
      <c r="J448" s="18" t="s">
        <v>95</v>
      </c>
      <c r="K448" s="18" t="s">
        <v>7970</v>
      </c>
      <c r="L448" s="18" t="s">
        <v>10547</v>
      </c>
      <c r="M448" s="18" t="s">
        <v>10497</v>
      </c>
      <c r="N448" s="18" t="s">
        <v>10498</v>
      </c>
      <c r="O448" s="18" t="s">
        <v>10576</v>
      </c>
      <c r="P448" s="18" t="s">
        <v>10666</v>
      </c>
      <c r="Q448" s="18" t="s">
        <v>7975</v>
      </c>
      <c r="R448" s="18" t="s">
        <v>7976</v>
      </c>
      <c r="S448" s="18" t="s">
        <v>8045</v>
      </c>
      <c r="T448" s="18" t="s">
        <v>8331</v>
      </c>
      <c r="U448" s="18" t="s">
        <v>7996</v>
      </c>
      <c r="V448" s="18" t="s">
        <v>6963</v>
      </c>
      <c r="W448" s="18" t="s">
        <v>95</v>
      </c>
      <c r="X448" s="18" t="s">
        <v>95</v>
      </c>
      <c r="Y448" s="18" t="s">
        <v>7980</v>
      </c>
      <c r="Z448" s="18" t="s">
        <v>6996</v>
      </c>
      <c r="AA448" s="69">
        <v>1</v>
      </c>
      <c r="AB448" s="18">
        <v>113.39286</v>
      </c>
      <c r="AC448" s="18" t="s">
        <v>10549</v>
      </c>
      <c r="AD448" s="18" t="s">
        <v>7982</v>
      </c>
      <c r="AE448" s="18">
        <v>91</v>
      </c>
      <c r="AF448" s="18" t="s">
        <v>7983</v>
      </c>
      <c r="AG448" s="18">
        <v>91</v>
      </c>
      <c r="AH448" s="18" t="s">
        <v>95</v>
      </c>
      <c r="AI448" s="18" t="s">
        <v>8102</v>
      </c>
      <c r="AJ448" s="18" t="s">
        <v>8103</v>
      </c>
      <c r="AK448" s="18" t="s">
        <v>95</v>
      </c>
      <c r="AL448" s="18" t="s">
        <v>95</v>
      </c>
      <c r="AM448" s="18" t="s">
        <v>95</v>
      </c>
      <c r="AN448" s="18" t="s">
        <v>7984</v>
      </c>
      <c r="AO448" s="18" t="s">
        <v>92</v>
      </c>
      <c r="AP448" s="18" t="s">
        <v>651</v>
      </c>
      <c r="AQ448" s="18" t="s">
        <v>652</v>
      </c>
      <c r="AR448" s="18" t="s">
        <v>10501</v>
      </c>
      <c r="AS448" s="18">
        <v>1</v>
      </c>
      <c r="AT448" s="18" t="s">
        <v>122</v>
      </c>
      <c r="AU448" s="18" t="s">
        <v>90</v>
      </c>
      <c r="AV448" s="18" t="s">
        <v>10579</v>
      </c>
      <c r="AW448" s="18" t="s">
        <v>10580</v>
      </c>
      <c r="AX448" s="18" t="s">
        <v>83</v>
      </c>
      <c r="AY448" s="18" t="s">
        <v>95</v>
      </c>
      <c r="AZ448" s="18" t="s">
        <v>95</v>
      </c>
      <c r="BA448" s="18" t="s">
        <v>95</v>
      </c>
      <c r="BB448" s="18" t="s">
        <v>95</v>
      </c>
      <c r="BC448" s="18" t="s">
        <v>95</v>
      </c>
      <c r="BD448" s="18" t="s">
        <v>95</v>
      </c>
      <c r="BE448" s="18" t="s">
        <v>95</v>
      </c>
      <c r="BF448" s="18" t="s">
        <v>95</v>
      </c>
      <c r="BG448" s="18" t="s">
        <v>95</v>
      </c>
      <c r="BH448" s="18" t="s">
        <v>95</v>
      </c>
      <c r="BI448" s="18">
        <v>12</v>
      </c>
      <c r="BJ448" s="18">
        <v>2022</v>
      </c>
      <c r="BK448" s="18" t="s">
        <v>95</v>
      </c>
      <c r="BL448" s="18" t="s">
        <v>95</v>
      </c>
      <c r="BM448" s="18" t="s">
        <v>95</v>
      </c>
      <c r="BN448" s="18" t="s">
        <v>85</v>
      </c>
      <c r="BO448" s="18" t="s">
        <v>86</v>
      </c>
      <c r="BP448" s="18" t="s">
        <v>90</v>
      </c>
      <c r="BQ448" s="18" t="s">
        <v>8050</v>
      </c>
      <c r="BR448" s="18" t="s">
        <v>92</v>
      </c>
      <c r="BS448" s="18" t="s">
        <v>8074</v>
      </c>
      <c r="BT448" s="18" t="s">
        <v>10502</v>
      </c>
      <c r="BU448" s="18" t="s">
        <v>496</v>
      </c>
      <c r="BV448" s="18" t="str">
        <f>Terminales[[#This Row],[IMEI]]&amp;"SI"</f>
        <v>352286991373548SI</v>
      </c>
      <c r="BW448" s="18" t="str">
        <f>VLOOKUP(Terminales[[#This Row],[OFICINA_USUARIO]],[1]!Locales[#Data],3,0)</f>
        <v>TIENDA MACHALA</v>
      </c>
      <c r="BX448" s="18" t="str">
        <f>VLOOKUP(Terminales[[#This Row],[USUARIO_FINAL]],'[1]Personal Ppto vs Real'!$A:$F,6,0)</f>
        <v>SANCHEZ SARITAMA JOEL LUIS</v>
      </c>
      <c r="BY448" s="18" t="str">
        <f>Terminales[[#This Row],[MOVIMIENTO]]&amp;" "&amp;IF(Terminales[[#This Row],[TIPO_VENTA]]="DOWNPAYMENT","FINANCIADO",IF(Terminales[[#This Row],[TIPO_VENTA]]="PAYJOY","CONTADO",Terminales[[#This Row],[TIPO_VENTA]]))</f>
        <v>RENOVACION CONTADO</v>
      </c>
      <c r="BZ448" s="18" t="str">
        <f>IF(Terminales[[#This Row],[TIPO_DOCUMENTO]] = "Factura Contado","FC",IF(Terminales[[#This Row],[TIPO_DOCUMENTO]] = "Factura Afecta Cuota","FAC","NT")) &amp;" "&amp; IF(Terminales[[#This Row],[TIPO_VENTA_2]] = "CONTADO",Terminales[[#This Row],[TIPO_VENTA_2]]&amp;" "&amp;MID(Terminales[[#This Row],[FORMAS DE PAGO]],1,3),Terminales[[#This Row],[TIPO_VENTA_2]]&amp;" "&amp;MID(Terminales[[#This Row],[FORMAS DE PAGO]],1,2))</f>
        <v>FC CONTADO COR</v>
      </c>
      <c r="CA448" s="18">
        <f>DAY(Terminales[[#This Row],[FECHA_FACTURA]])</f>
        <v>17</v>
      </c>
      <c r="CB448" s="65">
        <f>IF(Terminales[[#This Row],[CANTIDAD]] = 1,INDEX([1]!Comisiones[#Data],MATCH("Terminales",[1]!Comisiones[Producto],0),MATCH(Terminales[[#This Row],[TIPO ALTA COMISIONES]],[1]!Comisiones[#Headers],0))*Terminales[[#This Row],[MONTO]],0)</f>
        <v>11.339286000000001</v>
      </c>
      <c r="CC448" s="65">
        <f>IFERROR(IF(AND(Terminales[[#This Row],[CANTIDAD]] = 1,Terminales[[#This Row],[MOVIMIENTO]] = "RENOVACION"),Terminales[[#This Row],[TARIFA_BASICA]]*0.5,),)</f>
        <v>0</v>
      </c>
      <c r="CD448" s="65">
        <f>IF('[1]Resumen TM'!$AW$20 &lt; 0.4,0,Terminales[[#This Row],[MONTO]]*0.02)</f>
        <v>2.2678571999999999</v>
      </c>
      <c r="CE448" s="66">
        <f>Terminales[[#This Row],[COMISIONES TERMINALES]]+Terminales[[#This Row],[COMISIONES RENOVACIONES]]+Terminales[[#This Row],[COMISIONES BONO]]</f>
        <v>13.607143200000001</v>
      </c>
      <c r="CF448" s="67">
        <f>(Terminales[[#This Row],[COMISIONES TERMINALES]]*VLOOKUP(Terminales[[#This Row],[LOCALES]],[1]!Calendario[#Data],3,0))/VLOOKUP(Terminales[[#This Row],[LOCALES]],[1]!Calendario[#Data],2,0)</f>
        <v>18.377463517241381</v>
      </c>
      <c r="CG448" s="67">
        <f>(Terminales[[#This Row],[COMISIONES RENOVACIONES]]*VLOOKUP(Terminales[[#This Row],[LOCALES]],[1]!Calendario[#Data],3,0))/VLOOKUP(Terminales[[#This Row],[LOCALES]],[1]!Calendario[#Data],2,0)</f>
        <v>0</v>
      </c>
      <c r="CH448" s="67">
        <f>(Terminales[[#This Row],[COMISIONES BONO]]*VLOOKUP(Terminales[[#This Row],[LOCALES]],[1]!Calendario[#Data],3,0))/VLOOKUP(Terminales[[#This Row],[LOCALES]],[1]!Calendario[#Data],2,0)</f>
        <v>3.6754927034482758</v>
      </c>
      <c r="CI448" s="67">
        <f>Terminales[[#This Row],[PROY. COM. TERMINALES]]+Terminales[[#This Row],[PROY. COM. RENOV.]]+Terminales[[#This Row],[PROY. COM. 2%]]</f>
        <v>22.052956220689659</v>
      </c>
    </row>
  </sheetData>
  <conditionalFormatting sqref="N1">
    <cfRule type="duplicateValues" dxfId="249" priority="1"/>
  </conditionalFormatting>
  <conditionalFormatting sqref="P2:P448">
    <cfRule type="duplicateValues" dxfId="248" priority="2"/>
    <cfRule type="duplicateValues" dxfId="247" priority="3"/>
    <cfRule type="duplicateValues" dxfId="246" priority="4"/>
    <cfRule type="duplicateValues" dxfId="245" priority="5"/>
    <cfRule type="duplicateValues" dxfId="244" priority="6"/>
    <cfRule type="duplicateValues" dxfId="243" priority="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392D-EB43-4613-9868-4C936C0471F5}">
  <sheetPr codeName="Hoja4"/>
  <dimension ref="B1:F27"/>
  <sheetViews>
    <sheetView workbookViewId="0"/>
  </sheetViews>
  <sheetFormatPr baseColWidth="10" defaultRowHeight="15" x14ac:dyDescent="0.25"/>
  <cols>
    <col min="2" max="2" width="23" bestFit="1" customWidth="1"/>
    <col min="5" max="5" width="25" bestFit="1" customWidth="1"/>
  </cols>
  <sheetData>
    <row r="1" spans="2:6" x14ac:dyDescent="0.25">
      <c r="B1" s="49" t="s">
        <v>6969</v>
      </c>
      <c r="E1" s="49" t="s">
        <v>6983</v>
      </c>
    </row>
    <row r="2" spans="2:6" x14ac:dyDescent="0.25">
      <c r="B2" s="50">
        <v>11.42</v>
      </c>
      <c r="C2">
        <v>0</v>
      </c>
      <c r="E2" s="45">
        <v>0</v>
      </c>
      <c r="F2">
        <v>-1</v>
      </c>
    </row>
    <row r="3" spans="2:6" x14ac:dyDescent="0.25">
      <c r="B3" s="45">
        <v>14.28</v>
      </c>
      <c r="C3">
        <v>1</v>
      </c>
      <c r="E3" s="50">
        <v>6</v>
      </c>
      <c r="F3">
        <v>-1</v>
      </c>
    </row>
    <row r="4" spans="2:6" x14ac:dyDescent="0.25">
      <c r="B4" s="50">
        <v>15</v>
      </c>
      <c r="C4">
        <v>2</v>
      </c>
      <c r="E4" s="45">
        <v>8</v>
      </c>
      <c r="F4">
        <v>-1</v>
      </c>
    </row>
    <row r="5" spans="2:6" x14ac:dyDescent="0.25">
      <c r="B5" s="45">
        <v>17.850000000000001</v>
      </c>
      <c r="C5">
        <v>2</v>
      </c>
      <c r="E5" s="50">
        <v>9.99</v>
      </c>
      <c r="F5">
        <v>0</v>
      </c>
    </row>
    <row r="6" spans="2:6" x14ac:dyDescent="0.25">
      <c r="B6" s="50">
        <v>21.42</v>
      </c>
      <c r="C6">
        <v>3</v>
      </c>
      <c r="E6" s="45">
        <v>10.54</v>
      </c>
      <c r="F6">
        <v>0</v>
      </c>
    </row>
    <row r="7" spans="2:6" x14ac:dyDescent="0.25">
      <c r="B7" s="45">
        <v>25</v>
      </c>
      <c r="C7">
        <v>4</v>
      </c>
      <c r="E7" s="45">
        <v>11.42</v>
      </c>
      <c r="F7">
        <v>0</v>
      </c>
    </row>
    <row r="8" spans="2:6" x14ac:dyDescent="0.25">
      <c r="B8" s="51">
        <v>26.78</v>
      </c>
      <c r="C8">
        <v>4</v>
      </c>
      <c r="E8" s="50">
        <v>11.99</v>
      </c>
      <c r="F8">
        <v>0</v>
      </c>
    </row>
    <row r="9" spans="2:6" x14ac:dyDescent="0.25">
      <c r="B9" s="45">
        <v>32.130000000000003</v>
      </c>
      <c r="C9">
        <v>5</v>
      </c>
      <c r="E9" s="50">
        <v>12.99</v>
      </c>
      <c r="F9">
        <v>1</v>
      </c>
    </row>
    <row r="10" spans="2:6" x14ac:dyDescent="0.25">
      <c r="B10" s="50">
        <v>50</v>
      </c>
      <c r="C10">
        <v>6</v>
      </c>
      <c r="E10" s="50">
        <v>13.79</v>
      </c>
      <c r="F10">
        <v>1</v>
      </c>
    </row>
    <row r="11" spans="2:6" x14ac:dyDescent="0.25">
      <c r="B11" s="45">
        <v>51.78</v>
      </c>
      <c r="C11">
        <v>6</v>
      </c>
      <c r="E11" s="50">
        <v>14.28</v>
      </c>
      <c r="F11">
        <v>1</v>
      </c>
    </row>
    <row r="12" spans="2:6" x14ac:dyDescent="0.25">
      <c r="E12" s="45">
        <v>15</v>
      </c>
      <c r="F12">
        <v>2</v>
      </c>
    </row>
    <row r="13" spans="2:6" x14ac:dyDescent="0.25">
      <c r="E13" s="50">
        <v>16.989999999999998</v>
      </c>
      <c r="F13">
        <v>2</v>
      </c>
    </row>
    <row r="14" spans="2:6" x14ac:dyDescent="0.25">
      <c r="E14" s="45">
        <v>17.03</v>
      </c>
      <c r="F14">
        <v>2</v>
      </c>
    </row>
    <row r="15" spans="2:6" x14ac:dyDescent="0.25">
      <c r="E15" s="51">
        <v>17.850000000000001</v>
      </c>
      <c r="F15">
        <v>2</v>
      </c>
    </row>
    <row r="16" spans="2:6" x14ac:dyDescent="0.25">
      <c r="E16" s="50">
        <v>19.989999999999998</v>
      </c>
      <c r="F16">
        <v>3</v>
      </c>
    </row>
    <row r="17" spans="2:6" x14ac:dyDescent="0.25">
      <c r="E17" s="50">
        <v>20</v>
      </c>
      <c r="F17">
        <v>3</v>
      </c>
    </row>
    <row r="18" spans="2:6" x14ac:dyDescent="0.25">
      <c r="E18" s="45">
        <v>20.28</v>
      </c>
      <c r="F18">
        <v>3</v>
      </c>
    </row>
    <row r="19" spans="2:6" x14ac:dyDescent="0.25">
      <c r="E19" s="45">
        <v>21.42</v>
      </c>
      <c r="F19">
        <v>3</v>
      </c>
    </row>
    <row r="20" spans="2:6" x14ac:dyDescent="0.25">
      <c r="E20" s="50">
        <v>24.99</v>
      </c>
      <c r="F20">
        <v>4</v>
      </c>
    </row>
    <row r="21" spans="2:6" x14ac:dyDescent="0.25">
      <c r="E21" s="50">
        <v>25</v>
      </c>
      <c r="F21">
        <v>4</v>
      </c>
    </row>
    <row r="22" spans="2:6" x14ac:dyDescent="0.25">
      <c r="E22" s="50">
        <v>25.15</v>
      </c>
      <c r="F22">
        <v>4</v>
      </c>
    </row>
    <row r="23" spans="2:6" x14ac:dyDescent="0.25">
      <c r="E23" s="50">
        <v>26.78</v>
      </c>
      <c r="F23">
        <v>4</v>
      </c>
    </row>
    <row r="24" spans="2:6" x14ac:dyDescent="0.25">
      <c r="E24" s="50">
        <v>29.99</v>
      </c>
      <c r="F24">
        <v>5</v>
      </c>
    </row>
    <row r="25" spans="2:6" x14ac:dyDescent="0.25">
      <c r="B25" t="s">
        <v>7900</v>
      </c>
      <c r="C25">
        <v>15</v>
      </c>
      <c r="E25" s="50">
        <v>30.02</v>
      </c>
      <c r="F25">
        <v>5</v>
      </c>
    </row>
    <row r="26" spans="2:6" x14ac:dyDescent="0.25">
      <c r="B26" t="s">
        <v>7901</v>
      </c>
      <c r="C26">
        <v>25</v>
      </c>
      <c r="E26" s="50">
        <v>35</v>
      </c>
      <c r="F26">
        <v>5</v>
      </c>
    </row>
    <row r="27" spans="2:6" x14ac:dyDescent="0.25">
      <c r="B27" t="s">
        <v>7902</v>
      </c>
      <c r="C27">
        <v>35</v>
      </c>
      <c r="E27" s="50">
        <v>49.99</v>
      </c>
      <c r="F2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27A9-50B8-4174-BB79-3561292B5405}">
  <sheetPr codeName="Hoja5"/>
  <dimension ref="A1:Y66"/>
  <sheetViews>
    <sheetView workbookViewId="0"/>
  </sheetViews>
  <sheetFormatPr baseColWidth="10" defaultRowHeight="15" x14ac:dyDescent="0.25"/>
  <cols>
    <col min="1" max="1" width="11.7109375" customWidth="1"/>
    <col min="2" max="2" width="18.85546875" customWidth="1"/>
    <col min="3" max="4" width="22.28515625" customWidth="1"/>
    <col min="5" max="5" width="12.5703125" customWidth="1"/>
    <col min="6" max="6" width="16" customWidth="1"/>
    <col min="7" max="7" width="14.7109375" customWidth="1"/>
    <col min="8" max="8" width="19.7109375" customWidth="1"/>
    <col min="9" max="9" width="20.5703125" customWidth="1"/>
    <col min="10" max="10" width="18.42578125" customWidth="1"/>
    <col min="11" max="11" width="18" customWidth="1"/>
    <col min="12" max="12" width="12.5703125" customWidth="1"/>
    <col min="13" max="13" width="13.28515625" customWidth="1"/>
    <col min="14" max="14" width="23.140625" customWidth="1"/>
    <col min="15" max="15" width="21.85546875" customWidth="1"/>
    <col min="16" max="16" width="16.7109375" customWidth="1"/>
    <col min="17" max="17" width="27.42578125" customWidth="1"/>
    <col min="18" max="18" width="19.28515625" customWidth="1"/>
    <col min="19" max="19" width="23.140625" customWidth="1"/>
    <col min="20" max="20" width="16.42578125" customWidth="1"/>
    <col min="21" max="21" width="14.7109375" customWidth="1"/>
    <col min="22" max="22" width="19.7109375" customWidth="1"/>
    <col min="23" max="23" width="22.7109375" bestFit="1" customWidth="1"/>
    <col min="24" max="24" width="37.28515625" bestFit="1" customWidth="1"/>
  </cols>
  <sheetData>
    <row r="1" spans="1:25" x14ac:dyDescent="0.25">
      <c r="A1" s="36" t="s">
        <v>6963</v>
      </c>
      <c r="B1" s="48" t="s">
        <v>10667</v>
      </c>
      <c r="C1" s="36" t="s">
        <v>10668</v>
      </c>
      <c r="D1" s="48" t="s">
        <v>10669</v>
      </c>
      <c r="E1" s="36" t="s">
        <v>15</v>
      </c>
      <c r="F1" s="48" t="s">
        <v>10670</v>
      </c>
      <c r="G1" s="36" t="s">
        <v>10671</v>
      </c>
      <c r="H1" s="36" t="s">
        <v>10672</v>
      </c>
      <c r="I1" s="36" t="s">
        <v>10673</v>
      </c>
      <c r="J1" s="36" t="s">
        <v>10674</v>
      </c>
      <c r="K1" s="36" t="s">
        <v>10675</v>
      </c>
      <c r="L1" s="36" t="s">
        <v>10676</v>
      </c>
      <c r="M1" s="48" t="s">
        <v>10677</v>
      </c>
      <c r="N1" s="36" t="s">
        <v>10678</v>
      </c>
      <c r="O1" s="36" t="s">
        <v>10679</v>
      </c>
      <c r="P1" s="48" t="s">
        <v>10680</v>
      </c>
      <c r="Q1" s="36" t="s">
        <v>10681</v>
      </c>
      <c r="R1" s="48" t="s">
        <v>10682</v>
      </c>
      <c r="S1" s="48" t="s">
        <v>10683</v>
      </c>
      <c r="T1" s="48" t="s">
        <v>10684</v>
      </c>
      <c r="U1" s="48" t="s">
        <v>10685</v>
      </c>
      <c r="V1" s="48" t="s">
        <v>33</v>
      </c>
      <c r="W1" s="2" t="s">
        <v>97</v>
      </c>
      <c r="X1" s="2" t="s">
        <v>52</v>
      </c>
      <c r="Y1" s="37" t="s">
        <v>10686</v>
      </c>
    </row>
    <row r="2" spans="1:25" x14ac:dyDescent="0.25">
      <c r="A2" t="s">
        <v>155</v>
      </c>
      <c r="B2" t="s">
        <v>67</v>
      </c>
      <c r="C2" s="62">
        <v>44897</v>
      </c>
      <c r="D2" t="s">
        <v>95</v>
      </c>
      <c r="E2" t="s">
        <v>77</v>
      </c>
      <c r="F2" t="s">
        <v>164</v>
      </c>
      <c r="G2" t="s">
        <v>160</v>
      </c>
      <c r="H2" t="s">
        <v>161</v>
      </c>
      <c r="I2">
        <v>14.28</v>
      </c>
      <c r="J2" t="s">
        <v>10687</v>
      </c>
      <c r="K2" t="s">
        <v>10688</v>
      </c>
      <c r="L2">
        <v>2.68</v>
      </c>
      <c r="M2" t="s">
        <v>10689</v>
      </c>
      <c r="N2" s="62">
        <v>44910</v>
      </c>
      <c r="O2" t="s">
        <v>88</v>
      </c>
      <c r="P2" s="72">
        <v>44914</v>
      </c>
      <c r="Q2" t="s">
        <v>88</v>
      </c>
      <c r="R2" t="s">
        <v>85</v>
      </c>
      <c r="S2" t="s">
        <v>90</v>
      </c>
      <c r="T2" t="s">
        <v>91</v>
      </c>
      <c r="U2" t="s">
        <v>92</v>
      </c>
      <c r="V2" t="s">
        <v>165</v>
      </c>
      <c r="W2" t="str">
        <f>VLOOKUP(PaqLlamadas[[#This Row],[NOMBRE PLAZA]],[1]!Locales[#Data],3,0)</f>
        <v>TIENDA CUENCA CENTRO</v>
      </c>
      <c r="X2" t="str">
        <f>VLOOKUP(PaqLlamadas[[#This Row],[USUARIO ACTIVACION BONO]],[1]!Personal[#Data],6,0)</f>
        <v>ANDRADE CONDO CHRISTIAN EDUARDO</v>
      </c>
      <c r="Y2" s="9">
        <f>3</f>
        <v>3</v>
      </c>
    </row>
    <row r="3" spans="1:25" x14ac:dyDescent="0.25">
      <c r="A3" s="18" t="s">
        <v>10690</v>
      </c>
      <c r="B3" s="18" t="s">
        <v>67</v>
      </c>
      <c r="C3" s="68">
        <v>44655</v>
      </c>
      <c r="D3" s="22" t="s">
        <v>95</v>
      </c>
      <c r="E3" s="18" t="s">
        <v>77</v>
      </c>
      <c r="F3" s="18" t="s">
        <v>2241</v>
      </c>
      <c r="G3" s="18" t="s">
        <v>160</v>
      </c>
      <c r="H3" s="22" t="s">
        <v>161</v>
      </c>
      <c r="I3" s="18">
        <v>14.28</v>
      </c>
      <c r="J3" s="18" t="s">
        <v>10691</v>
      </c>
      <c r="K3" s="18" t="s">
        <v>10692</v>
      </c>
      <c r="L3" s="18">
        <v>2.68</v>
      </c>
      <c r="M3" s="18" t="s">
        <v>10689</v>
      </c>
      <c r="N3" s="68">
        <v>44903</v>
      </c>
      <c r="O3" s="18" t="s">
        <v>262</v>
      </c>
      <c r="P3" s="73">
        <v>44914</v>
      </c>
      <c r="Q3" s="18" t="s">
        <v>262</v>
      </c>
      <c r="R3" s="18" t="s">
        <v>85</v>
      </c>
      <c r="S3" s="18" t="s">
        <v>90</v>
      </c>
      <c r="T3" s="18" t="s">
        <v>177</v>
      </c>
      <c r="U3" s="18" t="s">
        <v>139</v>
      </c>
      <c r="V3" s="18" t="s">
        <v>93</v>
      </c>
      <c r="W3" t="str">
        <f>VLOOKUP(PaqLlamadas[[#This Row],[NOMBRE PLAZA]],[1]!Locales[#Data],3,0)</f>
        <v>TIENDA RECREO</v>
      </c>
      <c r="X3" t="str">
        <f>VLOOKUP(PaqLlamadas[[#This Row],[USUARIO ACTIVACION BONO]],[1]!Personal[#Data],6,0)</f>
        <v>CHICAIZA TOAPANTA ALEX DANILO</v>
      </c>
      <c r="Y3" s="21">
        <f>3</f>
        <v>3</v>
      </c>
    </row>
    <row r="4" spans="1:25" x14ac:dyDescent="0.25">
      <c r="A4" s="18" t="s">
        <v>345</v>
      </c>
      <c r="B4" s="18" t="s">
        <v>67</v>
      </c>
      <c r="C4" s="68">
        <v>44905</v>
      </c>
      <c r="D4" s="22" t="s">
        <v>95</v>
      </c>
      <c r="E4" s="18" t="s">
        <v>77</v>
      </c>
      <c r="F4" s="18" t="s">
        <v>164</v>
      </c>
      <c r="G4" s="18" t="s">
        <v>160</v>
      </c>
      <c r="H4" s="22" t="s">
        <v>161</v>
      </c>
      <c r="I4" s="18">
        <v>14.28</v>
      </c>
      <c r="J4" s="18" t="s">
        <v>10687</v>
      </c>
      <c r="K4" s="18" t="s">
        <v>10688</v>
      </c>
      <c r="L4" s="18">
        <v>2.68</v>
      </c>
      <c r="M4" s="18" t="s">
        <v>10689</v>
      </c>
      <c r="N4" s="68">
        <v>44905</v>
      </c>
      <c r="O4" s="18" t="s">
        <v>352</v>
      </c>
      <c r="P4" s="73">
        <v>44914</v>
      </c>
      <c r="Q4" s="18" t="s">
        <v>352</v>
      </c>
      <c r="R4" s="18" t="s">
        <v>85</v>
      </c>
      <c r="S4" s="18" t="s">
        <v>90</v>
      </c>
      <c r="T4" s="18" t="s">
        <v>122</v>
      </c>
      <c r="U4" s="18" t="s">
        <v>92</v>
      </c>
      <c r="V4" s="18" t="s">
        <v>93</v>
      </c>
      <c r="W4" t="str">
        <f>VLOOKUP(PaqLlamadas[[#This Row],[NOMBRE PLAZA]],[1]!Locales[#Data],3,0)</f>
        <v>TIENDA MACHALA</v>
      </c>
      <c r="X4" t="str">
        <f>VLOOKUP(PaqLlamadas[[#This Row],[USUARIO ACTIVACION BONO]],[1]!Personal[#Data],6,0)</f>
        <v>TENORIO MARIA DEL PILAR</v>
      </c>
      <c r="Y4" s="21">
        <f>3</f>
        <v>3</v>
      </c>
    </row>
    <row r="5" spans="1:25" x14ac:dyDescent="0.25">
      <c r="A5" s="18" t="s">
        <v>345</v>
      </c>
      <c r="B5" s="18" t="s">
        <v>67</v>
      </c>
      <c r="C5" s="68">
        <v>44905</v>
      </c>
      <c r="D5" s="22" t="s">
        <v>95</v>
      </c>
      <c r="E5" s="18" t="s">
        <v>77</v>
      </c>
      <c r="F5" s="18" t="s">
        <v>164</v>
      </c>
      <c r="G5" s="18" t="s">
        <v>160</v>
      </c>
      <c r="H5" s="22" t="s">
        <v>161</v>
      </c>
      <c r="I5" s="18">
        <v>14.28</v>
      </c>
      <c r="J5" s="18" t="s">
        <v>10687</v>
      </c>
      <c r="K5" s="18" t="s">
        <v>10688</v>
      </c>
      <c r="L5" s="18">
        <v>2.68</v>
      </c>
      <c r="M5" s="18" t="s">
        <v>10689</v>
      </c>
      <c r="N5" s="68">
        <v>44905</v>
      </c>
      <c r="O5" s="18" t="s">
        <v>352</v>
      </c>
      <c r="P5" s="73">
        <v>44914</v>
      </c>
      <c r="Q5" s="18" t="s">
        <v>352</v>
      </c>
      <c r="R5" s="18" t="s">
        <v>85</v>
      </c>
      <c r="S5" s="18" t="s">
        <v>90</v>
      </c>
      <c r="T5" s="18" t="s">
        <v>122</v>
      </c>
      <c r="U5" s="18" t="s">
        <v>92</v>
      </c>
      <c r="V5" s="18" t="s">
        <v>93</v>
      </c>
      <c r="W5" t="str">
        <f>VLOOKUP(PaqLlamadas[[#This Row],[NOMBRE PLAZA]],[1]!Locales[#Data],3,0)</f>
        <v>TIENDA MACHALA</v>
      </c>
      <c r="X5" t="str">
        <f>VLOOKUP(PaqLlamadas[[#This Row],[USUARIO ACTIVACION BONO]],[1]!Personal[#Data],6,0)</f>
        <v>TENORIO MARIA DEL PILAR</v>
      </c>
      <c r="Y5" s="21">
        <f>3</f>
        <v>3</v>
      </c>
    </row>
    <row r="6" spans="1:25" x14ac:dyDescent="0.25">
      <c r="A6" s="18" t="s">
        <v>10693</v>
      </c>
      <c r="B6" s="18" t="s">
        <v>67</v>
      </c>
      <c r="C6" s="68">
        <v>44889</v>
      </c>
      <c r="D6" s="22" t="s">
        <v>95</v>
      </c>
      <c r="E6" s="18" t="s">
        <v>311</v>
      </c>
      <c r="F6" s="18" t="s">
        <v>311</v>
      </c>
      <c r="G6" s="18" t="s">
        <v>2207</v>
      </c>
      <c r="H6" s="22" t="s">
        <v>2208</v>
      </c>
      <c r="I6" s="18">
        <v>15</v>
      </c>
      <c r="J6" s="18" t="s">
        <v>10694</v>
      </c>
      <c r="K6" s="18" t="s">
        <v>10695</v>
      </c>
      <c r="L6" s="18">
        <v>2.67</v>
      </c>
      <c r="M6" s="18" t="s">
        <v>10689</v>
      </c>
      <c r="N6" s="68">
        <v>44904</v>
      </c>
      <c r="O6" s="18" t="s">
        <v>880</v>
      </c>
      <c r="P6" s="73">
        <v>44914</v>
      </c>
      <c r="Q6" s="18" t="s">
        <v>880</v>
      </c>
      <c r="R6" s="18" t="s">
        <v>85</v>
      </c>
      <c r="S6" s="18" t="s">
        <v>90</v>
      </c>
      <c r="T6" s="18" t="s">
        <v>91</v>
      </c>
      <c r="U6" s="18" t="s">
        <v>92</v>
      </c>
      <c r="V6" s="18" t="s">
        <v>93</v>
      </c>
      <c r="W6" t="str">
        <f>VLOOKUP(PaqLlamadas[[#This Row],[NOMBRE PLAZA]],[1]!Locales[#Data],3,0)</f>
        <v>TIENDA CUENCA CENTRO</v>
      </c>
      <c r="X6" t="str">
        <f>VLOOKUP(PaqLlamadas[[#This Row],[USUARIO ACTIVACION BONO]],[1]!Personal[#Data],6,0)</f>
        <v>LUNA JACHO ANDREA GABRIELA</v>
      </c>
      <c r="Y6" s="21">
        <f>3</f>
        <v>3</v>
      </c>
    </row>
    <row r="7" spans="1:25" x14ac:dyDescent="0.25">
      <c r="A7" s="18" t="s">
        <v>7149</v>
      </c>
      <c r="B7" s="18" t="s">
        <v>67</v>
      </c>
      <c r="C7" s="68">
        <v>44217</v>
      </c>
      <c r="D7" s="22" t="s">
        <v>95</v>
      </c>
      <c r="E7" s="18" t="s">
        <v>231</v>
      </c>
      <c r="F7" s="18" t="s">
        <v>1378</v>
      </c>
      <c r="G7" s="18" t="s">
        <v>112</v>
      </c>
      <c r="H7" s="22" t="s">
        <v>781</v>
      </c>
      <c r="I7" s="18">
        <v>17.850000000000001</v>
      </c>
      <c r="J7" s="18" t="s">
        <v>10696</v>
      </c>
      <c r="K7" s="18" t="s">
        <v>10697</v>
      </c>
      <c r="L7" s="18">
        <v>4.46</v>
      </c>
      <c r="M7" s="18" t="s">
        <v>10689</v>
      </c>
      <c r="N7" s="68">
        <v>44911</v>
      </c>
      <c r="O7" s="18" t="s">
        <v>404</v>
      </c>
      <c r="P7" s="73">
        <v>44914</v>
      </c>
      <c r="Q7" s="18" t="s">
        <v>404</v>
      </c>
      <c r="R7" s="18" t="s">
        <v>85</v>
      </c>
      <c r="S7" s="18" t="s">
        <v>90</v>
      </c>
      <c r="T7" s="18" t="s">
        <v>177</v>
      </c>
      <c r="U7" s="18" t="s">
        <v>139</v>
      </c>
      <c r="V7" s="18" t="s">
        <v>95</v>
      </c>
      <c r="W7" t="str">
        <f>VLOOKUP(PaqLlamadas[[#This Row],[NOMBRE PLAZA]],[1]!Locales[#Data],3,0)</f>
        <v>TIENDA RECREO</v>
      </c>
      <c r="X7" t="str">
        <f>VLOOKUP(PaqLlamadas[[#This Row],[USUARIO ACTIVACION BONO]],[1]!Personal[#Data],6,0)</f>
        <v>OTERO YEPEZ ANDREA SOLEDAD</v>
      </c>
      <c r="Y7" s="21">
        <f>3</f>
        <v>3</v>
      </c>
    </row>
    <row r="8" spans="1:25" x14ac:dyDescent="0.25">
      <c r="A8" s="18" t="s">
        <v>10698</v>
      </c>
      <c r="B8" s="18" t="s">
        <v>67</v>
      </c>
      <c r="C8" s="68">
        <v>44894</v>
      </c>
      <c r="D8" s="22" t="s">
        <v>95</v>
      </c>
      <c r="E8" s="18" t="s">
        <v>311</v>
      </c>
      <c r="F8" s="18" t="s">
        <v>311</v>
      </c>
      <c r="G8" s="18" t="s">
        <v>2207</v>
      </c>
      <c r="H8" s="22" t="s">
        <v>2208</v>
      </c>
      <c r="I8" s="18">
        <v>15</v>
      </c>
      <c r="J8" s="18" t="s">
        <v>10699</v>
      </c>
      <c r="K8" s="18" t="s">
        <v>10700</v>
      </c>
      <c r="L8" s="18">
        <v>4.46</v>
      </c>
      <c r="M8" s="18" t="s">
        <v>10689</v>
      </c>
      <c r="N8" s="68">
        <v>44908</v>
      </c>
      <c r="O8" s="18" t="s">
        <v>385</v>
      </c>
      <c r="P8" s="73">
        <v>44914</v>
      </c>
      <c r="Q8" s="18" t="s">
        <v>385</v>
      </c>
      <c r="R8" s="18" t="s">
        <v>85</v>
      </c>
      <c r="S8" s="18" t="s">
        <v>90</v>
      </c>
      <c r="T8" s="18" t="s">
        <v>151</v>
      </c>
      <c r="U8" s="18" t="s">
        <v>92</v>
      </c>
      <c r="V8" s="18" t="s">
        <v>93</v>
      </c>
      <c r="W8" t="str">
        <f>VLOOKUP(PaqLlamadas[[#This Row],[NOMBRE PLAZA]],[1]!Locales[#Data],3,0)</f>
        <v>TIENDA CUENCA REMIGIO</v>
      </c>
      <c r="X8" t="str">
        <f>VLOOKUP(PaqLlamadas[[#This Row],[USUARIO ACTIVACION BONO]],[1]!Personal[#Data],6,0)</f>
        <v>RAMIREZ RUBIO NELLY LILIANA</v>
      </c>
      <c r="Y8" s="21">
        <f>3</f>
        <v>3</v>
      </c>
    </row>
    <row r="9" spans="1:25" x14ac:dyDescent="0.25">
      <c r="A9" s="18" t="s">
        <v>1279</v>
      </c>
      <c r="B9" s="18" t="s">
        <v>67</v>
      </c>
      <c r="C9" s="68">
        <v>44904</v>
      </c>
      <c r="D9" s="22" t="s">
        <v>95</v>
      </c>
      <c r="E9" s="18" t="s">
        <v>77</v>
      </c>
      <c r="F9" s="18" t="s">
        <v>164</v>
      </c>
      <c r="G9" s="18" t="s">
        <v>227</v>
      </c>
      <c r="H9" s="22" t="s">
        <v>426</v>
      </c>
      <c r="I9" s="18">
        <v>21.42</v>
      </c>
      <c r="J9" s="18" t="s">
        <v>10687</v>
      </c>
      <c r="K9" s="18" t="s">
        <v>10688</v>
      </c>
      <c r="L9" s="18">
        <v>2.68</v>
      </c>
      <c r="M9" s="18" t="s">
        <v>10689</v>
      </c>
      <c r="N9" s="68">
        <v>44909</v>
      </c>
      <c r="O9" s="18" t="s">
        <v>880</v>
      </c>
      <c r="P9" s="73">
        <v>44914</v>
      </c>
      <c r="Q9" s="18" t="s">
        <v>880</v>
      </c>
      <c r="R9" s="18" t="s">
        <v>85</v>
      </c>
      <c r="S9" s="18" t="s">
        <v>90</v>
      </c>
      <c r="T9" s="18" t="s">
        <v>91</v>
      </c>
      <c r="U9" s="18" t="s">
        <v>92</v>
      </c>
      <c r="V9" s="18" t="s">
        <v>93</v>
      </c>
      <c r="W9" t="str">
        <f>VLOOKUP(PaqLlamadas[[#This Row],[NOMBRE PLAZA]],[1]!Locales[#Data],3,0)</f>
        <v>TIENDA CUENCA CENTRO</v>
      </c>
      <c r="X9" t="str">
        <f>VLOOKUP(PaqLlamadas[[#This Row],[USUARIO ACTIVACION BONO]],[1]!Personal[#Data],6,0)</f>
        <v>LUNA JACHO ANDREA GABRIELA</v>
      </c>
      <c r="Y9" s="21">
        <f>3</f>
        <v>3</v>
      </c>
    </row>
    <row r="10" spans="1:25" x14ac:dyDescent="0.25">
      <c r="A10" s="18" t="s">
        <v>1347</v>
      </c>
      <c r="B10" s="18" t="s">
        <v>67</v>
      </c>
      <c r="C10" s="68">
        <v>44912</v>
      </c>
      <c r="D10" s="22" t="s">
        <v>95</v>
      </c>
      <c r="E10" s="18" t="s">
        <v>77</v>
      </c>
      <c r="F10" s="18" t="s">
        <v>164</v>
      </c>
      <c r="G10" s="18" t="s">
        <v>160</v>
      </c>
      <c r="H10" s="22" t="s">
        <v>161</v>
      </c>
      <c r="I10" s="18">
        <v>14.28</v>
      </c>
      <c r="J10" s="18" t="s">
        <v>10687</v>
      </c>
      <c r="K10" s="18" t="s">
        <v>10688</v>
      </c>
      <c r="L10" s="18">
        <v>2.68</v>
      </c>
      <c r="M10" s="18" t="s">
        <v>10689</v>
      </c>
      <c r="N10" s="68">
        <v>44912</v>
      </c>
      <c r="O10" s="18" t="s">
        <v>377</v>
      </c>
      <c r="P10" s="73">
        <v>44914</v>
      </c>
      <c r="Q10" s="18" t="s">
        <v>377</v>
      </c>
      <c r="R10" s="18" t="s">
        <v>85</v>
      </c>
      <c r="S10" s="18" t="s">
        <v>90</v>
      </c>
      <c r="T10" s="18" t="s">
        <v>235</v>
      </c>
      <c r="U10" s="18" t="s">
        <v>139</v>
      </c>
      <c r="V10" s="18" t="s">
        <v>93</v>
      </c>
      <c r="W10" t="str">
        <f>VLOOKUP(PaqLlamadas[[#This Row],[NOMBRE PLAZA]],[1]!Locales[#Data],3,0)</f>
        <v>TIENDA CONDADO</v>
      </c>
      <c r="X10" t="str">
        <f>VLOOKUP(PaqLlamadas[[#This Row],[USUARIO ACTIVACION BONO]],[1]!Personal[#Data],6,0)</f>
        <v>MELCHIADE ISAAC VALMORE</v>
      </c>
      <c r="Y10" s="21">
        <f>3</f>
        <v>3</v>
      </c>
    </row>
    <row r="11" spans="1:25" x14ac:dyDescent="0.25">
      <c r="A11" s="18" t="s">
        <v>1347</v>
      </c>
      <c r="B11" s="18" t="s">
        <v>67</v>
      </c>
      <c r="C11" s="68">
        <v>44912</v>
      </c>
      <c r="D11" s="22" t="s">
        <v>95</v>
      </c>
      <c r="E11" s="18" t="s">
        <v>77</v>
      </c>
      <c r="F11" s="18" t="s">
        <v>164</v>
      </c>
      <c r="G11" s="18" t="s">
        <v>160</v>
      </c>
      <c r="H11" s="22" t="s">
        <v>161</v>
      </c>
      <c r="I11" s="18">
        <v>14.28</v>
      </c>
      <c r="J11" s="18" t="s">
        <v>10687</v>
      </c>
      <c r="K11" s="18" t="s">
        <v>10688</v>
      </c>
      <c r="L11" s="18">
        <v>2.68</v>
      </c>
      <c r="M11" s="18" t="s">
        <v>10689</v>
      </c>
      <c r="N11" s="68">
        <v>44912</v>
      </c>
      <c r="O11" s="18" t="s">
        <v>377</v>
      </c>
      <c r="P11" s="73">
        <v>44914</v>
      </c>
      <c r="Q11" s="18" t="s">
        <v>377</v>
      </c>
      <c r="R11" s="18" t="s">
        <v>85</v>
      </c>
      <c r="S11" s="18" t="s">
        <v>90</v>
      </c>
      <c r="T11" s="18" t="s">
        <v>235</v>
      </c>
      <c r="U11" s="18" t="s">
        <v>139</v>
      </c>
      <c r="V11" s="18" t="s">
        <v>93</v>
      </c>
      <c r="W11" t="str">
        <f>VLOOKUP(PaqLlamadas[[#This Row],[NOMBRE PLAZA]],[1]!Locales[#Data],3,0)</f>
        <v>TIENDA CONDADO</v>
      </c>
      <c r="X11" t="str">
        <f>VLOOKUP(PaqLlamadas[[#This Row],[USUARIO ACTIVACION BONO]],[1]!Personal[#Data],6,0)</f>
        <v>MELCHIADE ISAAC VALMORE</v>
      </c>
      <c r="Y11" s="21">
        <f>3</f>
        <v>3</v>
      </c>
    </row>
    <row r="12" spans="1:25" x14ac:dyDescent="0.25">
      <c r="A12" s="18" t="s">
        <v>1403</v>
      </c>
      <c r="B12" s="18" t="s">
        <v>67</v>
      </c>
      <c r="C12" s="68">
        <v>44910</v>
      </c>
      <c r="D12" s="22" t="s">
        <v>95</v>
      </c>
      <c r="E12" s="18" t="s">
        <v>77</v>
      </c>
      <c r="F12" s="18" t="s">
        <v>164</v>
      </c>
      <c r="G12" s="18" t="s">
        <v>160</v>
      </c>
      <c r="H12" s="22" t="s">
        <v>161</v>
      </c>
      <c r="I12" s="18">
        <v>14.28</v>
      </c>
      <c r="J12" s="18" t="s">
        <v>10687</v>
      </c>
      <c r="K12" s="18" t="s">
        <v>10688</v>
      </c>
      <c r="L12" s="18">
        <v>2.68</v>
      </c>
      <c r="M12" s="18" t="s">
        <v>10689</v>
      </c>
      <c r="N12" s="68">
        <v>44910</v>
      </c>
      <c r="O12" s="18" t="s">
        <v>369</v>
      </c>
      <c r="P12" s="73">
        <v>44914</v>
      </c>
      <c r="Q12" s="18" t="s">
        <v>369</v>
      </c>
      <c r="R12" s="18" t="s">
        <v>85</v>
      </c>
      <c r="S12" s="18" t="s">
        <v>90</v>
      </c>
      <c r="T12" s="18" t="s">
        <v>177</v>
      </c>
      <c r="U12" s="18" t="s">
        <v>139</v>
      </c>
      <c r="V12" s="18" t="s">
        <v>93</v>
      </c>
      <c r="W12" t="str">
        <f>VLOOKUP(PaqLlamadas[[#This Row],[NOMBRE PLAZA]],[1]!Locales[#Data],3,0)</f>
        <v>TIENDA RECREO</v>
      </c>
      <c r="X12" t="str">
        <f>VLOOKUP(PaqLlamadas[[#This Row],[USUARIO ACTIVACION BONO]],[1]!Personal[#Data],6,0)</f>
        <v>GUAIGUA REINOSO GENESIS CAROLINA</v>
      </c>
      <c r="Y12" s="21">
        <f>3</f>
        <v>3</v>
      </c>
    </row>
    <row r="13" spans="1:25" x14ac:dyDescent="0.25">
      <c r="A13" s="18" t="s">
        <v>10701</v>
      </c>
      <c r="B13" s="18" t="s">
        <v>67</v>
      </c>
      <c r="C13" s="68">
        <v>44874</v>
      </c>
      <c r="D13" s="22" t="s">
        <v>95</v>
      </c>
      <c r="E13" s="18" t="s">
        <v>520</v>
      </c>
      <c r="F13" s="18" t="s">
        <v>8017</v>
      </c>
      <c r="G13" s="18" t="s">
        <v>194</v>
      </c>
      <c r="H13" s="22" t="s">
        <v>268</v>
      </c>
      <c r="I13" s="18">
        <v>14.28</v>
      </c>
      <c r="J13" s="18" t="s">
        <v>10696</v>
      </c>
      <c r="K13" s="18" t="s">
        <v>10697</v>
      </c>
      <c r="L13" s="18">
        <v>4.46</v>
      </c>
      <c r="M13" s="18" t="s">
        <v>10689</v>
      </c>
      <c r="N13" s="68">
        <v>44908</v>
      </c>
      <c r="O13" s="18" t="s">
        <v>2159</v>
      </c>
      <c r="P13" s="73">
        <v>44914</v>
      </c>
      <c r="Q13" s="18" t="s">
        <v>2159</v>
      </c>
      <c r="R13" s="18" t="s">
        <v>85</v>
      </c>
      <c r="S13" s="18" t="s">
        <v>90</v>
      </c>
      <c r="T13" s="18" t="s">
        <v>177</v>
      </c>
      <c r="U13" s="18" t="s">
        <v>139</v>
      </c>
      <c r="V13" s="18" t="s">
        <v>93</v>
      </c>
      <c r="W13" t="str">
        <f>VLOOKUP(PaqLlamadas[[#This Row],[NOMBRE PLAZA]],[1]!Locales[#Data],3,0)</f>
        <v>TIENDA RECREO</v>
      </c>
      <c r="X13" t="str">
        <f>VLOOKUP(PaqLlamadas[[#This Row],[USUARIO ACTIVACION BONO]],[1]!Personal[#Data],6,0)</f>
        <v>GUEVARA MAZA CRISTIAN FABIAN</v>
      </c>
      <c r="Y13" s="21">
        <f>3</f>
        <v>3</v>
      </c>
    </row>
    <row r="14" spans="1:25" x14ac:dyDescent="0.25">
      <c r="A14" s="18" t="s">
        <v>7186</v>
      </c>
      <c r="B14" s="18" t="s">
        <v>67</v>
      </c>
      <c r="C14" s="68">
        <v>44438</v>
      </c>
      <c r="D14" s="22" t="s">
        <v>95</v>
      </c>
      <c r="E14" s="18" t="s">
        <v>77</v>
      </c>
      <c r="F14" s="18" t="s">
        <v>2241</v>
      </c>
      <c r="G14" s="18" t="s">
        <v>227</v>
      </c>
      <c r="H14" s="22" t="s">
        <v>426</v>
      </c>
      <c r="I14" s="18">
        <v>21.42</v>
      </c>
      <c r="J14" s="18" t="s">
        <v>10691</v>
      </c>
      <c r="K14" s="18" t="s">
        <v>10692</v>
      </c>
      <c r="L14" s="18">
        <v>2.68</v>
      </c>
      <c r="M14" s="18" t="s">
        <v>10689</v>
      </c>
      <c r="N14" s="68">
        <v>44907</v>
      </c>
      <c r="O14" s="18" t="s">
        <v>175</v>
      </c>
      <c r="P14" s="73">
        <v>44914</v>
      </c>
      <c r="Q14" s="18" t="s">
        <v>175</v>
      </c>
      <c r="R14" s="18" t="s">
        <v>85</v>
      </c>
      <c r="S14" s="18" t="s">
        <v>90</v>
      </c>
      <c r="T14" s="18" t="s">
        <v>177</v>
      </c>
      <c r="U14" s="18" t="s">
        <v>139</v>
      </c>
      <c r="V14" s="18" t="s">
        <v>95</v>
      </c>
      <c r="W14" t="str">
        <f>VLOOKUP(PaqLlamadas[[#This Row],[NOMBRE PLAZA]],[1]!Locales[#Data],3,0)</f>
        <v>TIENDA RECREO</v>
      </c>
      <c r="X14" t="str">
        <f>VLOOKUP(PaqLlamadas[[#This Row],[USUARIO ACTIVACION BONO]],[1]!Personal[#Data],6,0)</f>
        <v>VARGAS REYES LUIS EDUARDO</v>
      </c>
      <c r="Y14" s="21">
        <f>3</f>
        <v>3</v>
      </c>
    </row>
    <row r="15" spans="1:25" x14ac:dyDescent="0.25">
      <c r="A15" s="18" t="s">
        <v>10702</v>
      </c>
      <c r="B15" s="18" t="s">
        <v>67</v>
      </c>
      <c r="C15" s="68">
        <v>44878</v>
      </c>
      <c r="D15" s="22" t="s">
        <v>95</v>
      </c>
      <c r="E15" s="18" t="s">
        <v>77</v>
      </c>
      <c r="F15" s="18" t="s">
        <v>4453</v>
      </c>
      <c r="G15" s="18" t="s">
        <v>671</v>
      </c>
      <c r="H15" s="22" t="s">
        <v>672</v>
      </c>
      <c r="I15" s="18">
        <v>15</v>
      </c>
      <c r="J15" s="18" t="s">
        <v>10703</v>
      </c>
      <c r="K15" s="18" t="s">
        <v>10704</v>
      </c>
      <c r="L15" s="18">
        <v>2.68</v>
      </c>
      <c r="M15" s="18" t="s">
        <v>10689</v>
      </c>
      <c r="N15" s="68">
        <v>44901</v>
      </c>
      <c r="O15" s="18" t="s">
        <v>1315</v>
      </c>
      <c r="P15" s="73">
        <v>44914</v>
      </c>
      <c r="Q15" s="18" t="s">
        <v>1315</v>
      </c>
      <c r="R15" s="18" t="s">
        <v>85</v>
      </c>
      <c r="S15" s="18" t="s">
        <v>90</v>
      </c>
      <c r="T15" s="18" t="s">
        <v>177</v>
      </c>
      <c r="U15" s="18" t="s">
        <v>139</v>
      </c>
      <c r="V15" s="18" t="s">
        <v>165</v>
      </c>
      <c r="W15" t="str">
        <f>VLOOKUP(PaqLlamadas[[#This Row],[NOMBRE PLAZA]],[1]!Locales[#Data],3,0)</f>
        <v>TIENDA RECREO</v>
      </c>
      <c r="X15" t="str">
        <f>VLOOKUP(PaqLlamadas[[#This Row],[USUARIO ACTIVACION BONO]],[1]!Personal[#Data],6,0)</f>
        <v>ORTEGA  NATALIE MÉNDEZ</v>
      </c>
      <c r="Y15" s="21">
        <f>3</f>
        <v>3</v>
      </c>
    </row>
    <row r="16" spans="1:25" x14ac:dyDescent="0.25">
      <c r="A16" s="18" t="s">
        <v>10702</v>
      </c>
      <c r="B16" s="18" t="s">
        <v>67</v>
      </c>
      <c r="C16" s="68">
        <v>44878</v>
      </c>
      <c r="D16" s="22" t="s">
        <v>95</v>
      </c>
      <c r="E16" s="18" t="s">
        <v>77</v>
      </c>
      <c r="F16" s="18" t="s">
        <v>4453</v>
      </c>
      <c r="G16" s="18" t="s">
        <v>671</v>
      </c>
      <c r="H16" s="22" t="s">
        <v>672</v>
      </c>
      <c r="I16" s="18">
        <v>15</v>
      </c>
      <c r="J16" s="18" t="s">
        <v>10703</v>
      </c>
      <c r="K16" s="18" t="s">
        <v>10704</v>
      </c>
      <c r="L16" s="18">
        <v>2.68</v>
      </c>
      <c r="M16" s="18" t="s">
        <v>10689</v>
      </c>
      <c r="N16" s="68">
        <v>44901</v>
      </c>
      <c r="O16" s="18" t="s">
        <v>1315</v>
      </c>
      <c r="P16" s="73">
        <v>44914</v>
      </c>
      <c r="Q16" s="18" t="s">
        <v>1315</v>
      </c>
      <c r="R16" s="18" t="s">
        <v>85</v>
      </c>
      <c r="S16" s="18" t="s">
        <v>90</v>
      </c>
      <c r="T16" s="18" t="s">
        <v>177</v>
      </c>
      <c r="U16" s="18" t="s">
        <v>139</v>
      </c>
      <c r="V16" s="18" t="s">
        <v>165</v>
      </c>
      <c r="W16" t="str">
        <f>VLOOKUP(PaqLlamadas[[#This Row],[NOMBRE PLAZA]],[1]!Locales[#Data],3,0)</f>
        <v>TIENDA RECREO</v>
      </c>
      <c r="X16" t="str">
        <f>VLOOKUP(PaqLlamadas[[#This Row],[USUARIO ACTIVACION BONO]],[1]!Personal[#Data],6,0)</f>
        <v>ORTEGA  NATALIE MÉNDEZ</v>
      </c>
      <c r="Y16" s="21">
        <f>3</f>
        <v>3</v>
      </c>
    </row>
    <row r="17" spans="1:25" x14ac:dyDescent="0.25">
      <c r="A17" s="18" t="s">
        <v>1939</v>
      </c>
      <c r="B17" s="18" t="s">
        <v>67</v>
      </c>
      <c r="C17" s="68">
        <v>44910</v>
      </c>
      <c r="D17" s="22" t="s">
        <v>95</v>
      </c>
      <c r="E17" s="18" t="s">
        <v>77</v>
      </c>
      <c r="F17" s="18" t="s">
        <v>164</v>
      </c>
      <c r="G17" s="18" t="s">
        <v>160</v>
      </c>
      <c r="H17" s="22" t="s">
        <v>161</v>
      </c>
      <c r="I17" s="18">
        <v>14.28</v>
      </c>
      <c r="J17" s="18" t="s">
        <v>10687</v>
      </c>
      <c r="K17" s="18" t="s">
        <v>10688</v>
      </c>
      <c r="L17" s="18">
        <v>2.68</v>
      </c>
      <c r="M17" s="18" t="s">
        <v>10689</v>
      </c>
      <c r="N17" s="68">
        <v>44910</v>
      </c>
      <c r="O17" s="18" t="s">
        <v>369</v>
      </c>
      <c r="P17" s="73">
        <v>44914</v>
      </c>
      <c r="Q17" s="18" t="s">
        <v>369</v>
      </c>
      <c r="R17" s="18" t="s">
        <v>85</v>
      </c>
      <c r="S17" s="18" t="s">
        <v>90</v>
      </c>
      <c r="T17" s="18" t="s">
        <v>177</v>
      </c>
      <c r="U17" s="18" t="s">
        <v>139</v>
      </c>
      <c r="V17" s="18" t="s">
        <v>93</v>
      </c>
      <c r="W17" t="str">
        <f>VLOOKUP(PaqLlamadas[[#This Row],[NOMBRE PLAZA]],[1]!Locales[#Data],3,0)</f>
        <v>TIENDA RECREO</v>
      </c>
      <c r="X17" t="str">
        <f>VLOOKUP(PaqLlamadas[[#This Row],[USUARIO ACTIVACION BONO]],[1]!Personal[#Data],6,0)</f>
        <v>GUAIGUA REINOSO GENESIS CAROLINA</v>
      </c>
      <c r="Y17" s="21">
        <f>3</f>
        <v>3</v>
      </c>
    </row>
    <row r="18" spans="1:25" x14ac:dyDescent="0.25">
      <c r="A18" s="18" t="s">
        <v>1939</v>
      </c>
      <c r="B18" s="18" t="s">
        <v>67</v>
      </c>
      <c r="C18" s="68">
        <v>44910</v>
      </c>
      <c r="D18" s="22" t="s">
        <v>95</v>
      </c>
      <c r="E18" s="18" t="s">
        <v>77</v>
      </c>
      <c r="F18" s="18" t="s">
        <v>164</v>
      </c>
      <c r="G18" s="18" t="s">
        <v>160</v>
      </c>
      <c r="H18" s="22" t="s">
        <v>161</v>
      </c>
      <c r="I18" s="18">
        <v>14.28</v>
      </c>
      <c r="J18" s="18" t="s">
        <v>10687</v>
      </c>
      <c r="K18" s="18" t="s">
        <v>10688</v>
      </c>
      <c r="L18" s="18">
        <v>2.68</v>
      </c>
      <c r="M18" s="18" t="s">
        <v>10689</v>
      </c>
      <c r="N18" s="68">
        <v>44910</v>
      </c>
      <c r="O18" s="18" t="s">
        <v>369</v>
      </c>
      <c r="P18" s="73">
        <v>44914</v>
      </c>
      <c r="Q18" s="18" t="s">
        <v>369</v>
      </c>
      <c r="R18" s="18" t="s">
        <v>85</v>
      </c>
      <c r="S18" s="18" t="s">
        <v>90</v>
      </c>
      <c r="T18" s="18" t="s">
        <v>177</v>
      </c>
      <c r="U18" s="18" t="s">
        <v>139</v>
      </c>
      <c r="V18" s="18" t="s">
        <v>93</v>
      </c>
      <c r="W18" t="str">
        <f>VLOOKUP(PaqLlamadas[[#This Row],[NOMBRE PLAZA]],[1]!Locales[#Data],3,0)</f>
        <v>TIENDA RECREO</v>
      </c>
      <c r="X18" t="str">
        <f>VLOOKUP(PaqLlamadas[[#This Row],[USUARIO ACTIVACION BONO]],[1]!Personal[#Data],6,0)</f>
        <v>GUAIGUA REINOSO GENESIS CAROLINA</v>
      </c>
      <c r="Y18" s="21">
        <f>3</f>
        <v>3</v>
      </c>
    </row>
    <row r="19" spans="1:25" x14ac:dyDescent="0.25">
      <c r="A19" s="18" t="s">
        <v>1945</v>
      </c>
      <c r="B19" s="18" t="s">
        <v>67</v>
      </c>
      <c r="C19" s="68">
        <v>44908</v>
      </c>
      <c r="D19" s="22" t="s">
        <v>95</v>
      </c>
      <c r="E19" s="18" t="s">
        <v>77</v>
      </c>
      <c r="F19" s="18" t="s">
        <v>164</v>
      </c>
      <c r="G19" s="18" t="s">
        <v>227</v>
      </c>
      <c r="H19" s="22" t="s">
        <v>426</v>
      </c>
      <c r="I19" s="18">
        <v>21.42</v>
      </c>
      <c r="J19" s="18" t="s">
        <v>10687</v>
      </c>
      <c r="K19" s="18" t="s">
        <v>10688</v>
      </c>
      <c r="L19" s="18">
        <v>2.68</v>
      </c>
      <c r="M19" s="18" t="s">
        <v>10689</v>
      </c>
      <c r="N19" s="68">
        <v>44908</v>
      </c>
      <c r="O19" s="18" t="s">
        <v>352</v>
      </c>
      <c r="P19" s="73">
        <v>44914</v>
      </c>
      <c r="Q19" s="18" t="s">
        <v>352</v>
      </c>
      <c r="R19" s="18" t="s">
        <v>85</v>
      </c>
      <c r="S19" s="18" t="s">
        <v>90</v>
      </c>
      <c r="T19" s="18" t="s">
        <v>122</v>
      </c>
      <c r="U19" s="18" t="s">
        <v>92</v>
      </c>
      <c r="V19" s="18" t="s">
        <v>93</v>
      </c>
      <c r="W19" t="str">
        <f>VLOOKUP(PaqLlamadas[[#This Row],[NOMBRE PLAZA]],[1]!Locales[#Data],3,0)</f>
        <v>TIENDA MACHALA</v>
      </c>
      <c r="X19" t="str">
        <f>VLOOKUP(PaqLlamadas[[#This Row],[USUARIO ACTIVACION BONO]],[1]!Personal[#Data],6,0)</f>
        <v>TENORIO MARIA DEL PILAR</v>
      </c>
      <c r="Y19" s="21">
        <f>3</f>
        <v>3</v>
      </c>
    </row>
    <row r="20" spans="1:25" x14ac:dyDescent="0.25">
      <c r="A20" s="18" t="s">
        <v>10705</v>
      </c>
      <c r="B20" s="18" t="s">
        <v>67</v>
      </c>
      <c r="C20" s="68">
        <v>44792</v>
      </c>
      <c r="D20" s="22" t="s">
        <v>95</v>
      </c>
      <c r="E20" s="18" t="s">
        <v>77</v>
      </c>
      <c r="F20" s="18" t="s">
        <v>2241</v>
      </c>
      <c r="G20" s="18" t="s">
        <v>130</v>
      </c>
      <c r="H20" s="22" t="s">
        <v>433</v>
      </c>
      <c r="I20" s="18">
        <v>15</v>
      </c>
      <c r="J20" s="18" t="s">
        <v>10696</v>
      </c>
      <c r="K20" s="18" t="s">
        <v>10697</v>
      </c>
      <c r="L20" s="18">
        <v>4.46</v>
      </c>
      <c r="M20" s="18" t="s">
        <v>10689</v>
      </c>
      <c r="N20" s="68">
        <v>44896</v>
      </c>
      <c r="O20" s="18" t="s">
        <v>651</v>
      </c>
      <c r="P20" s="73">
        <v>44914</v>
      </c>
      <c r="Q20" s="18" t="s">
        <v>651</v>
      </c>
      <c r="R20" s="18" t="s">
        <v>85</v>
      </c>
      <c r="S20" s="18" t="s">
        <v>90</v>
      </c>
      <c r="T20" s="18" t="s">
        <v>122</v>
      </c>
      <c r="U20" s="18" t="s">
        <v>92</v>
      </c>
      <c r="V20" s="18" t="s">
        <v>165</v>
      </c>
      <c r="W20" t="str">
        <f>VLOOKUP(PaqLlamadas[[#This Row],[NOMBRE PLAZA]],[1]!Locales[#Data],3,0)</f>
        <v>TIENDA MACHALA</v>
      </c>
      <c r="X20" t="str">
        <f>VLOOKUP(PaqLlamadas[[#This Row],[USUARIO ACTIVACION BONO]],[1]!Personal[#Data],6,0)</f>
        <v>SANCHEZ SARITAMA JOEL LUIS</v>
      </c>
      <c r="Y20" s="21">
        <f>3</f>
        <v>3</v>
      </c>
    </row>
    <row r="21" spans="1:25" x14ac:dyDescent="0.25">
      <c r="A21" s="18" t="s">
        <v>2191</v>
      </c>
      <c r="B21" s="18" t="s">
        <v>67</v>
      </c>
      <c r="C21" s="68">
        <v>44900</v>
      </c>
      <c r="D21" s="22" t="s">
        <v>95</v>
      </c>
      <c r="E21" s="18" t="s">
        <v>77</v>
      </c>
      <c r="F21" s="18" t="s">
        <v>164</v>
      </c>
      <c r="G21" s="18" t="s">
        <v>160</v>
      </c>
      <c r="H21" s="22" t="s">
        <v>161</v>
      </c>
      <c r="I21" s="18">
        <v>14.28</v>
      </c>
      <c r="J21" s="18" t="s">
        <v>10687</v>
      </c>
      <c r="K21" s="18" t="s">
        <v>10688</v>
      </c>
      <c r="L21" s="18">
        <v>2.68</v>
      </c>
      <c r="M21" s="18" t="s">
        <v>10689</v>
      </c>
      <c r="N21" s="68">
        <v>44900</v>
      </c>
      <c r="O21" s="18" t="s">
        <v>352</v>
      </c>
      <c r="P21" s="73">
        <v>44914</v>
      </c>
      <c r="Q21" s="18" t="s">
        <v>352</v>
      </c>
      <c r="R21" s="18" t="s">
        <v>85</v>
      </c>
      <c r="S21" s="18" t="s">
        <v>90</v>
      </c>
      <c r="T21" s="18" t="s">
        <v>122</v>
      </c>
      <c r="U21" s="18" t="s">
        <v>92</v>
      </c>
      <c r="V21" s="18" t="s">
        <v>93</v>
      </c>
      <c r="W21" t="str">
        <f>VLOOKUP(PaqLlamadas[[#This Row],[NOMBRE PLAZA]],[1]!Locales[#Data],3,0)</f>
        <v>TIENDA MACHALA</v>
      </c>
      <c r="X21" t="str">
        <f>VLOOKUP(PaqLlamadas[[#This Row],[USUARIO ACTIVACION BONO]],[1]!Personal[#Data],6,0)</f>
        <v>TENORIO MARIA DEL PILAR</v>
      </c>
      <c r="Y21" s="21">
        <f>3</f>
        <v>3</v>
      </c>
    </row>
    <row r="22" spans="1:25" x14ac:dyDescent="0.25">
      <c r="A22" s="18" t="s">
        <v>2191</v>
      </c>
      <c r="B22" s="18" t="s">
        <v>67</v>
      </c>
      <c r="C22" s="68">
        <v>44900</v>
      </c>
      <c r="D22" s="22" t="s">
        <v>95</v>
      </c>
      <c r="E22" s="18" t="s">
        <v>77</v>
      </c>
      <c r="F22" s="18" t="s">
        <v>164</v>
      </c>
      <c r="G22" s="18" t="s">
        <v>160</v>
      </c>
      <c r="H22" s="22" t="s">
        <v>161</v>
      </c>
      <c r="I22" s="18">
        <v>14.28</v>
      </c>
      <c r="J22" s="18" t="s">
        <v>10687</v>
      </c>
      <c r="K22" s="18" t="s">
        <v>10688</v>
      </c>
      <c r="L22" s="18">
        <v>2.68</v>
      </c>
      <c r="M22" s="18" t="s">
        <v>10689</v>
      </c>
      <c r="N22" s="68">
        <v>44900</v>
      </c>
      <c r="O22" s="18" t="s">
        <v>352</v>
      </c>
      <c r="P22" s="73">
        <v>44914</v>
      </c>
      <c r="Q22" s="18" t="s">
        <v>352</v>
      </c>
      <c r="R22" s="18" t="s">
        <v>85</v>
      </c>
      <c r="S22" s="18" t="s">
        <v>90</v>
      </c>
      <c r="T22" s="18" t="s">
        <v>122</v>
      </c>
      <c r="U22" s="18" t="s">
        <v>92</v>
      </c>
      <c r="V22" s="18" t="s">
        <v>93</v>
      </c>
      <c r="W22" t="str">
        <f>VLOOKUP(PaqLlamadas[[#This Row],[NOMBRE PLAZA]],[1]!Locales[#Data],3,0)</f>
        <v>TIENDA MACHALA</v>
      </c>
      <c r="X22" t="str">
        <f>VLOOKUP(PaqLlamadas[[#This Row],[USUARIO ACTIVACION BONO]],[1]!Personal[#Data],6,0)</f>
        <v>TENORIO MARIA DEL PILAR</v>
      </c>
      <c r="Y22" s="21">
        <f>3</f>
        <v>3</v>
      </c>
    </row>
    <row r="23" spans="1:25" x14ac:dyDescent="0.25">
      <c r="A23" s="18" t="s">
        <v>10706</v>
      </c>
      <c r="B23" s="18" t="s">
        <v>67</v>
      </c>
      <c r="C23" s="68">
        <v>44852</v>
      </c>
      <c r="D23" s="22" t="s">
        <v>95</v>
      </c>
      <c r="E23" s="18" t="s">
        <v>231</v>
      </c>
      <c r="F23" s="18" t="s">
        <v>231</v>
      </c>
      <c r="G23" s="18" t="s">
        <v>359</v>
      </c>
      <c r="H23" s="22" t="s">
        <v>360</v>
      </c>
      <c r="I23" s="18">
        <v>14.28</v>
      </c>
      <c r="J23" s="18" t="s">
        <v>10703</v>
      </c>
      <c r="K23" s="18" t="s">
        <v>10704</v>
      </c>
      <c r="L23" s="18">
        <v>2.68</v>
      </c>
      <c r="M23" s="18" t="s">
        <v>10689</v>
      </c>
      <c r="N23" s="68">
        <v>44900</v>
      </c>
      <c r="O23" s="18" t="s">
        <v>377</v>
      </c>
      <c r="P23" s="73">
        <v>44914</v>
      </c>
      <c r="Q23" s="18" t="s">
        <v>377</v>
      </c>
      <c r="R23" s="18" t="s">
        <v>85</v>
      </c>
      <c r="S23" s="18" t="s">
        <v>90</v>
      </c>
      <c r="T23" s="18" t="s">
        <v>235</v>
      </c>
      <c r="U23" s="18" t="s">
        <v>139</v>
      </c>
      <c r="V23" s="18" t="s">
        <v>93</v>
      </c>
      <c r="W23" t="str">
        <f>VLOOKUP(PaqLlamadas[[#This Row],[NOMBRE PLAZA]],[1]!Locales[#Data],3,0)</f>
        <v>TIENDA CONDADO</v>
      </c>
      <c r="X23" t="str">
        <f>VLOOKUP(PaqLlamadas[[#This Row],[USUARIO ACTIVACION BONO]],[1]!Personal[#Data],6,0)</f>
        <v>MELCHIADE ISAAC VALMORE</v>
      </c>
      <c r="Y23" s="21">
        <f>3</f>
        <v>3</v>
      </c>
    </row>
    <row r="24" spans="1:25" x14ac:dyDescent="0.25">
      <c r="A24" s="18" t="s">
        <v>10707</v>
      </c>
      <c r="B24" s="18" t="s">
        <v>67</v>
      </c>
      <c r="C24" s="68">
        <v>42900</v>
      </c>
      <c r="D24" s="22" t="s">
        <v>95</v>
      </c>
      <c r="E24" s="18" t="s">
        <v>77</v>
      </c>
      <c r="F24" s="18" t="s">
        <v>1532</v>
      </c>
      <c r="G24" s="18" t="s">
        <v>359</v>
      </c>
      <c r="H24" s="22" t="s">
        <v>360</v>
      </c>
      <c r="I24" s="18">
        <v>14.28</v>
      </c>
      <c r="J24" s="18" t="s">
        <v>10703</v>
      </c>
      <c r="K24" s="18" t="s">
        <v>10704</v>
      </c>
      <c r="L24" s="18">
        <v>2.68</v>
      </c>
      <c r="M24" s="18" t="s">
        <v>10689</v>
      </c>
      <c r="N24" s="68">
        <v>44910</v>
      </c>
      <c r="O24" s="18" t="s">
        <v>420</v>
      </c>
      <c r="P24" s="73">
        <v>44914</v>
      </c>
      <c r="Q24" s="18" t="s">
        <v>420</v>
      </c>
      <c r="R24" s="18" t="s">
        <v>85</v>
      </c>
      <c r="S24" s="18" t="s">
        <v>90</v>
      </c>
      <c r="T24" s="18" t="s">
        <v>151</v>
      </c>
      <c r="U24" s="18" t="s">
        <v>92</v>
      </c>
      <c r="V24" s="18" t="s">
        <v>95</v>
      </c>
      <c r="W24" t="str">
        <f>VLOOKUP(PaqLlamadas[[#This Row],[NOMBRE PLAZA]],[1]!Locales[#Data],3,0)</f>
        <v>TIENDA CUENCA REMIGIO</v>
      </c>
      <c r="X24" t="str">
        <f>VLOOKUP(PaqLlamadas[[#This Row],[USUARIO ACTIVACION BONO]],[1]!Personal[#Data],6,0)</f>
        <v>YEPEZ PALOMEQUE DIANA PATRICIA</v>
      </c>
      <c r="Y24" s="21">
        <f>3</f>
        <v>3</v>
      </c>
    </row>
    <row r="25" spans="1:25" x14ac:dyDescent="0.25">
      <c r="A25" s="18" t="s">
        <v>7333</v>
      </c>
      <c r="B25" s="18" t="s">
        <v>67</v>
      </c>
      <c r="C25" s="68">
        <v>43014</v>
      </c>
      <c r="D25" s="22" t="s">
        <v>95</v>
      </c>
      <c r="E25" s="18" t="s">
        <v>768</v>
      </c>
      <c r="F25" s="18" t="s">
        <v>768</v>
      </c>
      <c r="G25" s="18" t="s">
        <v>3972</v>
      </c>
      <c r="H25" s="22" t="s">
        <v>3973</v>
      </c>
      <c r="I25" s="18">
        <v>26.78</v>
      </c>
      <c r="J25" s="18" t="s">
        <v>10699</v>
      </c>
      <c r="K25" s="18" t="s">
        <v>10700</v>
      </c>
      <c r="L25" s="18">
        <v>4.46</v>
      </c>
      <c r="M25" s="18" t="s">
        <v>10689</v>
      </c>
      <c r="N25" s="68">
        <v>44912</v>
      </c>
      <c r="O25" s="18" t="s">
        <v>396</v>
      </c>
      <c r="P25" s="73">
        <v>44914</v>
      </c>
      <c r="Q25" s="18" t="s">
        <v>396</v>
      </c>
      <c r="R25" s="18" t="s">
        <v>85</v>
      </c>
      <c r="S25" s="18" t="s">
        <v>90</v>
      </c>
      <c r="T25" s="18" t="s">
        <v>177</v>
      </c>
      <c r="U25" s="18" t="s">
        <v>139</v>
      </c>
      <c r="V25" s="18" t="s">
        <v>95</v>
      </c>
      <c r="W25" t="str">
        <f>VLOOKUP(PaqLlamadas[[#This Row],[NOMBRE PLAZA]],[1]!Locales[#Data],3,0)</f>
        <v>TIENDA RECREO</v>
      </c>
      <c r="X25" t="str">
        <f>VLOOKUP(PaqLlamadas[[#This Row],[USUARIO ACTIVACION BONO]],[1]!Personal[#Data],6,0)</f>
        <v>VINUEZA VELASCO ANGY DAYANA</v>
      </c>
      <c r="Y25" s="21">
        <f>3</f>
        <v>3</v>
      </c>
    </row>
    <row r="26" spans="1:25" x14ac:dyDescent="0.25">
      <c r="A26" s="18" t="s">
        <v>3071</v>
      </c>
      <c r="B26" s="18" t="s">
        <v>67</v>
      </c>
      <c r="C26" s="68">
        <v>44910</v>
      </c>
      <c r="D26" s="22" t="s">
        <v>95</v>
      </c>
      <c r="E26" s="18" t="s">
        <v>77</v>
      </c>
      <c r="F26" s="18" t="s">
        <v>164</v>
      </c>
      <c r="G26" s="18" t="s">
        <v>160</v>
      </c>
      <c r="H26" s="22" t="s">
        <v>161</v>
      </c>
      <c r="I26" s="18">
        <v>14.28</v>
      </c>
      <c r="J26" s="18" t="s">
        <v>10687</v>
      </c>
      <c r="K26" s="18" t="s">
        <v>10688</v>
      </c>
      <c r="L26" s="18">
        <v>2.68</v>
      </c>
      <c r="M26" s="18" t="s">
        <v>10689</v>
      </c>
      <c r="N26" s="68">
        <v>44910</v>
      </c>
      <c r="O26" s="18" t="s">
        <v>369</v>
      </c>
      <c r="P26" s="73">
        <v>44914</v>
      </c>
      <c r="Q26" s="18" t="s">
        <v>369</v>
      </c>
      <c r="R26" s="18" t="s">
        <v>85</v>
      </c>
      <c r="S26" s="18" t="s">
        <v>90</v>
      </c>
      <c r="T26" s="18" t="s">
        <v>177</v>
      </c>
      <c r="U26" s="18" t="s">
        <v>139</v>
      </c>
      <c r="V26" s="18" t="s">
        <v>93</v>
      </c>
      <c r="W26" t="str">
        <f>VLOOKUP(PaqLlamadas[[#This Row],[NOMBRE PLAZA]],[1]!Locales[#Data],3,0)</f>
        <v>TIENDA RECREO</v>
      </c>
      <c r="X26" t="str">
        <f>VLOOKUP(PaqLlamadas[[#This Row],[USUARIO ACTIVACION BONO]],[1]!Personal[#Data],6,0)</f>
        <v>GUAIGUA REINOSO GENESIS CAROLINA</v>
      </c>
      <c r="Y26" s="21">
        <f>3</f>
        <v>3</v>
      </c>
    </row>
    <row r="27" spans="1:25" x14ac:dyDescent="0.25">
      <c r="A27" s="18" t="s">
        <v>9908</v>
      </c>
      <c r="B27" s="18" t="s">
        <v>67</v>
      </c>
      <c r="C27" s="68">
        <v>43821</v>
      </c>
      <c r="D27" s="22" t="s">
        <v>95</v>
      </c>
      <c r="E27" s="18" t="s">
        <v>77</v>
      </c>
      <c r="F27" s="18" t="s">
        <v>2241</v>
      </c>
      <c r="G27" s="18" t="s">
        <v>7074</v>
      </c>
      <c r="H27" s="22" t="s">
        <v>7557</v>
      </c>
      <c r="I27" s="18">
        <v>12.99</v>
      </c>
      <c r="J27" s="18" t="s">
        <v>10687</v>
      </c>
      <c r="K27" s="18" t="s">
        <v>10688</v>
      </c>
      <c r="L27" s="18">
        <v>2.68</v>
      </c>
      <c r="M27" s="18" t="s">
        <v>10689</v>
      </c>
      <c r="N27" s="68">
        <v>44909</v>
      </c>
      <c r="O27" s="18" t="s">
        <v>233</v>
      </c>
      <c r="P27" s="73">
        <v>44914</v>
      </c>
      <c r="Q27" s="18" t="s">
        <v>233</v>
      </c>
      <c r="R27" s="18" t="s">
        <v>85</v>
      </c>
      <c r="S27" s="18" t="s">
        <v>90</v>
      </c>
      <c r="T27" s="18" t="s">
        <v>235</v>
      </c>
      <c r="U27" s="18" t="s">
        <v>139</v>
      </c>
      <c r="V27" s="18" t="s">
        <v>95</v>
      </c>
      <c r="W27" t="str">
        <f>VLOOKUP(PaqLlamadas[[#This Row],[NOMBRE PLAZA]],[1]!Locales[#Data],3,0)</f>
        <v>TIENDA CONDADO</v>
      </c>
      <c r="X27" t="str">
        <f>VLOOKUP(PaqLlamadas[[#This Row],[USUARIO ACTIVACION BONO]],[1]!Personal[#Data],6,0)</f>
        <v>ROSALES MALDONADO JESSICA GABRIELA</v>
      </c>
      <c r="Y27" s="21">
        <f>3</f>
        <v>3</v>
      </c>
    </row>
    <row r="28" spans="1:25" x14ac:dyDescent="0.25">
      <c r="A28" s="18" t="s">
        <v>10708</v>
      </c>
      <c r="B28" s="18" t="s">
        <v>67</v>
      </c>
      <c r="C28" s="68">
        <v>44897</v>
      </c>
      <c r="D28" s="22" t="s">
        <v>95</v>
      </c>
      <c r="E28" s="18" t="s">
        <v>520</v>
      </c>
      <c r="F28" s="18" t="s">
        <v>8017</v>
      </c>
      <c r="G28" s="18" t="s">
        <v>7055</v>
      </c>
      <c r="H28" s="22" t="s">
        <v>7056</v>
      </c>
      <c r="I28" s="18">
        <v>15</v>
      </c>
      <c r="J28" s="18" t="s">
        <v>10703</v>
      </c>
      <c r="K28" s="18" t="s">
        <v>10704</v>
      </c>
      <c r="L28" s="18">
        <v>2.68</v>
      </c>
      <c r="M28" s="18" t="s">
        <v>10689</v>
      </c>
      <c r="N28" s="68">
        <v>44897</v>
      </c>
      <c r="O28" s="18" t="s">
        <v>866</v>
      </c>
      <c r="P28" s="73">
        <v>44914</v>
      </c>
      <c r="Q28" s="18" t="s">
        <v>866</v>
      </c>
      <c r="R28" s="18" t="s">
        <v>85</v>
      </c>
      <c r="S28" s="18" t="s">
        <v>90</v>
      </c>
      <c r="T28" s="18" t="s">
        <v>138</v>
      </c>
      <c r="U28" s="18" t="s">
        <v>139</v>
      </c>
      <c r="V28" s="18" t="s">
        <v>95</v>
      </c>
      <c r="W28" t="str">
        <f>VLOOKUP(PaqLlamadas[[#This Row],[NOMBRE PLAZA]],[1]!Locales[#Data],3,0)</f>
        <v>TIENDA AMERICA</v>
      </c>
      <c r="X28" t="str">
        <f>VLOOKUP(PaqLlamadas[[#This Row],[USUARIO ACTIVACION BONO]],[1]!Personal[#Data],6,0)</f>
        <v>ORTEGA RUIZ GABRIEL ANTONIO</v>
      </c>
      <c r="Y28" s="21">
        <f>3</f>
        <v>3</v>
      </c>
    </row>
    <row r="29" spans="1:25" x14ac:dyDescent="0.25">
      <c r="A29" s="18" t="s">
        <v>3445</v>
      </c>
      <c r="B29" s="18" t="s">
        <v>67</v>
      </c>
      <c r="C29" s="68">
        <v>44904</v>
      </c>
      <c r="D29" s="22" t="s">
        <v>95</v>
      </c>
      <c r="E29" s="18" t="s">
        <v>77</v>
      </c>
      <c r="F29" s="18" t="s">
        <v>164</v>
      </c>
      <c r="G29" s="18" t="s">
        <v>112</v>
      </c>
      <c r="H29" s="22" t="s">
        <v>781</v>
      </c>
      <c r="I29" s="18">
        <v>17.850000000000001</v>
      </c>
      <c r="J29" s="18" t="s">
        <v>10687</v>
      </c>
      <c r="K29" s="18" t="s">
        <v>10688</v>
      </c>
      <c r="L29" s="18">
        <v>2.68</v>
      </c>
      <c r="M29" s="18" t="s">
        <v>10689</v>
      </c>
      <c r="N29" s="68">
        <v>44904</v>
      </c>
      <c r="O29" s="18" t="s">
        <v>175</v>
      </c>
      <c r="P29" s="73">
        <v>44914</v>
      </c>
      <c r="Q29" s="18" t="s">
        <v>175</v>
      </c>
      <c r="R29" s="18" t="s">
        <v>85</v>
      </c>
      <c r="S29" s="18" t="s">
        <v>90</v>
      </c>
      <c r="T29" s="18" t="s">
        <v>177</v>
      </c>
      <c r="U29" s="18" t="s">
        <v>139</v>
      </c>
      <c r="V29" s="18" t="s">
        <v>93</v>
      </c>
      <c r="W29" t="str">
        <f>VLOOKUP(PaqLlamadas[[#This Row],[NOMBRE PLAZA]],[1]!Locales[#Data],3,0)</f>
        <v>TIENDA RECREO</v>
      </c>
      <c r="X29" t="str">
        <f>VLOOKUP(PaqLlamadas[[#This Row],[USUARIO ACTIVACION BONO]],[1]!Personal[#Data],6,0)</f>
        <v>VARGAS REYES LUIS EDUARDO</v>
      </c>
      <c r="Y29" s="21">
        <f>3</f>
        <v>3</v>
      </c>
    </row>
    <row r="30" spans="1:25" x14ac:dyDescent="0.25">
      <c r="A30" s="18" t="s">
        <v>3445</v>
      </c>
      <c r="B30" s="18" t="s">
        <v>67</v>
      </c>
      <c r="C30" s="68">
        <v>44904</v>
      </c>
      <c r="D30" s="22" t="s">
        <v>95</v>
      </c>
      <c r="E30" s="18" t="s">
        <v>77</v>
      </c>
      <c r="F30" s="18" t="s">
        <v>164</v>
      </c>
      <c r="G30" s="18" t="s">
        <v>112</v>
      </c>
      <c r="H30" s="22" t="s">
        <v>781</v>
      </c>
      <c r="I30" s="18">
        <v>17.850000000000001</v>
      </c>
      <c r="J30" s="18" t="s">
        <v>10687</v>
      </c>
      <c r="K30" s="18" t="s">
        <v>10688</v>
      </c>
      <c r="L30" s="18">
        <v>2.68</v>
      </c>
      <c r="M30" s="18" t="s">
        <v>10689</v>
      </c>
      <c r="N30" s="68">
        <v>44904</v>
      </c>
      <c r="O30" s="18" t="s">
        <v>175</v>
      </c>
      <c r="P30" s="73">
        <v>44914</v>
      </c>
      <c r="Q30" s="18" t="s">
        <v>175</v>
      </c>
      <c r="R30" s="18" t="s">
        <v>85</v>
      </c>
      <c r="S30" s="18" t="s">
        <v>90</v>
      </c>
      <c r="T30" s="18" t="s">
        <v>177</v>
      </c>
      <c r="U30" s="18" t="s">
        <v>139</v>
      </c>
      <c r="V30" s="18" t="s">
        <v>93</v>
      </c>
      <c r="W30" t="str">
        <f>VLOOKUP(PaqLlamadas[[#This Row],[NOMBRE PLAZA]],[1]!Locales[#Data],3,0)</f>
        <v>TIENDA RECREO</v>
      </c>
      <c r="X30" t="str">
        <f>VLOOKUP(PaqLlamadas[[#This Row],[USUARIO ACTIVACION BONO]],[1]!Personal[#Data],6,0)</f>
        <v>VARGAS REYES LUIS EDUARDO</v>
      </c>
      <c r="Y30" s="21">
        <f>3</f>
        <v>3</v>
      </c>
    </row>
    <row r="31" spans="1:25" x14ac:dyDescent="0.25">
      <c r="A31" s="18" t="s">
        <v>10709</v>
      </c>
      <c r="B31" s="18" t="s">
        <v>67</v>
      </c>
      <c r="C31" s="68">
        <v>44487</v>
      </c>
      <c r="D31" s="22" t="s">
        <v>95</v>
      </c>
      <c r="E31" s="18" t="s">
        <v>77</v>
      </c>
      <c r="F31" s="18" t="s">
        <v>7168</v>
      </c>
      <c r="G31" s="18" t="s">
        <v>10710</v>
      </c>
      <c r="H31" s="22" t="s">
        <v>10711</v>
      </c>
      <c r="I31" s="18">
        <v>8.74</v>
      </c>
      <c r="J31" s="18" t="s">
        <v>10696</v>
      </c>
      <c r="K31" s="18" t="s">
        <v>10697</v>
      </c>
      <c r="L31" s="18">
        <v>4.46</v>
      </c>
      <c r="M31" s="18" t="s">
        <v>10689</v>
      </c>
      <c r="N31" s="68">
        <v>44904</v>
      </c>
      <c r="O31" s="18" t="s">
        <v>187</v>
      </c>
      <c r="P31" s="73">
        <v>44914</v>
      </c>
      <c r="Q31" s="18" t="s">
        <v>187</v>
      </c>
      <c r="R31" s="18" t="s">
        <v>85</v>
      </c>
      <c r="S31" s="18" t="s">
        <v>90</v>
      </c>
      <c r="T31" s="18" t="s">
        <v>177</v>
      </c>
      <c r="U31" s="18" t="s">
        <v>139</v>
      </c>
      <c r="V31" s="18" t="s">
        <v>95</v>
      </c>
      <c r="W31" t="str">
        <f>VLOOKUP(PaqLlamadas[[#This Row],[NOMBRE PLAZA]],[1]!Locales[#Data],3,0)</f>
        <v>TIENDA RECREO</v>
      </c>
      <c r="X31" t="str">
        <f>VLOOKUP(PaqLlamadas[[#This Row],[USUARIO ACTIVACION BONO]],[1]!Personal[#Data],6,0)</f>
        <v>ESPINOZA MARTINES LAURA XIOMARA</v>
      </c>
      <c r="Y31" s="21">
        <f>3</f>
        <v>3</v>
      </c>
    </row>
    <row r="32" spans="1:25" x14ac:dyDescent="0.25">
      <c r="A32" s="18" t="s">
        <v>10712</v>
      </c>
      <c r="B32" s="18" t="s">
        <v>67</v>
      </c>
      <c r="C32" s="68">
        <v>44831</v>
      </c>
      <c r="D32" s="22" t="s">
        <v>95</v>
      </c>
      <c r="E32" s="18" t="s">
        <v>77</v>
      </c>
      <c r="F32" s="18" t="s">
        <v>164</v>
      </c>
      <c r="G32" s="18" t="s">
        <v>160</v>
      </c>
      <c r="H32" s="22" t="s">
        <v>161</v>
      </c>
      <c r="I32" s="18">
        <v>14.28</v>
      </c>
      <c r="J32" s="18" t="s">
        <v>10687</v>
      </c>
      <c r="K32" s="18" t="s">
        <v>10688</v>
      </c>
      <c r="L32" s="18">
        <v>2.68</v>
      </c>
      <c r="M32" s="18" t="s">
        <v>10689</v>
      </c>
      <c r="N32" s="68">
        <v>44902</v>
      </c>
      <c r="O32" s="18" t="s">
        <v>120</v>
      </c>
      <c r="P32" s="73">
        <v>44914</v>
      </c>
      <c r="Q32" s="18" t="s">
        <v>120</v>
      </c>
      <c r="R32" s="18" t="s">
        <v>85</v>
      </c>
      <c r="S32" s="18" t="s">
        <v>90</v>
      </c>
      <c r="T32" s="18" t="s">
        <v>122</v>
      </c>
      <c r="U32" s="18" t="s">
        <v>92</v>
      </c>
      <c r="V32" s="18" t="s">
        <v>165</v>
      </c>
      <c r="W32" t="str">
        <f>VLOOKUP(PaqLlamadas[[#This Row],[NOMBRE PLAZA]],[1]!Locales[#Data],3,0)</f>
        <v>TIENDA MACHALA</v>
      </c>
      <c r="X32" t="str">
        <f>VLOOKUP(PaqLlamadas[[#This Row],[USUARIO ACTIVACION BONO]],[1]!Personal[#Data],6,0)</f>
        <v>ARROBO VICENTE YADIRA ESPERANZA</v>
      </c>
      <c r="Y32" s="21">
        <f>3</f>
        <v>3</v>
      </c>
    </row>
    <row r="33" spans="1:25" x14ac:dyDescent="0.25">
      <c r="A33" s="18" t="s">
        <v>7437</v>
      </c>
      <c r="B33" s="18" t="s">
        <v>67</v>
      </c>
      <c r="C33" s="68">
        <v>42865</v>
      </c>
      <c r="D33" s="22" t="s">
        <v>95</v>
      </c>
      <c r="E33" s="18" t="s">
        <v>77</v>
      </c>
      <c r="F33" s="18" t="s">
        <v>1532</v>
      </c>
      <c r="G33" s="18" t="s">
        <v>574</v>
      </c>
      <c r="H33" s="22" t="s">
        <v>575</v>
      </c>
      <c r="I33" s="18">
        <v>17.850000000000001</v>
      </c>
      <c r="J33" s="18" t="s">
        <v>10703</v>
      </c>
      <c r="K33" s="18" t="s">
        <v>10704</v>
      </c>
      <c r="L33" s="18">
        <v>2.68</v>
      </c>
      <c r="M33" s="18" t="s">
        <v>10689</v>
      </c>
      <c r="N33" s="68">
        <v>44900</v>
      </c>
      <c r="O33" s="18" t="s">
        <v>420</v>
      </c>
      <c r="P33" s="73">
        <v>44914</v>
      </c>
      <c r="Q33" s="18" t="s">
        <v>420</v>
      </c>
      <c r="R33" s="18" t="s">
        <v>85</v>
      </c>
      <c r="S33" s="18" t="s">
        <v>90</v>
      </c>
      <c r="T33" s="18" t="s">
        <v>151</v>
      </c>
      <c r="U33" s="18" t="s">
        <v>92</v>
      </c>
      <c r="V33" s="18" t="s">
        <v>95</v>
      </c>
      <c r="W33" t="str">
        <f>VLOOKUP(PaqLlamadas[[#This Row],[NOMBRE PLAZA]],[1]!Locales[#Data],3,0)</f>
        <v>TIENDA CUENCA REMIGIO</v>
      </c>
      <c r="X33" t="str">
        <f>VLOOKUP(PaqLlamadas[[#This Row],[USUARIO ACTIVACION BONO]],[1]!Personal[#Data],6,0)</f>
        <v>YEPEZ PALOMEQUE DIANA PATRICIA</v>
      </c>
      <c r="Y33" s="21">
        <f>3</f>
        <v>3</v>
      </c>
    </row>
    <row r="34" spans="1:25" x14ac:dyDescent="0.25">
      <c r="A34" s="18" t="s">
        <v>3845</v>
      </c>
      <c r="B34" s="18" t="s">
        <v>67</v>
      </c>
      <c r="C34" s="68">
        <v>44897</v>
      </c>
      <c r="D34" s="22" t="s">
        <v>95</v>
      </c>
      <c r="E34" s="18" t="s">
        <v>77</v>
      </c>
      <c r="F34" s="18" t="s">
        <v>164</v>
      </c>
      <c r="G34" s="18" t="s">
        <v>160</v>
      </c>
      <c r="H34" s="22" t="s">
        <v>161</v>
      </c>
      <c r="I34" s="18">
        <v>14.28</v>
      </c>
      <c r="J34" s="18" t="s">
        <v>10687</v>
      </c>
      <c r="K34" s="18" t="s">
        <v>10688</v>
      </c>
      <c r="L34" s="18">
        <v>2.68</v>
      </c>
      <c r="M34" s="18" t="s">
        <v>10689</v>
      </c>
      <c r="N34" s="68">
        <v>44897</v>
      </c>
      <c r="O34" s="18" t="s">
        <v>2159</v>
      </c>
      <c r="P34" s="73">
        <v>44914</v>
      </c>
      <c r="Q34" s="18" t="s">
        <v>2159</v>
      </c>
      <c r="R34" s="18" t="s">
        <v>85</v>
      </c>
      <c r="S34" s="18" t="s">
        <v>90</v>
      </c>
      <c r="T34" s="18" t="s">
        <v>177</v>
      </c>
      <c r="U34" s="18" t="s">
        <v>139</v>
      </c>
      <c r="V34" s="18" t="s">
        <v>165</v>
      </c>
      <c r="W34" t="str">
        <f>VLOOKUP(PaqLlamadas[[#This Row],[NOMBRE PLAZA]],[1]!Locales[#Data],3,0)</f>
        <v>TIENDA RECREO</v>
      </c>
      <c r="X34" t="str">
        <f>VLOOKUP(PaqLlamadas[[#This Row],[USUARIO ACTIVACION BONO]],[1]!Personal[#Data],6,0)</f>
        <v>GUEVARA MAZA CRISTIAN FABIAN</v>
      </c>
      <c r="Y34" s="21">
        <f>3</f>
        <v>3</v>
      </c>
    </row>
    <row r="35" spans="1:25" x14ac:dyDescent="0.25">
      <c r="A35" s="18" t="s">
        <v>3948</v>
      </c>
      <c r="B35" s="18" t="s">
        <v>67</v>
      </c>
      <c r="C35" s="68">
        <v>44897</v>
      </c>
      <c r="D35" s="22" t="s">
        <v>95</v>
      </c>
      <c r="E35" s="18" t="s">
        <v>77</v>
      </c>
      <c r="F35" s="18" t="s">
        <v>164</v>
      </c>
      <c r="G35" s="18" t="s">
        <v>160</v>
      </c>
      <c r="H35" s="22" t="s">
        <v>161</v>
      </c>
      <c r="I35" s="18">
        <v>14.28</v>
      </c>
      <c r="J35" s="18" t="s">
        <v>10687</v>
      </c>
      <c r="K35" s="18" t="s">
        <v>10688</v>
      </c>
      <c r="L35" s="18">
        <v>2.68</v>
      </c>
      <c r="M35" s="18" t="s">
        <v>10689</v>
      </c>
      <c r="N35" s="68">
        <v>44897</v>
      </c>
      <c r="O35" s="18" t="s">
        <v>2159</v>
      </c>
      <c r="P35" s="73">
        <v>44914</v>
      </c>
      <c r="Q35" s="18" t="s">
        <v>2159</v>
      </c>
      <c r="R35" s="18" t="s">
        <v>85</v>
      </c>
      <c r="S35" s="18" t="s">
        <v>90</v>
      </c>
      <c r="T35" s="18" t="s">
        <v>177</v>
      </c>
      <c r="U35" s="18" t="s">
        <v>139</v>
      </c>
      <c r="V35" s="18" t="s">
        <v>165</v>
      </c>
      <c r="W35" t="str">
        <f>VLOOKUP(PaqLlamadas[[#This Row],[NOMBRE PLAZA]],[1]!Locales[#Data],3,0)</f>
        <v>TIENDA RECREO</v>
      </c>
      <c r="X35" t="str">
        <f>VLOOKUP(PaqLlamadas[[#This Row],[USUARIO ACTIVACION BONO]],[1]!Personal[#Data],6,0)</f>
        <v>GUEVARA MAZA CRISTIAN FABIAN</v>
      </c>
      <c r="Y35" s="21">
        <f>3</f>
        <v>3</v>
      </c>
    </row>
    <row r="36" spans="1:25" x14ac:dyDescent="0.25">
      <c r="A36" s="18" t="s">
        <v>4057</v>
      </c>
      <c r="B36" s="18" t="s">
        <v>67</v>
      </c>
      <c r="C36" s="68">
        <v>44901</v>
      </c>
      <c r="D36" s="22" t="s">
        <v>95</v>
      </c>
      <c r="E36" s="18" t="s">
        <v>77</v>
      </c>
      <c r="F36" s="18" t="s">
        <v>164</v>
      </c>
      <c r="G36" s="18" t="s">
        <v>112</v>
      </c>
      <c r="H36" s="22" t="s">
        <v>781</v>
      </c>
      <c r="I36" s="18">
        <v>17.850000000000001</v>
      </c>
      <c r="J36" s="18" t="s">
        <v>10687</v>
      </c>
      <c r="K36" s="18" t="s">
        <v>10688</v>
      </c>
      <c r="L36" s="18">
        <v>2.68</v>
      </c>
      <c r="M36" s="18" t="s">
        <v>10689</v>
      </c>
      <c r="N36" s="68">
        <v>44901</v>
      </c>
      <c r="O36" s="18" t="s">
        <v>262</v>
      </c>
      <c r="P36" s="73">
        <v>44914</v>
      </c>
      <c r="Q36" s="18" t="s">
        <v>262</v>
      </c>
      <c r="R36" s="18" t="s">
        <v>85</v>
      </c>
      <c r="S36" s="18" t="s">
        <v>90</v>
      </c>
      <c r="T36" s="18" t="s">
        <v>177</v>
      </c>
      <c r="U36" s="18" t="s">
        <v>139</v>
      </c>
      <c r="V36" s="18" t="s">
        <v>93</v>
      </c>
      <c r="W36" t="str">
        <f>VLOOKUP(PaqLlamadas[[#This Row],[NOMBRE PLAZA]],[1]!Locales[#Data],3,0)</f>
        <v>TIENDA RECREO</v>
      </c>
      <c r="X36" t="str">
        <f>VLOOKUP(PaqLlamadas[[#This Row],[USUARIO ACTIVACION BONO]],[1]!Personal[#Data],6,0)</f>
        <v>CHICAIZA TOAPANTA ALEX DANILO</v>
      </c>
      <c r="Y36" s="21">
        <f>3</f>
        <v>3</v>
      </c>
    </row>
    <row r="37" spans="1:25" x14ac:dyDescent="0.25">
      <c r="A37" s="18" t="s">
        <v>10713</v>
      </c>
      <c r="B37" s="18" t="s">
        <v>67</v>
      </c>
      <c r="C37" s="68">
        <v>44644</v>
      </c>
      <c r="D37" s="22" t="s">
        <v>95</v>
      </c>
      <c r="E37" s="18" t="s">
        <v>77</v>
      </c>
      <c r="F37" s="18" t="s">
        <v>2241</v>
      </c>
      <c r="G37" s="18" t="s">
        <v>712</v>
      </c>
      <c r="H37" s="22" t="s">
        <v>2836</v>
      </c>
      <c r="I37" s="18">
        <v>17.850000000000001</v>
      </c>
      <c r="J37" s="18" t="s">
        <v>10687</v>
      </c>
      <c r="K37" s="18" t="s">
        <v>10688</v>
      </c>
      <c r="L37" s="18">
        <v>2.68</v>
      </c>
      <c r="M37" s="18" t="s">
        <v>10689</v>
      </c>
      <c r="N37" s="68">
        <v>44912</v>
      </c>
      <c r="O37" s="18" t="s">
        <v>318</v>
      </c>
      <c r="P37" s="73">
        <v>44914</v>
      </c>
      <c r="Q37" s="18" t="s">
        <v>318</v>
      </c>
      <c r="R37" s="18" t="s">
        <v>85</v>
      </c>
      <c r="S37" s="18" t="s">
        <v>90</v>
      </c>
      <c r="T37" s="18" t="s">
        <v>151</v>
      </c>
      <c r="U37" s="18" t="s">
        <v>92</v>
      </c>
      <c r="V37" s="18" t="s">
        <v>93</v>
      </c>
      <c r="W37" t="str">
        <f>VLOOKUP(PaqLlamadas[[#This Row],[NOMBRE PLAZA]],[1]!Locales[#Data],3,0)</f>
        <v>TIENDA CUENCA REMIGIO</v>
      </c>
      <c r="X37" t="str">
        <f>VLOOKUP(PaqLlamadas[[#This Row],[USUARIO ACTIVACION BONO]],[1]!Personal[#Data],6,0)</f>
        <v>RODRIGUEZ QUITO JESSICA GABRIELA</v>
      </c>
      <c r="Y37" s="21">
        <f>3</f>
        <v>3</v>
      </c>
    </row>
    <row r="38" spans="1:25" x14ac:dyDescent="0.25">
      <c r="A38" s="18" t="s">
        <v>10714</v>
      </c>
      <c r="B38" s="18" t="s">
        <v>67</v>
      </c>
      <c r="C38" s="68">
        <v>44902</v>
      </c>
      <c r="D38" s="22" t="s">
        <v>95</v>
      </c>
      <c r="E38" s="18" t="s">
        <v>77</v>
      </c>
      <c r="F38" s="18" t="s">
        <v>164</v>
      </c>
      <c r="G38" s="18" t="s">
        <v>712</v>
      </c>
      <c r="H38" s="22" t="s">
        <v>2836</v>
      </c>
      <c r="I38" s="18">
        <v>17.850000000000001</v>
      </c>
      <c r="J38" s="18" t="s">
        <v>10687</v>
      </c>
      <c r="K38" s="18" t="s">
        <v>10688</v>
      </c>
      <c r="L38" s="18">
        <v>2.68</v>
      </c>
      <c r="M38" s="18" t="s">
        <v>10689</v>
      </c>
      <c r="N38" s="68">
        <v>44905</v>
      </c>
      <c r="O38" s="18" t="s">
        <v>352</v>
      </c>
      <c r="P38" s="73">
        <v>44914</v>
      </c>
      <c r="Q38" s="18" t="s">
        <v>352</v>
      </c>
      <c r="R38" s="18" t="s">
        <v>85</v>
      </c>
      <c r="S38" s="18" t="s">
        <v>90</v>
      </c>
      <c r="T38" s="18" t="s">
        <v>122</v>
      </c>
      <c r="U38" s="18" t="s">
        <v>92</v>
      </c>
      <c r="V38" s="18" t="s">
        <v>93</v>
      </c>
      <c r="W38" t="str">
        <f>VLOOKUP(PaqLlamadas[[#This Row],[NOMBRE PLAZA]],[1]!Locales[#Data],3,0)</f>
        <v>TIENDA MACHALA</v>
      </c>
      <c r="X38" t="str">
        <f>VLOOKUP(PaqLlamadas[[#This Row],[USUARIO ACTIVACION BONO]],[1]!Personal[#Data],6,0)</f>
        <v>TENORIO MARIA DEL PILAR</v>
      </c>
      <c r="Y38" s="21">
        <f>3</f>
        <v>3</v>
      </c>
    </row>
    <row r="39" spans="1:25" x14ac:dyDescent="0.25">
      <c r="A39" s="18" t="s">
        <v>10715</v>
      </c>
      <c r="B39" s="18" t="s">
        <v>67</v>
      </c>
      <c r="C39" s="68">
        <v>44806</v>
      </c>
      <c r="D39" s="22" t="s">
        <v>95</v>
      </c>
      <c r="E39" s="18" t="s">
        <v>77</v>
      </c>
      <c r="F39" s="18" t="s">
        <v>164</v>
      </c>
      <c r="G39" s="18" t="s">
        <v>227</v>
      </c>
      <c r="H39" s="22" t="s">
        <v>426</v>
      </c>
      <c r="I39" s="18">
        <v>21.42</v>
      </c>
      <c r="J39" s="18" t="s">
        <v>10691</v>
      </c>
      <c r="K39" s="18" t="s">
        <v>10692</v>
      </c>
      <c r="L39" s="18">
        <v>2.68</v>
      </c>
      <c r="M39" s="18" t="s">
        <v>10689</v>
      </c>
      <c r="N39" s="68">
        <v>44907</v>
      </c>
      <c r="O39" s="18" t="s">
        <v>2159</v>
      </c>
      <c r="P39" s="73">
        <v>44914</v>
      </c>
      <c r="Q39" s="18" t="s">
        <v>2159</v>
      </c>
      <c r="R39" s="18" t="s">
        <v>85</v>
      </c>
      <c r="S39" s="18" t="s">
        <v>90</v>
      </c>
      <c r="T39" s="18" t="s">
        <v>177</v>
      </c>
      <c r="U39" s="18" t="s">
        <v>139</v>
      </c>
      <c r="V39" s="18" t="s">
        <v>165</v>
      </c>
      <c r="W39" t="str">
        <f>VLOOKUP(PaqLlamadas[[#This Row],[NOMBRE PLAZA]],[1]!Locales[#Data],3,0)</f>
        <v>TIENDA RECREO</v>
      </c>
      <c r="X39" t="str">
        <f>VLOOKUP(PaqLlamadas[[#This Row],[USUARIO ACTIVACION BONO]],[1]!Personal[#Data],6,0)</f>
        <v>GUEVARA MAZA CRISTIAN FABIAN</v>
      </c>
      <c r="Y39" s="21">
        <f>3</f>
        <v>3</v>
      </c>
    </row>
    <row r="40" spans="1:25" x14ac:dyDescent="0.25">
      <c r="A40" s="18" t="s">
        <v>10716</v>
      </c>
      <c r="B40" s="18" t="s">
        <v>67</v>
      </c>
      <c r="C40" s="68">
        <v>44839</v>
      </c>
      <c r="D40" s="22" t="s">
        <v>95</v>
      </c>
      <c r="E40" s="18" t="s">
        <v>77</v>
      </c>
      <c r="F40" s="18" t="s">
        <v>164</v>
      </c>
      <c r="G40" s="18" t="s">
        <v>227</v>
      </c>
      <c r="H40" s="22" t="s">
        <v>426</v>
      </c>
      <c r="I40" s="18">
        <v>21.42</v>
      </c>
      <c r="J40" s="18" t="s">
        <v>10687</v>
      </c>
      <c r="K40" s="18" t="s">
        <v>10688</v>
      </c>
      <c r="L40" s="18">
        <v>2.68</v>
      </c>
      <c r="M40" s="18" t="s">
        <v>10689</v>
      </c>
      <c r="N40" s="68">
        <v>44905</v>
      </c>
      <c r="O40" s="18" t="s">
        <v>352</v>
      </c>
      <c r="P40" s="73">
        <v>44914</v>
      </c>
      <c r="Q40" s="18" t="s">
        <v>352</v>
      </c>
      <c r="R40" s="18" t="s">
        <v>85</v>
      </c>
      <c r="S40" s="18" t="s">
        <v>90</v>
      </c>
      <c r="T40" s="18" t="s">
        <v>122</v>
      </c>
      <c r="U40" s="18" t="s">
        <v>92</v>
      </c>
      <c r="V40" s="18" t="s">
        <v>93</v>
      </c>
      <c r="W40" t="str">
        <f>VLOOKUP(PaqLlamadas[[#This Row],[NOMBRE PLAZA]],[1]!Locales[#Data],3,0)</f>
        <v>TIENDA MACHALA</v>
      </c>
      <c r="X40" t="str">
        <f>VLOOKUP(PaqLlamadas[[#This Row],[USUARIO ACTIVACION BONO]],[1]!Personal[#Data],6,0)</f>
        <v>TENORIO MARIA DEL PILAR</v>
      </c>
      <c r="Y40" s="21">
        <f>3</f>
        <v>3</v>
      </c>
    </row>
    <row r="41" spans="1:25" x14ac:dyDescent="0.25">
      <c r="A41" s="18" t="s">
        <v>4841</v>
      </c>
      <c r="B41" s="18" t="s">
        <v>67</v>
      </c>
      <c r="C41" s="68">
        <v>44898</v>
      </c>
      <c r="D41" s="22" t="s">
        <v>95</v>
      </c>
      <c r="E41" s="18" t="s">
        <v>77</v>
      </c>
      <c r="F41" s="18" t="s">
        <v>164</v>
      </c>
      <c r="G41" s="18" t="s">
        <v>160</v>
      </c>
      <c r="H41" s="22" t="s">
        <v>161</v>
      </c>
      <c r="I41" s="18">
        <v>14.28</v>
      </c>
      <c r="J41" s="18" t="s">
        <v>10687</v>
      </c>
      <c r="K41" s="18" t="s">
        <v>10688</v>
      </c>
      <c r="L41" s="18">
        <v>2.68</v>
      </c>
      <c r="M41" s="18" t="s">
        <v>10689</v>
      </c>
      <c r="N41" s="68">
        <v>44898</v>
      </c>
      <c r="O41" s="18" t="s">
        <v>822</v>
      </c>
      <c r="P41" s="73">
        <v>44914</v>
      </c>
      <c r="Q41" s="18" t="s">
        <v>822</v>
      </c>
      <c r="R41" s="18" t="s">
        <v>85</v>
      </c>
      <c r="S41" s="18" t="s">
        <v>90</v>
      </c>
      <c r="T41" s="18" t="s">
        <v>177</v>
      </c>
      <c r="U41" s="18" t="s">
        <v>139</v>
      </c>
      <c r="V41" s="18" t="s">
        <v>165</v>
      </c>
      <c r="W41" t="str">
        <f>VLOOKUP(PaqLlamadas[[#This Row],[NOMBRE PLAZA]],[1]!Locales[#Data],3,0)</f>
        <v>TIENDA RECREO</v>
      </c>
      <c r="X41" t="str">
        <f>VLOOKUP(PaqLlamadas[[#This Row],[USUARIO ACTIVACION BONO]],[1]!Personal[#Data],6,0)</f>
        <v>SALAS PARRA MARIA JOSE</v>
      </c>
      <c r="Y41" s="21">
        <f>3</f>
        <v>3</v>
      </c>
    </row>
    <row r="42" spans="1:25" x14ac:dyDescent="0.25">
      <c r="A42" s="18" t="s">
        <v>4895</v>
      </c>
      <c r="B42" s="18" t="s">
        <v>67</v>
      </c>
      <c r="C42" s="68">
        <v>44897</v>
      </c>
      <c r="D42" s="22" t="s">
        <v>95</v>
      </c>
      <c r="E42" s="18" t="s">
        <v>77</v>
      </c>
      <c r="F42" s="18" t="s">
        <v>164</v>
      </c>
      <c r="G42" s="18" t="s">
        <v>112</v>
      </c>
      <c r="H42" s="22" t="s">
        <v>781</v>
      </c>
      <c r="I42" s="18">
        <v>17.850000000000001</v>
      </c>
      <c r="J42" s="18" t="s">
        <v>10687</v>
      </c>
      <c r="K42" s="18" t="s">
        <v>10688</v>
      </c>
      <c r="L42" s="18">
        <v>2.68</v>
      </c>
      <c r="M42" s="18" t="s">
        <v>10689</v>
      </c>
      <c r="N42" s="68">
        <v>44897</v>
      </c>
      <c r="O42" s="18" t="s">
        <v>136</v>
      </c>
      <c r="P42" s="73">
        <v>44914</v>
      </c>
      <c r="Q42" s="18" t="s">
        <v>136</v>
      </c>
      <c r="R42" s="18" t="s">
        <v>85</v>
      </c>
      <c r="S42" s="18" t="s">
        <v>90</v>
      </c>
      <c r="T42" s="18" t="s">
        <v>138</v>
      </c>
      <c r="U42" s="18" t="s">
        <v>139</v>
      </c>
      <c r="V42" s="18" t="s">
        <v>93</v>
      </c>
      <c r="W42" t="str">
        <f>VLOOKUP(PaqLlamadas[[#This Row],[NOMBRE PLAZA]],[1]!Locales[#Data],3,0)</f>
        <v>TIENDA AMERICA</v>
      </c>
      <c r="X42" t="str">
        <f>VLOOKUP(PaqLlamadas[[#This Row],[USUARIO ACTIVACION BONO]],[1]!Personal[#Data],6,0)</f>
        <v>SALVATIERRA GUERRA JULIAN ENRIQUE</v>
      </c>
      <c r="Y42" s="21">
        <f>3</f>
        <v>3</v>
      </c>
    </row>
    <row r="43" spans="1:25" x14ac:dyDescent="0.25">
      <c r="A43" s="18" t="s">
        <v>5085</v>
      </c>
      <c r="B43" s="18" t="s">
        <v>67</v>
      </c>
      <c r="C43" s="68">
        <v>44901</v>
      </c>
      <c r="D43" s="22" t="s">
        <v>95</v>
      </c>
      <c r="E43" s="18" t="s">
        <v>77</v>
      </c>
      <c r="F43" s="18" t="s">
        <v>164</v>
      </c>
      <c r="G43" s="18" t="s">
        <v>160</v>
      </c>
      <c r="H43" s="22" t="s">
        <v>161</v>
      </c>
      <c r="I43" s="18">
        <v>14.28</v>
      </c>
      <c r="J43" s="18" t="s">
        <v>10687</v>
      </c>
      <c r="K43" s="18" t="s">
        <v>10688</v>
      </c>
      <c r="L43" s="18">
        <v>2.68</v>
      </c>
      <c r="M43" s="18" t="s">
        <v>10689</v>
      </c>
      <c r="N43" s="68">
        <v>44901</v>
      </c>
      <c r="O43" s="18" t="s">
        <v>136</v>
      </c>
      <c r="P43" s="73">
        <v>44914</v>
      </c>
      <c r="Q43" s="18" t="s">
        <v>136</v>
      </c>
      <c r="R43" s="18" t="s">
        <v>85</v>
      </c>
      <c r="S43" s="18" t="s">
        <v>90</v>
      </c>
      <c r="T43" s="18" t="s">
        <v>138</v>
      </c>
      <c r="U43" s="18" t="s">
        <v>139</v>
      </c>
      <c r="V43" s="18" t="s">
        <v>165</v>
      </c>
      <c r="W43" t="str">
        <f>VLOOKUP(PaqLlamadas[[#This Row],[NOMBRE PLAZA]],[1]!Locales[#Data],3,0)</f>
        <v>TIENDA AMERICA</v>
      </c>
      <c r="X43" t="str">
        <f>VLOOKUP(PaqLlamadas[[#This Row],[USUARIO ACTIVACION BONO]],[1]!Personal[#Data],6,0)</f>
        <v>SALVATIERRA GUERRA JULIAN ENRIQUE</v>
      </c>
      <c r="Y43" s="21">
        <f>3</f>
        <v>3</v>
      </c>
    </row>
    <row r="44" spans="1:25" x14ac:dyDescent="0.25">
      <c r="A44" s="18" t="s">
        <v>10717</v>
      </c>
      <c r="B44" s="18" t="s">
        <v>67</v>
      </c>
      <c r="C44" s="68">
        <v>42411</v>
      </c>
      <c r="D44" s="22" t="s">
        <v>95</v>
      </c>
      <c r="E44" s="18" t="s">
        <v>77</v>
      </c>
      <c r="F44" s="18" t="s">
        <v>1532</v>
      </c>
      <c r="G44" s="18" t="s">
        <v>183</v>
      </c>
      <c r="H44" s="22" t="s">
        <v>184</v>
      </c>
      <c r="I44" s="18">
        <v>11.42</v>
      </c>
      <c r="J44" s="18" t="s">
        <v>10703</v>
      </c>
      <c r="K44" s="18" t="s">
        <v>10704</v>
      </c>
      <c r="L44" s="18">
        <v>2.68</v>
      </c>
      <c r="M44" s="18" t="s">
        <v>10689</v>
      </c>
      <c r="N44" s="68">
        <v>44908</v>
      </c>
      <c r="O44" s="18" t="s">
        <v>120</v>
      </c>
      <c r="P44" s="73">
        <v>44914</v>
      </c>
      <c r="Q44" s="18" t="s">
        <v>120</v>
      </c>
      <c r="R44" s="18" t="s">
        <v>85</v>
      </c>
      <c r="S44" s="18" t="s">
        <v>90</v>
      </c>
      <c r="T44" s="18" t="s">
        <v>122</v>
      </c>
      <c r="U44" s="18" t="s">
        <v>92</v>
      </c>
      <c r="V44" s="18" t="s">
        <v>95</v>
      </c>
      <c r="W44" t="str">
        <f>VLOOKUP(PaqLlamadas[[#This Row],[NOMBRE PLAZA]],[1]!Locales[#Data],3,0)</f>
        <v>TIENDA MACHALA</v>
      </c>
      <c r="X44" t="str">
        <f>VLOOKUP(PaqLlamadas[[#This Row],[USUARIO ACTIVACION BONO]],[1]!Personal[#Data],6,0)</f>
        <v>ARROBO VICENTE YADIRA ESPERANZA</v>
      </c>
      <c r="Y44" s="21">
        <f>3</f>
        <v>3</v>
      </c>
    </row>
    <row r="45" spans="1:25" x14ac:dyDescent="0.25">
      <c r="A45" s="18" t="s">
        <v>7650</v>
      </c>
      <c r="B45" s="18" t="s">
        <v>67</v>
      </c>
      <c r="C45" s="68">
        <v>44700</v>
      </c>
      <c r="D45" s="22" t="s">
        <v>95</v>
      </c>
      <c r="E45" s="18" t="s">
        <v>77</v>
      </c>
      <c r="F45" s="18" t="s">
        <v>2241</v>
      </c>
      <c r="G45" s="18" t="s">
        <v>227</v>
      </c>
      <c r="H45" s="22" t="s">
        <v>426</v>
      </c>
      <c r="I45" s="18">
        <v>21.42</v>
      </c>
      <c r="J45" s="18" t="s">
        <v>10687</v>
      </c>
      <c r="K45" s="18" t="s">
        <v>10688</v>
      </c>
      <c r="L45" s="18">
        <v>2.68</v>
      </c>
      <c r="M45" s="18" t="s">
        <v>10689</v>
      </c>
      <c r="N45" s="68">
        <v>44905</v>
      </c>
      <c r="O45" s="18" t="s">
        <v>1020</v>
      </c>
      <c r="P45" s="73">
        <v>44914</v>
      </c>
      <c r="Q45" s="18" t="s">
        <v>1020</v>
      </c>
      <c r="R45" s="18" t="s">
        <v>85</v>
      </c>
      <c r="S45" s="18" t="s">
        <v>90</v>
      </c>
      <c r="T45" s="18" t="s">
        <v>91</v>
      </c>
      <c r="U45" s="18" t="s">
        <v>92</v>
      </c>
      <c r="V45" s="18" t="s">
        <v>165</v>
      </c>
      <c r="W45" t="str">
        <f>VLOOKUP(PaqLlamadas[[#This Row],[NOMBRE PLAZA]],[1]!Locales[#Data],3,0)</f>
        <v>TIENDA CUENCA CENTRO</v>
      </c>
      <c r="X45" t="str">
        <f>VLOOKUP(PaqLlamadas[[#This Row],[USUARIO ACTIVACION BONO]],[1]!Personal[#Data],6,0)</f>
        <v>GONZALES ALVARRACIN PAOLA YESSENIA</v>
      </c>
      <c r="Y45" s="21">
        <f>3</f>
        <v>3</v>
      </c>
    </row>
    <row r="46" spans="1:25" x14ac:dyDescent="0.25">
      <c r="A46" s="18" t="s">
        <v>7650</v>
      </c>
      <c r="B46" s="18" t="s">
        <v>67</v>
      </c>
      <c r="C46" s="68">
        <v>44700</v>
      </c>
      <c r="D46" s="22" t="s">
        <v>95</v>
      </c>
      <c r="E46" s="18" t="s">
        <v>77</v>
      </c>
      <c r="F46" s="18" t="s">
        <v>2241</v>
      </c>
      <c r="G46" s="18" t="s">
        <v>227</v>
      </c>
      <c r="H46" s="22" t="s">
        <v>426</v>
      </c>
      <c r="I46" s="18">
        <v>21.42</v>
      </c>
      <c r="J46" s="18" t="s">
        <v>10696</v>
      </c>
      <c r="K46" s="18" t="s">
        <v>10697</v>
      </c>
      <c r="L46" s="18">
        <v>4.46</v>
      </c>
      <c r="M46" s="18" t="s">
        <v>10689</v>
      </c>
      <c r="N46" s="68">
        <v>44905</v>
      </c>
      <c r="O46" s="18" t="s">
        <v>1020</v>
      </c>
      <c r="P46" s="73">
        <v>44914</v>
      </c>
      <c r="Q46" s="18" t="s">
        <v>1020</v>
      </c>
      <c r="R46" s="18" t="s">
        <v>85</v>
      </c>
      <c r="S46" s="18" t="s">
        <v>90</v>
      </c>
      <c r="T46" s="18" t="s">
        <v>91</v>
      </c>
      <c r="U46" s="18" t="s">
        <v>92</v>
      </c>
      <c r="V46" s="18" t="s">
        <v>165</v>
      </c>
      <c r="W46" t="str">
        <f>VLOOKUP(PaqLlamadas[[#This Row],[NOMBRE PLAZA]],[1]!Locales[#Data],3,0)</f>
        <v>TIENDA CUENCA CENTRO</v>
      </c>
      <c r="X46" t="str">
        <f>VLOOKUP(PaqLlamadas[[#This Row],[USUARIO ACTIVACION BONO]],[1]!Personal[#Data],6,0)</f>
        <v>GONZALES ALVARRACIN PAOLA YESSENIA</v>
      </c>
      <c r="Y46" s="21">
        <f>3</f>
        <v>3</v>
      </c>
    </row>
    <row r="47" spans="1:25" x14ac:dyDescent="0.25">
      <c r="A47" s="18" t="s">
        <v>5601</v>
      </c>
      <c r="B47" s="18" t="s">
        <v>67</v>
      </c>
      <c r="C47" s="68">
        <v>44903</v>
      </c>
      <c r="D47" s="22" t="s">
        <v>95</v>
      </c>
      <c r="E47" s="18" t="s">
        <v>77</v>
      </c>
      <c r="F47" s="18" t="s">
        <v>164</v>
      </c>
      <c r="G47" s="18" t="s">
        <v>130</v>
      </c>
      <c r="H47" s="22" t="s">
        <v>433</v>
      </c>
      <c r="I47" s="18">
        <v>15</v>
      </c>
      <c r="J47" s="18" t="s">
        <v>10687</v>
      </c>
      <c r="K47" s="18" t="s">
        <v>10688</v>
      </c>
      <c r="L47" s="18">
        <v>2.68</v>
      </c>
      <c r="M47" s="18" t="s">
        <v>10689</v>
      </c>
      <c r="N47" s="68">
        <v>44911</v>
      </c>
      <c r="O47" s="18" t="s">
        <v>318</v>
      </c>
      <c r="P47" s="73">
        <v>44914</v>
      </c>
      <c r="Q47" s="18" t="s">
        <v>318</v>
      </c>
      <c r="R47" s="18" t="s">
        <v>85</v>
      </c>
      <c r="S47" s="18" t="s">
        <v>90</v>
      </c>
      <c r="T47" s="18" t="s">
        <v>151</v>
      </c>
      <c r="U47" s="18" t="s">
        <v>92</v>
      </c>
      <c r="V47" s="18" t="s">
        <v>93</v>
      </c>
      <c r="W47" t="str">
        <f>VLOOKUP(PaqLlamadas[[#This Row],[NOMBRE PLAZA]],[1]!Locales[#Data],3,0)</f>
        <v>TIENDA CUENCA REMIGIO</v>
      </c>
      <c r="X47" t="str">
        <f>VLOOKUP(PaqLlamadas[[#This Row],[USUARIO ACTIVACION BONO]],[1]!Personal[#Data],6,0)</f>
        <v>RODRIGUEZ QUITO JESSICA GABRIELA</v>
      </c>
      <c r="Y47" s="21">
        <f>3</f>
        <v>3</v>
      </c>
    </row>
    <row r="48" spans="1:25" x14ac:dyDescent="0.25">
      <c r="A48" s="18" t="s">
        <v>7670</v>
      </c>
      <c r="B48" s="18" t="s">
        <v>67</v>
      </c>
      <c r="C48" s="68">
        <v>44109</v>
      </c>
      <c r="D48" s="22" t="s">
        <v>95</v>
      </c>
      <c r="E48" s="18" t="s">
        <v>77</v>
      </c>
      <c r="F48" s="18" t="s">
        <v>2241</v>
      </c>
      <c r="G48" s="18" t="s">
        <v>112</v>
      </c>
      <c r="H48" s="22" t="s">
        <v>781</v>
      </c>
      <c r="I48" s="18">
        <v>17.850000000000001</v>
      </c>
      <c r="J48" s="18" t="s">
        <v>10687</v>
      </c>
      <c r="K48" s="18" t="s">
        <v>10688</v>
      </c>
      <c r="L48" s="18">
        <v>2.68</v>
      </c>
      <c r="M48" s="18" t="s">
        <v>10689</v>
      </c>
      <c r="N48" s="68">
        <v>44896</v>
      </c>
      <c r="O48" s="18" t="s">
        <v>377</v>
      </c>
      <c r="P48" s="73">
        <v>44914</v>
      </c>
      <c r="Q48" s="18" t="s">
        <v>377</v>
      </c>
      <c r="R48" s="18" t="s">
        <v>85</v>
      </c>
      <c r="S48" s="18" t="s">
        <v>90</v>
      </c>
      <c r="T48" s="18" t="s">
        <v>235</v>
      </c>
      <c r="U48" s="18" t="s">
        <v>139</v>
      </c>
      <c r="V48" s="18" t="s">
        <v>95</v>
      </c>
      <c r="W48" t="str">
        <f>VLOOKUP(PaqLlamadas[[#This Row],[NOMBRE PLAZA]],[1]!Locales[#Data],3,0)</f>
        <v>TIENDA CONDADO</v>
      </c>
      <c r="X48" t="str">
        <f>VLOOKUP(PaqLlamadas[[#This Row],[USUARIO ACTIVACION BONO]],[1]!Personal[#Data],6,0)</f>
        <v>MELCHIADE ISAAC VALMORE</v>
      </c>
      <c r="Y48" s="21">
        <f>3</f>
        <v>3</v>
      </c>
    </row>
    <row r="49" spans="1:25" x14ac:dyDescent="0.25">
      <c r="A49" s="18" t="s">
        <v>5638</v>
      </c>
      <c r="B49" s="18" t="s">
        <v>67</v>
      </c>
      <c r="C49" s="68">
        <v>44900</v>
      </c>
      <c r="D49" s="22" t="s">
        <v>95</v>
      </c>
      <c r="E49" s="18" t="s">
        <v>231</v>
      </c>
      <c r="F49" s="18" t="s">
        <v>231</v>
      </c>
      <c r="G49" s="18" t="s">
        <v>574</v>
      </c>
      <c r="H49" s="22" t="s">
        <v>575</v>
      </c>
      <c r="I49" s="18">
        <v>17.850000000000001</v>
      </c>
      <c r="J49" s="18" t="s">
        <v>10703</v>
      </c>
      <c r="K49" s="18" t="s">
        <v>10704</v>
      </c>
      <c r="L49" s="18">
        <v>2.68</v>
      </c>
      <c r="M49" s="18" t="s">
        <v>10689</v>
      </c>
      <c r="N49" s="68">
        <v>44900</v>
      </c>
      <c r="O49" s="18" t="s">
        <v>769</v>
      </c>
      <c r="P49" s="73">
        <v>44914</v>
      </c>
      <c r="Q49" s="18" t="s">
        <v>769</v>
      </c>
      <c r="R49" s="18" t="s">
        <v>85</v>
      </c>
      <c r="S49" s="18" t="s">
        <v>90</v>
      </c>
      <c r="T49" s="18" t="s">
        <v>235</v>
      </c>
      <c r="U49" s="18" t="s">
        <v>139</v>
      </c>
      <c r="V49" s="18" t="s">
        <v>165</v>
      </c>
      <c r="W49" t="str">
        <f>VLOOKUP(PaqLlamadas[[#This Row],[NOMBRE PLAZA]],[1]!Locales[#Data],3,0)</f>
        <v>TIENDA CONDADO</v>
      </c>
      <c r="X49" t="str">
        <f>VLOOKUP(PaqLlamadas[[#This Row],[USUARIO ACTIVACION BONO]],[1]!Personal[#Data],6,0)</f>
        <v>ROJAS VEGA JHOSMERY MICHELE</v>
      </c>
      <c r="Y49" s="21">
        <f>3</f>
        <v>3</v>
      </c>
    </row>
    <row r="50" spans="1:25" x14ac:dyDescent="0.25">
      <c r="A50" s="18" t="s">
        <v>7718</v>
      </c>
      <c r="B50" s="18" t="s">
        <v>67</v>
      </c>
      <c r="C50" s="68">
        <v>44634</v>
      </c>
      <c r="D50" s="22" t="s">
        <v>95</v>
      </c>
      <c r="E50" s="18" t="s">
        <v>77</v>
      </c>
      <c r="F50" s="18" t="s">
        <v>7168</v>
      </c>
      <c r="G50" s="18" t="s">
        <v>712</v>
      </c>
      <c r="H50" s="22" t="s">
        <v>2836</v>
      </c>
      <c r="I50" s="18">
        <v>17.850000000000001</v>
      </c>
      <c r="J50" s="18" t="s">
        <v>10696</v>
      </c>
      <c r="K50" s="18" t="s">
        <v>10697</v>
      </c>
      <c r="L50" s="18">
        <v>4.46</v>
      </c>
      <c r="M50" s="18" t="s">
        <v>10689</v>
      </c>
      <c r="N50" s="68">
        <v>44896</v>
      </c>
      <c r="O50" s="18" t="s">
        <v>369</v>
      </c>
      <c r="P50" s="73">
        <v>44914</v>
      </c>
      <c r="Q50" s="18" t="s">
        <v>369</v>
      </c>
      <c r="R50" s="18" t="s">
        <v>85</v>
      </c>
      <c r="S50" s="18" t="s">
        <v>90</v>
      </c>
      <c r="T50" s="18" t="s">
        <v>177</v>
      </c>
      <c r="U50" s="18" t="s">
        <v>139</v>
      </c>
      <c r="V50" s="18" t="s">
        <v>165</v>
      </c>
      <c r="W50" t="str">
        <f>VLOOKUP(PaqLlamadas[[#This Row],[NOMBRE PLAZA]],[1]!Locales[#Data],3,0)</f>
        <v>TIENDA RECREO</v>
      </c>
      <c r="X50" t="str">
        <f>VLOOKUP(PaqLlamadas[[#This Row],[USUARIO ACTIVACION BONO]],[1]!Personal[#Data],6,0)</f>
        <v>GUAIGUA REINOSO GENESIS CAROLINA</v>
      </c>
      <c r="Y50" s="21">
        <f>3</f>
        <v>3</v>
      </c>
    </row>
    <row r="51" spans="1:25" x14ac:dyDescent="0.25">
      <c r="A51" s="18" t="s">
        <v>10718</v>
      </c>
      <c r="B51" s="18" t="s">
        <v>67</v>
      </c>
      <c r="C51" s="68">
        <v>44735</v>
      </c>
      <c r="D51" s="22" t="s">
        <v>95</v>
      </c>
      <c r="E51" s="18" t="s">
        <v>77</v>
      </c>
      <c r="F51" s="18" t="s">
        <v>2241</v>
      </c>
      <c r="G51" s="18" t="s">
        <v>71</v>
      </c>
      <c r="H51" s="22" t="s">
        <v>258</v>
      </c>
      <c r="I51" s="18">
        <v>11.42</v>
      </c>
      <c r="J51" s="18" t="s">
        <v>10687</v>
      </c>
      <c r="K51" s="18" t="s">
        <v>10688</v>
      </c>
      <c r="L51" s="18">
        <v>2.68</v>
      </c>
      <c r="M51" s="18" t="s">
        <v>10689</v>
      </c>
      <c r="N51" s="68">
        <v>44901</v>
      </c>
      <c r="O51" s="18" t="s">
        <v>280</v>
      </c>
      <c r="P51" s="73">
        <v>44914</v>
      </c>
      <c r="Q51" s="18" t="s">
        <v>280</v>
      </c>
      <c r="R51" s="18" t="s">
        <v>85</v>
      </c>
      <c r="S51" s="18" t="s">
        <v>90</v>
      </c>
      <c r="T51" s="18" t="s">
        <v>235</v>
      </c>
      <c r="U51" s="18" t="s">
        <v>139</v>
      </c>
      <c r="V51" s="18" t="s">
        <v>93</v>
      </c>
      <c r="W51" t="str">
        <f>VLOOKUP(PaqLlamadas[[#This Row],[NOMBRE PLAZA]],[1]!Locales[#Data],3,0)</f>
        <v>TIENDA CONDADO</v>
      </c>
      <c r="X51" t="str">
        <f>VLOOKUP(PaqLlamadas[[#This Row],[USUARIO ACTIVACION BONO]],[1]!Personal[#Data],6,0)</f>
        <v>GUACHAMIN CAZA HUGO ADRIAN</v>
      </c>
      <c r="Y51" s="21">
        <f>3</f>
        <v>3</v>
      </c>
    </row>
    <row r="52" spans="1:25" x14ac:dyDescent="0.25">
      <c r="A52" s="18" t="s">
        <v>7759</v>
      </c>
      <c r="B52" s="18" t="s">
        <v>67</v>
      </c>
      <c r="C52" s="68">
        <v>44641</v>
      </c>
      <c r="D52" s="22" t="s">
        <v>95</v>
      </c>
      <c r="E52" s="18" t="s">
        <v>77</v>
      </c>
      <c r="F52" s="18" t="s">
        <v>2241</v>
      </c>
      <c r="G52" s="18" t="s">
        <v>112</v>
      </c>
      <c r="H52" s="22" t="s">
        <v>781</v>
      </c>
      <c r="I52" s="18">
        <v>17.850000000000001</v>
      </c>
      <c r="J52" s="18" t="s">
        <v>10696</v>
      </c>
      <c r="K52" s="18" t="s">
        <v>10697</v>
      </c>
      <c r="L52" s="18">
        <v>4.46</v>
      </c>
      <c r="M52" s="18" t="s">
        <v>10689</v>
      </c>
      <c r="N52" s="68">
        <v>44910</v>
      </c>
      <c r="O52" s="18" t="s">
        <v>404</v>
      </c>
      <c r="P52" s="73">
        <v>44914</v>
      </c>
      <c r="Q52" s="18" t="s">
        <v>404</v>
      </c>
      <c r="R52" s="18" t="s">
        <v>85</v>
      </c>
      <c r="S52" s="18" t="s">
        <v>90</v>
      </c>
      <c r="T52" s="18" t="s">
        <v>177</v>
      </c>
      <c r="U52" s="18" t="s">
        <v>139</v>
      </c>
      <c r="V52" s="18" t="s">
        <v>165</v>
      </c>
      <c r="W52" t="str">
        <f>VLOOKUP(PaqLlamadas[[#This Row],[NOMBRE PLAZA]],[1]!Locales[#Data],3,0)</f>
        <v>TIENDA RECREO</v>
      </c>
      <c r="X52" t="str">
        <f>VLOOKUP(PaqLlamadas[[#This Row],[USUARIO ACTIVACION BONO]],[1]!Personal[#Data],6,0)</f>
        <v>OTERO YEPEZ ANDREA SOLEDAD</v>
      </c>
      <c r="Y52" s="21">
        <f>3</f>
        <v>3</v>
      </c>
    </row>
    <row r="53" spans="1:25" x14ac:dyDescent="0.25">
      <c r="A53" s="18" t="s">
        <v>10719</v>
      </c>
      <c r="B53" s="18" t="s">
        <v>67</v>
      </c>
      <c r="C53" s="68">
        <v>44897</v>
      </c>
      <c r="D53" s="22" t="s">
        <v>95</v>
      </c>
      <c r="E53" s="18" t="s">
        <v>520</v>
      </c>
      <c r="F53" s="18" t="s">
        <v>8017</v>
      </c>
      <c r="G53" s="18" t="s">
        <v>7055</v>
      </c>
      <c r="H53" s="22" t="s">
        <v>7056</v>
      </c>
      <c r="I53" s="18">
        <v>15</v>
      </c>
      <c r="J53" s="18" t="s">
        <v>10703</v>
      </c>
      <c r="K53" s="18" t="s">
        <v>10704</v>
      </c>
      <c r="L53" s="18">
        <v>2.68</v>
      </c>
      <c r="M53" s="18" t="s">
        <v>10689</v>
      </c>
      <c r="N53" s="68">
        <v>44897</v>
      </c>
      <c r="O53" s="18" t="s">
        <v>866</v>
      </c>
      <c r="P53" s="73">
        <v>44914</v>
      </c>
      <c r="Q53" s="18" t="s">
        <v>866</v>
      </c>
      <c r="R53" s="18" t="s">
        <v>85</v>
      </c>
      <c r="S53" s="18" t="s">
        <v>90</v>
      </c>
      <c r="T53" s="18" t="s">
        <v>138</v>
      </c>
      <c r="U53" s="18" t="s">
        <v>139</v>
      </c>
      <c r="V53" s="18" t="s">
        <v>95</v>
      </c>
      <c r="W53" t="str">
        <f>VLOOKUP(PaqLlamadas[[#This Row],[NOMBRE PLAZA]],[1]!Locales[#Data],3,0)</f>
        <v>TIENDA AMERICA</v>
      </c>
      <c r="X53" t="str">
        <f>VLOOKUP(PaqLlamadas[[#This Row],[USUARIO ACTIVACION BONO]],[1]!Personal[#Data],6,0)</f>
        <v>ORTEGA RUIZ GABRIEL ANTONIO</v>
      </c>
      <c r="Y53" s="21">
        <f>3</f>
        <v>3</v>
      </c>
    </row>
    <row r="54" spans="1:25" x14ac:dyDescent="0.25">
      <c r="A54" s="18" t="s">
        <v>6106</v>
      </c>
      <c r="B54" s="18" t="s">
        <v>67</v>
      </c>
      <c r="C54" s="68">
        <v>44898</v>
      </c>
      <c r="D54" s="22" t="s">
        <v>95</v>
      </c>
      <c r="E54" s="18" t="s">
        <v>77</v>
      </c>
      <c r="F54" s="18" t="s">
        <v>164</v>
      </c>
      <c r="G54" s="18" t="s">
        <v>160</v>
      </c>
      <c r="H54" s="22" t="s">
        <v>161</v>
      </c>
      <c r="I54" s="18">
        <v>14.28</v>
      </c>
      <c r="J54" s="18" t="s">
        <v>10687</v>
      </c>
      <c r="K54" s="18" t="s">
        <v>10688</v>
      </c>
      <c r="L54" s="18">
        <v>2.68</v>
      </c>
      <c r="M54" s="18" t="s">
        <v>10689</v>
      </c>
      <c r="N54" s="68">
        <v>44898</v>
      </c>
      <c r="O54" s="18" t="s">
        <v>2159</v>
      </c>
      <c r="P54" s="73">
        <v>44914</v>
      </c>
      <c r="Q54" s="18" t="s">
        <v>2159</v>
      </c>
      <c r="R54" s="18" t="s">
        <v>85</v>
      </c>
      <c r="S54" s="18" t="s">
        <v>90</v>
      </c>
      <c r="T54" s="18" t="s">
        <v>177</v>
      </c>
      <c r="U54" s="18" t="s">
        <v>139</v>
      </c>
      <c r="V54" s="18" t="s">
        <v>93</v>
      </c>
      <c r="W54" t="str">
        <f>VLOOKUP(PaqLlamadas[[#This Row],[NOMBRE PLAZA]],[1]!Locales[#Data],3,0)</f>
        <v>TIENDA RECREO</v>
      </c>
      <c r="X54" t="str">
        <f>VLOOKUP(PaqLlamadas[[#This Row],[USUARIO ACTIVACION BONO]],[1]!Personal[#Data],6,0)</f>
        <v>GUEVARA MAZA CRISTIAN FABIAN</v>
      </c>
      <c r="Y54" s="21">
        <f>3</f>
        <v>3</v>
      </c>
    </row>
    <row r="55" spans="1:25" x14ac:dyDescent="0.25">
      <c r="A55" s="18" t="s">
        <v>6106</v>
      </c>
      <c r="B55" s="18" t="s">
        <v>67</v>
      </c>
      <c r="C55" s="68">
        <v>44898</v>
      </c>
      <c r="D55" s="22" t="s">
        <v>95</v>
      </c>
      <c r="E55" s="18" t="s">
        <v>77</v>
      </c>
      <c r="F55" s="18" t="s">
        <v>164</v>
      </c>
      <c r="G55" s="18" t="s">
        <v>160</v>
      </c>
      <c r="H55" s="22" t="s">
        <v>161</v>
      </c>
      <c r="I55" s="18">
        <v>14.28</v>
      </c>
      <c r="J55" s="18" t="s">
        <v>10687</v>
      </c>
      <c r="K55" s="18" t="s">
        <v>10688</v>
      </c>
      <c r="L55" s="18">
        <v>2.68</v>
      </c>
      <c r="M55" s="18" t="s">
        <v>10689</v>
      </c>
      <c r="N55" s="68">
        <v>44898</v>
      </c>
      <c r="O55" s="18" t="s">
        <v>2159</v>
      </c>
      <c r="P55" s="73">
        <v>44914</v>
      </c>
      <c r="Q55" s="18" t="s">
        <v>2159</v>
      </c>
      <c r="R55" s="18" t="s">
        <v>85</v>
      </c>
      <c r="S55" s="18" t="s">
        <v>90</v>
      </c>
      <c r="T55" s="18" t="s">
        <v>177</v>
      </c>
      <c r="U55" s="18" t="s">
        <v>139</v>
      </c>
      <c r="V55" s="18" t="s">
        <v>93</v>
      </c>
      <c r="W55" t="str">
        <f>VLOOKUP(PaqLlamadas[[#This Row],[NOMBRE PLAZA]],[1]!Locales[#Data],3,0)</f>
        <v>TIENDA RECREO</v>
      </c>
      <c r="X55" t="str">
        <f>VLOOKUP(PaqLlamadas[[#This Row],[USUARIO ACTIVACION BONO]],[1]!Personal[#Data],6,0)</f>
        <v>GUEVARA MAZA CRISTIAN FABIAN</v>
      </c>
      <c r="Y55" s="21">
        <f>3</f>
        <v>3</v>
      </c>
    </row>
    <row r="56" spans="1:25" x14ac:dyDescent="0.25">
      <c r="A56" s="18" t="s">
        <v>10720</v>
      </c>
      <c r="B56" s="18" t="s">
        <v>67</v>
      </c>
      <c r="C56" s="68">
        <v>42893</v>
      </c>
      <c r="D56" s="22" t="s">
        <v>95</v>
      </c>
      <c r="E56" s="18" t="s">
        <v>77</v>
      </c>
      <c r="F56" s="18" t="s">
        <v>1532</v>
      </c>
      <c r="G56" s="18" t="s">
        <v>7069</v>
      </c>
      <c r="H56" s="22" t="s">
        <v>7070</v>
      </c>
      <c r="I56" s="18">
        <v>21.42</v>
      </c>
      <c r="J56" s="18" t="s">
        <v>10703</v>
      </c>
      <c r="K56" s="18" t="s">
        <v>10704</v>
      </c>
      <c r="L56" s="18">
        <v>2.68</v>
      </c>
      <c r="M56" s="18" t="s">
        <v>10689</v>
      </c>
      <c r="N56" s="68">
        <v>44897</v>
      </c>
      <c r="O56" s="18" t="s">
        <v>385</v>
      </c>
      <c r="P56" s="73">
        <v>44914</v>
      </c>
      <c r="Q56" s="18" t="s">
        <v>385</v>
      </c>
      <c r="R56" s="18" t="s">
        <v>85</v>
      </c>
      <c r="S56" s="18" t="s">
        <v>90</v>
      </c>
      <c r="T56" s="18" t="s">
        <v>151</v>
      </c>
      <c r="U56" s="18" t="s">
        <v>92</v>
      </c>
      <c r="V56" s="18" t="s">
        <v>95</v>
      </c>
      <c r="W56" t="str">
        <f>VLOOKUP(PaqLlamadas[[#This Row],[NOMBRE PLAZA]],[1]!Locales[#Data],3,0)</f>
        <v>TIENDA CUENCA REMIGIO</v>
      </c>
      <c r="X56" t="str">
        <f>VLOOKUP(PaqLlamadas[[#This Row],[USUARIO ACTIVACION BONO]],[1]!Personal[#Data],6,0)</f>
        <v>RAMIREZ RUBIO NELLY LILIANA</v>
      </c>
      <c r="Y56" s="21">
        <f>3</f>
        <v>3</v>
      </c>
    </row>
    <row r="57" spans="1:25" x14ac:dyDescent="0.25">
      <c r="A57" s="18" t="s">
        <v>6529</v>
      </c>
      <c r="B57" s="18" t="s">
        <v>67</v>
      </c>
      <c r="C57" s="68">
        <v>44898</v>
      </c>
      <c r="D57" s="22" t="s">
        <v>95</v>
      </c>
      <c r="E57" s="18" t="s">
        <v>77</v>
      </c>
      <c r="F57" s="18" t="s">
        <v>164</v>
      </c>
      <c r="G57" s="18" t="s">
        <v>160</v>
      </c>
      <c r="H57" s="22" t="s">
        <v>161</v>
      </c>
      <c r="I57" s="18">
        <v>14.28</v>
      </c>
      <c r="J57" s="18" t="s">
        <v>10687</v>
      </c>
      <c r="K57" s="18" t="s">
        <v>10688</v>
      </c>
      <c r="L57" s="18">
        <v>2.68</v>
      </c>
      <c r="M57" s="18" t="s">
        <v>10689</v>
      </c>
      <c r="N57" s="68">
        <v>44898</v>
      </c>
      <c r="O57" s="18" t="s">
        <v>2159</v>
      </c>
      <c r="P57" s="73">
        <v>44914</v>
      </c>
      <c r="Q57" s="18" t="s">
        <v>2159</v>
      </c>
      <c r="R57" s="18" t="s">
        <v>85</v>
      </c>
      <c r="S57" s="18" t="s">
        <v>90</v>
      </c>
      <c r="T57" s="18" t="s">
        <v>177</v>
      </c>
      <c r="U57" s="18" t="s">
        <v>139</v>
      </c>
      <c r="V57" s="18" t="s">
        <v>93</v>
      </c>
      <c r="W57" t="str">
        <f>VLOOKUP(PaqLlamadas[[#This Row],[NOMBRE PLAZA]],[1]!Locales[#Data],3,0)</f>
        <v>TIENDA RECREO</v>
      </c>
      <c r="X57" t="str">
        <f>VLOOKUP(PaqLlamadas[[#This Row],[USUARIO ACTIVACION BONO]],[1]!Personal[#Data],6,0)</f>
        <v>GUEVARA MAZA CRISTIAN FABIAN</v>
      </c>
      <c r="Y57" s="21">
        <f>3</f>
        <v>3</v>
      </c>
    </row>
    <row r="58" spans="1:25" x14ac:dyDescent="0.25">
      <c r="A58" s="18" t="s">
        <v>6529</v>
      </c>
      <c r="B58" s="18" t="s">
        <v>67</v>
      </c>
      <c r="C58" s="68">
        <v>44898</v>
      </c>
      <c r="D58" s="22" t="s">
        <v>95</v>
      </c>
      <c r="E58" s="18" t="s">
        <v>77</v>
      </c>
      <c r="F58" s="18" t="s">
        <v>164</v>
      </c>
      <c r="G58" s="18" t="s">
        <v>160</v>
      </c>
      <c r="H58" s="22" t="s">
        <v>161</v>
      </c>
      <c r="I58" s="18">
        <v>14.28</v>
      </c>
      <c r="J58" s="18" t="s">
        <v>10687</v>
      </c>
      <c r="K58" s="18" t="s">
        <v>10688</v>
      </c>
      <c r="L58" s="18">
        <v>2.68</v>
      </c>
      <c r="M58" s="18" t="s">
        <v>10689</v>
      </c>
      <c r="N58" s="68">
        <v>44898</v>
      </c>
      <c r="O58" s="18" t="s">
        <v>2159</v>
      </c>
      <c r="P58" s="73">
        <v>44914</v>
      </c>
      <c r="Q58" s="18" t="s">
        <v>2159</v>
      </c>
      <c r="R58" s="18" t="s">
        <v>85</v>
      </c>
      <c r="S58" s="18" t="s">
        <v>90</v>
      </c>
      <c r="T58" s="18" t="s">
        <v>177</v>
      </c>
      <c r="U58" s="18" t="s">
        <v>139</v>
      </c>
      <c r="V58" s="18" t="s">
        <v>165</v>
      </c>
      <c r="W58" t="str">
        <f>VLOOKUP(PaqLlamadas[[#This Row],[NOMBRE PLAZA]],[1]!Locales[#Data],3,0)</f>
        <v>TIENDA RECREO</v>
      </c>
      <c r="X58" t="str">
        <f>VLOOKUP(PaqLlamadas[[#This Row],[USUARIO ACTIVACION BONO]],[1]!Personal[#Data],6,0)</f>
        <v>GUEVARA MAZA CRISTIAN FABIAN</v>
      </c>
      <c r="Y58" s="21">
        <f>3</f>
        <v>3</v>
      </c>
    </row>
    <row r="59" spans="1:25" x14ac:dyDescent="0.25">
      <c r="A59" s="18" t="s">
        <v>10721</v>
      </c>
      <c r="B59" s="18" t="s">
        <v>67</v>
      </c>
      <c r="C59" s="68">
        <v>43108</v>
      </c>
      <c r="D59" s="22" t="s">
        <v>95</v>
      </c>
      <c r="E59" s="18" t="s">
        <v>77</v>
      </c>
      <c r="F59" s="18" t="s">
        <v>1532</v>
      </c>
      <c r="G59" s="18" t="s">
        <v>7227</v>
      </c>
      <c r="H59" s="22" t="s">
        <v>7228</v>
      </c>
      <c r="I59" s="18">
        <v>9.99</v>
      </c>
      <c r="J59" s="18" t="s">
        <v>10703</v>
      </c>
      <c r="K59" s="18" t="s">
        <v>10704</v>
      </c>
      <c r="L59" s="18">
        <v>2.68</v>
      </c>
      <c r="M59" s="18" t="s">
        <v>10689</v>
      </c>
      <c r="N59" s="68">
        <v>44904</v>
      </c>
      <c r="O59" s="18" t="s">
        <v>420</v>
      </c>
      <c r="P59" s="73">
        <v>44914</v>
      </c>
      <c r="Q59" s="18" t="s">
        <v>420</v>
      </c>
      <c r="R59" s="18" t="s">
        <v>85</v>
      </c>
      <c r="S59" s="18" t="s">
        <v>90</v>
      </c>
      <c r="T59" s="18" t="s">
        <v>151</v>
      </c>
      <c r="U59" s="18" t="s">
        <v>92</v>
      </c>
      <c r="V59" s="18" t="s">
        <v>95</v>
      </c>
      <c r="W59" t="str">
        <f>VLOOKUP(PaqLlamadas[[#This Row],[NOMBRE PLAZA]],[1]!Locales[#Data],3,0)</f>
        <v>TIENDA CUENCA REMIGIO</v>
      </c>
      <c r="X59" t="str">
        <f>VLOOKUP(PaqLlamadas[[#This Row],[USUARIO ACTIVACION BONO]],[1]!Personal[#Data],6,0)</f>
        <v>YEPEZ PALOMEQUE DIANA PATRICIA</v>
      </c>
      <c r="Y59" s="21">
        <f>3</f>
        <v>3</v>
      </c>
    </row>
    <row r="60" spans="1:25" x14ac:dyDescent="0.25">
      <c r="A60" s="18" t="s">
        <v>6544</v>
      </c>
      <c r="B60" s="18" t="s">
        <v>67</v>
      </c>
      <c r="C60" s="68">
        <v>44898</v>
      </c>
      <c r="D60" s="22" t="s">
        <v>95</v>
      </c>
      <c r="E60" s="18" t="s">
        <v>77</v>
      </c>
      <c r="F60" s="18" t="s">
        <v>164</v>
      </c>
      <c r="G60" s="18" t="s">
        <v>160</v>
      </c>
      <c r="H60" s="22" t="s">
        <v>161</v>
      </c>
      <c r="I60" s="18">
        <v>14.28</v>
      </c>
      <c r="J60" s="18" t="s">
        <v>10687</v>
      </c>
      <c r="K60" s="18" t="s">
        <v>10688</v>
      </c>
      <c r="L60" s="18">
        <v>2.68</v>
      </c>
      <c r="M60" s="18" t="s">
        <v>10689</v>
      </c>
      <c r="N60" s="68">
        <v>44898</v>
      </c>
      <c r="O60" s="18" t="s">
        <v>2159</v>
      </c>
      <c r="P60" s="73">
        <v>44914</v>
      </c>
      <c r="Q60" s="18" t="s">
        <v>2159</v>
      </c>
      <c r="R60" s="18" t="s">
        <v>85</v>
      </c>
      <c r="S60" s="18" t="s">
        <v>90</v>
      </c>
      <c r="T60" s="18" t="s">
        <v>177</v>
      </c>
      <c r="U60" s="18" t="s">
        <v>139</v>
      </c>
      <c r="V60" s="18" t="s">
        <v>93</v>
      </c>
      <c r="W60" t="str">
        <f>VLOOKUP(PaqLlamadas[[#This Row],[NOMBRE PLAZA]],[1]!Locales[#Data],3,0)</f>
        <v>TIENDA RECREO</v>
      </c>
      <c r="X60" t="str">
        <f>VLOOKUP(PaqLlamadas[[#This Row],[USUARIO ACTIVACION BONO]],[1]!Personal[#Data],6,0)</f>
        <v>GUEVARA MAZA CRISTIAN FABIAN</v>
      </c>
      <c r="Y60" s="21">
        <f>3</f>
        <v>3</v>
      </c>
    </row>
    <row r="61" spans="1:25" x14ac:dyDescent="0.25">
      <c r="A61" s="18" t="s">
        <v>6593</v>
      </c>
      <c r="B61" s="18" t="s">
        <v>67</v>
      </c>
      <c r="C61" s="68">
        <v>44901</v>
      </c>
      <c r="D61" s="22" t="s">
        <v>95</v>
      </c>
      <c r="E61" s="18" t="s">
        <v>77</v>
      </c>
      <c r="F61" s="18" t="s">
        <v>164</v>
      </c>
      <c r="G61" s="18" t="s">
        <v>194</v>
      </c>
      <c r="H61" s="22" t="s">
        <v>268</v>
      </c>
      <c r="I61" s="18">
        <v>14.28</v>
      </c>
      <c r="J61" s="18" t="s">
        <v>10687</v>
      </c>
      <c r="K61" s="18" t="s">
        <v>10688</v>
      </c>
      <c r="L61" s="18">
        <v>2.68</v>
      </c>
      <c r="M61" s="18" t="s">
        <v>10689</v>
      </c>
      <c r="N61" s="68">
        <v>44901</v>
      </c>
      <c r="O61" s="18" t="s">
        <v>2159</v>
      </c>
      <c r="P61" s="73">
        <v>44914</v>
      </c>
      <c r="Q61" s="18" t="s">
        <v>2159</v>
      </c>
      <c r="R61" s="18" t="s">
        <v>85</v>
      </c>
      <c r="S61" s="18" t="s">
        <v>90</v>
      </c>
      <c r="T61" s="18" t="s">
        <v>177</v>
      </c>
      <c r="U61" s="18" t="s">
        <v>139</v>
      </c>
      <c r="V61" s="18" t="s">
        <v>93</v>
      </c>
      <c r="W61" t="str">
        <f>VLOOKUP(PaqLlamadas[[#This Row],[NOMBRE PLAZA]],[1]!Locales[#Data],3,0)</f>
        <v>TIENDA RECREO</v>
      </c>
      <c r="X61" t="str">
        <f>VLOOKUP(PaqLlamadas[[#This Row],[USUARIO ACTIVACION BONO]],[1]!Personal[#Data],6,0)</f>
        <v>GUEVARA MAZA CRISTIAN FABIAN</v>
      </c>
      <c r="Y61" s="21">
        <f>3</f>
        <v>3</v>
      </c>
    </row>
    <row r="62" spans="1:25" x14ac:dyDescent="0.25">
      <c r="A62" s="18" t="s">
        <v>6615</v>
      </c>
      <c r="B62" s="18" t="s">
        <v>67</v>
      </c>
      <c r="C62" s="68">
        <v>44901</v>
      </c>
      <c r="D62" s="22" t="s">
        <v>95</v>
      </c>
      <c r="E62" s="18" t="s">
        <v>77</v>
      </c>
      <c r="F62" s="18" t="s">
        <v>164</v>
      </c>
      <c r="G62" s="18" t="s">
        <v>194</v>
      </c>
      <c r="H62" s="22" t="s">
        <v>268</v>
      </c>
      <c r="I62" s="18">
        <v>14.28</v>
      </c>
      <c r="J62" s="18" t="s">
        <v>10687</v>
      </c>
      <c r="K62" s="18" t="s">
        <v>10688</v>
      </c>
      <c r="L62" s="18">
        <v>2.68</v>
      </c>
      <c r="M62" s="18" t="s">
        <v>10689</v>
      </c>
      <c r="N62" s="68">
        <v>44901</v>
      </c>
      <c r="O62" s="18" t="s">
        <v>2159</v>
      </c>
      <c r="P62" s="73">
        <v>44914</v>
      </c>
      <c r="Q62" s="18" t="s">
        <v>2159</v>
      </c>
      <c r="R62" s="18" t="s">
        <v>85</v>
      </c>
      <c r="S62" s="18" t="s">
        <v>90</v>
      </c>
      <c r="T62" s="18" t="s">
        <v>177</v>
      </c>
      <c r="U62" s="18" t="s">
        <v>139</v>
      </c>
      <c r="V62" s="18" t="s">
        <v>93</v>
      </c>
      <c r="W62" t="str">
        <f>VLOOKUP(PaqLlamadas[[#This Row],[NOMBRE PLAZA]],[1]!Locales[#Data],3,0)</f>
        <v>TIENDA RECREO</v>
      </c>
      <c r="X62" t="str">
        <f>VLOOKUP(PaqLlamadas[[#This Row],[USUARIO ACTIVACION BONO]],[1]!Personal[#Data],6,0)</f>
        <v>GUEVARA MAZA CRISTIAN FABIAN</v>
      </c>
      <c r="Y62" s="21">
        <f>3</f>
        <v>3</v>
      </c>
    </row>
    <row r="63" spans="1:25" x14ac:dyDescent="0.25">
      <c r="A63" s="18" t="s">
        <v>6615</v>
      </c>
      <c r="B63" s="18" t="s">
        <v>67</v>
      </c>
      <c r="C63" s="68">
        <v>44901</v>
      </c>
      <c r="D63" s="22" t="s">
        <v>95</v>
      </c>
      <c r="E63" s="18" t="s">
        <v>77</v>
      </c>
      <c r="F63" s="18" t="s">
        <v>164</v>
      </c>
      <c r="G63" s="18" t="s">
        <v>194</v>
      </c>
      <c r="H63" s="22" t="s">
        <v>268</v>
      </c>
      <c r="I63" s="18">
        <v>14.28</v>
      </c>
      <c r="J63" s="18" t="s">
        <v>10687</v>
      </c>
      <c r="K63" s="18" t="s">
        <v>10688</v>
      </c>
      <c r="L63" s="18">
        <v>2.68</v>
      </c>
      <c r="M63" s="18" t="s">
        <v>10689</v>
      </c>
      <c r="N63" s="68">
        <v>44901</v>
      </c>
      <c r="O63" s="18" t="s">
        <v>2159</v>
      </c>
      <c r="P63" s="73">
        <v>44914</v>
      </c>
      <c r="Q63" s="18" t="s">
        <v>2159</v>
      </c>
      <c r="R63" s="18" t="s">
        <v>85</v>
      </c>
      <c r="S63" s="18" t="s">
        <v>90</v>
      </c>
      <c r="T63" s="18" t="s">
        <v>177</v>
      </c>
      <c r="U63" s="18" t="s">
        <v>139</v>
      </c>
      <c r="V63" s="18" t="s">
        <v>93</v>
      </c>
      <c r="W63" t="str">
        <f>VLOOKUP(PaqLlamadas[[#This Row],[NOMBRE PLAZA]],[1]!Locales[#Data],3,0)</f>
        <v>TIENDA RECREO</v>
      </c>
      <c r="X63" t="str">
        <f>VLOOKUP(PaqLlamadas[[#This Row],[USUARIO ACTIVACION BONO]],[1]!Personal[#Data],6,0)</f>
        <v>GUEVARA MAZA CRISTIAN FABIAN</v>
      </c>
      <c r="Y63" s="21">
        <f>3</f>
        <v>3</v>
      </c>
    </row>
    <row r="64" spans="1:25" x14ac:dyDescent="0.25">
      <c r="A64" s="18" t="s">
        <v>10722</v>
      </c>
      <c r="B64" s="18" t="s">
        <v>67</v>
      </c>
      <c r="C64" s="68">
        <v>43984</v>
      </c>
      <c r="D64" s="22" t="s">
        <v>95</v>
      </c>
      <c r="E64" s="18" t="s">
        <v>520</v>
      </c>
      <c r="F64" s="18" t="s">
        <v>8017</v>
      </c>
      <c r="G64" s="18" t="s">
        <v>7454</v>
      </c>
      <c r="H64" s="22" t="s">
        <v>7511</v>
      </c>
      <c r="I64" s="18">
        <v>20</v>
      </c>
      <c r="J64" s="18" t="s">
        <v>10694</v>
      </c>
      <c r="K64" s="18" t="s">
        <v>10695</v>
      </c>
      <c r="L64" s="18">
        <v>2.67</v>
      </c>
      <c r="M64" s="18" t="s">
        <v>10689</v>
      </c>
      <c r="N64" s="68">
        <v>44911</v>
      </c>
      <c r="O64" s="18" t="s">
        <v>385</v>
      </c>
      <c r="P64" s="73">
        <v>44914</v>
      </c>
      <c r="Q64" s="18" t="s">
        <v>385</v>
      </c>
      <c r="R64" s="18" t="s">
        <v>85</v>
      </c>
      <c r="S64" s="18" t="s">
        <v>90</v>
      </c>
      <c r="T64" s="18" t="s">
        <v>151</v>
      </c>
      <c r="U64" s="18" t="s">
        <v>92</v>
      </c>
      <c r="V64" s="18" t="s">
        <v>95</v>
      </c>
      <c r="W64" t="str">
        <f>VLOOKUP(PaqLlamadas[[#This Row],[NOMBRE PLAZA]],[1]!Locales[#Data],3,0)</f>
        <v>TIENDA CUENCA REMIGIO</v>
      </c>
      <c r="X64" t="str">
        <f>VLOOKUP(PaqLlamadas[[#This Row],[USUARIO ACTIVACION BONO]],[1]!Personal[#Data],6,0)</f>
        <v>RAMIREZ RUBIO NELLY LILIANA</v>
      </c>
      <c r="Y64" s="21">
        <f>3</f>
        <v>3</v>
      </c>
    </row>
    <row r="65" spans="1:25" x14ac:dyDescent="0.25">
      <c r="A65" s="18" t="s">
        <v>6856</v>
      </c>
      <c r="B65" s="18" t="s">
        <v>67</v>
      </c>
      <c r="C65" s="68">
        <v>44898</v>
      </c>
      <c r="D65" s="22" t="s">
        <v>95</v>
      </c>
      <c r="E65" s="18" t="s">
        <v>77</v>
      </c>
      <c r="F65" s="18" t="s">
        <v>164</v>
      </c>
      <c r="G65" s="18" t="s">
        <v>160</v>
      </c>
      <c r="H65" s="22" t="s">
        <v>161</v>
      </c>
      <c r="I65" s="18">
        <v>14.28</v>
      </c>
      <c r="J65" s="18" t="s">
        <v>10687</v>
      </c>
      <c r="K65" s="18" t="s">
        <v>10688</v>
      </c>
      <c r="L65" s="18">
        <v>2.68</v>
      </c>
      <c r="M65" s="18" t="s">
        <v>10689</v>
      </c>
      <c r="N65" s="68">
        <v>44898</v>
      </c>
      <c r="O65" s="18" t="s">
        <v>822</v>
      </c>
      <c r="P65" s="73">
        <v>44914</v>
      </c>
      <c r="Q65" s="18" t="s">
        <v>822</v>
      </c>
      <c r="R65" s="18" t="s">
        <v>85</v>
      </c>
      <c r="S65" s="18" t="s">
        <v>90</v>
      </c>
      <c r="T65" s="18" t="s">
        <v>177</v>
      </c>
      <c r="U65" s="18" t="s">
        <v>139</v>
      </c>
      <c r="V65" s="18" t="s">
        <v>93</v>
      </c>
      <c r="W65" t="str">
        <f>VLOOKUP(PaqLlamadas[[#This Row],[NOMBRE PLAZA]],[1]!Locales[#Data],3,0)</f>
        <v>TIENDA RECREO</v>
      </c>
      <c r="X65" t="str">
        <f>VLOOKUP(PaqLlamadas[[#This Row],[USUARIO ACTIVACION BONO]],[1]!Personal[#Data],6,0)</f>
        <v>SALAS PARRA MARIA JOSE</v>
      </c>
      <c r="Y65" s="21">
        <f>3</f>
        <v>3</v>
      </c>
    </row>
    <row r="66" spans="1:25" x14ac:dyDescent="0.25">
      <c r="A66" s="18" t="s">
        <v>10723</v>
      </c>
      <c r="B66" s="18" t="s">
        <v>67</v>
      </c>
      <c r="C66" s="68">
        <v>44395</v>
      </c>
      <c r="D66" s="22" t="s">
        <v>95</v>
      </c>
      <c r="E66" s="18" t="s">
        <v>311</v>
      </c>
      <c r="F66" s="18" t="s">
        <v>311</v>
      </c>
      <c r="G66" s="18" t="s">
        <v>112</v>
      </c>
      <c r="H66" s="22" t="s">
        <v>781</v>
      </c>
      <c r="I66" s="18">
        <v>17.850000000000001</v>
      </c>
      <c r="J66" s="18" t="s">
        <v>10687</v>
      </c>
      <c r="K66" s="18" t="s">
        <v>10688</v>
      </c>
      <c r="L66" s="18">
        <v>2.68</v>
      </c>
      <c r="M66" s="18" t="s">
        <v>10689</v>
      </c>
      <c r="N66" s="68">
        <v>44913</v>
      </c>
      <c r="O66" s="18" t="s">
        <v>822</v>
      </c>
      <c r="P66" s="73">
        <v>44914</v>
      </c>
      <c r="Q66" s="18" t="s">
        <v>822</v>
      </c>
      <c r="R66" s="18" t="s">
        <v>85</v>
      </c>
      <c r="S66" s="18" t="s">
        <v>90</v>
      </c>
      <c r="T66" s="18" t="s">
        <v>177</v>
      </c>
      <c r="U66" s="18" t="s">
        <v>139</v>
      </c>
      <c r="V66" s="18" t="s">
        <v>95</v>
      </c>
      <c r="W66" t="str">
        <f>VLOOKUP(PaqLlamadas[[#This Row],[NOMBRE PLAZA]],[1]!Locales[#Data],3,0)</f>
        <v>TIENDA RECREO</v>
      </c>
      <c r="X66" t="str">
        <f>VLOOKUP(PaqLlamadas[[#This Row],[USUARIO ACTIVACION BONO]],[1]!Personal[#Data],6,0)</f>
        <v>SALAS PARRA MARIA JOSE</v>
      </c>
      <c r="Y66" s="21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24E8-3BBD-4A9B-9D17-FAE826AD09A0}">
  <sheetPr codeName="Hoja6"/>
  <dimension ref="A1:AI11"/>
  <sheetViews>
    <sheetView workbookViewId="0">
      <selection activeCell="AJ1" sqref="AJ1"/>
    </sheetView>
  </sheetViews>
  <sheetFormatPr baseColWidth="10" defaultRowHeight="15" x14ac:dyDescent="0.25"/>
  <cols>
    <col min="1" max="1" width="11.7109375" customWidth="1"/>
    <col min="2" max="2" width="18.85546875" customWidth="1"/>
    <col min="3" max="4" width="22.28515625" customWidth="1"/>
    <col min="5" max="5" width="12.5703125" customWidth="1"/>
    <col min="6" max="6" width="16" customWidth="1"/>
    <col min="7" max="7" width="14.7109375" customWidth="1"/>
    <col min="8" max="8" width="19.7109375" customWidth="1"/>
    <col min="9" max="9" width="20.5703125" customWidth="1"/>
    <col min="10" max="10" width="18.42578125" customWidth="1"/>
    <col min="11" max="11" width="18" customWidth="1"/>
    <col min="12" max="12" width="12.5703125" customWidth="1"/>
    <col min="13" max="13" width="13.28515625" customWidth="1"/>
    <col min="14" max="14" width="23.140625" customWidth="1"/>
    <col min="15" max="15" width="26.28515625" customWidth="1"/>
    <col min="16" max="16" width="25.140625" customWidth="1"/>
    <col min="17" max="17" width="33.5703125" customWidth="1"/>
    <col min="18" max="18" width="27.7109375" customWidth="1"/>
    <col min="19" max="19" width="16.7109375" customWidth="1"/>
    <col min="20" max="20" width="21.85546875" customWidth="1"/>
    <col min="21" max="21" width="16.28515625" customWidth="1"/>
    <col min="22" max="22" width="30.28515625" customWidth="1"/>
    <col min="23" max="23" width="22.7109375" customWidth="1"/>
    <col min="24" max="24" width="20.42578125" customWidth="1"/>
    <col min="25" max="25" width="16.140625" customWidth="1"/>
    <col min="26" max="26" width="13.7109375" customWidth="1"/>
    <col min="28" max="28" width="12.42578125" customWidth="1"/>
    <col min="30" max="30" width="22.7109375" bestFit="1" customWidth="1"/>
    <col min="31" max="31" width="35.5703125" bestFit="1" customWidth="1"/>
    <col min="32" max="32" width="12.85546875" customWidth="1"/>
  </cols>
  <sheetData>
    <row r="1" spans="1:35" x14ac:dyDescent="0.25">
      <c r="A1" s="74" t="s">
        <v>6963</v>
      </c>
      <c r="B1" s="80" t="s">
        <v>10667</v>
      </c>
      <c r="C1" s="49" t="s">
        <v>10668</v>
      </c>
      <c r="D1" s="80" t="s">
        <v>10669</v>
      </c>
      <c r="E1" s="49" t="s">
        <v>15</v>
      </c>
      <c r="F1" s="80" t="s">
        <v>10670</v>
      </c>
      <c r="G1" s="49" t="s">
        <v>10671</v>
      </c>
      <c r="H1" s="49" t="s">
        <v>10672</v>
      </c>
      <c r="I1" s="49" t="s">
        <v>10673</v>
      </c>
      <c r="J1" s="49" t="s">
        <v>10674</v>
      </c>
      <c r="K1" s="49" t="s">
        <v>10675</v>
      </c>
      <c r="L1" s="49" t="s">
        <v>10676</v>
      </c>
      <c r="M1" s="80" t="s">
        <v>10677</v>
      </c>
      <c r="N1" s="49" t="s">
        <v>10678</v>
      </c>
      <c r="O1" s="80" t="s">
        <v>10724</v>
      </c>
      <c r="P1" s="80" t="s">
        <v>10725</v>
      </c>
      <c r="Q1" s="80" t="s">
        <v>10726</v>
      </c>
      <c r="R1" s="80" t="s">
        <v>10727</v>
      </c>
      <c r="S1" s="80" t="s">
        <v>10680</v>
      </c>
      <c r="T1" s="49" t="s">
        <v>10679</v>
      </c>
      <c r="U1" s="49" t="s">
        <v>10728</v>
      </c>
      <c r="V1" s="80" t="s">
        <v>10729</v>
      </c>
      <c r="W1" s="80" t="s">
        <v>25</v>
      </c>
      <c r="X1" s="80" t="s">
        <v>7004</v>
      </c>
      <c r="Y1" s="80" t="s">
        <v>7013</v>
      </c>
      <c r="Z1" s="80" t="s">
        <v>7012</v>
      </c>
      <c r="AA1" s="49" t="s">
        <v>10730</v>
      </c>
      <c r="AB1" s="80" t="s">
        <v>6966</v>
      </c>
      <c r="AC1" s="80" t="s">
        <v>7015</v>
      </c>
      <c r="AD1" s="75" t="s">
        <v>97</v>
      </c>
      <c r="AE1" s="75" t="s">
        <v>52</v>
      </c>
      <c r="AF1" s="75" t="s">
        <v>10731</v>
      </c>
      <c r="AG1" s="75" t="s">
        <v>10732</v>
      </c>
      <c r="AH1" s="75" t="s">
        <v>10733</v>
      </c>
      <c r="AI1" s="75" t="s">
        <v>10734</v>
      </c>
    </row>
    <row r="2" spans="1:35" x14ac:dyDescent="0.25">
      <c r="A2">
        <v>958746682</v>
      </c>
      <c r="B2" t="s">
        <v>67</v>
      </c>
      <c r="C2" s="39">
        <v>44405</v>
      </c>
      <c r="D2" t="s">
        <v>95</v>
      </c>
      <c r="E2" t="s">
        <v>77</v>
      </c>
      <c r="F2" t="s">
        <v>2241</v>
      </c>
      <c r="G2" t="s">
        <v>7127</v>
      </c>
      <c r="H2" t="s">
        <v>7128</v>
      </c>
      <c r="I2">
        <v>13.79</v>
      </c>
      <c r="J2" t="s">
        <v>10735</v>
      </c>
      <c r="K2" t="s">
        <v>10736</v>
      </c>
      <c r="L2">
        <v>4.99</v>
      </c>
      <c r="M2" t="s">
        <v>10689</v>
      </c>
      <c r="N2" s="62">
        <v>44903</v>
      </c>
      <c r="O2" t="s">
        <v>95</v>
      </c>
      <c r="P2" t="s">
        <v>95</v>
      </c>
      <c r="Q2" t="s">
        <v>95</v>
      </c>
      <c r="R2" t="s">
        <v>95</v>
      </c>
      <c r="S2" s="72">
        <v>44914</v>
      </c>
      <c r="T2" t="s">
        <v>120</v>
      </c>
      <c r="U2" t="s">
        <v>5819</v>
      </c>
      <c r="V2" t="s">
        <v>85</v>
      </c>
      <c r="W2" t="s">
        <v>86</v>
      </c>
      <c r="X2" t="s">
        <v>90</v>
      </c>
      <c r="Y2" t="s">
        <v>7048</v>
      </c>
      <c r="Z2" t="s">
        <v>122</v>
      </c>
      <c r="AA2" t="s">
        <v>114</v>
      </c>
      <c r="AB2" t="s">
        <v>7047</v>
      </c>
      <c r="AC2" t="s">
        <v>92</v>
      </c>
      <c r="AD2" t="str">
        <f>VLOOKUP(Seguros[[#This Row],[NOM_PLAZA]],[1]!Locales[#Data],3,0)</f>
        <v>TIENDA MACHALA</v>
      </c>
      <c r="AE2" t="str">
        <f>VLOOKUP(Seguros[[#This Row],[USUARIO ACTIVACION]],[1]!Personal[#Data],6,0)</f>
        <v>ARROBO VICENTE YADIRA ESPERANZA</v>
      </c>
      <c r="AF2">
        <f>IFERROR(IF(FIND("SOS",Seguros[[#This Row],[DESCRIPCION SLO]],1),1,),0)</f>
        <v>0</v>
      </c>
      <c r="AG2">
        <f>IFERROR(IF(FIND("UPSS",Seguros[[#This Row],[DESCRIPCION SLO]],1),1,),0)</f>
        <v>1</v>
      </c>
      <c r="AH2">
        <f>IFERROR(IF(FIND("SEGURIDAD",Seguros[[#This Row],[DESCRIPCION SLO]],1),1,),0)</f>
        <v>0</v>
      </c>
      <c r="AI2" s="76">
        <f>IF(Seguros[[#This Row],[ASISTENCIA]]=0,0,3.44)</f>
        <v>0</v>
      </c>
    </row>
    <row r="3" spans="1:35" x14ac:dyDescent="0.25">
      <c r="A3" s="77">
        <v>958850636</v>
      </c>
      <c r="B3" s="4" t="s">
        <v>67</v>
      </c>
      <c r="C3" s="5">
        <v>44606</v>
      </c>
      <c r="D3" s="4" t="s">
        <v>95</v>
      </c>
      <c r="E3" s="4" t="s">
        <v>77</v>
      </c>
      <c r="F3" s="4" t="s">
        <v>2241</v>
      </c>
      <c r="G3" s="4" t="s">
        <v>71</v>
      </c>
      <c r="H3" s="4" t="s">
        <v>258</v>
      </c>
      <c r="I3" s="4">
        <v>11.42</v>
      </c>
      <c r="J3" s="4" t="s">
        <v>10735</v>
      </c>
      <c r="K3" s="4" t="s">
        <v>10736</v>
      </c>
      <c r="L3" s="4">
        <v>4.99</v>
      </c>
      <c r="M3" s="4" t="s">
        <v>10689</v>
      </c>
      <c r="N3" s="78">
        <v>44904</v>
      </c>
      <c r="O3" s="4" t="s">
        <v>95</v>
      </c>
      <c r="P3" s="4" t="s">
        <v>95</v>
      </c>
      <c r="Q3" s="4" t="s">
        <v>95</v>
      </c>
      <c r="R3" s="4" t="s">
        <v>95</v>
      </c>
      <c r="S3" s="79">
        <v>44914</v>
      </c>
      <c r="T3" s="4" t="s">
        <v>665</v>
      </c>
      <c r="U3" s="4" t="s">
        <v>10737</v>
      </c>
      <c r="V3" s="4" t="s">
        <v>85</v>
      </c>
      <c r="W3" s="4" t="s">
        <v>86</v>
      </c>
      <c r="X3" s="4" t="s">
        <v>90</v>
      </c>
      <c r="Y3" s="4" t="s">
        <v>7076</v>
      </c>
      <c r="Z3" s="4" t="s">
        <v>138</v>
      </c>
      <c r="AA3" s="4" t="s">
        <v>132</v>
      </c>
      <c r="AB3" s="4" t="s">
        <v>7037</v>
      </c>
      <c r="AC3" s="4" t="s">
        <v>139</v>
      </c>
      <c r="AD3" t="str">
        <f>VLOOKUP(Seguros[[#This Row],[NOM_PLAZA]],[1]!Locales[#Data],3,0)</f>
        <v>TIENDA AMERICA</v>
      </c>
      <c r="AE3" t="str">
        <f>VLOOKUP(Seguros[[#This Row],[USUARIO ACTIVACION]],[1]!Personal[#Data],6,0)</f>
        <v>ROSERO CAICEDO JAIRO STEFANO</v>
      </c>
      <c r="AF3">
        <f>IFERROR(IF(FIND("SOS",Seguros[[#This Row],[DESCRIPCION SLO]],1),1,),0)</f>
        <v>0</v>
      </c>
      <c r="AG3">
        <f>IFERROR(IF(FIND("UPSS",Seguros[[#This Row],[DESCRIPCION SLO]],1),1,),0)</f>
        <v>1</v>
      </c>
      <c r="AH3">
        <f>IFERROR(IF(FIND("SEGURIDAD",Seguros[[#This Row],[DESCRIPCION SLO]],1),1,),0)</f>
        <v>0</v>
      </c>
      <c r="AI3" s="76">
        <f>IF(Seguros[[#This Row],[ASISTENCIA]]=0,0,3.44)</f>
        <v>0</v>
      </c>
    </row>
    <row r="4" spans="1:35" x14ac:dyDescent="0.25">
      <c r="A4" s="77">
        <v>963039308</v>
      </c>
      <c r="B4" s="4" t="s">
        <v>67</v>
      </c>
      <c r="C4" s="5">
        <v>44623</v>
      </c>
      <c r="D4" s="4" t="s">
        <v>95</v>
      </c>
      <c r="E4" s="4" t="s">
        <v>77</v>
      </c>
      <c r="F4" s="4" t="s">
        <v>2241</v>
      </c>
      <c r="G4" s="4" t="s">
        <v>160</v>
      </c>
      <c r="H4" s="4" t="s">
        <v>161</v>
      </c>
      <c r="I4" s="4">
        <v>14.28</v>
      </c>
      <c r="J4" s="4" t="s">
        <v>10738</v>
      </c>
      <c r="K4" s="4" t="s">
        <v>10739</v>
      </c>
      <c r="L4" s="4">
        <v>3</v>
      </c>
      <c r="M4" s="4" t="s">
        <v>10689</v>
      </c>
      <c r="N4" s="78">
        <v>44912</v>
      </c>
      <c r="O4" s="4" t="s">
        <v>95</v>
      </c>
      <c r="P4" s="4" t="s">
        <v>95</v>
      </c>
      <c r="Q4" s="4" t="s">
        <v>95</v>
      </c>
      <c r="R4" s="4" t="s">
        <v>95</v>
      </c>
      <c r="S4" s="79">
        <v>44914</v>
      </c>
      <c r="T4" s="4" t="s">
        <v>136</v>
      </c>
      <c r="U4" s="4" t="s">
        <v>10740</v>
      </c>
      <c r="V4" s="4" t="s">
        <v>85</v>
      </c>
      <c r="W4" s="4" t="s">
        <v>86</v>
      </c>
      <c r="X4" s="4" t="s">
        <v>90</v>
      </c>
      <c r="Y4" s="4" t="s">
        <v>7076</v>
      </c>
      <c r="Z4" s="4" t="s">
        <v>138</v>
      </c>
      <c r="AA4" s="4" t="s">
        <v>132</v>
      </c>
      <c r="AB4" s="4" t="s">
        <v>7037</v>
      </c>
      <c r="AC4" s="4" t="s">
        <v>139</v>
      </c>
      <c r="AD4" t="str">
        <f>VLOOKUP(Seguros[[#This Row],[NOM_PLAZA]],[1]!Locales[#Data],3,0)</f>
        <v>TIENDA AMERICA</v>
      </c>
      <c r="AE4" t="str">
        <f>VLOOKUP(Seguros[[#This Row],[USUARIO ACTIVACION]],[1]!Personal[#Data],6,0)</f>
        <v>SALVATIERRA GUERRA JULIAN ENRIQUE</v>
      </c>
      <c r="AF4">
        <f>IFERROR(IF(FIND("SOS",Seguros[[#This Row],[DESCRIPCION SLO]],1),1,),0)</f>
        <v>0</v>
      </c>
      <c r="AG4">
        <f>IFERROR(IF(FIND("UPSS",Seguros[[#This Row],[DESCRIPCION SLO]],1),1,),0)</f>
        <v>1</v>
      </c>
      <c r="AH4">
        <f>IFERROR(IF(FIND("SEGURIDAD",Seguros[[#This Row],[DESCRIPCION SLO]],1),1,),0)</f>
        <v>0</v>
      </c>
      <c r="AI4" s="76">
        <f>IF(Seguros[[#This Row],[ASISTENCIA]]=0,0,3.44)</f>
        <v>0</v>
      </c>
    </row>
    <row r="5" spans="1:35" x14ac:dyDescent="0.25">
      <c r="A5" s="77">
        <v>979048970</v>
      </c>
      <c r="B5" s="4" t="s">
        <v>67</v>
      </c>
      <c r="C5" s="5">
        <v>42970</v>
      </c>
      <c r="D5" s="4" t="s">
        <v>95</v>
      </c>
      <c r="E5" s="4" t="s">
        <v>231</v>
      </c>
      <c r="F5" s="4" t="s">
        <v>231</v>
      </c>
      <c r="G5" s="4" t="s">
        <v>7213</v>
      </c>
      <c r="H5" s="4" t="s">
        <v>7477</v>
      </c>
      <c r="I5" s="4">
        <v>24.99</v>
      </c>
      <c r="J5" s="4" t="s">
        <v>10741</v>
      </c>
      <c r="K5" s="4" t="s">
        <v>10742</v>
      </c>
      <c r="L5" s="4">
        <v>4.99</v>
      </c>
      <c r="M5" s="4" t="s">
        <v>10689</v>
      </c>
      <c r="N5" s="78">
        <v>44910</v>
      </c>
      <c r="O5" s="4" t="s">
        <v>95</v>
      </c>
      <c r="P5" s="4" t="s">
        <v>95</v>
      </c>
      <c r="Q5" s="4" t="s">
        <v>95</v>
      </c>
      <c r="R5" s="4" t="s">
        <v>95</v>
      </c>
      <c r="S5" s="79">
        <v>44914</v>
      </c>
      <c r="T5" s="4" t="s">
        <v>136</v>
      </c>
      <c r="U5" s="4" t="s">
        <v>10740</v>
      </c>
      <c r="V5" s="4" t="s">
        <v>85</v>
      </c>
      <c r="W5" s="4" t="s">
        <v>86</v>
      </c>
      <c r="X5" s="4" t="s">
        <v>90</v>
      </c>
      <c r="Y5" s="4" t="s">
        <v>7076</v>
      </c>
      <c r="Z5" s="4" t="s">
        <v>138</v>
      </c>
      <c r="AA5" s="4" t="s">
        <v>132</v>
      </c>
      <c r="AB5" s="4" t="s">
        <v>7037</v>
      </c>
      <c r="AC5" s="4" t="s">
        <v>139</v>
      </c>
      <c r="AD5" t="str">
        <f>VLOOKUP(Seguros[[#This Row],[NOM_PLAZA]],[1]!Locales[#Data],3,0)</f>
        <v>TIENDA AMERICA</v>
      </c>
      <c r="AE5" t="str">
        <f>VLOOKUP(Seguros[[#This Row],[USUARIO ACTIVACION]],[1]!Personal[#Data],6,0)</f>
        <v>SALVATIERRA GUERRA JULIAN ENRIQUE</v>
      </c>
      <c r="AF5">
        <f>IFERROR(IF(FIND("SOS",Seguros[[#This Row],[DESCRIPCION SLO]],1),1,),0)</f>
        <v>0</v>
      </c>
      <c r="AG5">
        <f>IFERROR(IF(FIND("UPSS",Seguros[[#This Row],[DESCRIPCION SLO]],1),1,),0)</f>
        <v>1</v>
      </c>
      <c r="AH5">
        <f>IFERROR(IF(FIND("SEGURIDAD",Seguros[[#This Row],[DESCRIPCION SLO]],1),1,),0)</f>
        <v>0</v>
      </c>
      <c r="AI5" s="76">
        <f>IF(Seguros[[#This Row],[ASISTENCIA]]=0,0,3.44)</f>
        <v>0</v>
      </c>
    </row>
    <row r="6" spans="1:35" x14ac:dyDescent="0.25">
      <c r="A6" s="77">
        <v>984121928</v>
      </c>
      <c r="B6" s="4" t="s">
        <v>67</v>
      </c>
      <c r="C6" s="5">
        <v>43619</v>
      </c>
      <c r="D6" s="4" t="s">
        <v>95</v>
      </c>
      <c r="E6" s="4" t="s">
        <v>231</v>
      </c>
      <c r="F6" s="4" t="s">
        <v>1378</v>
      </c>
      <c r="G6" s="4" t="s">
        <v>606</v>
      </c>
      <c r="H6" s="4" t="s">
        <v>1672</v>
      </c>
      <c r="I6" s="4">
        <v>26.78</v>
      </c>
      <c r="J6" s="4" t="s">
        <v>10741</v>
      </c>
      <c r="K6" s="4" t="s">
        <v>10742</v>
      </c>
      <c r="L6" s="4">
        <v>4.99</v>
      </c>
      <c r="M6" s="4" t="s">
        <v>10689</v>
      </c>
      <c r="N6" s="78">
        <v>44909</v>
      </c>
      <c r="O6" s="4" t="s">
        <v>95</v>
      </c>
      <c r="P6" s="4" t="s">
        <v>95</v>
      </c>
      <c r="Q6" s="4" t="s">
        <v>95</v>
      </c>
      <c r="R6" s="4" t="s">
        <v>95</v>
      </c>
      <c r="S6" s="79">
        <v>44914</v>
      </c>
      <c r="T6" s="4" t="s">
        <v>136</v>
      </c>
      <c r="U6" s="4" t="s">
        <v>10740</v>
      </c>
      <c r="V6" s="4" t="s">
        <v>85</v>
      </c>
      <c r="W6" s="4" t="s">
        <v>86</v>
      </c>
      <c r="X6" s="4" t="s">
        <v>90</v>
      </c>
      <c r="Y6" s="4" t="s">
        <v>7076</v>
      </c>
      <c r="Z6" s="4" t="s">
        <v>138</v>
      </c>
      <c r="AA6" s="4" t="s">
        <v>132</v>
      </c>
      <c r="AB6" s="4" t="s">
        <v>7037</v>
      </c>
      <c r="AC6" s="4" t="s">
        <v>139</v>
      </c>
      <c r="AD6" t="str">
        <f>VLOOKUP(Seguros[[#This Row],[NOM_PLAZA]],[1]!Locales[#Data],3,0)</f>
        <v>TIENDA AMERICA</v>
      </c>
      <c r="AE6" t="str">
        <f>VLOOKUP(Seguros[[#This Row],[USUARIO ACTIVACION]],[1]!Personal[#Data],6,0)</f>
        <v>SALVATIERRA GUERRA JULIAN ENRIQUE</v>
      </c>
      <c r="AF6">
        <f>IFERROR(IF(FIND("SOS",Seguros[[#This Row],[DESCRIPCION SLO]],1),1,),0)</f>
        <v>0</v>
      </c>
      <c r="AG6">
        <f>IFERROR(IF(FIND("UPSS",Seguros[[#This Row],[DESCRIPCION SLO]],1),1,),0)</f>
        <v>1</v>
      </c>
      <c r="AH6">
        <f>IFERROR(IF(FIND("SEGURIDAD",Seguros[[#This Row],[DESCRIPCION SLO]],1),1,),0)</f>
        <v>0</v>
      </c>
      <c r="AI6" s="76">
        <f>IF(Seguros[[#This Row],[ASISTENCIA]]=0,0,3.44)</f>
        <v>0</v>
      </c>
    </row>
    <row r="7" spans="1:35" x14ac:dyDescent="0.25">
      <c r="A7" s="77">
        <v>984473434</v>
      </c>
      <c r="B7" s="4" t="s">
        <v>67</v>
      </c>
      <c r="C7" s="5">
        <v>41005</v>
      </c>
      <c r="D7" s="4" t="s">
        <v>95</v>
      </c>
      <c r="E7" s="4" t="s">
        <v>768</v>
      </c>
      <c r="F7" s="4" t="s">
        <v>768</v>
      </c>
      <c r="G7" s="4" t="s">
        <v>7213</v>
      </c>
      <c r="H7" s="4" t="s">
        <v>7214</v>
      </c>
      <c r="I7" s="4">
        <v>24.99</v>
      </c>
      <c r="J7" s="4" t="s">
        <v>10741</v>
      </c>
      <c r="K7" s="4" t="s">
        <v>10742</v>
      </c>
      <c r="L7" s="4">
        <v>4.99</v>
      </c>
      <c r="M7" s="4" t="s">
        <v>10689</v>
      </c>
      <c r="N7" s="78">
        <v>44910</v>
      </c>
      <c r="O7" s="4" t="s">
        <v>95</v>
      </c>
      <c r="P7" s="4" t="s">
        <v>95</v>
      </c>
      <c r="Q7" s="4" t="s">
        <v>95</v>
      </c>
      <c r="R7" s="4" t="s">
        <v>95</v>
      </c>
      <c r="S7" s="79">
        <v>44914</v>
      </c>
      <c r="T7" s="4" t="s">
        <v>136</v>
      </c>
      <c r="U7" s="4" t="s">
        <v>10740</v>
      </c>
      <c r="V7" s="4" t="s">
        <v>85</v>
      </c>
      <c r="W7" s="4" t="s">
        <v>86</v>
      </c>
      <c r="X7" s="4" t="s">
        <v>90</v>
      </c>
      <c r="Y7" s="4" t="s">
        <v>7076</v>
      </c>
      <c r="Z7" s="4" t="s">
        <v>138</v>
      </c>
      <c r="AA7" s="4" t="s">
        <v>132</v>
      </c>
      <c r="AB7" s="4" t="s">
        <v>7037</v>
      </c>
      <c r="AC7" s="4" t="s">
        <v>139</v>
      </c>
      <c r="AD7" t="str">
        <f>VLOOKUP(Seguros[[#This Row],[NOM_PLAZA]],[1]!Locales[#Data],3,0)</f>
        <v>TIENDA AMERICA</v>
      </c>
      <c r="AE7" t="str">
        <f>VLOOKUP(Seguros[[#This Row],[USUARIO ACTIVACION]],[1]!Personal[#Data],6,0)</f>
        <v>SALVATIERRA GUERRA JULIAN ENRIQUE</v>
      </c>
      <c r="AF7">
        <f>IFERROR(IF(FIND("SOS",Seguros[[#This Row],[DESCRIPCION SLO]],1),1,),0)</f>
        <v>0</v>
      </c>
      <c r="AG7">
        <f>IFERROR(IF(FIND("UPSS",Seguros[[#This Row],[DESCRIPCION SLO]],1),1,),0)</f>
        <v>1</v>
      </c>
      <c r="AH7">
        <f>IFERROR(IF(FIND("SEGURIDAD",Seguros[[#This Row],[DESCRIPCION SLO]],1),1,),0)</f>
        <v>0</v>
      </c>
      <c r="AI7" s="76">
        <f>IF(Seguros[[#This Row],[ASISTENCIA]]=0,0,3.44)</f>
        <v>0</v>
      </c>
    </row>
    <row r="8" spans="1:35" x14ac:dyDescent="0.25">
      <c r="A8" s="77">
        <v>984476675</v>
      </c>
      <c r="B8" s="4" t="s">
        <v>67</v>
      </c>
      <c r="C8" s="5">
        <v>44608</v>
      </c>
      <c r="D8" s="4" t="s">
        <v>95</v>
      </c>
      <c r="E8" s="4" t="s">
        <v>77</v>
      </c>
      <c r="F8" s="4" t="s">
        <v>2241</v>
      </c>
      <c r="G8" s="4" t="s">
        <v>227</v>
      </c>
      <c r="H8" s="4" t="s">
        <v>426</v>
      </c>
      <c r="I8" s="4">
        <v>21.42</v>
      </c>
      <c r="J8" s="4" t="s">
        <v>10735</v>
      </c>
      <c r="K8" s="4" t="s">
        <v>10736</v>
      </c>
      <c r="L8" s="4">
        <v>4.99</v>
      </c>
      <c r="M8" s="4" t="s">
        <v>10689</v>
      </c>
      <c r="N8" s="78">
        <v>44901</v>
      </c>
      <c r="O8" s="4" t="s">
        <v>95</v>
      </c>
      <c r="P8" s="4" t="s">
        <v>95</v>
      </c>
      <c r="Q8" s="4" t="s">
        <v>95</v>
      </c>
      <c r="R8" s="4" t="s">
        <v>95</v>
      </c>
      <c r="S8" s="79">
        <v>44914</v>
      </c>
      <c r="T8" s="4" t="s">
        <v>318</v>
      </c>
      <c r="U8" s="4" t="s">
        <v>10743</v>
      </c>
      <c r="V8" s="4" t="s">
        <v>85</v>
      </c>
      <c r="W8" s="4" t="s">
        <v>86</v>
      </c>
      <c r="X8" s="4" t="s">
        <v>90</v>
      </c>
      <c r="Y8" s="4" t="s">
        <v>7033</v>
      </c>
      <c r="Z8" s="4" t="s">
        <v>151</v>
      </c>
      <c r="AA8" s="4" t="s">
        <v>73</v>
      </c>
      <c r="AB8" s="4" t="s">
        <v>7029</v>
      </c>
      <c r="AC8" s="4" t="s">
        <v>92</v>
      </c>
      <c r="AD8" t="str">
        <f>VLOOKUP(Seguros[[#This Row],[NOM_PLAZA]],[1]!Locales[#Data],3,0)</f>
        <v>TIENDA CUENCA REMIGIO</v>
      </c>
      <c r="AE8" t="str">
        <f>VLOOKUP(Seguros[[#This Row],[USUARIO ACTIVACION]],[1]!Personal[#Data],6,0)</f>
        <v>RODRIGUEZ QUITO JESSICA GABRIELA</v>
      </c>
      <c r="AF8">
        <f>IFERROR(IF(FIND("SOS",Seguros[[#This Row],[DESCRIPCION SLO]],1),1,),0)</f>
        <v>0</v>
      </c>
      <c r="AG8">
        <f>IFERROR(IF(FIND("UPSS",Seguros[[#This Row],[DESCRIPCION SLO]],1),1,),0)</f>
        <v>1</v>
      </c>
      <c r="AH8">
        <f>IFERROR(IF(FIND("SEGURIDAD",Seguros[[#This Row],[DESCRIPCION SLO]],1),1,),0)</f>
        <v>0</v>
      </c>
      <c r="AI8" s="76">
        <f>IF(Seguros[[#This Row],[ASISTENCIA]]=0,0,3.44)</f>
        <v>0</v>
      </c>
    </row>
    <row r="9" spans="1:35" x14ac:dyDescent="0.25">
      <c r="A9" s="77">
        <v>998921071</v>
      </c>
      <c r="B9" s="4" t="s">
        <v>67</v>
      </c>
      <c r="C9" s="5">
        <v>42625</v>
      </c>
      <c r="D9" s="4" t="s">
        <v>95</v>
      </c>
      <c r="E9" s="4" t="s">
        <v>520</v>
      </c>
      <c r="F9" s="4" t="s">
        <v>8731</v>
      </c>
      <c r="G9" s="4" t="s">
        <v>8597</v>
      </c>
      <c r="H9" s="4" t="s">
        <v>8598</v>
      </c>
      <c r="I9" s="4">
        <v>25</v>
      </c>
      <c r="J9" s="4" t="s">
        <v>10741</v>
      </c>
      <c r="K9" s="4" t="s">
        <v>10742</v>
      </c>
      <c r="L9" s="4">
        <v>4.99</v>
      </c>
      <c r="M9" s="4" t="s">
        <v>10689</v>
      </c>
      <c r="N9" s="78">
        <v>44902</v>
      </c>
      <c r="O9" s="4" t="s">
        <v>95</v>
      </c>
      <c r="P9" s="4" t="s">
        <v>95</v>
      </c>
      <c r="Q9" s="4" t="s">
        <v>95</v>
      </c>
      <c r="R9" s="4" t="s">
        <v>95</v>
      </c>
      <c r="S9" s="79">
        <v>44914</v>
      </c>
      <c r="T9" s="4" t="s">
        <v>665</v>
      </c>
      <c r="U9" s="4" t="s">
        <v>10737</v>
      </c>
      <c r="V9" s="4" t="s">
        <v>85</v>
      </c>
      <c r="W9" s="4" t="s">
        <v>86</v>
      </c>
      <c r="X9" s="4" t="s">
        <v>90</v>
      </c>
      <c r="Y9" s="4" t="s">
        <v>7076</v>
      </c>
      <c r="Z9" s="4" t="s">
        <v>138</v>
      </c>
      <c r="AA9" s="4" t="s">
        <v>132</v>
      </c>
      <c r="AB9" s="4" t="s">
        <v>7037</v>
      </c>
      <c r="AC9" s="4" t="s">
        <v>139</v>
      </c>
      <c r="AD9" t="str">
        <f>VLOOKUP(Seguros[[#This Row],[NOM_PLAZA]],[1]!Locales[#Data],3,0)</f>
        <v>TIENDA AMERICA</v>
      </c>
      <c r="AE9" t="str">
        <f>VLOOKUP(Seguros[[#This Row],[USUARIO ACTIVACION]],[1]!Personal[#Data],6,0)</f>
        <v>ROSERO CAICEDO JAIRO STEFANO</v>
      </c>
      <c r="AF9">
        <f>IFERROR(IF(FIND("SOS",Seguros[[#This Row],[DESCRIPCION SLO]],1),1,),0)</f>
        <v>0</v>
      </c>
      <c r="AG9">
        <f>IFERROR(IF(FIND("UPSS",Seguros[[#This Row],[DESCRIPCION SLO]],1),1,),0)</f>
        <v>1</v>
      </c>
      <c r="AH9">
        <f>IFERROR(IF(FIND("SEGURIDAD",Seguros[[#This Row],[DESCRIPCION SLO]],1),1,),0)</f>
        <v>0</v>
      </c>
      <c r="AI9" s="76">
        <f>IF(Seguros[[#This Row],[ASISTENCIA]]=0,0,3.44)</f>
        <v>0</v>
      </c>
    </row>
    <row r="10" spans="1:35" x14ac:dyDescent="0.25">
      <c r="A10" s="77">
        <v>999032377</v>
      </c>
      <c r="B10" s="4" t="s">
        <v>67</v>
      </c>
      <c r="C10" s="5">
        <v>42516</v>
      </c>
      <c r="D10" s="4" t="s">
        <v>95</v>
      </c>
      <c r="E10" s="4" t="s">
        <v>77</v>
      </c>
      <c r="F10" s="4" t="s">
        <v>1532</v>
      </c>
      <c r="G10" s="4" t="s">
        <v>574</v>
      </c>
      <c r="H10" s="4" t="s">
        <v>575</v>
      </c>
      <c r="I10" s="4">
        <v>17.850000000000001</v>
      </c>
      <c r="J10" s="4" t="s">
        <v>10741</v>
      </c>
      <c r="K10" s="4" t="s">
        <v>10742</v>
      </c>
      <c r="L10" s="4">
        <v>4.99</v>
      </c>
      <c r="M10" s="4" t="s">
        <v>10689</v>
      </c>
      <c r="N10" s="78">
        <v>44902</v>
      </c>
      <c r="O10" s="4" t="s">
        <v>95</v>
      </c>
      <c r="P10" s="4" t="s">
        <v>95</v>
      </c>
      <c r="Q10" s="4" t="s">
        <v>95</v>
      </c>
      <c r="R10" s="4" t="s">
        <v>95</v>
      </c>
      <c r="S10" s="79">
        <v>44914</v>
      </c>
      <c r="T10" s="4" t="s">
        <v>769</v>
      </c>
      <c r="U10" s="4" t="s">
        <v>10744</v>
      </c>
      <c r="V10" s="4" t="s">
        <v>85</v>
      </c>
      <c r="W10" s="4" t="s">
        <v>86</v>
      </c>
      <c r="X10" s="4" t="s">
        <v>90</v>
      </c>
      <c r="Y10" s="4" t="s">
        <v>7076</v>
      </c>
      <c r="Z10" s="4" t="s">
        <v>235</v>
      </c>
      <c r="AA10" s="4" t="s">
        <v>132</v>
      </c>
      <c r="AB10" s="4" t="s">
        <v>7037</v>
      </c>
      <c r="AC10" s="4" t="s">
        <v>139</v>
      </c>
      <c r="AD10" t="str">
        <f>VLOOKUP(Seguros[[#This Row],[NOM_PLAZA]],[1]!Locales[#Data],3,0)</f>
        <v>TIENDA CONDADO</v>
      </c>
      <c r="AE10" t="str">
        <f>VLOOKUP(Seguros[[#This Row],[USUARIO ACTIVACION]],[1]!Personal[#Data],6,0)</f>
        <v>ROJAS VEGA JHOSMERY MICHELE</v>
      </c>
      <c r="AF10">
        <f>IFERROR(IF(FIND("SOS",Seguros[[#This Row],[DESCRIPCION SLO]],1),1,),0)</f>
        <v>0</v>
      </c>
      <c r="AG10">
        <f>IFERROR(IF(FIND("UPSS",Seguros[[#This Row],[DESCRIPCION SLO]],1),1,),0)</f>
        <v>1</v>
      </c>
      <c r="AH10">
        <f>IFERROR(IF(FIND("SEGURIDAD",Seguros[[#This Row],[DESCRIPCION SLO]],1),1,),0)</f>
        <v>0</v>
      </c>
      <c r="AI10" s="76">
        <f>IF(Seguros[[#This Row],[ASISTENCIA]]=0,0,3.44)</f>
        <v>0</v>
      </c>
    </row>
    <row r="11" spans="1:35" x14ac:dyDescent="0.25">
      <c r="A11" s="77">
        <v>999849344</v>
      </c>
      <c r="B11" s="4" t="s">
        <v>67</v>
      </c>
      <c r="C11" s="5">
        <v>44106</v>
      </c>
      <c r="D11" s="4" t="s">
        <v>95</v>
      </c>
      <c r="E11" s="4" t="s">
        <v>77</v>
      </c>
      <c r="F11" s="4" t="s">
        <v>2241</v>
      </c>
      <c r="G11" s="4" t="s">
        <v>7096</v>
      </c>
      <c r="H11" s="4" t="s">
        <v>10745</v>
      </c>
      <c r="I11" s="4">
        <v>16.989999999999998</v>
      </c>
      <c r="J11" s="4" t="s">
        <v>10735</v>
      </c>
      <c r="K11" s="4" t="s">
        <v>10736</v>
      </c>
      <c r="L11" s="4">
        <v>4.99</v>
      </c>
      <c r="M11" s="4" t="s">
        <v>10689</v>
      </c>
      <c r="N11" s="78">
        <v>44910</v>
      </c>
      <c r="O11" s="4" t="s">
        <v>95</v>
      </c>
      <c r="P11" s="4" t="s">
        <v>95</v>
      </c>
      <c r="Q11" s="4" t="s">
        <v>95</v>
      </c>
      <c r="R11" s="4" t="s">
        <v>95</v>
      </c>
      <c r="S11" s="79">
        <v>44914</v>
      </c>
      <c r="T11" s="4" t="s">
        <v>1415</v>
      </c>
      <c r="U11" s="4" t="s">
        <v>10746</v>
      </c>
      <c r="V11" s="4" t="s">
        <v>85</v>
      </c>
      <c r="W11" s="4" t="s">
        <v>86</v>
      </c>
      <c r="X11" s="4" t="s">
        <v>90</v>
      </c>
      <c r="Y11" s="4" t="s">
        <v>7086</v>
      </c>
      <c r="Z11" s="4" t="s">
        <v>91</v>
      </c>
      <c r="AA11" s="4" t="s">
        <v>73</v>
      </c>
      <c r="AB11" s="4" t="s">
        <v>7029</v>
      </c>
      <c r="AC11" s="4" t="s">
        <v>92</v>
      </c>
      <c r="AD11" t="str">
        <f>VLOOKUP(Seguros[[#This Row],[NOM_PLAZA]],[1]!Locales[#Data],3,0)</f>
        <v>TIENDA CUENCA CENTRO</v>
      </c>
      <c r="AE11" t="str">
        <f>VLOOKUP(Seguros[[#This Row],[USUARIO ACTIVACION]],[1]!Personal[#Data],6,0)</f>
        <v>PATIÑO URGILES DIANA CATALINA</v>
      </c>
      <c r="AF11">
        <f>IFERROR(IF(FIND("SOS",Seguros[[#This Row],[DESCRIPCION SLO]],1),1,),0)</f>
        <v>0</v>
      </c>
      <c r="AG11">
        <f>IFERROR(IF(FIND("UPSS",Seguros[[#This Row],[DESCRIPCION SLO]],1),1,),0)</f>
        <v>1</v>
      </c>
      <c r="AH11">
        <f>IFERROR(IF(FIND("SEGURIDAD",Seguros[[#This Row],[DESCRIPCION SLO]],1),1,),0)</f>
        <v>0</v>
      </c>
      <c r="AI11" s="76">
        <f>IF(Seguros[[#This Row],[ASISTENCIA]]=0,0,3.44)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09A4-B908-4018-A736-B54688A80CC6}">
  <sheetPr codeName="Hoja23"/>
  <dimension ref="A1:S3"/>
  <sheetViews>
    <sheetView workbookViewId="0"/>
  </sheetViews>
  <sheetFormatPr baseColWidth="10" defaultRowHeight="15" x14ac:dyDescent="0.25"/>
  <cols>
    <col min="1" max="1" width="16.7109375" customWidth="1"/>
    <col min="2" max="2" width="11.7109375" customWidth="1"/>
    <col min="4" max="4" width="19.7109375" customWidth="1"/>
    <col min="6" max="6" width="16.28515625" customWidth="1"/>
    <col min="9" max="9" width="22.7109375" customWidth="1"/>
    <col min="10" max="10" width="20.42578125" customWidth="1"/>
    <col min="11" max="11" width="16.140625" customWidth="1"/>
    <col min="12" max="12" width="13.7109375" customWidth="1"/>
    <col min="14" max="14" width="14.5703125" customWidth="1"/>
    <col min="16" max="16" width="15.28515625" customWidth="1"/>
    <col min="17" max="17" width="22.7109375" bestFit="1" customWidth="1"/>
    <col min="18" max="18" width="29.140625" bestFit="1" customWidth="1"/>
  </cols>
  <sheetData>
    <row r="1" spans="1:19" x14ac:dyDescent="0.25">
      <c r="A1" s="80" t="s">
        <v>10747</v>
      </c>
      <c r="B1" s="49" t="s">
        <v>10748</v>
      </c>
      <c r="C1" s="49" t="s">
        <v>10749</v>
      </c>
      <c r="D1" s="49" t="s">
        <v>10750</v>
      </c>
      <c r="E1" s="49" t="s">
        <v>10751</v>
      </c>
      <c r="F1" s="49" t="s">
        <v>10728</v>
      </c>
      <c r="G1" s="80" t="s">
        <v>7000</v>
      </c>
      <c r="H1" s="80" t="s">
        <v>7002</v>
      </c>
      <c r="I1" s="80" t="s">
        <v>25</v>
      </c>
      <c r="J1" s="80" t="s">
        <v>7004</v>
      </c>
      <c r="K1" s="80" t="s">
        <v>7013</v>
      </c>
      <c r="L1" s="80" t="s">
        <v>7012</v>
      </c>
      <c r="M1" s="80" t="s">
        <v>7015</v>
      </c>
      <c r="N1" s="80" t="s">
        <v>10752</v>
      </c>
      <c r="O1" s="49" t="s">
        <v>10753</v>
      </c>
      <c r="P1" s="80" t="s">
        <v>10754</v>
      </c>
      <c r="Q1" s="75" t="s">
        <v>10755</v>
      </c>
      <c r="R1" s="75" t="s">
        <v>10756</v>
      </c>
      <c r="S1" s="81" t="s">
        <v>10686</v>
      </c>
    </row>
    <row r="2" spans="1:19" x14ac:dyDescent="0.25">
      <c r="A2" t="s">
        <v>10757</v>
      </c>
      <c r="B2" s="82">
        <v>44900</v>
      </c>
      <c r="C2" t="s">
        <v>10758</v>
      </c>
      <c r="D2" t="s">
        <v>10759</v>
      </c>
      <c r="E2" t="s">
        <v>280</v>
      </c>
      <c r="F2" t="s">
        <v>10760</v>
      </c>
      <c r="G2" t="s">
        <v>85</v>
      </c>
      <c r="H2" t="s">
        <v>86</v>
      </c>
      <c r="I2" t="s">
        <v>90</v>
      </c>
      <c r="J2" t="s">
        <v>7076</v>
      </c>
      <c r="K2" t="s">
        <v>235</v>
      </c>
      <c r="L2" t="s">
        <v>139</v>
      </c>
      <c r="M2" t="s">
        <v>154</v>
      </c>
      <c r="N2" t="s">
        <v>78</v>
      </c>
      <c r="O2" t="s">
        <v>2241</v>
      </c>
      <c r="Q2" t="str">
        <f>VLOOKUP(MPlay[[#This Row],[CODIGO_PLAZA]],[1]!Locales[#Data],3,0)</f>
        <v>TIENDA CONDADO</v>
      </c>
      <c r="R2" t="str">
        <f>VLOOKUP(MPlay[[#This Row],[Ejecutivo]],[1]!Personal[#Data],6,0)</f>
        <v>GUACHAMIN CAZA HUGO ADRIAN</v>
      </c>
      <c r="S2">
        <f t="shared" ref="S2" si="0">14.99</f>
        <v>14.99</v>
      </c>
    </row>
    <row r="3" spans="1:19" x14ac:dyDescent="0.25">
      <c r="A3" t="s">
        <v>10757</v>
      </c>
      <c r="B3" s="82">
        <v>44896</v>
      </c>
      <c r="C3" t="s">
        <v>10761</v>
      </c>
      <c r="D3" t="s">
        <v>10759</v>
      </c>
      <c r="E3" t="s">
        <v>280</v>
      </c>
      <c r="F3" t="s">
        <v>10760</v>
      </c>
      <c r="G3" t="s">
        <v>85</v>
      </c>
      <c r="H3" t="s">
        <v>86</v>
      </c>
      <c r="I3" t="s">
        <v>90</v>
      </c>
      <c r="J3" t="s">
        <v>7076</v>
      </c>
      <c r="K3" t="s">
        <v>235</v>
      </c>
      <c r="L3" t="s">
        <v>139</v>
      </c>
      <c r="M3" t="s">
        <v>154</v>
      </c>
      <c r="N3" t="s">
        <v>78</v>
      </c>
      <c r="O3" t="s">
        <v>164</v>
      </c>
      <c r="Q3" t="str">
        <f>VLOOKUP(MPlay[[#This Row],[CODIGO_PLAZA]],[1]!Locales[#Data],3,0)</f>
        <v>TIENDA CONDADO</v>
      </c>
      <c r="R3" t="str">
        <f>VLOOKUP(MPlay[[#This Row],[Ejecutivo]],[1]!Personal[#Data],6,0)</f>
        <v>GUACHAMIN CAZA HUGO ADRIAN</v>
      </c>
      <c r="S3">
        <f>14.99</f>
        <v>14.99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49D3-4324-4DD8-8824-DAA3F82E4C3B}">
  <sheetPr codeName="Hoja25"/>
  <dimension ref="A1:S4"/>
  <sheetViews>
    <sheetView workbookViewId="0"/>
  </sheetViews>
  <sheetFormatPr baseColWidth="10" defaultRowHeight="15" x14ac:dyDescent="0.25"/>
  <cols>
    <col min="1" max="1" width="16.7109375" customWidth="1"/>
    <col min="2" max="2" width="11.42578125" style="82"/>
    <col min="4" max="4" width="19.7109375" customWidth="1"/>
    <col min="6" max="6" width="16.28515625" customWidth="1"/>
    <col min="9" max="9" width="22.7109375" customWidth="1"/>
    <col min="10" max="10" width="20.42578125" customWidth="1"/>
    <col min="11" max="11" width="16.140625" customWidth="1"/>
    <col min="12" max="12" width="13.7109375" customWidth="1"/>
    <col min="14" max="14" width="14.5703125" customWidth="1"/>
    <col min="16" max="16" width="15.28515625" customWidth="1"/>
    <col min="18" max="18" width="35.5703125" bestFit="1" customWidth="1"/>
  </cols>
  <sheetData>
    <row r="1" spans="1:19" x14ac:dyDescent="0.25">
      <c r="A1" s="80" t="s">
        <v>10747</v>
      </c>
      <c r="B1" s="83" t="s">
        <v>10748</v>
      </c>
      <c r="C1" s="49" t="s">
        <v>10749</v>
      </c>
      <c r="D1" s="49" t="s">
        <v>10750</v>
      </c>
      <c r="E1" s="49" t="s">
        <v>10751</v>
      </c>
      <c r="F1" s="49" t="s">
        <v>10728</v>
      </c>
      <c r="G1" s="80" t="s">
        <v>7000</v>
      </c>
      <c r="H1" s="80" t="s">
        <v>7002</v>
      </c>
      <c r="I1" s="80" t="s">
        <v>25</v>
      </c>
      <c r="J1" s="80" t="s">
        <v>7004</v>
      </c>
      <c r="K1" s="80" t="s">
        <v>7013</v>
      </c>
      <c r="L1" s="80" t="s">
        <v>7012</v>
      </c>
      <c r="M1" s="80" t="s">
        <v>7015</v>
      </c>
      <c r="N1" s="80" t="s">
        <v>10752</v>
      </c>
      <c r="O1" s="80" t="s">
        <v>10753</v>
      </c>
      <c r="P1" s="49" t="s">
        <v>10754</v>
      </c>
      <c r="Q1" s="75" t="s">
        <v>97</v>
      </c>
      <c r="R1" s="75" t="s">
        <v>10756</v>
      </c>
      <c r="S1" s="81" t="s">
        <v>10686</v>
      </c>
    </row>
    <row r="2" spans="1:19" x14ac:dyDescent="0.25">
      <c r="A2" t="s">
        <v>10757</v>
      </c>
      <c r="B2" s="62">
        <v>44900</v>
      </c>
      <c r="C2" t="s">
        <v>10758</v>
      </c>
      <c r="D2" t="s">
        <v>10759</v>
      </c>
      <c r="E2" t="s">
        <v>280</v>
      </c>
      <c r="F2" t="s">
        <v>10760</v>
      </c>
      <c r="G2" t="s">
        <v>85</v>
      </c>
      <c r="H2" t="s">
        <v>86</v>
      </c>
      <c r="I2" t="s">
        <v>90</v>
      </c>
      <c r="J2" t="s">
        <v>7076</v>
      </c>
      <c r="K2" t="s">
        <v>235</v>
      </c>
      <c r="L2" t="s">
        <v>139</v>
      </c>
      <c r="M2" t="s">
        <v>154</v>
      </c>
      <c r="N2" t="s">
        <v>78</v>
      </c>
      <c r="O2" t="s">
        <v>2241</v>
      </c>
      <c r="Q2" t="str">
        <f>VLOOKUP(FutbolFoxHbo[[#This Row],[CODIGO_PLAZA]],[1]!Locales[#Data],3,0)</f>
        <v>TIENDA CONDADO</v>
      </c>
      <c r="R2" t="str">
        <f>VLOOKUP(FutbolFoxHbo[[#This Row],[Ejecutivo]],[1]!Personal[#Data],6,0)</f>
        <v>GUACHAMIN CAZA HUGO ADRIAN</v>
      </c>
      <c r="S2" s="76">
        <f>IF(FutbolFoxHbo[[#This Row],[Nombre de paquete]]="HBO",11.5,IF(FutbolFoxHbo[[#This Row],[Nombre de paquete]]="FOX",11.5,IF(FutbolFoxHbo[[#This Row],[Nombre de paquete]]="FUTBOL",5.35,3)))</f>
        <v>3</v>
      </c>
    </row>
    <row r="3" spans="1:19" x14ac:dyDescent="0.25">
      <c r="A3" t="s">
        <v>10757</v>
      </c>
      <c r="B3" s="62">
        <v>44896</v>
      </c>
      <c r="C3" t="s">
        <v>10761</v>
      </c>
      <c r="D3" t="s">
        <v>10759</v>
      </c>
      <c r="E3" t="s">
        <v>280</v>
      </c>
      <c r="F3" t="s">
        <v>10760</v>
      </c>
      <c r="G3" t="s">
        <v>85</v>
      </c>
      <c r="H3" t="s">
        <v>86</v>
      </c>
      <c r="I3" t="s">
        <v>90</v>
      </c>
      <c r="J3" t="s">
        <v>7076</v>
      </c>
      <c r="K3" t="s">
        <v>235</v>
      </c>
      <c r="L3" t="s">
        <v>139</v>
      </c>
      <c r="M3" t="s">
        <v>154</v>
      </c>
      <c r="N3" t="s">
        <v>78</v>
      </c>
      <c r="O3" t="s">
        <v>164</v>
      </c>
      <c r="Q3" t="str">
        <f>VLOOKUP(FutbolFoxHbo[[#This Row],[CODIGO_PLAZA]],[1]!Locales[#Data],3,0)</f>
        <v>TIENDA CONDADO</v>
      </c>
      <c r="R3" t="str">
        <f>VLOOKUP(FutbolFoxHbo[[#This Row],[Ejecutivo]],[1]!Personal[#Data],6,0)</f>
        <v>GUACHAMIN CAZA HUGO ADRIAN</v>
      </c>
      <c r="S3" s="76">
        <f>IF(FutbolFoxHbo[[#This Row],[Nombre de paquete]]="HBO",11.5,IF(FutbolFoxHbo[[#This Row],[Nombre de paquete]]="FOX",11.5,IF(FutbolFoxHbo[[#This Row],[Nombre de paquete]]="FUTBOL",5.35,3)))</f>
        <v>3</v>
      </c>
    </row>
    <row r="4" spans="1:19" x14ac:dyDescent="0.25">
      <c r="A4" t="s">
        <v>10757</v>
      </c>
      <c r="B4" s="62">
        <v>44903</v>
      </c>
      <c r="C4" t="s">
        <v>10762</v>
      </c>
      <c r="D4" t="s">
        <v>10763</v>
      </c>
      <c r="E4" t="s">
        <v>352</v>
      </c>
      <c r="F4" t="s">
        <v>10764</v>
      </c>
      <c r="G4" t="s">
        <v>85</v>
      </c>
      <c r="H4" t="s">
        <v>86</v>
      </c>
      <c r="I4" t="s">
        <v>90</v>
      </c>
      <c r="J4" t="s">
        <v>7048</v>
      </c>
      <c r="K4" t="s">
        <v>122</v>
      </c>
      <c r="L4" t="s">
        <v>92</v>
      </c>
      <c r="M4" t="s">
        <v>154</v>
      </c>
      <c r="N4" t="s">
        <v>78</v>
      </c>
      <c r="O4" t="s">
        <v>768</v>
      </c>
      <c r="Q4" t="str">
        <f>VLOOKUP(FutbolFoxHbo[[#This Row],[CODIGO_PLAZA]],[1]!Locales[#Data],3,0)</f>
        <v>TIENDA MACHALA</v>
      </c>
      <c r="R4" t="str">
        <f>VLOOKUP(FutbolFoxHbo[[#This Row],[Ejecutivo]],[1]!Personal[#Data],6,0)</f>
        <v>TENORIO MARIA DEL PILAR</v>
      </c>
      <c r="S4" s="76">
        <f>IF(FutbolFoxHbo[[#This Row],[Nombre de paquete]]="HBO",11.5,IF(FutbolFoxHbo[[#This Row],[Nombre de paquete]]="FOX",11.5,IF(FutbolFoxHbo[[#This Row],[Nombre de paquete]]="FUTBOL",5.35,3)))</f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8A4C-5AA8-4407-9031-E6BC0F5E11BD}">
  <dimension ref="A1:BS461"/>
  <sheetViews>
    <sheetView tabSelected="1" topLeftCell="BE1" workbookViewId="0">
      <selection activeCell="BO1" sqref="BO1"/>
    </sheetView>
  </sheetViews>
  <sheetFormatPr baseColWidth="10" defaultRowHeight="15" x14ac:dyDescent="0.25"/>
  <cols>
    <col min="1" max="1" width="16.7109375" customWidth="1"/>
    <col min="2" max="2" width="11.7109375" customWidth="1"/>
    <col min="3" max="3" width="20.5703125" customWidth="1"/>
    <col min="4" max="4" width="16.7109375" customWidth="1"/>
    <col min="5" max="5" width="13.7109375" customWidth="1"/>
    <col min="6" max="6" width="19.42578125" customWidth="1"/>
    <col min="8" max="8" width="22.28515625" customWidth="1"/>
    <col min="9" max="9" width="19.42578125" customWidth="1"/>
    <col min="10" max="10" width="15.28515625" customWidth="1"/>
    <col min="11" max="11" width="16.140625" customWidth="1"/>
    <col min="13" max="13" width="12.42578125" customWidth="1"/>
    <col min="17" max="17" width="17" customWidth="1"/>
    <col min="18" max="18" width="12.5703125" customWidth="1"/>
    <col min="19" max="19" width="16.28515625" customWidth="1"/>
    <col min="20" max="20" width="17.28515625" customWidth="1"/>
    <col min="21" max="21" width="16.140625" customWidth="1"/>
    <col min="22" max="22" width="17.140625" customWidth="1"/>
    <col min="23" max="23" width="18.28515625" customWidth="1"/>
    <col min="24" max="24" width="17.28515625" customWidth="1"/>
    <col min="25" max="25" width="20.7109375" customWidth="1"/>
    <col min="26" max="26" width="23.5703125" customWidth="1"/>
    <col min="27" max="27" width="21.140625" customWidth="1"/>
    <col min="28" max="28" width="23.85546875" customWidth="1"/>
    <col min="30" max="30" width="15" customWidth="1"/>
    <col min="32" max="32" width="22.28515625" customWidth="1"/>
    <col min="33" max="33" width="15.42578125" customWidth="1"/>
    <col min="34" max="34" width="15.7109375" customWidth="1"/>
    <col min="35" max="35" width="12" customWidth="1"/>
    <col min="36" max="36" width="15.140625" customWidth="1"/>
    <col min="38" max="38" width="16.28515625" customWidth="1"/>
    <col min="39" max="39" width="19.7109375" customWidth="1"/>
    <col min="40" max="40" width="12.42578125" customWidth="1"/>
    <col min="41" max="41" width="22.7109375" customWidth="1"/>
    <col min="42" max="42" width="20.42578125" customWidth="1"/>
    <col min="43" max="43" width="16.140625" customWidth="1"/>
    <col min="44" max="44" width="13.7109375" customWidth="1"/>
    <col min="46" max="46" width="22.42578125" customWidth="1"/>
    <col min="47" max="47" width="19.5703125" customWidth="1"/>
    <col min="48" max="48" width="16.28515625" customWidth="1"/>
    <col min="49" max="49" width="14.7109375" customWidth="1"/>
    <col min="51" max="51" width="21.140625" customWidth="1"/>
    <col min="52" max="52" width="26.42578125" customWidth="1"/>
    <col min="53" max="53" width="11.7109375" customWidth="1"/>
    <col min="54" max="54" width="27.7109375" customWidth="1"/>
    <col min="55" max="55" width="15.5703125" customWidth="1"/>
    <col min="56" max="56" width="14.7109375" customWidth="1"/>
    <col min="57" max="57" width="13.7109375" customWidth="1"/>
    <col min="58" max="58" width="16.28515625" customWidth="1"/>
    <col min="59" max="59" width="13.140625" customWidth="1"/>
    <col min="60" max="60" width="13" customWidth="1"/>
    <col min="61" max="61" width="13.28515625" customWidth="1"/>
    <col min="62" max="62" width="18.5703125" customWidth="1"/>
    <col min="65" max="65" width="12.7109375" customWidth="1"/>
    <col min="66" max="66" width="13.7109375" customWidth="1"/>
    <col min="69" max="69" width="22.7109375" bestFit="1" customWidth="1"/>
    <col min="70" max="70" width="36.7109375" bestFit="1" customWidth="1"/>
  </cols>
  <sheetData>
    <row r="1" spans="1:71" x14ac:dyDescent="0.25">
      <c r="A1" s="48" t="s">
        <v>0</v>
      </c>
      <c r="B1" s="36" t="s">
        <v>6963</v>
      </c>
      <c r="C1" s="48" t="s">
        <v>6964</v>
      </c>
      <c r="D1" s="36" t="s">
        <v>2</v>
      </c>
      <c r="E1" s="36" t="s">
        <v>3</v>
      </c>
      <c r="F1" s="48" t="s">
        <v>4</v>
      </c>
      <c r="G1" s="36" t="s">
        <v>5</v>
      </c>
      <c r="H1" s="36" t="s">
        <v>6</v>
      </c>
      <c r="I1" s="36" t="s">
        <v>7</v>
      </c>
      <c r="J1" s="48" t="s">
        <v>8</v>
      </c>
      <c r="K1" s="36" t="s">
        <v>10765</v>
      </c>
      <c r="L1" s="48" t="s">
        <v>10730</v>
      </c>
      <c r="M1" s="48" t="s">
        <v>6966</v>
      </c>
      <c r="N1" s="36" t="s">
        <v>11</v>
      </c>
      <c r="O1" s="48" t="s">
        <v>12</v>
      </c>
      <c r="P1" s="36" t="s">
        <v>10766</v>
      </c>
      <c r="Q1" s="36" t="s">
        <v>14</v>
      </c>
      <c r="R1" s="48" t="s">
        <v>15</v>
      </c>
      <c r="S1" s="84" t="s">
        <v>10767</v>
      </c>
      <c r="T1" s="48" t="s">
        <v>16</v>
      </c>
      <c r="U1" s="48" t="s">
        <v>17</v>
      </c>
      <c r="V1" s="48" t="s">
        <v>10768</v>
      </c>
      <c r="W1" s="48" t="s">
        <v>18</v>
      </c>
      <c r="X1" s="48" t="s">
        <v>10769</v>
      </c>
      <c r="Y1" s="48" t="s">
        <v>6996</v>
      </c>
      <c r="Z1" s="48" t="s">
        <v>6997</v>
      </c>
      <c r="AA1" s="48" t="s">
        <v>6998</v>
      </c>
      <c r="AB1" s="48" t="s">
        <v>6999</v>
      </c>
      <c r="AC1" s="48" t="s">
        <v>7000</v>
      </c>
      <c r="AD1" s="48" t="s">
        <v>10770</v>
      </c>
      <c r="AE1" s="48" t="s">
        <v>7002</v>
      </c>
      <c r="AF1" s="48" t="s">
        <v>10771</v>
      </c>
      <c r="AG1" s="48" t="s">
        <v>20</v>
      </c>
      <c r="AH1" s="48" t="s">
        <v>22</v>
      </c>
      <c r="AI1" s="48" t="s">
        <v>10772</v>
      </c>
      <c r="AJ1" s="48" t="s">
        <v>23</v>
      </c>
      <c r="AK1" s="48" t="s">
        <v>10773</v>
      </c>
      <c r="AL1" s="48" t="s">
        <v>10728</v>
      </c>
      <c r="AM1" s="48" t="s">
        <v>24</v>
      </c>
      <c r="AN1" s="48" t="s">
        <v>7003</v>
      </c>
      <c r="AO1" s="48" t="s">
        <v>25</v>
      </c>
      <c r="AP1" s="48" t="s">
        <v>7004</v>
      </c>
      <c r="AQ1" s="48" t="s">
        <v>7013</v>
      </c>
      <c r="AR1" s="48" t="s">
        <v>7012</v>
      </c>
      <c r="AS1" s="36" t="s">
        <v>7015</v>
      </c>
      <c r="AT1" s="48" t="s">
        <v>10774</v>
      </c>
      <c r="AU1" s="48" t="s">
        <v>10775</v>
      </c>
      <c r="AV1" s="48" t="s">
        <v>10776</v>
      </c>
      <c r="AW1" s="48" t="s">
        <v>10777</v>
      </c>
      <c r="AX1" s="48" t="s">
        <v>10778</v>
      </c>
      <c r="AY1" s="48" t="s">
        <v>10779</v>
      </c>
      <c r="AZ1" s="48" t="s">
        <v>10780</v>
      </c>
      <c r="BA1" s="48" t="s">
        <v>10781</v>
      </c>
      <c r="BB1" s="48" t="s">
        <v>10782</v>
      </c>
      <c r="BC1" s="48" t="s">
        <v>10783</v>
      </c>
      <c r="BD1" s="36" t="s">
        <v>10784</v>
      </c>
      <c r="BE1" s="48" t="s">
        <v>10785</v>
      </c>
      <c r="BF1" s="48" t="s">
        <v>10786</v>
      </c>
      <c r="BG1" s="48" t="s">
        <v>7001</v>
      </c>
      <c r="BH1" s="48" t="s">
        <v>10787</v>
      </c>
      <c r="BI1" s="48" t="s">
        <v>10788</v>
      </c>
      <c r="BJ1" s="36" t="s">
        <v>10789</v>
      </c>
      <c r="BK1" s="48" t="s">
        <v>10790</v>
      </c>
      <c r="BL1" s="48" t="s">
        <v>10791</v>
      </c>
      <c r="BM1" s="48" t="s">
        <v>10792</v>
      </c>
      <c r="BN1" s="48" t="s">
        <v>10793</v>
      </c>
      <c r="BO1" s="48" t="s">
        <v>10794</v>
      </c>
      <c r="BP1" s="48" t="s">
        <v>10795</v>
      </c>
      <c r="BQ1" s="37" t="s">
        <v>97</v>
      </c>
      <c r="BR1" s="37" t="s">
        <v>52</v>
      </c>
      <c r="BS1" s="37" t="s">
        <v>54</v>
      </c>
    </row>
    <row r="2" spans="1:71" x14ac:dyDescent="0.25">
      <c r="A2" t="s">
        <v>96</v>
      </c>
      <c r="B2" t="s">
        <v>10796</v>
      </c>
      <c r="C2" t="s">
        <v>10797</v>
      </c>
      <c r="D2" t="s">
        <v>10798</v>
      </c>
      <c r="E2" s="82">
        <v>44909</v>
      </c>
      <c r="F2" t="s">
        <v>67</v>
      </c>
      <c r="G2" t="s">
        <v>10799</v>
      </c>
      <c r="H2" t="s">
        <v>10800</v>
      </c>
      <c r="I2" t="s">
        <v>70</v>
      </c>
      <c r="J2" t="s">
        <v>8102</v>
      </c>
      <c r="K2" t="s">
        <v>8103</v>
      </c>
      <c r="L2" t="s">
        <v>132</v>
      </c>
      <c r="M2" t="s">
        <v>7037</v>
      </c>
      <c r="N2" t="s">
        <v>10801</v>
      </c>
      <c r="O2" t="s">
        <v>75</v>
      </c>
      <c r="P2" t="s">
        <v>10802</v>
      </c>
      <c r="Q2" t="s">
        <v>4453</v>
      </c>
      <c r="R2" t="s">
        <v>78</v>
      </c>
      <c r="S2" t="s">
        <v>77</v>
      </c>
      <c r="T2" s="82">
        <v>44915</v>
      </c>
      <c r="V2" t="s">
        <v>81</v>
      </c>
      <c r="W2" t="s">
        <v>79</v>
      </c>
      <c r="X2" t="s">
        <v>10803</v>
      </c>
      <c r="Y2" t="s">
        <v>303</v>
      </c>
      <c r="Z2" t="s">
        <v>304</v>
      </c>
      <c r="AA2" t="s">
        <v>7062</v>
      </c>
      <c r="AB2" t="s">
        <v>95</v>
      </c>
      <c r="AC2" t="s">
        <v>7984</v>
      </c>
      <c r="AD2" t="s">
        <v>10804</v>
      </c>
      <c r="AE2" t="s">
        <v>174</v>
      </c>
      <c r="AF2" t="s">
        <v>95</v>
      </c>
      <c r="AG2" t="s">
        <v>83</v>
      </c>
      <c r="AH2" t="s">
        <v>83</v>
      </c>
      <c r="AI2" t="s">
        <v>81</v>
      </c>
      <c r="AJ2" t="s">
        <v>118</v>
      </c>
      <c r="AK2" t="s">
        <v>95</v>
      </c>
      <c r="AL2" t="s">
        <v>10805</v>
      </c>
      <c r="AM2" t="s">
        <v>85</v>
      </c>
      <c r="AN2" t="s">
        <v>7031</v>
      </c>
      <c r="AO2" t="s">
        <v>86</v>
      </c>
      <c r="AP2" t="s">
        <v>90</v>
      </c>
      <c r="AQ2" t="s">
        <v>8002</v>
      </c>
      <c r="AR2" t="s">
        <v>177</v>
      </c>
      <c r="AS2" t="s">
        <v>139</v>
      </c>
      <c r="AT2" t="s">
        <v>95</v>
      </c>
      <c r="AU2" t="s">
        <v>95</v>
      </c>
      <c r="AV2" t="s">
        <v>7037</v>
      </c>
      <c r="AW2" t="s">
        <v>95</v>
      </c>
      <c r="AX2" t="s">
        <v>10806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10807</v>
      </c>
      <c r="BE2" t="s">
        <v>10808</v>
      </c>
      <c r="BF2" t="s">
        <v>10809</v>
      </c>
      <c r="BG2" t="s">
        <v>7030</v>
      </c>
      <c r="BI2" s="8"/>
      <c r="BJ2" s="8" t="s">
        <v>303</v>
      </c>
      <c r="BK2" s="8" t="s">
        <v>10810</v>
      </c>
      <c r="BL2" s="8" t="s">
        <v>10811</v>
      </c>
      <c r="BM2" s="8" t="s">
        <v>139</v>
      </c>
      <c r="BN2" s="8" t="s">
        <v>85</v>
      </c>
      <c r="BO2" s="8">
        <v>0</v>
      </c>
      <c r="BP2" t="s">
        <v>10812</v>
      </c>
      <c r="BQ2" s="8" t="str">
        <f>VLOOKUP(Prepago[[#This Row],[NOM_PLAZA]],[1]!Locales[#Data],3,0)</f>
        <v>TIENDA RECREO</v>
      </c>
      <c r="BR2" s="8" t="str">
        <f>VLOOKUP(Prepago[[#This Row],[CODIGO_USUARIO]],[1]!Personal[#Data],6,0)</f>
        <v>CORDOVA GAIBOR JONATHAN HERNAN</v>
      </c>
      <c r="BS2" s="8">
        <f>DAY(Prepago[[#This Row],[FECHA_ALTA]])</f>
        <v>14</v>
      </c>
    </row>
    <row r="3" spans="1:71" x14ac:dyDescent="0.25">
      <c r="A3" s="18" t="s">
        <v>96</v>
      </c>
      <c r="B3" s="18" t="s">
        <v>10813</v>
      </c>
      <c r="C3" s="18" t="s">
        <v>10814</v>
      </c>
      <c r="D3" s="18" t="s">
        <v>8537</v>
      </c>
      <c r="E3" s="22">
        <v>44906</v>
      </c>
      <c r="F3" s="18" t="s">
        <v>67</v>
      </c>
      <c r="G3" s="18" t="s">
        <v>8538</v>
      </c>
      <c r="H3" s="18" t="s">
        <v>8539</v>
      </c>
      <c r="I3" s="18" t="s">
        <v>70</v>
      </c>
      <c r="J3" s="18" t="s">
        <v>8102</v>
      </c>
      <c r="K3" s="18" t="s">
        <v>8103</v>
      </c>
      <c r="L3" s="18" t="s">
        <v>132</v>
      </c>
      <c r="M3" s="18" t="s">
        <v>7037</v>
      </c>
      <c r="N3" s="18" t="s">
        <v>10815</v>
      </c>
      <c r="O3" s="18" t="s">
        <v>75</v>
      </c>
      <c r="P3" s="18" t="s">
        <v>10816</v>
      </c>
      <c r="Q3" s="18" t="s">
        <v>10817</v>
      </c>
      <c r="R3" s="18" t="s">
        <v>78</v>
      </c>
      <c r="S3" s="18" t="s">
        <v>77</v>
      </c>
      <c r="T3" s="22">
        <v>44915</v>
      </c>
      <c r="U3" s="18"/>
      <c r="V3" s="18" t="s">
        <v>81</v>
      </c>
      <c r="W3" s="18" t="s">
        <v>79</v>
      </c>
      <c r="X3" s="18" t="s">
        <v>10803</v>
      </c>
      <c r="Y3" s="18" t="s">
        <v>760</v>
      </c>
      <c r="Z3" s="18" t="s">
        <v>761</v>
      </c>
      <c r="AA3" s="18" t="s">
        <v>7062</v>
      </c>
      <c r="AB3" s="18" t="s">
        <v>95</v>
      </c>
      <c r="AC3" s="18" t="s">
        <v>7984</v>
      </c>
      <c r="AD3" s="18" t="s">
        <v>10804</v>
      </c>
      <c r="AE3" s="18" t="s">
        <v>174</v>
      </c>
      <c r="AF3" s="18" t="s">
        <v>95</v>
      </c>
      <c r="AG3" s="18" t="s">
        <v>83</v>
      </c>
      <c r="AH3" s="18" t="s">
        <v>83</v>
      </c>
      <c r="AI3" s="18" t="s">
        <v>81</v>
      </c>
      <c r="AJ3" s="18" t="s">
        <v>118</v>
      </c>
      <c r="AK3" s="18" t="s">
        <v>95</v>
      </c>
      <c r="AL3" s="18" t="s">
        <v>10818</v>
      </c>
      <c r="AM3" s="18" t="s">
        <v>85</v>
      </c>
      <c r="AN3" s="18" t="s">
        <v>7031</v>
      </c>
      <c r="AO3" s="18" t="s">
        <v>86</v>
      </c>
      <c r="AP3" s="18" t="s">
        <v>90</v>
      </c>
      <c r="AQ3" s="18" t="s">
        <v>8002</v>
      </c>
      <c r="AR3" s="18" t="s">
        <v>177</v>
      </c>
      <c r="AS3" s="18" t="s">
        <v>139</v>
      </c>
      <c r="AT3" s="18" t="s">
        <v>95</v>
      </c>
      <c r="AU3" s="18" t="s">
        <v>95</v>
      </c>
      <c r="AV3" s="18" t="s">
        <v>7037</v>
      </c>
      <c r="AW3" s="18" t="s">
        <v>95</v>
      </c>
      <c r="AX3" s="18" t="s">
        <v>10806</v>
      </c>
      <c r="AY3" s="18" t="s">
        <v>95</v>
      </c>
      <c r="AZ3" s="18" t="s">
        <v>95</v>
      </c>
      <c r="BA3" s="18" t="s">
        <v>95</v>
      </c>
      <c r="BB3" s="18" t="s">
        <v>95</v>
      </c>
      <c r="BC3" s="18" t="s">
        <v>95</v>
      </c>
      <c r="BD3" s="18" t="s">
        <v>10807</v>
      </c>
      <c r="BE3" s="18" t="s">
        <v>10819</v>
      </c>
      <c r="BF3" s="18" t="s">
        <v>10809</v>
      </c>
      <c r="BG3" s="18" t="s">
        <v>7030</v>
      </c>
      <c r="BH3" s="18"/>
      <c r="BI3" s="18"/>
      <c r="BJ3" s="18" t="s">
        <v>760</v>
      </c>
      <c r="BK3" s="18" t="s">
        <v>10820</v>
      </c>
      <c r="BL3" s="18" t="s">
        <v>10811</v>
      </c>
      <c r="BM3" s="18" t="s">
        <v>139</v>
      </c>
      <c r="BN3" s="18" t="s">
        <v>85</v>
      </c>
      <c r="BO3" s="18">
        <v>0</v>
      </c>
      <c r="BP3" s="18" t="s">
        <v>10812</v>
      </c>
      <c r="BQ3" s="18" t="str">
        <f>VLOOKUP(Prepago[[#This Row],[NOM_PLAZA]],[1]!Locales[#Data],3,0)</f>
        <v>TIENDA RECREO</v>
      </c>
      <c r="BR3" s="18" t="str">
        <f>VLOOKUP(Prepago[[#This Row],[CODIGO_USUARIO]],[1]!Personal[#Data],6,0)</f>
        <v>VALBUENA SANCHEZ ALBERT ANTHONY</v>
      </c>
      <c r="BS3" s="18">
        <f>DAY(Prepago[[#This Row],[FECHA_ALTA]])</f>
        <v>11</v>
      </c>
    </row>
    <row r="4" spans="1:71" x14ac:dyDescent="0.25">
      <c r="A4" s="18" t="s">
        <v>96</v>
      </c>
      <c r="B4" s="18" t="s">
        <v>10821</v>
      </c>
      <c r="C4" s="18" t="s">
        <v>10822</v>
      </c>
      <c r="D4" s="18" t="s">
        <v>10823</v>
      </c>
      <c r="E4" s="22">
        <v>44912</v>
      </c>
      <c r="F4" s="18" t="s">
        <v>67</v>
      </c>
      <c r="G4" s="18" t="s">
        <v>10824</v>
      </c>
      <c r="H4" s="18" t="s">
        <v>10825</v>
      </c>
      <c r="I4" s="18" t="s">
        <v>70</v>
      </c>
      <c r="J4" s="18" t="s">
        <v>8102</v>
      </c>
      <c r="K4" s="18" t="s">
        <v>8103</v>
      </c>
      <c r="L4" s="18" t="s">
        <v>73</v>
      </c>
      <c r="M4" s="18" t="s">
        <v>7037</v>
      </c>
      <c r="N4" s="18" t="s">
        <v>10826</v>
      </c>
      <c r="O4" s="18" t="s">
        <v>75</v>
      </c>
      <c r="P4" s="18" t="s">
        <v>10827</v>
      </c>
      <c r="Q4" s="18" t="s">
        <v>4453</v>
      </c>
      <c r="R4" s="18" t="s">
        <v>78</v>
      </c>
      <c r="S4" s="18" t="s">
        <v>77</v>
      </c>
      <c r="T4" s="22">
        <v>44915</v>
      </c>
      <c r="U4" s="18"/>
      <c r="V4" s="18" t="s">
        <v>81</v>
      </c>
      <c r="W4" s="18" t="s">
        <v>79</v>
      </c>
      <c r="X4" s="18" t="s">
        <v>10803</v>
      </c>
      <c r="Y4" s="18" t="s">
        <v>822</v>
      </c>
      <c r="Z4" s="18" t="s">
        <v>823</v>
      </c>
      <c r="AA4" s="18" t="s">
        <v>7062</v>
      </c>
      <c r="AB4" s="18" t="s">
        <v>95</v>
      </c>
      <c r="AC4" s="18" t="s">
        <v>7984</v>
      </c>
      <c r="AD4" s="18" t="s">
        <v>10804</v>
      </c>
      <c r="AE4" s="18" t="s">
        <v>174</v>
      </c>
      <c r="AF4" s="18" t="s">
        <v>95</v>
      </c>
      <c r="AG4" s="18" t="s">
        <v>83</v>
      </c>
      <c r="AH4" s="18" t="s">
        <v>83</v>
      </c>
      <c r="AI4" s="18" t="s">
        <v>81</v>
      </c>
      <c r="AJ4" s="18" t="s">
        <v>118</v>
      </c>
      <c r="AK4" s="18" t="s">
        <v>95</v>
      </c>
      <c r="AL4" s="18" t="s">
        <v>10828</v>
      </c>
      <c r="AM4" s="18" t="s">
        <v>85</v>
      </c>
      <c r="AN4" s="18" t="s">
        <v>7031</v>
      </c>
      <c r="AO4" s="18" t="s">
        <v>86</v>
      </c>
      <c r="AP4" s="18" t="s">
        <v>90</v>
      </c>
      <c r="AQ4" s="18" t="s">
        <v>8002</v>
      </c>
      <c r="AR4" s="18" t="s">
        <v>177</v>
      </c>
      <c r="AS4" s="18" t="s">
        <v>139</v>
      </c>
      <c r="AT4" s="18" t="s">
        <v>95</v>
      </c>
      <c r="AU4" s="18" t="s">
        <v>95</v>
      </c>
      <c r="AV4" s="18" t="s">
        <v>7037</v>
      </c>
      <c r="AW4" s="18" t="s">
        <v>95</v>
      </c>
      <c r="AX4" s="18" t="s">
        <v>10806</v>
      </c>
      <c r="AY4" s="18" t="s">
        <v>95</v>
      </c>
      <c r="AZ4" s="18" t="s">
        <v>95</v>
      </c>
      <c r="BA4" s="18" t="s">
        <v>95</v>
      </c>
      <c r="BB4" s="18" t="s">
        <v>95</v>
      </c>
      <c r="BC4" s="18" t="s">
        <v>95</v>
      </c>
      <c r="BD4" s="18" t="s">
        <v>10829</v>
      </c>
      <c r="BE4" s="18" t="s">
        <v>10808</v>
      </c>
      <c r="BF4" s="18" t="s">
        <v>10809</v>
      </c>
      <c r="BG4" s="18" t="s">
        <v>7030</v>
      </c>
      <c r="BH4" s="18"/>
      <c r="BI4" s="18"/>
      <c r="BJ4" s="18" t="s">
        <v>822</v>
      </c>
      <c r="BK4" s="18" t="s">
        <v>10830</v>
      </c>
      <c r="BL4" s="18" t="s">
        <v>10811</v>
      </c>
      <c r="BM4" s="18" t="s">
        <v>139</v>
      </c>
      <c r="BN4" s="18" t="s">
        <v>85</v>
      </c>
      <c r="BO4" s="18">
        <v>0</v>
      </c>
      <c r="BP4" s="18" t="s">
        <v>10812</v>
      </c>
      <c r="BQ4" s="18" t="str">
        <f>VLOOKUP(Prepago[[#This Row],[NOM_PLAZA]],[1]!Locales[#Data],3,0)</f>
        <v>TIENDA RECREO</v>
      </c>
      <c r="BR4" s="18" t="str">
        <f>VLOOKUP(Prepago[[#This Row],[CODIGO_USUARIO]],[1]!Personal[#Data],6,0)</f>
        <v>SALAS PARRA MARIA JOSE</v>
      </c>
      <c r="BS4" s="18">
        <f>DAY(Prepago[[#This Row],[FECHA_ALTA]])</f>
        <v>17</v>
      </c>
    </row>
    <row r="5" spans="1:71" x14ac:dyDescent="0.25">
      <c r="A5" s="18" t="s">
        <v>96</v>
      </c>
      <c r="B5" s="18" t="s">
        <v>10831</v>
      </c>
      <c r="C5" s="18" t="s">
        <v>10832</v>
      </c>
      <c r="D5" s="18" t="s">
        <v>10833</v>
      </c>
      <c r="E5" s="22">
        <v>44906</v>
      </c>
      <c r="F5" s="18" t="s">
        <v>67</v>
      </c>
      <c r="G5" s="18" t="s">
        <v>10834</v>
      </c>
      <c r="H5" s="18" t="s">
        <v>10835</v>
      </c>
      <c r="I5" s="18" t="s">
        <v>70</v>
      </c>
      <c r="J5" s="18" t="s">
        <v>8102</v>
      </c>
      <c r="K5" s="18" t="s">
        <v>8103</v>
      </c>
      <c r="L5" s="18" t="s">
        <v>95</v>
      </c>
      <c r="M5" s="18" t="s">
        <v>7037</v>
      </c>
      <c r="N5" s="18" t="s">
        <v>10836</v>
      </c>
      <c r="O5" s="18" t="s">
        <v>75</v>
      </c>
      <c r="P5" s="18" t="s">
        <v>10837</v>
      </c>
      <c r="Q5" s="18" t="s">
        <v>4453</v>
      </c>
      <c r="R5" s="18" t="s">
        <v>78</v>
      </c>
      <c r="S5" s="18" t="s">
        <v>77</v>
      </c>
      <c r="T5" s="22">
        <v>44915</v>
      </c>
      <c r="U5" s="18"/>
      <c r="V5" s="18" t="s">
        <v>81</v>
      </c>
      <c r="W5" s="18" t="s">
        <v>79</v>
      </c>
      <c r="X5" s="18" t="s">
        <v>10803</v>
      </c>
      <c r="Y5" s="18" t="s">
        <v>199</v>
      </c>
      <c r="Z5" s="18" t="s">
        <v>200</v>
      </c>
      <c r="AA5" s="18" t="s">
        <v>7062</v>
      </c>
      <c r="AB5" s="18" t="s">
        <v>95</v>
      </c>
      <c r="AC5" s="18" t="s">
        <v>7984</v>
      </c>
      <c r="AD5" s="18" t="s">
        <v>10804</v>
      </c>
      <c r="AE5" s="18" t="s">
        <v>174</v>
      </c>
      <c r="AF5" s="18" t="s">
        <v>95</v>
      </c>
      <c r="AG5" s="18" t="s">
        <v>83</v>
      </c>
      <c r="AH5" s="18" t="s">
        <v>83</v>
      </c>
      <c r="AI5" s="18" t="s">
        <v>81</v>
      </c>
      <c r="AJ5" s="18" t="s">
        <v>118</v>
      </c>
      <c r="AK5" s="18" t="s">
        <v>95</v>
      </c>
      <c r="AL5" s="18" t="s">
        <v>10838</v>
      </c>
      <c r="AM5" s="18" t="s">
        <v>85</v>
      </c>
      <c r="AN5" s="18" t="s">
        <v>7031</v>
      </c>
      <c r="AO5" s="18" t="s">
        <v>86</v>
      </c>
      <c r="AP5" s="18" t="s">
        <v>90</v>
      </c>
      <c r="AQ5" s="18" t="s">
        <v>8002</v>
      </c>
      <c r="AR5" s="18" t="s">
        <v>177</v>
      </c>
      <c r="AS5" s="18" t="s">
        <v>139</v>
      </c>
      <c r="AT5" s="18" t="s">
        <v>95</v>
      </c>
      <c r="AU5" s="18" t="s">
        <v>95</v>
      </c>
      <c r="AV5" s="18" t="s">
        <v>7037</v>
      </c>
      <c r="AW5" s="18" t="s">
        <v>95</v>
      </c>
      <c r="AX5" s="18" t="s">
        <v>10806</v>
      </c>
      <c r="AY5" s="18" t="s">
        <v>95</v>
      </c>
      <c r="AZ5" s="18" t="s">
        <v>95</v>
      </c>
      <c r="BA5" s="18" t="s">
        <v>95</v>
      </c>
      <c r="BB5" s="18" t="s">
        <v>95</v>
      </c>
      <c r="BC5" s="18" t="s">
        <v>95</v>
      </c>
      <c r="BD5" s="18" t="s">
        <v>10807</v>
      </c>
      <c r="BE5" s="18" t="s">
        <v>95</v>
      </c>
      <c r="BF5" s="18" t="s">
        <v>10809</v>
      </c>
      <c r="BG5" s="18" t="s">
        <v>7030</v>
      </c>
      <c r="BH5" s="18"/>
      <c r="BI5" s="18"/>
      <c r="BJ5" s="18" t="s">
        <v>199</v>
      </c>
      <c r="BK5" s="18" t="s">
        <v>10839</v>
      </c>
      <c r="BL5" s="18" t="s">
        <v>10811</v>
      </c>
      <c r="BM5" s="18" t="s">
        <v>139</v>
      </c>
      <c r="BN5" s="18" t="s">
        <v>85</v>
      </c>
      <c r="BO5" s="18">
        <v>1</v>
      </c>
      <c r="BP5" s="18" t="s">
        <v>10812</v>
      </c>
      <c r="BQ5" s="18" t="str">
        <f>VLOOKUP(Prepago[[#This Row],[NOM_PLAZA]],[1]!Locales[#Data],3,0)</f>
        <v>TIENDA RECREO</v>
      </c>
      <c r="BR5" s="18" t="str">
        <f>VLOOKUP(Prepago[[#This Row],[CODIGO_USUARIO]],[1]!Personal[#Data],6,0)</f>
        <v>MEDINA LAPO DAYANNA CAROLINA</v>
      </c>
      <c r="BS5" s="18">
        <f>DAY(Prepago[[#This Row],[FECHA_ALTA]])</f>
        <v>11</v>
      </c>
    </row>
    <row r="6" spans="1:71" x14ac:dyDescent="0.25">
      <c r="A6" s="18" t="s">
        <v>96</v>
      </c>
      <c r="B6" s="18" t="s">
        <v>10840</v>
      </c>
      <c r="C6" s="18" t="s">
        <v>10841</v>
      </c>
      <c r="D6" s="18" t="s">
        <v>10842</v>
      </c>
      <c r="E6" s="22">
        <v>44899</v>
      </c>
      <c r="F6" s="18" t="s">
        <v>67</v>
      </c>
      <c r="G6" s="18" t="s">
        <v>10843</v>
      </c>
      <c r="H6" s="18" t="s">
        <v>10844</v>
      </c>
      <c r="I6" s="18" t="s">
        <v>70</v>
      </c>
      <c r="J6" s="18" t="s">
        <v>8102</v>
      </c>
      <c r="K6" s="18" t="s">
        <v>8103</v>
      </c>
      <c r="L6" s="18" t="s">
        <v>132</v>
      </c>
      <c r="M6" s="18" t="s">
        <v>7037</v>
      </c>
      <c r="N6" s="18" t="s">
        <v>10845</v>
      </c>
      <c r="O6" s="18" t="s">
        <v>75</v>
      </c>
      <c r="P6" s="18" t="s">
        <v>10846</v>
      </c>
      <c r="Q6" s="18" t="s">
        <v>1532</v>
      </c>
      <c r="R6" s="18" t="s">
        <v>78</v>
      </c>
      <c r="S6" s="18" t="s">
        <v>77</v>
      </c>
      <c r="T6" s="22">
        <v>44915</v>
      </c>
      <c r="U6" s="18"/>
      <c r="V6" s="18" t="s">
        <v>81</v>
      </c>
      <c r="W6" s="18" t="s">
        <v>79</v>
      </c>
      <c r="X6" s="18" t="s">
        <v>10803</v>
      </c>
      <c r="Y6" s="18" t="s">
        <v>303</v>
      </c>
      <c r="Z6" s="18" t="s">
        <v>304</v>
      </c>
      <c r="AA6" s="18" t="s">
        <v>7062</v>
      </c>
      <c r="AB6" s="18" t="s">
        <v>95</v>
      </c>
      <c r="AC6" s="18" t="s">
        <v>7984</v>
      </c>
      <c r="AD6" s="18" t="s">
        <v>10804</v>
      </c>
      <c r="AE6" s="18" t="s">
        <v>174</v>
      </c>
      <c r="AF6" s="18" t="s">
        <v>95</v>
      </c>
      <c r="AG6" s="18" t="s">
        <v>83</v>
      </c>
      <c r="AH6" s="18" t="s">
        <v>83</v>
      </c>
      <c r="AI6" s="18" t="s">
        <v>81</v>
      </c>
      <c r="AJ6" s="18" t="s">
        <v>118</v>
      </c>
      <c r="AK6" s="18" t="s">
        <v>95</v>
      </c>
      <c r="AL6" s="18" t="s">
        <v>10805</v>
      </c>
      <c r="AM6" s="18" t="s">
        <v>85</v>
      </c>
      <c r="AN6" s="18" t="s">
        <v>7031</v>
      </c>
      <c r="AO6" s="18" t="s">
        <v>86</v>
      </c>
      <c r="AP6" s="18" t="s">
        <v>90</v>
      </c>
      <c r="AQ6" s="18" t="s">
        <v>8002</v>
      </c>
      <c r="AR6" s="18" t="s">
        <v>177</v>
      </c>
      <c r="AS6" s="18" t="s">
        <v>139</v>
      </c>
      <c r="AT6" s="18" t="s">
        <v>95</v>
      </c>
      <c r="AU6" s="18" t="s">
        <v>95</v>
      </c>
      <c r="AV6" s="18" t="s">
        <v>7037</v>
      </c>
      <c r="AW6" s="18" t="s">
        <v>95</v>
      </c>
      <c r="AX6" s="18" t="s">
        <v>10806</v>
      </c>
      <c r="AY6" s="18" t="s">
        <v>95</v>
      </c>
      <c r="AZ6" s="18" t="s">
        <v>95</v>
      </c>
      <c r="BA6" s="18" t="s">
        <v>95</v>
      </c>
      <c r="BB6" s="18" t="s">
        <v>95</v>
      </c>
      <c r="BC6" s="18" t="s">
        <v>95</v>
      </c>
      <c r="BD6" s="18" t="s">
        <v>10807</v>
      </c>
      <c r="BE6" s="18" t="s">
        <v>10808</v>
      </c>
      <c r="BF6" s="18" t="s">
        <v>10809</v>
      </c>
      <c r="BG6" s="18" t="s">
        <v>7030</v>
      </c>
      <c r="BH6" s="18"/>
      <c r="BI6" s="18"/>
      <c r="BJ6" s="18" t="s">
        <v>303</v>
      </c>
      <c r="BK6" s="18" t="s">
        <v>10847</v>
      </c>
      <c r="BL6" s="18" t="s">
        <v>10811</v>
      </c>
      <c r="BM6" s="18" t="s">
        <v>139</v>
      </c>
      <c r="BN6" s="18" t="s">
        <v>85</v>
      </c>
      <c r="BO6" s="18">
        <v>1</v>
      </c>
      <c r="BP6" s="18" t="s">
        <v>10812</v>
      </c>
      <c r="BQ6" s="18" t="str">
        <f>VLOOKUP(Prepago[[#This Row],[NOM_PLAZA]],[1]!Locales[#Data],3,0)</f>
        <v>TIENDA RECREO</v>
      </c>
      <c r="BR6" s="18" t="str">
        <f>VLOOKUP(Prepago[[#This Row],[CODIGO_USUARIO]],[1]!Personal[#Data],6,0)</f>
        <v>CORDOVA GAIBOR JONATHAN HERNAN</v>
      </c>
      <c r="BS6" s="18">
        <f>DAY(Prepago[[#This Row],[FECHA_ALTA]])</f>
        <v>4</v>
      </c>
    </row>
    <row r="7" spans="1:71" x14ac:dyDescent="0.25">
      <c r="A7" s="18" t="s">
        <v>96</v>
      </c>
      <c r="B7" s="18" t="s">
        <v>10848</v>
      </c>
      <c r="C7" s="18" t="s">
        <v>10849</v>
      </c>
      <c r="D7" s="18" t="s">
        <v>10850</v>
      </c>
      <c r="E7" s="22">
        <v>44914</v>
      </c>
      <c r="F7" s="18" t="s">
        <v>67</v>
      </c>
      <c r="G7" s="18" t="s">
        <v>10851</v>
      </c>
      <c r="H7" s="18" t="s">
        <v>10852</v>
      </c>
      <c r="I7" s="18" t="s">
        <v>70</v>
      </c>
      <c r="J7" s="18" t="s">
        <v>8102</v>
      </c>
      <c r="K7" s="18" t="s">
        <v>8103</v>
      </c>
      <c r="L7" s="18" t="s">
        <v>132</v>
      </c>
      <c r="M7" s="18" t="s">
        <v>7037</v>
      </c>
      <c r="N7" s="18" t="s">
        <v>10853</v>
      </c>
      <c r="O7" s="18" t="s">
        <v>75</v>
      </c>
      <c r="P7" s="18" t="s">
        <v>10854</v>
      </c>
      <c r="Q7" s="18" t="s">
        <v>4453</v>
      </c>
      <c r="R7" s="18" t="s">
        <v>78</v>
      </c>
      <c r="S7" s="18" t="s">
        <v>77</v>
      </c>
      <c r="T7" s="22">
        <v>44915</v>
      </c>
      <c r="U7" s="18"/>
      <c r="V7" s="18" t="s">
        <v>81</v>
      </c>
      <c r="W7" s="18" t="s">
        <v>79</v>
      </c>
      <c r="X7" s="18" t="s">
        <v>10803</v>
      </c>
      <c r="Y7" s="18" t="s">
        <v>760</v>
      </c>
      <c r="Z7" s="18" t="s">
        <v>761</v>
      </c>
      <c r="AA7" s="18" t="s">
        <v>7062</v>
      </c>
      <c r="AB7" s="18" t="s">
        <v>95</v>
      </c>
      <c r="AC7" s="18" t="s">
        <v>7984</v>
      </c>
      <c r="AD7" s="18" t="s">
        <v>10804</v>
      </c>
      <c r="AE7" s="18" t="s">
        <v>174</v>
      </c>
      <c r="AF7" s="18" t="s">
        <v>95</v>
      </c>
      <c r="AG7" s="18" t="s">
        <v>83</v>
      </c>
      <c r="AH7" s="18" t="s">
        <v>83</v>
      </c>
      <c r="AI7" s="18" t="s">
        <v>81</v>
      </c>
      <c r="AJ7" s="18" t="s">
        <v>118</v>
      </c>
      <c r="AK7" s="18" t="s">
        <v>95</v>
      </c>
      <c r="AL7" s="18" t="s">
        <v>10818</v>
      </c>
      <c r="AM7" s="18" t="s">
        <v>85</v>
      </c>
      <c r="AN7" s="18" t="s">
        <v>7031</v>
      </c>
      <c r="AO7" s="18" t="s">
        <v>86</v>
      </c>
      <c r="AP7" s="18" t="s">
        <v>90</v>
      </c>
      <c r="AQ7" s="18" t="s">
        <v>8002</v>
      </c>
      <c r="AR7" s="18" t="s">
        <v>177</v>
      </c>
      <c r="AS7" s="18" t="s">
        <v>139</v>
      </c>
      <c r="AT7" s="18" t="s">
        <v>95</v>
      </c>
      <c r="AU7" s="18" t="s">
        <v>95</v>
      </c>
      <c r="AV7" s="18" t="s">
        <v>7037</v>
      </c>
      <c r="AW7" s="18" t="s">
        <v>95</v>
      </c>
      <c r="AX7" s="18" t="s">
        <v>10806</v>
      </c>
      <c r="AY7" s="18" t="s">
        <v>95</v>
      </c>
      <c r="AZ7" s="18" t="s">
        <v>95</v>
      </c>
      <c r="BA7" s="18" t="s">
        <v>95</v>
      </c>
      <c r="BB7" s="18" t="s">
        <v>95</v>
      </c>
      <c r="BC7" s="18" t="s">
        <v>95</v>
      </c>
      <c r="BD7" s="18" t="s">
        <v>10807</v>
      </c>
      <c r="BE7" s="18" t="s">
        <v>10855</v>
      </c>
      <c r="BF7" s="18" t="s">
        <v>7623</v>
      </c>
      <c r="BG7" s="18" t="s">
        <v>7030</v>
      </c>
      <c r="BH7" s="18"/>
      <c r="BI7" s="18"/>
      <c r="BJ7" s="18" t="s">
        <v>760</v>
      </c>
      <c r="BK7" s="18" t="s">
        <v>10856</v>
      </c>
      <c r="BL7" s="18" t="s">
        <v>10811</v>
      </c>
      <c r="BM7" s="18" t="s">
        <v>139</v>
      </c>
      <c r="BN7" s="18" t="s">
        <v>85</v>
      </c>
      <c r="BO7" s="18">
        <v>0</v>
      </c>
      <c r="BP7" s="18" t="s">
        <v>10812</v>
      </c>
      <c r="BQ7" s="18" t="str">
        <f>VLOOKUP(Prepago[[#This Row],[NOM_PLAZA]],[1]!Locales[#Data],3,0)</f>
        <v>TIENDA RECREO</v>
      </c>
      <c r="BR7" s="18" t="str">
        <f>VLOOKUP(Prepago[[#This Row],[CODIGO_USUARIO]],[1]!Personal[#Data],6,0)</f>
        <v>VALBUENA SANCHEZ ALBERT ANTHONY</v>
      </c>
      <c r="BS7" s="18">
        <f>DAY(Prepago[[#This Row],[FECHA_ALTA]])</f>
        <v>19</v>
      </c>
    </row>
    <row r="8" spans="1:71" x14ac:dyDescent="0.25">
      <c r="A8" s="18" t="s">
        <v>96</v>
      </c>
      <c r="B8" s="18" t="s">
        <v>10857</v>
      </c>
      <c r="C8" s="18" t="s">
        <v>10858</v>
      </c>
      <c r="D8" s="18" t="s">
        <v>10859</v>
      </c>
      <c r="E8" s="22">
        <v>44910</v>
      </c>
      <c r="F8" s="18" t="s">
        <v>67</v>
      </c>
      <c r="G8" s="18" t="s">
        <v>10860</v>
      </c>
      <c r="H8" s="18" t="s">
        <v>10861</v>
      </c>
      <c r="I8" s="18" t="s">
        <v>70</v>
      </c>
      <c r="J8" s="18" t="s">
        <v>8102</v>
      </c>
      <c r="K8" s="18" t="s">
        <v>8103</v>
      </c>
      <c r="L8" s="18" t="s">
        <v>73</v>
      </c>
      <c r="M8" s="18" t="s">
        <v>7037</v>
      </c>
      <c r="N8" s="18" t="s">
        <v>10862</v>
      </c>
      <c r="O8" s="18" t="s">
        <v>75</v>
      </c>
      <c r="P8" s="18" t="s">
        <v>10863</v>
      </c>
      <c r="Q8" s="18" t="s">
        <v>4453</v>
      </c>
      <c r="R8" s="18" t="s">
        <v>78</v>
      </c>
      <c r="S8" s="18" t="s">
        <v>77</v>
      </c>
      <c r="T8" s="22">
        <v>44915</v>
      </c>
      <c r="U8" s="18"/>
      <c r="V8" s="18" t="s">
        <v>81</v>
      </c>
      <c r="W8" s="18" t="s">
        <v>79</v>
      </c>
      <c r="X8" s="18" t="s">
        <v>10803</v>
      </c>
      <c r="Y8" s="18" t="s">
        <v>251</v>
      </c>
      <c r="Z8" s="18" t="s">
        <v>252</v>
      </c>
      <c r="AA8" s="18" t="s">
        <v>7062</v>
      </c>
      <c r="AB8" s="18" t="s">
        <v>95</v>
      </c>
      <c r="AC8" s="18" t="s">
        <v>7984</v>
      </c>
      <c r="AD8" s="18" t="s">
        <v>10804</v>
      </c>
      <c r="AE8" s="18" t="s">
        <v>174</v>
      </c>
      <c r="AF8" s="18" t="s">
        <v>95</v>
      </c>
      <c r="AG8" s="18" t="s">
        <v>83</v>
      </c>
      <c r="AH8" s="18" t="s">
        <v>83</v>
      </c>
      <c r="AI8" s="18" t="s">
        <v>81</v>
      </c>
      <c r="AJ8" s="18" t="s">
        <v>118</v>
      </c>
      <c r="AK8" s="18" t="s">
        <v>95</v>
      </c>
      <c r="AL8" s="18" t="s">
        <v>10864</v>
      </c>
      <c r="AM8" s="18" t="s">
        <v>85</v>
      </c>
      <c r="AN8" s="18" t="s">
        <v>7031</v>
      </c>
      <c r="AO8" s="18" t="s">
        <v>86</v>
      </c>
      <c r="AP8" s="18" t="s">
        <v>90</v>
      </c>
      <c r="AQ8" s="18" t="s">
        <v>8002</v>
      </c>
      <c r="AR8" s="18" t="s">
        <v>177</v>
      </c>
      <c r="AS8" s="18" t="s">
        <v>139</v>
      </c>
      <c r="AT8" s="18" t="s">
        <v>95</v>
      </c>
      <c r="AU8" s="18" t="s">
        <v>95</v>
      </c>
      <c r="AV8" s="18" t="s">
        <v>7037</v>
      </c>
      <c r="AW8" s="18" t="s">
        <v>95</v>
      </c>
      <c r="AX8" s="18" t="s">
        <v>10806</v>
      </c>
      <c r="AY8" s="18" t="s">
        <v>95</v>
      </c>
      <c r="AZ8" s="18" t="s">
        <v>95</v>
      </c>
      <c r="BA8" s="18" t="s">
        <v>95</v>
      </c>
      <c r="BB8" s="18" t="s">
        <v>95</v>
      </c>
      <c r="BC8" s="18" t="s">
        <v>95</v>
      </c>
      <c r="BD8" s="18" t="s">
        <v>10829</v>
      </c>
      <c r="BE8" s="18" t="s">
        <v>10808</v>
      </c>
      <c r="BF8" s="18" t="s">
        <v>10809</v>
      </c>
      <c r="BG8" s="18" t="s">
        <v>7030</v>
      </c>
      <c r="BH8" s="18"/>
      <c r="BI8" s="18"/>
      <c r="BJ8" s="18" t="s">
        <v>251</v>
      </c>
      <c r="BK8" s="18" t="s">
        <v>10865</v>
      </c>
      <c r="BL8" s="18" t="s">
        <v>10811</v>
      </c>
      <c r="BM8" s="18" t="s">
        <v>139</v>
      </c>
      <c r="BN8" s="18" t="s">
        <v>85</v>
      </c>
      <c r="BO8" s="18">
        <v>0</v>
      </c>
      <c r="BP8" s="18" t="s">
        <v>10812</v>
      </c>
      <c r="BQ8" s="18" t="str">
        <f>VLOOKUP(Prepago[[#This Row],[NOM_PLAZA]],[1]!Locales[#Data],3,0)</f>
        <v>TIENDA RECREO</v>
      </c>
      <c r="BR8" s="18" t="str">
        <f>VLOOKUP(Prepago[[#This Row],[CODIGO_USUARIO]],[1]!Personal[#Data],6,0)</f>
        <v>CRUZ MONTUFAR KATHERINE ALEJANDRA</v>
      </c>
      <c r="BS8" s="18">
        <f>DAY(Prepago[[#This Row],[FECHA_ALTA]])</f>
        <v>15</v>
      </c>
    </row>
    <row r="9" spans="1:71" x14ac:dyDescent="0.25">
      <c r="A9" s="18" t="s">
        <v>96</v>
      </c>
      <c r="B9" s="18" t="s">
        <v>10866</v>
      </c>
      <c r="C9" s="18" t="s">
        <v>10867</v>
      </c>
      <c r="D9" s="18" t="s">
        <v>10868</v>
      </c>
      <c r="E9" s="22">
        <v>44898</v>
      </c>
      <c r="F9" s="18" t="s">
        <v>67</v>
      </c>
      <c r="G9" s="18" t="s">
        <v>10869</v>
      </c>
      <c r="H9" s="18" t="s">
        <v>10870</v>
      </c>
      <c r="I9" s="18" t="s">
        <v>193</v>
      </c>
      <c r="J9" s="18" t="s">
        <v>8102</v>
      </c>
      <c r="K9" s="18" t="s">
        <v>8103</v>
      </c>
      <c r="L9" s="18" t="s">
        <v>73</v>
      </c>
      <c r="M9" s="18" t="s">
        <v>7037</v>
      </c>
      <c r="N9" s="18" t="s">
        <v>10871</v>
      </c>
      <c r="O9" s="18" t="s">
        <v>75</v>
      </c>
      <c r="P9" s="18" t="s">
        <v>10872</v>
      </c>
      <c r="Q9" s="18" t="s">
        <v>10817</v>
      </c>
      <c r="R9" s="18" t="s">
        <v>78</v>
      </c>
      <c r="S9" s="18" t="s">
        <v>77</v>
      </c>
      <c r="T9" s="22">
        <v>44915</v>
      </c>
      <c r="U9" s="18"/>
      <c r="V9" s="18" t="s">
        <v>81</v>
      </c>
      <c r="W9" s="18" t="s">
        <v>79</v>
      </c>
      <c r="X9" s="18" t="s">
        <v>10803</v>
      </c>
      <c r="Y9" s="18" t="s">
        <v>630</v>
      </c>
      <c r="Z9" s="18" t="s">
        <v>631</v>
      </c>
      <c r="AA9" s="18" t="s">
        <v>7062</v>
      </c>
      <c r="AB9" s="18" t="s">
        <v>95</v>
      </c>
      <c r="AC9" s="18" t="s">
        <v>7984</v>
      </c>
      <c r="AD9" s="18" t="s">
        <v>10804</v>
      </c>
      <c r="AE9" s="18" t="s">
        <v>174</v>
      </c>
      <c r="AF9" s="18" t="s">
        <v>95</v>
      </c>
      <c r="AG9" s="18" t="s">
        <v>83</v>
      </c>
      <c r="AH9" s="18" t="s">
        <v>83</v>
      </c>
      <c r="AI9" s="18" t="s">
        <v>81</v>
      </c>
      <c r="AJ9" s="18" t="s">
        <v>118</v>
      </c>
      <c r="AK9" s="18" t="s">
        <v>95</v>
      </c>
      <c r="AL9" s="18" t="s">
        <v>10873</v>
      </c>
      <c r="AM9" s="18" t="s">
        <v>85</v>
      </c>
      <c r="AN9" s="18" t="s">
        <v>7031</v>
      </c>
      <c r="AO9" s="18" t="s">
        <v>86</v>
      </c>
      <c r="AP9" s="18" t="s">
        <v>90</v>
      </c>
      <c r="AQ9" s="18" t="s">
        <v>8002</v>
      </c>
      <c r="AR9" s="18" t="s">
        <v>177</v>
      </c>
      <c r="AS9" s="18" t="s">
        <v>139</v>
      </c>
      <c r="AT9" s="18" t="s">
        <v>95</v>
      </c>
      <c r="AU9" s="18" t="s">
        <v>95</v>
      </c>
      <c r="AV9" s="18" t="s">
        <v>7037</v>
      </c>
      <c r="AW9" s="18" t="s">
        <v>95</v>
      </c>
      <c r="AX9" s="18" t="s">
        <v>10806</v>
      </c>
      <c r="AY9" s="18" t="s">
        <v>95</v>
      </c>
      <c r="AZ9" s="18" t="s">
        <v>95</v>
      </c>
      <c r="BA9" s="18" t="s">
        <v>95</v>
      </c>
      <c r="BB9" s="18" t="s">
        <v>95</v>
      </c>
      <c r="BC9" s="18" t="s">
        <v>95</v>
      </c>
      <c r="BD9" s="18" t="s">
        <v>10829</v>
      </c>
      <c r="BE9" s="18" t="s">
        <v>10874</v>
      </c>
      <c r="BF9" s="18" t="s">
        <v>10809</v>
      </c>
      <c r="BG9" s="18" t="s">
        <v>7030</v>
      </c>
      <c r="BH9" s="18"/>
      <c r="BI9" s="18"/>
      <c r="BJ9" s="18" t="s">
        <v>630</v>
      </c>
      <c r="BK9" s="18" t="s">
        <v>10875</v>
      </c>
      <c r="BL9" s="18" t="s">
        <v>10811</v>
      </c>
      <c r="BM9" s="18" t="s">
        <v>139</v>
      </c>
      <c r="BN9" s="18" t="s">
        <v>85</v>
      </c>
      <c r="BO9" s="18">
        <v>1</v>
      </c>
      <c r="BP9" s="18" t="s">
        <v>10812</v>
      </c>
      <c r="BQ9" s="18" t="str">
        <f>VLOOKUP(Prepago[[#This Row],[NOM_PLAZA]],[1]!Locales[#Data],3,0)</f>
        <v>TIENDA RECREO</v>
      </c>
      <c r="BR9" s="18" t="str">
        <f>VLOOKUP(Prepago[[#This Row],[CODIGO_USUARIO]],[1]!Personal[#Data],6,0)</f>
        <v>LOAYZA AGUILAR JONATHAN FABIAN</v>
      </c>
      <c r="BS9" s="18">
        <f>DAY(Prepago[[#This Row],[FECHA_ALTA]])</f>
        <v>3</v>
      </c>
    </row>
    <row r="10" spans="1:71" x14ac:dyDescent="0.25">
      <c r="A10" s="18" t="s">
        <v>96</v>
      </c>
      <c r="B10" s="18" t="s">
        <v>10876</v>
      </c>
      <c r="C10" s="18" t="s">
        <v>10877</v>
      </c>
      <c r="D10" s="18" t="s">
        <v>10878</v>
      </c>
      <c r="E10" s="22">
        <v>44909</v>
      </c>
      <c r="F10" s="18" t="s">
        <v>67</v>
      </c>
      <c r="G10" s="18" t="s">
        <v>10879</v>
      </c>
      <c r="H10" s="18" t="s">
        <v>10880</v>
      </c>
      <c r="I10" s="18" t="s">
        <v>193</v>
      </c>
      <c r="J10" s="18" t="s">
        <v>8102</v>
      </c>
      <c r="K10" s="18" t="s">
        <v>8103</v>
      </c>
      <c r="L10" s="18" t="s">
        <v>259</v>
      </c>
      <c r="M10" s="18" t="s">
        <v>7037</v>
      </c>
      <c r="N10" s="18" t="s">
        <v>10881</v>
      </c>
      <c r="O10" s="18" t="s">
        <v>75</v>
      </c>
      <c r="P10" s="18" t="s">
        <v>10882</v>
      </c>
      <c r="Q10" s="18" t="s">
        <v>10817</v>
      </c>
      <c r="R10" s="18" t="s">
        <v>78</v>
      </c>
      <c r="S10" s="18" t="s">
        <v>77</v>
      </c>
      <c r="T10" s="22">
        <v>44915</v>
      </c>
      <c r="U10" s="18"/>
      <c r="V10" s="18" t="s">
        <v>81</v>
      </c>
      <c r="W10" s="18" t="s">
        <v>79</v>
      </c>
      <c r="X10" s="18" t="s">
        <v>10803</v>
      </c>
      <c r="Y10" s="18" t="s">
        <v>262</v>
      </c>
      <c r="Z10" s="18" t="s">
        <v>263</v>
      </c>
      <c r="AA10" s="18" t="s">
        <v>7062</v>
      </c>
      <c r="AB10" s="18" t="s">
        <v>95</v>
      </c>
      <c r="AC10" s="18" t="s">
        <v>7984</v>
      </c>
      <c r="AD10" s="18" t="s">
        <v>10804</v>
      </c>
      <c r="AE10" s="18" t="s">
        <v>174</v>
      </c>
      <c r="AF10" s="18" t="s">
        <v>95</v>
      </c>
      <c r="AG10" s="18" t="s">
        <v>83</v>
      </c>
      <c r="AH10" s="18" t="s">
        <v>83</v>
      </c>
      <c r="AI10" s="18" t="s">
        <v>81</v>
      </c>
      <c r="AJ10" s="18" t="s">
        <v>118</v>
      </c>
      <c r="AK10" s="18" t="s">
        <v>95</v>
      </c>
      <c r="AL10" s="18" t="s">
        <v>10883</v>
      </c>
      <c r="AM10" s="18" t="s">
        <v>85</v>
      </c>
      <c r="AN10" s="18" t="s">
        <v>7031</v>
      </c>
      <c r="AO10" s="18" t="s">
        <v>86</v>
      </c>
      <c r="AP10" s="18" t="s">
        <v>90</v>
      </c>
      <c r="AQ10" s="18" t="s">
        <v>8002</v>
      </c>
      <c r="AR10" s="18" t="s">
        <v>177</v>
      </c>
      <c r="AS10" s="18" t="s">
        <v>139</v>
      </c>
      <c r="AT10" s="18" t="s">
        <v>95</v>
      </c>
      <c r="AU10" s="18" t="s">
        <v>95</v>
      </c>
      <c r="AV10" s="18" t="s">
        <v>7037</v>
      </c>
      <c r="AW10" s="18" t="s">
        <v>95</v>
      </c>
      <c r="AX10" s="18" t="s">
        <v>10806</v>
      </c>
      <c r="AY10" s="18" t="s">
        <v>95</v>
      </c>
      <c r="AZ10" s="18" t="s">
        <v>95</v>
      </c>
      <c r="BA10" s="18" t="s">
        <v>95</v>
      </c>
      <c r="BB10" s="18" t="s">
        <v>95</v>
      </c>
      <c r="BC10" s="18" t="s">
        <v>95</v>
      </c>
      <c r="BD10" s="18" t="s">
        <v>10829</v>
      </c>
      <c r="BE10" s="18" t="s">
        <v>10884</v>
      </c>
      <c r="BF10" s="18" t="s">
        <v>10809</v>
      </c>
      <c r="BG10" s="18" t="s">
        <v>7030</v>
      </c>
      <c r="BH10" s="18"/>
      <c r="BI10" s="18"/>
      <c r="BJ10" s="18" t="s">
        <v>262</v>
      </c>
      <c r="BK10" s="18" t="s">
        <v>10885</v>
      </c>
      <c r="BL10" s="18" t="s">
        <v>10811</v>
      </c>
      <c r="BM10" s="18" t="s">
        <v>139</v>
      </c>
      <c r="BN10" s="18" t="s">
        <v>85</v>
      </c>
      <c r="BO10" s="18">
        <v>0</v>
      </c>
      <c r="BP10" s="18" t="s">
        <v>10812</v>
      </c>
      <c r="BQ10" s="18" t="str">
        <f>VLOOKUP(Prepago[[#This Row],[NOM_PLAZA]],[1]!Locales[#Data],3,0)</f>
        <v>TIENDA RECREO</v>
      </c>
      <c r="BR10" s="18" t="str">
        <f>VLOOKUP(Prepago[[#This Row],[CODIGO_USUARIO]],[1]!Personal[#Data],6,0)</f>
        <v>CHICAIZA TOAPANTA ALEX DANILO</v>
      </c>
      <c r="BS10" s="18">
        <f>DAY(Prepago[[#This Row],[FECHA_ALTA]])</f>
        <v>14</v>
      </c>
    </row>
    <row r="11" spans="1:71" x14ac:dyDescent="0.25">
      <c r="A11" s="18" t="s">
        <v>96</v>
      </c>
      <c r="B11" s="18" t="s">
        <v>10886</v>
      </c>
      <c r="C11" s="18" t="s">
        <v>10887</v>
      </c>
      <c r="D11" s="18" t="s">
        <v>10888</v>
      </c>
      <c r="E11" s="22">
        <v>44898</v>
      </c>
      <c r="F11" s="18" t="s">
        <v>67</v>
      </c>
      <c r="G11" s="18" t="s">
        <v>10889</v>
      </c>
      <c r="H11" s="18" t="s">
        <v>10890</v>
      </c>
      <c r="I11" s="18" t="s">
        <v>70</v>
      </c>
      <c r="J11" s="18" t="s">
        <v>8102</v>
      </c>
      <c r="K11" s="18" t="s">
        <v>8103</v>
      </c>
      <c r="L11" s="18" t="s">
        <v>95</v>
      </c>
      <c r="M11" s="18" t="s">
        <v>7037</v>
      </c>
      <c r="N11" s="18" t="s">
        <v>10891</v>
      </c>
      <c r="O11" s="18" t="s">
        <v>75</v>
      </c>
      <c r="P11" s="18" t="s">
        <v>10892</v>
      </c>
      <c r="Q11" s="18" t="s">
        <v>4453</v>
      </c>
      <c r="R11" s="18" t="s">
        <v>78</v>
      </c>
      <c r="S11" s="18" t="s">
        <v>77</v>
      </c>
      <c r="T11" s="22">
        <v>44915</v>
      </c>
      <c r="U11" s="18"/>
      <c r="V11" s="18" t="s">
        <v>81</v>
      </c>
      <c r="W11" s="18" t="s">
        <v>79</v>
      </c>
      <c r="X11" s="18" t="s">
        <v>10803</v>
      </c>
      <c r="Y11" s="18" t="s">
        <v>630</v>
      </c>
      <c r="Z11" s="18" t="s">
        <v>631</v>
      </c>
      <c r="AA11" s="18" t="s">
        <v>7062</v>
      </c>
      <c r="AB11" s="18" t="s">
        <v>95</v>
      </c>
      <c r="AC11" s="18" t="s">
        <v>7984</v>
      </c>
      <c r="AD11" s="18" t="s">
        <v>10804</v>
      </c>
      <c r="AE11" s="18" t="s">
        <v>174</v>
      </c>
      <c r="AF11" s="18" t="s">
        <v>95</v>
      </c>
      <c r="AG11" s="18" t="s">
        <v>83</v>
      </c>
      <c r="AH11" s="18" t="s">
        <v>83</v>
      </c>
      <c r="AI11" s="18" t="s">
        <v>81</v>
      </c>
      <c r="AJ11" s="18" t="s">
        <v>118</v>
      </c>
      <c r="AK11" s="18" t="s">
        <v>95</v>
      </c>
      <c r="AL11" s="18" t="s">
        <v>10873</v>
      </c>
      <c r="AM11" s="18" t="s">
        <v>85</v>
      </c>
      <c r="AN11" s="18" t="s">
        <v>7031</v>
      </c>
      <c r="AO11" s="18" t="s">
        <v>86</v>
      </c>
      <c r="AP11" s="18" t="s">
        <v>90</v>
      </c>
      <c r="AQ11" s="18" t="s">
        <v>8002</v>
      </c>
      <c r="AR11" s="18" t="s">
        <v>177</v>
      </c>
      <c r="AS11" s="18" t="s">
        <v>139</v>
      </c>
      <c r="AT11" s="18" t="s">
        <v>95</v>
      </c>
      <c r="AU11" s="18" t="s">
        <v>95</v>
      </c>
      <c r="AV11" s="18" t="s">
        <v>7037</v>
      </c>
      <c r="AW11" s="18" t="s">
        <v>95</v>
      </c>
      <c r="AX11" s="18" t="s">
        <v>10806</v>
      </c>
      <c r="AY11" s="18" t="s">
        <v>95</v>
      </c>
      <c r="AZ11" s="18" t="s">
        <v>95</v>
      </c>
      <c r="BA11" s="18" t="s">
        <v>95</v>
      </c>
      <c r="BB11" s="18" t="s">
        <v>95</v>
      </c>
      <c r="BC11" s="18" t="s">
        <v>95</v>
      </c>
      <c r="BD11" s="18" t="s">
        <v>10807</v>
      </c>
      <c r="BE11" s="18" t="s">
        <v>95</v>
      </c>
      <c r="BF11" s="18" t="s">
        <v>10809</v>
      </c>
      <c r="BG11" s="18" t="s">
        <v>7030</v>
      </c>
      <c r="BH11" s="18"/>
      <c r="BI11" s="18"/>
      <c r="BJ11" s="18" t="s">
        <v>630</v>
      </c>
      <c r="BK11" s="18" t="s">
        <v>10893</v>
      </c>
      <c r="BL11" s="18" t="s">
        <v>10811</v>
      </c>
      <c r="BM11" s="18" t="s">
        <v>139</v>
      </c>
      <c r="BN11" s="18" t="s">
        <v>85</v>
      </c>
      <c r="BO11" s="18">
        <v>0</v>
      </c>
      <c r="BP11" s="18" t="s">
        <v>10812</v>
      </c>
      <c r="BQ11" s="18" t="str">
        <f>VLOOKUP(Prepago[[#This Row],[NOM_PLAZA]],[1]!Locales[#Data],3,0)</f>
        <v>TIENDA RECREO</v>
      </c>
      <c r="BR11" s="18" t="str">
        <f>VLOOKUP(Prepago[[#This Row],[CODIGO_USUARIO]],[1]!Personal[#Data],6,0)</f>
        <v>LOAYZA AGUILAR JONATHAN FABIAN</v>
      </c>
      <c r="BS11" s="18">
        <f>DAY(Prepago[[#This Row],[FECHA_ALTA]])</f>
        <v>3</v>
      </c>
    </row>
    <row r="12" spans="1:71" x14ac:dyDescent="0.25">
      <c r="A12" s="18" t="s">
        <v>96</v>
      </c>
      <c r="B12" s="18" t="s">
        <v>10894</v>
      </c>
      <c r="C12" s="18" t="s">
        <v>10895</v>
      </c>
      <c r="D12" s="18" t="s">
        <v>10896</v>
      </c>
      <c r="E12" s="22">
        <v>44905</v>
      </c>
      <c r="F12" s="18" t="s">
        <v>67</v>
      </c>
      <c r="G12" s="18" t="s">
        <v>10897</v>
      </c>
      <c r="H12" s="18" t="s">
        <v>10898</v>
      </c>
      <c r="I12" s="18" t="s">
        <v>70</v>
      </c>
      <c r="J12" s="18" t="s">
        <v>8102</v>
      </c>
      <c r="K12" s="18" t="s">
        <v>8103</v>
      </c>
      <c r="L12" s="18" t="s">
        <v>95</v>
      </c>
      <c r="M12" s="18" t="s">
        <v>7037</v>
      </c>
      <c r="N12" s="18" t="s">
        <v>10899</v>
      </c>
      <c r="O12" s="18" t="s">
        <v>75</v>
      </c>
      <c r="P12" s="18" t="s">
        <v>10900</v>
      </c>
      <c r="Q12" s="18" t="s">
        <v>4453</v>
      </c>
      <c r="R12" s="18" t="s">
        <v>78</v>
      </c>
      <c r="S12" s="18" t="s">
        <v>77</v>
      </c>
      <c r="T12" s="22">
        <v>44915</v>
      </c>
      <c r="U12" s="18"/>
      <c r="V12" s="18" t="s">
        <v>81</v>
      </c>
      <c r="W12" s="18" t="s">
        <v>79</v>
      </c>
      <c r="X12" s="18" t="s">
        <v>10803</v>
      </c>
      <c r="Y12" s="18" t="s">
        <v>303</v>
      </c>
      <c r="Z12" s="18" t="s">
        <v>304</v>
      </c>
      <c r="AA12" s="18" t="s">
        <v>7062</v>
      </c>
      <c r="AB12" s="18" t="s">
        <v>95</v>
      </c>
      <c r="AC12" s="18" t="s">
        <v>7984</v>
      </c>
      <c r="AD12" s="18" t="s">
        <v>10804</v>
      </c>
      <c r="AE12" s="18" t="s">
        <v>174</v>
      </c>
      <c r="AF12" s="18" t="s">
        <v>95</v>
      </c>
      <c r="AG12" s="18" t="s">
        <v>83</v>
      </c>
      <c r="AH12" s="18" t="s">
        <v>83</v>
      </c>
      <c r="AI12" s="18" t="s">
        <v>81</v>
      </c>
      <c r="AJ12" s="18" t="s">
        <v>118</v>
      </c>
      <c r="AK12" s="18" t="s">
        <v>95</v>
      </c>
      <c r="AL12" s="18" t="s">
        <v>10805</v>
      </c>
      <c r="AM12" s="18" t="s">
        <v>85</v>
      </c>
      <c r="AN12" s="18" t="s">
        <v>7031</v>
      </c>
      <c r="AO12" s="18" t="s">
        <v>86</v>
      </c>
      <c r="AP12" s="18" t="s">
        <v>90</v>
      </c>
      <c r="AQ12" s="18" t="s">
        <v>8002</v>
      </c>
      <c r="AR12" s="18" t="s">
        <v>177</v>
      </c>
      <c r="AS12" s="18" t="s">
        <v>139</v>
      </c>
      <c r="AT12" s="18" t="s">
        <v>95</v>
      </c>
      <c r="AU12" s="18" t="s">
        <v>95</v>
      </c>
      <c r="AV12" s="18" t="s">
        <v>7037</v>
      </c>
      <c r="AW12" s="18" t="s">
        <v>95</v>
      </c>
      <c r="AX12" s="18" t="s">
        <v>10806</v>
      </c>
      <c r="AY12" s="18" t="s">
        <v>95</v>
      </c>
      <c r="AZ12" s="18" t="s">
        <v>95</v>
      </c>
      <c r="BA12" s="18" t="s">
        <v>95</v>
      </c>
      <c r="BB12" s="18" t="s">
        <v>95</v>
      </c>
      <c r="BC12" s="18" t="s">
        <v>95</v>
      </c>
      <c r="BD12" s="18" t="s">
        <v>10807</v>
      </c>
      <c r="BE12" s="18" t="s">
        <v>10901</v>
      </c>
      <c r="BF12" s="18" t="s">
        <v>10809</v>
      </c>
      <c r="BG12" s="18" t="s">
        <v>7030</v>
      </c>
      <c r="BH12" s="18"/>
      <c r="BI12" s="18"/>
      <c r="BJ12" s="18" t="s">
        <v>303</v>
      </c>
      <c r="BK12" s="18" t="s">
        <v>10902</v>
      </c>
      <c r="BL12" s="18" t="s">
        <v>10811</v>
      </c>
      <c r="BM12" s="18" t="s">
        <v>139</v>
      </c>
      <c r="BN12" s="18" t="s">
        <v>85</v>
      </c>
      <c r="BO12" s="18">
        <v>1</v>
      </c>
      <c r="BP12" s="18" t="s">
        <v>10812</v>
      </c>
      <c r="BQ12" s="18" t="str">
        <f>VLOOKUP(Prepago[[#This Row],[NOM_PLAZA]],[1]!Locales[#Data],3,0)</f>
        <v>TIENDA RECREO</v>
      </c>
      <c r="BR12" s="18" t="str">
        <f>VLOOKUP(Prepago[[#This Row],[CODIGO_USUARIO]],[1]!Personal[#Data],6,0)</f>
        <v>CORDOVA GAIBOR JONATHAN HERNAN</v>
      </c>
      <c r="BS12" s="18">
        <f>DAY(Prepago[[#This Row],[FECHA_ALTA]])</f>
        <v>10</v>
      </c>
    </row>
    <row r="13" spans="1:71" x14ac:dyDescent="0.25">
      <c r="A13" s="18" t="s">
        <v>96</v>
      </c>
      <c r="B13" s="18" t="s">
        <v>10903</v>
      </c>
      <c r="C13" s="18" t="s">
        <v>10904</v>
      </c>
      <c r="D13" s="18" t="s">
        <v>10905</v>
      </c>
      <c r="E13" s="22">
        <v>44902</v>
      </c>
      <c r="F13" s="18" t="s">
        <v>67</v>
      </c>
      <c r="G13" s="18" t="s">
        <v>10906</v>
      </c>
      <c r="H13" s="18" t="s">
        <v>10907</v>
      </c>
      <c r="I13" s="18" t="s">
        <v>193</v>
      </c>
      <c r="J13" s="18" t="s">
        <v>8102</v>
      </c>
      <c r="K13" s="18" t="s">
        <v>8103</v>
      </c>
      <c r="L13" s="18" t="s">
        <v>2316</v>
      </c>
      <c r="M13" s="18" t="s">
        <v>7037</v>
      </c>
      <c r="N13" s="18" t="s">
        <v>10908</v>
      </c>
      <c r="O13" s="18" t="s">
        <v>75</v>
      </c>
      <c r="P13" s="18" t="s">
        <v>10909</v>
      </c>
      <c r="Q13" s="18" t="s">
        <v>10817</v>
      </c>
      <c r="R13" s="18" t="s">
        <v>78</v>
      </c>
      <c r="S13" s="18" t="s">
        <v>77</v>
      </c>
      <c r="T13" s="22">
        <v>44915</v>
      </c>
      <c r="U13" s="18"/>
      <c r="V13" s="18" t="s">
        <v>81</v>
      </c>
      <c r="W13" s="18" t="s">
        <v>79</v>
      </c>
      <c r="X13" s="18" t="s">
        <v>10803</v>
      </c>
      <c r="Y13" s="18" t="s">
        <v>396</v>
      </c>
      <c r="Z13" s="18" t="s">
        <v>397</v>
      </c>
      <c r="AA13" s="18" t="s">
        <v>7062</v>
      </c>
      <c r="AB13" s="18" t="s">
        <v>95</v>
      </c>
      <c r="AC13" s="18" t="s">
        <v>7984</v>
      </c>
      <c r="AD13" s="18" t="s">
        <v>10804</v>
      </c>
      <c r="AE13" s="18" t="s">
        <v>174</v>
      </c>
      <c r="AF13" s="18" t="s">
        <v>95</v>
      </c>
      <c r="AG13" s="18" t="s">
        <v>83</v>
      </c>
      <c r="AH13" s="18" t="s">
        <v>83</v>
      </c>
      <c r="AI13" s="18" t="s">
        <v>81</v>
      </c>
      <c r="AJ13" s="18" t="s">
        <v>118</v>
      </c>
      <c r="AK13" s="18" t="s">
        <v>95</v>
      </c>
      <c r="AL13" s="18" t="s">
        <v>10910</v>
      </c>
      <c r="AM13" s="18" t="s">
        <v>85</v>
      </c>
      <c r="AN13" s="18" t="s">
        <v>7031</v>
      </c>
      <c r="AO13" s="18" t="s">
        <v>86</v>
      </c>
      <c r="AP13" s="18" t="s">
        <v>90</v>
      </c>
      <c r="AQ13" s="18" t="s">
        <v>8002</v>
      </c>
      <c r="AR13" s="18" t="s">
        <v>177</v>
      </c>
      <c r="AS13" s="18" t="s">
        <v>139</v>
      </c>
      <c r="AT13" s="18" t="s">
        <v>95</v>
      </c>
      <c r="AU13" s="18" t="s">
        <v>95</v>
      </c>
      <c r="AV13" s="18" t="s">
        <v>7037</v>
      </c>
      <c r="AW13" s="18" t="s">
        <v>95</v>
      </c>
      <c r="AX13" s="18" t="s">
        <v>10806</v>
      </c>
      <c r="AY13" s="18" t="s">
        <v>95</v>
      </c>
      <c r="AZ13" s="18" t="s">
        <v>95</v>
      </c>
      <c r="BA13" s="18" t="s">
        <v>95</v>
      </c>
      <c r="BB13" s="18" t="s">
        <v>95</v>
      </c>
      <c r="BC13" s="18" t="s">
        <v>95</v>
      </c>
      <c r="BD13" s="18" t="s">
        <v>10829</v>
      </c>
      <c r="BE13" s="18" t="s">
        <v>10911</v>
      </c>
      <c r="BF13" s="18" t="s">
        <v>10809</v>
      </c>
      <c r="BG13" s="18" t="s">
        <v>7030</v>
      </c>
      <c r="BH13" s="18"/>
      <c r="BI13" s="18"/>
      <c r="BJ13" s="18" t="s">
        <v>396</v>
      </c>
      <c r="BK13" s="18" t="s">
        <v>10912</v>
      </c>
      <c r="BL13" s="18" t="s">
        <v>10811</v>
      </c>
      <c r="BM13" s="18" t="s">
        <v>139</v>
      </c>
      <c r="BN13" s="18" t="s">
        <v>85</v>
      </c>
      <c r="BO13" s="18">
        <v>1</v>
      </c>
      <c r="BP13" s="18" t="s">
        <v>10812</v>
      </c>
      <c r="BQ13" s="18" t="str">
        <f>VLOOKUP(Prepago[[#This Row],[NOM_PLAZA]],[1]!Locales[#Data],3,0)</f>
        <v>TIENDA RECREO</v>
      </c>
      <c r="BR13" s="18" t="str">
        <f>VLOOKUP(Prepago[[#This Row],[CODIGO_USUARIO]],[1]!Personal[#Data],6,0)</f>
        <v>VINUEZA VELASCO ANGY DAYANA</v>
      </c>
      <c r="BS13" s="18">
        <f>DAY(Prepago[[#This Row],[FECHA_ALTA]])</f>
        <v>7</v>
      </c>
    </row>
    <row r="14" spans="1:71" x14ac:dyDescent="0.25">
      <c r="A14" s="18" t="s">
        <v>96</v>
      </c>
      <c r="B14" s="18" t="s">
        <v>10913</v>
      </c>
      <c r="C14" s="18" t="s">
        <v>10914</v>
      </c>
      <c r="D14" s="18" t="s">
        <v>10915</v>
      </c>
      <c r="E14" s="22">
        <v>44903</v>
      </c>
      <c r="F14" s="18" t="s">
        <v>67</v>
      </c>
      <c r="G14" s="18" t="s">
        <v>10916</v>
      </c>
      <c r="H14" s="18" t="s">
        <v>10917</v>
      </c>
      <c r="I14" s="18" t="s">
        <v>70</v>
      </c>
      <c r="J14" s="18" t="s">
        <v>8102</v>
      </c>
      <c r="K14" s="18" t="s">
        <v>8103</v>
      </c>
      <c r="L14" s="18" t="s">
        <v>132</v>
      </c>
      <c r="M14" s="18" t="s">
        <v>7037</v>
      </c>
      <c r="N14" s="18" t="s">
        <v>10918</v>
      </c>
      <c r="O14" s="18" t="s">
        <v>75</v>
      </c>
      <c r="P14" s="18" t="s">
        <v>10919</v>
      </c>
      <c r="Q14" s="18" t="s">
        <v>4453</v>
      </c>
      <c r="R14" s="18" t="s">
        <v>78</v>
      </c>
      <c r="S14" s="18" t="s">
        <v>77</v>
      </c>
      <c r="T14" s="22">
        <v>44915</v>
      </c>
      <c r="U14" s="18"/>
      <c r="V14" s="18" t="s">
        <v>81</v>
      </c>
      <c r="W14" s="18" t="s">
        <v>79</v>
      </c>
      <c r="X14" s="18" t="s">
        <v>10803</v>
      </c>
      <c r="Y14" s="18" t="s">
        <v>187</v>
      </c>
      <c r="Z14" s="18" t="s">
        <v>188</v>
      </c>
      <c r="AA14" s="18" t="s">
        <v>7062</v>
      </c>
      <c r="AB14" s="18" t="s">
        <v>95</v>
      </c>
      <c r="AC14" s="18" t="s">
        <v>7984</v>
      </c>
      <c r="AD14" s="18" t="s">
        <v>10804</v>
      </c>
      <c r="AE14" s="18" t="s">
        <v>174</v>
      </c>
      <c r="AF14" s="18" t="s">
        <v>95</v>
      </c>
      <c r="AG14" s="18" t="s">
        <v>83</v>
      </c>
      <c r="AH14" s="18" t="s">
        <v>83</v>
      </c>
      <c r="AI14" s="18" t="s">
        <v>81</v>
      </c>
      <c r="AJ14" s="18" t="s">
        <v>118</v>
      </c>
      <c r="AK14" s="18" t="s">
        <v>95</v>
      </c>
      <c r="AL14" s="18" t="s">
        <v>10920</v>
      </c>
      <c r="AM14" s="18" t="s">
        <v>85</v>
      </c>
      <c r="AN14" s="18" t="s">
        <v>7031</v>
      </c>
      <c r="AO14" s="18" t="s">
        <v>86</v>
      </c>
      <c r="AP14" s="18" t="s">
        <v>90</v>
      </c>
      <c r="AQ14" s="18" t="s">
        <v>8002</v>
      </c>
      <c r="AR14" s="18" t="s">
        <v>177</v>
      </c>
      <c r="AS14" s="18" t="s">
        <v>139</v>
      </c>
      <c r="AT14" s="18" t="s">
        <v>95</v>
      </c>
      <c r="AU14" s="18" t="s">
        <v>95</v>
      </c>
      <c r="AV14" s="18" t="s">
        <v>7037</v>
      </c>
      <c r="AW14" s="18" t="s">
        <v>95</v>
      </c>
      <c r="AX14" s="18" t="s">
        <v>10806</v>
      </c>
      <c r="AY14" s="18" t="s">
        <v>95</v>
      </c>
      <c r="AZ14" s="18" t="s">
        <v>95</v>
      </c>
      <c r="BA14" s="18" t="s">
        <v>95</v>
      </c>
      <c r="BB14" s="18" t="s">
        <v>95</v>
      </c>
      <c r="BC14" s="18" t="s">
        <v>95</v>
      </c>
      <c r="BD14" s="18" t="s">
        <v>10829</v>
      </c>
      <c r="BE14" s="18" t="s">
        <v>10921</v>
      </c>
      <c r="BF14" s="18" t="s">
        <v>10809</v>
      </c>
      <c r="BG14" s="18" t="s">
        <v>7030</v>
      </c>
      <c r="BH14" s="18"/>
      <c r="BI14" s="18"/>
      <c r="BJ14" s="18" t="s">
        <v>187</v>
      </c>
      <c r="BK14" s="18" t="s">
        <v>10922</v>
      </c>
      <c r="BL14" s="18" t="s">
        <v>10811</v>
      </c>
      <c r="BM14" s="18" t="s">
        <v>139</v>
      </c>
      <c r="BN14" s="18" t="s">
        <v>85</v>
      </c>
      <c r="BO14" s="18">
        <v>0</v>
      </c>
      <c r="BP14" s="18" t="s">
        <v>10812</v>
      </c>
      <c r="BQ14" s="18" t="str">
        <f>VLOOKUP(Prepago[[#This Row],[NOM_PLAZA]],[1]!Locales[#Data],3,0)</f>
        <v>TIENDA RECREO</v>
      </c>
      <c r="BR14" s="18" t="str">
        <f>VLOOKUP(Prepago[[#This Row],[CODIGO_USUARIO]],[1]!Personal[#Data],6,0)</f>
        <v>ESPINOZA MARTINES LAURA XIOMARA</v>
      </c>
      <c r="BS14" s="18">
        <f>DAY(Prepago[[#This Row],[FECHA_ALTA]])</f>
        <v>8</v>
      </c>
    </row>
    <row r="15" spans="1:71" x14ac:dyDescent="0.25">
      <c r="A15" s="18" t="s">
        <v>96</v>
      </c>
      <c r="B15" s="18" t="s">
        <v>10923</v>
      </c>
      <c r="C15" s="18" t="s">
        <v>10924</v>
      </c>
      <c r="D15" s="18" t="s">
        <v>10925</v>
      </c>
      <c r="E15" s="22">
        <v>44907</v>
      </c>
      <c r="F15" s="18" t="s">
        <v>67</v>
      </c>
      <c r="G15" s="18" t="s">
        <v>6183</v>
      </c>
      <c r="H15" s="18" t="s">
        <v>6184</v>
      </c>
      <c r="I15" s="18" t="s">
        <v>70</v>
      </c>
      <c r="J15" s="18" t="s">
        <v>8102</v>
      </c>
      <c r="K15" s="18" t="s">
        <v>8103</v>
      </c>
      <c r="L15" s="18" t="s">
        <v>132</v>
      </c>
      <c r="M15" s="18" t="s">
        <v>7037</v>
      </c>
      <c r="N15" s="18" t="s">
        <v>10926</v>
      </c>
      <c r="O15" s="18" t="s">
        <v>75</v>
      </c>
      <c r="P15" s="18" t="s">
        <v>10927</v>
      </c>
      <c r="Q15" s="18" t="s">
        <v>1532</v>
      </c>
      <c r="R15" s="18" t="s">
        <v>78</v>
      </c>
      <c r="S15" s="18" t="s">
        <v>77</v>
      </c>
      <c r="T15" s="22">
        <v>44915</v>
      </c>
      <c r="U15" s="18"/>
      <c r="V15" s="18" t="s">
        <v>81</v>
      </c>
      <c r="W15" s="18" t="s">
        <v>79</v>
      </c>
      <c r="X15" s="18" t="s">
        <v>10803</v>
      </c>
      <c r="Y15" s="18" t="s">
        <v>303</v>
      </c>
      <c r="Z15" s="18" t="s">
        <v>304</v>
      </c>
      <c r="AA15" s="18" t="s">
        <v>7062</v>
      </c>
      <c r="AB15" s="18" t="s">
        <v>95</v>
      </c>
      <c r="AC15" s="18" t="s">
        <v>7984</v>
      </c>
      <c r="AD15" s="18" t="s">
        <v>10804</v>
      </c>
      <c r="AE15" s="18" t="s">
        <v>174</v>
      </c>
      <c r="AF15" s="18" t="s">
        <v>95</v>
      </c>
      <c r="AG15" s="18" t="s">
        <v>83</v>
      </c>
      <c r="AH15" s="18" t="s">
        <v>83</v>
      </c>
      <c r="AI15" s="18" t="s">
        <v>81</v>
      </c>
      <c r="AJ15" s="18" t="s">
        <v>118</v>
      </c>
      <c r="AK15" s="18" t="s">
        <v>95</v>
      </c>
      <c r="AL15" s="18" t="s">
        <v>10805</v>
      </c>
      <c r="AM15" s="18" t="s">
        <v>85</v>
      </c>
      <c r="AN15" s="18" t="s">
        <v>7031</v>
      </c>
      <c r="AO15" s="18" t="s">
        <v>86</v>
      </c>
      <c r="AP15" s="18" t="s">
        <v>90</v>
      </c>
      <c r="AQ15" s="18" t="s">
        <v>8002</v>
      </c>
      <c r="AR15" s="18" t="s">
        <v>177</v>
      </c>
      <c r="AS15" s="18" t="s">
        <v>139</v>
      </c>
      <c r="AT15" s="18" t="s">
        <v>95</v>
      </c>
      <c r="AU15" s="18" t="s">
        <v>95</v>
      </c>
      <c r="AV15" s="18" t="s">
        <v>7037</v>
      </c>
      <c r="AW15" s="18" t="s">
        <v>95</v>
      </c>
      <c r="AX15" s="18" t="s">
        <v>10806</v>
      </c>
      <c r="AY15" s="18" t="s">
        <v>95</v>
      </c>
      <c r="AZ15" s="18" t="s">
        <v>95</v>
      </c>
      <c r="BA15" s="18" t="s">
        <v>95</v>
      </c>
      <c r="BB15" s="18" t="s">
        <v>95</v>
      </c>
      <c r="BC15" s="18" t="s">
        <v>95</v>
      </c>
      <c r="BD15" s="18" t="s">
        <v>10807</v>
      </c>
      <c r="BE15" s="18" t="s">
        <v>10928</v>
      </c>
      <c r="BF15" s="18" t="s">
        <v>10809</v>
      </c>
      <c r="BG15" s="18" t="s">
        <v>7030</v>
      </c>
      <c r="BH15" s="18"/>
      <c r="BI15" s="18"/>
      <c r="BJ15" s="18" t="s">
        <v>303</v>
      </c>
      <c r="BK15" s="18" t="s">
        <v>10929</v>
      </c>
      <c r="BL15" s="18" t="s">
        <v>10811</v>
      </c>
      <c r="BM15" s="18" t="s">
        <v>139</v>
      </c>
      <c r="BN15" s="18" t="s">
        <v>85</v>
      </c>
      <c r="BO15" s="18">
        <v>0</v>
      </c>
      <c r="BP15" s="18" t="s">
        <v>10812</v>
      </c>
      <c r="BQ15" s="18" t="str">
        <f>VLOOKUP(Prepago[[#This Row],[NOM_PLAZA]],[1]!Locales[#Data],3,0)</f>
        <v>TIENDA RECREO</v>
      </c>
      <c r="BR15" s="18" t="str">
        <f>VLOOKUP(Prepago[[#This Row],[CODIGO_USUARIO]],[1]!Personal[#Data],6,0)</f>
        <v>CORDOVA GAIBOR JONATHAN HERNAN</v>
      </c>
      <c r="BS15" s="18">
        <f>DAY(Prepago[[#This Row],[FECHA_ALTA]])</f>
        <v>12</v>
      </c>
    </row>
    <row r="16" spans="1:71" x14ac:dyDescent="0.25">
      <c r="A16" s="18" t="s">
        <v>96</v>
      </c>
      <c r="B16" s="18" t="s">
        <v>10930</v>
      </c>
      <c r="C16" s="18" t="s">
        <v>10931</v>
      </c>
      <c r="D16" s="18" t="s">
        <v>10932</v>
      </c>
      <c r="E16" s="22">
        <v>44897</v>
      </c>
      <c r="F16" s="18" t="s">
        <v>67</v>
      </c>
      <c r="G16" s="18" t="s">
        <v>10933</v>
      </c>
      <c r="H16" s="18" t="s">
        <v>10934</v>
      </c>
      <c r="I16" s="18" t="s">
        <v>70</v>
      </c>
      <c r="J16" s="18" t="s">
        <v>8102</v>
      </c>
      <c r="K16" s="18" t="s">
        <v>8103</v>
      </c>
      <c r="L16" s="18" t="s">
        <v>560</v>
      </c>
      <c r="M16" s="18" t="s">
        <v>7037</v>
      </c>
      <c r="N16" s="18" t="s">
        <v>10935</v>
      </c>
      <c r="O16" s="18" t="s">
        <v>75</v>
      </c>
      <c r="P16" s="18" t="s">
        <v>10936</v>
      </c>
      <c r="Q16" s="18" t="s">
        <v>10817</v>
      </c>
      <c r="R16" s="18" t="s">
        <v>78</v>
      </c>
      <c r="S16" s="18" t="s">
        <v>77</v>
      </c>
      <c r="T16" s="22">
        <v>44915</v>
      </c>
      <c r="U16" s="18"/>
      <c r="V16" s="18" t="s">
        <v>81</v>
      </c>
      <c r="W16" s="18" t="s">
        <v>79</v>
      </c>
      <c r="X16" s="18" t="s">
        <v>10803</v>
      </c>
      <c r="Y16" s="18" t="s">
        <v>396</v>
      </c>
      <c r="Z16" s="18" t="s">
        <v>397</v>
      </c>
      <c r="AA16" s="18" t="s">
        <v>7062</v>
      </c>
      <c r="AB16" s="18" t="s">
        <v>95</v>
      </c>
      <c r="AC16" s="18" t="s">
        <v>7984</v>
      </c>
      <c r="AD16" s="18" t="s">
        <v>10804</v>
      </c>
      <c r="AE16" s="18" t="s">
        <v>174</v>
      </c>
      <c r="AF16" s="18" t="s">
        <v>95</v>
      </c>
      <c r="AG16" s="18" t="s">
        <v>83</v>
      </c>
      <c r="AH16" s="18" t="s">
        <v>83</v>
      </c>
      <c r="AI16" s="18" t="s">
        <v>81</v>
      </c>
      <c r="AJ16" s="18" t="s">
        <v>118</v>
      </c>
      <c r="AK16" s="18" t="s">
        <v>95</v>
      </c>
      <c r="AL16" s="18" t="s">
        <v>10910</v>
      </c>
      <c r="AM16" s="18" t="s">
        <v>85</v>
      </c>
      <c r="AN16" s="18" t="s">
        <v>7031</v>
      </c>
      <c r="AO16" s="18" t="s">
        <v>86</v>
      </c>
      <c r="AP16" s="18" t="s">
        <v>90</v>
      </c>
      <c r="AQ16" s="18" t="s">
        <v>8002</v>
      </c>
      <c r="AR16" s="18" t="s">
        <v>177</v>
      </c>
      <c r="AS16" s="18" t="s">
        <v>139</v>
      </c>
      <c r="AT16" s="18" t="s">
        <v>95</v>
      </c>
      <c r="AU16" s="18" t="s">
        <v>95</v>
      </c>
      <c r="AV16" s="18" t="s">
        <v>7037</v>
      </c>
      <c r="AW16" s="18" t="s">
        <v>95</v>
      </c>
      <c r="AX16" s="18" t="s">
        <v>10806</v>
      </c>
      <c r="AY16" s="18" t="s">
        <v>95</v>
      </c>
      <c r="AZ16" s="18" t="s">
        <v>95</v>
      </c>
      <c r="BA16" s="18" t="s">
        <v>95</v>
      </c>
      <c r="BB16" s="18" t="s">
        <v>95</v>
      </c>
      <c r="BC16" s="18" t="s">
        <v>95</v>
      </c>
      <c r="BD16" s="18" t="s">
        <v>10829</v>
      </c>
      <c r="BE16" s="18" t="s">
        <v>10937</v>
      </c>
      <c r="BF16" s="18" t="s">
        <v>10809</v>
      </c>
      <c r="BG16" s="18" t="s">
        <v>7030</v>
      </c>
      <c r="BH16" s="18"/>
      <c r="BI16" s="18"/>
      <c r="BJ16" s="18" t="s">
        <v>396</v>
      </c>
      <c r="BK16" s="18" t="s">
        <v>10938</v>
      </c>
      <c r="BL16" s="18" t="s">
        <v>10811</v>
      </c>
      <c r="BM16" s="18" t="s">
        <v>139</v>
      </c>
      <c r="BN16" s="18" t="s">
        <v>85</v>
      </c>
      <c r="BO16" s="18">
        <v>1</v>
      </c>
      <c r="BP16" s="18" t="s">
        <v>10812</v>
      </c>
      <c r="BQ16" s="18" t="str">
        <f>VLOOKUP(Prepago[[#This Row],[NOM_PLAZA]],[1]!Locales[#Data],3,0)</f>
        <v>TIENDA RECREO</v>
      </c>
      <c r="BR16" s="18" t="str">
        <f>VLOOKUP(Prepago[[#This Row],[CODIGO_USUARIO]],[1]!Personal[#Data],6,0)</f>
        <v>VINUEZA VELASCO ANGY DAYANA</v>
      </c>
      <c r="BS16" s="18">
        <f>DAY(Prepago[[#This Row],[FECHA_ALTA]])</f>
        <v>2</v>
      </c>
    </row>
    <row r="17" spans="1:71" x14ac:dyDescent="0.25">
      <c r="A17" s="18" t="s">
        <v>96</v>
      </c>
      <c r="B17" s="18" t="s">
        <v>10939</v>
      </c>
      <c r="C17" s="18" t="s">
        <v>10940</v>
      </c>
      <c r="D17" s="18" t="s">
        <v>10941</v>
      </c>
      <c r="E17" s="22">
        <v>44904</v>
      </c>
      <c r="F17" s="18" t="s">
        <v>67</v>
      </c>
      <c r="G17" s="18" t="s">
        <v>10942</v>
      </c>
      <c r="H17" s="18" t="s">
        <v>10943</v>
      </c>
      <c r="I17" s="18" t="s">
        <v>70</v>
      </c>
      <c r="J17" s="18" t="s">
        <v>8102</v>
      </c>
      <c r="K17" s="18" t="s">
        <v>8103</v>
      </c>
      <c r="L17" s="18" t="s">
        <v>73</v>
      </c>
      <c r="M17" s="18" t="s">
        <v>7037</v>
      </c>
      <c r="N17" s="18" t="s">
        <v>10944</v>
      </c>
      <c r="O17" s="18" t="s">
        <v>75</v>
      </c>
      <c r="P17" s="18" t="s">
        <v>10945</v>
      </c>
      <c r="Q17" s="18" t="s">
        <v>10817</v>
      </c>
      <c r="R17" s="18" t="s">
        <v>78</v>
      </c>
      <c r="S17" s="18" t="s">
        <v>77</v>
      </c>
      <c r="T17" s="22">
        <v>44915</v>
      </c>
      <c r="U17" s="18"/>
      <c r="V17" s="18" t="s">
        <v>81</v>
      </c>
      <c r="W17" s="18" t="s">
        <v>79</v>
      </c>
      <c r="X17" s="18" t="s">
        <v>10803</v>
      </c>
      <c r="Y17" s="18" t="s">
        <v>740</v>
      </c>
      <c r="Z17" s="18" t="s">
        <v>741</v>
      </c>
      <c r="AA17" s="18" t="s">
        <v>7062</v>
      </c>
      <c r="AB17" s="18" t="s">
        <v>95</v>
      </c>
      <c r="AC17" s="18" t="s">
        <v>7984</v>
      </c>
      <c r="AD17" s="18" t="s">
        <v>10804</v>
      </c>
      <c r="AE17" s="18" t="s">
        <v>174</v>
      </c>
      <c r="AF17" s="18" t="s">
        <v>95</v>
      </c>
      <c r="AG17" s="18" t="s">
        <v>83</v>
      </c>
      <c r="AH17" s="18" t="s">
        <v>83</v>
      </c>
      <c r="AI17" s="18" t="s">
        <v>81</v>
      </c>
      <c r="AJ17" s="18" t="s">
        <v>118</v>
      </c>
      <c r="AK17" s="18" t="s">
        <v>95</v>
      </c>
      <c r="AL17" s="18" t="s">
        <v>10946</v>
      </c>
      <c r="AM17" s="18" t="s">
        <v>85</v>
      </c>
      <c r="AN17" s="18" t="s">
        <v>7031</v>
      </c>
      <c r="AO17" s="18" t="s">
        <v>86</v>
      </c>
      <c r="AP17" s="18" t="s">
        <v>90</v>
      </c>
      <c r="AQ17" s="18" t="s">
        <v>8002</v>
      </c>
      <c r="AR17" s="18" t="s">
        <v>177</v>
      </c>
      <c r="AS17" s="18" t="s">
        <v>139</v>
      </c>
      <c r="AT17" s="18" t="s">
        <v>95</v>
      </c>
      <c r="AU17" s="18" t="s">
        <v>95</v>
      </c>
      <c r="AV17" s="18" t="s">
        <v>7037</v>
      </c>
      <c r="AW17" s="18" t="s">
        <v>95</v>
      </c>
      <c r="AX17" s="18" t="s">
        <v>10806</v>
      </c>
      <c r="AY17" s="18" t="s">
        <v>95</v>
      </c>
      <c r="AZ17" s="18" t="s">
        <v>95</v>
      </c>
      <c r="BA17" s="18" t="s">
        <v>95</v>
      </c>
      <c r="BB17" s="18" t="s">
        <v>95</v>
      </c>
      <c r="BC17" s="18" t="s">
        <v>95</v>
      </c>
      <c r="BD17" s="18" t="s">
        <v>10829</v>
      </c>
      <c r="BE17" s="18" t="s">
        <v>10808</v>
      </c>
      <c r="BF17" s="18" t="s">
        <v>10809</v>
      </c>
      <c r="BG17" s="18" t="s">
        <v>7030</v>
      </c>
      <c r="BH17" s="18"/>
      <c r="BI17" s="18"/>
      <c r="BJ17" s="18" t="s">
        <v>740</v>
      </c>
      <c r="BK17" s="18" t="s">
        <v>10947</v>
      </c>
      <c r="BL17" s="18" t="s">
        <v>10811</v>
      </c>
      <c r="BM17" s="18" t="s">
        <v>139</v>
      </c>
      <c r="BN17" s="18" t="s">
        <v>85</v>
      </c>
      <c r="BO17" s="18">
        <v>1</v>
      </c>
      <c r="BP17" s="18" t="s">
        <v>10812</v>
      </c>
      <c r="BQ17" s="18" t="str">
        <f>VLOOKUP(Prepago[[#This Row],[NOM_PLAZA]],[1]!Locales[#Data],3,0)</f>
        <v>TIENDA RECREO</v>
      </c>
      <c r="BR17" s="18" t="str">
        <f>VLOOKUP(Prepago[[#This Row],[CODIGO_USUARIO]],[1]!Personal[#Data],6,0)</f>
        <v>CHAVEZ VASQUEZ YESSENIA KATHERINE</v>
      </c>
      <c r="BS17" s="18">
        <f>DAY(Prepago[[#This Row],[FECHA_ALTA]])</f>
        <v>9</v>
      </c>
    </row>
    <row r="18" spans="1:71" x14ac:dyDescent="0.25">
      <c r="A18" s="18" t="s">
        <v>96</v>
      </c>
      <c r="B18" s="18" t="s">
        <v>10948</v>
      </c>
      <c r="C18" s="18" t="s">
        <v>10949</v>
      </c>
      <c r="D18" s="18" t="s">
        <v>10950</v>
      </c>
      <c r="E18" s="22">
        <v>44901</v>
      </c>
      <c r="F18" s="18" t="s">
        <v>67</v>
      </c>
      <c r="G18" s="18" t="s">
        <v>10951</v>
      </c>
      <c r="H18" s="18" t="s">
        <v>10952</v>
      </c>
      <c r="I18" s="18" t="s">
        <v>70</v>
      </c>
      <c r="J18" s="18" t="s">
        <v>8102</v>
      </c>
      <c r="K18" s="18" t="s">
        <v>8103</v>
      </c>
      <c r="L18" s="18" t="s">
        <v>95</v>
      </c>
      <c r="M18" s="18" t="s">
        <v>7037</v>
      </c>
      <c r="N18" s="18" t="s">
        <v>10953</v>
      </c>
      <c r="O18" s="18" t="s">
        <v>75</v>
      </c>
      <c r="P18" s="18" t="s">
        <v>10954</v>
      </c>
      <c r="Q18" s="18" t="s">
        <v>10817</v>
      </c>
      <c r="R18" s="18" t="s">
        <v>78</v>
      </c>
      <c r="S18" s="18" t="s">
        <v>77</v>
      </c>
      <c r="T18" s="22">
        <v>44915</v>
      </c>
      <c r="U18" s="18"/>
      <c r="V18" s="18" t="s">
        <v>81</v>
      </c>
      <c r="W18" s="18" t="s">
        <v>79</v>
      </c>
      <c r="X18" s="18" t="s">
        <v>10803</v>
      </c>
      <c r="Y18" s="18" t="s">
        <v>262</v>
      </c>
      <c r="Z18" s="18" t="s">
        <v>263</v>
      </c>
      <c r="AA18" s="18" t="s">
        <v>7062</v>
      </c>
      <c r="AB18" s="18" t="s">
        <v>95</v>
      </c>
      <c r="AC18" s="18" t="s">
        <v>7984</v>
      </c>
      <c r="AD18" s="18" t="s">
        <v>10804</v>
      </c>
      <c r="AE18" s="18" t="s">
        <v>174</v>
      </c>
      <c r="AF18" s="18" t="s">
        <v>95</v>
      </c>
      <c r="AG18" s="18" t="s">
        <v>83</v>
      </c>
      <c r="AH18" s="18" t="s">
        <v>83</v>
      </c>
      <c r="AI18" s="18" t="s">
        <v>81</v>
      </c>
      <c r="AJ18" s="18" t="s">
        <v>118</v>
      </c>
      <c r="AK18" s="18" t="s">
        <v>95</v>
      </c>
      <c r="AL18" s="18" t="s">
        <v>10883</v>
      </c>
      <c r="AM18" s="18" t="s">
        <v>85</v>
      </c>
      <c r="AN18" s="18" t="s">
        <v>7031</v>
      </c>
      <c r="AO18" s="18" t="s">
        <v>86</v>
      </c>
      <c r="AP18" s="18" t="s">
        <v>90</v>
      </c>
      <c r="AQ18" s="18" t="s">
        <v>8002</v>
      </c>
      <c r="AR18" s="18" t="s">
        <v>177</v>
      </c>
      <c r="AS18" s="18" t="s">
        <v>139</v>
      </c>
      <c r="AT18" s="18" t="s">
        <v>95</v>
      </c>
      <c r="AU18" s="18" t="s">
        <v>95</v>
      </c>
      <c r="AV18" s="18" t="s">
        <v>7037</v>
      </c>
      <c r="AW18" s="18" t="s">
        <v>95</v>
      </c>
      <c r="AX18" s="18" t="s">
        <v>10806</v>
      </c>
      <c r="AY18" s="18" t="s">
        <v>95</v>
      </c>
      <c r="AZ18" s="18" t="s">
        <v>95</v>
      </c>
      <c r="BA18" s="18" t="s">
        <v>95</v>
      </c>
      <c r="BB18" s="18" t="s">
        <v>95</v>
      </c>
      <c r="BC18" s="18" t="s">
        <v>95</v>
      </c>
      <c r="BD18" s="18" t="s">
        <v>10829</v>
      </c>
      <c r="BE18" s="18" t="s">
        <v>10955</v>
      </c>
      <c r="BF18" s="18" t="s">
        <v>10809</v>
      </c>
      <c r="BG18" s="18" t="s">
        <v>7030</v>
      </c>
      <c r="BH18" s="18"/>
      <c r="BI18" s="18"/>
      <c r="BJ18" s="18" t="s">
        <v>262</v>
      </c>
      <c r="BK18" s="18" t="s">
        <v>10956</v>
      </c>
      <c r="BL18" s="18" t="s">
        <v>10811</v>
      </c>
      <c r="BM18" s="18" t="s">
        <v>139</v>
      </c>
      <c r="BN18" s="18" t="s">
        <v>85</v>
      </c>
      <c r="BO18" s="18">
        <v>1</v>
      </c>
      <c r="BP18" s="18" t="s">
        <v>10812</v>
      </c>
      <c r="BQ18" s="18" t="str">
        <f>VLOOKUP(Prepago[[#This Row],[NOM_PLAZA]],[1]!Locales[#Data],3,0)</f>
        <v>TIENDA RECREO</v>
      </c>
      <c r="BR18" s="18" t="str">
        <f>VLOOKUP(Prepago[[#This Row],[CODIGO_USUARIO]],[1]!Personal[#Data],6,0)</f>
        <v>CHICAIZA TOAPANTA ALEX DANILO</v>
      </c>
      <c r="BS18" s="18">
        <f>DAY(Prepago[[#This Row],[FECHA_ALTA]])</f>
        <v>6</v>
      </c>
    </row>
    <row r="19" spans="1:71" x14ac:dyDescent="0.25">
      <c r="A19" s="18" t="s">
        <v>96</v>
      </c>
      <c r="B19" s="18" t="s">
        <v>10957</v>
      </c>
      <c r="C19" s="18" t="s">
        <v>10958</v>
      </c>
      <c r="D19" s="18" t="s">
        <v>10959</v>
      </c>
      <c r="E19" s="22">
        <v>44911</v>
      </c>
      <c r="F19" s="18" t="s">
        <v>67</v>
      </c>
      <c r="G19" s="18" t="s">
        <v>10960</v>
      </c>
      <c r="H19" s="18" t="s">
        <v>10961</v>
      </c>
      <c r="I19" s="18" t="s">
        <v>70</v>
      </c>
      <c r="J19" s="18" t="s">
        <v>8102</v>
      </c>
      <c r="K19" s="18" t="s">
        <v>8103</v>
      </c>
      <c r="L19" s="18" t="s">
        <v>132</v>
      </c>
      <c r="M19" s="18" t="s">
        <v>7037</v>
      </c>
      <c r="N19" s="18" t="s">
        <v>10962</v>
      </c>
      <c r="O19" s="18" t="s">
        <v>75</v>
      </c>
      <c r="P19" s="18" t="s">
        <v>10963</v>
      </c>
      <c r="Q19" s="18" t="s">
        <v>4453</v>
      </c>
      <c r="R19" s="18" t="s">
        <v>78</v>
      </c>
      <c r="S19" s="18" t="s">
        <v>77</v>
      </c>
      <c r="T19" s="22">
        <v>44915</v>
      </c>
      <c r="U19" s="18"/>
      <c r="V19" s="18" t="s">
        <v>81</v>
      </c>
      <c r="W19" s="18" t="s">
        <v>79</v>
      </c>
      <c r="X19" s="18" t="s">
        <v>10803</v>
      </c>
      <c r="Y19" s="18" t="s">
        <v>760</v>
      </c>
      <c r="Z19" s="18" t="s">
        <v>761</v>
      </c>
      <c r="AA19" s="18" t="s">
        <v>7062</v>
      </c>
      <c r="AB19" s="18" t="s">
        <v>95</v>
      </c>
      <c r="AC19" s="18" t="s">
        <v>7984</v>
      </c>
      <c r="AD19" s="18" t="s">
        <v>10804</v>
      </c>
      <c r="AE19" s="18" t="s">
        <v>174</v>
      </c>
      <c r="AF19" s="18" t="s">
        <v>95</v>
      </c>
      <c r="AG19" s="18" t="s">
        <v>83</v>
      </c>
      <c r="AH19" s="18" t="s">
        <v>83</v>
      </c>
      <c r="AI19" s="18" t="s">
        <v>81</v>
      </c>
      <c r="AJ19" s="18" t="s">
        <v>118</v>
      </c>
      <c r="AK19" s="18" t="s">
        <v>95</v>
      </c>
      <c r="AL19" s="18" t="s">
        <v>10818</v>
      </c>
      <c r="AM19" s="18" t="s">
        <v>85</v>
      </c>
      <c r="AN19" s="18" t="s">
        <v>7031</v>
      </c>
      <c r="AO19" s="18" t="s">
        <v>86</v>
      </c>
      <c r="AP19" s="18" t="s">
        <v>90</v>
      </c>
      <c r="AQ19" s="18" t="s">
        <v>8002</v>
      </c>
      <c r="AR19" s="18" t="s">
        <v>177</v>
      </c>
      <c r="AS19" s="18" t="s">
        <v>139</v>
      </c>
      <c r="AT19" s="18" t="s">
        <v>95</v>
      </c>
      <c r="AU19" s="18" t="s">
        <v>95</v>
      </c>
      <c r="AV19" s="18" t="s">
        <v>7037</v>
      </c>
      <c r="AW19" s="18" t="s">
        <v>95</v>
      </c>
      <c r="AX19" s="18" t="s">
        <v>10806</v>
      </c>
      <c r="AY19" s="18" t="s">
        <v>95</v>
      </c>
      <c r="AZ19" s="18" t="s">
        <v>95</v>
      </c>
      <c r="BA19" s="18" t="s">
        <v>95</v>
      </c>
      <c r="BB19" s="18" t="s">
        <v>95</v>
      </c>
      <c r="BC19" s="18" t="s">
        <v>95</v>
      </c>
      <c r="BD19" s="18" t="s">
        <v>10829</v>
      </c>
      <c r="BE19" s="18" t="s">
        <v>10964</v>
      </c>
      <c r="BF19" s="18" t="s">
        <v>10809</v>
      </c>
      <c r="BG19" s="18" t="s">
        <v>7030</v>
      </c>
      <c r="BH19" s="18"/>
      <c r="BI19" s="18"/>
      <c r="BJ19" s="18" t="s">
        <v>760</v>
      </c>
      <c r="BK19" s="18" t="s">
        <v>10965</v>
      </c>
      <c r="BL19" s="18" t="s">
        <v>10811</v>
      </c>
      <c r="BM19" s="18" t="s">
        <v>139</v>
      </c>
      <c r="BN19" s="18" t="s">
        <v>85</v>
      </c>
      <c r="BO19" s="18">
        <v>0</v>
      </c>
      <c r="BP19" s="18" t="s">
        <v>10812</v>
      </c>
      <c r="BQ19" s="18" t="str">
        <f>VLOOKUP(Prepago[[#This Row],[NOM_PLAZA]],[1]!Locales[#Data],3,0)</f>
        <v>TIENDA RECREO</v>
      </c>
      <c r="BR19" s="18" t="str">
        <f>VLOOKUP(Prepago[[#This Row],[CODIGO_USUARIO]],[1]!Personal[#Data],6,0)</f>
        <v>VALBUENA SANCHEZ ALBERT ANTHONY</v>
      </c>
      <c r="BS19" s="18">
        <f>DAY(Prepago[[#This Row],[FECHA_ALTA]])</f>
        <v>16</v>
      </c>
    </row>
    <row r="20" spans="1:71" x14ac:dyDescent="0.25">
      <c r="A20" s="18" t="s">
        <v>96</v>
      </c>
      <c r="B20" s="18" t="s">
        <v>10966</v>
      </c>
      <c r="C20" s="18" t="s">
        <v>10967</v>
      </c>
      <c r="D20" s="18" t="s">
        <v>10968</v>
      </c>
      <c r="E20" s="22">
        <v>44898</v>
      </c>
      <c r="F20" s="18" t="s">
        <v>67</v>
      </c>
      <c r="G20" s="18" t="s">
        <v>10969</v>
      </c>
      <c r="H20" s="18" t="s">
        <v>10970</v>
      </c>
      <c r="I20" s="18" t="s">
        <v>70</v>
      </c>
      <c r="J20" s="18" t="s">
        <v>8102</v>
      </c>
      <c r="K20" s="18" t="s">
        <v>8103</v>
      </c>
      <c r="L20" s="18" t="s">
        <v>73</v>
      </c>
      <c r="M20" s="18" t="s">
        <v>7037</v>
      </c>
      <c r="N20" s="18" t="s">
        <v>10971</v>
      </c>
      <c r="O20" s="18" t="s">
        <v>75</v>
      </c>
      <c r="P20" s="18" t="s">
        <v>10972</v>
      </c>
      <c r="Q20" s="18" t="s">
        <v>1532</v>
      </c>
      <c r="R20" s="18" t="s">
        <v>78</v>
      </c>
      <c r="S20" s="18" t="s">
        <v>77</v>
      </c>
      <c r="T20" s="22">
        <v>44915</v>
      </c>
      <c r="U20" s="18"/>
      <c r="V20" s="18" t="s">
        <v>81</v>
      </c>
      <c r="W20" s="18" t="s">
        <v>79</v>
      </c>
      <c r="X20" s="18" t="s">
        <v>10803</v>
      </c>
      <c r="Y20" s="18" t="s">
        <v>630</v>
      </c>
      <c r="Z20" s="18" t="s">
        <v>631</v>
      </c>
      <c r="AA20" s="18" t="s">
        <v>7062</v>
      </c>
      <c r="AB20" s="18" t="s">
        <v>95</v>
      </c>
      <c r="AC20" s="18" t="s">
        <v>7984</v>
      </c>
      <c r="AD20" s="18" t="s">
        <v>10804</v>
      </c>
      <c r="AE20" s="18" t="s">
        <v>174</v>
      </c>
      <c r="AF20" s="18" t="s">
        <v>95</v>
      </c>
      <c r="AG20" s="18" t="s">
        <v>83</v>
      </c>
      <c r="AH20" s="18" t="s">
        <v>83</v>
      </c>
      <c r="AI20" s="18" t="s">
        <v>81</v>
      </c>
      <c r="AJ20" s="18" t="s">
        <v>118</v>
      </c>
      <c r="AK20" s="18" t="s">
        <v>95</v>
      </c>
      <c r="AL20" s="18" t="s">
        <v>10873</v>
      </c>
      <c r="AM20" s="18" t="s">
        <v>85</v>
      </c>
      <c r="AN20" s="18" t="s">
        <v>7031</v>
      </c>
      <c r="AO20" s="18" t="s">
        <v>86</v>
      </c>
      <c r="AP20" s="18" t="s">
        <v>90</v>
      </c>
      <c r="AQ20" s="18" t="s">
        <v>8002</v>
      </c>
      <c r="AR20" s="18" t="s">
        <v>177</v>
      </c>
      <c r="AS20" s="18" t="s">
        <v>139</v>
      </c>
      <c r="AT20" s="18" t="s">
        <v>95</v>
      </c>
      <c r="AU20" s="18" t="s">
        <v>95</v>
      </c>
      <c r="AV20" s="18" t="s">
        <v>7037</v>
      </c>
      <c r="AW20" s="18" t="s">
        <v>95</v>
      </c>
      <c r="AX20" s="18" t="s">
        <v>10806</v>
      </c>
      <c r="AY20" s="18" t="s">
        <v>95</v>
      </c>
      <c r="AZ20" s="18" t="s">
        <v>95</v>
      </c>
      <c r="BA20" s="18" t="s">
        <v>95</v>
      </c>
      <c r="BB20" s="18" t="s">
        <v>95</v>
      </c>
      <c r="BC20" s="18" t="s">
        <v>95</v>
      </c>
      <c r="BD20" s="18" t="s">
        <v>10807</v>
      </c>
      <c r="BE20" s="18" t="s">
        <v>10808</v>
      </c>
      <c r="BF20" s="18" t="s">
        <v>10809</v>
      </c>
      <c r="BG20" s="18" t="s">
        <v>7030</v>
      </c>
      <c r="BH20" s="18"/>
      <c r="BI20" s="18"/>
      <c r="BJ20" s="18" t="s">
        <v>630</v>
      </c>
      <c r="BK20" s="18" t="s">
        <v>10973</v>
      </c>
      <c r="BL20" s="18" t="s">
        <v>10811</v>
      </c>
      <c r="BM20" s="18" t="s">
        <v>139</v>
      </c>
      <c r="BN20" s="18" t="s">
        <v>85</v>
      </c>
      <c r="BO20" s="18">
        <v>0</v>
      </c>
      <c r="BP20" s="18" t="s">
        <v>10812</v>
      </c>
      <c r="BQ20" s="18" t="str">
        <f>VLOOKUP(Prepago[[#This Row],[NOM_PLAZA]],[1]!Locales[#Data],3,0)</f>
        <v>TIENDA RECREO</v>
      </c>
      <c r="BR20" s="18" t="str">
        <f>VLOOKUP(Prepago[[#This Row],[CODIGO_USUARIO]],[1]!Personal[#Data],6,0)</f>
        <v>LOAYZA AGUILAR JONATHAN FABIAN</v>
      </c>
      <c r="BS20" s="18">
        <f>DAY(Prepago[[#This Row],[FECHA_ALTA]])</f>
        <v>3</v>
      </c>
    </row>
    <row r="21" spans="1:71" x14ac:dyDescent="0.25">
      <c r="A21" s="18" t="s">
        <v>96</v>
      </c>
      <c r="B21" s="18" t="s">
        <v>10974</v>
      </c>
      <c r="C21" s="18" t="s">
        <v>10975</v>
      </c>
      <c r="D21" s="18" t="s">
        <v>10976</v>
      </c>
      <c r="E21" s="22">
        <v>44898</v>
      </c>
      <c r="F21" s="18" t="s">
        <v>67</v>
      </c>
      <c r="G21" s="18" t="s">
        <v>10977</v>
      </c>
      <c r="H21" s="18" t="s">
        <v>10978</v>
      </c>
      <c r="I21" s="18" t="s">
        <v>70</v>
      </c>
      <c r="J21" s="18" t="s">
        <v>8102</v>
      </c>
      <c r="K21" s="18" t="s">
        <v>8103</v>
      </c>
      <c r="L21" s="18" t="s">
        <v>132</v>
      </c>
      <c r="M21" s="18" t="s">
        <v>7037</v>
      </c>
      <c r="N21" s="18" t="s">
        <v>10979</v>
      </c>
      <c r="O21" s="18" t="s">
        <v>75</v>
      </c>
      <c r="P21" s="18" t="s">
        <v>10980</v>
      </c>
      <c r="Q21" s="18" t="s">
        <v>10817</v>
      </c>
      <c r="R21" s="18" t="s">
        <v>78</v>
      </c>
      <c r="S21" s="18" t="s">
        <v>77</v>
      </c>
      <c r="T21" s="22">
        <v>44915</v>
      </c>
      <c r="U21" s="18"/>
      <c r="V21" s="18" t="s">
        <v>81</v>
      </c>
      <c r="W21" s="18" t="s">
        <v>79</v>
      </c>
      <c r="X21" s="18" t="s">
        <v>10803</v>
      </c>
      <c r="Y21" s="18" t="s">
        <v>303</v>
      </c>
      <c r="Z21" s="18" t="s">
        <v>304</v>
      </c>
      <c r="AA21" s="18" t="s">
        <v>7062</v>
      </c>
      <c r="AB21" s="18" t="s">
        <v>95</v>
      </c>
      <c r="AC21" s="18" t="s">
        <v>7984</v>
      </c>
      <c r="AD21" s="18" t="s">
        <v>10804</v>
      </c>
      <c r="AE21" s="18" t="s">
        <v>174</v>
      </c>
      <c r="AF21" s="18" t="s">
        <v>95</v>
      </c>
      <c r="AG21" s="18" t="s">
        <v>83</v>
      </c>
      <c r="AH21" s="18" t="s">
        <v>83</v>
      </c>
      <c r="AI21" s="18" t="s">
        <v>81</v>
      </c>
      <c r="AJ21" s="18" t="s">
        <v>118</v>
      </c>
      <c r="AK21" s="18" t="s">
        <v>95</v>
      </c>
      <c r="AL21" s="18" t="s">
        <v>10805</v>
      </c>
      <c r="AM21" s="18" t="s">
        <v>85</v>
      </c>
      <c r="AN21" s="18" t="s">
        <v>7031</v>
      </c>
      <c r="AO21" s="18" t="s">
        <v>86</v>
      </c>
      <c r="AP21" s="18" t="s">
        <v>90</v>
      </c>
      <c r="AQ21" s="18" t="s">
        <v>8002</v>
      </c>
      <c r="AR21" s="18" t="s">
        <v>177</v>
      </c>
      <c r="AS21" s="18" t="s">
        <v>139</v>
      </c>
      <c r="AT21" s="18" t="s">
        <v>95</v>
      </c>
      <c r="AU21" s="18" t="s">
        <v>95</v>
      </c>
      <c r="AV21" s="18" t="s">
        <v>7037</v>
      </c>
      <c r="AW21" s="18" t="s">
        <v>95</v>
      </c>
      <c r="AX21" s="18" t="s">
        <v>10806</v>
      </c>
      <c r="AY21" s="18" t="s">
        <v>95</v>
      </c>
      <c r="AZ21" s="18" t="s">
        <v>95</v>
      </c>
      <c r="BA21" s="18" t="s">
        <v>95</v>
      </c>
      <c r="BB21" s="18" t="s">
        <v>95</v>
      </c>
      <c r="BC21" s="18" t="s">
        <v>95</v>
      </c>
      <c r="BD21" s="18" t="s">
        <v>10829</v>
      </c>
      <c r="BE21" s="18" t="s">
        <v>10981</v>
      </c>
      <c r="BF21" s="18" t="s">
        <v>10809</v>
      </c>
      <c r="BG21" s="18" t="s">
        <v>7030</v>
      </c>
      <c r="BH21" s="18"/>
      <c r="BI21" s="18"/>
      <c r="BJ21" s="18" t="s">
        <v>303</v>
      </c>
      <c r="BK21" s="18" t="s">
        <v>10982</v>
      </c>
      <c r="BL21" s="18" t="s">
        <v>10811</v>
      </c>
      <c r="BM21" s="18" t="s">
        <v>139</v>
      </c>
      <c r="BN21" s="18" t="s">
        <v>85</v>
      </c>
      <c r="BO21" s="18">
        <v>0</v>
      </c>
      <c r="BP21" s="18" t="s">
        <v>10812</v>
      </c>
      <c r="BQ21" s="18" t="str">
        <f>VLOOKUP(Prepago[[#This Row],[NOM_PLAZA]],[1]!Locales[#Data],3,0)</f>
        <v>TIENDA RECREO</v>
      </c>
      <c r="BR21" s="18" t="str">
        <f>VLOOKUP(Prepago[[#This Row],[CODIGO_USUARIO]],[1]!Personal[#Data],6,0)</f>
        <v>CORDOVA GAIBOR JONATHAN HERNAN</v>
      </c>
      <c r="BS21" s="18">
        <f>DAY(Prepago[[#This Row],[FECHA_ALTA]])</f>
        <v>3</v>
      </c>
    </row>
    <row r="22" spans="1:71" x14ac:dyDescent="0.25">
      <c r="A22" s="18" t="s">
        <v>96</v>
      </c>
      <c r="B22" s="18" t="s">
        <v>10983</v>
      </c>
      <c r="C22" s="18" t="s">
        <v>10984</v>
      </c>
      <c r="D22" s="18" t="s">
        <v>10985</v>
      </c>
      <c r="E22" s="22">
        <v>44900</v>
      </c>
      <c r="F22" s="18" t="s">
        <v>67</v>
      </c>
      <c r="G22" s="18" t="s">
        <v>10986</v>
      </c>
      <c r="H22" s="18" t="s">
        <v>10987</v>
      </c>
      <c r="I22" s="18" t="s">
        <v>70</v>
      </c>
      <c r="J22" s="18" t="s">
        <v>8102</v>
      </c>
      <c r="K22" s="18" t="s">
        <v>8103</v>
      </c>
      <c r="L22" s="18" t="s">
        <v>132</v>
      </c>
      <c r="M22" s="18" t="s">
        <v>7037</v>
      </c>
      <c r="N22" s="18" t="s">
        <v>10988</v>
      </c>
      <c r="O22" s="18" t="s">
        <v>75</v>
      </c>
      <c r="P22" s="18" t="s">
        <v>10989</v>
      </c>
      <c r="Q22" s="18" t="s">
        <v>1532</v>
      </c>
      <c r="R22" s="18" t="s">
        <v>78</v>
      </c>
      <c r="S22" s="18" t="s">
        <v>77</v>
      </c>
      <c r="T22" s="22">
        <v>44915</v>
      </c>
      <c r="U22" s="18"/>
      <c r="V22" s="18" t="s">
        <v>81</v>
      </c>
      <c r="W22" s="18" t="s">
        <v>79</v>
      </c>
      <c r="X22" s="18" t="s">
        <v>10803</v>
      </c>
      <c r="Y22" s="18" t="s">
        <v>630</v>
      </c>
      <c r="Z22" s="18" t="s">
        <v>631</v>
      </c>
      <c r="AA22" s="18" t="s">
        <v>7062</v>
      </c>
      <c r="AB22" s="18" t="s">
        <v>95</v>
      </c>
      <c r="AC22" s="18" t="s">
        <v>7984</v>
      </c>
      <c r="AD22" s="18" t="s">
        <v>10804</v>
      </c>
      <c r="AE22" s="18" t="s">
        <v>174</v>
      </c>
      <c r="AF22" s="18" t="s">
        <v>95</v>
      </c>
      <c r="AG22" s="18" t="s">
        <v>83</v>
      </c>
      <c r="AH22" s="18" t="s">
        <v>83</v>
      </c>
      <c r="AI22" s="18" t="s">
        <v>81</v>
      </c>
      <c r="AJ22" s="18" t="s">
        <v>118</v>
      </c>
      <c r="AK22" s="18" t="s">
        <v>95</v>
      </c>
      <c r="AL22" s="18" t="s">
        <v>10873</v>
      </c>
      <c r="AM22" s="18" t="s">
        <v>85</v>
      </c>
      <c r="AN22" s="18" t="s">
        <v>7031</v>
      </c>
      <c r="AO22" s="18" t="s">
        <v>86</v>
      </c>
      <c r="AP22" s="18" t="s">
        <v>90</v>
      </c>
      <c r="AQ22" s="18" t="s">
        <v>8002</v>
      </c>
      <c r="AR22" s="18" t="s">
        <v>177</v>
      </c>
      <c r="AS22" s="18" t="s">
        <v>139</v>
      </c>
      <c r="AT22" s="18" t="s">
        <v>95</v>
      </c>
      <c r="AU22" s="18" t="s">
        <v>95</v>
      </c>
      <c r="AV22" s="18" t="s">
        <v>7037</v>
      </c>
      <c r="AW22" s="18" t="s">
        <v>95</v>
      </c>
      <c r="AX22" s="18" t="s">
        <v>10806</v>
      </c>
      <c r="AY22" s="18" t="s">
        <v>95</v>
      </c>
      <c r="AZ22" s="18" t="s">
        <v>95</v>
      </c>
      <c r="BA22" s="18" t="s">
        <v>95</v>
      </c>
      <c r="BB22" s="18" t="s">
        <v>95</v>
      </c>
      <c r="BC22" s="18" t="s">
        <v>95</v>
      </c>
      <c r="BD22" s="18" t="s">
        <v>10807</v>
      </c>
      <c r="BE22" s="18" t="s">
        <v>10990</v>
      </c>
      <c r="BF22" s="18" t="s">
        <v>10809</v>
      </c>
      <c r="BG22" s="18" t="s">
        <v>7030</v>
      </c>
      <c r="BH22" s="18"/>
      <c r="BI22" s="18"/>
      <c r="BJ22" s="18" t="s">
        <v>630</v>
      </c>
      <c r="BK22" s="18" t="s">
        <v>10991</v>
      </c>
      <c r="BL22" s="18" t="s">
        <v>10811</v>
      </c>
      <c r="BM22" s="18" t="s">
        <v>139</v>
      </c>
      <c r="BN22" s="18" t="s">
        <v>85</v>
      </c>
      <c r="BO22" s="18">
        <v>0</v>
      </c>
      <c r="BP22" s="18" t="s">
        <v>10812</v>
      </c>
      <c r="BQ22" s="18" t="str">
        <f>VLOOKUP(Prepago[[#This Row],[NOM_PLAZA]],[1]!Locales[#Data],3,0)</f>
        <v>TIENDA RECREO</v>
      </c>
      <c r="BR22" s="18" t="str">
        <f>VLOOKUP(Prepago[[#This Row],[CODIGO_USUARIO]],[1]!Personal[#Data],6,0)</f>
        <v>LOAYZA AGUILAR JONATHAN FABIAN</v>
      </c>
      <c r="BS22" s="18">
        <f>DAY(Prepago[[#This Row],[FECHA_ALTA]])</f>
        <v>5</v>
      </c>
    </row>
    <row r="23" spans="1:71" x14ac:dyDescent="0.25">
      <c r="A23" s="18" t="s">
        <v>96</v>
      </c>
      <c r="B23" s="18" t="s">
        <v>10992</v>
      </c>
      <c r="C23" s="18" t="s">
        <v>10993</v>
      </c>
      <c r="D23" s="18" t="s">
        <v>10994</v>
      </c>
      <c r="E23" s="22">
        <v>44907</v>
      </c>
      <c r="F23" s="18" t="s">
        <v>67</v>
      </c>
      <c r="G23" s="18" t="s">
        <v>10995</v>
      </c>
      <c r="H23" s="18" t="s">
        <v>10996</v>
      </c>
      <c r="I23" s="18" t="s">
        <v>70</v>
      </c>
      <c r="J23" s="18" t="s">
        <v>8102</v>
      </c>
      <c r="K23" s="18" t="s">
        <v>8103</v>
      </c>
      <c r="L23" s="18" t="s">
        <v>73</v>
      </c>
      <c r="M23" s="18" t="s">
        <v>7037</v>
      </c>
      <c r="N23" s="18" t="s">
        <v>10997</v>
      </c>
      <c r="O23" s="18" t="s">
        <v>75</v>
      </c>
      <c r="P23" s="18" t="s">
        <v>10998</v>
      </c>
      <c r="Q23" s="18" t="s">
        <v>10817</v>
      </c>
      <c r="R23" s="18" t="s">
        <v>78</v>
      </c>
      <c r="S23" s="18" t="s">
        <v>77</v>
      </c>
      <c r="T23" s="22">
        <v>44915</v>
      </c>
      <c r="U23" s="18"/>
      <c r="V23" s="18" t="s">
        <v>81</v>
      </c>
      <c r="W23" s="18" t="s">
        <v>79</v>
      </c>
      <c r="X23" s="18" t="s">
        <v>10803</v>
      </c>
      <c r="Y23" s="18" t="s">
        <v>918</v>
      </c>
      <c r="Z23" s="18" t="s">
        <v>919</v>
      </c>
      <c r="AA23" s="18" t="s">
        <v>7062</v>
      </c>
      <c r="AB23" s="18" t="s">
        <v>95</v>
      </c>
      <c r="AC23" s="18" t="s">
        <v>7984</v>
      </c>
      <c r="AD23" s="18" t="s">
        <v>10804</v>
      </c>
      <c r="AE23" s="18" t="s">
        <v>174</v>
      </c>
      <c r="AF23" s="18" t="s">
        <v>95</v>
      </c>
      <c r="AG23" s="18" t="s">
        <v>83</v>
      </c>
      <c r="AH23" s="18" t="s">
        <v>83</v>
      </c>
      <c r="AI23" s="18" t="s">
        <v>81</v>
      </c>
      <c r="AJ23" s="18" t="s">
        <v>118</v>
      </c>
      <c r="AK23" s="18" t="s">
        <v>95</v>
      </c>
      <c r="AL23" s="18" t="s">
        <v>10999</v>
      </c>
      <c r="AM23" s="18" t="s">
        <v>85</v>
      </c>
      <c r="AN23" s="18" t="s">
        <v>7031</v>
      </c>
      <c r="AO23" s="18" t="s">
        <v>86</v>
      </c>
      <c r="AP23" s="18" t="s">
        <v>90</v>
      </c>
      <c r="AQ23" s="18" t="s">
        <v>8002</v>
      </c>
      <c r="AR23" s="18" t="s">
        <v>177</v>
      </c>
      <c r="AS23" s="18" t="s">
        <v>139</v>
      </c>
      <c r="AT23" s="18" t="s">
        <v>95</v>
      </c>
      <c r="AU23" s="18" t="s">
        <v>95</v>
      </c>
      <c r="AV23" s="18" t="s">
        <v>7037</v>
      </c>
      <c r="AW23" s="18" t="s">
        <v>95</v>
      </c>
      <c r="AX23" s="18" t="s">
        <v>10806</v>
      </c>
      <c r="AY23" s="18" t="s">
        <v>95</v>
      </c>
      <c r="AZ23" s="18" t="s">
        <v>95</v>
      </c>
      <c r="BA23" s="18" t="s">
        <v>95</v>
      </c>
      <c r="BB23" s="18" t="s">
        <v>95</v>
      </c>
      <c r="BC23" s="18" t="s">
        <v>95</v>
      </c>
      <c r="BD23" s="18" t="s">
        <v>10807</v>
      </c>
      <c r="BE23" s="18" t="s">
        <v>10808</v>
      </c>
      <c r="BF23" s="18" t="s">
        <v>10809</v>
      </c>
      <c r="BG23" s="18" t="s">
        <v>7030</v>
      </c>
      <c r="BH23" s="18"/>
      <c r="BI23" s="18"/>
      <c r="BJ23" s="18" t="s">
        <v>918</v>
      </c>
      <c r="BK23" s="18" t="s">
        <v>11000</v>
      </c>
      <c r="BL23" s="18" t="s">
        <v>10811</v>
      </c>
      <c r="BM23" s="18" t="s">
        <v>139</v>
      </c>
      <c r="BN23" s="18" t="s">
        <v>85</v>
      </c>
      <c r="BO23" s="18">
        <v>0</v>
      </c>
      <c r="BP23" s="18" t="s">
        <v>10812</v>
      </c>
      <c r="BQ23" s="18" t="str">
        <f>VLOOKUP(Prepago[[#This Row],[NOM_PLAZA]],[1]!Locales[#Data],3,0)</f>
        <v>TIENDA RECREO</v>
      </c>
      <c r="BR23" s="18" t="str">
        <f>VLOOKUP(Prepago[[#This Row],[CODIGO_USUARIO]],[1]!Personal[#Data],6,0)</f>
        <v>ORELLANA CARRERA MICHAEL ALEXANDER</v>
      </c>
      <c r="BS23" s="18">
        <f>DAY(Prepago[[#This Row],[FECHA_ALTA]])</f>
        <v>12</v>
      </c>
    </row>
    <row r="24" spans="1:71" x14ac:dyDescent="0.25">
      <c r="A24" s="18" t="s">
        <v>96</v>
      </c>
      <c r="B24" s="18" t="s">
        <v>11001</v>
      </c>
      <c r="C24" s="18" t="s">
        <v>11002</v>
      </c>
      <c r="D24" s="18" t="s">
        <v>11003</v>
      </c>
      <c r="E24" s="22">
        <v>44913</v>
      </c>
      <c r="F24" s="18" t="s">
        <v>67</v>
      </c>
      <c r="G24" s="18" t="s">
        <v>11004</v>
      </c>
      <c r="H24" s="18" t="s">
        <v>11005</v>
      </c>
      <c r="I24" s="18" t="s">
        <v>70</v>
      </c>
      <c r="J24" s="18" t="s">
        <v>8102</v>
      </c>
      <c r="K24" s="18" t="s">
        <v>8103</v>
      </c>
      <c r="L24" s="18" t="s">
        <v>132</v>
      </c>
      <c r="M24" s="18" t="s">
        <v>7037</v>
      </c>
      <c r="N24" s="18" t="s">
        <v>11006</v>
      </c>
      <c r="O24" s="18" t="s">
        <v>75</v>
      </c>
      <c r="P24" s="18" t="s">
        <v>11007</v>
      </c>
      <c r="Q24" s="18" t="s">
        <v>10817</v>
      </c>
      <c r="R24" s="18" t="s">
        <v>78</v>
      </c>
      <c r="S24" s="18" t="s">
        <v>77</v>
      </c>
      <c r="T24" s="22">
        <v>44915</v>
      </c>
      <c r="U24" s="18"/>
      <c r="V24" s="18" t="s">
        <v>81</v>
      </c>
      <c r="W24" s="18" t="s">
        <v>79</v>
      </c>
      <c r="X24" s="18" t="s">
        <v>10803</v>
      </c>
      <c r="Y24" s="18" t="s">
        <v>262</v>
      </c>
      <c r="Z24" s="18" t="s">
        <v>263</v>
      </c>
      <c r="AA24" s="18" t="s">
        <v>7062</v>
      </c>
      <c r="AB24" s="18" t="s">
        <v>95</v>
      </c>
      <c r="AC24" s="18" t="s">
        <v>7984</v>
      </c>
      <c r="AD24" s="18" t="s">
        <v>10804</v>
      </c>
      <c r="AE24" s="18" t="s">
        <v>174</v>
      </c>
      <c r="AF24" s="18" t="s">
        <v>95</v>
      </c>
      <c r="AG24" s="18" t="s">
        <v>83</v>
      </c>
      <c r="AH24" s="18" t="s">
        <v>83</v>
      </c>
      <c r="AI24" s="18" t="s">
        <v>81</v>
      </c>
      <c r="AJ24" s="18" t="s">
        <v>118</v>
      </c>
      <c r="AK24" s="18" t="s">
        <v>95</v>
      </c>
      <c r="AL24" s="18" t="s">
        <v>10883</v>
      </c>
      <c r="AM24" s="18" t="s">
        <v>85</v>
      </c>
      <c r="AN24" s="18" t="s">
        <v>7031</v>
      </c>
      <c r="AO24" s="18" t="s">
        <v>86</v>
      </c>
      <c r="AP24" s="18" t="s">
        <v>90</v>
      </c>
      <c r="AQ24" s="18" t="s">
        <v>8002</v>
      </c>
      <c r="AR24" s="18" t="s">
        <v>177</v>
      </c>
      <c r="AS24" s="18" t="s">
        <v>139</v>
      </c>
      <c r="AT24" s="18" t="s">
        <v>95</v>
      </c>
      <c r="AU24" s="18" t="s">
        <v>95</v>
      </c>
      <c r="AV24" s="18" t="s">
        <v>7037</v>
      </c>
      <c r="AW24" s="18" t="s">
        <v>95</v>
      </c>
      <c r="AX24" s="18" t="s">
        <v>10806</v>
      </c>
      <c r="AY24" s="18" t="s">
        <v>95</v>
      </c>
      <c r="AZ24" s="18" t="s">
        <v>95</v>
      </c>
      <c r="BA24" s="18" t="s">
        <v>95</v>
      </c>
      <c r="BB24" s="18" t="s">
        <v>95</v>
      </c>
      <c r="BC24" s="18" t="s">
        <v>95</v>
      </c>
      <c r="BD24" s="18" t="s">
        <v>10829</v>
      </c>
      <c r="BE24" s="18" t="s">
        <v>11008</v>
      </c>
      <c r="BF24" s="18" t="s">
        <v>10809</v>
      </c>
      <c r="BG24" s="18" t="s">
        <v>7030</v>
      </c>
      <c r="BH24" s="18"/>
      <c r="BI24" s="18"/>
      <c r="BJ24" s="18" t="s">
        <v>262</v>
      </c>
      <c r="BK24" s="18" t="s">
        <v>11009</v>
      </c>
      <c r="BL24" s="18" t="s">
        <v>10811</v>
      </c>
      <c r="BM24" s="18" t="s">
        <v>139</v>
      </c>
      <c r="BN24" s="18" t="s">
        <v>85</v>
      </c>
      <c r="BO24" s="18">
        <v>0</v>
      </c>
      <c r="BP24" s="18" t="s">
        <v>10812</v>
      </c>
      <c r="BQ24" s="18" t="str">
        <f>VLOOKUP(Prepago[[#This Row],[NOM_PLAZA]],[1]!Locales[#Data],3,0)</f>
        <v>TIENDA RECREO</v>
      </c>
      <c r="BR24" s="18" t="str">
        <f>VLOOKUP(Prepago[[#This Row],[CODIGO_USUARIO]],[1]!Personal[#Data],6,0)</f>
        <v>CHICAIZA TOAPANTA ALEX DANILO</v>
      </c>
      <c r="BS24" s="18">
        <f>DAY(Prepago[[#This Row],[FECHA_ALTA]])</f>
        <v>18</v>
      </c>
    </row>
    <row r="25" spans="1:71" x14ac:dyDescent="0.25">
      <c r="A25" s="18" t="s">
        <v>96</v>
      </c>
      <c r="B25" s="18" t="s">
        <v>11010</v>
      </c>
      <c r="C25" s="18" t="s">
        <v>11011</v>
      </c>
      <c r="D25" s="18" t="s">
        <v>11012</v>
      </c>
      <c r="E25" s="22">
        <v>44904</v>
      </c>
      <c r="F25" s="18" t="s">
        <v>67</v>
      </c>
      <c r="G25" s="18" t="s">
        <v>11013</v>
      </c>
      <c r="H25" s="18" t="s">
        <v>11014</v>
      </c>
      <c r="I25" s="18" t="s">
        <v>70</v>
      </c>
      <c r="J25" s="18" t="s">
        <v>8102</v>
      </c>
      <c r="K25" s="18" t="s">
        <v>8103</v>
      </c>
      <c r="L25" s="18" t="s">
        <v>73</v>
      </c>
      <c r="M25" s="18" t="s">
        <v>7029</v>
      </c>
      <c r="N25" s="18" t="s">
        <v>11015</v>
      </c>
      <c r="O25" s="18" t="s">
        <v>75</v>
      </c>
      <c r="P25" s="18" t="s">
        <v>11016</v>
      </c>
      <c r="Q25" s="18" t="s">
        <v>1532</v>
      </c>
      <c r="R25" s="18" t="s">
        <v>78</v>
      </c>
      <c r="S25" s="18" t="s">
        <v>77</v>
      </c>
      <c r="T25" s="22">
        <v>44915</v>
      </c>
      <c r="U25" s="18"/>
      <c r="V25" s="18" t="s">
        <v>81</v>
      </c>
      <c r="W25" s="18" t="s">
        <v>79</v>
      </c>
      <c r="X25" s="18" t="s">
        <v>10803</v>
      </c>
      <c r="Y25" s="18" t="s">
        <v>187</v>
      </c>
      <c r="Z25" s="18" t="s">
        <v>188</v>
      </c>
      <c r="AA25" s="18" t="s">
        <v>7062</v>
      </c>
      <c r="AB25" s="18" t="s">
        <v>95</v>
      </c>
      <c r="AC25" s="18" t="s">
        <v>7984</v>
      </c>
      <c r="AD25" s="18" t="s">
        <v>10804</v>
      </c>
      <c r="AE25" s="18" t="s">
        <v>174</v>
      </c>
      <c r="AF25" s="18" t="s">
        <v>95</v>
      </c>
      <c r="AG25" s="18" t="s">
        <v>83</v>
      </c>
      <c r="AH25" s="18" t="s">
        <v>83</v>
      </c>
      <c r="AI25" s="18" t="s">
        <v>81</v>
      </c>
      <c r="AJ25" s="18" t="s">
        <v>118</v>
      </c>
      <c r="AK25" s="18" t="s">
        <v>95</v>
      </c>
      <c r="AL25" s="18" t="s">
        <v>10920</v>
      </c>
      <c r="AM25" s="18" t="s">
        <v>85</v>
      </c>
      <c r="AN25" s="18" t="s">
        <v>7031</v>
      </c>
      <c r="AO25" s="18" t="s">
        <v>86</v>
      </c>
      <c r="AP25" s="18" t="s">
        <v>90</v>
      </c>
      <c r="AQ25" s="18" t="s">
        <v>8002</v>
      </c>
      <c r="AR25" s="18" t="s">
        <v>177</v>
      </c>
      <c r="AS25" s="18" t="s">
        <v>139</v>
      </c>
      <c r="AT25" s="18" t="s">
        <v>95</v>
      </c>
      <c r="AU25" s="18" t="s">
        <v>95</v>
      </c>
      <c r="AV25" s="18" t="s">
        <v>7029</v>
      </c>
      <c r="AW25" s="18" t="s">
        <v>95</v>
      </c>
      <c r="AX25" s="18" t="s">
        <v>10806</v>
      </c>
      <c r="AY25" s="18" t="s">
        <v>95</v>
      </c>
      <c r="AZ25" s="18" t="s">
        <v>95</v>
      </c>
      <c r="BA25" s="18" t="s">
        <v>95</v>
      </c>
      <c r="BB25" s="18" t="s">
        <v>95</v>
      </c>
      <c r="BC25" s="18" t="s">
        <v>95</v>
      </c>
      <c r="BD25" s="18" t="s">
        <v>10829</v>
      </c>
      <c r="BE25" s="18" t="s">
        <v>10808</v>
      </c>
      <c r="BF25" s="18" t="s">
        <v>10809</v>
      </c>
      <c r="BG25" s="18" t="s">
        <v>7030</v>
      </c>
      <c r="BH25" s="18"/>
      <c r="BI25" s="18"/>
      <c r="BJ25" s="18" t="s">
        <v>187</v>
      </c>
      <c r="BK25" s="18" t="s">
        <v>11017</v>
      </c>
      <c r="BL25" s="18" t="s">
        <v>10811</v>
      </c>
      <c r="BM25" s="18" t="s">
        <v>92</v>
      </c>
      <c r="BN25" s="18" t="s">
        <v>85</v>
      </c>
      <c r="BO25" s="18">
        <v>0</v>
      </c>
      <c r="BP25" s="18" t="s">
        <v>10812</v>
      </c>
      <c r="BQ25" s="18" t="str">
        <f>VLOOKUP(Prepago[[#This Row],[NOM_PLAZA]],[1]!Locales[#Data],3,0)</f>
        <v>TIENDA RECREO</v>
      </c>
      <c r="BR25" s="18" t="str">
        <f>VLOOKUP(Prepago[[#This Row],[CODIGO_USUARIO]],[1]!Personal[#Data],6,0)</f>
        <v>ESPINOZA MARTINES LAURA XIOMARA</v>
      </c>
      <c r="BS25" s="18">
        <f>DAY(Prepago[[#This Row],[FECHA_ALTA]])</f>
        <v>9</v>
      </c>
    </row>
    <row r="26" spans="1:71" x14ac:dyDescent="0.25">
      <c r="A26" s="18" t="s">
        <v>96</v>
      </c>
      <c r="B26" s="18" t="s">
        <v>11018</v>
      </c>
      <c r="C26" s="18" t="s">
        <v>11019</v>
      </c>
      <c r="D26" s="18" t="s">
        <v>11020</v>
      </c>
      <c r="E26" s="22">
        <v>44906</v>
      </c>
      <c r="F26" s="18" t="s">
        <v>67</v>
      </c>
      <c r="G26" s="18" t="s">
        <v>11021</v>
      </c>
      <c r="H26" s="18" t="s">
        <v>11022</v>
      </c>
      <c r="I26" s="18" t="s">
        <v>70</v>
      </c>
      <c r="J26" s="18" t="s">
        <v>8102</v>
      </c>
      <c r="K26" s="18" t="s">
        <v>8103</v>
      </c>
      <c r="L26" s="18" t="s">
        <v>95</v>
      </c>
      <c r="M26" s="18" t="s">
        <v>7037</v>
      </c>
      <c r="N26" s="18" t="s">
        <v>11023</v>
      </c>
      <c r="O26" s="18" t="s">
        <v>75</v>
      </c>
      <c r="P26" s="18" t="s">
        <v>11024</v>
      </c>
      <c r="Q26" s="18" t="s">
        <v>4453</v>
      </c>
      <c r="R26" s="18" t="s">
        <v>78</v>
      </c>
      <c r="S26" s="18" t="s">
        <v>77</v>
      </c>
      <c r="T26" s="22">
        <v>44915</v>
      </c>
      <c r="U26" s="18"/>
      <c r="V26" s="18" t="s">
        <v>81</v>
      </c>
      <c r="W26" s="18" t="s">
        <v>79</v>
      </c>
      <c r="X26" s="18" t="s">
        <v>10803</v>
      </c>
      <c r="Y26" s="18" t="s">
        <v>251</v>
      </c>
      <c r="Z26" s="18" t="s">
        <v>252</v>
      </c>
      <c r="AA26" s="18" t="s">
        <v>7062</v>
      </c>
      <c r="AB26" s="18" t="s">
        <v>95</v>
      </c>
      <c r="AC26" s="18" t="s">
        <v>7984</v>
      </c>
      <c r="AD26" s="18" t="s">
        <v>10804</v>
      </c>
      <c r="AE26" s="18" t="s">
        <v>174</v>
      </c>
      <c r="AF26" s="18" t="s">
        <v>95</v>
      </c>
      <c r="AG26" s="18" t="s">
        <v>83</v>
      </c>
      <c r="AH26" s="18" t="s">
        <v>83</v>
      </c>
      <c r="AI26" s="18" t="s">
        <v>81</v>
      </c>
      <c r="AJ26" s="18" t="s">
        <v>118</v>
      </c>
      <c r="AK26" s="18" t="s">
        <v>95</v>
      </c>
      <c r="AL26" s="18" t="s">
        <v>10864</v>
      </c>
      <c r="AM26" s="18" t="s">
        <v>85</v>
      </c>
      <c r="AN26" s="18" t="s">
        <v>7031</v>
      </c>
      <c r="AO26" s="18" t="s">
        <v>86</v>
      </c>
      <c r="AP26" s="18" t="s">
        <v>90</v>
      </c>
      <c r="AQ26" s="18" t="s">
        <v>8002</v>
      </c>
      <c r="AR26" s="18" t="s">
        <v>177</v>
      </c>
      <c r="AS26" s="18" t="s">
        <v>139</v>
      </c>
      <c r="AT26" s="18" t="s">
        <v>95</v>
      </c>
      <c r="AU26" s="18" t="s">
        <v>95</v>
      </c>
      <c r="AV26" s="18" t="s">
        <v>7037</v>
      </c>
      <c r="AW26" s="18" t="s">
        <v>95</v>
      </c>
      <c r="AX26" s="18" t="s">
        <v>10806</v>
      </c>
      <c r="AY26" s="18" t="s">
        <v>95</v>
      </c>
      <c r="AZ26" s="18" t="s">
        <v>95</v>
      </c>
      <c r="BA26" s="18" t="s">
        <v>95</v>
      </c>
      <c r="BB26" s="18" t="s">
        <v>95</v>
      </c>
      <c r="BC26" s="18" t="s">
        <v>95</v>
      </c>
      <c r="BD26" s="18" t="s">
        <v>10807</v>
      </c>
      <c r="BE26" s="18" t="s">
        <v>11025</v>
      </c>
      <c r="BF26" s="18" t="s">
        <v>10809</v>
      </c>
      <c r="BG26" s="18" t="s">
        <v>7030</v>
      </c>
      <c r="BH26" s="18"/>
      <c r="BI26" s="18"/>
      <c r="BJ26" s="18" t="s">
        <v>251</v>
      </c>
      <c r="BK26" s="18" t="s">
        <v>11026</v>
      </c>
      <c r="BL26" s="18" t="s">
        <v>10811</v>
      </c>
      <c r="BM26" s="18" t="s">
        <v>139</v>
      </c>
      <c r="BN26" s="18" t="s">
        <v>85</v>
      </c>
      <c r="BO26" s="18">
        <v>1</v>
      </c>
      <c r="BP26" s="18" t="s">
        <v>10812</v>
      </c>
      <c r="BQ26" s="18" t="str">
        <f>VLOOKUP(Prepago[[#This Row],[NOM_PLAZA]],[1]!Locales[#Data],3,0)</f>
        <v>TIENDA RECREO</v>
      </c>
      <c r="BR26" s="18" t="str">
        <f>VLOOKUP(Prepago[[#This Row],[CODIGO_USUARIO]],[1]!Personal[#Data],6,0)</f>
        <v>CRUZ MONTUFAR KATHERINE ALEJANDRA</v>
      </c>
      <c r="BS26" s="18">
        <f>DAY(Prepago[[#This Row],[FECHA_ALTA]])</f>
        <v>11</v>
      </c>
    </row>
    <row r="27" spans="1:71" x14ac:dyDescent="0.25">
      <c r="A27" s="18" t="s">
        <v>96</v>
      </c>
      <c r="B27" s="18" t="s">
        <v>11027</v>
      </c>
      <c r="C27" s="18" t="s">
        <v>11028</v>
      </c>
      <c r="D27" s="18" t="s">
        <v>11029</v>
      </c>
      <c r="E27" s="22">
        <v>44913</v>
      </c>
      <c r="F27" s="18" t="s">
        <v>67</v>
      </c>
      <c r="G27" s="18" t="s">
        <v>11030</v>
      </c>
      <c r="H27" s="18" t="s">
        <v>11031</v>
      </c>
      <c r="I27" s="18" t="s">
        <v>70</v>
      </c>
      <c r="J27" s="18" t="s">
        <v>8102</v>
      </c>
      <c r="K27" s="18" t="s">
        <v>8103</v>
      </c>
      <c r="L27" s="18" t="s">
        <v>132</v>
      </c>
      <c r="M27" s="18" t="s">
        <v>7037</v>
      </c>
      <c r="N27" s="18" t="s">
        <v>11032</v>
      </c>
      <c r="O27" s="18" t="s">
        <v>75</v>
      </c>
      <c r="P27" s="18" t="s">
        <v>11033</v>
      </c>
      <c r="Q27" s="18" t="s">
        <v>10817</v>
      </c>
      <c r="R27" s="18" t="s">
        <v>78</v>
      </c>
      <c r="S27" s="18" t="s">
        <v>77</v>
      </c>
      <c r="T27" s="22">
        <v>44915</v>
      </c>
      <c r="U27" s="18"/>
      <c r="V27" s="18" t="s">
        <v>81</v>
      </c>
      <c r="W27" s="18" t="s">
        <v>79</v>
      </c>
      <c r="X27" s="18" t="s">
        <v>10803</v>
      </c>
      <c r="Y27" s="18" t="s">
        <v>251</v>
      </c>
      <c r="Z27" s="18" t="s">
        <v>252</v>
      </c>
      <c r="AA27" s="18" t="s">
        <v>7062</v>
      </c>
      <c r="AB27" s="18" t="s">
        <v>95</v>
      </c>
      <c r="AC27" s="18" t="s">
        <v>7984</v>
      </c>
      <c r="AD27" s="18" t="s">
        <v>10804</v>
      </c>
      <c r="AE27" s="18" t="s">
        <v>174</v>
      </c>
      <c r="AF27" s="18" t="s">
        <v>95</v>
      </c>
      <c r="AG27" s="18" t="s">
        <v>83</v>
      </c>
      <c r="AH27" s="18" t="s">
        <v>83</v>
      </c>
      <c r="AI27" s="18" t="s">
        <v>81</v>
      </c>
      <c r="AJ27" s="18" t="s">
        <v>118</v>
      </c>
      <c r="AK27" s="18" t="s">
        <v>95</v>
      </c>
      <c r="AL27" s="18" t="s">
        <v>10864</v>
      </c>
      <c r="AM27" s="18" t="s">
        <v>85</v>
      </c>
      <c r="AN27" s="18" t="s">
        <v>7031</v>
      </c>
      <c r="AO27" s="18" t="s">
        <v>86</v>
      </c>
      <c r="AP27" s="18" t="s">
        <v>90</v>
      </c>
      <c r="AQ27" s="18" t="s">
        <v>8002</v>
      </c>
      <c r="AR27" s="18" t="s">
        <v>177</v>
      </c>
      <c r="AS27" s="18" t="s">
        <v>139</v>
      </c>
      <c r="AT27" s="18" t="s">
        <v>95</v>
      </c>
      <c r="AU27" s="18" t="s">
        <v>95</v>
      </c>
      <c r="AV27" s="18" t="s">
        <v>7037</v>
      </c>
      <c r="AW27" s="18" t="s">
        <v>95</v>
      </c>
      <c r="AX27" s="18" t="s">
        <v>10806</v>
      </c>
      <c r="AY27" s="18" t="s">
        <v>95</v>
      </c>
      <c r="AZ27" s="18" t="s">
        <v>95</v>
      </c>
      <c r="BA27" s="18" t="s">
        <v>95</v>
      </c>
      <c r="BB27" s="18" t="s">
        <v>95</v>
      </c>
      <c r="BC27" s="18" t="s">
        <v>95</v>
      </c>
      <c r="BD27" s="18" t="s">
        <v>10829</v>
      </c>
      <c r="BE27" s="18" t="s">
        <v>11034</v>
      </c>
      <c r="BF27" s="18" t="s">
        <v>10809</v>
      </c>
      <c r="BG27" s="18" t="s">
        <v>7030</v>
      </c>
      <c r="BH27" s="18"/>
      <c r="BI27" s="18"/>
      <c r="BJ27" s="18" t="s">
        <v>251</v>
      </c>
      <c r="BK27" s="18" t="s">
        <v>11035</v>
      </c>
      <c r="BL27" s="18" t="s">
        <v>10811</v>
      </c>
      <c r="BM27" s="18" t="s">
        <v>139</v>
      </c>
      <c r="BN27" s="18" t="s">
        <v>85</v>
      </c>
      <c r="BO27" s="18">
        <v>0</v>
      </c>
      <c r="BP27" s="18" t="s">
        <v>10812</v>
      </c>
      <c r="BQ27" s="18" t="str">
        <f>VLOOKUP(Prepago[[#This Row],[NOM_PLAZA]],[1]!Locales[#Data],3,0)</f>
        <v>TIENDA RECREO</v>
      </c>
      <c r="BR27" s="18" t="str">
        <f>VLOOKUP(Prepago[[#This Row],[CODIGO_USUARIO]],[1]!Personal[#Data],6,0)</f>
        <v>CRUZ MONTUFAR KATHERINE ALEJANDRA</v>
      </c>
      <c r="BS27" s="18">
        <f>DAY(Prepago[[#This Row],[FECHA_ALTA]])</f>
        <v>18</v>
      </c>
    </row>
    <row r="28" spans="1:71" x14ac:dyDescent="0.25">
      <c r="A28" s="18" t="s">
        <v>96</v>
      </c>
      <c r="B28" s="18" t="s">
        <v>11036</v>
      </c>
      <c r="C28" s="18" t="s">
        <v>11037</v>
      </c>
      <c r="D28" s="18" t="s">
        <v>11038</v>
      </c>
      <c r="E28" s="22">
        <v>44907</v>
      </c>
      <c r="F28" s="18" t="s">
        <v>67</v>
      </c>
      <c r="G28" s="18" t="s">
        <v>11039</v>
      </c>
      <c r="H28" s="18" t="s">
        <v>11040</v>
      </c>
      <c r="I28" s="18" t="s">
        <v>193</v>
      </c>
      <c r="J28" s="18" t="s">
        <v>8102</v>
      </c>
      <c r="K28" s="18" t="s">
        <v>8103</v>
      </c>
      <c r="L28" s="18" t="s">
        <v>259</v>
      </c>
      <c r="M28" s="18" t="s">
        <v>7037</v>
      </c>
      <c r="N28" s="18" t="s">
        <v>11041</v>
      </c>
      <c r="O28" s="18" t="s">
        <v>75</v>
      </c>
      <c r="P28" s="18" t="s">
        <v>11042</v>
      </c>
      <c r="Q28" s="18" t="s">
        <v>10817</v>
      </c>
      <c r="R28" s="18" t="s">
        <v>78</v>
      </c>
      <c r="S28" s="18" t="s">
        <v>77</v>
      </c>
      <c r="T28" s="22">
        <v>44915</v>
      </c>
      <c r="U28" s="18"/>
      <c r="V28" s="18" t="s">
        <v>81</v>
      </c>
      <c r="W28" s="18" t="s">
        <v>79</v>
      </c>
      <c r="X28" s="18" t="s">
        <v>10803</v>
      </c>
      <c r="Y28" s="18" t="s">
        <v>822</v>
      </c>
      <c r="Z28" s="18" t="s">
        <v>823</v>
      </c>
      <c r="AA28" s="18" t="s">
        <v>7062</v>
      </c>
      <c r="AB28" s="18" t="s">
        <v>95</v>
      </c>
      <c r="AC28" s="18" t="s">
        <v>7984</v>
      </c>
      <c r="AD28" s="18" t="s">
        <v>10804</v>
      </c>
      <c r="AE28" s="18" t="s">
        <v>174</v>
      </c>
      <c r="AF28" s="18" t="s">
        <v>95</v>
      </c>
      <c r="AG28" s="18" t="s">
        <v>83</v>
      </c>
      <c r="AH28" s="18" t="s">
        <v>83</v>
      </c>
      <c r="AI28" s="18" t="s">
        <v>81</v>
      </c>
      <c r="AJ28" s="18" t="s">
        <v>118</v>
      </c>
      <c r="AK28" s="18" t="s">
        <v>95</v>
      </c>
      <c r="AL28" s="18" t="s">
        <v>10828</v>
      </c>
      <c r="AM28" s="18" t="s">
        <v>85</v>
      </c>
      <c r="AN28" s="18" t="s">
        <v>7031</v>
      </c>
      <c r="AO28" s="18" t="s">
        <v>86</v>
      </c>
      <c r="AP28" s="18" t="s">
        <v>90</v>
      </c>
      <c r="AQ28" s="18" t="s">
        <v>8002</v>
      </c>
      <c r="AR28" s="18" t="s">
        <v>177</v>
      </c>
      <c r="AS28" s="18" t="s">
        <v>139</v>
      </c>
      <c r="AT28" s="18" t="s">
        <v>95</v>
      </c>
      <c r="AU28" s="18" t="s">
        <v>95</v>
      </c>
      <c r="AV28" s="18" t="s">
        <v>7037</v>
      </c>
      <c r="AW28" s="18" t="s">
        <v>95</v>
      </c>
      <c r="AX28" s="18" t="s">
        <v>10806</v>
      </c>
      <c r="AY28" s="18" t="s">
        <v>95</v>
      </c>
      <c r="AZ28" s="18" t="s">
        <v>95</v>
      </c>
      <c r="BA28" s="18" t="s">
        <v>95</v>
      </c>
      <c r="BB28" s="18" t="s">
        <v>95</v>
      </c>
      <c r="BC28" s="18" t="s">
        <v>95</v>
      </c>
      <c r="BD28" s="18" t="s">
        <v>10829</v>
      </c>
      <c r="BE28" s="18" t="s">
        <v>11043</v>
      </c>
      <c r="BF28" s="18" t="s">
        <v>10809</v>
      </c>
      <c r="BG28" s="18" t="s">
        <v>7030</v>
      </c>
      <c r="BH28" s="18"/>
      <c r="BI28" s="18"/>
      <c r="BJ28" s="18" t="s">
        <v>822</v>
      </c>
      <c r="BK28" s="18" t="s">
        <v>11044</v>
      </c>
      <c r="BL28" s="18" t="s">
        <v>10811</v>
      </c>
      <c r="BM28" s="18" t="s">
        <v>139</v>
      </c>
      <c r="BN28" s="18" t="s">
        <v>85</v>
      </c>
      <c r="BO28" s="18">
        <v>0</v>
      </c>
      <c r="BP28" s="18" t="s">
        <v>10812</v>
      </c>
      <c r="BQ28" s="18" t="str">
        <f>VLOOKUP(Prepago[[#This Row],[NOM_PLAZA]],[1]!Locales[#Data],3,0)</f>
        <v>TIENDA RECREO</v>
      </c>
      <c r="BR28" s="18" t="str">
        <f>VLOOKUP(Prepago[[#This Row],[CODIGO_USUARIO]],[1]!Personal[#Data],6,0)</f>
        <v>SALAS PARRA MARIA JOSE</v>
      </c>
      <c r="BS28" s="18">
        <f>DAY(Prepago[[#This Row],[FECHA_ALTA]])</f>
        <v>12</v>
      </c>
    </row>
    <row r="29" spans="1:71" x14ac:dyDescent="0.25">
      <c r="A29" s="18" t="s">
        <v>96</v>
      </c>
      <c r="B29" s="18" t="s">
        <v>11045</v>
      </c>
      <c r="C29" s="18" t="s">
        <v>11046</v>
      </c>
      <c r="D29" s="18" t="s">
        <v>11047</v>
      </c>
      <c r="E29" s="22">
        <v>44911</v>
      </c>
      <c r="F29" s="18" t="s">
        <v>67</v>
      </c>
      <c r="G29" s="18" t="s">
        <v>11048</v>
      </c>
      <c r="H29" s="18" t="s">
        <v>11049</v>
      </c>
      <c r="I29" s="18" t="s">
        <v>70</v>
      </c>
      <c r="J29" s="18" t="s">
        <v>8102</v>
      </c>
      <c r="K29" s="18" t="s">
        <v>8103</v>
      </c>
      <c r="L29" s="18" t="s">
        <v>95</v>
      </c>
      <c r="M29" s="18" t="s">
        <v>7037</v>
      </c>
      <c r="N29" s="18" t="s">
        <v>11050</v>
      </c>
      <c r="O29" s="18" t="s">
        <v>75</v>
      </c>
      <c r="P29" s="18" t="s">
        <v>11051</v>
      </c>
      <c r="Q29" s="18" t="s">
        <v>4453</v>
      </c>
      <c r="R29" s="18" t="s">
        <v>78</v>
      </c>
      <c r="S29" s="18" t="s">
        <v>77</v>
      </c>
      <c r="T29" s="22">
        <v>44915</v>
      </c>
      <c r="U29" s="18"/>
      <c r="V29" s="18" t="s">
        <v>81</v>
      </c>
      <c r="W29" s="18" t="s">
        <v>79</v>
      </c>
      <c r="X29" s="18" t="s">
        <v>10803</v>
      </c>
      <c r="Y29" s="18" t="s">
        <v>1315</v>
      </c>
      <c r="Z29" s="18" t="s">
        <v>1316</v>
      </c>
      <c r="AA29" s="18" t="s">
        <v>1315</v>
      </c>
      <c r="AB29" s="18" t="s">
        <v>1316</v>
      </c>
      <c r="AC29" s="18" t="s">
        <v>7984</v>
      </c>
      <c r="AD29" s="18" t="s">
        <v>10804</v>
      </c>
      <c r="AE29" s="18" t="s">
        <v>174</v>
      </c>
      <c r="AF29" s="18" t="s">
        <v>95</v>
      </c>
      <c r="AG29" s="18" t="s">
        <v>83</v>
      </c>
      <c r="AH29" s="18" t="s">
        <v>83</v>
      </c>
      <c r="AI29" s="18" t="s">
        <v>81</v>
      </c>
      <c r="AJ29" s="18" t="s">
        <v>118</v>
      </c>
      <c r="AK29" s="18" t="s">
        <v>95</v>
      </c>
      <c r="AL29" s="18" t="s">
        <v>11052</v>
      </c>
      <c r="AM29" s="18" t="s">
        <v>85</v>
      </c>
      <c r="AN29" s="18" t="s">
        <v>7031</v>
      </c>
      <c r="AO29" s="18" t="s">
        <v>86</v>
      </c>
      <c r="AP29" s="18" t="s">
        <v>90</v>
      </c>
      <c r="AQ29" s="18" t="s">
        <v>8002</v>
      </c>
      <c r="AR29" s="18" t="s">
        <v>177</v>
      </c>
      <c r="AS29" s="18" t="s">
        <v>139</v>
      </c>
      <c r="AT29" s="18" t="s">
        <v>95</v>
      </c>
      <c r="AU29" s="18" t="s">
        <v>95</v>
      </c>
      <c r="AV29" s="18" t="s">
        <v>7037</v>
      </c>
      <c r="AW29" s="18" t="s">
        <v>95</v>
      </c>
      <c r="AX29" s="18" t="s">
        <v>10806</v>
      </c>
      <c r="AY29" s="18" t="s">
        <v>95</v>
      </c>
      <c r="AZ29" s="18" t="s">
        <v>95</v>
      </c>
      <c r="BA29" s="18" t="s">
        <v>95</v>
      </c>
      <c r="BB29" s="18" t="s">
        <v>95</v>
      </c>
      <c r="BC29" s="18" t="s">
        <v>95</v>
      </c>
      <c r="BD29" s="18" t="s">
        <v>10829</v>
      </c>
      <c r="BE29" s="18" t="s">
        <v>11053</v>
      </c>
      <c r="BF29" s="18" t="s">
        <v>10809</v>
      </c>
      <c r="BG29" s="18" t="s">
        <v>7030</v>
      </c>
      <c r="BH29" s="18"/>
      <c r="BI29" s="18"/>
      <c r="BJ29" s="18" t="s">
        <v>1315</v>
      </c>
      <c r="BK29" s="18" t="s">
        <v>11054</v>
      </c>
      <c r="BL29" s="18" t="s">
        <v>10811</v>
      </c>
      <c r="BM29" s="18" t="s">
        <v>139</v>
      </c>
      <c r="BN29" s="18" t="s">
        <v>85</v>
      </c>
      <c r="BO29" s="18">
        <v>0</v>
      </c>
      <c r="BP29" s="18" t="s">
        <v>10812</v>
      </c>
      <c r="BQ29" s="18" t="str">
        <f>VLOOKUP(Prepago[[#This Row],[NOM_PLAZA]],[1]!Locales[#Data],3,0)</f>
        <v>TIENDA RECREO</v>
      </c>
      <c r="BR29" s="18" t="str">
        <f>VLOOKUP(Prepago[[#This Row],[CODIGO_USUARIO]],[1]!Personal[#Data],6,0)</f>
        <v>ORTEGA  NATALIE MÉNDEZ</v>
      </c>
      <c r="BS29" s="18">
        <f>DAY(Prepago[[#This Row],[FECHA_ALTA]])</f>
        <v>16</v>
      </c>
    </row>
    <row r="30" spans="1:71" x14ac:dyDescent="0.25">
      <c r="A30" s="18" t="s">
        <v>96</v>
      </c>
      <c r="B30" s="18" t="s">
        <v>11055</v>
      </c>
      <c r="C30" s="18" t="s">
        <v>11056</v>
      </c>
      <c r="D30" s="18" t="s">
        <v>11057</v>
      </c>
      <c r="E30" s="22">
        <v>44913</v>
      </c>
      <c r="F30" s="18" t="s">
        <v>67</v>
      </c>
      <c r="G30" s="18" t="s">
        <v>11058</v>
      </c>
      <c r="H30" s="18" t="s">
        <v>11059</v>
      </c>
      <c r="I30" s="18" t="s">
        <v>70</v>
      </c>
      <c r="J30" s="18" t="s">
        <v>8102</v>
      </c>
      <c r="K30" s="18" t="s">
        <v>8103</v>
      </c>
      <c r="L30" s="18" t="s">
        <v>73</v>
      </c>
      <c r="M30" s="18" t="s">
        <v>7037</v>
      </c>
      <c r="N30" s="18" t="s">
        <v>11060</v>
      </c>
      <c r="O30" s="18" t="s">
        <v>75</v>
      </c>
      <c r="P30" s="18" t="s">
        <v>11061</v>
      </c>
      <c r="Q30" s="18" t="s">
        <v>1532</v>
      </c>
      <c r="R30" s="18" t="s">
        <v>78</v>
      </c>
      <c r="S30" s="18" t="s">
        <v>77</v>
      </c>
      <c r="T30" s="22">
        <v>44915</v>
      </c>
      <c r="U30" s="18"/>
      <c r="V30" s="18" t="s">
        <v>81</v>
      </c>
      <c r="W30" s="18" t="s">
        <v>79</v>
      </c>
      <c r="X30" s="18" t="s">
        <v>10803</v>
      </c>
      <c r="Y30" s="18" t="s">
        <v>369</v>
      </c>
      <c r="Z30" s="18" t="s">
        <v>370</v>
      </c>
      <c r="AA30" s="18" t="s">
        <v>7062</v>
      </c>
      <c r="AB30" s="18" t="s">
        <v>95</v>
      </c>
      <c r="AC30" s="18" t="s">
        <v>7984</v>
      </c>
      <c r="AD30" s="18" t="s">
        <v>10804</v>
      </c>
      <c r="AE30" s="18" t="s">
        <v>174</v>
      </c>
      <c r="AF30" s="18" t="s">
        <v>95</v>
      </c>
      <c r="AG30" s="18" t="s">
        <v>83</v>
      </c>
      <c r="AH30" s="18" t="s">
        <v>83</v>
      </c>
      <c r="AI30" s="18" t="s">
        <v>81</v>
      </c>
      <c r="AJ30" s="18" t="s">
        <v>118</v>
      </c>
      <c r="AK30" s="18" t="s">
        <v>95</v>
      </c>
      <c r="AL30" s="18" t="s">
        <v>11062</v>
      </c>
      <c r="AM30" s="18" t="s">
        <v>85</v>
      </c>
      <c r="AN30" s="18" t="s">
        <v>7031</v>
      </c>
      <c r="AO30" s="18" t="s">
        <v>86</v>
      </c>
      <c r="AP30" s="18" t="s">
        <v>90</v>
      </c>
      <c r="AQ30" s="18" t="s">
        <v>8002</v>
      </c>
      <c r="AR30" s="18" t="s">
        <v>177</v>
      </c>
      <c r="AS30" s="18" t="s">
        <v>139</v>
      </c>
      <c r="AT30" s="18" t="s">
        <v>95</v>
      </c>
      <c r="AU30" s="18" t="s">
        <v>95</v>
      </c>
      <c r="AV30" s="18" t="s">
        <v>7037</v>
      </c>
      <c r="AW30" s="18" t="s">
        <v>95</v>
      </c>
      <c r="AX30" s="18" t="s">
        <v>10806</v>
      </c>
      <c r="AY30" s="18" t="s">
        <v>95</v>
      </c>
      <c r="AZ30" s="18" t="s">
        <v>95</v>
      </c>
      <c r="BA30" s="18" t="s">
        <v>95</v>
      </c>
      <c r="BB30" s="18" t="s">
        <v>95</v>
      </c>
      <c r="BC30" s="18" t="s">
        <v>95</v>
      </c>
      <c r="BD30" s="18" t="s">
        <v>10807</v>
      </c>
      <c r="BE30" s="18" t="s">
        <v>10808</v>
      </c>
      <c r="BF30" s="18" t="s">
        <v>10809</v>
      </c>
      <c r="BG30" s="18" t="s">
        <v>7030</v>
      </c>
      <c r="BH30" s="18"/>
      <c r="BI30" s="18"/>
      <c r="BJ30" s="18" t="s">
        <v>369</v>
      </c>
      <c r="BK30" s="18" t="s">
        <v>11063</v>
      </c>
      <c r="BL30" s="18" t="s">
        <v>10811</v>
      </c>
      <c r="BM30" s="18" t="s">
        <v>139</v>
      </c>
      <c r="BN30" s="18" t="s">
        <v>85</v>
      </c>
      <c r="BO30" s="18">
        <v>0</v>
      </c>
      <c r="BP30" s="18" t="s">
        <v>10812</v>
      </c>
      <c r="BQ30" s="18" t="str">
        <f>VLOOKUP(Prepago[[#This Row],[NOM_PLAZA]],[1]!Locales[#Data],3,0)</f>
        <v>TIENDA RECREO</v>
      </c>
      <c r="BR30" s="18" t="str">
        <f>VLOOKUP(Prepago[[#This Row],[CODIGO_USUARIO]],[1]!Personal[#Data],6,0)</f>
        <v>GUAIGUA REINOSO GENESIS CAROLINA</v>
      </c>
      <c r="BS30" s="18">
        <f>DAY(Prepago[[#This Row],[FECHA_ALTA]])</f>
        <v>18</v>
      </c>
    </row>
    <row r="31" spans="1:71" x14ac:dyDescent="0.25">
      <c r="A31" s="18" t="s">
        <v>96</v>
      </c>
      <c r="B31" s="18" t="s">
        <v>11064</v>
      </c>
      <c r="C31" s="18" t="s">
        <v>11065</v>
      </c>
      <c r="D31" s="18" t="s">
        <v>11066</v>
      </c>
      <c r="E31" s="22">
        <v>44906</v>
      </c>
      <c r="F31" s="18" t="s">
        <v>67</v>
      </c>
      <c r="G31" s="18" t="s">
        <v>11067</v>
      </c>
      <c r="H31" s="18" t="s">
        <v>11068</v>
      </c>
      <c r="I31" s="18" t="s">
        <v>70</v>
      </c>
      <c r="J31" s="18" t="s">
        <v>8102</v>
      </c>
      <c r="K31" s="18" t="s">
        <v>8103</v>
      </c>
      <c r="L31" s="18" t="s">
        <v>95</v>
      </c>
      <c r="M31" s="18" t="s">
        <v>7037</v>
      </c>
      <c r="N31" s="18" t="s">
        <v>11069</v>
      </c>
      <c r="O31" s="18" t="s">
        <v>75</v>
      </c>
      <c r="P31" s="18" t="s">
        <v>11070</v>
      </c>
      <c r="Q31" s="18" t="s">
        <v>4453</v>
      </c>
      <c r="R31" s="18" t="s">
        <v>78</v>
      </c>
      <c r="S31" s="18" t="s">
        <v>77</v>
      </c>
      <c r="T31" s="22">
        <v>44915</v>
      </c>
      <c r="U31" s="18"/>
      <c r="V31" s="18" t="s">
        <v>81</v>
      </c>
      <c r="W31" s="18" t="s">
        <v>79</v>
      </c>
      <c r="X31" s="18" t="s">
        <v>10803</v>
      </c>
      <c r="Y31" s="18" t="s">
        <v>251</v>
      </c>
      <c r="Z31" s="18" t="s">
        <v>252</v>
      </c>
      <c r="AA31" s="18" t="s">
        <v>251</v>
      </c>
      <c r="AB31" s="18" t="s">
        <v>252</v>
      </c>
      <c r="AC31" s="18" t="s">
        <v>7984</v>
      </c>
      <c r="AD31" s="18" t="s">
        <v>10804</v>
      </c>
      <c r="AE31" s="18" t="s">
        <v>174</v>
      </c>
      <c r="AF31" s="18" t="s">
        <v>95</v>
      </c>
      <c r="AG31" s="18" t="s">
        <v>83</v>
      </c>
      <c r="AH31" s="18" t="s">
        <v>83</v>
      </c>
      <c r="AI31" s="18" t="s">
        <v>81</v>
      </c>
      <c r="AJ31" s="18" t="s">
        <v>118</v>
      </c>
      <c r="AK31" s="18" t="s">
        <v>95</v>
      </c>
      <c r="AL31" s="18" t="s">
        <v>10864</v>
      </c>
      <c r="AM31" s="18" t="s">
        <v>85</v>
      </c>
      <c r="AN31" s="18" t="s">
        <v>7031</v>
      </c>
      <c r="AO31" s="18" t="s">
        <v>86</v>
      </c>
      <c r="AP31" s="18" t="s">
        <v>90</v>
      </c>
      <c r="AQ31" s="18" t="s">
        <v>8002</v>
      </c>
      <c r="AR31" s="18" t="s">
        <v>177</v>
      </c>
      <c r="AS31" s="18" t="s">
        <v>139</v>
      </c>
      <c r="AT31" s="18" t="s">
        <v>95</v>
      </c>
      <c r="AU31" s="18" t="s">
        <v>95</v>
      </c>
      <c r="AV31" s="18" t="s">
        <v>7037</v>
      </c>
      <c r="AW31" s="18" t="s">
        <v>95</v>
      </c>
      <c r="AX31" s="18" t="s">
        <v>10806</v>
      </c>
      <c r="AY31" s="18" t="s">
        <v>95</v>
      </c>
      <c r="AZ31" s="18" t="s">
        <v>95</v>
      </c>
      <c r="BA31" s="18" t="s">
        <v>95</v>
      </c>
      <c r="BB31" s="18" t="s">
        <v>95</v>
      </c>
      <c r="BC31" s="18" t="s">
        <v>95</v>
      </c>
      <c r="BD31" s="18" t="s">
        <v>10807</v>
      </c>
      <c r="BE31" s="18" t="s">
        <v>11071</v>
      </c>
      <c r="BF31" s="18" t="s">
        <v>10809</v>
      </c>
      <c r="BG31" s="18" t="s">
        <v>7030</v>
      </c>
      <c r="BH31" s="18"/>
      <c r="BI31" s="18"/>
      <c r="BJ31" s="18" t="s">
        <v>251</v>
      </c>
      <c r="BK31" s="18" t="s">
        <v>11072</v>
      </c>
      <c r="BL31" s="18" t="s">
        <v>10811</v>
      </c>
      <c r="BM31" s="18" t="s">
        <v>139</v>
      </c>
      <c r="BN31" s="18" t="s">
        <v>85</v>
      </c>
      <c r="BO31" s="18">
        <v>0</v>
      </c>
      <c r="BP31" s="18" t="s">
        <v>10812</v>
      </c>
      <c r="BQ31" s="18" t="str">
        <f>VLOOKUP(Prepago[[#This Row],[NOM_PLAZA]],[1]!Locales[#Data],3,0)</f>
        <v>TIENDA RECREO</v>
      </c>
      <c r="BR31" s="18" t="str">
        <f>VLOOKUP(Prepago[[#This Row],[CODIGO_USUARIO]],[1]!Personal[#Data],6,0)</f>
        <v>CRUZ MONTUFAR KATHERINE ALEJANDRA</v>
      </c>
      <c r="BS31" s="18">
        <f>DAY(Prepago[[#This Row],[FECHA_ALTA]])</f>
        <v>11</v>
      </c>
    </row>
    <row r="32" spans="1:71" x14ac:dyDescent="0.25">
      <c r="A32" s="18" t="s">
        <v>96</v>
      </c>
      <c r="B32" s="18" t="s">
        <v>11073</v>
      </c>
      <c r="C32" s="18" t="s">
        <v>11074</v>
      </c>
      <c r="D32" s="18" t="s">
        <v>11075</v>
      </c>
      <c r="E32" s="22">
        <v>44904</v>
      </c>
      <c r="F32" s="18" t="s">
        <v>67</v>
      </c>
      <c r="G32" s="18" t="s">
        <v>11076</v>
      </c>
      <c r="H32" s="18" t="s">
        <v>11077</v>
      </c>
      <c r="I32" s="18" t="s">
        <v>70</v>
      </c>
      <c r="J32" s="18" t="s">
        <v>8102</v>
      </c>
      <c r="K32" s="18" t="s">
        <v>8103</v>
      </c>
      <c r="L32" s="18" t="s">
        <v>132</v>
      </c>
      <c r="M32" s="18" t="s">
        <v>7037</v>
      </c>
      <c r="N32" s="18" t="s">
        <v>11078</v>
      </c>
      <c r="O32" s="18" t="s">
        <v>75</v>
      </c>
      <c r="P32" s="18" t="s">
        <v>11079</v>
      </c>
      <c r="Q32" s="18" t="s">
        <v>10817</v>
      </c>
      <c r="R32" s="18" t="s">
        <v>78</v>
      </c>
      <c r="S32" s="18" t="s">
        <v>77</v>
      </c>
      <c r="T32" s="22">
        <v>44915</v>
      </c>
      <c r="U32" s="18"/>
      <c r="V32" s="18" t="s">
        <v>81</v>
      </c>
      <c r="W32" s="18" t="s">
        <v>79</v>
      </c>
      <c r="X32" s="18" t="s">
        <v>10803</v>
      </c>
      <c r="Y32" s="18" t="s">
        <v>2159</v>
      </c>
      <c r="Z32" s="18" t="s">
        <v>2160</v>
      </c>
      <c r="AA32" s="18" t="s">
        <v>7062</v>
      </c>
      <c r="AB32" s="18" t="s">
        <v>95</v>
      </c>
      <c r="AC32" s="18" t="s">
        <v>7984</v>
      </c>
      <c r="AD32" s="18" t="s">
        <v>10804</v>
      </c>
      <c r="AE32" s="18" t="s">
        <v>174</v>
      </c>
      <c r="AF32" s="18" t="s">
        <v>95</v>
      </c>
      <c r="AG32" s="18" t="s">
        <v>83</v>
      </c>
      <c r="AH32" s="18" t="s">
        <v>83</v>
      </c>
      <c r="AI32" s="18" t="s">
        <v>81</v>
      </c>
      <c r="AJ32" s="18" t="s">
        <v>118</v>
      </c>
      <c r="AK32" s="18" t="s">
        <v>95</v>
      </c>
      <c r="AL32" s="18" t="s">
        <v>11080</v>
      </c>
      <c r="AM32" s="18" t="s">
        <v>85</v>
      </c>
      <c r="AN32" s="18" t="s">
        <v>7031</v>
      </c>
      <c r="AO32" s="18" t="s">
        <v>86</v>
      </c>
      <c r="AP32" s="18" t="s">
        <v>90</v>
      </c>
      <c r="AQ32" s="18" t="s">
        <v>8002</v>
      </c>
      <c r="AR32" s="18" t="s">
        <v>177</v>
      </c>
      <c r="AS32" s="18" t="s">
        <v>139</v>
      </c>
      <c r="AT32" s="18" t="s">
        <v>95</v>
      </c>
      <c r="AU32" s="18" t="s">
        <v>95</v>
      </c>
      <c r="AV32" s="18" t="s">
        <v>7037</v>
      </c>
      <c r="AW32" s="18" t="s">
        <v>95</v>
      </c>
      <c r="AX32" s="18" t="s">
        <v>10806</v>
      </c>
      <c r="AY32" s="18" t="s">
        <v>95</v>
      </c>
      <c r="AZ32" s="18" t="s">
        <v>95</v>
      </c>
      <c r="BA32" s="18" t="s">
        <v>95</v>
      </c>
      <c r="BB32" s="18" t="s">
        <v>95</v>
      </c>
      <c r="BC32" s="18" t="s">
        <v>95</v>
      </c>
      <c r="BD32" s="18" t="s">
        <v>10829</v>
      </c>
      <c r="BE32" s="18" t="s">
        <v>11081</v>
      </c>
      <c r="BF32" s="18" t="s">
        <v>10809</v>
      </c>
      <c r="BG32" s="18" t="s">
        <v>7030</v>
      </c>
      <c r="BH32" s="18"/>
      <c r="BI32" s="18"/>
      <c r="BJ32" s="18" t="s">
        <v>2159</v>
      </c>
      <c r="BK32" s="18" t="s">
        <v>11082</v>
      </c>
      <c r="BL32" s="18" t="s">
        <v>10811</v>
      </c>
      <c r="BM32" s="18" t="s">
        <v>139</v>
      </c>
      <c r="BN32" s="18" t="s">
        <v>85</v>
      </c>
      <c r="BO32" s="18">
        <v>0</v>
      </c>
      <c r="BP32" s="18" t="s">
        <v>10812</v>
      </c>
      <c r="BQ32" s="18" t="str">
        <f>VLOOKUP(Prepago[[#This Row],[NOM_PLAZA]],[1]!Locales[#Data],3,0)</f>
        <v>TIENDA RECREO</v>
      </c>
      <c r="BR32" s="18" t="str">
        <f>VLOOKUP(Prepago[[#This Row],[CODIGO_USUARIO]],[1]!Personal[#Data],6,0)</f>
        <v>GUEVARA MAZA CRISTIAN FABIAN</v>
      </c>
      <c r="BS32" s="18">
        <f>DAY(Prepago[[#This Row],[FECHA_ALTA]])</f>
        <v>9</v>
      </c>
    </row>
    <row r="33" spans="1:71" x14ac:dyDescent="0.25">
      <c r="A33" s="18" t="s">
        <v>96</v>
      </c>
      <c r="B33" s="18" t="s">
        <v>11083</v>
      </c>
      <c r="C33" s="18" t="s">
        <v>11084</v>
      </c>
      <c r="D33" s="18" t="s">
        <v>11085</v>
      </c>
      <c r="E33" s="22">
        <v>44902</v>
      </c>
      <c r="F33" s="18" t="s">
        <v>67</v>
      </c>
      <c r="G33" s="18" t="s">
        <v>11086</v>
      </c>
      <c r="H33" s="18" t="s">
        <v>11087</v>
      </c>
      <c r="I33" s="18" t="s">
        <v>70</v>
      </c>
      <c r="J33" s="18" t="s">
        <v>8102</v>
      </c>
      <c r="K33" s="18" t="s">
        <v>8103</v>
      </c>
      <c r="L33" s="18" t="s">
        <v>95</v>
      </c>
      <c r="M33" s="18" t="s">
        <v>7037</v>
      </c>
      <c r="N33" s="18" t="s">
        <v>11088</v>
      </c>
      <c r="O33" s="18" t="s">
        <v>75</v>
      </c>
      <c r="P33" s="18" t="s">
        <v>11089</v>
      </c>
      <c r="Q33" s="18" t="s">
        <v>4453</v>
      </c>
      <c r="R33" s="18" t="s">
        <v>78</v>
      </c>
      <c r="S33" s="18" t="s">
        <v>77</v>
      </c>
      <c r="T33" s="22">
        <v>44915</v>
      </c>
      <c r="U33" s="18"/>
      <c r="V33" s="18" t="s">
        <v>81</v>
      </c>
      <c r="W33" s="18" t="s">
        <v>79</v>
      </c>
      <c r="X33" s="18" t="s">
        <v>10803</v>
      </c>
      <c r="Y33" s="18" t="s">
        <v>187</v>
      </c>
      <c r="Z33" s="18" t="s">
        <v>188</v>
      </c>
      <c r="AA33" s="18" t="s">
        <v>7062</v>
      </c>
      <c r="AB33" s="18" t="s">
        <v>95</v>
      </c>
      <c r="AC33" s="18" t="s">
        <v>7984</v>
      </c>
      <c r="AD33" s="18" t="s">
        <v>10804</v>
      </c>
      <c r="AE33" s="18" t="s">
        <v>174</v>
      </c>
      <c r="AF33" s="18" t="s">
        <v>95</v>
      </c>
      <c r="AG33" s="18" t="s">
        <v>83</v>
      </c>
      <c r="AH33" s="18" t="s">
        <v>83</v>
      </c>
      <c r="AI33" s="18" t="s">
        <v>81</v>
      </c>
      <c r="AJ33" s="18" t="s">
        <v>118</v>
      </c>
      <c r="AK33" s="18" t="s">
        <v>95</v>
      </c>
      <c r="AL33" s="18" t="s">
        <v>10920</v>
      </c>
      <c r="AM33" s="18" t="s">
        <v>85</v>
      </c>
      <c r="AN33" s="18" t="s">
        <v>7031</v>
      </c>
      <c r="AO33" s="18" t="s">
        <v>86</v>
      </c>
      <c r="AP33" s="18" t="s">
        <v>90</v>
      </c>
      <c r="AQ33" s="18" t="s">
        <v>8002</v>
      </c>
      <c r="AR33" s="18" t="s">
        <v>177</v>
      </c>
      <c r="AS33" s="18" t="s">
        <v>139</v>
      </c>
      <c r="AT33" s="18" t="s">
        <v>95</v>
      </c>
      <c r="AU33" s="18" t="s">
        <v>95</v>
      </c>
      <c r="AV33" s="18" t="s">
        <v>7037</v>
      </c>
      <c r="AW33" s="18" t="s">
        <v>95</v>
      </c>
      <c r="AX33" s="18" t="s">
        <v>10806</v>
      </c>
      <c r="AY33" s="18" t="s">
        <v>95</v>
      </c>
      <c r="AZ33" s="18" t="s">
        <v>95</v>
      </c>
      <c r="BA33" s="18" t="s">
        <v>95</v>
      </c>
      <c r="BB33" s="18" t="s">
        <v>95</v>
      </c>
      <c r="BC33" s="18" t="s">
        <v>95</v>
      </c>
      <c r="BD33" s="18" t="s">
        <v>10807</v>
      </c>
      <c r="BE33" s="18" t="s">
        <v>95</v>
      </c>
      <c r="BF33" s="18" t="s">
        <v>10809</v>
      </c>
      <c r="BG33" s="18" t="s">
        <v>7030</v>
      </c>
      <c r="BH33" s="18"/>
      <c r="BI33" s="18"/>
      <c r="BJ33" s="18" t="s">
        <v>187</v>
      </c>
      <c r="BK33" s="18" t="s">
        <v>11090</v>
      </c>
      <c r="BL33" s="18" t="s">
        <v>10811</v>
      </c>
      <c r="BM33" s="18" t="s">
        <v>139</v>
      </c>
      <c r="BN33" s="18" t="s">
        <v>85</v>
      </c>
      <c r="BO33" s="18">
        <v>0</v>
      </c>
      <c r="BP33" s="18" t="s">
        <v>10812</v>
      </c>
      <c r="BQ33" s="18" t="str">
        <f>VLOOKUP(Prepago[[#This Row],[NOM_PLAZA]],[1]!Locales[#Data],3,0)</f>
        <v>TIENDA RECREO</v>
      </c>
      <c r="BR33" s="18" t="str">
        <f>VLOOKUP(Prepago[[#This Row],[CODIGO_USUARIO]],[1]!Personal[#Data],6,0)</f>
        <v>ESPINOZA MARTINES LAURA XIOMARA</v>
      </c>
      <c r="BS33" s="18">
        <f>DAY(Prepago[[#This Row],[FECHA_ALTA]])</f>
        <v>7</v>
      </c>
    </row>
    <row r="34" spans="1:71" x14ac:dyDescent="0.25">
      <c r="A34" s="18" t="s">
        <v>96</v>
      </c>
      <c r="B34" s="18" t="s">
        <v>9336</v>
      </c>
      <c r="C34" s="18" t="s">
        <v>9342</v>
      </c>
      <c r="D34" s="18" t="s">
        <v>9338</v>
      </c>
      <c r="E34" s="22">
        <v>44906</v>
      </c>
      <c r="F34" s="18" t="s">
        <v>67</v>
      </c>
      <c r="G34" s="18" t="s">
        <v>9339</v>
      </c>
      <c r="H34" s="18" t="s">
        <v>9340</v>
      </c>
      <c r="I34" s="18" t="s">
        <v>70</v>
      </c>
      <c r="J34" s="18" t="s">
        <v>8102</v>
      </c>
      <c r="K34" s="18" t="s">
        <v>8103</v>
      </c>
      <c r="L34" s="18" t="s">
        <v>73</v>
      </c>
      <c r="M34" s="18" t="s">
        <v>7029</v>
      </c>
      <c r="N34" s="18" t="s">
        <v>9341</v>
      </c>
      <c r="O34" s="18" t="s">
        <v>287</v>
      </c>
      <c r="P34" s="18" t="s">
        <v>11091</v>
      </c>
      <c r="Q34" s="18" t="s">
        <v>10817</v>
      </c>
      <c r="R34" s="18" t="s">
        <v>78</v>
      </c>
      <c r="S34" s="18" t="s">
        <v>77</v>
      </c>
      <c r="T34" s="22">
        <v>44915</v>
      </c>
      <c r="U34" s="18"/>
      <c r="V34" s="18" t="s">
        <v>81</v>
      </c>
      <c r="W34" s="18" t="s">
        <v>79</v>
      </c>
      <c r="X34" s="18" t="s">
        <v>10803</v>
      </c>
      <c r="Y34" s="18" t="s">
        <v>303</v>
      </c>
      <c r="Z34" s="18" t="s">
        <v>304</v>
      </c>
      <c r="AA34" s="18" t="s">
        <v>7062</v>
      </c>
      <c r="AB34" s="18" t="s">
        <v>95</v>
      </c>
      <c r="AC34" s="18" t="s">
        <v>7984</v>
      </c>
      <c r="AD34" s="18" t="s">
        <v>10804</v>
      </c>
      <c r="AE34" s="18" t="s">
        <v>174</v>
      </c>
      <c r="AF34" s="18" t="s">
        <v>95</v>
      </c>
      <c r="AG34" s="18" t="s">
        <v>83</v>
      </c>
      <c r="AH34" s="18" t="s">
        <v>83</v>
      </c>
      <c r="AI34" s="18" t="s">
        <v>81</v>
      </c>
      <c r="AJ34" s="18" t="s">
        <v>118</v>
      </c>
      <c r="AK34" s="18" t="s">
        <v>95</v>
      </c>
      <c r="AL34" s="18" t="s">
        <v>10805</v>
      </c>
      <c r="AM34" s="18" t="s">
        <v>85</v>
      </c>
      <c r="AN34" s="18" t="s">
        <v>7031</v>
      </c>
      <c r="AO34" s="18" t="s">
        <v>86</v>
      </c>
      <c r="AP34" s="18" t="s">
        <v>90</v>
      </c>
      <c r="AQ34" s="18" t="s">
        <v>8002</v>
      </c>
      <c r="AR34" s="18" t="s">
        <v>177</v>
      </c>
      <c r="AS34" s="18" t="s">
        <v>139</v>
      </c>
      <c r="AT34" s="18" t="s">
        <v>95</v>
      </c>
      <c r="AU34" s="18" t="s">
        <v>95</v>
      </c>
      <c r="AV34" s="18" t="s">
        <v>7029</v>
      </c>
      <c r="AW34" s="18" t="s">
        <v>95</v>
      </c>
      <c r="AX34" s="18" t="s">
        <v>10806</v>
      </c>
      <c r="AY34" s="18" t="s">
        <v>95</v>
      </c>
      <c r="AZ34" s="18" t="s">
        <v>95</v>
      </c>
      <c r="BA34" s="18" t="s">
        <v>95</v>
      </c>
      <c r="BB34" s="18" t="s">
        <v>95</v>
      </c>
      <c r="BC34" s="18" t="s">
        <v>95</v>
      </c>
      <c r="BD34" s="18" t="s">
        <v>10829</v>
      </c>
      <c r="BE34" s="18" t="s">
        <v>11092</v>
      </c>
      <c r="BF34" s="18" t="s">
        <v>10809</v>
      </c>
      <c r="BG34" s="18" t="s">
        <v>7030</v>
      </c>
      <c r="BH34" s="18"/>
      <c r="BI34" s="18"/>
      <c r="BJ34" s="18" t="s">
        <v>303</v>
      </c>
      <c r="BK34" s="18" t="s">
        <v>11093</v>
      </c>
      <c r="BL34" s="18" t="s">
        <v>10811</v>
      </c>
      <c r="BM34" s="18" t="s">
        <v>92</v>
      </c>
      <c r="BN34" s="18" t="s">
        <v>85</v>
      </c>
      <c r="BO34" s="18">
        <v>0</v>
      </c>
      <c r="BP34" s="18" t="s">
        <v>10812</v>
      </c>
      <c r="BQ34" s="18" t="str">
        <f>VLOOKUP(Prepago[[#This Row],[NOM_PLAZA]],[1]!Locales[#Data],3,0)</f>
        <v>TIENDA RECREO</v>
      </c>
      <c r="BR34" s="18" t="str">
        <f>VLOOKUP(Prepago[[#This Row],[CODIGO_USUARIO]],[1]!Personal[#Data],6,0)</f>
        <v>CORDOVA GAIBOR JONATHAN HERNAN</v>
      </c>
      <c r="BS34" s="18">
        <f>DAY(Prepago[[#This Row],[FECHA_ALTA]])</f>
        <v>11</v>
      </c>
    </row>
    <row r="35" spans="1:71" x14ac:dyDescent="0.25">
      <c r="A35" s="18" t="s">
        <v>96</v>
      </c>
      <c r="B35" s="18" t="s">
        <v>11094</v>
      </c>
      <c r="C35" s="18" t="s">
        <v>11095</v>
      </c>
      <c r="D35" s="18" t="s">
        <v>11096</v>
      </c>
      <c r="E35" s="22">
        <v>44899</v>
      </c>
      <c r="F35" s="18" t="s">
        <v>67</v>
      </c>
      <c r="G35" s="18" t="s">
        <v>11097</v>
      </c>
      <c r="H35" s="18" t="s">
        <v>11098</v>
      </c>
      <c r="I35" s="18" t="s">
        <v>70</v>
      </c>
      <c r="J35" s="18" t="s">
        <v>8102</v>
      </c>
      <c r="K35" s="18" t="s">
        <v>8103</v>
      </c>
      <c r="L35" s="18" t="s">
        <v>132</v>
      </c>
      <c r="M35" s="18" t="s">
        <v>7037</v>
      </c>
      <c r="N35" s="18" t="s">
        <v>11099</v>
      </c>
      <c r="O35" s="18" t="s">
        <v>75</v>
      </c>
      <c r="P35" s="18" t="s">
        <v>11100</v>
      </c>
      <c r="Q35" s="18" t="s">
        <v>10817</v>
      </c>
      <c r="R35" s="18" t="s">
        <v>78</v>
      </c>
      <c r="S35" s="18" t="s">
        <v>77</v>
      </c>
      <c r="T35" s="22">
        <v>44915</v>
      </c>
      <c r="U35" s="18"/>
      <c r="V35" s="18" t="s">
        <v>81</v>
      </c>
      <c r="W35" s="18" t="s">
        <v>79</v>
      </c>
      <c r="X35" s="18" t="s">
        <v>10803</v>
      </c>
      <c r="Y35" s="18" t="s">
        <v>303</v>
      </c>
      <c r="Z35" s="18" t="s">
        <v>304</v>
      </c>
      <c r="AA35" s="18" t="s">
        <v>7062</v>
      </c>
      <c r="AB35" s="18" t="s">
        <v>95</v>
      </c>
      <c r="AC35" s="18" t="s">
        <v>7984</v>
      </c>
      <c r="AD35" s="18" t="s">
        <v>10804</v>
      </c>
      <c r="AE35" s="18" t="s">
        <v>174</v>
      </c>
      <c r="AF35" s="18" t="s">
        <v>95</v>
      </c>
      <c r="AG35" s="18" t="s">
        <v>83</v>
      </c>
      <c r="AH35" s="18" t="s">
        <v>83</v>
      </c>
      <c r="AI35" s="18" t="s">
        <v>81</v>
      </c>
      <c r="AJ35" s="18" t="s">
        <v>118</v>
      </c>
      <c r="AK35" s="18" t="s">
        <v>95</v>
      </c>
      <c r="AL35" s="18" t="s">
        <v>10805</v>
      </c>
      <c r="AM35" s="18" t="s">
        <v>85</v>
      </c>
      <c r="AN35" s="18" t="s">
        <v>7031</v>
      </c>
      <c r="AO35" s="18" t="s">
        <v>86</v>
      </c>
      <c r="AP35" s="18" t="s">
        <v>90</v>
      </c>
      <c r="AQ35" s="18" t="s">
        <v>8002</v>
      </c>
      <c r="AR35" s="18" t="s">
        <v>177</v>
      </c>
      <c r="AS35" s="18" t="s">
        <v>139</v>
      </c>
      <c r="AT35" s="18" t="s">
        <v>95</v>
      </c>
      <c r="AU35" s="18" t="s">
        <v>95</v>
      </c>
      <c r="AV35" s="18" t="s">
        <v>7037</v>
      </c>
      <c r="AW35" s="18" t="s">
        <v>95</v>
      </c>
      <c r="AX35" s="18" t="s">
        <v>10806</v>
      </c>
      <c r="AY35" s="18" t="s">
        <v>95</v>
      </c>
      <c r="AZ35" s="18" t="s">
        <v>95</v>
      </c>
      <c r="BA35" s="18" t="s">
        <v>95</v>
      </c>
      <c r="BB35" s="18" t="s">
        <v>95</v>
      </c>
      <c r="BC35" s="18" t="s">
        <v>95</v>
      </c>
      <c r="BD35" s="18" t="s">
        <v>10829</v>
      </c>
      <c r="BE35" s="18" t="s">
        <v>11101</v>
      </c>
      <c r="BF35" s="18" t="s">
        <v>10809</v>
      </c>
      <c r="BG35" s="18" t="s">
        <v>7030</v>
      </c>
      <c r="BH35" s="18"/>
      <c r="BI35" s="18"/>
      <c r="BJ35" s="18" t="s">
        <v>303</v>
      </c>
      <c r="BK35" s="18" t="s">
        <v>11102</v>
      </c>
      <c r="BL35" s="18" t="s">
        <v>10811</v>
      </c>
      <c r="BM35" s="18" t="s">
        <v>139</v>
      </c>
      <c r="BN35" s="18" t="s">
        <v>85</v>
      </c>
      <c r="BO35" s="18">
        <v>1</v>
      </c>
      <c r="BP35" s="18" t="s">
        <v>10812</v>
      </c>
      <c r="BQ35" s="18" t="str">
        <f>VLOOKUP(Prepago[[#This Row],[NOM_PLAZA]],[1]!Locales[#Data],3,0)</f>
        <v>TIENDA RECREO</v>
      </c>
      <c r="BR35" s="18" t="str">
        <f>VLOOKUP(Prepago[[#This Row],[CODIGO_USUARIO]],[1]!Personal[#Data],6,0)</f>
        <v>CORDOVA GAIBOR JONATHAN HERNAN</v>
      </c>
      <c r="BS35" s="18">
        <f>DAY(Prepago[[#This Row],[FECHA_ALTA]])</f>
        <v>4</v>
      </c>
    </row>
    <row r="36" spans="1:71" x14ac:dyDescent="0.25">
      <c r="A36" s="18" t="s">
        <v>96</v>
      </c>
      <c r="B36" s="18" t="s">
        <v>11103</v>
      </c>
      <c r="C36" s="18" t="s">
        <v>11104</v>
      </c>
      <c r="D36" s="18" t="s">
        <v>10896</v>
      </c>
      <c r="E36" s="22">
        <v>44905</v>
      </c>
      <c r="F36" s="18" t="s">
        <v>67</v>
      </c>
      <c r="G36" s="18" t="s">
        <v>10897</v>
      </c>
      <c r="H36" s="18" t="s">
        <v>10898</v>
      </c>
      <c r="I36" s="18" t="s">
        <v>70</v>
      </c>
      <c r="J36" s="18" t="s">
        <v>8102</v>
      </c>
      <c r="K36" s="18" t="s">
        <v>8103</v>
      </c>
      <c r="L36" s="18" t="s">
        <v>95</v>
      </c>
      <c r="M36" s="18" t="s">
        <v>7037</v>
      </c>
      <c r="N36" s="18" t="s">
        <v>11105</v>
      </c>
      <c r="O36" s="18" t="s">
        <v>75</v>
      </c>
      <c r="P36" s="18" t="s">
        <v>11106</v>
      </c>
      <c r="Q36" s="18" t="s">
        <v>4453</v>
      </c>
      <c r="R36" s="18" t="s">
        <v>78</v>
      </c>
      <c r="S36" s="18" t="s">
        <v>77</v>
      </c>
      <c r="T36" s="22">
        <v>44915</v>
      </c>
      <c r="U36" s="18"/>
      <c r="V36" s="18" t="s">
        <v>81</v>
      </c>
      <c r="W36" s="18" t="s">
        <v>79</v>
      </c>
      <c r="X36" s="18" t="s">
        <v>10803</v>
      </c>
      <c r="Y36" s="18" t="s">
        <v>303</v>
      </c>
      <c r="Z36" s="18" t="s">
        <v>304</v>
      </c>
      <c r="AA36" s="18" t="s">
        <v>7062</v>
      </c>
      <c r="AB36" s="18" t="s">
        <v>95</v>
      </c>
      <c r="AC36" s="18" t="s">
        <v>7984</v>
      </c>
      <c r="AD36" s="18" t="s">
        <v>10804</v>
      </c>
      <c r="AE36" s="18" t="s">
        <v>174</v>
      </c>
      <c r="AF36" s="18" t="s">
        <v>95</v>
      </c>
      <c r="AG36" s="18" t="s">
        <v>83</v>
      </c>
      <c r="AH36" s="18" t="s">
        <v>83</v>
      </c>
      <c r="AI36" s="18" t="s">
        <v>81</v>
      </c>
      <c r="AJ36" s="18" t="s">
        <v>118</v>
      </c>
      <c r="AK36" s="18" t="s">
        <v>95</v>
      </c>
      <c r="AL36" s="18" t="s">
        <v>10805</v>
      </c>
      <c r="AM36" s="18" t="s">
        <v>85</v>
      </c>
      <c r="AN36" s="18" t="s">
        <v>7031</v>
      </c>
      <c r="AO36" s="18" t="s">
        <v>86</v>
      </c>
      <c r="AP36" s="18" t="s">
        <v>90</v>
      </c>
      <c r="AQ36" s="18" t="s">
        <v>8002</v>
      </c>
      <c r="AR36" s="18" t="s">
        <v>177</v>
      </c>
      <c r="AS36" s="18" t="s">
        <v>139</v>
      </c>
      <c r="AT36" s="18" t="s">
        <v>95</v>
      </c>
      <c r="AU36" s="18" t="s">
        <v>95</v>
      </c>
      <c r="AV36" s="18" t="s">
        <v>7037</v>
      </c>
      <c r="AW36" s="18" t="s">
        <v>95</v>
      </c>
      <c r="AX36" s="18" t="s">
        <v>10806</v>
      </c>
      <c r="AY36" s="18" t="s">
        <v>95</v>
      </c>
      <c r="AZ36" s="18" t="s">
        <v>95</v>
      </c>
      <c r="BA36" s="18" t="s">
        <v>95</v>
      </c>
      <c r="BB36" s="18" t="s">
        <v>95</v>
      </c>
      <c r="BC36" s="18" t="s">
        <v>95</v>
      </c>
      <c r="BD36" s="18" t="s">
        <v>10807</v>
      </c>
      <c r="BE36" s="18" t="s">
        <v>10901</v>
      </c>
      <c r="BF36" s="18" t="s">
        <v>10809</v>
      </c>
      <c r="BG36" s="18" t="s">
        <v>7030</v>
      </c>
      <c r="BH36" s="18"/>
      <c r="BI36" s="18"/>
      <c r="BJ36" s="18" t="s">
        <v>303</v>
      </c>
      <c r="BK36" s="18" t="s">
        <v>10902</v>
      </c>
      <c r="BL36" s="18" t="s">
        <v>10811</v>
      </c>
      <c r="BM36" s="18" t="s">
        <v>139</v>
      </c>
      <c r="BN36" s="18" t="s">
        <v>85</v>
      </c>
      <c r="BO36" s="18">
        <v>0</v>
      </c>
      <c r="BP36" s="18" t="s">
        <v>10812</v>
      </c>
      <c r="BQ36" s="18" t="str">
        <f>VLOOKUP(Prepago[[#This Row],[NOM_PLAZA]],[1]!Locales[#Data],3,0)</f>
        <v>TIENDA RECREO</v>
      </c>
      <c r="BR36" s="18" t="str">
        <f>VLOOKUP(Prepago[[#This Row],[CODIGO_USUARIO]],[1]!Personal[#Data],6,0)</f>
        <v>CORDOVA GAIBOR JONATHAN HERNAN</v>
      </c>
      <c r="BS36" s="18">
        <f>DAY(Prepago[[#This Row],[FECHA_ALTA]])</f>
        <v>10</v>
      </c>
    </row>
    <row r="37" spans="1:71" x14ac:dyDescent="0.25">
      <c r="A37" s="18" t="s">
        <v>96</v>
      </c>
      <c r="B37" s="18" t="s">
        <v>11107</v>
      </c>
      <c r="C37" s="18" t="s">
        <v>11108</v>
      </c>
      <c r="D37" s="18" t="s">
        <v>11109</v>
      </c>
      <c r="E37" s="22">
        <v>44904</v>
      </c>
      <c r="F37" s="18" t="s">
        <v>67</v>
      </c>
      <c r="G37" s="18" t="s">
        <v>11110</v>
      </c>
      <c r="H37" s="18" t="s">
        <v>11111</v>
      </c>
      <c r="I37" s="18" t="s">
        <v>193</v>
      </c>
      <c r="J37" s="18" t="s">
        <v>8102</v>
      </c>
      <c r="K37" s="18" t="s">
        <v>8103</v>
      </c>
      <c r="L37" s="18" t="s">
        <v>132</v>
      </c>
      <c r="M37" s="18" t="s">
        <v>7037</v>
      </c>
      <c r="N37" s="18" t="s">
        <v>11112</v>
      </c>
      <c r="O37" s="18" t="s">
        <v>75</v>
      </c>
      <c r="P37" s="18" t="s">
        <v>11113</v>
      </c>
      <c r="Q37" s="18" t="s">
        <v>10817</v>
      </c>
      <c r="R37" s="18" t="s">
        <v>78</v>
      </c>
      <c r="S37" s="18" t="s">
        <v>77</v>
      </c>
      <c r="T37" s="22">
        <v>44915</v>
      </c>
      <c r="U37" s="18"/>
      <c r="V37" s="18" t="s">
        <v>81</v>
      </c>
      <c r="W37" s="18" t="s">
        <v>79</v>
      </c>
      <c r="X37" s="18" t="s">
        <v>10803</v>
      </c>
      <c r="Y37" s="18" t="s">
        <v>396</v>
      </c>
      <c r="Z37" s="18" t="s">
        <v>397</v>
      </c>
      <c r="AA37" s="18" t="s">
        <v>396</v>
      </c>
      <c r="AB37" s="18" t="s">
        <v>397</v>
      </c>
      <c r="AC37" s="18" t="s">
        <v>7984</v>
      </c>
      <c r="AD37" s="18" t="s">
        <v>10804</v>
      </c>
      <c r="AE37" s="18" t="s">
        <v>174</v>
      </c>
      <c r="AF37" s="18" t="s">
        <v>95</v>
      </c>
      <c r="AG37" s="18" t="s">
        <v>83</v>
      </c>
      <c r="AH37" s="18" t="s">
        <v>83</v>
      </c>
      <c r="AI37" s="18" t="s">
        <v>81</v>
      </c>
      <c r="AJ37" s="18" t="s">
        <v>118</v>
      </c>
      <c r="AK37" s="18" t="s">
        <v>95</v>
      </c>
      <c r="AL37" s="18" t="s">
        <v>10910</v>
      </c>
      <c r="AM37" s="18" t="s">
        <v>85</v>
      </c>
      <c r="AN37" s="18" t="s">
        <v>7031</v>
      </c>
      <c r="AO37" s="18" t="s">
        <v>86</v>
      </c>
      <c r="AP37" s="18" t="s">
        <v>90</v>
      </c>
      <c r="AQ37" s="18" t="s">
        <v>8002</v>
      </c>
      <c r="AR37" s="18" t="s">
        <v>177</v>
      </c>
      <c r="AS37" s="18" t="s">
        <v>139</v>
      </c>
      <c r="AT37" s="18" t="s">
        <v>95</v>
      </c>
      <c r="AU37" s="18" t="s">
        <v>95</v>
      </c>
      <c r="AV37" s="18" t="s">
        <v>7037</v>
      </c>
      <c r="AW37" s="18" t="s">
        <v>95</v>
      </c>
      <c r="AX37" s="18" t="s">
        <v>10806</v>
      </c>
      <c r="AY37" s="18" t="s">
        <v>95</v>
      </c>
      <c r="AZ37" s="18" t="s">
        <v>95</v>
      </c>
      <c r="BA37" s="18" t="s">
        <v>95</v>
      </c>
      <c r="BB37" s="18" t="s">
        <v>95</v>
      </c>
      <c r="BC37" s="18" t="s">
        <v>95</v>
      </c>
      <c r="BD37" s="18" t="s">
        <v>10829</v>
      </c>
      <c r="BE37" s="18" t="s">
        <v>11114</v>
      </c>
      <c r="BF37" s="18" t="s">
        <v>10809</v>
      </c>
      <c r="BG37" s="18" t="s">
        <v>7030</v>
      </c>
      <c r="BH37" s="18"/>
      <c r="BI37" s="18"/>
      <c r="BJ37" s="18" t="s">
        <v>396</v>
      </c>
      <c r="BK37" s="18" t="s">
        <v>11115</v>
      </c>
      <c r="BL37" s="18" t="s">
        <v>10811</v>
      </c>
      <c r="BM37" s="18" t="s">
        <v>139</v>
      </c>
      <c r="BN37" s="18" t="s">
        <v>85</v>
      </c>
      <c r="BO37" s="18">
        <v>0</v>
      </c>
      <c r="BP37" s="18" t="s">
        <v>10812</v>
      </c>
      <c r="BQ37" s="18" t="str">
        <f>VLOOKUP(Prepago[[#This Row],[NOM_PLAZA]],[1]!Locales[#Data],3,0)</f>
        <v>TIENDA RECREO</v>
      </c>
      <c r="BR37" s="18" t="str">
        <f>VLOOKUP(Prepago[[#This Row],[CODIGO_USUARIO]],[1]!Personal[#Data],6,0)</f>
        <v>VINUEZA VELASCO ANGY DAYANA</v>
      </c>
      <c r="BS37" s="18">
        <f>DAY(Prepago[[#This Row],[FECHA_ALTA]])</f>
        <v>9</v>
      </c>
    </row>
    <row r="38" spans="1:71" x14ac:dyDescent="0.25">
      <c r="A38" s="18" t="s">
        <v>96</v>
      </c>
      <c r="B38" s="18" t="s">
        <v>11116</v>
      </c>
      <c r="C38" s="18" t="s">
        <v>11117</v>
      </c>
      <c r="D38" s="18" t="s">
        <v>11118</v>
      </c>
      <c r="E38" s="22">
        <v>44904</v>
      </c>
      <c r="F38" s="18" t="s">
        <v>67</v>
      </c>
      <c r="G38" s="18" t="s">
        <v>11119</v>
      </c>
      <c r="H38" s="18" t="s">
        <v>11120</v>
      </c>
      <c r="I38" s="18" t="s">
        <v>70</v>
      </c>
      <c r="J38" s="18" t="s">
        <v>8102</v>
      </c>
      <c r="K38" s="18" t="s">
        <v>8103</v>
      </c>
      <c r="L38" s="18" t="s">
        <v>95</v>
      </c>
      <c r="M38" s="18" t="s">
        <v>7037</v>
      </c>
      <c r="N38" s="18" t="s">
        <v>11121</v>
      </c>
      <c r="O38" s="18" t="s">
        <v>75</v>
      </c>
      <c r="P38" s="18" t="s">
        <v>11122</v>
      </c>
      <c r="Q38" s="18" t="s">
        <v>4453</v>
      </c>
      <c r="R38" s="18" t="s">
        <v>78</v>
      </c>
      <c r="S38" s="18" t="s">
        <v>77</v>
      </c>
      <c r="T38" s="22">
        <v>44915</v>
      </c>
      <c r="U38" s="18"/>
      <c r="V38" s="18" t="s">
        <v>81</v>
      </c>
      <c r="W38" s="18" t="s">
        <v>79</v>
      </c>
      <c r="X38" s="18" t="s">
        <v>10803</v>
      </c>
      <c r="Y38" s="18" t="s">
        <v>187</v>
      </c>
      <c r="Z38" s="18" t="s">
        <v>188</v>
      </c>
      <c r="AA38" s="18" t="s">
        <v>7062</v>
      </c>
      <c r="AB38" s="18" t="s">
        <v>95</v>
      </c>
      <c r="AC38" s="18" t="s">
        <v>7984</v>
      </c>
      <c r="AD38" s="18" t="s">
        <v>10804</v>
      </c>
      <c r="AE38" s="18" t="s">
        <v>174</v>
      </c>
      <c r="AF38" s="18" t="s">
        <v>95</v>
      </c>
      <c r="AG38" s="18" t="s">
        <v>83</v>
      </c>
      <c r="AH38" s="18" t="s">
        <v>83</v>
      </c>
      <c r="AI38" s="18" t="s">
        <v>81</v>
      </c>
      <c r="AJ38" s="18" t="s">
        <v>118</v>
      </c>
      <c r="AK38" s="18" t="s">
        <v>95</v>
      </c>
      <c r="AL38" s="18" t="s">
        <v>10920</v>
      </c>
      <c r="AM38" s="18" t="s">
        <v>85</v>
      </c>
      <c r="AN38" s="18" t="s">
        <v>7031</v>
      </c>
      <c r="AO38" s="18" t="s">
        <v>86</v>
      </c>
      <c r="AP38" s="18" t="s">
        <v>90</v>
      </c>
      <c r="AQ38" s="18" t="s">
        <v>8002</v>
      </c>
      <c r="AR38" s="18" t="s">
        <v>177</v>
      </c>
      <c r="AS38" s="18" t="s">
        <v>139</v>
      </c>
      <c r="AT38" s="18" t="s">
        <v>95</v>
      </c>
      <c r="AU38" s="18" t="s">
        <v>95</v>
      </c>
      <c r="AV38" s="18" t="s">
        <v>7037</v>
      </c>
      <c r="AW38" s="18" t="s">
        <v>95</v>
      </c>
      <c r="AX38" s="18" t="s">
        <v>10806</v>
      </c>
      <c r="AY38" s="18" t="s">
        <v>95</v>
      </c>
      <c r="AZ38" s="18" t="s">
        <v>95</v>
      </c>
      <c r="BA38" s="18" t="s">
        <v>95</v>
      </c>
      <c r="BB38" s="18" t="s">
        <v>95</v>
      </c>
      <c r="BC38" s="18" t="s">
        <v>95</v>
      </c>
      <c r="BD38" s="18" t="s">
        <v>10807</v>
      </c>
      <c r="BE38" s="18" t="s">
        <v>95</v>
      </c>
      <c r="BF38" s="18" t="s">
        <v>10809</v>
      </c>
      <c r="BG38" s="18" t="s">
        <v>7030</v>
      </c>
      <c r="BH38" s="18"/>
      <c r="BI38" s="18"/>
      <c r="BJ38" s="18" t="s">
        <v>187</v>
      </c>
      <c r="BK38" s="18" t="s">
        <v>11123</v>
      </c>
      <c r="BL38" s="18" t="s">
        <v>10811</v>
      </c>
      <c r="BM38" s="18" t="s">
        <v>139</v>
      </c>
      <c r="BN38" s="18" t="s">
        <v>85</v>
      </c>
      <c r="BO38" s="18">
        <v>1</v>
      </c>
      <c r="BP38" s="18" t="s">
        <v>10812</v>
      </c>
      <c r="BQ38" s="18" t="str">
        <f>VLOOKUP(Prepago[[#This Row],[NOM_PLAZA]],[1]!Locales[#Data],3,0)</f>
        <v>TIENDA RECREO</v>
      </c>
      <c r="BR38" s="18" t="str">
        <f>VLOOKUP(Prepago[[#This Row],[CODIGO_USUARIO]],[1]!Personal[#Data],6,0)</f>
        <v>ESPINOZA MARTINES LAURA XIOMARA</v>
      </c>
      <c r="BS38" s="18">
        <f>DAY(Prepago[[#This Row],[FECHA_ALTA]])</f>
        <v>9</v>
      </c>
    </row>
    <row r="39" spans="1:71" x14ac:dyDescent="0.25">
      <c r="A39" s="18" t="s">
        <v>96</v>
      </c>
      <c r="B39" s="18" t="s">
        <v>11124</v>
      </c>
      <c r="C39" s="18" t="s">
        <v>11125</v>
      </c>
      <c r="D39" s="18" t="s">
        <v>11126</v>
      </c>
      <c r="E39" s="22">
        <v>44902</v>
      </c>
      <c r="F39" s="18" t="s">
        <v>67</v>
      </c>
      <c r="G39" s="18" t="s">
        <v>11127</v>
      </c>
      <c r="H39" s="18" t="s">
        <v>11128</v>
      </c>
      <c r="I39" s="18" t="s">
        <v>193</v>
      </c>
      <c r="J39" s="18" t="s">
        <v>8102</v>
      </c>
      <c r="K39" s="18" t="s">
        <v>8103</v>
      </c>
      <c r="L39" s="18" t="s">
        <v>259</v>
      </c>
      <c r="M39" s="18" t="s">
        <v>7037</v>
      </c>
      <c r="N39" s="18" t="s">
        <v>11129</v>
      </c>
      <c r="O39" s="18" t="s">
        <v>75</v>
      </c>
      <c r="P39" s="18" t="s">
        <v>11130</v>
      </c>
      <c r="Q39" s="18" t="s">
        <v>10817</v>
      </c>
      <c r="R39" s="18" t="s">
        <v>78</v>
      </c>
      <c r="S39" s="18" t="s">
        <v>77</v>
      </c>
      <c r="T39" s="22">
        <v>44915</v>
      </c>
      <c r="U39" s="18"/>
      <c r="V39" s="18" t="s">
        <v>81</v>
      </c>
      <c r="W39" s="18" t="s">
        <v>79</v>
      </c>
      <c r="X39" s="18" t="s">
        <v>10803</v>
      </c>
      <c r="Y39" s="18" t="s">
        <v>262</v>
      </c>
      <c r="Z39" s="18" t="s">
        <v>263</v>
      </c>
      <c r="AA39" s="18" t="s">
        <v>7062</v>
      </c>
      <c r="AB39" s="18" t="s">
        <v>95</v>
      </c>
      <c r="AC39" s="18" t="s">
        <v>7984</v>
      </c>
      <c r="AD39" s="18" t="s">
        <v>10804</v>
      </c>
      <c r="AE39" s="18" t="s">
        <v>174</v>
      </c>
      <c r="AF39" s="18" t="s">
        <v>95</v>
      </c>
      <c r="AG39" s="18" t="s">
        <v>83</v>
      </c>
      <c r="AH39" s="18" t="s">
        <v>83</v>
      </c>
      <c r="AI39" s="18" t="s">
        <v>81</v>
      </c>
      <c r="AJ39" s="18" t="s">
        <v>118</v>
      </c>
      <c r="AK39" s="18" t="s">
        <v>95</v>
      </c>
      <c r="AL39" s="18" t="s">
        <v>10883</v>
      </c>
      <c r="AM39" s="18" t="s">
        <v>85</v>
      </c>
      <c r="AN39" s="18" t="s">
        <v>7031</v>
      </c>
      <c r="AO39" s="18" t="s">
        <v>86</v>
      </c>
      <c r="AP39" s="18" t="s">
        <v>90</v>
      </c>
      <c r="AQ39" s="18" t="s">
        <v>8002</v>
      </c>
      <c r="AR39" s="18" t="s">
        <v>177</v>
      </c>
      <c r="AS39" s="18" t="s">
        <v>139</v>
      </c>
      <c r="AT39" s="18" t="s">
        <v>95</v>
      </c>
      <c r="AU39" s="18" t="s">
        <v>95</v>
      </c>
      <c r="AV39" s="18" t="s">
        <v>7037</v>
      </c>
      <c r="AW39" s="18" t="s">
        <v>95</v>
      </c>
      <c r="AX39" s="18" t="s">
        <v>10806</v>
      </c>
      <c r="AY39" s="18" t="s">
        <v>95</v>
      </c>
      <c r="AZ39" s="18" t="s">
        <v>95</v>
      </c>
      <c r="BA39" s="18" t="s">
        <v>95</v>
      </c>
      <c r="BB39" s="18" t="s">
        <v>95</v>
      </c>
      <c r="BC39" s="18" t="s">
        <v>95</v>
      </c>
      <c r="BD39" s="18" t="s">
        <v>10829</v>
      </c>
      <c r="BE39" s="18" t="s">
        <v>11131</v>
      </c>
      <c r="BF39" s="18" t="s">
        <v>10809</v>
      </c>
      <c r="BG39" s="18" t="s">
        <v>7030</v>
      </c>
      <c r="BH39" s="18"/>
      <c r="BI39" s="18"/>
      <c r="BJ39" s="18" t="s">
        <v>262</v>
      </c>
      <c r="BK39" s="18" t="s">
        <v>11132</v>
      </c>
      <c r="BL39" s="18" t="s">
        <v>10811</v>
      </c>
      <c r="BM39" s="18" t="s">
        <v>139</v>
      </c>
      <c r="BN39" s="18" t="s">
        <v>85</v>
      </c>
      <c r="BO39" s="18">
        <v>0</v>
      </c>
      <c r="BP39" s="18" t="s">
        <v>10812</v>
      </c>
      <c r="BQ39" s="18" t="str">
        <f>VLOOKUP(Prepago[[#This Row],[NOM_PLAZA]],[1]!Locales[#Data],3,0)</f>
        <v>TIENDA RECREO</v>
      </c>
      <c r="BR39" s="18" t="str">
        <f>VLOOKUP(Prepago[[#This Row],[CODIGO_USUARIO]],[1]!Personal[#Data],6,0)</f>
        <v>CHICAIZA TOAPANTA ALEX DANILO</v>
      </c>
      <c r="BS39" s="18">
        <f>DAY(Prepago[[#This Row],[FECHA_ALTA]])</f>
        <v>7</v>
      </c>
    </row>
    <row r="40" spans="1:71" x14ac:dyDescent="0.25">
      <c r="A40" s="18" t="s">
        <v>96</v>
      </c>
      <c r="B40" s="18" t="s">
        <v>10441</v>
      </c>
      <c r="C40" s="18" t="s">
        <v>10447</v>
      </c>
      <c r="D40" s="18" t="s">
        <v>10443</v>
      </c>
      <c r="E40" s="22">
        <v>44913</v>
      </c>
      <c r="F40" s="18" t="s">
        <v>67</v>
      </c>
      <c r="G40" s="18" t="s">
        <v>10444</v>
      </c>
      <c r="H40" s="18" t="s">
        <v>10445</v>
      </c>
      <c r="I40" s="18" t="s">
        <v>70</v>
      </c>
      <c r="J40" s="18" t="s">
        <v>8102</v>
      </c>
      <c r="K40" s="18" t="s">
        <v>8103</v>
      </c>
      <c r="L40" s="18" t="s">
        <v>132</v>
      </c>
      <c r="M40" s="18" t="s">
        <v>7037</v>
      </c>
      <c r="N40" s="18" t="s">
        <v>10446</v>
      </c>
      <c r="O40" s="18" t="s">
        <v>287</v>
      </c>
      <c r="P40" s="18" t="s">
        <v>11133</v>
      </c>
      <c r="Q40" s="18" t="s">
        <v>4453</v>
      </c>
      <c r="R40" s="18" t="s">
        <v>78</v>
      </c>
      <c r="S40" s="18" t="s">
        <v>77</v>
      </c>
      <c r="T40" s="22">
        <v>44915</v>
      </c>
      <c r="U40" s="18"/>
      <c r="V40" s="18" t="s">
        <v>81</v>
      </c>
      <c r="W40" s="18" t="s">
        <v>79</v>
      </c>
      <c r="X40" s="18" t="s">
        <v>10803</v>
      </c>
      <c r="Y40" s="18" t="s">
        <v>369</v>
      </c>
      <c r="Z40" s="18" t="s">
        <v>370</v>
      </c>
      <c r="AA40" s="18" t="s">
        <v>7062</v>
      </c>
      <c r="AB40" s="18" t="s">
        <v>95</v>
      </c>
      <c r="AC40" s="18" t="s">
        <v>7984</v>
      </c>
      <c r="AD40" s="18" t="s">
        <v>10804</v>
      </c>
      <c r="AE40" s="18" t="s">
        <v>174</v>
      </c>
      <c r="AF40" s="18" t="s">
        <v>95</v>
      </c>
      <c r="AG40" s="18" t="s">
        <v>83</v>
      </c>
      <c r="AH40" s="18" t="s">
        <v>83</v>
      </c>
      <c r="AI40" s="18" t="s">
        <v>81</v>
      </c>
      <c r="AJ40" s="18" t="s">
        <v>118</v>
      </c>
      <c r="AK40" s="18" t="s">
        <v>95</v>
      </c>
      <c r="AL40" s="18" t="s">
        <v>11062</v>
      </c>
      <c r="AM40" s="18" t="s">
        <v>85</v>
      </c>
      <c r="AN40" s="18" t="s">
        <v>7031</v>
      </c>
      <c r="AO40" s="18" t="s">
        <v>86</v>
      </c>
      <c r="AP40" s="18" t="s">
        <v>90</v>
      </c>
      <c r="AQ40" s="18" t="s">
        <v>8002</v>
      </c>
      <c r="AR40" s="18" t="s">
        <v>177</v>
      </c>
      <c r="AS40" s="18" t="s">
        <v>139</v>
      </c>
      <c r="AT40" s="18" t="s">
        <v>95</v>
      </c>
      <c r="AU40" s="18" t="s">
        <v>95</v>
      </c>
      <c r="AV40" s="18" t="s">
        <v>7037</v>
      </c>
      <c r="AW40" s="18" t="s">
        <v>95</v>
      </c>
      <c r="AX40" s="18" t="s">
        <v>10806</v>
      </c>
      <c r="AY40" s="18" t="s">
        <v>95</v>
      </c>
      <c r="AZ40" s="18" t="s">
        <v>95</v>
      </c>
      <c r="BA40" s="18" t="s">
        <v>95</v>
      </c>
      <c r="BB40" s="18" t="s">
        <v>95</v>
      </c>
      <c r="BC40" s="18" t="s">
        <v>95</v>
      </c>
      <c r="BD40" s="18" t="s">
        <v>10807</v>
      </c>
      <c r="BE40" s="18" t="s">
        <v>11134</v>
      </c>
      <c r="BF40" s="18" t="s">
        <v>10809</v>
      </c>
      <c r="BG40" s="18" t="s">
        <v>7030</v>
      </c>
      <c r="BH40" s="18"/>
      <c r="BI40" s="18"/>
      <c r="BJ40" s="18" t="s">
        <v>369</v>
      </c>
      <c r="BK40" s="18" t="s">
        <v>11135</v>
      </c>
      <c r="BL40" s="18" t="s">
        <v>10811</v>
      </c>
      <c r="BM40" s="18" t="s">
        <v>139</v>
      </c>
      <c r="BN40" s="18" t="s">
        <v>85</v>
      </c>
      <c r="BO40" s="18">
        <v>0</v>
      </c>
      <c r="BP40" s="18" t="s">
        <v>10812</v>
      </c>
      <c r="BQ40" s="18" t="str">
        <f>VLOOKUP(Prepago[[#This Row],[NOM_PLAZA]],[1]!Locales[#Data],3,0)</f>
        <v>TIENDA RECREO</v>
      </c>
      <c r="BR40" s="18" t="str">
        <f>VLOOKUP(Prepago[[#This Row],[CODIGO_USUARIO]],[1]!Personal[#Data],6,0)</f>
        <v>GUAIGUA REINOSO GENESIS CAROLINA</v>
      </c>
      <c r="BS40" s="18">
        <f>DAY(Prepago[[#This Row],[FECHA_ALTA]])</f>
        <v>18</v>
      </c>
    </row>
    <row r="41" spans="1:71" x14ac:dyDescent="0.25">
      <c r="A41" s="18" t="s">
        <v>96</v>
      </c>
      <c r="B41" s="18" t="s">
        <v>11136</v>
      </c>
      <c r="C41" s="18" t="s">
        <v>11137</v>
      </c>
      <c r="D41" s="18" t="s">
        <v>11138</v>
      </c>
      <c r="E41" s="22">
        <v>44911</v>
      </c>
      <c r="F41" s="18" t="s">
        <v>67</v>
      </c>
      <c r="G41" s="18" t="s">
        <v>11139</v>
      </c>
      <c r="H41" s="18" t="s">
        <v>11140</v>
      </c>
      <c r="I41" s="18" t="s">
        <v>70</v>
      </c>
      <c r="J41" s="18" t="s">
        <v>8102</v>
      </c>
      <c r="K41" s="18" t="s">
        <v>8103</v>
      </c>
      <c r="L41" s="18" t="s">
        <v>132</v>
      </c>
      <c r="M41" s="18" t="s">
        <v>7037</v>
      </c>
      <c r="N41" s="18" t="s">
        <v>11141</v>
      </c>
      <c r="O41" s="18" t="s">
        <v>75</v>
      </c>
      <c r="P41" s="18" t="s">
        <v>11142</v>
      </c>
      <c r="Q41" s="18" t="s">
        <v>4453</v>
      </c>
      <c r="R41" s="18" t="s">
        <v>78</v>
      </c>
      <c r="S41" s="18" t="s">
        <v>77</v>
      </c>
      <c r="T41" s="22">
        <v>44915</v>
      </c>
      <c r="U41" s="18"/>
      <c r="V41" s="18" t="s">
        <v>81</v>
      </c>
      <c r="W41" s="18" t="s">
        <v>79</v>
      </c>
      <c r="X41" s="18" t="s">
        <v>10803</v>
      </c>
      <c r="Y41" s="18" t="s">
        <v>630</v>
      </c>
      <c r="Z41" s="18" t="s">
        <v>631</v>
      </c>
      <c r="AA41" s="18" t="s">
        <v>7062</v>
      </c>
      <c r="AB41" s="18" t="s">
        <v>95</v>
      </c>
      <c r="AC41" s="18" t="s">
        <v>7984</v>
      </c>
      <c r="AD41" s="18" t="s">
        <v>10804</v>
      </c>
      <c r="AE41" s="18" t="s">
        <v>174</v>
      </c>
      <c r="AF41" s="18" t="s">
        <v>95</v>
      </c>
      <c r="AG41" s="18" t="s">
        <v>83</v>
      </c>
      <c r="AH41" s="18" t="s">
        <v>83</v>
      </c>
      <c r="AI41" s="18" t="s">
        <v>81</v>
      </c>
      <c r="AJ41" s="18" t="s">
        <v>118</v>
      </c>
      <c r="AK41" s="18" t="s">
        <v>95</v>
      </c>
      <c r="AL41" s="18" t="s">
        <v>10873</v>
      </c>
      <c r="AM41" s="18" t="s">
        <v>85</v>
      </c>
      <c r="AN41" s="18" t="s">
        <v>7031</v>
      </c>
      <c r="AO41" s="18" t="s">
        <v>86</v>
      </c>
      <c r="AP41" s="18" t="s">
        <v>90</v>
      </c>
      <c r="AQ41" s="18" t="s">
        <v>8002</v>
      </c>
      <c r="AR41" s="18" t="s">
        <v>177</v>
      </c>
      <c r="AS41" s="18" t="s">
        <v>139</v>
      </c>
      <c r="AT41" s="18" t="s">
        <v>95</v>
      </c>
      <c r="AU41" s="18" t="s">
        <v>95</v>
      </c>
      <c r="AV41" s="18" t="s">
        <v>7037</v>
      </c>
      <c r="AW41" s="18" t="s">
        <v>95</v>
      </c>
      <c r="AX41" s="18" t="s">
        <v>10806</v>
      </c>
      <c r="AY41" s="18" t="s">
        <v>95</v>
      </c>
      <c r="AZ41" s="18" t="s">
        <v>95</v>
      </c>
      <c r="BA41" s="18" t="s">
        <v>95</v>
      </c>
      <c r="BB41" s="18" t="s">
        <v>95</v>
      </c>
      <c r="BC41" s="18" t="s">
        <v>95</v>
      </c>
      <c r="BD41" s="18" t="s">
        <v>10829</v>
      </c>
      <c r="BE41" s="18" t="s">
        <v>11143</v>
      </c>
      <c r="BF41" s="18" t="s">
        <v>10809</v>
      </c>
      <c r="BG41" s="18" t="s">
        <v>7030</v>
      </c>
      <c r="BH41" s="18"/>
      <c r="BI41" s="18"/>
      <c r="BJ41" s="18" t="s">
        <v>630</v>
      </c>
      <c r="BK41" s="18" t="s">
        <v>11144</v>
      </c>
      <c r="BL41" s="18" t="s">
        <v>10811</v>
      </c>
      <c r="BM41" s="18" t="s">
        <v>139</v>
      </c>
      <c r="BN41" s="18" t="s">
        <v>85</v>
      </c>
      <c r="BO41" s="18">
        <v>0</v>
      </c>
      <c r="BP41" s="18" t="s">
        <v>10812</v>
      </c>
      <c r="BQ41" s="18" t="str">
        <f>VLOOKUP(Prepago[[#This Row],[NOM_PLAZA]],[1]!Locales[#Data],3,0)</f>
        <v>TIENDA RECREO</v>
      </c>
      <c r="BR41" s="18" t="str">
        <f>VLOOKUP(Prepago[[#This Row],[CODIGO_USUARIO]],[1]!Personal[#Data],6,0)</f>
        <v>LOAYZA AGUILAR JONATHAN FABIAN</v>
      </c>
      <c r="BS41" s="18">
        <f>DAY(Prepago[[#This Row],[FECHA_ALTA]])</f>
        <v>16</v>
      </c>
    </row>
    <row r="42" spans="1:71" x14ac:dyDescent="0.25">
      <c r="A42" s="18" t="s">
        <v>96</v>
      </c>
      <c r="B42" s="18" t="s">
        <v>11145</v>
      </c>
      <c r="C42" s="18" t="s">
        <v>11146</v>
      </c>
      <c r="D42" s="18" t="s">
        <v>11147</v>
      </c>
      <c r="E42" s="22">
        <v>44912</v>
      </c>
      <c r="F42" s="18" t="s">
        <v>67</v>
      </c>
      <c r="G42" s="18" t="s">
        <v>11148</v>
      </c>
      <c r="H42" s="18" t="s">
        <v>11149</v>
      </c>
      <c r="I42" s="18" t="s">
        <v>70</v>
      </c>
      <c r="J42" s="18" t="s">
        <v>8102</v>
      </c>
      <c r="K42" s="18" t="s">
        <v>8103</v>
      </c>
      <c r="L42" s="18" t="s">
        <v>132</v>
      </c>
      <c r="M42" s="18" t="s">
        <v>7037</v>
      </c>
      <c r="N42" s="18" t="s">
        <v>11150</v>
      </c>
      <c r="O42" s="18" t="s">
        <v>75</v>
      </c>
      <c r="P42" s="18" t="s">
        <v>11151</v>
      </c>
      <c r="Q42" s="18" t="s">
        <v>10817</v>
      </c>
      <c r="R42" s="18" t="s">
        <v>78</v>
      </c>
      <c r="S42" s="18" t="s">
        <v>77</v>
      </c>
      <c r="T42" s="22">
        <v>44915</v>
      </c>
      <c r="U42" s="18"/>
      <c r="V42" s="18" t="s">
        <v>81</v>
      </c>
      <c r="W42" s="18" t="s">
        <v>79</v>
      </c>
      <c r="X42" s="18" t="s">
        <v>10803</v>
      </c>
      <c r="Y42" s="18" t="s">
        <v>396</v>
      </c>
      <c r="Z42" s="18" t="s">
        <v>397</v>
      </c>
      <c r="AA42" s="18" t="s">
        <v>396</v>
      </c>
      <c r="AB42" s="18" t="s">
        <v>397</v>
      </c>
      <c r="AC42" s="18" t="s">
        <v>7984</v>
      </c>
      <c r="AD42" s="18" t="s">
        <v>10804</v>
      </c>
      <c r="AE42" s="18" t="s">
        <v>174</v>
      </c>
      <c r="AF42" s="18" t="s">
        <v>95</v>
      </c>
      <c r="AG42" s="18" t="s">
        <v>83</v>
      </c>
      <c r="AH42" s="18" t="s">
        <v>83</v>
      </c>
      <c r="AI42" s="18" t="s">
        <v>81</v>
      </c>
      <c r="AJ42" s="18" t="s">
        <v>118</v>
      </c>
      <c r="AK42" s="18" t="s">
        <v>95</v>
      </c>
      <c r="AL42" s="18" t="s">
        <v>10910</v>
      </c>
      <c r="AM42" s="18" t="s">
        <v>85</v>
      </c>
      <c r="AN42" s="18" t="s">
        <v>7031</v>
      </c>
      <c r="AO42" s="18" t="s">
        <v>86</v>
      </c>
      <c r="AP42" s="18" t="s">
        <v>90</v>
      </c>
      <c r="AQ42" s="18" t="s">
        <v>8002</v>
      </c>
      <c r="AR42" s="18" t="s">
        <v>177</v>
      </c>
      <c r="AS42" s="18" t="s">
        <v>139</v>
      </c>
      <c r="AT42" s="18" t="s">
        <v>95</v>
      </c>
      <c r="AU42" s="18" t="s">
        <v>95</v>
      </c>
      <c r="AV42" s="18" t="s">
        <v>7037</v>
      </c>
      <c r="AW42" s="18" t="s">
        <v>95</v>
      </c>
      <c r="AX42" s="18" t="s">
        <v>10806</v>
      </c>
      <c r="AY42" s="18" t="s">
        <v>95</v>
      </c>
      <c r="AZ42" s="18" t="s">
        <v>95</v>
      </c>
      <c r="BA42" s="18" t="s">
        <v>95</v>
      </c>
      <c r="BB42" s="18" t="s">
        <v>95</v>
      </c>
      <c r="BC42" s="18" t="s">
        <v>95</v>
      </c>
      <c r="BD42" s="18" t="s">
        <v>10829</v>
      </c>
      <c r="BE42" s="18" t="s">
        <v>11152</v>
      </c>
      <c r="BF42" s="18" t="s">
        <v>10809</v>
      </c>
      <c r="BG42" s="18" t="s">
        <v>7030</v>
      </c>
      <c r="BH42" s="18"/>
      <c r="BI42" s="18"/>
      <c r="BJ42" s="18" t="s">
        <v>396</v>
      </c>
      <c r="BK42" s="18" t="s">
        <v>11153</v>
      </c>
      <c r="BL42" s="18" t="s">
        <v>10811</v>
      </c>
      <c r="BM42" s="18" t="s">
        <v>139</v>
      </c>
      <c r="BN42" s="18" t="s">
        <v>85</v>
      </c>
      <c r="BO42" s="18">
        <v>1</v>
      </c>
      <c r="BP42" s="18" t="s">
        <v>10812</v>
      </c>
      <c r="BQ42" s="18" t="str">
        <f>VLOOKUP(Prepago[[#This Row],[NOM_PLAZA]],[1]!Locales[#Data],3,0)</f>
        <v>TIENDA RECREO</v>
      </c>
      <c r="BR42" s="18" t="str">
        <f>VLOOKUP(Prepago[[#This Row],[CODIGO_USUARIO]],[1]!Personal[#Data],6,0)</f>
        <v>VINUEZA VELASCO ANGY DAYANA</v>
      </c>
      <c r="BS42" s="18">
        <f>DAY(Prepago[[#This Row],[FECHA_ALTA]])</f>
        <v>17</v>
      </c>
    </row>
    <row r="43" spans="1:71" x14ac:dyDescent="0.25">
      <c r="A43" s="18" t="s">
        <v>96</v>
      </c>
      <c r="B43" s="18" t="s">
        <v>11154</v>
      </c>
      <c r="C43" s="18" t="s">
        <v>11155</v>
      </c>
      <c r="D43" s="18" t="s">
        <v>10850</v>
      </c>
      <c r="E43" s="22">
        <v>44914</v>
      </c>
      <c r="F43" s="18" t="s">
        <v>67</v>
      </c>
      <c r="G43" s="18" t="s">
        <v>10851</v>
      </c>
      <c r="H43" s="18" t="s">
        <v>10852</v>
      </c>
      <c r="I43" s="18" t="s">
        <v>70</v>
      </c>
      <c r="J43" s="18" t="s">
        <v>8102</v>
      </c>
      <c r="K43" s="18" t="s">
        <v>8103</v>
      </c>
      <c r="L43" s="18" t="s">
        <v>132</v>
      </c>
      <c r="M43" s="18" t="s">
        <v>7037</v>
      </c>
      <c r="N43" s="18" t="s">
        <v>11156</v>
      </c>
      <c r="O43" s="18" t="s">
        <v>75</v>
      </c>
      <c r="P43" s="18" t="s">
        <v>11157</v>
      </c>
      <c r="Q43" s="18" t="s">
        <v>4453</v>
      </c>
      <c r="R43" s="18" t="s">
        <v>78</v>
      </c>
      <c r="S43" s="18" t="s">
        <v>77</v>
      </c>
      <c r="T43" s="22">
        <v>44915</v>
      </c>
      <c r="U43" s="18"/>
      <c r="V43" s="18" t="s">
        <v>81</v>
      </c>
      <c r="W43" s="18" t="s">
        <v>79</v>
      </c>
      <c r="X43" s="18" t="s">
        <v>10803</v>
      </c>
      <c r="Y43" s="18" t="s">
        <v>760</v>
      </c>
      <c r="Z43" s="18" t="s">
        <v>761</v>
      </c>
      <c r="AA43" s="18" t="s">
        <v>7062</v>
      </c>
      <c r="AB43" s="18" t="s">
        <v>95</v>
      </c>
      <c r="AC43" s="18" t="s">
        <v>7984</v>
      </c>
      <c r="AD43" s="18" t="s">
        <v>10804</v>
      </c>
      <c r="AE43" s="18" t="s">
        <v>174</v>
      </c>
      <c r="AF43" s="18" t="s">
        <v>95</v>
      </c>
      <c r="AG43" s="18" t="s">
        <v>83</v>
      </c>
      <c r="AH43" s="18" t="s">
        <v>83</v>
      </c>
      <c r="AI43" s="18" t="s">
        <v>81</v>
      </c>
      <c r="AJ43" s="18" t="s">
        <v>118</v>
      </c>
      <c r="AK43" s="18" t="s">
        <v>95</v>
      </c>
      <c r="AL43" s="18" t="s">
        <v>10818</v>
      </c>
      <c r="AM43" s="18" t="s">
        <v>85</v>
      </c>
      <c r="AN43" s="18" t="s">
        <v>7031</v>
      </c>
      <c r="AO43" s="18" t="s">
        <v>86</v>
      </c>
      <c r="AP43" s="18" t="s">
        <v>90</v>
      </c>
      <c r="AQ43" s="18" t="s">
        <v>8002</v>
      </c>
      <c r="AR43" s="18" t="s">
        <v>177</v>
      </c>
      <c r="AS43" s="18" t="s">
        <v>139</v>
      </c>
      <c r="AT43" s="18" t="s">
        <v>95</v>
      </c>
      <c r="AU43" s="18" t="s">
        <v>95</v>
      </c>
      <c r="AV43" s="18" t="s">
        <v>7037</v>
      </c>
      <c r="AW43" s="18" t="s">
        <v>95</v>
      </c>
      <c r="AX43" s="18" t="s">
        <v>10806</v>
      </c>
      <c r="AY43" s="18" t="s">
        <v>95</v>
      </c>
      <c r="AZ43" s="18" t="s">
        <v>95</v>
      </c>
      <c r="BA43" s="18" t="s">
        <v>95</v>
      </c>
      <c r="BB43" s="18" t="s">
        <v>95</v>
      </c>
      <c r="BC43" s="18" t="s">
        <v>95</v>
      </c>
      <c r="BD43" s="18" t="s">
        <v>10807</v>
      </c>
      <c r="BE43" s="18" t="s">
        <v>10855</v>
      </c>
      <c r="BF43" s="18" t="s">
        <v>10809</v>
      </c>
      <c r="BG43" s="18" t="s">
        <v>7030</v>
      </c>
      <c r="BH43" s="18"/>
      <c r="BI43" s="18"/>
      <c r="BJ43" s="18" t="s">
        <v>760</v>
      </c>
      <c r="BK43" s="18" t="s">
        <v>10856</v>
      </c>
      <c r="BL43" s="18" t="s">
        <v>10811</v>
      </c>
      <c r="BM43" s="18" t="s">
        <v>139</v>
      </c>
      <c r="BN43" s="18" t="s">
        <v>85</v>
      </c>
      <c r="BO43" s="18">
        <v>0</v>
      </c>
      <c r="BP43" s="18" t="s">
        <v>10812</v>
      </c>
      <c r="BQ43" s="18" t="str">
        <f>VLOOKUP(Prepago[[#This Row],[NOM_PLAZA]],[1]!Locales[#Data],3,0)</f>
        <v>TIENDA RECREO</v>
      </c>
      <c r="BR43" s="18" t="str">
        <f>VLOOKUP(Prepago[[#This Row],[CODIGO_USUARIO]],[1]!Personal[#Data],6,0)</f>
        <v>VALBUENA SANCHEZ ALBERT ANTHONY</v>
      </c>
      <c r="BS43" s="18">
        <f>DAY(Prepago[[#This Row],[FECHA_ALTA]])</f>
        <v>19</v>
      </c>
    </row>
    <row r="44" spans="1:71" x14ac:dyDescent="0.25">
      <c r="A44" s="18" t="s">
        <v>96</v>
      </c>
      <c r="B44" s="18" t="s">
        <v>11158</v>
      </c>
      <c r="C44" s="18" t="s">
        <v>11159</v>
      </c>
      <c r="D44" s="18" t="s">
        <v>11160</v>
      </c>
      <c r="E44" s="22">
        <v>44910</v>
      </c>
      <c r="F44" s="18" t="s">
        <v>67</v>
      </c>
      <c r="G44" s="18" t="s">
        <v>11161</v>
      </c>
      <c r="H44" s="18" t="s">
        <v>11162</v>
      </c>
      <c r="I44" s="18" t="s">
        <v>70</v>
      </c>
      <c r="J44" s="18" t="s">
        <v>8102</v>
      </c>
      <c r="K44" s="18" t="s">
        <v>8103</v>
      </c>
      <c r="L44" s="18" t="s">
        <v>95</v>
      </c>
      <c r="M44" s="18" t="s">
        <v>7037</v>
      </c>
      <c r="N44" s="18" t="s">
        <v>11163</v>
      </c>
      <c r="O44" s="18" t="s">
        <v>75</v>
      </c>
      <c r="P44" s="18" t="s">
        <v>11164</v>
      </c>
      <c r="Q44" s="18" t="s">
        <v>4453</v>
      </c>
      <c r="R44" s="18" t="s">
        <v>78</v>
      </c>
      <c r="S44" s="18" t="s">
        <v>77</v>
      </c>
      <c r="T44" s="22">
        <v>44915</v>
      </c>
      <c r="U44" s="18"/>
      <c r="V44" s="18" t="s">
        <v>81</v>
      </c>
      <c r="W44" s="18" t="s">
        <v>79</v>
      </c>
      <c r="X44" s="18" t="s">
        <v>10803</v>
      </c>
      <c r="Y44" s="18" t="s">
        <v>760</v>
      </c>
      <c r="Z44" s="18" t="s">
        <v>761</v>
      </c>
      <c r="AA44" s="18" t="s">
        <v>7062</v>
      </c>
      <c r="AB44" s="18" t="s">
        <v>95</v>
      </c>
      <c r="AC44" s="18" t="s">
        <v>7984</v>
      </c>
      <c r="AD44" s="18" t="s">
        <v>10804</v>
      </c>
      <c r="AE44" s="18" t="s">
        <v>174</v>
      </c>
      <c r="AF44" s="18" t="s">
        <v>95</v>
      </c>
      <c r="AG44" s="18" t="s">
        <v>83</v>
      </c>
      <c r="AH44" s="18" t="s">
        <v>83</v>
      </c>
      <c r="AI44" s="18" t="s">
        <v>81</v>
      </c>
      <c r="AJ44" s="18" t="s">
        <v>118</v>
      </c>
      <c r="AK44" s="18" t="s">
        <v>95</v>
      </c>
      <c r="AL44" s="18" t="s">
        <v>10818</v>
      </c>
      <c r="AM44" s="18" t="s">
        <v>85</v>
      </c>
      <c r="AN44" s="18" t="s">
        <v>7031</v>
      </c>
      <c r="AO44" s="18" t="s">
        <v>86</v>
      </c>
      <c r="AP44" s="18" t="s">
        <v>90</v>
      </c>
      <c r="AQ44" s="18" t="s">
        <v>8002</v>
      </c>
      <c r="AR44" s="18" t="s">
        <v>177</v>
      </c>
      <c r="AS44" s="18" t="s">
        <v>139</v>
      </c>
      <c r="AT44" s="18" t="s">
        <v>95</v>
      </c>
      <c r="AU44" s="18" t="s">
        <v>95</v>
      </c>
      <c r="AV44" s="18" t="s">
        <v>7037</v>
      </c>
      <c r="AW44" s="18" t="s">
        <v>95</v>
      </c>
      <c r="AX44" s="18" t="s">
        <v>10806</v>
      </c>
      <c r="AY44" s="18" t="s">
        <v>95</v>
      </c>
      <c r="AZ44" s="18" t="s">
        <v>95</v>
      </c>
      <c r="BA44" s="18" t="s">
        <v>95</v>
      </c>
      <c r="BB44" s="18" t="s">
        <v>95</v>
      </c>
      <c r="BC44" s="18" t="s">
        <v>95</v>
      </c>
      <c r="BD44" s="18" t="s">
        <v>10807</v>
      </c>
      <c r="BE44" s="18" t="s">
        <v>95</v>
      </c>
      <c r="BF44" s="18" t="s">
        <v>10809</v>
      </c>
      <c r="BG44" s="18" t="s">
        <v>7030</v>
      </c>
      <c r="BH44" s="18"/>
      <c r="BI44" s="18"/>
      <c r="BJ44" s="18" t="s">
        <v>760</v>
      </c>
      <c r="BK44" s="18" t="s">
        <v>11165</v>
      </c>
      <c r="BL44" s="18" t="s">
        <v>10811</v>
      </c>
      <c r="BM44" s="18" t="s">
        <v>139</v>
      </c>
      <c r="BN44" s="18" t="s">
        <v>85</v>
      </c>
      <c r="BO44" s="18">
        <v>0</v>
      </c>
      <c r="BP44" s="18" t="s">
        <v>10812</v>
      </c>
      <c r="BQ44" s="18" t="str">
        <f>VLOOKUP(Prepago[[#This Row],[NOM_PLAZA]],[1]!Locales[#Data],3,0)</f>
        <v>TIENDA RECREO</v>
      </c>
      <c r="BR44" s="18" t="str">
        <f>VLOOKUP(Prepago[[#This Row],[CODIGO_USUARIO]],[1]!Personal[#Data],6,0)</f>
        <v>VALBUENA SANCHEZ ALBERT ANTHONY</v>
      </c>
      <c r="BS44" s="18">
        <f>DAY(Prepago[[#This Row],[FECHA_ALTA]])</f>
        <v>15</v>
      </c>
    </row>
    <row r="45" spans="1:71" x14ac:dyDescent="0.25">
      <c r="A45" s="18" t="s">
        <v>96</v>
      </c>
      <c r="B45" s="18" t="s">
        <v>8511</v>
      </c>
      <c r="C45" s="18" t="s">
        <v>8517</v>
      </c>
      <c r="D45" s="18" t="s">
        <v>8513</v>
      </c>
      <c r="E45" s="22">
        <v>44900</v>
      </c>
      <c r="F45" s="18" t="s">
        <v>67</v>
      </c>
      <c r="G45" s="18" t="s">
        <v>8514</v>
      </c>
      <c r="H45" s="18" t="s">
        <v>8515</v>
      </c>
      <c r="I45" s="18" t="s">
        <v>70</v>
      </c>
      <c r="J45" s="18" t="s">
        <v>8102</v>
      </c>
      <c r="K45" s="18" t="s">
        <v>8103</v>
      </c>
      <c r="L45" s="18" t="s">
        <v>132</v>
      </c>
      <c r="M45" s="18" t="s">
        <v>7037</v>
      </c>
      <c r="N45" s="18" t="s">
        <v>8516</v>
      </c>
      <c r="O45" s="18" t="s">
        <v>287</v>
      </c>
      <c r="P45" s="18" t="s">
        <v>11166</v>
      </c>
      <c r="Q45" s="18" t="s">
        <v>10817</v>
      </c>
      <c r="R45" s="18" t="s">
        <v>78</v>
      </c>
      <c r="S45" s="18" t="s">
        <v>77</v>
      </c>
      <c r="T45" s="22">
        <v>44915</v>
      </c>
      <c r="U45" s="18"/>
      <c r="V45" s="18" t="s">
        <v>81</v>
      </c>
      <c r="W45" s="18" t="s">
        <v>79</v>
      </c>
      <c r="X45" s="18" t="s">
        <v>10803</v>
      </c>
      <c r="Y45" s="18" t="s">
        <v>369</v>
      </c>
      <c r="Z45" s="18" t="s">
        <v>370</v>
      </c>
      <c r="AA45" s="18" t="s">
        <v>7062</v>
      </c>
      <c r="AB45" s="18" t="s">
        <v>95</v>
      </c>
      <c r="AC45" s="18" t="s">
        <v>7984</v>
      </c>
      <c r="AD45" s="18" t="s">
        <v>10804</v>
      </c>
      <c r="AE45" s="18" t="s">
        <v>174</v>
      </c>
      <c r="AF45" s="18" t="s">
        <v>95</v>
      </c>
      <c r="AG45" s="18" t="s">
        <v>83</v>
      </c>
      <c r="AH45" s="18" t="s">
        <v>83</v>
      </c>
      <c r="AI45" s="18" t="s">
        <v>81</v>
      </c>
      <c r="AJ45" s="18" t="s">
        <v>118</v>
      </c>
      <c r="AK45" s="18" t="s">
        <v>95</v>
      </c>
      <c r="AL45" s="18" t="s">
        <v>11062</v>
      </c>
      <c r="AM45" s="18" t="s">
        <v>85</v>
      </c>
      <c r="AN45" s="18" t="s">
        <v>7031</v>
      </c>
      <c r="AO45" s="18" t="s">
        <v>86</v>
      </c>
      <c r="AP45" s="18" t="s">
        <v>90</v>
      </c>
      <c r="AQ45" s="18" t="s">
        <v>8002</v>
      </c>
      <c r="AR45" s="18" t="s">
        <v>177</v>
      </c>
      <c r="AS45" s="18" t="s">
        <v>139</v>
      </c>
      <c r="AT45" s="18" t="s">
        <v>95</v>
      </c>
      <c r="AU45" s="18" t="s">
        <v>95</v>
      </c>
      <c r="AV45" s="18" t="s">
        <v>7037</v>
      </c>
      <c r="AW45" s="18" t="s">
        <v>95</v>
      </c>
      <c r="AX45" s="18" t="s">
        <v>10806</v>
      </c>
      <c r="AY45" s="18" t="s">
        <v>95</v>
      </c>
      <c r="AZ45" s="18" t="s">
        <v>95</v>
      </c>
      <c r="BA45" s="18" t="s">
        <v>95</v>
      </c>
      <c r="BB45" s="18" t="s">
        <v>95</v>
      </c>
      <c r="BC45" s="18" t="s">
        <v>95</v>
      </c>
      <c r="BD45" s="18" t="s">
        <v>10829</v>
      </c>
      <c r="BE45" s="18" t="s">
        <v>11167</v>
      </c>
      <c r="BF45" s="18" t="s">
        <v>10809</v>
      </c>
      <c r="BG45" s="18" t="s">
        <v>7030</v>
      </c>
      <c r="BH45" s="18"/>
      <c r="BI45" s="18"/>
      <c r="BJ45" s="18" t="s">
        <v>369</v>
      </c>
      <c r="BK45" s="18" t="s">
        <v>11168</v>
      </c>
      <c r="BL45" s="18" t="s">
        <v>10811</v>
      </c>
      <c r="BM45" s="18" t="s">
        <v>139</v>
      </c>
      <c r="BN45" s="18" t="s">
        <v>85</v>
      </c>
      <c r="BO45" s="18">
        <v>0</v>
      </c>
      <c r="BP45" s="18" t="s">
        <v>10812</v>
      </c>
      <c r="BQ45" s="18" t="str">
        <f>VLOOKUP(Prepago[[#This Row],[NOM_PLAZA]],[1]!Locales[#Data],3,0)</f>
        <v>TIENDA RECREO</v>
      </c>
      <c r="BR45" s="18" t="str">
        <f>VLOOKUP(Prepago[[#This Row],[CODIGO_USUARIO]],[1]!Personal[#Data],6,0)</f>
        <v>GUAIGUA REINOSO GENESIS CAROLINA</v>
      </c>
      <c r="BS45" s="18">
        <f>DAY(Prepago[[#This Row],[FECHA_ALTA]])</f>
        <v>5</v>
      </c>
    </row>
    <row r="46" spans="1:71" x14ac:dyDescent="0.25">
      <c r="A46" s="18" t="s">
        <v>96</v>
      </c>
      <c r="B46" s="18" t="s">
        <v>11169</v>
      </c>
      <c r="C46" s="18" t="s">
        <v>11170</v>
      </c>
      <c r="D46" s="18" t="s">
        <v>11171</v>
      </c>
      <c r="E46" s="22">
        <v>44902</v>
      </c>
      <c r="F46" s="18" t="s">
        <v>67</v>
      </c>
      <c r="G46" s="18" t="s">
        <v>11172</v>
      </c>
      <c r="H46" s="18" t="s">
        <v>11173</v>
      </c>
      <c r="I46" s="18" t="s">
        <v>193</v>
      </c>
      <c r="J46" s="18" t="s">
        <v>8102</v>
      </c>
      <c r="K46" s="18" t="s">
        <v>8103</v>
      </c>
      <c r="L46" s="18" t="s">
        <v>114</v>
      </c>
      <c r="M46" s="18" t="s">
        <v>7037</v>
      </c>
      <c r="N46" s="18" t="s">
        <v>11174</v>
      </c>
      <c r="O46" s="18" t="s">
        <v>75</v>
      </c>
      <c r="P46" s="18" t="s">
        <v>11175</v>
      </c>
      <c r="Q46" s="18" t="s">
        <v>10817</v>
      </c>
      <c r="R46" s="18" t="s">
        <v>78</v>
      </c>
      <c r="S46" s="18" t="s">
        <v>77</v>
      </c>
      <c r="T46" s="22">
        <v>44915</v>
      </c>
      <c r="U46" s="18"/>
      <c r="V46" s="18" t="s">
        <v>81</v>
      </c>
      <c r="W46" s="18" t="s">
        <v>79</v>
      </c>
      <c r="X46" s="18" t="s">
        <v>10803</v>
      </c>
      <c r="Y46" s="18" t="s">
        <v>303</v>
      </c>
      <c r="Z46" s="18" t="s">
        <v>304</v>
      </c>
      <c r="AA46" s="18" t="s">
        <v>7062</v>
      </c>
      <c r="AB46" s="18" t="s">
        <v>95</v>
      </c>
      <c r="AC46" s="18" t="s">
        <v>7984</v>
      </c>
      <c r="AD46" s="18" t="s">
        <v>10804</v>
      </c>
      <c r="AE46" s="18" t="s">
        <v>174</v>
      </c>
      <c r="AF46" s="18" t="s">
        <v>95</v>
      </c>
      <c r="AG46" s="18" t="s">
        <v>83</v>
      </c>
      <c r="AH46" s="18" t="s">
        <v>83</v>
      </c>
      <c r="AI46" s="18" t="s">
        <v>81</v>
      </c>
      <c r="AJ46" s="18" t="s">
        <v>118</v>
      </c>
      <c r="AK46" s="18" t="s">
        <v>95</v>
      </c>
      <c r="AL46" s="18" t="s">
        <v>10805</v>
      </c>
      <c r="AM46" s="18" t="s">
        <v>85</v>
      </c>
      <c r="AN46" s="18" t="s">
        <v>7031</v>
      </c>
      <c r="AO46" s="18" t="s">
        <v>86</v>
      </c>
      <c r="AP46" s="18" t="s">
        <v>90</v>
      </c>
      <c r="AQ46" s="18" t="s">
        <v>8002</v>
      </c>
      <c r="AR46" s="18" t="s">
        <v>177</v>
      </c>
      <c r="AS46" s="18" t="s">
        <v>139</v>
      </c>
      <c r="AT46" s="18" t="s">
        <v>95</v>
      </c>
      <c r="AU46" s="18" t="s">
        <v>95</v>
      </c>
      <c r="AV46" s="18" t="s">
        <v>7037</v>
      </c>
      <c r="AW46" s="18" t="s">
        <v>95</v>
      </c>
      <c r="AX46" s="18" t="s">
        <v>10806</v>
      </c>
      <c r="AY46" s="18" t="s">
        <v>95</v>
      </c>
      <c r="AZ46" s="18" t="s">
        <v>95</v>
      </c>
      <c r="BA46" s="18" t="s">
        <v>95</v>
      </c>
      <c r="BB46" s="18" t="s">
        <v>95</v>
      </c>
      <c r="BC46" s="18" t="s">
        <v>95</v>
      </c>
      <c r="BD46" s="18" t="s">
        <v>10829</v>
      </c>
      <c r="BE46" s="18" t="s">
        <v>11176</v>
      </c>
      <c r="BF46" s="18" t="s">
        <v>10809</v>
      </c>
      <c r="BG46" s="18" t="s">
        <v>7030</v>
      </c>
      <c r="BH46" s="18"/>
      <c r="BI46" s="18"/>
      <c r="BJ46" s="18" t="s">
        <v>303</v>
      </c>
      <c r="BK46" s="18" t="s">
        <v>11177</v>
      </c>
      <c r="BL46" s="18" t="s">
        <v>10811</v>
      </c>
      <c r="BM46" s="18" t="s">
        <v>139</v>
      </c>
      <c r="BN46" s="18" t="s">
        <v>85</v>
      </c>
      <c r="BO46" s="18">
        <v>0</v>
      </c>
      <c r="BP46" s="18" t="s">
        <v>10812</v>
      </c>
      <c r="BQ46" s="18" t="str">
        <f>VLOOKUP(Prepago[[#This Row],[NOM_PLAZA]],[1]!Locales[#Data],3,0)</f>
        <v>TIENDA RECREO</v>
      </c>
      <c r="BR46" s="18" t="str">
        <f>VLOOKUP(Prepago[[#This Row],[CODIGO_USUARIO]],[1]!Personal[#Data],6,0)</f>
        <v>CORDOVA GAIBOR JONATHAN HERNAN</v>
      </c>
      <c r="BS46" s="18">
        <f>DAY(Prepago[[#This Row],[FECHA_ALTA]])</f>
        <v>7</v>
      </c>
    </row>
    <row r="47" spans="1:71" x14ac:dyDescent="0.25">
      <c r="A47" s="18" t="s">
        <v>96</v>
      </c>
      <c r="B47" s="18" t="s">
        <v>8888</v>
      </c>
      <c r="C47" s="18" t="s">
        <v>8894</v>
      </c>
      <c r="D47" s="18" t="s">
        <v>8890</v>
      </c>
      <c r="E47" s="22">
        <v>44902</v>
      </c>
      <c r="F47" s="18" t="s">
        <v>67</v>
      </c>
      <c r="G47" s="18" t="s">
        <v>8891</v>
      </c>
      <c r="H47" s="18" t="s">
        <v>8892</v>
      </c>
      <c r="I47" s="18" t="s">
        <v>70</v>
      </c>
      <c r="J47" s="18" t="s">
        <v>8102</v>
      </c>
      <c r="K47" s="18" t="s">
        <v>8103</v>
      </c>
      <c r="L47" s="18" t="s">
        <v>132</v>
      </c>
      <c r="M47" s="18" t="s">
        <v>7037</v>
      </c>
      <c r="N47" s="18" t="s">
        <v>8893</v>
      </c>
      <c r="O47" s="18" t="s">
        <v>287</v>
      </c>
      <c r="P47" s="18" t="s">
        <v>11178</v>
      </c>
      <c r="Q47" s="18" t="s">
        <v>10817</v>
      </c>
      <c r="R47" s="18" t="s">
        <v>78</v>
      </c>
      <c r="S47" s="18" t="s">
        <v>77</v>
      </c>
      <c r="T47" s="22">
        <v>44915</v>
      </c>
      <c r="U47" s="18"/>
      <c r="V47" s="18" t="s">
        <v>81</v>
      </c>
      <c r="W47" s="18" t="s">
        <v>79</v>
      </c>
      <c r="X47" s="18" t="s">
        <v>10803</v>
      </c>
      <c r="Y47" s="18" t="s">
        <v>262</v>
      </c>
      <c r="Z47" s="18" t="s">
        <v>263</v>
      </c>
      <c r="AA47" s="18" t="s">
        <v>7062</v>
      </c>
      <c r="AB47" s="18" t="s">
        <v>95</v>
      </c>
      <c r="AC47" s="18" t="s">
        <v>7984</v>
      </c>
      <c r="AD47" s="18" t="s">
        <v>10804</v>
      </c>
      <c r="AE47" s="18" t="s">
        <v>174</v>
      </c>
      <c r="AF47" s="18" t="s">
        <v>95</v>
      </c>
      <c r="AG47" s="18" t="s">
        <v>83</v>
      </c>
      <c r="AH47" s="18" t="s">
        <v>83</v>
      </c>
      <c r="AI47" s="18" t="s">
        <v>81</v>
      </c>
      <c r="AJ47" s="18" t="s">
        <v>118</v>
      </c>
      <c r="AK47" s="18" t="s">
        <v>95</v>
      </c>
      <c r="AL47" s="18" t="s">
        <v>10883</v>
      </c>
      <c r="AM47" s="18" t="s">
        <v>85</v>
      </c>
      <c r="AN47" s="18" t="s">
        <v>7031</v>
      </c>
      <c r="AO47" s="18" t="s">
        <v>86</v>
      </c>
      <c r="AP47" s="18" t="s">
        <v>90</v>
      </c>
      <c r="AQ47" s="18" t="s">
        <v>8002</v>
      </c>
      <c r="AR47" s="18" t="s">
        <v>177</v>
      </c>
      <c r="AS47" s="18" t="s">
        <v>139</v>
      </c>
      <c r="AT47" s="18" t="s">
        <v>95</v>
      </c>
      <c r="AU47" s="18" t="s">
        <v>95</v>
      </c>
      <c r="AV47" s="18" t="s">
        <v>7037</v>
      </c>
      <c r="AW47" s="18" t="s">
        <v>95</v>
      </c>
      <c r="AX47" s="18" t="s">
        <v>10806</v>
      </c>
      <c r="AY47" s="18" t="s">
        <v>95</v>
      </c>
      <c r="AZ47" s="18" t="s">
        <v>95</v>
      </c>
      <c r="BA47" s="18" t="s">
        <v>95</v>
      </c>
      <c r="BB47" s="18" t="s">
        <v>95</v>
      </c>
      <c r="BC47" s="18" t="s">
        <v>95</v>
      </c>
      <c r="BD47" s="18" t="s">
        <v>10829</v>
      </c>
      <c r="BE47" s="18" t="s">
        <v>11179</v>
      </c>
      <c r="BF47" s="18" t="s">
        <v>10809</v>
      </c>
      <c r="BG47" s="18" t="s">
        <v>7030</v>
      </c>
      <c r="BH47" s="18"/>
      <c r="BI47" s="18"/>
      <c r="BJ47" s="18" t="s">
        <v>262</v>
      </c>
      <c r="BK47" s="18" t="s">
        <v>11180</v>
      </c>
      <c r="BL47" s="18" t="s">
        <v>10811</v>
      </c>
      <c r="BM47" s="18" t="s">
        <v>139</v>
      </c>
      <c r="BN47" s="18" t="s">
        <v>85</v>
      </c>
      <c r="BO47" s="18">
        <v>0</v>
      </c>
      <c r="BP47" s="18" t="s">
        <v>10812</v>
      </c>
      <c r="BQ47" s="18" t="str">
        <f>VLOOKUP(Prepago[[#This Row],[NOM_PLAZA]],[1]!Locales[#Data],3,0)</f>
        <v>TIENDA RECREO</v>
      </c>
      <c r="BR47" s="18" t="str">
        <f>VLOOKUP(Prepago[[#This Row],[CODIGO_USUARIO]],[1]!Personal[#Data],6,0)</f>
        <v>CHICAIZA TOAPANTA ALEX DANILO</v>
      </c>
      <c r="BS47" s="18">
        <f>DAY(Prepago[[#This Row],[FECHA_ALTA]])</f>
        <v>7</v>
      </c>
    </row>
    <row r="48" spans="1:71" x14ac:dyDescent="0.25">
      <c r="A48" s="18" t="s">
        <v>96</v>
      </c>
      <c r="B48" s="18" t="s">
        <v>11181</v>
      </c>
      <c r="C48" s="18" t="s">
        <v>11182</v>
      </c>
      <c r="D48" s="18" t="s">
        <v>11183</v>
      </c>
      <c r="E48" s="22">
        <v>44905</v>
      </c>
      <c r="F48" s="18" t="s">
        <v>67</v>
      </c>
      <c r="G48" s="18" t="s">
        <v>11184</v>
      </c>
      <c r="H48" s="18" t="s">
        <v>11185</v>
      </c>
      <c r="I48" s="18" t="s">
        <v>70</v>
      </c>
      <c r="J48" s="18" t="s">
        <v>8102</v>
      </c>
      <c r="K48" s="18" t="s">
        <v>8103</v>
      </c>
      <c r="L48" s="18" t="s">
        <v>95</v>
      </c>
      <c r="M48" s="18" t="s">
        <v>7037</v>
      </c>
      <c r="N48" s="18" t="s">
        <v>11186</v>
      </c>
      <c r="O48" s="18" t="s">
        <v>75</v>
      </c>
      <c r="P48" s="18" t="s">
        <v>11187</v>
      </c>
      <c r="Q48" s="18" t="s">
        <v>10817</v>
      </c>
      <c r="R48" s="18" t="s">
        <v>78</v>
      </c>
      <c r="S48" s="18" t="s">
        <v>77</v>
      </c>
      <c r="T48" s="22">
        <v>44915</v>
      </c>
      <c r="U48" s="18"/>
      <c r="V48" s="18" t="s">
        <v>81</v>
      </c>
      <c r="W48" s="18" t="s">
        <v>79</v>
      </c>
      <c r="X48" s="18" t="s">
        <v>10803</v>
      </c>
      <c r="Y48" s="18" t="s">
        <v>2159</v>
      </c>
      <c r="Z48" s="18" t="s">
        <v>2160</v>
      </c>
      <c r="AA48" s="18" t="s">
        <v>7062</v>
      </c>
      <c r="AB48" s="18" t="s">
        <v>95</v>
      </c>
      <c r="AC48" s="18" t="s">
        <v>7984</v>
      </c>
      <c r="AD48" s="18" t="s">
        <v>10804</v>
      </c>
      <c r="AE48" s="18" t="s">
        <v>174</v>
      </c>
      <c r="AF48" s="18" t="s">
        <v>95</v>
      </c>
      <c r="AG48" s="18" t="s">
        <v>83</v>
      </c>
      <c r="AH48" s="18" t="s">
        <v>83</v>
      </c>
      <c r="AI48" s="18" t="s">
        <v>81</v>
      </c>
      <c r="AJ48" s="18" t="s">
        <v>118</v>
      </c>
      <c r="AK48" s="18" t="s">
        <v>95</v>
      </c>
      <c r="AL48" s="18" t="s">
        <v>11080</v>
      </c>
      <c r="AM48" s="18" t="s">
        <v>85</v>
      </c>
      <c r="AN48" s="18" t="s">
        <v>7031</v>
      </c>
      <c r="AO48" s="18" t="s">
        <v>86</v>
      </c>
      <c r="AP48" s="18" t="s">
        <v>90</v>
      </c>
      <c r="AQ48" s="18" t="s">
        <v>8002</v>
      </c>
      <c r="AR48" s="18" t="s">
        <v>177</v>
      </c>
      <c r="AS48" s="18" t="s">
        <v>139</v>
      </c>
      <c r="AT48" s="18" t="s">
        <v>95</v>
      </c>
      <c r="AU48" s="18" t="s">
        <v>95</v>
      </c>
      <c r="AV48" s="18" t="s">
        <v>7037</v>
      </c>
      <c r="AW48" s="18" t="s">
        <v>95</v>
      </c>
      <c r="AX48" s="18" t="s">
        <v>10806</v>
      </c>
      <c r="AY48" s="18" t="s">
        <v>95</v>
      </c>
      <c r="AZ48" s="18" t="s">
        <v>95</v>
      </c>
      <c r="BA48" s="18" t="s">
        <v>95</v>
      </c>
      <c r="BB48" s="18" t="s">
        <v>95</v>
      </c>
      <c r="BC48" s="18" t="s">
        <v>95</v>
      </c>
      <c r="BD48" s="18" t="s">
        <v>10829</v>
      </c>
      <c r="BE48" s="18" t="s">
        <v>11188</v>
      </c>
      <c r="BF48" s="18" t="s">
        <v>10809</v>
      </c>
      <c r="BG48" s="18" t="s">
        <v>7030</v>
      </c>
      <c r="BH48" s="18"/>
      <c r="BI48" s="18"/>
      <c r="BJ48" s="18" t="s">
        <v>2159</v>
      </c>
      <c r="BK48" s="18" t="s">
        <v>11189</v>
      </c>
      <c r="BL48" s="18" t="s">
        <v>10811</v>
      </c>
      <c r="BM48" s="18" t="s">
        <v>139</v>
      </c>
      <c r="BN48" s="18" t="s">
        <v>85</v>
      </c>
      <c r="BO48" s="18">
        <v>0</v>
      </c>
      <c r="BP48" s="18" t="s">
        <v>10812</v>
      </c>
      <c r="BQ48" s="18" t="str">
        <f>VLOOKUP(Prepago[[#This Row],[NOM_PLAZA]],[1]!Locales[#Data],3,0)</f>
        <v>TIENDA RECREO</v>
      </c>
      <c r="BR48" s="18" t="str">
        <f>VLOOKUP(Prepago[[#This Row],[CODIGO_USUARIO]],[1]!Personal[#Data],6,0)</f>
        <v>GUEVARA MAZA CRISTIAN FABIAN</v>
      </c>
      <c r="BS48" s="18">
        <f>DAY(Prepago[[#This Row],[FECHA_ALTA]])</f>
        <v>10</v>
      </c>
    </row>
    <row r="49" spans="1:71" x14ac:dyDescent="0.25">
      <c r="A49" s="18" t="s">
        <v>96</v>
      </c>
      <c r="B49" s="18" t="s">
        <v>11190</v>
      </c>
      <c r="C49" s="18" t="s">
        <v>11191</v>
      </c>
      <c r="D49" s="18" t="s">
        <v>11192</v>
      </c>
      <c r="E49" s="22">
        <v>44913</v>
      </c>
      <c r="F49" s="18" t="s">
        <v>67</v>
      </c>
      <c r="G49" s="18" t="s">
        <v>11193</v>
      </c>
      <c r="H49" s="18" t="s">
        <v>11194</v>
      </c>
      <c r="I49" s="18" t="s">
        <v>70</v>
      </c>
      <c r="J49" s="18" t="s">
        <v>8102</v>
      </c>
      <c r="K49" s="18" t="s">
        <v>8103</v>
      </c>
      <c r="L49" s="18" t="s">
        <v>132</v>
      </c>
      <c r="M49" s="18" t="s">
        <v>7037</v>
      </c>
      <c r="N49" s="18" t="s">
        <v>11195</v>
      </c>
      <c r="O49" s="18" t="s">
        <v>75</v>
      </c>
      <c r="P49" s="18" t="s">
        <v>11196</v>
      </c>
      <c r="Q49" s="18" t="s">
        <v>4453</v>
      </c>
      <c r="R49" s="18" t="s">
        <v>78</v>
      </c>
      <c r="S49" s="18" t="s">
        <v>77</v>
      </c>
      <c r="T49" s="22">
        <v>44915</v>
      </c>
      <c r="U49" s="18"/>
      <c r="V49" s="18" t="s">
        <v>81</v>
      </c>
      <c r="W49" s="18" t="s">
        <v>79</v>
      </c>
      <c r="X49" s="18" t="s">
        <v>10803</v>
      </c>
      <c r="Y49" s="18" t="s">
        <v>199</v>
      </c>
      <c r="Z49" s="18" t="s">
        <v>200</v>
      </c>
      <c r="AA49" s="18" t="s">
        <v>7062</v>
      </c>
      <c r="AB49" s="18" t="s">
        <v>95</v>
      </c>
      <c r="AC49" s="18" t="s">
        <v>7984</v>
      </c>
      <c r="AD49" s="18" t="s">
        <v>10804</v>
      </c>
      <c r="AE49" s="18" t="s">
        <v>174</v>
      </c>
      <c r="AF49" s="18" t="s">
        <v>95</v>
      </c>
      <c r="AG49" s="18" t="s">
        <v>83</v>
      </c>
      <c r="AH49" s="18" t="s">
        <v>83</v>
      </c>
      <c r="AI49" s="18" t="s">
        <v>81</v>
      </c>
      <c r="AJ49" s="18" t="s">
        <v>118</v>
      </c>
      <c r="AK49" s="18" t="s">
        <v>95</v>
      </c>
      <c r="AL49" s="18" t="s">
        <v>10838</v>
      </c>
      <c r="AM49" s="18" t="s">
        <v>85</v>
      </c>
      <c r="AN49" s="18" t="s">
        <v>7031</v>
      </c>
      <c r="AO49" s="18" t="s">
        <v>86</v>
      </c>
      <c r="AP49" s="18" t="s">
        <v>90</v>
      </c>
      <c r="AQ49" s="18" t="s">
        <v>8002</v>
      </c>
      <c r="AR49" s="18" t="s">
        <v>177</v>
      </c>
      <c r="AS49" s="18" t="s">
        <v>139</v>
      </c>
      <c r="AT49" s="18" t="s">
        <v>95</v>
      </c>
      <c r="AU49" s="18" t="s">
        <v>95</v>
      </c>
      <c r="AV49" s="18" t="s">
        <v>7037</v>
      </c>
      <c r="AW49" s="18" t="s">
        <v>95</v>
      </c>
      <c r="AX49" s="18" t="s">
        <v>10806</v>
      </c>
      <c r="AY49" s="18" t="s">
        <v>95</v>
      </c>
      <c r="AZ49" s="18" t="s">
        <v>95</v>
      </c>
      <c r="BA49" s="18" t="s">
        <v>95</v>
      </c>
      <c r="BB49" s="18" t="s">
        <v>95</v>
      </c>
      <c r="BC49" s="18" t="s">
        <v>95</v>
      </c>
      <c r="BD49" s="18" t="s">
        <v>10829</v>
      </c>
      <c r="BE49" s="18" t="s">
        <v>11197</v>
      </c>
      <c r="BF49" s="18" t="s">
        <v>10809</v>
      </c>
      <c r="BG49" s="18" t="s">
        <v>7030</v>
      </c>
      <c r="BH49" s="18"/>
      <c r="BI49" s="18"/>
      <c r="BJ49" s="18" t="s">
        <v>199</v>
      </c>
      <c r="BK49" s="18" t="s">
        <v>11198</v>
      </c>
      <c r="BL49" s="18" t="s">
        <v>10811</v>
      </c>
      <c r="BM49" s="18" t="s">
        <v>139</v>
      </c>
      <c r="BN49" s="18" t="s">
        <v>85</v>
      </c>
      <c r="BO49" s="18">
        <v>1</v>
      </c>
      <c r="BP49" s="18" t="s">
        <v>10812</v>
      </c>
      <c r="BQ49" s="18" t="str">
        <f>VLOOKUP(Prepago[[#This Row],[NOM_PLAZA]],[1]!Locales[#Data],3,0)</f>
        <v>TIENDA RECREO</v>
      </c>
      <c r="BR49" s="18" t="str">
        <f>VLOOKUP(Prepago[[#This Row],[CODIGO_USUARIO]],[1]!Personal[#Data],6,0)</f>
        <v>MEDINA LAPO DAYANNA CAROLINA</v>
      </c>
      <c r="BS49" s="18">
        <f>DAY(Prepago[[#This Row],[FECHA_ALTA]])</f>
        <v>18</v>
      </c>
    </row>
    <row r="50" spans="1:71" x14ac:dyDescent="0.25">
      <c r="A50" s="18" t="s">
        <v>96</v>
      </c>
      <c r="B50" s="18" t="s">
        <v>11199</v>
      </c>
      <c r="C50" s="18" t="s">
        <v>11200</v>
      </c>
      <c r="D50" s="18" t="s">
        <v>11201</v>
      </c>
      <c r="E50" s="22">
        <v>44914</v>
      </c>
      <c r="F50" s="18" t="s">
        <v>67</v>
      </c>
      <c r="G50" s="18" t="s">
        <v>11202</v>
      </c>
      <c r="H50" s="18" t="s">
        <v>11203</v>
      </c>
      <c r="I50" s="18" t="s">
        <v>70</v>
      </c>
      <c r="J50" s="18" t="s">
        <v>8102</v>
      </c>
      <c r="K50" s="18" t="s">
        <v>8103</v>
      </c>
      <c r="L50" s="18" t="s">
        <v>73</v>
      </c>
      <c r="M50" s="18" t="s">
        <v>7029</v>
      </c>
      <c r="N50" s="18" t="s">
        <v>11204</v>
      </c>
      <c r="O50" s="18" t="s">
        <v>75</v>
      </c>
      <c r="P50" s="18" t="s">
        <v>11205</v>
      </c>
      <c r="Q50" s="18" t="s">
        <v>10817</v>
      </c>
      <c r="R50" s="18" t="s">
        <v>78</v>
      </c>
      <c r="S50" s="18" t="s">
        <v>77</v>
      </c>
      <c r="T50" s="22">
        <v>44915</v>
      </c>
      <c r="U50" s="18"/>
      <c r="V50" s="18" t="s">
        <v>81</v>
      </c>
      <c r="W50" s="18" t="s">
        <v>79</v>
      </c>
      <c r="X50" s="18" t="s">
        <v>10803</v>
      </c>
      <c r="Y50" s="18" t="s">
        <v>918</v>
      </c>
      <c r="Z50" s="18" t="s">
        <v>919</v>
      </c>
      <c r="AA50" s="18" t="s">
        <v>7062</v>
      </c>
      <c r="AB50" s="18" t="s">
        <v>95</v>
      </c>
      <c r="AC50" s="18" t="s">
        <v>7984</v>
      </c>
      <c r="AD50" s="18" t="s">
        <v>10804</v>
      </c>
      <c r="AE50" s="18" t="s">
        <v>174</v>
      </c>
      <c r="AF50" s="18" t="s">
        <v>95</v>
      </c>
      <c r="AG50" s="18" t="s">
        <v>83</v>
      </c>
      <c r="AH50" s="18" t="s">
        <v>83</v>
      </c>
      <c r="AI50" s="18" t="s">
        <v>81</v>
      </c>
      <c r="AJ50" s="18" t="s">
        <v>118</v>
      </c>
      <c r="AK50" s="18" t="s">
        <v>95</v>
      </c>
      <c r="AL50" s="18" t="s">
        <v>10999</v>
      </c>
      <c r="AM50" s="18" t="s">
        <v>85</v>
      </c>
      <c r="AN50" s="18" t="s">
        <v>7031</v>
      </c>
      <c r="AO50" s="18" t="s">
        <v>86</v>
      </c>
      <c r="AP50" s="18" t="s">
        <v>90</v>
      </c>
      <c r="AQ50" s="18" t="s">
        <v>8002</v>
      </c>
      <c r="AR50" s="18" t="s">
        <v>177</v>
      </c>
      <c r="AS50" s="18" t="s">
        <v>139</v>
      </c>
      <c r="AT50" s="18" t="s">
        <v>95</v>
      </c>
      <c r="AU50" s="18" t="s">
        <v>95</v>
      </c>
      <c r="AV50" s="18" t="s">
        <v>7029</v>
      </c>
      <c r="AW50" s="18" t="s">
        <v>95</v>
      </c>
      <c r="AX50" s="18" t="s">
        <v>10806</v>
      </c>
      <c r="AY50" s="18" t="s">
        <v>95</v>
      </c>
      <c r="AZ50" s="18" t="s">
        <v>95</v>
      </c>
      <c r="BA50" s="18" t="s">
        <v>95</v>
      </c>
      <c r="BB50" s="18" t="s">
        <v>95</v>
      </c>
      <c r="BC50" s="18" t="s">
        <v>95</v>
      </c>
      <c r="BD50" s="18" t="s">
        <v>10829</v>
      </c>
      <c r="BE50" s="18" t="s">
        <v>11206</v>
      </c>
      <c r="BF50" s="18" t="s">
        <v>10809</v>
      </c>
      <c r="BG50" s="18" t="s">
        <v>7030</v>
      </c>
      <c r="BH50" s="18"/>
      <c r="BI50" s="18"/>
      <c r="BJ50" s="18" t="s">
        <v>918</v>
      </c>
      <c r="BK50" s="18" t="s">
        <v>11207</v>
      </c>
      <c r="BL50" s="18" t="s">
        <v>10811</v>
      </c>
      <c r="BM50" s="18" t="s">
        <v>92</v>
      </c>
      <c r="BN50" s="18" t="s">
        <v>85</v>
      </c>
      <c r="BO50" s="18">
        <v>0</v>
      </c>
      <c r="BP50" s="18" t="s">
        <v>10812</v>
      </c>
      <c r="BQ50" s="18" t="str">
        <f>VLOOKUP(Prepago[[#This Row],[NOM_PLAZA]],[1]!Locales[#Data],3,0)</f>
        <v>TIENDA RECREO</v>
      </c>
      <c r="BR50" s="18" t="str">
        <f>VLOOKUP(Prepago[[#This Row],[CODIGO_USUARIO]],[1]!Personal[#Data],6,0)</f>
        <v>ORELLANA CARRERA MICHAEL ALEXANDER</v>
      </c>
      <c r="BS50" s="18">
        <f>DAY(Prepago[[#This Row],[FECHA_ALTA]])</f>
        <v>19</v>
      </c>
    </row>
    <row r="51" spans="1:71" x14ac:dyDescent="0.25">
      <c r="A51" s="18" t="s">
        <v>96</v>
      </c>
      <c r="B51" s="18" t="s">
        <v>11208</v>
      </c>
      <c r="C51" s="18" t="s">
        <v>11209</v>
      </c>
      <c r="D51" s="18" t="s">
        <v>11210</v>
      </c>
      <c r="E51" s="22">
        <v>44897</v>
      </c>
      <c r="F51" s="18" t="s">
        <v>67</v>
      </c>
      <c r="G51" s="18" t="s">
        <v>11211</v>
      </c>
      <c r="H51" s="18" t="s">
        <v>11212</v>
      </c>
      <c r="I51" s="18" t="s">
        <v>514</v>
      </c>
      <c r="J51" s="18" t="s">
        <v>8102</v>
      </c>
      <c r="K51" s="18" t="s">
        <v>8103</v>
      </c>
      <c r="L51" s="18" t="s">
        <v>73</v>
      </c>
      <c r="M51" s="18" t="s">
        <v>7037</v>
      </c>
      <c r="N51" s="18" t="s">
        <v>11213</v>
      </c>
      <c r="O51" s="18" t="s">
        <v>75</v>
      </c>
      <c r="P51" s="18" t="s">
        <v>11214</v>
      </c>
      <c r="Q51" s="18" t="s">
        <v>10817</v>
      </c>
      <c r="R51" s="18" t="s">
        <v>78</v>
      </c>
      <c r="S51" s="18" t="s">
        <v>77</v>
      </c>
      <c r="T51" s="22">
        <v>44915</v>
      </c>
      <c r="U51" s="18"/>
      <c r="V51" s="18" t="s">
        <v>81</v>
      </c>
      <c r="W51" s="18" t="s">
        <v>79</v>
      </c>
      <c r="X51" s="18" t="s">
        <v>10803</v>
      </c>
      <c r="Y51" s="18" t="s">
        <v>630</v>
      </c>
      <c r="Z51" s="18" t="s">
        <v>631</v>
      </c>
      <c r="AA51" s="18" t="s">
        <v>7062</v>
      </c>
      <c r="AB51" s="18" t="s">
        <v>95</v>
      </c>
      <c r="AC51" s="18" t="s">
        <v>7984</v>
      </c>
      <c r="AD51" s="18" t="s">
        <v>10804</v>
      </c>
      <c r="AE51" s="18" t="s">
        <v>174</v>
      </c>
      <c r="AF51" s="18" t="s">
        <v>95</v>
      </c>
      <c r="AG51" s="18" t="s">
        <v>83</v>
      </c>
      <c r="AH51" s="18" t="s">
        <v>83</v>
      </c>
      <c r="AI51" s="18" t="s">
        <v>81</v>
      </c>
      <c r="AJ51" s="18" t="s">
        <v>118</v>
      </c>
      <c r="AK51" s="18" t="s">
        <v>95</v>
      </c>
      <c r="AL51" s="18" t="s">
        <v>10873</v>
      </c>
      <c r="AM51" s="18" t="s">
        <v>85</v>
      </c>
      <c r="AN51" s="18" t="s">
        <v>7031</v>
      </c>
      <c r="AO51" s="18" t="s">
        <v>86</v>
      </c>
      <c r="AP51" s="18" t="s">
        <v>90</v>
      </c>
      <c r="AQ51" s="18" t="s">
        <v>8002</v>
      </c>
      <c r="AR51" s="18" t="s">
        <v>177</v>
      </c>
      <c r="AS51" s="18" t="s">
        <v>139</v>
      </c>
      <c r="AT51" s="18" t="s">
        <v>95</v>
      </c>
      <c r="AU51" s="18" t="s">
        <v>95</v>
      </c>
      <c r="AV51" s="18" t="s">
        <v>7037</v>
      </c>
      <c r="AW51" s="18" t="s">
        <v>95</v>
      </c>
      <c r="AX51" s="18" t="s">
        <v>10806</v>
      </c>
      <c r="AY51" s="18" t="s">
        <v>95</v>
      </c>
      <c r="AZ51" s="18" t="s">
        <v>95</v>
      </c>
      <c r="BA51" s="18" t="s">
        <v>95</v>
      </c>
      <c r="BB51" s="18" t="s">
        <v>95</v>
      </c>
      <c r="BC51" s="18" t="s">
        <v>95</v>
      </c>
      <c r="BD51" s="18" t="s">
        <v>10829</v>
      </c>
      <c r="BE51" s="18" t="s">
        <v>11215</v>
      </c>
      <c r="BF51" s="18" t="s">
        <v>10809</v>
      </c>
      <c r="BG51" s="18" t="s">
        <v>7030</v>
      </c>
      <c r="BH51" s="18"/>
      <c r="BI51" s="18"/>
      <c r="BJ51" s="18" t="s">
        <v>630</v>
      </c>
      <c r="BK51" s="18" t="s">
        <v>11216</v>
      </c>
      <c r="BL51" s="18" t="s">
        <v>10811</v>
      </c>
      <c r="BM51" s="18" t="s">
        <v>139</v>
      </c>
      <c r="BN51" s="18" t="s">
        <v>85</v>
      </c>
      <c r="BO51" s="18">
        <v>0</v>
      </c>
      <c r="BP51" s="18" t="s">
        <v>10812</v>
      </c>
      <c r="BQ51" s="18" t="str">
        <f>VLOOKUP(Prepago[[#This Row],[NOM_PLAZA]],[1]!Locales[#Data],3,0)</f>
        <v>TIENDA RECREO</v>
      </c>
      <c r="BR51" s="18" t="str">
        <f>VLOOKUP(Prepago[[#This Row],[CODIGO_USUARIO]],[1]!Personal[#Data],6,0)</f>
        <v>LOAYZA AGUILAR JONATHAN FABIAN</v>
      </c>
      <c r="BS51" s="18">
        <f>DAY(Prepago[[#This Row],[FECHA_ALTA]])</f>
        <v>2</v>
      </c>
    </row>
    <row r="52" spans="1:71" x14ac:dyDescent="0.25">
      <c r="A52" s="18" t="s">
        <v>96</v>
      </c>
      <c r="B52" s="18" t="s">
        <v>8997</v>
      </c>
      <c r="C52" s="18" t="s">
        <v>9003</v>
      </c>
      <c r="D52" s="18" t="s">
        <v>8999</v>
      </c>
      <c r="E52" s="22">
        <v>44903</v>
      </c>
      <c r="F52" s="18" t="s">
        <v>67</v>
      </c>
      <c r="G52" s="18" t="s">
        <v>9000</v>
      </c>
      <c r="H52" s="18" t="s">
        <v>9001</v>
      </c>
      <c r="I52" s="18" t="s">
        <v>70</v>
      </c>
      <c r="J52" s="18" t="s">
        <v>8102</v>
      </c>
      <c r="K52" s="18" t="s">
        <v>8103</v>
      </c>
      <c r="L52" s="18" t="s">
        <v>132</v>
      </c>
      <c r="M52" s="18" t="s">
        <v>7037</v>
      </c>
      <c r="N52" s="18" t="s">
        <v>9002</v>
      </c>
      <c r="O52" s="18" t="s">
        <v>287</v>
      </c>
      <c r="P52" s="18" t="s">
        <v>11217</v>
      </c>
      <c r="Q52" s="18" t="s">
        <v>10817</v>
      </c>
      <c r="R52" s="18" t="s">
        <v>78</v>
      </c>
      <c r="S52" s="18" t="s">
        <v>77</v>
      </c>
      <c r="T52" s="22">
        <v>44915</v>
      </c>
      <c r="U52" s="18"/>
      <c r="V52" s="18" t="s">
        <v>81</v>
      </c>
      <c r="W52" s="18" t="s">
        <v>79</v>
      </c>
      <c r="X52" s="18" t="s">
        <v>10803</v>
      </c>
      <c r="Y52" s="18" t="s">
        <v>2159</v>
      </c>
      <c r="Z52" s="18" t="s">
        <v>2160</v>
      </c>
      <c r="AA52" s="18" t="s">
        <v>7062</v>
      </c>
      <c r="AB52" s="18" t="s">
        <v>95</v>
      </c>
      <c r="AC52" s="18" t="s">
        <v>7984</v>
      </c>
      <c r="AD52" s="18" t="s">
        <v>10804</v>
      </c>
      <c r="AE52" s="18" t="s">
        <v>174</v>
      </c>
      <c r="AF52" s="18" t="s">
        <v>95</v>
      </c>
      <c r="AG52" s="18" t="s">
        <v>83</v>
      </c>
      <c r="AH52" s="18" t="s">
        <v>83</v>
      </c>
      <c r="AI52" s="18" t="s">
        <v>81</v>
      </c>
      <c r="AJ52" s="18" t="s">
        <v>118</v>
      </c>
      <c r="AK52" s="18" t="s">
        <v>95</v>
      </c>
      <c r="AL52" s="18" t="s">
        <v>11080</v>
      </c>
      <c r="AM52" s="18" t="s">
        <v>85</v>
      </c>
      <c r="AN52" s="18" t="s">
        <v>7031</v>
      </c>
      <c r="AO52" s="18" t="s">
        <v>86</v>
      </c>
      <c r="AP52" s="18" t="s">
        <v>90</v>
      </c>
      <c r="AQ52" s="18" t="s">
        <v>8002</v>
      </c>
      <c r="AR52" s="18" t="s">
        <v>177</v>
      </c>
      <c r="AS52" s="18" t="s">
        <v>139</v>
      </c>
      <c r="AT52" s="18" t="s">
        <v>95</v>
      </c>
      <c r="AU52" s="18" t="s">
        <v>95</v>
      </c>
      <c r="AV52" s="18" t="s">
        <v>7037</v>
      </c>
      <c r="AW52" s="18" t="s">
        <v>95</v>
      </c>
      <c r="AX52" s="18" t="s">
        <v>10806</v>
      </c>
      <c r="AY52" s="18" t="s">
        <v>95</v>
      </c>
      <c r="AZ52" s="18" t="s">
        <v>95</v>
      </c>
      <c r="BA52" s="18" t="s">
        <v>95</v>
      </c>
      <c r="BB52" s="18" t="s">
        <v>95</v>
      </c>
      <c r="BC52" s="18" t="s">
        <v>95</v>
      </c>
      <c r="BD52" s="18" t="s">
        <v>10829</v>
      </c>
      <c r="BE52" s="18" t="s">
        <v>11218</v>
      </c>
      <c r="BF52" s="18" t="s">
        <v>10809</v>
      </c>
      <c r="BG52" s="18" t="s">
        <v>7030</v>
      </c>
      <c r="BH52" s="18"/>
      <c r="BI52" s="18"/>
      <c r="BJ52" s="18" t="s">
        <v>2159</v>
      </c>
      <c r="BK52" s="18" t="s">
        <v>11219</v>
      </c>
      <c r="BL52" s="18" t="s">
        <v>10811</v>
      </c>
      <c r="BM52" s="18" t="s">
        <v>139</v>
      </c>
      <c r="BN52" s="18" t="s">
        <v>85</v>
      </c>
      <c r="BO52" s="18">
        <v>0</v>
      </c>
      <c r="BP52" s="18" t="s">
        <v>10812</v>
      </c>
      <c r="BQ52" s="18" t="str">
        <f>VLOOKUP(Prepago[[#This Row],[NOM_PLAZA]],[1]!Locales[#Data],3,0)</f>
        <v>TIENDA RECREO</v>
      </c>
      <c r="BR52" s="18" t="str">
        <f>VLOOKUP(Prepago[[#This Row],[CODIGO_USUARIO]],[1]!Personal[#Data],6,0)</f>
        <v>GUEVARA MAZA CRISTIAN FABIAN</v>
      </c>
      <c r="BS52" s="18">
        <f>DAY(Prepago[[#This Row],[FECHA_ALTA]])</f>
        <v>8</v>
      </c>
    </row>
    <row r="53" spans="1:71" x14ac:dyDescent="0.25">
      <c r="A53" s="18" t="s">
        <v>96</v>
      </c>
      <c r="B53" s="18" t="s">
        <v>11220</v>
      </c>
      <c r="C53" s="18" t="s">
        <v>11221</v>
      </c>
      <c r="D53" s="18" t="s">
        <v>11222</v>
      </c>
      <c r="E53" s="22">
        <v>44896</v>
      </c>
      <c r="F53" s="18" t="s">
        <v>67</v>
      </c>
      <c r="G53" s="18" t="s">
        <v>11223</v>
      </c>
      <c r="H53" s="18" t="s">
        <v>11224</v>
      </c>
      <c r="I53" s="18" t="s">
        <v>70</v>
      </c>
      <c r="J53" s="18" t="s">
        <v>8102</v>
      </c>
      <c r="K53" s="18" t="s">
        <v>8103</v>
      </c>
      <c r="L53" s="18" t="s">
        <v>132</v>
      </c>
      <c r="M53" s="18" t="s">
        <v>7037</v>
      </c>
      <c r="N53" s="18" t="s">
        <v>11225</v>
      </c>
      <c r="O53" s="18" t="s">
        <v>75</v>
      </c>
      <c r="P53" s="18" t="s">
        <v>11226</v>
      </c>
      <c r="Q53" s="18" t="s">
        <v>10817</v>
      </c>
      <c r="R53" s="18" t="s">
        <v>78</v>
      </c>
      <c r="S53" s="18" t="s">
        <v>77</v>
      </c>
      <c r="T53" s="22">
        <v>44915</v>
      </c>
      <c r="U53" s="18"/>
      <c r="V53" s="18" t="s">
        <v>81</v>
      </c>
      <c r="W53" s="18" t="s">
        <v>79</v>
      </c>
      <c r="X53" s="18" t="s">
        <v>10803</v>
      </c>
      <c r="Y53" s="18" t="s">
        <v>251</v>
      </c>
      <c r="Z53" s="18" t="s">
        <v>252</v>
      </c>
      <c r="AA53" s="18" t="s">
        <v>7062</v>
      </c>
      <c r="AB53" s="18" t="s">
        <v>95</v>
      </c>
      <c r="AC53" s="18" t="s">
        <v>7984</v>
      </c>
      <c r="AD53" s="18" t="s">
        <v>10804</v>
      </c>
      <c r="AE53" s="18" t="s">
        <v>174</v>
      </c>
      <c r="AF53" s="18" t="s">
        <v>95</v>
      </c>
      <c r="AG53" s="18" t="s">
        <v>83</v>
      </c>
      <c r="AH53" s="18" t="s">
        <v>83</v>
      </c>
      <c r="AI53" s="18" t="s">
        <v>81</v>
      </c>
      <c r="AJ53" s="18" t="s">
        <v>118</v>
      </c>
      <c r="AK53" s="18" t="s">
        <v>95</v>
      </c>
      <c r="AL53" s="18" t="s">
        <v>10864</v>
      </c>
      <c r="AM53" s="18" t="s">
        <v>85</v>
      </c>
      <c r="AN53" s="18" t="s">
        <v>7031</v>
      </c>
      <c r="AO53" s="18" t="s">
        <v>86</v>
      </c>
      <c r="AP53" s="18" t="s">
        <v>90</v>
      </c>
      <c r="AQ53" s="18" t="s">
        <v>8002</v>
      </c>
      <c r="AR53" s="18" t="s">
        <v>177</v>
      </c>
      <c r="AS53" s="18" t="s">
        <v>139</v>
      </c>
      <c r="AT53" s="18" t="s">
        <v>95</v>
      </c>
      <c r="AU53" s="18" t="s">
        <v>95</v>
      </c>
      <c r="AV53" s="18" t="s">
        <v>7037</v>
      </c>
      <c r="AW53" s="18" t="s">
        <v>95</v>
      </c>
      <c r="AX53" s="18" t="s">
        <v>10806</v>
      </c>
      <c r="AY53" s="18" t="s">
        <v>95</v>
      </c>
      <c r="AZ53" s="18" t="s">
        <v>95</v>
      </c>
      <c r="BA53" s="18" t="s">
        <v>95</v>
      </c>
      <c r="BB53" s="18" t="s">
        <v>95</v>
      </c>
      <c r="BC53" s="18" t="s">
        <v>95</v>
      </c>
      <c r="BD53" s="18" t="s">
        <v>10829</v>
      </c>
      <c r="BE53" s="18" t="s">
        <v>11227</v>
      </c>
      <c r="BF53" s="18" t="s">
        <v>7037</v>
      </c>
      <c r="BG53" s="18" t="s">
        <v>7030</v>
      </c>
      <c r="BH53" s="18"/>
      <c r="BI53" s="18"/>
      <c r="BJ53" s="18" t="s">
        <v>251</v>
      </c>
      <c r="BK53" s="18" t="s">
        <v>11228</v>
      </c>
      <c r="BL53" s="18" t="s">
        <v>10811</v>
      </c>
      <c r="BM53" s="18" t="s">
        <v>139</v>
      </c>
      <c r="BN53" s="18" t="s">
        <v>85</v>
      </c>
      <c r="BO53" s="18">
        <v>1</v>
      </c>
      <c r="BP53" s="18" t="s">
        <v>10812</v>
      </c>
      <c r="BQ53" s="18" t="str">
        <f>VLOOKUP(Prepago[[#This Row],[NOM_PLAZA]],[1]!Locales[#Data],3,0)</f>
        <v>TIENDA RECREO</v>
      </c>
      <c r="BR53" s="18" t="str">
        <f>VLOOKUP(Prepago[[#This Row],[CODIGO_USUARIO]],[1]!Personal[#Data],6,0)</f>
        <v>CRUZ MONTUFAR KATHERINE ALEJANDRA</v>
      </c>
      <c r="BS53" s="18">
        <f>DAY(Prepago[[#This Row],[FECHA_ALTA]])</f>
        <v>1</v>
      </c>
    </row>
    <row r="54" spans="1:71" x14ac:dyDescent="0.25">
      <c r="A54" s="18" t="s">
        <v>96</v>
      </c>
      <c r="B54" s="18" t="s">
        <v>11229</v>
      </c>
      <c r="C54" s="18" t="s">
        <v>11230</v>
      </c>
      <c r="D54" s="18" t="s">
        <v>11231</v>
      </c>
      <c r="E54" s="22">
        <v>44902</v>
      </c>
      <c r="F54" s="18" t="s">
        <v>67</v>
      </c>
      <c r="G54" s="18" t="s">
        <v>11232</v>
      </c>
      <c r="H54" s="18" t="s">
        <v>11233</v>
      </c>
      <c r="I54" s="18" t="s">
        <v>70</v>
      </c>
      <c r="J54" s="18" t="s">
        <v>8102</v>
      </c>
      <c r="K54" s="18" t="s">
        <v>8103</v>
      </c>
      <c r="L54" s="18" t="s">
        <v>73</v>
      </c>
      <c r="M54" s="18" t="s">
        <v>7037</v>
      </c>
      <c r="N54" s="18" t="s">
        <v>11234</v>
      </c>
      <c r="O54" s="18" t="s">
        <v>75</v>
      </c>
      <c r="P54" s="18" t="s">
        <v>11235</v>
      </c>
      <c r="Q54" s="18" t="s">
        <v>10817</v>
      </c>
      <c r="R54" s="18" t="s">
        <v>78</v>
      </c>
      <c r="S54" s="18" t="s">
        <v>77</v>
      </c>
      <c r="T54" s="22">
        <v>44915</v>
      </c>
      <c r="U54" s="18"/>
      <c r="V54" s="18" t="s">
        <v>81</v>
      </c>
      <c r="W54" s="18" t="s">
        <v>79</v>
      </c>
      <c r="X54" s="18" t="s">
        <v>10803</v>
      </c>
      <c r="Y54" s="18" t="s">
        <v>262</v>
      </c>
      <c r="Z54" s="18" t="s">
        <v>263</v>
      </c>
      <c r="AA54" s="18" t="s">
        <v>262</v>
      </c>
      <c r="AB54" s="18" t="s">
        <v>263</v>
      </c>
      <c r="AC54" s="18" t="s">
        <v>7984</v>
      </c>
      <c r="AD54" s="18" t="s">
        <v>10804</v>
      </c>
      <c r="AE54" s="18" t="s">
        <v>174</v>
      </c>
      <c r="AF54" s="18" t="s">
        <v>95</v>
      </c>
      <c r="AG54" s="18" t="s">
        <v>83</v>
      </c>
      <c r="AH54" s="18" t="s">
        <v>83</v>
      </c>
      <c r="AI54" s="18" t="s">
        <v>81</v>
      </c>
      <c r="AJ54" s="18" t="s">
        <v>118</v>
      </c>
      <c r="AK54" s="18" t="s">
        <v>95</v>
      </c>
      <c r="AL54" s="18" t="s">
        <v>10883</v>
      </c>
      <c r="AM54" s="18" t="s">
        <v>85</v>
      </c>
      <c r="AN54" s="18" t="s">
        <v>7031</v>
      </c>
      <c r="AO54" s="18" t="s">
        <v>86</v>
      </c>
      <c r="AP54" s="18" t="s">
        <v>90</v>
      </c>
      <c r="AQ54" s="18" t="s">
        <v>8002</v>
      </c>
      <c r="AR54" s="18" t="s">
        <v>177</v>
      </c>
      <c r="AS54" s="18" t="s">
        <v>139</v>
      </c>
      <c r="AT54" s="18" t="s">
        <v>95</v>
      </c>
      <c r="AU54" s="18" t="s">
        <v>95</v>
      </c>
      <c r="AV54" s="18" t="s">
        <v>7037</v>
      </c>
      <c r="AW54" s="18" t="s">
        <v>95</v>
      </c>
      <c r="AX54" s="18" t="s">
        <v>10806</v>
      </c>
      <c r="AY54" s="18" t="s">
        <v>95</v>
      </c>
      <c r="AZ54" s="18" t="s">
        <v>95</v>
      </c>
      <c r="BA54" s="18" t="s">
        <v>95</v>
      </c>
      <c r="BB54" s="18" t="s">
        <v>95</v>
      </c>
      <c r="BC54" s="18" t="s">
        <v>95</v>
      </c>
      <c r="BD54" s="18" t="s">
        <v>10829</v>
      </c>
      <c r="BE54" s="18" t="s">
        <v>10808</v>
      </c>
      <c r="BF54" s="18" t="s">
        <v>10809</v>
      </c>
      <c r="BG54" s="18" t="s">
        <v>7030</v>
      </c>
      <c r="BH54" s="18"/>
      <c r="BI54" s="18"/>
      <c r="BJ54" s="18" t="s">
        <v>262</v>
      </c>
      <c r="BK54" s="18" t="s">
        <v>11236</v>
      </c>
      <c r="BL54" s="18" t="s">
        <v>10811</v>
      </c>
      <c r="BM54" s="18" t="s">
        <v>139</v>
      </c>
      <c r="BN54" s="18" t="s">
        <v>85</v>
      </c>
      <c r="BO54" s="18">
        <v>0</v>
      </c>
      <c r="BP54" s="18" t="s">
        <v>10812</v>
      </c>
      <c r="BQ54" s="18" t="str">
        <f>VLOOKUP(Prepago[[#This Row],[NOM_PLAZA]],[1]!Locales[#Data],3,0)</f>
        <v>TIENDA RECREO</v>
      </c>
      <c r="BR54" s="18" t="str">
        <f>VLOOKUP(Prepago[[#This Row],[CODIGO_USUARIO]],[1]!Personal[#Data],6,0)</f>
        <v>CHICAIZA TOAPANTA ALEX DANILO</v>
      </c>
      <c r="BS54" s="18">
        <f>DAY(Prepago[[#This Row],[FECHA_ALTA]])</f>
        <v>7</v>
      </c>
    </row>
    <row r="55" spans="1:71" x14ac:dyDescent="0.25">
      <c r="A55" s="18" t="s">
        <v>96</v>
      </c>
      <c r="B55" s="18" t="s">
        <v>11237</v>
      </c>
      <c r="C55" s="18" t="s">
        <v>11238</v>
      </c>
      <c r="D55" s="18" t="s">
        <v>11239</v>
      </c>
      <c r="E55" s="22">
        <v>44902</v>
      </c>
      <c r="F55" s="18" t="s">
        <v>67</v>
      </c>
      <c r="G55" s="18" t="s">
        <v>11240</v>
      </c>
      <c r="H55" s="18" t="s">
        <v>11241</v>
      </c>
      <c r="I55" s="18" t="s">
        <v>70</v>
      </c>
      <c r="J55" s="18" t="s">
        <v>8102</v>
      </c>
      <c r="K55" s="18" t="s">
        <v>8103</v>
      </c>
      <c r="L55" s="18" t="s">
        <v>95</v>
      </c>
      <c r="M55" s="18" t="s">
        <v>7037</v>
      </c>
      <c r="N55" s="18" t="s">
        <v>11242</v>
      </c>
      <c r="O55" s="18" t="s">
        <v>75</v>
      </c>
      <c r="P55" s="18" t="s">
        <v>11243</v>
      </c>
      <c r="Q55" s="18" t="s">
        <v>4453</v>
      </c>
      <c r="R55" s="18" t="s">
        <v>78</v>
      </c>
      <c r="S55" s="18" t="s">
        <v>77</v>
      </c>
      <c r="T55" s="22">
        <v>44915</v>
      </c>
      <c r="U55" s="18"/>
      <c r="V55" s="18" t="s">
        <v>81</v>
      </c>
      <c r="W55" s="18" t="s">
        <v>79</v>
      </c>
      <c r="X55" s="18" t="s">
        <v>10803</v>
      </c>
      <c r="Y55" s="18" t="s">
        <v>303</v>
      </c>
      <c r="Z55" s="18" t="s">
        <v>304</v>
      </c>
      <c r="AA55" s="18" t="s">
        <v>7062</v>
      </c>
      <c r="AB55" s="18" t="s">
        <v>95</v>
      </c>
      <c r="AC55" s="18" t="s">
        <v>7984</v>
      </c>
      <c r="AD55" s="18" t="s">
        <v>10804</v>
      </c>
      <c r="AE55" s="18" t="s">
        <v>174</v>
      </c>
      <c r="AF55" s="18" t="s">
        <v>95</v>
      </c>
      <c r="AG55" s="18" t="s">
        <v>83</v>
      </c>
      <c r="AH55" s="18" t="s">
        <v>83</v>
      </c>
      <c r="AI55" s="18" t="s">
        <v>81</v>
      </c>
      <c r="AJ55" s="18" t="s">
        <v>118</v>
      </c>
      <c r="AK55" s="18" t="s">
        <v>95</v>
      </c>
      <c r="AL55" s="18" t="s">
        <v>10805</v>
      </c>
      <c r="AM55" s="18" t="s">
        <v>85</v>
      </c>
      <c r="AN55" s="18" t="s">
        <v>7031</v>
      </c>
      <c r="AO55" s="18" t="s">
        <v>86</v>
      </c>
      <c r="AP55" s="18" t="s">
        <v>90</v>
      </c>
      <c r="AQ55" s="18" t="s">
        <v>8002</v>
      </c>
      <c r="AR55" s="18" t="s">
        <v>177</v>
      </c>
      <c r="AS55" s="18" t="s">
        <v>139</v>
      </c>
      <c r="AT55" s="18" t="s">
        <v>95</v>
      </c>
      <c r="AU55" s="18" t="s">
        <v>95</v>
      </c>
      <c r="AV55" s="18" t="s">
        <v>7037</v>
      </c>
      <c r="AW55" s="18" t="s">
        <v>95</v>
      </c>
      <c r="AX55" s="18" t="s">
        <v>10806</v>
      </c>
      <c r="AY55" s="18" t="s">
        <v>95</v>
      </c>
      <c r="AZ55" s="18" t="s">
        <v>95</v>
      </c>
      <c r="BA55" s="18" t="s">
        <v>95</v>
      </c>
      <c r="BB55" s="18" t="s">
        <v>95</v>
      </c>
      <c r="BC55" s="18" t="s">
        <v>95</v>
      </c>
      <c r="BD55" s="18" t="s">
        <v>10807</v>
      </c>
      <c r="BE55" s="18" t="s">
        <v>95</v>
      </c>
      <c r="BF55" s="18" t="s">
        <v>10809</v>
      </c>
      <c r="BG55" s="18" t="s">
        <v>7030</v>
      </c>
      <c r="BH55" s="18"/>
      <c r="BI55" s="18"/>
      <c r="BJ55" s="18" t="s">
        <v>303</v>
      </c>
      <c r="BK55" s="18" t="s">
        <v>11244</v>
      </c>
      <c r="BL55" s="18" t="s">
        <v>10811</v>
      </c>
      <c r="BM55" s="18" t="s">
        <v>139</v>
      </c>
      <c r="BN55" s="18" t="s">
        <v>85</v>
      </c>
      <c r="BO55" s="18">
        <v>0</v>
      </c>
      <c r="BP55" s="18" t="s">
        <v>10812</v>
      </c>
      <c r="BQ55" s="18" t="str">
        <f>VLOOKUP(Prepago[[#This Row],[NOM_PLAZA]],[1]!Locales[#Data],3,0)</f>
        <v>TIENDA RECREO</v>
      </c>
      <c r="BR55" s="18" t="str">
        <f>VLOOKUP(Prepago[[#This Row],[CODIGO_USUARIO]],[1]!Personal[#Data],6,0)</f>
        <v>CORDOVA GAIBOR JONATHAN HERNAN</v>
      </c>
      <c r="BS55" s="18">
        <f>DAY(Prepago[[#This Row],[FECHA_ALTA]])</f>
        <v>7</v>
      </c>
    </row>
    <row r="56" spans="1:71" x14ac:dyDescent="0.25">
      <c r="A56" s="18" t="s">
        <v>96</v>
      </c>
      <c r="B56" s="18" t="s">
        <v>11245</v>
      </c>
      <c r="C56" s="18" t="s">
        <v>11246</v>
      </c>
      <c r="D56" s="18" t="s">
        <v>11247</v>
      </c>
      <c r="E56" s="22">
        <v>44912</v>
      </c>
      <c r="F56" s="18" t="s">
        <v>67</v>
      </c>
      <c r="G56" s="18" t="s">
        <v>11248</v>
      </c>
      <c r="H56" s="18" t="s">
        <v>11249</v>
      </c>
      <c r="I56" s="18" t="s">
        <v>70</v>
      </c>
      <c r="J56" s="18" t="s">
        <v>8102</v>
      </c>
      <c r="K56" s="18" t="s">
        <v>8103</v>
      </c>
      <c r="L56" s="18" t="s">
        <v>132</v>
      </c>
      <c r="M56" s="18" t="s">
        <v>7037</v>
      </c>
      <c r="N56" s="18" t="s">
        <v>11250</v>
      </c>
      <c r="O56" s="18" t="s">
        <v>75</v>
      </c>
      <c r="P56" s="18" t="s">
        <v>11251</v>
      </c>
      <c r="Q56" s="18" t="s">
        <v>4453</v>
      </c>
      <c r="R56" s="18" t="s">
        <v>78</v>
      </c>
      <c r="S56" s="18" t="s">
        <v>77</v>
      </c>
      <c r="T56" s="22">
        <v>44915</v>
      </c>
      <c r="U56" s="18"/>
      <c r="V56" s="18" t="s">
        <v>81</v>
      </c>
      <c r="W56" s="18" t="s">
        <v>79</v>
      </c>
      <c r="X56" s="18" t="s">
        <v>10803</v>
      </c>
      <c r="Y56" s="18" t="s">
        <v>822</v>
      </c>
      <c r="Z56" s="18" t="s">
        <v>823</v>
      </c>
      <c r="AA56" s="18" t="s">
        <v>7062</v>
      </c>
      <c r="AB56" s="18" t="s">
        <v>95</v>
      </c>
      <c r="AC56" s="18" t="s">
        <v>7984</v>
      </c>
      <c r="AD56" s="18" t="s">
        <v>10804</v>
      </c>
      <c r="AE56" s="18" t="s">
        <v>174</v>
      </c>
      <c r="AF56" s="18" t="s">
        <v>95</v>
      </c>
      <c r="AG56" s="18" t="s">
        <v>83</v>
      </c>
      <c r="AH56" s="18" t="s">
        <v>83</v>
      </c>
      <c r="AI56" s="18" t="s">
        <v>81</v>
      </c>
      <c r="AJ56" s="18" t="s">
        <v>118</v>
      </c>
      <c r="AK56" s="18" t="s">
        <v>95</v>
      </c>
      <c r="AL56" s="18" t="s">
        <v>10828</v>
      </c>
      <c r="AM56" s="18" t="s">
        <v>85</v>
      </c>
      <c r="AN56" s="18" t="s">
        <v>7031</v>
      </c>
      <c r="AO56" s="18" t="s">
        <v>86</v>
      </c>
      <c r="AP56" s="18" t="s">
        <v>90</v>
      </c>
      <c r="AQ56" s="18" t="s">
        <v>8002</v>
      </c>
      <c r="AR56" s="18" t="s">
        <v>177</v>
      </c>
      <c r="AS56" s="18" t="s">
        <v>139</v>
      </c>
      <c r="AT56" s="18" t="s">
        <v>95</v>
      </c>
      <c r="AU56" s="18" t="s">
        <v>95</v>
      </c>
      <c r="AV56" s="18" t="s">
        <v>7037</v>
      </c>
      <c r="AW56" s="18" t="s">
        <v>95</v>
      </c>
      <c r="AX56" s="18" t="s">
        <v>10806</v>
      </c>
      <c r="AY56" s="18" t="s">
        <v>95</v>
      </c>
      <c r="AZ56" s="18" t="s">
        <v>95</v>
      </c>
      <c r="BA56" s="18" t="s">
        <v>95</v>
      </c>
      <c r="BB56" s="18" t="s">
        <v>95</v>
      </c>
      <c r="BC56" s="18" t="s">
        <v>95</v>
      </c>
      <c r="BD56" s="18" t="s">
        <v>10829</v>
      </c>
      <c r="BE56" s="18" t="s">
        <v>11252</v>
      </c>
      <c r="BF56" s="18" t="s">
        <v>10809</v>
      </c>
      <c r="BG56" s="18" t="s">
        <v>7030</v>
      </c>
      <c r="BH56" s="18"/>
      <c r="BI56" s="18"/>
      <c r="BJ56" s="18" t="s">
        <v>822</v>
      </c>
      <c r="BK56" s="18" t="s">
        <v>11253</v>
      </c>
      <c r="BL56" s="18" t="s">
        <v>10811</v>
      </c>
      <c r="BM56" s="18" t="s">
        <v>139</v>
      </c>
      <c r="BN56" s="18" t="s">
        <v>85</v>
      </c>
      <c r="BO56" s="18">
        <v>0</v>
      </c>
      <c r="BP56" s="18" t="s">
        <v>10812</v>
      </c>
      <c r="BQ56" s="18" t="str">
        <f>VLOOKUP(Prepago[[#This Row],[NOM_PLAZA]],[1]!Locales[#Data],3,0)</f>
        <v>TIENDA RECREO</v>
      </c>
      <c r="BR56" s="18" t="str">
        <f>VLOOKUP(Prepago[[#This Row],[CODIGO_USUARIO]],[1]!Personal[#Data],6,0)</f>
        <v>SALAS PARRA MARIA JOSE</v>
      </c>
      <c r="BS56" s="18">
        <f>DAY(Prepago[[#This Row],[FECHA_ALTA]])</f>
        <v>17</v>
      </c>
    </row>
    <row r="57" spans="1:71" x14ac:dyDescent="0.25">
      <c r="A57" s="18" t="s">
        <v>96</v>
      </c>
      <c r="B57" s="18" t="s">
        <v>11254</v>
      </c>
      <c r="C57" s="18" t="s">
        <v>11255</v>
      </c>
      <c r="D57" s="18" t="s">
        <v>11256</v>
      </c>
      <c r="E57" s="22">
        <v>44901</v>
      </c>
      <c r="F57" s="18" t="s">
        <v>67</v>
      </c>
      <c r="G57" s="18" t="s">
        <v>8790</v>
      </c>
      <c r="H57" s="18" t="s">
        <v>7537</v>
      </c>
      <c r="I57" s="18" t="s">
        <v>70</v>
      </c>
      <c r="J57" s="18" t="s">
        <v>8102</v>
      </c>
      <c r="K57" s="18" t="s">
        <v>8103</v>
      </c>
      <c r="L57" s="18" t="s">
        <v>132</v>
      </c>
      <c r="M57" s="18" t="s">
        <v>7037</v>
      </c>
      <c r="N57" s="18" t="s">
        <v>11257</v>
      </c>
      <c r="O57" s="18" t="s">
        <v>75</v>
      </c>
      <c r="P57" s="18" t="s">
        <v>11258</v>
      </c>
      <c r="Q57" s="18" t="s">
        <v>10817</v>
      </c>
      <c r="R57" s="18" t="s">
        <v>78</v>
      </c>
      <c r="S57" s="18" t="s">
        <v>77</v>
      </c>
      <c r="T57" s="22">
        <v>44915</v>
      </c>
      <c r="U57" s="18"/>
      <c r="V57" s="18" t="s">
        <v>81</v>
      </c>
      <c r="W57" s="18" t="s">
        <v>79</v>
      </c>
      <c r="X57" s="18" t="s">
        <v>10803</v>
      </c>
      <c r="Y57" s="18" t="s">
        <v>369</v>
      </c>
      <c r="Z57" s="18" t="s">
        <v>370</v>
      </c>
      <c r="AA57" s="18" t="s">
        <v>7062</v>
      </c>
      <c r="AB57" s="18" t="s">
        <v>95</v>
      </c>
      <c r="AC57" s="18" t="s">
        <v>7984</v>
      </c>
      <c r="AD57" s="18" t="s">
        <v>10804</v>
      </c>
      <c r="AE57" s="18" t="s">
        <v>174</v>
      </c>
      <c r="AF57" s="18" t="s">
        <v>95</v>
      </c>
      <c r="AG57" s="18" t="s">
        <v>83</v>
      </c>
      <c r="AH57" s="18" t="s">
        <v>83</v>
      </c>
      <c r="AI57" s="18" t="s">
        <v>81</v>
      </c>
      <c r="AJ57" s="18" t="s">
        <v>118</v>
      </c>
      <c r="AK57" s="18" t="s">
        <v>95</v>
      </c>
      <c r="AL57" s="18" t="s">
        <v>11062</v>
      </c>
      <c r="AM57" s="18" t="s">
        <v>85</v>
      </c>
      <c r="AN57" s="18" t="s">
        <v>7031</v>
      </c>
      <c r="AO57" s="18" t="s">
        <v>86</v>
      </c>
      <c r="AP57" s="18" t="s">
        <v>90</v>
      </c>
      <c r="AQ57" s="18" t="s">
        <v>8002</v>
      </c>
      <c r="AR57" s="18" t="s">
        <v>177</v>
      </c>
      <c r="AS57" s="18" t="s">
        <v>139</v>
      </c>
      <c r="AT57" s="18" t="s">
        <v>95</v>
      </c>
      <c r="AU57" s="18" t="s">
        <v>95</v>
      </c>
      <c r="AV57" s="18" t="s">
        <v>7037</v>
      </c>
      <c r="AW57" s="18" t="s">
        <v>95</v>
      </c>
      <c r="AX57" s="18" t="s">
        <v>10806</v>
      </c>
      <c r="AY57" s="18" t="s">
        <v>95</v>
      </c>
      <c r="AZ57" s="18" t="s">
        <v>95</v>
      </c>
      <c r="BA57" s="18" t="s">
        <v>95</v>
      </c>
      <c r="BB57" s="18" t="s">
        <v>95</v>
      </c>
      <c r="BC57" s="18" t="s">
        <v>95</v>
      </c>
      <c r="BD57" s="18" t="s">
        <v>10807</v>
      </c>
      <c r="BE57" s="18" t="s">
        <v>11259</v>
      </c>
      <c r="BF57" s="18" t="s">
        <v>10809</v>
      </c>
      <c r="BG57" s="18" t="s">
        <v>7030</v>
      </c>
      <c r="BH57" s="18"/>
      <c r="BI57" s="18"/>
      <c r="BJ57" s="18" t="s">
        <v>369</v>
      </c>
      <c r="BK57" s="18" t="s">
        <v>11260</v>
      </c>
      <c r="BL57" s="18" t="s">
        <v>10811</v>
      </c>
      <c r="BM57" s="18" t="s">
        <v>139</v>
      </c>
      <c r="BN57" s="18" t="s">
        <v>85</v>
      </c>
      <c r="BO57" s="18">
        <v>0</v>
      </c>
      <c r="BP57" s="18" t="s">
        <v>10812</v>
      </c>
      <c r="BQ57" s="18" t="str">
        <f>VLOOKUP(Prepago[[#This Row],[NOM_PLAZA]],[1]!Locales[#Data],3,0)</f>
        <v>TIENDA RECREO</v>
      </c>
      <c r="BR57" s="18" t="str">
        <f>VLOOKUP(Prepago[[#This Row],[CODIGO_USUARIO]],[1]!Personal[#Data],6,0)</f>
        <v>GUAIGUA REINOSO GENESIS CAROLINA</v>
      </c>
      <c r="BS57" s="18">
        <f>DAY(Prepago[[#This Row],[FECHA_ALTA]])</f>
        <v>6</v>
      </c>
    </row>
    <row r="58" spans="1:71" x14ac:dyDescent="0.25">
      <c r="A58" s="18" t="s">
        <v>96</v>
      </c>
      <c r="B58" s="18" t="s">
        <v>11261</v>
      </c>
      <c r="C58" s="18" t="s">
        <v>11262</v>
      </c>
      <c r="D58" s="18" t="s">
        <v>11263</v>
      </c>
      <c r="E58" s="22">
        <v>44901</v>
      </c>
      <c r="F58" s="18" t="s">
        <v>67</v>
      </c>
      <c r="G58" s="18" t="s">
        <v>11264</v>
      </c>
      <c r="H58" s="18" t="s">
        <v>11265</v>
      </c>
      <c r="I58" s="18" t="s">
        <v>70</v>
      </c>
      <c r="J58" s="18" t="s">
        <v>8102</v>
      </c>
      <c r="K58" s="18" t="s">
        <v>8103</v>
      </c>
      <c r="L58" s="18" t="s">
        <v>132</v>
      </c>
      <c r="M58" s="18" t="s">
        <v>7037</v>
      </c>
      <c r="N58" s="18" t="s">
        <v>11266</v>
      </c>
      <c r="O58" s="18" t="s">
        <v>75</v>
      </c>
      <c r="P58" s="18" t="s">
        <v>11267</v>
      </c>
      <c r="Q58" s="18" t="s">
        <v>4453</v>
      </c>
      <c r="R58" s="18" t="s">
        <v>78</v>
      </c>
      <c r="S58" s="18" t="s">
        <v>77</v>
      </c>
      <c r="T58" s="22">
        <v>44915</v>
      </c>
      <c r="U58" s="18"/>
      <c r="V58" s="18" t="s">
        <v>81</v>
      </c>
      <c r="W58" s="18" t="s">
        <v>79</v>
      </c>
      <c r="X58" s="18" t="s">
        <v>10803</v>
      </c>
      <c r="Y58" s="18" t="s">
        <v>175</v>
      </c>
      <c r="Z58" s="18" t="s">
        <v>176</v>
      </c>
      <c r="AA58" s="18" t="s">
        <v>7062</v>
      </c>
      <c r="AB58" s="18" t="s">
        <v>95</v>
      </c>
      <c r="AC58" s="18" t="s">
        <v>7984</v>
      </c>
      <c r="AD58" s="18" t="s">
        <v>10804</v>
      </c>
      <c r="AE58" s="18" t="s">
        <v>174</v>
      </c>
      <c r="AF58" s="18" t="s">
        <v>95</v>
      </c>
      <c r="AG58" s="18" t="s">
        <v>83</v>
      </c>
      <c r="AH58" s="18" t="s">
        <v>83</v>
      </c>
      <c r="AI58" s="18" t="s">
        <v>81</v>
      </c>
      <c r="AJ58" s="18" t="s">
        <v>118</v>
      </c>
      <c r="AK58" s="18" t="s">
        <v>95</v>
      </c>
      <c r="AL58" s="18" t="s">
        <v>11268</v>
      </c>
      <c r="AM58" s="18" t="s">
        <v>85</v>
      </c>
      <c r="AN58" s="18" t="s">
        <v>7031</v>
      </c>
      <c r="AO58" s="18" t="s">
        <v>86</v>
      </c>
      <c r="AP58" s="18" t="s">
        <v>90</v>
      </c>
      <c r="AQ58" s="18" t="s">
        <v>8002</v>
      </c>
      <c r="AR58" s="18" t="s">
        <v>177</v>
      </c>
      <c r="AS58" s="18" t="s">
        <v>139</v>
      </c>
      <c r="AT58" s="18" t="s">
        <v>95</v>
      </c>
      <c r="AU58" s="18" t="s">
        <v>95</v>
      </c>
      <c r="AV58" s="18" t="s">
        <v>7037</v>
      </c>
      <c r="AW58" s="18" t="s">
        <v>95</v>
      </c>
      <c r="AX58" s="18" t="s">
        <v>10806</v>
      </c>
      <c r="AY58" s="18" t="s">
        <v>95</v>
      </c>
      <c r="AZ58" s="18" t="s">
        <v>95</v>
      </c>
      <c r="BA58" s="18" t="s">
        <v>95</v>
      </c>
      <c r="BB58" s="18" t="s">
        <v>95</v>
      </c>
      <c r="BC58" s="18" t="s">
        <v>95</v>
      </c>
      <c r="BD58" s="18" t="s">
        <v>10829</v>
      </c>
      <c r="BE58" s="18" t="s">
        <v>11269</v>
      </c>
      <c r="BF58" s="18" t="s">
        <v>10809</v>
      </c>
      <c r="BG58" s="18" t="s">
        <v>7030</v>
      </c>
      <c r="BH58" s="18"/>
      <c r="BI58" s="18"/>
      <c r="BJ58" s="18" t="s">
        <v>175</v>
      </c>
      <c r="BK58" s="18" t="s">
        <v>11270</v>
      </c>
      <c r="BL58" s="18" t="s">
        <v>10811</v>
      </c>
      <c r="BM58" s="18" t="s">
        <v>139</v>
      </c>
      <c r="BN58" s="18" t="s">
        <v>85</v>
      </c>
      <c r="BO58" s="18">
        <v>0</v>
      </c>
      <c r="BP58" s="18" t="s">
        <v>10812</v>
      </c>
      <c r="BQ58" s="18" t="str">
        <f>VLOOKUP(Prepago[[#This Row],[NOM_PLAZA]],[1]!Locales[#Data],3,0)</f>
        <v>TIENDA RECREO</v>
      </c>
      <c r="BR58" s="18" t="str">
        <f>VLOOKUP(Prepago[[#This Row],[CODIGO_USUARIO]],[1]!Personal[#Data],6,0)</f>
        <v>VARGAS REYES LUIS EDUARDO</v>
      </c>
      <c r="BS58" s="18">
        <f>DAY(Prepago[[#This Row],[FECHA_ALTA]])</f>
        <v>6</v>
      </c>
    </row>
    <row r="59" spans="1:71" x14ac:dyDescent="0.25">
      <c r="A59" s="18" t="s">
        <v>96</v>
      </c>
      <c r="B59" s="18" t="s">
        <v>11271</v>
      </c>
      <c r="C59" s="18" t="s">
        <v>11272</v>
      </c>
      <c r="D59" s="18" t="s">
        <v>11273</v>
      </c>
      <c r="E59" s="22">
        <v>44910</v>
      </c>
      <c r="F59" s="18" t="s">
        <v>67</v>
      </c>
      <c r="G59" s="18" t="s">
        <v>11274</v>
      </c>
      <c r="H59" s="18" t="s">
        <v>11275</v>
      </c>
      <c r="I59" s="18" t="s">
        <v>70</v>
      </c>
      <c r="J59" s="18" t="s">
        <v>8102</v>
      </c>
      <c r="K59" s="18" t="s">
        <v>8103</v>
      </c>
      <c r="L59" s="18" t="s">
        <v>73</v>
      </c>
      <c r="M59" s="18" t="s">
        <v>7029</v>
      </c>
      <c r="N59" s="18" t="s">
        <v>11276</v>
      </c>
      <c r="O59" s="18" t="s">
        <v>75</v>
      </c>
      <c r="P59" s="18" t="s">
        <v>11277</v>
      </c>
      <c r="Q59" s="18" t="s">
        <v>4453</v>
      </c>
      <c r="R59" s="18" t="s">
        <v>78</v>
      </c>
      <c r="S59" s="18" t="s">
        <v>77</v>
      </c>
      <c r="T59" s="22">
        <v>44915</v>
      </c>
      <c r="U59" s="18"/>
      <c r="V59" s="18" t="s">
        <v>81</v>
      </c>
      <c r="W59" s="18" t="s">
        <v>79</v>
      </c>
      <c r="X59" s="18" t="s">
        <v>10803</v>
      </c>
      <c r="Y59" s="18" t="s">
        <v>760</v>
      </c>
      <c r="Z59" s="18" t="s">
        <v>761</v>
      </c>
      <c r="AA59" s="18" t="s">
        <v>7062</v>
      </c>
      <c r="AB59" s="18" t="s">
        <v>95</v>
      </c>
      <c r="AC59" s="18" t="s">
        <v>7984</v>
      </c>
      <c r="AD59" s="18" t="s">
        <v>10804</v>
      </c>
      <c r="AE59" s="18" t="s">
        <v>174</v>
      </c>
      <c r="AF59" s="18" t="s">
        <v>95</v>
      </c>
      <c r="AG59" s="18" t="s">
        <v>83</v>
      </c>
      <c r="AH59" s="18" t="s">
        <v>83</v>
      </c>
      <c r="AI59" s="18" t="s">
        <v>81</v>
      </c>
      <c r="AJ59" s="18" t="s">
        <v>118</v>
      </c>
      <c r="AK59" s="18" t="s">
        <v>95</v>
      </c>
      <c r="AL59" s="18" t="s">
        <v>10818</v>
      </c>
      <c r="AM59" s="18" t="s">
        <v>85</v>
      </c>
      <c r="AN59" s="18" t="s">
        <v>7031</v>
      </c>
      <c r="AO59" s="18" t="s">
        <v>86</v>
      </c>
      <c r="AP59" s="18" t="s">
        <v>90</v>
      </c>
      <c r="AQ59" s="18" t="s">
        <v>8002</v>
      </c>
      <c r="AR59" s="18" t="s">
        <v>177</v>
      </c>
      <c r="AS59" s="18" t="s">
        <v>139</v>
      </c>
      <c r="AT59" s="18" t="s">
        <v>95</v>
      </c>
      <c r="AU59" s="18" t="s">
        <v>95</v>
      </c>
      <c r="AV59" s="18" t="s">
        <v>7029</v>
      </c>
      <c r="AW59" s="18" t="s">
        <v>95</v>
      </c>
      <c r="AX59" s="18" t="s">
        <v>10806</v>
      </c>
      <c r="AY59" s="18" t="s">
        <v>95</v>
      </c>
      <c r="AZ59" s="18" t="s">
        <v>95</v>
      </c>
      <c r="BA59" s="18" t="s">
        <v>95</v>
      </c>
      <c r="BB59" s="18" t="s">
        <v>95</v>
      </c>
      <c r="BC59" s="18" t="s">
        <v>95</v>
      </c>
      <c r="BD59" s="18" t="s">
        <v>10807</v>
      </c>
      <c r="BE59" s="18" t="s">
        <v>10808</v>
      </c>
      <c r="BF59" s="18" t="s">
        <v>10809</v>
      </c>
      <c r="BG59" s="18" t="s">
        <v>7030</v>
      </c>
      <c r="BH59" s="18"/>
      <c r="BI59" s="18"/>
      <c r="BJ59" s="18" t="s">
        <v>760</v>
      </c>
      <c r="BK59" s="18" t="s">
        <v>11278</v>
      </c>
      <c r="BL59" s="18" t="s">
        <v>10811</v>
      </c>
      <c r="BM59" s="18" t="s">
        <v>92</v>
      </c>
      <c r="BN59" s="18" t="s">
        <v>85</v>
      </c>
      <c r="BO59" s="18">
        <v>0</v>
      </c>
      <c r="BP59" s="18" t="s">
        <v>10812</v>
      </c>
      <c r="BQ59" s="18" t="str">
        <f>VLOOKUP(Prepago[[#This Row],[NOM_PLAZA]],[1]!Locales[#Data],3,0)</f>
        <v>TIENDA RECREO</v>
      </c>
      <c r="BR59" s="18" t="str">
        <f>VLOOKUP(Prepago[[#This Row],[CODIGO_USUARIO]],[1]!Personal[#Data],6,0)</f>
        <v>VALBUENA SANCHEZ ALBERT ANTHONY</v>
      </c>
      <c r="BS59" s="18">
        <f>DAY(Prepago[[#This Row],[FECHA_ALTA]])</f>
        <v>15</v>
      </c>
    </row>
    <row r="60" spans="1:71" x14ac:dyDescent="0.25">
      <c r="A60" s="18" t="s">
        <v>96</v>
      </c>
      <c r="B60" s="18" t="s">
        <v>11279</v>
      </c>
      <c r="C60" s="18" t="s">
        <v>11280</v>
      </c>
      <c r="D60" s="18" t="s">
        <v>11281</v>
      </c>
      <c r="E60" s="22">
        <v>44896</v>
      </c>
      <c r="F60" s="18" t="s">
        <v>67</v>
      </c>
      <c r="G60" s="18" t="s">
        <v>11282</v>
      </c>
      <c r="H60" s="18" t="s">
        <v>11283</v>
      </c>
      <c r="I60" s="18" t="s">
        <v>70</v>
      </c>
      <c r="J60" s="18" t="s">
        <v>8102</v>
      </c>
      <c r="K60" s="18" t="s">
        <v>8103</v>
      </c>
      <c r="L60" s="18" t="s">
        <v>999</v>
      </c>
      <c r="M60" s="18" t="s">
        <v>7037</v>
      </c>
      <c r="N60" s="18" t="s">
        <v>11284</v>
      </c>
      <c r="O60" s="18" t="s">
        <v>75</v>
      </c>
      <c r="P60" s="18" t="s">
        <v>11285</v>
      </c>
      <c r="Q60" s="18" t="s">
        <v>10817</v>
      </c>
      <c r="R60" s="18" t="s">
        <v>78</v>
      </c>
      <c r="S60" s="18" t="s">
        <v>77</v>
      </c>
      <c r="T60" s="22">
        <v>44915</v>
      </c>
      <c r="U60" s="18"/>
      <c r="V60" s="18" t="s">
        <v>81</v>
      </c>
      <c r="W60" s="18" t="s">
        <v>79</v>
      </c>
      <c r="X60" s="18" t="s">
        <v>10803</v>
      </c>
      <c r="Y60" s="18" t="s">
        <v>396</v>
      </c>
      <c r="Z60" s="18" t="s">
        <v>397</v>
      </c>
      <c r="AA60" s="18" t="s">
        <v>7062</v>
      </c>
      <c r="AB60" s="18" t="s">
        <v>95</v>
      </c>
      <c r="AC60" s="18" t="s">
        <v>7984</v>
      </c>
      <c r="AD60" s="18" t="s">
        <v>10804</v>
      </c>
      <c r="AE60" s="18" t="s">
        <v>174</v>
      </c>
      <c r="AF60" s="18" t="s">
        <v>95</v>
      </c>
      <c r="AG60" s="18" t="s">
        <v>83</v>
      </c>
      <c r="AH60" s="18" t="s">
        <v>83</v>
      </c>
      <c r="AI60" s="18" t="s">
        <v>81</v>
      </c>
      <c r="AJ60" s="18" t="s">
        <v>118</v>
      </c>
      <c r="AK60" s="18" t="s">
        <v>95</v>
      </c>
      <c r="AL60" s="18" t="s">
        <v>10910</v>
      </c>
      <c r="AM60" s="18" t="s">
        <v>85</v>
      </c>
      <c r="AN60" s="18" t="s">
        <v>7031</v>
      </c>
      <c r="AO60" s="18" t="s">
        <v>86</v>
      </c>
      <c r="AP60" s="18" t="s">
        <v>90</v>
      </c>
      <c r="AQ60" s="18" t="s">
        <v>8002</v>
      </c>
      <c r="AR60" s="18" t="s">
        <v>177</v>
      </c>
      <c r="AS60" s="18" t="s">
        <v>139</v>
      </c>
      <c r="AT60" s="18" t="s">
        <v>95</v>
      </c>
      <c r="AU60" s="18" t="s">
        <v>95</v>
      </c>
      <c r="AV60" s="18" t="s">
        <v>7037</v>
      </c>
      <c r="AW60" s="18" t="s">
        <v>95</v>
      </c>
      <c r="AX60" s="18" t="s">
        <v>10806</v>
      </c>
      <c r="AY60" s="18" t="s">
        <v>95</v>
      </c>
      <c r="AZ60" s="18" t="s">
        <v>95</v>
      </c>
      <c r="BA60" s="18" t="s">
        <v>95</v>
      </c>
      <c r="BB60" s="18" t="s">
        <v>95</v>
      </c>
      <c r="BC60" s="18" t="s">
        <v>95</v>
      </c>
      <c r="BD60" s="18" t="s">
        <v>10829</v>
      </c>
      <c r="BE60" s="18" t="s">
        <v>11286</v>
      </c>
      <c r="BF60" s="18" t="s">
        <v>7037</v>
      </c>
      <c r="BG60" s="18" t="s">
        <v>7030</v>
      </c>
      <c r="BH60" s="18"/>
      <c r="BI60" s="18"/>
      <c r="BJ60" s="18" t="s">
        <v>396</v>
      </c>
      <c r="BK60" s="18" t="s">
        <v>11287</v>
      </c>
      <c r="BL60" s="18" t="s">
        <v>10811</v>
      </c>
      <c r="BM60" s="18" t="s">
        <v>139</v>
      </c>
      <c r="BN60" s="18" t="s">
        <v>85</v>
      </c>
      <c r="BO60" s="18">
        <v>0</v>
      </c>
      <c r="BP60" s="18" t="s">
        <v>10812</v>
      </c>
      <c r="BQ60" s="18" t="str">
        <f>VLOOKUP(Prepago[[#This Row],[NOM_PLAZA]],[1]!Locales[#Data],3,0)</f>
        <v>TIENDA RECREO</v>
      </c>
      <c r="BR60" s="18" t="str">
        <f>VLOOKUP(Prepago[[#This Row],[CODIGO_USUARIO]],[1]!Personal[#Data],6,0)</f>
        <v>VINUEZA VELASCO ANGY DAYANA</v>
      </c>
      <c r="BS60" s="18">
        <f>DAY(Prepago[[#This Row],[FECHA_ALTA]])</f>
        <v>1</v>
      </c>
    </row>
    <row r="61" spans="1:71" x14ac:dyDescent="0.25">
      <c r="A61" s="18" t="s">
        <v>96</v>
      </c>
      <c r="B61" s="18" t="s">
        <v>11288</v>
      </c>
      <c r="C61" s="18" t="s">
        <v>11289</v>
      </c>
      <c r="D61" s="18" t="s">
        <v>11290</v>
      </c>
      <c r="E61" s="22">
        <v>44900</v>
      </c>
      <c r="F61" s="18" t="s">
        <v>67</v>
      </c>
      <c r="G61" s="18" t="s">
        <v>11291</v>
      </c>
      <c r="H61" s="18" t="s">
        <v>11292</v>
      </c>
      <c r="I61" s="18" t="s">
        <v>70</v>
      </c>
      <c r="J61" s="18" t="s">
        <v>8102</v>
      </c>
      <c r="K61" s="18" t="s">
        <v>8103</v>
      </c>
      <c r="L61" s="18" t="s">
        <v>73</v>
      </c>
      <c r="M61" s="18" t="s">
        <v>7037</v>
      </c>
      <c r="N61" s="18" t="s">
        <v>11293</v>
      </c>
      <c r="O61" s="18" t="s">
        <v>75</v>
      </c>
      <c r="P61" s="18" t="s">
        <v>11294</v>
      </c>
      <c r="Q61" s="18" t="s">
        <v>4453</v>
      </c>
      <c r="R61" s="18" t="s">
        <v>78</v>
      </c>
      <c r="S61" s="18" t="s">
        <v>77</v>
      </c>
      <c r="T61" s="22">
        <v>44915</v>
      </c>
      <c r="U61" s="18"/>
      <c r="V61" s="18" t="s">
        <v>81</v>
      </c>
      <c r="W61" s="18" t="s">
        <v>79</v>
      </c>
      <c r="X61" s="18" t="s">
        <v>10803</v>
      </c>
      <c r="Y61" s="18" t="s">
        <v>303</v>
      </c>
      <c r="Z61" s="18" t="s">
        <v>304</v>
      </c>
      <c r="AA61" s="18" t="s">
        <v>7062</v>
      </c>
      <c r="AB61" s="18" t="s">
        <v>95</v>
      </c>
      <c r="AC61" s="18" t="s">
        <v>7984</v>
      </c>
      <c r="AD61" s="18" t="s">
        <v>10804</v>
      </c>
      <c r="AE61" s="18" t="s">
        <v>174</v>
      </c>
      <c r="AF61" s="18" t="s">
        <v>95</v>
      </c>
      <c r="AG61" s="18" t="s">
        <v>83</v>
      </c>
      <c r="AH61" s="18" t="s">
        <v>83</v>
      </c>
      <c r="AI61" s="18" t="s">
        <v>81</v>
      </c>
      <c r="AJ61" s="18" t="s">
        <v>118</v>
      </c>
      <c r="AK61" s="18" t="s">
        <v>95</v>
      </c>
      <c r="AL61" s="18" t="s">
        <v>10805</v>
      </c>
      <c r="AM61" s="18" t="s">
        <v>85</v>
      </c>
      <c r="AN61" s="18" t="s">
        <v>7031</v>
      </c>
      <c r="AO61" s="18" t="s">
        <v>86</v>
      </c>
      <c r="AP61" s="18" t="s">
        <v>90</v>
      </c>
      <c r="AQ61" s="18" t="s">
        <v>8002</v>
      </c>
      <c r="AR61" s="18" t="s">
        <v>177</v>
      </c>
      <c r="AS61" s="18" t="s">
        <v>139</v>
      </c>
      <c r="AT61" s="18" t="s">
        <v>95</v>
      </c>
      <c r="AU61" s="18" t="s">
        <v>95</v>
      </c>
      <c r="AV61" s="18" t="s">
        <v>7037</v>
      </c>
      <c r="AW61" s="18" t="s">
        <v>95</v>
      </c>
      <c r="AX61" s="18" t="s">
        <v>10806</v>
      </c>
      <c r="AY61" s="18" t="s">
        <v>95</v>
      </c>
      <c r="AZ61" s="18" t="s">
        <v>95</v>
      </c>
      <c r="BA61" s="18" t="s">
        <v>95</v>
      </c>
      <c r="BB61" s="18" t="s">
        <v>95</v>
      </c>
      <c r="BC61" s="18" t="s">
        <v>95</v>
      </c>
      <c r="BD61" s="18" t="s">
        <v>10829</v>
      </c>
      <c r="BE61" s="18" t="s">
        <v>10808</v>
      </c>
      <c r="BF61" s="18" t="s">
        <v>10809</v>
      </c>
      <c r="BG61" s="18" t="s">
        <v>7030</v>
      </c>
      <c r="BH61" s="18"/>
      <c r="BI61" s="18"/>
      <c r="BJ61" s="18" t="s">
        <v>303</v>
      </c>
      <c r="BK61" s="18" t="s">
        <v>11295</v>
      </c>
      <c r="BL61" s="18" t="s">
        <v>10811</v>
      </c>
      <c r="BM61" s="18" t="s">
        <v>139</v>
      </c>
      <c r="BN61" s="18" t="s">
        <v>85</v>
      </c>
      <c r="BO61" s="18">
        <v>0</v>
      </c>
      <c r="BP61" s="18" t="s">
        <v>10812</v>
      </c>
      <c r="BQ61" s="18" t="str">
        <f>VLOOKUP(Prepago[[#This Row],[NOM_PLAZA]],[1]!Locales[#Data],3,0)</f>
        <v>TIENDA RECREO</v>
      </c>
      <c r="BR61" s="18" t="str">
        <f>VLOOKUP(Prepago[[#This Row],[CODIGO_USUARIO]],[1]!Personal[#Data],6,0)</f>
        <v>CORDOVA GAIBOR JONATHAN HERNAN</v>
      </c>
      <c r="BS61" s="18">
        <f>DAY(Prepago[[#This Row],[FECHA_ALTA]])</f>
        <v>5</v>
      </c>
    </row>
    <row r="62" spans="1:71" x14ac:dyDescent="0.25">
      <c r="A62" s="18" t="s">
        <v>96</v>
      </c>
      <c r="B62" s="18" t="s">
        <v>11296</v>
      </c>
      <c r="C62" s="18" t="s">
        <v>11297</v>
      </c>
      <c r="D62" s="18" t="s">
        <v>11298</v>
      </c>
      <c r="E62" s="22">
        <v>44900</v>
      </c>
      <c r="F62" s="18" t="s">
        <v>67</v>
      </c>
      <c r="G62" s="18" t="s">
        <v>11299</v>
      </c>
      <c r="H62" s="18" t="s">
        <v>11300</v>
      </c>
      <c r="I62" s="18" t="s">
        <v>70</v>
      </c>
      <c r="J62" s="18" t="s">
        <v>8102</v>
      </c>
      <c r="K62" s="18" t="s">
        <v>8103</v>
      </c>
      <c r="L62" s="18" t="s">
        <v>73</v>
      </c>
      <c r="M62" s="18" t="s">
        <v>7037</v>
      </c>
      <c r="N62" s="18" t="s">
        <v>11301</v>
      </c>
      <c r="O62" s="18" t="s">
        <v>75</v>
      </c>
      <c r="P62" s="18" t="s">
        <v>11302</v>
      </c>
      <c r="Q62" s="18" t="s">
        <v>1532</v>
      </c>
      <c r="R62" s="18" t="s">
        <v>78</v>
      </c>
      <c r="S62" s="18" t="s">
        <v>77</v>
      </c>
      <c r="T62" s="22">
        <v>44915</v>
      </c>
      <c r="U62" s="18"/>
      <c r="V62" s="18" t="s">
        <v>81</v>
      </c>
      <c r="W62" s="18" t="s">
        <v>79</v>
      </c>
      <c r="X62" s="18" t="s">
        <v>10803</v>
      </c>
      <c r="Y62" s="18" t="s">
        <v>187</v>
      </c>
      <c r="Z62" s="18" t="s">
        <v>188</v>
      </c>
      <c r="AA62" s="18" t="s">
        <v>7062</v>
      </c>
      <c r="AB62" s="18" t="s">
        <v>95</v>
      </c>
      <c r="AC62" s="18" t="s">
        <v>7984</v>
      </c>
      <c r="AD62" s="18" t="s">
        <v>10804</v>
      </c>
      <c r="AE62" s="18" t="s">
        <v>174</v>
      </c>
      <c r="AF62" s="18" t="s">
        <v>95</v>
      </c>
      <c r="AG62" s="18" t="s">
        <v>83</v>
      </c>
      <c r="AH62" s="18" t="s">
        <v>83</v>
      </c>
      <c r="AI62" s="18" t="s">
        <v>81</v>
      </c>
      <c r="AJ62" s="18" t="s">
        <v>118</v>
      </c>
      <c r="AK62" s="18" t="s">
        <v>95</v>
      </c>
      <c r="AL62" s="18" t="s">
        <v>10920</v>
      </c>
      <c r="AM62" s="18" t="s">
        <v>85</v>
      </c>
      <c r="AN62" s="18" t="s">
        <v>7031</v>
      </c>
      <c r="AO62" s="18" t="s">
        <v>86</v>
      </c>
      <c r="AP62" s="18" t="s">
        <v>90</v>
      </c>
      <c r="AQ62" s="18" t="s">
        <v>8002</v>
      </c>
      <c r="AR62" s="18" t="s">
        <v>177</v>
      </c>
      <c r="AS62" s="18" t="s">
        <v>139</v>
      </c>
      <c r="AT62" s="18" t="s">
        <v>95</v>
      </c>
      <c r="AU62" s="18" t="s">
        <v>95</v>
      </c>
      <c r="AV62" s="18" t="s">
        <v>7037</v>
      </c>
      <c r="AW62" s="18" t="s">
        <v>95</v>
      </c>
      <c r="AX62" s="18" t="s">
        <v>10806</v>
      </c>
      <c r="AY62" s="18" t="s">
        <v>95</v>
      </c>
      <c r="AZ62" s="18" t="s">
        <v>95</v>
      </c>
      <c r="BA62" s="18" t="s">
        <v>95</v>
      </c>
      <c r="BB62" s="18" t="s">
        <v>95</v>
      </c>
      <c r="BC62" s="18" t="s">
        <v>95</v>
      </c>
      <c r="BD62" s="18" t="s">
        <v>10807</v>
      </c>
      <c r="BE62" s="18" t="s">
        <v>10808</v>
      </c>
      <c r="BF62" s="18" t="s">
        <v>10809</v>
      </c>
      <c r="BG62" s="18" t="s">
        <v>7030</v>
      </c>
      <c r="BH62" s="18"/>
      <c r="BI62" s="18"/>
      <c r="BJ62" s="18" t="s">
        <v>187</v>
      </c>
      <c r="BK62" s="18" t="s">
        <v>11303</v>
      </c>
      <c r="BL62" s="18" t="s">
        <v>10811</v>
      </c>
      <c r="BM62" s="18" t="s">
        <v>139</v>
      </c>
      <c r="BN62" s="18" t="s">
        <v>85</v>
      </c>
      <c r="BO62" s="18">
        <v>0</v>
      </c>
      <c r="BP62" s="18" t="s">
        <v>10812</v>
      </c>
      <c r="BQ62" s="18" t="str">
        <f>VLOOKUP(Prepago[[#This Row],[NOM_PLAZA]],[1]!Locales[#Data],3,0)</f>
        <v>TIENDA RECREO</v>
      </c>
      <c r="BR62" s="18" t="str">
        <f>VLOOKUP(Prepago[[#This Row],[CODIGO_USUARIO]],[1]!Personal[#Data],6,0)</f>
        <v>ESPINOZA MARTINES LAURA XIOMARA</v>
      </c>
      <c r="BS62" s="18">
        <f>DAY(Prepago[[#This Row],[FECHA_ALTA]])</f>
        <v>5</v>
      </c>
    </row>
    <row r="63" spans="1:71" x14ac:dyDescent="0.25">
      <c r="A63" s="18" t="s">
        <v>96</v>
      </c>
      <c r="B63" s="18" t="s">
        <v>11304</v>
      </c>
      <c r="C63" s="18" t="s">
        <v>11305</v>
      </c>
      <c r="D63" s="18" t="s">
        <v>11306</v>
      </c>
      <c r="E63" s="22">
        <v>44914</v>
      </c>
      <c r="F63" s="18" t="s">
        <v>67</v>
      </c>
      <c r="G63" s="18" t="s">
        <v>11307</v>
      </c>
      <c r="H63" s="18" t="s">
        <v>11308</v>
      </c>
      <c r="I63" s="18" t="s">
        <v>70</v>
      </c>
      <c r="J63" s="18" t="s">
        <v>8102</v>
      </c>
      <c r="K63" s="18" t="s">
        <v>8103</v>
      </c>
      <c r="L63" s="18" t="s">
        <v>132</v>
      </c>
      <c r="M63" s="18" t="s">
        <v>7037</v>
      </c>
      <c r="N63" s="18" t="s">
        <v>11309</v>
      </c>
      <c r="O63" s="18" t="s">
        <v>75</v>
      </c>
      <c r="P63" s="18" t="s">
        <v>11310</v>
      </c>
      <c r="Q63" s="18" t="s">
        <v>10817</v>
      </c>
      <c r="R63" s="18" t="s">
        <v>78</v>
      </c>
      <c r="S63" s="18" t="s">
        <v>77</v>
      </c>
      <c r="T63" s="22">
        <v>44915</v>
      </c>
      <c r="U63" s="18"/>
      <c r="V63" s="18" t="s">
        <v>81</v>
      </c>
      <c r="W63" s="18" t="s">
        <v>79</v>
      </c>
      <c r="X63" s="18" t="s">
        <v>10803</v>
      </c>
      <c r="Y63" s="18" t="s">
        <v>822</v>
      </c>
      <c r="Z63" s="18" t="s">
        <v>823</v>
      </c>
      <c r="AA63" s="18" t="s">
        <v>7062</v>
      </c>
      <c r="AB63" s="18" t="s">
        <v>95</v>
      </c>
      <c r="AC63" s="18" t="s">
        <v>7984</v>
      </c>
      <c r="AD63" s="18" t="s">
        <v>10804</v>
      </c>
      <c r="AE63" s="18" t="s">
        <v>174</v>
      </c>
      <c r="AF63" s="18" t="s">
        <v>95</v>
      </c>
      <c r="AG63" s="18" t="s">
        <v>83</v>
      </c>
      <c r="AH63" s="18" t="s">
        <v>83</v>
      </c>
      <c r="AI63" s="18" t="s">
        <v>81</v>
      </c>
      <c r="AJ63" s="18" t="s">
        <v>118</v>
      </c>
      <c r="AK63" s="18" t="s">
        <v>95</v>
      </c>
      <c r="AL63" s="18" t="s">
        <v>10828</v>
      </c>
      <c r="AM63" s="18" t="s">
        <v>85</v>
      </c>
      <c r="AN63" s="18" t="s">
        <v>7031</v>
      </c>
      <c r="AO63" s="18" t="s">
        <v>86</v>
      </c>
      <c r="AP63" s="18" t="s">
        <v>90</v>
      </c>
      <c r="AQ63" s="18" t="s">
        <v>8002</v>
      </c>
      <c r="AR63" s="18" t="s">
        <v>177</v>
      </c>
      <c r="AS63" s="18" t="s">
        <v>139</v>
      </c>
      <c r="AT63" s="18" t="s">
        <v>95</v>
      </c>
      <c r="AU63" s="18" t="s">
        <v>95</v>
      </c>
      <c r="AV63" s="18" t="s">
        <v>7037</v>
      </c>
      <c r="AW63" s="18" t="s">
        <v>95</v>
      </c>
      <c r="AX63" s="18" t="s">
        <v>10806</v>
      </c>
      <c r="AY63" s="18" t="s">
        <v>95</v>
      </c>
      <c r="AZ63" s="18" t="s">
        <v>95</v>
      </c>
      <c r="BA63" s="18" t="s">
        <v>95</v>
      </c>
      <c r="BB63" s="18" t="s">
        <v>95</v>
      </c>
      <c r="BC63" s="18" t="s">
        <v>95</v>
      </c>
      <c r="BD63" s="18" t="s">
        <v>10807</v>
      </c>
      <c r="BE63" s="18" t="s">
        <v>11311</v>
      </c>
      <c r="BF63" s="18" t="s">
        <v>10809</v>
      </c>
      <c r="BG63" s="18" t="s">
        <v>7030</v>
      </c>
      <c r="BH63" s="18"/>
      <c r="BI63" s="18"/>
      <c r="BJ63" s="18" t="s">
        <v>822</v>
      </c>
      <c r="BK63" s="18" t="s">
        <v>11312</v>
      </c>
      <c r="BL63" s="18" t="s">
        <v>10811</v>
      </c>
      <c r="BM63" s="18" t="s">
        <v>139</v>
      </c>
      <c r="BN63" s="18" t="s">
        <v>85</v>
      </c>
      <c r="BO63" s="18">
        <v>0</v>
      </c>
      <c r="BP63" s="18" t="s">
        <v>10812</v>
      </c>
      <c r="BQ63" s="18" t="str">
        <f>VLOOKUP(Prepago[[#This Row],[NOM_PLAZA]],[1]!Locales[#Data],3,0)</f>
        <v>TIENDA RECREO</v>
      </c>
      <c r="BR63" s="18" t="str">
        <f>VLOOKUP(Prepago[[#This Row],[CODIGO_USUARIO]],[1]!Personal[#Data],6,0)</f>
        <v>SALAS PARRA MARIA JOSE</v>
      </c>
      <c r="BS63" s="18">
        <f>DAY(Prepago[[#This Row],[FECHA_ALTA]])</f>
        <v>19</v>
      </c>
    </row>
    <row r="64" spans="1:71" x14ac:dyDescent="0.25">
      <c r="A64" s="18" t="s">
        <v>96</v>
      </c>
      <c r="B64" s="18" t="s">
        <v>11313</v>
      </c>
      <c r="C64" s="18" t="s">
        <v>11314</v>
      </c>
      <c r="D64" s="18" t="s">
        <v>11315</v>
      </c>
      <c r="E64" s="22">
        <v>44902</v>
      </c>
      <c r="F64" s="18" t="s">
        <v>67</v>
      </c>
      <c r="G64" s="18" t="s">
        <v>11316</v>
      </c>
      <c r="H64" s="18" t="s">
        <v>11317</v>
      </c>
      <c r="I64" s="18" t="s">
        <v>70</v>
      </c>
      <c r="J64" s="18" t="s">
        <v>8102</v>
      </c>
      <c r="K64" s="18" t="s">
        <v>8103</v>
      </c>
      <c r="L64" s="18" t="s">
        <v>259</v>
      </c>
      <c r="M64" s="18" t="s">
        <v>7037</v>
      </c>
      <c r="N64" s="18" t="s">
        <v>11318</v>
      </c>
      <c r="O64" s="18" t="s">
        <v>75</v>
      </c>
      <c r="P64" s="18" t="s">
        <v>11319</v>
      </c>
      <c r="Q64" s="18" t="s">
        <v>4453</v>
      </c>
      <c r="R64" s="18" t="s">
        <v>78</v>
      </c>
      <c r="S64" s="18" t="s">
        <v>77</v>
      </c>
      <c r="T64" s="22">
        <v>44915</v>
      </c>
      <c r="U64" s="18"/>
      <c r="V64" s="18" t="s">
        <v>81</v>
      </c>
      <c r="W64" s="18" t="s">
        <v>79</v>
      </c>
      <c r="X64" s="18" t="s">
        <v>10803</v>
      </c>
      <c r="Y64" s="18" t="s">
        <v>251</v>
      </c>
      <c r="Z64" s="18" t="s">
        <v>252</v>
      </c>
      <c r="AA64" s="18" t="s">
        <v>7062</v>
      </c>
      <c r="AB64" s="18" t="s">
        <v>95</v>
      </c>
      <c r="AC64" s="18" t="s">
        <v>7984</v>
      </c>
      <c r="AD64" s="18" t="s">
        <v>10804</v>
      </c>
      <c r="AE64" s="18" t="s">
        <v>174</v>
      </c>
      <c r="AF64" s="18" t="s">
        <v>95</v>
      </c>
      <c r="AG64" s="18" t="s">
        <v>83</v>
      </c>
      <c r="AH64" s="18" t="s">
        <v>83</v>
      </c>
      <c r="AI64" s="18" t="s">
        <v>81</v>
      </c>
      <c r="AJ64" s="18" t="s">
        <v>118</v>
      </c>
      <c r="AK64" s="18" t="s">
        <v>95</v>
      </c>
      <c r="AL64" s="18" t="s">
        <v>10864</v>
      </c>
      <c r="AM64" s="18" t="s">
        <v>85</v>
      </c>
      <c r="AN64" s="18" t="s">
        <v>7031</v>
      </c>
      <c r="AO64" s="18" t="s">
        <v>86</v>
      </c>
      <c r="AP64" s="18" t="s">
        <v>90</v>
      </c>
      <c r="AQ64" s="18" t="s">
        <v>8002</v>
      </c>
      <c r="AR64" s="18" t="s">
        <v>177</v>
      </c>
      <c r="AS64" s="18" t="s">
        <v>139</v>
      </c>
      <c r="AT64" s="18" t="s">
        <v>95</v>
      </c>
      <c r="AU64" s="18" t="s">
        <v>95</v>
      </c>
      <c r="AV64" s="18" t="s">
        <v>7037</v>
      </c>
      <c r="AW64" s="18" t="s">
        <v>95</v>
      </c>
      <c r="AX64" s="18" t="s">
        <v>10806</v>
      </c>
      <c r="AY64" s="18" t="s">
        <v>95</v>
      </c>
      <c r="AZ64" s="18" t="s">
        <v>95</v>
      </c>
      <c r="BA64" s="18" t="s">
        <v>95</v>
      </c>
      <c r="BB64" s="18" t="s">
        <v>95</v>
      </c>
      <c r="BC64" s="18" t="s">
        <v>95</v>
      </c>
      <c r="BD64" s="18" t="s">
        <v>10807</v>
      </c>
      <c r="BE64" s="18" t="s">
        <v>11320</v>
      </c>
      <c r="BF64" s="18" t="s">
        <v>10809</v>
      </c>
      <c r="BG64" s="18" t="s">
        <v>7030</v>
      </c>
      <c r="BH64" s="18"/>
      <c r="BI64" s="18"/>
      <c r="BJ64" s="18" t="s">
        <v>251</v>
      </c>
      <c r="BK64" s="18" t="s">
        <v>11321</v>
      </c>
      <c r="BL64" s="18" t="s">
        <v>10811</v>
      </c>
      <c r="BM64" s="18" t="s">
        <v>139</v>
      </c>
      <c r="BN64" s="18" t="s">
        <v>85</v>
      </c>
      <c r="BO64" s="18">
        <v>0</v>
      </c>
      <c r="BP64" s="18" t="s">
        <v>10812</v>
      </c>
      <c r="BQ64" s="18" t="str">
        <f>VLOOKUP(Prepago[[#This Row],[NOM_PLAZA]],[1]!Locales[#Data],3,0)</f>
        <v>TIENDA RECREO</v>
      </c>
      <c r="BR64" s="18" t="str">
        <f>VLOOKUP(Prepago[[#This Row],[CODIGO_USUARIO]],[1]!Personal[#Data],6,0)</f>
        <v>CRUZ MONTUFAR KATHERINE ALEJANDRA</v>
      </c>
      <c r="BS64" s="18">
        <f>DAY(Prepago[[#This Row],[FECHA_ALTA]])</f>
        <v>7</v>
      </c>
    </row>
    <row r="65" spans="1:71" x14ac:dyDescent="0.25">
      <c r="A65" s="18" t="s">
        <v>96</v>
      </c>
      <c r="B65" s="18" t="s">
        <v>11322</v>
      </c>
      <c r="C65" s="18" t="s">
        <v>11323</v>
      </c>
      <c r="D65" s="18" t="s">
        <v>11324</v>
      </c>
      <c r="E65" s="22">
        <v>44913</v>
      </c>
      <c r="F65" s="18" t="s">
        <v>67</v>
      </c>
      <c r="G65" s="18" t="s">
        <v>11325</v>
      </c>
      <c r="H65" s="18" t="s">
        <v>11326</v>
      </c>
      <c r="I65" s="18" t="s">
        <v>70</v>
      </c>
      <c r="J65" s="18" t="s">
        <v>8102</v>
      </c>
      <c r="K65" s="18" t="s">
        <v>8103</v>
      </c>
      <c r="L65" s="18" t="s">
        <v>95</v>
      </c>
      <c r="M65" s="18" t="s">
        <v>7037</v>
      </c>
      <c r="N65" s="18" t="s">
        <v>11327</v>
      </c>
      <c r="O65" s="18" t="s">
        <v>75</v>
      </c>
      <c r="P65" s="18" t="s">
        <v>11328</v>
      </c>
      <c r="Q65" s="18" t="s">
        <v>4453</v>
      </c>
      <c r="R65" s="18" t="s">
        <v>78</v>
      </c>
      <c r="S65" s="18" t="s">
        <v>77</v>
      </c>
      <c r="T65" s="22">
        <v>44915</v>
      </c>
      <c r="U65" s="18"/>
      <c r="V65" s="18" t="s">
        <v>81</v>
      </c>
      <c r="W65" s="18" t="s">
        <v>79</v>
      </c>
      <c r="X65" s="18" t="s">
        <v>10803</v>
      </c>
      <c r="Y65" s="18" t="s">
        <v>492</v>
      </c>
      <c r="Z65" s="18" t="s">
        <v>493</v>
      </c>
      <c r="AA65" s="18" t="s">
        <v>7062</v>
      </c>
      <c r="AB65" s="18" t="s">
        <v>95</v>
      </c>
      <c r="AC65" s="18" t="s">
        <v>7984</v>
      </c>
      <c r="AD65" s="18" t="s">
        <v>10804</v>
      </c>
      <c r="AE65" s="18" t="s">
        <v>174</v>
      </c>
      <c r="AF65" s="18" t="s">
        <v>95</v>
      </c>
      <c r="AG65" s="18" t="s">
        <v>83</v>
      </c>
      <c r="AH65" s="18" t="s">
        <v>83</v>
      </c>
      <c r="AI65" s="18" t="s">
        <v>81</v>
      </c>
      <c r="AJ65" s="18" t="s">
        <v>118</v>
      </c>
      <c r="AK65" s="18" t="s">
        <v>95</v>
      </c>
      <c r="AL65" s="18" t="s">
        <v>11329</v>
      </c>
      <c r="AM65" s="18" t="s">
        <v>85</v>
      </c>
      <c r="AN65" s="18" t="s">
        <v>7031</v>
      </c>
      <c r="AO65" s="18" t="s">
        <v>86</v>
      </c>
      <c r="AP65" s="18" t="s">
        <v>90</v>
      </c>
      <c r="AQ65" s="18" t="s">
        <v>8002</v>
      </c>
      <c r="AR65" s="18" t="s">
        <v>177</v>
      </c>
      <c r="AS65" s="18" t="s">
        <v>139</v>
      </c>
      <c r="AT65" s="18" t="s">
        <v>95</v>
      </c>
      <c r="AU65" s="18" t="s">
        <v>95</v>
      </c>
      <c r="AV65" s="18" t="s">
        <v>7037</v>
      </c>
      <c r="AW65" s="18" t="s">
        <v>95</v>
      </c>
      <c r="AX65" s="18" t="s">
        <v>10806</v>
      </c>
      <c r="AY65" s="18" t="s">
        <v>95</v>
      </c>
      <c r="AZ65" s="18" t="s">
        <v>95</v>
      </c>
      <c r="BA65" s="18" t="s">
        <v>95</v>
      </c>
      <c r="BB65" s="18" t="s">
        <v>95</v>
      </c>
      <c r="BC65" s="18" t="s">
        <v>95</v>
      </c>
      <c r="BD65" s="18" t="s">
        <v>10829</v>
      </c>
      <c r="BE65" s="18" t="s">
        <v>11330</v>
      </c>
      <c r="BF65" s="18" t="s">
        <v>10809</v>
      </c>
      <c r="BG65" s="18" t="s">
        <v>7030</v>
      </c>
      <c r="BH65" s="18"/>
      <c r="BI65" s="18"/>
      <c r="BJ65" s="18" t="s">
        <v>492</v>
      </c>
      <c r="BK65" s="18" t="s">
        <v>11331</v>
      </c>
      <c r="BL65" s="18" t="s">
        <v>10811</v>
      </c>
      <c r="BM65" s="18" t="s">
        <v>139</v>
      </c>
      <c r="BN65" s="18" t="s">
        <v>85</v>
      </c>
      <c r="BO65" s="18">
        <v>0</v>
      </c>
      <c r="BP65" s="18" t="s">
        <v>10812</v>
      </c>
      <c r="BQ65" s="18" t="str">
        <f>VLOOKUP(Prepago[[#This Row],[NOM_PLAZA]],[1]!Locales[#Data],3,0)</f>
        <v>TIENDA RECREO</v>
      </c>
      <c r="BR65" s="18" t="str">
        <f>VLOOKUP(Prepago[[#This Row],[CODIGO_USUARIO]],[1]!Personal[#Data],6,0)</f>
        <v>CONDO GARCIA NICOLAS MATIAS</v>
      </c>
      <c r="BS65" s="18">
        <f>DAY(Prepago[[#This Row],[FECHA_ALTA]])</f>
        <v>18</v>
      </c>
    </row>
    <row r="66" spans="1:71" x14ac:dyDescent="0.25">
      <c r="A66" s="18" t="s">
        <v>96</v>
      </c>
      <c r="B66" s="18" t="s">
        <v>11332</v>
      </c>
      <c r="C66" s="18" t="s">
        <v>11333</v>
      </c>
      <c r="D66" s="18" t="s">
        <v>11334</v>
      </c>
      <c r="E66" s="22">
        <v>44896</v>
      </c>
      <c r="F66" s="18" t="s">
        <v>67</v>
      </c>
      <c r="G66" s="18" t="s">
        <v>592</v>
      </c>
      <c r="H66" s="18" t="s">
        <v>593</v>
      </c>
      <c r="I66" s="18" t="s">
        <v>70</v>
      </c>
      <c r="J66" s="18" t="s">
        <v>8102</v>
      </c>
      <c r="K66" s="18" t="s">
        <v>8103</v>
      </c>
      <c r="L66" s="18" t="s">
        <v>95</v>
      </c>
      <c r="M66" s="18" t="s">
        <v>7037</v>
      </c>
      <c r="N66" s="18" t="s">
        <v>11335</v>
      </c>
      <c r="O66" s="18" t="s">
        <v>75</v>
      </c>
      <c r="P66" s="18" t="s">
        <v>11336</v>
      </c>
      <c r="Q66" s="18" t="s">
        <v>4453</v>
      </c>
      <c r="R66" s="18" t="s">
        <v>78</v>
      </c>
      <c r="S66" s="18" t="s">
        <v>77</v>
      </c>
      <c r="T66" s="22">
        <v>44915</v>
      </c>
      <c r="U66" s="18"/>
      <c r="V66" s="18" t="s">
        <v>81</v>
      </c>
      <c r="W66" s="18" t="s">
        <v>79</v>
      </c>
      <c r="X66" s="18" t="s">
        <v>10803</v>
      </c>
      <c r="Y66" s="18" t="s">
        <v>369</v>
      </c>
      <c r="Z66" s="18" t="s">
        <v>370</v>
      </c>
      <c r="AA66" s="18" t="s">
        <v>7062</v>
      </c>
      <c r="AB66" s="18" t="s">
        <v>95</v>
      </c>
      <c r="AC66" s="18" t="s">
        <v>7984</v>
      </c>
      <c r="AD66" s="18" t="s">
        <v>10804</v>
      </c>
      <c r="AE66" s="18" t="s">
        <v>174</v>
      </c>
      <c r="AF66" s="18" t="s">
        <v>95</v>
      </c>
      <c r="AG66" s="18" t="s">
        <v>83</v>
      </c>
      <c r="AH66" s="18" t="s">
        <v>83</v>
      </c>
      <c r="AI66" s="18" t="s">
        <v>81</v>
      </c>
      <c r="AJ66" s="18" t="s">
        <v>118</v>
      </c>
      <c r="AK66" s="18" t="s">
        <v>95</v>
      </c>
      <c r="AL66" s="18" t="s">
        <v>11062</v>
      </c>
      <c r="AM66" s="18" t="s">
        <v>85</v>
      </c>
      <c r="AN66" s="18" t="s">
        <v>7031</v>
      </c>
      <c r="AO66" s="18" t="s">
        <v>86</v>
      </c>
      <c r="AP66" s="18" t="s">
        <v>90</v>
      </c>
      <c r="AQ66" s="18" t="s">
        <v>8002</v>
      </c>
      <c r="AR66" s="18" t="s">
        <v>177</v>
      </c>
      <c r="AS66" s="18" t="s">
        <v>139</v>
      </c>
      <c r="AT66" s="18" t="s">
        <v>95</v>
      </c>
      <c r="AU66" s="18" t="s">
        <v>95</v>
      </c>
      <c r="AV66" s="18" t="s">
        <v>7037</v>
      </c>
      <c r="AW66" s="18" t="s">
        <v>95</v>
      </c>
      <c r="AX66" s="18" t="s">
        <v>10806</v>
      </c>
      <c r="AY66" s="18" t="s">
        <v>95</v>
      </c>
      <c r="AZ66" s="18" t="s">
        <v>95</v>
      </c>
      <c r="BA66" s="18" t="s">
        <v>95</v>
      </c>
      <c r="BB66" s="18" t="s">
        <v>95</v>
      </c>
      <c r="BC66" s="18" t="s">
        <v>95</v>
      </c>
      <c r="BD66" s="18" t="s">
        <v>10807</v>
      </c>
      <c r="BE66" s="18" t="s">
        <v>11337</v>
      </c>
      <c r="BF66" s="18" t="s">
        <v>10809</v>
      </c>
      <c r="BG66" s="18" t="s">
        <v>7030</v>
      </c>
      <c r="BH66" s="18"/>
      <c r="BI66" s="18"/>
      <c r="BJ66" s="18" t="s">
        <v>369</v>
      </c>
      <c r="BK66" s="18" t="s">
        <v>11338</v>
      </c>
      <c r="BL66" s="18" t="s">
        <v>10811</v>
      </c>
      <c r="BM66" s="18" t="s">
        <v>139</v>
      </c>
      <c r="BN66" s="18" t="s">
        <v>85</v>
      </c>
      <c r="BO66" s="18">
        <v>0</v>
      </c>
      <c r="BP66" s="18" t="s">
        <v>10812</v>
      </c>
      <c r="BQ66" s="18" t="str">
        <f>VLOOKUP(Prepago[[#This Row],[NOM_PLAZA]],[1]!Locales[#Data],3,0)</f>
        <v>TIENDA RECREO</v>
      </c>
      <c r="BR66" s="18" t="str">
        <f>VLOOKUP(Prepago[[#This Row],[CODIGO_USUARIO]],[1]!Personal[#Data],6,0)</f>
        <v>GUAIGUA REINOSO GENESIS CAROLINA</v>
      </c>
      <c r="BS66" s="18">
        <f>DAY(Prepago[[#This Row],[FECHA_ALTA]])</f>
        <v>1</v>
      </c>
    </row>
    <row r="67" spans="1:71" x14ac:dyDescent="0.25">
      <c r="A67" s="18" t="s">
        <v>96</v>
      </c>
      <c r="B67" s="18" t="s">
        <v>11339</v>
      </c>
      <c r="C67" s="18" t="s">
        <v>11340</v>
      </c>
      <c r="D67" s="18" t="s">
        <v>11341</v>
      </c>
      <c r="E67" s="22">
        <v>44907</v>
      </c>
      <c r="F67" s="18" t="s">
        <v>67</v>
      </c>
      <c r="G67" s="18" t="s">
        <v>11342</v>
      </c>
      <c r="H67" s="18" t="s">
        <v>11343</v>
      </c>
      <c r="I67" s="18" t="s">
        <v>70</v>
      </c>
      <c r="J67" s="18" t="s">
        <v>8102</v>
      </c>
      <c r="K67" s="18" t="s">
        <v>8103</v>
      </c>
      <c r="L67" s="18" t="s">
        <v>132</v>
      </c>
      <c r="M67" s="18" t="s">
        <v>7037</v>
      </c>
      <c r="N67" s="18" t="s">
        <v>11344</v>
      </c>
      <c r="O67" s="18" t="s">
        <v>75</v>
      </c>
      <c r="P67" s="18" t="s">
        <v>11345</v>
      </c>
      <c r="Q67" s="18" t="s">
        <v>10817</v>
      </c>
      <c r="R67" s="18" t="s">
        <v>78</v>
      </c>
      <c r="S67" s="18" t="s">
        <v>77</v>
      </c>
      <c r="T67" s="22">
        <v>44915</v>
      </c>
      <c r="U67" s="18"/>
      <c r="V67" s="18" t="s">
        <v>81</v>
      </c>
      <c r="W67" s="18" t="s">
        <v>79</v>
      </c>
      <c r="X67" s="18" t="s">
        <v>10803</v>
      </c>
      <c r="Y67" s="18" t="s">
        <v>251</v>
      </c>
      <c r="Z67" s="18" t="s">
        <v>252</v>
      </c>
      <c r="AA67" s="18" t="s">
        <v>7062</v>
      </c>
      <c r="AB67" s="18" t="s">
        <v>95</v>
      </c>
      <c r="AC67" s="18" t="s">
        <v>7984</v>
      </c>
      <c r="AD67" s="18" t="s">
        <v>10804</v>
      </c>
      <c r="AE67" s="18" t="s">
        <v>174</v>
      </c>
      <c r="AF67" s="18" t="s">
        <v>95</v>
      </c>
      <c r="AG67" s="18" t="s">
        <v>83</v>
      </c>
      <c r="AH67" s="18" t="s">
        <v>83</v>
      </c>
      <c r="AI67" s="18" t="s">
        <v>81</v>
      </c>
      <c r="AJ67" s="18" t="s">
        <v>118</v>
      </c>
      <c r="AK67" s="18" t="s">
        <v>95</v>
      </c>
      <c r="AL67" s="18" t="s">
        <v>10864</v>
      </c>
      <c r="AM67" s="18" t="s">
        <v>85</v>
      </c>
      <c r="AN67" s="18" t="s">
        <v>7031</v>
      </c>
      <c r="AO67" s="18" t="s">
        <v>86</v>
      </c>
      <c r="AP67" s="18" t="s">
        <v>90</v>
      </c>
      <c r="AQ67" s="18" t="s">
        <v>8002</v>
      </c>
      <c r="AR67" s="18" t="s">
        <v>177</v>
      </c>
      <c r="AS67" s="18" t="s">
        <v>139</v>
      </c>
      <c r="AT67" s="18" t="s">
        <v>95</v>
      </c>
      <c r="AU67" s="18" t="s">
        <v>95</v>
      </c>
      <c r="AV67" s="18" t="s">
        <v>7037</v>
      </c>
      <c r="AW67" s="18" t="s">
        <v>95</v>
      </c>
      <c r="AX67" s="18" t="s">
        <v>10806</v>
      </c>
      <c r="AY67" s="18" t="s">
        <v>95</v>
      </c>
      <c r="AZ67" s="18" t="s">
        <v>95</v>
      </c>
      <c r="BA67" s="18" t="s">
        <v>95</v>
      </c>
      <c r="BB67" s="18" t="s">
        <v>95</v>
      </c>
      <c r="BC67" s="18" t="s">
        <v>95</v>
      </c>
      <c r="BD67" s="18" t="s">
        <v>10829</v>
      </c>
      <c r="BE67" s="18" t="s">
        <v>11346</v>
      </c>
      <c r="BF67" s="18" t="s">
        <v>10809</v>
      </c>
      <c r="BG67" s="18" t="s">
        <v>7030</v>
      </c>
      <c r="BH67" s="18"/>
      <c r="BI67" s="18"/>
      <c r="BJ67" s="18" t="s">
        <v>251</v>
      </c>
      <c r="BK67" s="18" t="s">
        <v>11347</v>
      </c>
      <c r="BL67" s="18" t="s">
        <v>10811</v>
      </c>
      <c r="BM67" s="18" t="s">
        <v>139</v>
      </c>
      <c r="BN67" s="18" t="s">
        <v>85</v>
      </c>
      <c r="BO67" s="18">
        <v>0</v>
      </c>
      <c r="BP67" s="18" t="s">
        <v>10812</v>
      </c>
      <c r="BQ67" s="18" t="str">
        <f>VLOOKUP(Prepago[[#This Row],[NOM_PLAZA]],[1]!Locales[#Data],3,0)</f>
        <v>TIENDA RECREO</v>
      </c>
      <c r="BR67" s="18" t="str">
        <f>VLOOKUP(Prepago[[#This Row],[CODIGO_USUARIO]],[1]!Personal[#Data],6,0)</f>
        <v>CRUZ MONTUFAR KATHERINE ALEJANDRA</v>
      </c>
      <c r="BS67" s="18">
        <f>DAY(Prepago[[#This Row],[FECHA_ALTA]])</f>
        <v>12</v>
      </c>
    </row>
    <row r="68" spans="1:71" x14ac:dyDescent="0.25">
      <c r="A68" s="18" t="s">
        <v>96</v>
      </c>
      <c r="B68" s="18" t="s">
        <v>11348</v>
      </c>
      <c r="C68" s="18" t="s">
        <v>11349</v>
      </c>
      <c r="D68" s="18" t="s">
        <v>11350</v>
      </c>
      <c r="E68" s="22">
        <v>44913</v>
      </c>
      <c r="F68" s="18" t="s">
        <v>67</v>
      </c>
      <c r="G68" s="18" t="s">
        <v>11351</v>
      </c>
      <c r="H68" s="18" t="s">
        <v>11352</v>
      </c>
      <c r="I68" s="18" t="s">
        <v>70</v>
      </c>
      <c r="J68" s="18" t="s">
        <v>8102</v>
      </c>
      <c r="K68" s="18" t="s">
        <v>8103</v>
      </c>
      <c r="L68" s="18" t="s">
        <v>132</v>
      </c>
      <c r="M68" s="18" t="s">
        <v>7037</v>
      </c>
      <c r="N68" s="18" t="s">
        <v>11353</v>
      </c>
      <c r="O68" s="18" t="s">
        <v>75</v>
      </c>
      <c r="P68" s="18" t="s">
        <v>11354</v>
      </c>
      <c r="Q68" s="18" t="s">
        <v>1532</v>
      </c>
      <c r="R68" s="18" t="s">
        <v>78</v>
      </c>
      <c r="S68" s="18" t="s">
        <v>77</v>
      </c>
      <c r="T68" s="22">
        <v>44915</v>
      </c>
      <c r="U68" s="18"/>
      <c r="V68" s="18" t="s">
        <v>81</v>
      </c>
      <c r="W68" s="18" t="s">
        <v>79</v>
      </c>
      <c r="X68" s="18" t="s">
        <v>10803</v>
      </c>
      <c r="Y68" s="18" t="s">
        <v>396</v>
      </c>
      <c r="Z68" s="18" t="s">
        <v>397</v>
      </c>
      <c r="AA68" s="18" t="s">
        <v>7062</v>
      </c>
      <c r="AB68" s="18" t="s">
        <v>95</v>
      </c>
      <c r="AC68" s="18" t="s">
        <v>7984</v>
      </c>
      <c r="AD68" s="18" t="s">
        <v>10804</v>
      </c>
      <c r="AE68" s="18" t="s">
        <v>174</v>
      </c>
      <c r="AF68" s="18" t="s">
        <v>95</v>
      </c>
      <c r="AG68" s="18" t="s">
        <v>83</v>
      </c>
      <c r="AH68" s="18" t="s">
        <v>83</v>
      </c>
      <c r="AI68" s="18" t="s">
        <v>81</v>
      </c>
      <c r="AJ68" s="18" t="s">
        <v>118</v>
      </c>
      <c r="AK68" s="18" t="s">
        <v>95</v>
      </c>
      <c r="AL68" s="18" t="s">
        <v>10910</v>
      </c>
      <c r="AM68" s="18" t="s">
        <v>85</v>
      </c>
      <c r="AN68" s="18" t="s">
        <v>7031</v>
      </c>
      <c r="AO68" s="18" t="s">
        <v>86</v>
      </c>
      <c r="AP68" s="18" t="s">
        <v>90</v>
      </c>
      <c r="AQ68" s="18" t="s">
        <v>8002</v>
      </c>
      <c r="AR68" s="18" t="s">
        <v>177</v>
      </c>
      <c r="AS68" s="18" t="s">
        <v>139</v>
      </c>
      <c r="AT68" s="18" t="s">
        <v>95</v>
      </c>
      <c r="AU68" s="18" t="s">
        <v>95</v>
      </c>
      <c r="AV68" s="18" t="s">
        <v>7037</v>
      </c>
      <c r="AW68" s="18" t="s">
        <v>95</v>
      </c>
      <c r="AX68" s="18" t="s">
        <v>10806</v>
      </c>
      <c r="AY68" s="18" t="s">
        <v>95</v>
      </c>
      <c r="AZ68" s="18" t="s">
        <v>95</v>
      </c>
      <c r="BA68" s="18" t="s">
        <v>95</v>
      </c>
      <c r="BB68" s="18" t="s">
        <v>95</v>
      </c>
      <c r="BC68" s="18" t="s">
        <v>95</v>
      </c>
      <c r="BD68" s="18" t="s">
        <v>10829</v>
      </c>
      <c r="BE68" s="18" t="s">
        <v>11355</v>
      </c>
      <c r="BF68" s="18" t="s">
        <v>10809</v>
      </c>
      <c r="BG68" s="18" t="s">
        <v>7030</v>
      </c>
      <c r="BH68" s="18"/>
      <c r="BI68" s="18"/>
      <c r="BJ68" s="18" t="s">
        <v>396</v>
      </c>
      <c r="BK68" s="18" t="s">
        <v>11356</v>
      </c>
      <c r="BL68" s="18" t="s">
        <v>10811</v>
      </c>
      <c r="BM68" s="18" t="s">
        <v>139</v>
      </c>
      <c r="BN68" s="18" t="s">
        <v>85</v>
      </c>
      <c r="BO68" s="18">
        <v>0</v>
      </c>
      <c r="BP68" s="18" t="s">
        <v>10812</v>
      </c>
      <c r="BQ68" s="18" t="str">
        <f>VLOOKUP(Prepago[[#This Row],[NOM_PLAZA]],[1]!Locales[#Data],3,0)</f>
        <v>TIENDA RECREO</v>
      </c>
      <c r="BR68" s="18" t="str">
        <f>VLOOKUP(Prepago[[#This Row],[CODIGO_USUARIO]],[1]!Personal[#Data],6,0)</f>
        <v>VINUEZA VELASCO ANGY DAYANA</v>
      </c>
      <c r="BS68" s="18">
        <f>DAY(Prepago[[#This Row],[FECHA_ALTA]])</f>
        <v>18</v>
      </c>
    </row>
    <row r="69" spans="1:71" x14ac:dyDescent="0.25">
      <c r="A69" s="18" t="s">
        <v>96</v>
      </c>
      <c r="B69" s="18" t="s">
        <v>11357</v>
      </c>
      <c r="C69" s="18" t="s">
        <v>11358</v>
      </c>
      <c r="D69" s="18" t="s">
        <v>11359</v>
      </c>
      <c r="E69" s="22">
        <v>44896</v>
      </c>
      <c r="F69" s="18" t="s">
        <v>67</v>
      </c>
      <c r="G69" s="18" t="s">
        <v>11360</v>
      </c>
      <c r="H69" s="18" t="s">
        <v>11361</v>
      </c>
      <c r="I69" s="18" t="s">
        <v>70</v>
      </c>
      <c r="J69" s="18" t="s">
        <v>8102</v>
      </c>
      <c r="K69" s="18" t="s">
        <v>8103</v>
      </c>
      <c r="L69" s="18" t="s">
        <v>73</v>
      </c>
      <c r="M69" s="18" t="s">
        <v>7037</v>
      </c>
      <c r="N69" s="18" t="s">
        <v>11362</v>
      </c>
      <c r="O69" s="18" t="s">
        <v>75</v>
      </c>
      <c r="P69" s="18" t="s">
        <v>11363</v>
      </c>
      <c r="Q69" s="18" t="s">
        <v>10817</v>
      </c>
      <c r="R69" s="18" t="s">
        <v>78</v>
      </c>
      <c r="S69" s="18" t="s">
        <v>77</v>
      </c>
      <c r="T69" s="22">
        <v>44915</v>
      </c>
      <c r="U69" s="18"/>
      <c r="V69" s="18" t="s">
        <v>81</v>
      </c>
      <c r="W69" s="18" t="s">
        <v>79</v>
      </c>
      <c r="X69" s="18" t="s">
        <v>10803</v>
      </c>
      <c r="Y69" s="18" t="s">
        <v>262</v>
      </c>
      <c r="Z69" s="18" t="s">
        <v>263</v>
      </c>
      <c r="AA69" s="18" t="s">
        <v>7062</v>
      </c>
      <c r="AB69" s="18" t="s">
        <v>95</v>
      </c>
      <c r="AC69" s="18" t="s">
        <v>7984</v>
      </c>
      <c r="AD69" s="18" t="s">
        <v>10804</v>
      </c>
      <c r="AE69" s="18" t="s">
        <v>174</v>
      </c>
      <c r="AF69" s="18" t="s">
        <v>95</v>
      </c>
      <c r="AG69" s="18" t="s">
        <v>83</v>
      </c>
      <c r="AH69" s="18" t="s">
        <v>83</v>
      </c>
      <c r="AI69" s="18" t="s">
        <v>81</v>
      </c>
      <c r="AJ69" s="18" t="s">
        <v>118</v>
      </c>
      <c r="AK69" s="18" t="s">
        <v>95</v>
      </c>
      <c r="AL69" s="18" t="s">
        <v>10883</v>
      </c>
      <c r="AM69" s="18" t="s">
        <v>85</v>
      </c>
      <c r="AN69" s="18" t="s">
        <v>7031</v>
      </c>
      <c r="AO69" s="18" t="s">
        <v>86</v>
      </c>
      <c r="AP69" s="18" t="s">
        <v>90</v>
      </c>
      <c r="AQ69" s="18" t="s">
        <v>8002</v>
      </c>
      <c r="AR69" s="18" t="s">
        <v>177</v>
      </c>
      <c r="AS69" s="18" t="s">
        <v>139</v>
      </c>
      <c r="AT69" s="18" t="s">
        <v>95</v>
      </c>
      <c r="AU69" s="18" t="s">
        <v>95</v>
      </c>
      <c r="AV69" s="18" t="s">
        <v>7037</v>
      </c>
      <c r="AW69" s="18" t="s">
        <v>95</v>
      </c>
      <c r="AX69" s="18" t="s">
        <v>10806</v>
      </c>
      <c r="AY69" s="18" t="s">
        <v>95</v>
      </c>
      <c r="AZ69" s="18" t="s">
        <v>95</v>
      </c>
      <c r="BA69" s="18" t="s">
        <v>95</v>
      </c>
      <c r="BB69" s="18" t="s">
        <v>95</v>
      </c>
      <c r="BC69" s="18" t="s">
        <v>95</v>
      </c>
      <c r="BD69" s="18" t="s">
        <v>10829</v>
      </c>
      <c r="BE69" s="18" t="s">
        <v>11364</v>
      </c>
      <c r="BF69" s="18" t="s">
        <v>10809</v>
      </c>
      <c r="BG69" s="18" t="s">
        <v>7030</v>
      </c>
      <c r="BH69" s="18"/>
      <c r="BI69" s="18"/>
      <c r="BJ69" s="18" t="s">
        <v>262</v>
      </c>
      <c r="BK69" s="18" t="s">
        <v>11365</v>
      </c>
      <c r="BL69" s="18" t="s">
        <v>10811</v>
      </c>
      <c r="BM69" s="18" t="s">
        <v>139</v>
      </c>
      <c r="BN69" s="18" t="s">
        <v>85</v>
      </c>
      <c r="BO69" s="18">
        <v>1</v>
      </c>
      <c r="BP69" s="18" t="s">
        <v>10812</v>
      </c>
      <c r="BQ69" s="18" t="str">
        <f>VLOOKUP(Prepago[[#This Row],[NOM_PLAZA]],[1]!Locales[#Data],3,0)</f>
        <v>TIENDA RECREO</v>
      </c>
      <c r="BR69" s="18" t="str">
        <f>VLOOKUP(Prepago[[#This Row],[CODIGO_USUARIO]],[1]!Personal[#Data],6,0)</f>
        <v>CHICAIZA TOAPANTA ALEX DANILO</v>
      </c>
      <c r="BS69" s="18">
        <f>DAY(Prepago[[#This Row],[FECHA_ALTA]])</f>
        <v>1</v>
      </c>
    </row>
    <row r="70" spans="1:71" x14ac:dyDescent="0.25">
      <c r="A70" s="18" t="s">
        <v>96</v>
      </c>
      <c r="B70" s="18" t="s">
        <v>11366</v>
      </c>
      <c r="C70" s="18" t="s">
        <v>11367</v>
      </c>
      <c r="D70" s="18" t="s">
        <v>11368</v>
      </c>
      <c r="E70" s="22">
        <v>44905</v>
      </c>
      <c r="F70" s="18" t="s">
        <v>67</v>
      </c>
      <c r="G70" s="18" t="s">
        <v>11369</v>
      </c>
      <c r="H70" s="18" t="s">
        <v>11370</v>
      </c>
      <c r="I70" s="18" t="s">
        <v>70</v>
      </c>
      <c r="J70" s="18" t="s">
        <v>8102</v>
      </c>
      <c r="K70" s="18" t="s">
        <v>8103</v>
      </c>
      <c r="L70" s="18" t="s">
        <v>132</v>
      </c>
      <c r="M70" s="18" t="s">
        <v>7037</v>
      </c>
      <c r="N70" s="18" t="s">
        <v>11371</v>
      </c>
      <c r="O70" s="18" t="s">
        <v>75</v>
      </c>
      <c r="P70" s="18" t="s">
        <v>11372</v>
      </c>
      <c r="Q70" s="18" t="s">
        <v>1532</v>
      </c>
      <c r="R70" s="18" t="s">
        <v>78</v>
      </c>
      <c r="S70" s="18" t="s">
        <v>77</v>
      </c>
      <c r="T70" s="22">
        <v>44915</v>
      </c>
      <c r="U70" s="18"/>
      <c r="V70" s="18" t="s">
        <v>81</v>
      </c>
      <c r="W70" s="18" t="s">
        <v>79</v>
      </c>
      <c r="X70" s="18" t="s">
        <v>10803</v>
      </c>
      <c r="Y70" s="18" t="s">
        <v>369</v>
      </c>
      <c r="Z70" s="18" t="s">
        <v>370</v>
      </c>
      <c r="AA70" s="18" t="s">
        <v>7062</v>
      </c>
      <c r="AB70" s="18" t="s">
        <v>95</v>
      </c>
      <c r="AC70" s="18" t="s">
        <v>7984</v>
      </c>
      <c r="AD70" s="18" t="s">
        <v>10804</v>
      </c>
      <c r="AE70" s="18" t="s">
        <v>174</v>
      </c>
      <c r="AF70" s="18" t="s">
        <v>95</v>
      </c>
      <c r="AG70" s="18" t="s">
        <v>83</v>
      </c>
      <c r="AH70" s="18" t="s">
        <v>83</v>
      </c>
      <c r="AI70" s="18" t="s">
        <v>81</v>
      </c>
      <c r="AJ70" s="18" t="s">
        <v>118</v>
      </c>
      <c r="AK70" s="18" t="s">
        <v>95</v>
      </c>
      <c r="AL70" s="18" t="s">
        <v>11062</v>
      </c>
      <c r="AM70" s="18" t="s">
        <v>85</v>
      </c>
      <c r="AN70" s="18" t="s">
        <v>7031</v>
      </c>
      <c r="AO70" s="18" t="s">
        <v>86</v>
      </c>
      <c r="AP70" s="18" t="s">
        <v>90</v>
      </c>
      <c r="AQ70" s="18" t="s">
        <v>8002</v>
      </c>
      <c r="AR70" s="18" t="s">
        <v>177</v>
      </c>
      <c r="AS70" s="18" t="s">
        <v>139</v>
      </c>
      <c r="AT70" s="18" t="s">
        <v>95</v>
      </c>
      <c r="AU70" s="18" t="s">
        <v>95</v>
      </c>
      <c r="AV70" s="18" t="s">
        <v>7037</v>
      </c>
      <c r="AW70" s="18" t="s">
        <v>95</v>
      </c>
      <c r="AX70" s="18" t="s">
        <v>10806</v>
      </c>
      <c r="AY70" s="18" t="s">
        <v>95</v>
      </c>
      <c r="AZ70" s="18" t="s">
        <v>95</v>
      </c>
      <c r="BA70" s="18" t="s">
        <v>95</v>
      </c>
      <c r="BB70" s="18" t="s">
        <v>95</v>
      </c>
      <c r="BC70" s="18" t="s">
        <v>95</v>
      </c>
      <c r="BD70" s="18" t="s">
        <v>10807</v>
      </c>
      <c r="BE70" s="18" t="s">
        <v>11373</v>
      </c>
      <c r="BF70" s="18" t="s">
        <v>10809</v>
      </c>
      <c r="BG70" s="18" t="s">
        <v>7030</v>
      </c>
      <c r="BH70" s="18"/>
      <c r="BI70" s="18"/>
      <c r="BJ70" s="18" t="s">
        <v>369</v>
      </c>
      <c r="BK70" s="18" t="s">
        <v>11374</v>
      </c>
      <c r="BL70" s="18" t="s">
        <v>10811</v>
      </c>
      <c r="BM70" s="18" t="s">
        <v>139</v>
      </c>
      <c r="BN70" s="18" t="s">
        <v>85</v>
      </c>
      <c r="BO70" s="18">
        <v>0</v>
      </c>
      <c r="BP70" s="18" t="s">
        <v>10812</v>
      </c>
      <c r="BQ70" s="18" t="str">
        <f>VLOOKUP(Prepago[[#This Row],[NOM_PLAZA]],[1]!Locales[#Data],3,0)</f>
        <v>TIENDA RECREO</v>
      </c>
      <c r="BR70" s="18" t="str">
        <f>VLOOKUP(Prepago[[#This Row],[CODIGO_USUARIO]],[1]!Personal[#Data],6,0)</f>
        <v>GUAIGUA REINOSO GENESIS CAROLINA</v>
      </c>
      <c r="BS70" s="18">
        <f>DAY(Prepago[[#This Row],[FECHA_ALTA]])</f>
        <v>10</v>
      </c>
    </row>
    <row r="71" spans="1:71" x14ac:dyDescent="0.25">
      <c r="A71" s="18" t="s">
        <v>96</v>
      </c>
      <c r="B71" s="18" t="s">
        <v>11375</v>
      </c>
      <c r="C71" s="18" t="s">
        <v>11376</v>
      </c>
      <c r="D71" s="18" t="s">
        <v>11377</v>
      </c>
      <c r="E71" s="22">
        <v>44909</v>
      </c>
      <c r="F71" s="18" t="s">
        <v>67</v>
      </c>
      <c r="G71" s="18" t="s">
        <v>11378</v>
      </c>
      <c r="H71" s="18" t="s">
        <v>11379</v>
      </c>
      <c r="I71" s="18" t="s">
        <v>70</v>
      </c>
      <c r="J71" s="18" t="s">
        <v>8102</v>
      </c>
      <c r="K71" s="18" t="s">
        <v>8103</v>
      </c>
      <c r="L71" s="18" t="s">
        <v>196</v>
      </c>
      <c r="M71" s="18" t="s">
        <v>7037</v>
      </c>
      <c r="N71" s="18" t="s">
        <v>11380</v>
      </c>
      <c r="O71" s="18" t="s">
        <v>75</v>
      </c>
      <c r="P71" s="18" t="s">
        <v>11381</v>
      </c>
      <c r="Q71" s="18" t="s">
        <v>10817</v>
      </c>
      <c r="R71" s="18" t="s">
        <v>78</v>
      </c>
      <c r="S71" s="18" t="s">
        <v>77</v>
      </c>
      <c r="T71" s="22">
        <v>44915</v>
      </c>
      <c r="U71" s="18"/>
      <c r="V71" s="18" t="s">
        <v>81</v>
      </c>
      <c r="W71" s="18" t="s">
        <v>79</v>
      </c>
      <c r="X71" s="18" t="s">
        <v>10803</v>
      </c>
      <c r="Y71" s="18" t="s">
        <v>262</v>
      </c>
      <c r="Z71" s="18" t="s">
        <v>263</v>
      </c>
      <c r="AA71" s="18" t="s">
        <v>7062</v>
      </c>
      <c r="AB71" s="18" t="s">
        <v>95</v>
      </c>
      <c r="AC71" s="18" t="s">
        <v>7984</v>
      </c>
      <c r="AD71" s="18" t="s">
        <v>10804</v>
      </c>
      <c r="AE71" s="18" t="s">
        <v>174</v>
      </c>
      <c r="AF71" s="18" t="s">
        <v>95</v>
      </c>
      <c r="AG71" s="18" t="s">
        <v>83</v>
      </c>
      <c r="AH71" s="18" t="s">
        <v>83</v>
      </c>
      <c r="AI71" s="18" t="s">
        <v>81</v>
      </c>
      <c r="AJ71" s="18" t="s">
        <v>118</v>
      </c>
      <c r="AK71" s="18" t="s">
        <v>95</v>
      </c>
      <c r="AL71" s="18" t="s">
        <v>10883</v>
      </c>
      <c r="AM71" s="18" t="s">
        <v>85</v>
      </c>
      <c r="AN71" s="18" t="s">
        <v>7031</v>
      </c>
      <c r="AO71" s="18" t="s">
        <v>86</v>
      </c>
      <c r="AP71" s="18" t="s">
        <v>90</v>
      </c>
      <c r="AQ71" s="18" t="s">
        <v>8002</v>
      </c>
      <c r="AR71" s="18" t="s">
        <v>177</v>
      </c>
      <c r="AS71" s="18" t="s">
        <v>139</v>
      </c>
      <c r="AT71" s="18" t="s">
        <v>95</v>
      </c>
      <c r="AU71" s="18" t="s">
        <v>95</v>
      </c>
      <c r="AV71" s="18" t="s">
        <v>7037</v>
      </c>
      <c r="AW71" s="18" t="s">
        <v>95</v>
      </c>
      <c r="AX71" s="18" t="s">
        <v>10806</v>
      </c>
      <c r="AY71" s="18" t="s">
        <v>95</v>
      </c>
      <c r="AZ71" s="18" t="s">
        <v>95</v>
      </c>
      <c r="BA71" s="18" t="s">
        <v>95</v>
      </c>
      <c r="BB71" s="18" t="s">
        <v>95</v>
      </c>
      <c r="BC71" s="18" t="s">
        <v>95</v>
      </c>
      <c r="BD71" s="18" t="s">
        <v>10829</v>
      </c>
      <c r="BE71" s="18" t="s">
        <v>11382</v>
      </c>
      <c r="BF71" s="18" t="s">
        <v>10809</v>
      </c>
      <c r="BG71" s="18" t="s">
        <v>7030</v>
      </c>
      <c r="BH71" s="18"/>
      <c r="BI71" s="18"/>
      <c r="BJ71" s="18" t="s">
        <v>262</v>
      </c>
      <c r="BK71" s="18" t="s">
        <v>11383</v>
      </c>
      <c r="BL71" s="18" t="s">
        <v>10811</v>
      </c>
      <c r="BM71" s="18" t="s">
        <v>139</v>
      </c>
      <c r="BN71" s="18" t="s">
        <v>85</v>
      </c>
      <c r="BO71" s="18">
        <v>0</v>
      </c>
      <c r="BP71" s="18" t="s">
        <v>10812</v>
      </c>
      <c r="BQ71" s="18" t="str">
        <f>VLOOKUP(Prepago[[#This Row],[NOM_PLAZA]],[1]!Locales[#Data],3,0)</f>
        <v>TIENDA RECREO</v>
      </c>
      <c r="BR71" s="18" t="str">
        <f>VLOOKUP(Prepago[[#This Row],[CODIGO_USUARIO]],[1]!Personal[#Data],6,0)</f>
        <v>CHICAIZA TOAPANTA ALEX DANILO</v>
      </c>
      <c r="BS71" s="18">
        <f>DAY(Prepago[[#This Row],[FECHA_ALTA]])</f>
        <v>14</v>
      </c>
    </row>
    <row r="72" spans="1:71" x14ac:dyDescent="0.25">
      <c r="A72" s="18" t="s">
        <v>96</v>
      </c>
      <c r="B72" s="18" t="s">
        <v>11384</v>
      </c>
      <c r="C72" s="18" t="s">
        <v>11385</v>
      </c>
      <c r="D72" s="18" t="s">
        <v>11386</v>
      </c>
      <c r="E72" s="22">
        <v>44907</v>
      </c>
      <c r="F72" s="18" t="s">
        <v>67</v>
      </c>
      <c r="G72" s="18" t="s">
        <v>11387</v>
      </c>
      <c r="H72" s="18" t="s">
        <v>11388</v>
      </c>
      <c r="I72" s="18" t="s">
        <v>193</v>
      </c>
      <c r="J72" s="18" t="s">
        <v>8102</v>
      </c>
      <c r="K72" s="18" t="s">
        <v>8103</v>
      </c>
      <c r="L72" s="18" t="s">
        <v>132</v>
      </c>
      <c r="M72" s="18" t="s">
        <v>7037</v>
      </c>
      <c r="N72" s="18" t="s">
        <v>11389</v>
      </c>
      <c r="O72" s="18" t="s">
        <v>75</v>
      </c>
      <c r="P72" s="18" t="s">
        <v>11390</v>
      </c>
      <c r="Q72" s="18" t="s">
        <v>10817</v>
      </c>
      <c r="R72" s="18" t="s">
        <v>78</v>
      </c>
      <c r="S72" s="18" t="s">
        <v>77</v>
      </c>
      <c r="T72" s="22">
        <v>44915</v>
      </c>
      <c r="U72" s="18"/>
      <c r="V72" s="18" t="s">
        <v>81</v>
      </c>
      <c r="W72" s="18" t="s">
        <v>79</v>
      </c>
      <c r="X72" s="18" t="s">
        <v>10803</v>
      </c>
      <c r="Y72" s="18" t="s">
        <v>457</v>
      </c>
      <c r="Z72" s="18" t="s">
        <v>458</v>
      </c>
      <c r="AA72" s="18" t="s">
        <v>457</v>
      </c>
      <c r="AB72" s="18" t="s">
        <v>458</v>
      </c>
      <c r="AC72" s="18" t="s">
        <v>7984</v>
      </c>
      <c r="AD72" s="18" t="s">
        <v>10804</v>
      </c>
      <c r="AE72" s="18" t="s">
        <v>174</v>
      </c>
      <c r="AF72" s="18" t="s">
        <v>95</v>
      </c>
      <c r="AG72" s="18" t="s">
        <v>83</v>
      </c>
      <c r="AH72" s="18" t="s">
        <v>83</v>
      </c>
      <c r="AI72" s="18" t="s">
        <v>81</v>
      </c>
      <c r="AJ72" s="18" t="s">
        <v>118</v>
      </c>
      <c r="AK72" s="18" t="s">
        <v>95</v>
      </c>
      <c r="AL72" s="18" t="s">
        <v>11391</v>
      </c>
      <c r="AM72" s="18" t="s">
        <v>85</v>
      </c>
      <c r="AN72" s="18" t="s">
        <v>7031</v>
      </c>
      <c r="AO72" s="18" t="s">
        <v>86</v>
      </c>
      <c r="AP72" s="18" t="s">
        <v>90</v>
      </c>
      <c r="AQ72" s="18" t="s">
        <v>8002</v>
      </c>
      <c r="AR72" s="18" t="s">
        <v>177</v>
      </c>
      <c r="AS72" s="18" t="s">
        <v>139</v>
      </c>
      <c r="AT72" s="18" t="s">
        <v>95</v>
      </c>
      <c r="AU72" s="18" t="s">
        <v>95</v>
      </c>
      <c r="AV72" s="18" t="s">
        <v>7037</v>
      </c>
      <c r="AW72" s="18" t="s">
        <v>95</v>
      </c>
      <c r="AX72" s="18" t="s">
        <v>10806</v>
      </c>
      <c r="AY72" s="18" t="s">
        <v>95</v>
      </c>
      <c r="AZ72" s="18" t="s">
        <v>95</v>
      </c>
      <c r="BA72" s="18" t="s">
        <v>95</v>
      </c>
      <c r="BB72" s="18" t="s">
        <v>95</v>
      </c>
      <c r="BC72" s="18" t="s">
        <v>95</v>
      </c>
      <c r="BD72" s="18" t="s">
        <v>10829</v>
      </c>
      <c r="BE72" s="18" t="s">
        <v>11392</v>
      </c>
      <c r="BF72" s="18" t="s">
        <v>10809</v>
      </c>
      <c r="BG72" s="18" t="s">
        <v>7030</v>
      </c>
      <c r="BH72" s="18"/>
      <c r="BI72" s="18"/>
      <c r="BJ72" s="18" t="s">
        <v>457</v>
      </c>
      <c r="BK72" s="18" t="s">
        <v>11393</v>
      </c>
      <c r="BL72" s="18" t="s">
        <v>10811</v>
      </c>
      <c r="BM72" s="18" t="s">
        <v>139</v>
      </c>
      <c r="BN72" s="18" t="s">
        <v>85</v>
      </c>
      <c r="BO72" s="18">
        <v>1</v>
      </c>
      <c r="BP72" s="18" t="s">
        <v>10812</v>
      </c>
      <c r="BQ72" s="18" t="str">
        <f>VLOOKUP(Prepago[[#This Row],[NOM_PLAZA]],[1]!Locales[#Data],3,0)</f>
        <v>TIENDA RECREO</v>
      </c>
      <c r="BR72" s="18" t="str">
        <f>VLOOKUP(Prepago[[#This Row],[CODIGO_USUARIO]],[1]!Personal[#Data],6,0)</f>
        <v>LOZADA REYES BERTHA MARIBEL</v>
      </c>
      <c r="BS72" s="18">
        <f>DAY(Prepago[[#This Row],[FECHA_ALTA]])</f>
        <v>12</v>
      </c>
    </row>
    <row r="73" spans="1:71" x14ac:dyDescent="0.25">
      <c r="A73" s="18" t="s">
        <v>96</v>
      </c>
      <c r="B73" s="18" t="s">
        <v>11394</v>
      </c>
      <c r="C73" s="18" t="s">
        <v>11395</v>
      </c>
      <c r="D73" s="18" t="s">
        <v>11396</v>
      </c>
      <c r="E73" s="22">
        <v>44914</v>
      </c>
      <c r="F73" s="18" t="s">
        <v>67</v>
      </c>
      <c r="G73" s="18" t="s">
        <v>11397</v>
      </c>
      <c r="H73" s="18" t="s">
        <v>11398</v>
      </c>
      <c r="I73" s="18" t="s">
        <v>70</v>
      </c>
      <c r="J73" s="18" t="s">
        <v>8102</v>
      </c>
      <c r="K73" s="18" t="s">
        <v>8103</v>
      </c>
      <c r="L73" s="18" t="s">
        <v>73</v>
      </c>
      <c r="M73" s="18" t="s">
        <v>7029</v>
      </c>
      <c r="N73" s="18" t="s">
        <v>11399</v>
      </c>
      <c r="O73" s="18" t="s">
        <v>75</v>
      </c>
      <c r="P73" s="18" t="s">
        <v>11400</v>
      </c>
      <c r="Q73" s="18" t="s">
        <v>1532</v>
      </c>
      <c r="R73" s="18" t="s">
        <v>78</v>
      </c>
      <c r="S73" s="18" t="s">
        <v>77</v>
      </c>
      <c r="T73" s="22">
        <v>44915</v>
      </c>
      <c r="U73" s="18"/>
      <c r="V73" s="18" t="s">
        <v>81</v>
      </c>
      <c r="W73" s="18" t="s">
        <v>79</v>
      </c>
      <c r="X73" s="18" t="s">
        <v>10803</v>
      </c>
      <c r="Y73" s="18" t="s">
        <v>251</v>
      </c>
      <c r="Z73" s="18" t="s">
        <v>252</v>
      </c>
      <c r="AA73" s="18" t="s">
        <v>7062</v>
      </c>
      <c r="AB73" s="18" t="s">
        <v>95</v>
      </c>
      <c r="AC73" s="18" t="s">
        <v>7984</v>
      </c>
      <c r="AD73" s="18" t="s">
        <v>10804</v>
      </c>
      <c r="AE73" s="18" t="s">
        <v>174</v>
      </c>
      <c r="AF73" s="18" t="s">
        <v>95</v>
      </c>
      <c r="AG73" s="18" t="s">
        <v>83</v>
      </c>
      <c r="AH73" s="18" t="s">
        <v>83</v>
      </c>
      <c r="AI73" s="18" t="s">
        <v>81</v>
      </c>
      <c r="AJ73" s="18" t="s">
        <v>118</v>
      </c>
      <c r="AK73" s="18" t="s">
        <v>95</v>
      </c>
      <c r="AL73" s="18" t="s">
        <v>10864</v>
      </c>
      <c r="AM73" s="18" t="s">
        <v>85</v>
      </c>
      <c r="AN73" s="18" t="s">
        <v>7031</v>
      </c>
      <c r="AO73" s="18" t="s">
        <v>86</v>
      </c>
      <c r="AP73" s="18" t="s">
        <v>90</v>
      </c>
      <c r="AQ73" s="18" t="s">
        <v>8002</v>
      </c>
      <c r="AR73" s="18" t="s">
        <v>177</v>
      </c>
      <c r="AS73" s="18" t="s">
        <v>139</v>
      </c>
      <c r="AT73" s="18" t="s">
        <v>95</v>
      </c>
      <c r="AU73" s="18" t="s">
        <v>95</v>
      </c>
      <c r="AV73" s="18" t="s">
        <v>7029</v>
      </c>
      <c r="AW73" s="18" t="s">
        <v>95</v>
      </c>
      <c r="AX73" s="18" t="s">
        <v>10806</v>
      </c>
      <c r="AY73" s="18" t="s">
        <v>95</v>
      </c>
      <c r="AZ73" s="18" t="s">
        <v>95</v>
      </c>
      <c r="BA73" s="18" t="s">
        <v>95</v>
      </c>
      <c r="BB73" s="18" t="s">
        <v>95</v>
      </c>
      <c r="BC73" s="18" t="s">
        <v>95</v>
      </c>
      <c r="BD73" s="18" t="s">
        <v>10829</v>
      </c>
      <c r="BE73" s="18" t="s">
        <v>10808</v>
      </c>
      <c r="BF73" s="18" t="s">
        <v>10809</v>
      </c>
      <c r="BG73" s="18" t="s">
        <v>7030</v>
      </c>
      <c r="BH73" s="18"/>
      <c r="BI73" s="18"/>
      <c r="BJ73" s="18" t="s">
        <v>251</v>
      </c>
      <c r="BK73" s="18" t="s">
        <v>11401</v>
      </c>
      <c r="BL73" s="18" t="s">
        <v>10811</v>
      </c>
      <c r="BM73" s="18" t="s">
        <v>92</v>
      </c>
      <c r="BN73" s="18" t="s">
        <v>85</v>
      </c>
      <c r="BO73" s="18">
        <v>0</v>
      </c>
      <c r="BP73" s="18" t="s">
        <v>10812</v>
      </c>
      <c r="BQ73" s="18" t="str">
        <f>VLOOKUP(Prepago[[#This Row],[NOM_PLAZA]],[1]!Locales[#Data],3,0)</f>
        <v>TIENDA RECREO</v>
      </c>
      <c r="BR73" s="18" t="str">
        <f>VLOOKUP(Prepago[[#This Row],[CODIGO_USUARIO]],[1]!Personal[#Data],6,0)</f>
        <v>CRUZ MONTUFAR KATHERINE ALEJANDRA</v>
      </c>
      <c r="BS73" s="18">
        <f>DAY(Prepago[[#This Row],[FECHA_ALTA]])</f>
        <v>19</v>
      </c>
    </row>
    <row r="74" spans="1:71" x14ac:dyDescent="0.25">
      <c r="A74" s="18" t="s">
        <v>96</v>
      </c>
      <c r="B74" s="18" t="s">
        <v>11402</v>
      </c>
      <c r="C74" s="18" t="s">
        <v>11403</v>
      </c>
      <c r="D74" s="18" t="s">
        <v>11404</v>
      </c>
      <c r="E74" s="22">
        <v>44906</v>
      </c>
      <c r="F74" s="18" t="s">
        <v>67</v>
      </c>
      <c r="G74" s="18" t="s">
        <v>11405</v>
      </c>
      <c r="H74" s="18" t="s">
        <v>11406</v>
      </c>
      <c r="I74" s="18" t="s">
        <v>70</v>
      </c>
      <c r="J74" s="18" t="s">
        <v>8102</v>
      </c>
      <c r="K74" s="18" t="s">
        <v>8103</v>
      </c>
      <c r="L74" s="18" t="s">
        <v>132</v>
      </c>
      <c r="M74" s="18" t="s">
        <v>7037</v>
      </c>
      <c r="N74" s="18" t="s">
        <v>11407</v>
      </c>
      <c r="O74" s="18" t="s">
        <v>75</v>
      </c>
      <c r="P74" s="18" t="s">
        <v>11408</v>
      </c>
      <c r="Q74" s="18" t="s">
        <v>10817</v>
      </c>
      <c r="R74" s="18" t="s">
        <v>78</v>
      </c>
      <c r="S74" s="18" t="s">
        <v>77</v>
      </c>
      <c r="T74" s="22">
        <v>44915</v>
      </c>
      <c r="U74" s="18"/>
      <c r="V74" s="18" t="s">
        <v>81</v>
      </c>
      <c r="W74" s="18" t="s">
        <v>79</v>
      </c>
      <c r="X74" s="18" t="s">
        <v>10803</v>
      </c>
      <c r="Y74" s="18" t="s">
        <v>303</v>
      </c>
      <c r="Z74" s="18" t="s">
        <v>304</v>
      </c>
      <c r="AA74" s="18" t="s">
        <v>7062</v>
      </c>
      <c r="AB74" s="18" t="s">
        <v>95</v>
      </c>
      <c r="AC74" s="18" t="s">
        <v>7984</v>
      </c>
      <c r="AD74" s="18" t="s">
        <v>10804</v>
      </c>
      <c r="AE74" s="18" t="s">
        <v>174</v>
      </c>
      <c r="AF74" s="18" t="s">
        <v>95</v>
      </c>
      <c r="AG74" s="18" t="s">
        <v>83</v>
      </c>
      <c r="AH74" s="18" t="s">
        <v>83</v>
      </c>
      <c r="AI74" s="18" t="s">
        <v>81</v>
      </c>
      <c r="AJ74" s="18" t="s">
        <v>118</v>
      </c>
      <c r="AK74" s="18" t="s">
        <v>95</v>
      </c>
      <c r="AL74" s="18" t="s">
        <v>10805</v>
      </c>
      <c r="AM74" s="18" t="s">
        <v>85</v>
      </c>
      <c r="AN74" s="18" t="s">
        <v>7031</v>
      </c>
      <c r="AO74" s="18" t="s">
        <v>86</v>
      </c>
      <c r="AP74" s="18" t="s">
        <v>90</v>
      </c>
      <c r="AQ74" s="18" t="s">
        <v>8002</v>
      </c>
      <c r="AR74" s="18" t="s">
        <v>177</v>
      </c>
      <c r="AS74" s="18" t="s">
        <v>139</v>
      </c>
      <c r="AT74" s="18" t="s">
        <v>95</v>
      </c>
      <c r="AU74" s="18" t="s">
        <v>95</v>
      </c>
      <c r="AV74" s="18" t="s">
        <v>7037</v>
      </c>
      <c r="AW74" s="18" t="s">
        <v>95</v>
      </c>
      <c r="AX74" s="18" t="s">
        <v>10806</v>
      </c>
      <c r="AY74" s="18" t="s">
        <v>95</v>
      </c>
      <c r="AZ74" s="18" t="s">
        <v>95</v>
      </c>
      <c r="BA74" s="18" t="s">
        <v>95</v>
      </c>
      <c r="BB74" s="18" t="s">
        <v>95</v>
      </c>
      <c r="BC74" s="18" t="s">
        <v>95</v>
      </c>
      <c r="BD74" s="18" t="s">
        <v>10829</v>
      </c>
      <c r="BE74" s="18" t="s">
        <v>11409</v>
      </c>
      <c r="BF74" s="18" t="s">
        <v>10809</v>
      </c>
      <c r="BG74" s="18" t="s">
        <v>7030</v>
      </c>
      <c r="BH74" s="18"/>
      <c r="BI74" s="18"/>
      <c r="BJ74" s="18" t="s">
        <v>303</v>
      </c>
      <c r="BK74" s="18" t="s">
        <v>11410</v>
      </c>
      <c r="BL74" s="18" t="s">
        <v>10811</v>
      </c>
      <c r="BM74" s="18" t="s">
        <v>139</v>
      </c>
      <c r="BN74" s="18" t="s">
        <v>85</v>
      </c>
      <c r="BO74" s="18">
        <v>0</v>
      </c>
      <c r="BP74" s="18" t="s">
        <v>10812</v>
      </c>
      <c r="BQ74" s="18" t="str">
        <f>VLOOKUP(Prepago[[#This Row],[NOM_PLAZA]],[1]!Locales[#Data],3,0)</f>
        <v>TIENDA RECREO</v>
      </c>
      <c r="BR74" s="18" t="str">
        <f>VLOOKUP(Prepago[[#This Row],[CODIGO_USUARIO]],[1]!Personal[#Data],6,0)</f>
        <v>CORDOVA GAIBOR JONATHAN HERNAN</v>
      </c>
      <c r="BS74" s="18">
        <f>DAY(Prepago[[#This Row],[FECHA_ALTA]])</f>
        <v>11</v>
      </c>
    </row>
    <row r="75" spans="1:71" x14ac:dyDescent="0.25">
      <c r="A75" s="18" t="s">
        <v>96</v>
      </c>
      <c r="B75" s="18" t="s">
        <v>11411</v>
      </c>
      <c r="C75" s="18" t="s">
        <v>11412</v>
      </c>
      <c r="D75" s="18" t="s">
        <v>11413</v>
      </c>
      <c r="E75" s="22">
        <v>44902</v>
      </c>
      <c r="F75" s="18" t="s">
        <v>67</v>
      </c>
      <c r="G75" s="18" t="s">
        <v>11414</v>
      </c>
      <c r="H75" s="18" t="s">
        <v>11415</v>
      </c>
      <c r="I75" s="18" t="s">
        <v>70</v>
      </c>
      <c r="J75" s="18" t="s">
        <v>8102</v>
      </c>
      <c r="K75" s="18" t="s">
        <v>8103</v>
      </c>
      <c r="L75" s="18" t="s">
        <v>3032</v>
      </c>
      <c r="M75" s="18" t="s">
        <v>7037</v>
      </c>
      <c r="N75" s="18" t="s">
        <v>11416</v>
      </c>
      <c r="O75" s="18" t="s">
        <v>75</v>
      </c>
      <c r="P75" s="18" t="s">
        <v>11417</v>
      </c>
      <c r="Q75" s="18" t="s">
        <v>4453</v>
      </c>
      <c r="R75" s="18" t="s">
        <v>78</v>
      </c>
      <c r="S75" s="18" t="s">
        <v>77</v>
      </c>
      <c r="T75" s="22">
        <v>44915</v>
      </c>
      <c r="U75" s="18"/>
      <c r="V75" s="18" t="s">
        <v>81</v>
      </c>
      <c r="W75" s="18" t="s">
        <v>79</v>
      </c>
      <c r="X75" s="18" t="s">
        <v>10803</v>
      </c>
      <c r="Y75" s="18" t="s">
        <v>251</v>
      </c>
      <c r="Z75" s="18" t="s">
        <v>252</v>
      </c>
      <c r="AA75" s="18" t="s">
        <v>7062</v>
      </c>
      <c r="AB75" s="18" t="s">
        <v>95</v>
      </c>
      <c r="AC75" s="18" t="s">
        <v>7984</v>
      </c>
      <c r="AD75" s="18" t="s">
        <v>10804</v>
      </c>
      <c r="AE75" s="18" t="s">
        <v>174</v>
      </c>
      <c r="AF75" s="18" t="s">
        <v>95</v>
      </c>
      <c r="AG75" s="18" t="s">
        <v>83</v>
      </c>
      <c r="AH75" s="18" t="s">
        <v>83</v>
      </c>
      <c r="AI75" s="18" t="s">
        <v>81</v>
      </c>
      <c r="AJ75" s="18" t="s">
        <v>118</v>
      </c>
      <c r="AK75" s="18" t="s">
        <v>95</v>
      </c>
      <c r="AL75" s="18" t="s">
        <v>10864</v>
      </c>
      <c r="AM75" s="18" t="s">
        <v>85</v>
      </c>
      <c r="AN75" s="18" t="s">
        <v>7031</v>
      </c>
      <c r="AO75" s="18" t="s">
        <v>86</v>
      </c>
      <c r="AP75" s="18" t="s">
        <v>90</v>
      </c>
      <c r="AQ75" s="18" t="s">
        <v>8002</v>
      </c>
      <c r="AR75" s="18" t="s">
        <v>177</v>
      </c>
      <c r="AS75" s="18" t="s">
        <v>139</v>
      </c>
      <c r="AT75" s="18" t="s">
        <v>95</v>
      </c>
      <c r="AU75" s="18" t="s">
        <v>95</v>
      </c>
      <c r="AV75" s="18" t="s">
        <v>7037</v>
      </c>
      <c r="AW75" s="18" t="s">
        <v>95</v>
      </c>
      <c r="AX75" s="18" t="s">
        <v>10806</v>
      </c>
      <c r="AY75" s="18" t="s">
        <v>95</v>
      </c>
      <c r="AZ75" s="18" t="s">
        <v>95</v>
      </c>
      <c r="BA75" s="18" t="s">
        <v>95</v>
      </c>
      <c r="BB75" s="18" t="s">
        <v>95</v>
      </c>
      <c r="BC75" s="18" t="s">
        <v>95</v>
      </c>
      <c r="BD75" s="18" t="s">
        <v>10829</v>
      </c>
      <c r="BE75" s="18" t="s">
        <v>11418</v>
      </c>
      <c r="BF75" s="18" t="s">
        <v>10809</v>
      </c>
      <c r="BG75" s="18" t="s">
        <v>7030</v>
      </c>
      <c r="BH75" s="18"/>
      <c r="BI75" s="18"/>
      <c r="BJ75" s="18" t="s">
        <v>251</v>
      </c>
      <c r="BK75" s="18" t="s">
        <v>11419</v>
      </c>
      <c r="BL75" s="18" t="s">
        <v>10811</v>
      </c>
      <c r="BM75" s="18" t="s">
        <v>139</v>
      </c>
      <c r="BN75" s="18" t="s">
        <v>85</v>
      </c>
      <c r="BO75" s="18">
        <v>0</v>
      </c>
      <c r="BP75" s="18" t="s">
        <v>10812</v>
      </c>
      <c r="BQ75" s="18" t="str">
        <f>VLOOKUP(Prepago[[#This Row],[NOM_PLAZA]],[1]!Locales[#Data],3,0)</f>
        <v>TIENDA RECREO</v>
      </c>
      <c r="BR75" s="18" t="str">
        <f>VLOOKUP(Prepago[[#This Row],[CODIGO_USUARIO]],[1]!Personal[#Data],6,0)</f>
        <v>CRUZ MONTUFAR KATHERINE ALEJANDRA</v>
      </c>
      <c r="BS75" s="18">
        <f>DAY(Prepago[[#This Row],[FECHA_ALTA]])</f>
        <v>7</v>
      </c>
    </row>
    <row r="76" spans="1:71" x14ac:dyDescent="0.25">
      <c r="A76" s="18" t="s">
        <v>96</v>
      </c>
      <c r="B76" s="18" t="s">
        <v>11420</v>
      </c>
      <c r="C76" s="18" t="s">
        <v>11421</v>
      </c>
      <c r="D76" s="18" t="s">
        <v>11422</v>
      </c>
      <c r="E76" s="22">
        <v>44913</v>
      </c>
      <c r="F76" s="18" t="s">
        <v>67</v>
      </c>
      <c r="G76" s="18" t="s">
        <v>11423</v>
      </c>
      <c r="H76" s="18" t="s">
        <v>11424</v>
      </c>
      <c r="I76" s="18" t="s">
        <v>70</v>
      </c>
      <c r="J76" s="18" t="s">
        <v>8102</v>
      </c>
      <c r="K76" s="18" t="s">
        <v>8103</v>
      </c>
      <c r="L76" s="18" t="s">
        <v>132</v>
      </c>
      <c r="M76" s="18" t="s">
        <v>7037</v>
      </c>
      <c r="N76" s="18" t="s">
        <v>11425</v>
      </c>
      <c r="O76" s="18" t="s">
        <v>75</v>
      </c>
      <c r="P76" s="18" t="s">
        <v>11426</v>
      </c>
      <c r="Q76" s="18" t="s">
        <v>10817</v>
      </c>
      <c r="R76" s="18" t="s">
        <v>78</v>
      </c>
      <c r="S76" s="18" t="s">
        <v>77</v>
      </c>
      <c r="T76" s="22">
        <v>44915</v>
      </c>
      <c r="U76" s="18"/>
      <c r="V76" s="18" t="s">
        <v>81</v>
      </c>
      <c r="W76" s="18" t="s">
        <v>79</v>
      </c>
      <c r="X76" s="18" t="s">
        <v>10803</v>
      </c>
      <c r="Y76" s="18" t="s">
        <v>251</v>
      </c>
      <c r="Z76" s="18" t="s">
        <v>252</v>
      </c>
      <c r="AA76" s="18" t="s">
        <v>7062</v>
      </c>
      <c r="AB76" s="18" t="s">
        <v>95</v>
      </c>
      <c r="AC76" s="18" t="s">
        <v>7984</v>
      </c>
      <c r="AD76" s="18" t="s">
        <v>10804</v>
      </c>
      <c r="AE76" s="18" t="s">
        <v>174</v>
      </c>
      <c r="AF76" s="18" t="s">
        <v>95</v>
      </c>
      <c r="AG76" s="18" t="s">
        <v>83</v>
      </c>
      <c r="AH76" s="18" t="s">
        <v>83</v>
      </c>
      <c r="AI76" s="18" t="s">
        <v>81</v>
      </c>
      <c r="AJ76" s="18" t="s">
        <v>118</v>
      </c>
      <c r="AK76" s="18" t="s">
        <v>95</v>
      </c>
      <c r="AL76" s="18" t="s">
        <v>10864</v>
      </c>
      <c r="AM76" s="18" t="s">
        <v>85</v>
      </c>
      <c r="AN76" s="18" t="s">
        <v>7031</v>
      </c>
      <c r="AO76" s="18" t="s">
        <v>86</v>
      </c>
      <c r="AP76" s="18" t="s">
        <v>90</v>
      </c>
      <c r="AQ76" s="18" t="s">
        <v>8002</v>
      </c>
      <c r="AR76" s="18" t="s">
        <v>177</v>
      </c>
      <c r="AS76" s="18" t="s">
        <v>139</v>
      </c>
      <c r="AT76" s="18" t="s">
        <v>95</v>
      </c>
      <c r="AU76" s="18" t="s">
        <v>95</v>
      </c>
      <c r="AV76" s="18" t="s">
        <v>7037</v>
      </c>
      <c r="AW76" s="18" t="s">
        <v>95</v>
      </c>
      <c r="AX76" s="18" t="s">
        <v>10806</v>
      </c>
      <c r="AY76" s="18" t="s">
        <v>95</v>
      </c>
      <c r="AZ76" s="18" t="s">
        <v>95</v>
      </c>
      <c r="BA76" s="18" t="s">
        <v>95</v>
      </c>
      <c r="BB76" s="18" t="s">
        <v>95</v>
      </c>
      <c r="BC76" s="18" t="s">
        <v>95</v>
      </c>
      <c r="BD76" s="18" t="s">
        <v>10829</v>
      </c>
      <c r="BE76" s="18" t="s">
        <v>11427</v>
      </c>
      <c r="BF76" s="18" t="s">
        <v>10809</v>
      </c>
      <c r="BG76" s="18" t="s">
        <v>7030</v>
      </c>
      <c r="BH76" s="18"/>
      <c r="BI76" s="18"/>
      <c r="BJ76" s="18" t="s">
        <v>251</v>
      </c>
      <c r="BK76" s="18" t="s">
        <v>11428</v>
      </c>
      <c r="BL76" s="18" t="s">
        <v>10811</v>
      </c>
      <c r="BM76" s="18" t="s">
        <v>139</v>
      </c>
      <c r="BN76" s="18" t="s">
        <v>85</v>
      </c>
      <c r="BO76" s="18">
        <v>0</v>
      </c>
      <c r="BP76" s="18" t="s">
        <v>10812</v>
      </c>
      <c r="BQ76" s="18" t="str">
        <f>VLOOKUP(Prepago[[#This Row],[NOM_PLAZA]],[1]!Locales[#Data],3,0)</f>
        <v>TIENDA RECREO</v>
      </c>
      <c r="BR76" s="18" t="str">
        <f>VLOOKUP(Prepago[[#This Row],[CODIGO_USUARIO]],[1]!Personal[#Data],6,0)</f>
        <v>CRUZ MONTUFAR KATHERINE ALEJANDRA</v>
      </c>
      <c r="BS76" s="18">
        <f>DAY(Prepago[[#This Row],[FECHA_ALTA]])</f>
        <v>18</v>
      </c>
    </row>
    <row r="77" spans="1:71" x14ac:dyDescent="0.25">
      <c r="A77" s="18" t="s">
        <v>96</v>
      </c>
      <c r="B77" s="18" t="s">
        <v>11429</v>
      </c>
      <c r="C77" s="18" t="s">
        <v>11430</v>
      </c>
      <c r="D77" s="18" t="s">
        <v>11431</v>
      </c>
      <c r="E77" s="22">
        <v>44905</v>
      </c>
      <c r="F77" s="18" t="s">
        <v>67</v>
      </c>
      <c r="G77" s="18" t="s">
        <v>11432</v>
      </c>
      <c r="H77" s="18" t="s">
        <v>11433</v>
      </c>
      <c r="I77" s="18" t="s">
        <v>70</v>
      </c>
      <c r="J77" s="18" t="s">
        <v>8102</v>
      </c>
      <c r="K77" s="18" t="s">
        <v>8103</v>
      </c>
      <c r="L77" s="18" t="s">
        <v>3903</v>
      </c>
      <c r="M77" s="18" t="s">
        <v>3903</v>
      </c>
      <c r="N77" s="18" t="s">
        <v>11434</v>
      </c>
      <c r="O77" s="18" t="s">
        <v>75</v>
      </c>
      <c r="P77" s="18" t="s">
        <v>11435</v>
      </c>
      <c r="Q77" s="18" t="s">
        <v>10817</v>
      </c>
      <c r="R77" s="18" t="s">
        <v>78</v>
      </c>
      <c r="S77" s="18" t="s">
        <v>77</v>
      </c>
      <c r="T77" s="22">
        <v>44915</v>
      </c>
      <c r="U77" s="18"/>
      <c r="V77" s="18" t="s">
        <v>81</v>
      </c>
      <c r="W77" s="18" t="s">
        <v>79</v>
      </c>
      <c r="X77" s="18" t="s">
        <v>10803</v>
      </c>
      <c r="Y77" s="18" t="s">
        <v>2159</v>
      </c>
      <c r="Z77" s="18" t="s">
        <v>2160</v>
      </c>
      <c r="AA77" s="18" t="s">
        <v>7062</v>
      </c>
      <c r="AB77" s="18" t="s">
        <v>95</v>
      </c>
      <c r="AC77" s="18" t="s">
        <v>7984</v>
      </c>
      <c r="AD77" s="18" t="s">
        <v>10804</v>
      </c>
      <c r="AE77" s="18" t="s">
        <v>174</v>
      </c>
      <c r="AF77" s="18" t="s">
        <v>95</v>
      </c>
      <c r="AG77" s="18" t="s">
        <v>83</v>
      </c>
      <c r="AH77" s="18" t="s">
        <v>83</v>
      </c>
      <c r="AI77" s="18" t="s">
        <v>81</v>
      </c>
      <c r="AJ77" s="18" t="s">
        <v>118</v>
      </c>
      <c r="AK77" s="18" t="s">
        <v>95</v>
      </c>
      <c r="AL77" s="18" t="s">
        <v>11080</v>
      </c>
      <c r="AM77" s="18" t="s">
        <v>85</v>
      </c>
      <c r="AN77" s="18" t="s">
        <v>7031</v>
      </c>
      <c r="AO77" s="18" t="s">
        <v>86</v>
      </c>
      <c r="AP77" s="18" t="s">
        <v>90</v>
      </c>
      <c r="AQ77" s="18" t="s">
        <v>8002</v>
      </c>
      <c r="AR77" s="18" t="s">
        <v>177</v>
      </c>
      <c r="AS77" s="18" t="s">
        <v>139</v>
      </c>
      <c r="AT77" s="18" t="s">
        <v>95</v>
      </c>
      <c r="AU77" s="18" t="s">
        <v>95</v>
      </c>
      <c r="AV77" s="18" t="s">
        <v>3903</v>
      </c>
      <c r="AW77" s="18" t="s">
        <v>95</v>
      </c>
      <c r="AX77" s="18" t="s">
        <v>10806</v>
      </c>
      <c r="AY77" s="18" t="s">
        <v>95</v>
      </c>
      <c r="AZ77" s="18" t="s">
        <v>95</v>
      </c>
      <c r="BA77" s="18" t="s">
        <v>95</v>
      </c>
      <c r="BB77" s="18" t="s">
        <v>95</v>
      </c>
      <c r="BC77" s="18" t="s">
        <v>95</v>
      </c>
      <c r="BD77" s="18" t="s">
        <v>10829</v>
      </c>
      <c r="BE77" s="18" t="s">
        <v>11436</v>
      </c>
      <c r="BF77" s="18" t="s">
        <v>7037</v>
      </c>
      <c r="BG77" s="18" t="s">
        <v>7030</v>
      </c>
      <c r="BH77" s="18"/>
      <c r="BI77" s="18"/>
      <c r="BJ77" s="18" t="s">
        <v>2159</v>
      </c>
      <c r="BK77" s="18" t="s">
        <v>11437</v>
      </c>
      <c r="BL77" s="18" t="s">
        <v>10811</v>
      </c>
      <c r="BM77" s="18" t="s">
        <v>92</v>
      </c>
      <c r="BN77" s="18" t="s">
        <v>85</v>
      </c>
      <c r="BO77" s="18">
        <v>0</v>
      </c>
      <c r="BP77" s="18" t="s">
        <v>10812</v>
      </c>
      <c r="BQ77" s="18" t="str">
        <f>VLOOKUP(Prepago[[#This Row],[NOM_PLAZA]],[1]!Locales[#Data],3,0)</f>
        <v>TIENDA RECREO</v>
      </c>
      <c r="BR77" s="18" t="str">
        <f>VLOOKUP(Prepago[[#This Row],[CODIGO_USUARIO]],[1]!Personal[#Data],6,0)</f>
        <v>GUEVARA MAZA CRISTIAN FABIAN</v>
      </c>
      <c r="BS77" s="18">
        <f>DAY(Prepago[[#This Row],[FECHA_ALTA]])</f>
        <v>10</v>
      </c>
    </row>
    <row r="78" spans="1:71" x14ac:dyDescent="0.25">
      <c r="A78" s="18" t="s">
        <v>96</v>
      </c>
      <c r="B78" s="18" t="s">
        <v>11438</v>
      </c>
      <c r="C78" s="18" t="s">
        <v>11439</v>
      </c>
      <c r="D78" s="18" t="s">
        <v>11440</v>
      </c>
      <c r="E78" s="22">
        <v>44907</v>
      </c>
      <c r="F78" s="18" t="s">
        <v>67</v>
      </c>
      <c r="G78" s="18" t="s">
        <v>11441</v>
      </c>
      <c r="H78" s="18" t="s">
        <v>11442</v>
      </c>
      <c r="I78" s="18" t="s">
        <v>70</v>
      </c>
      <c r="J78" s="18" t="s">
        <v>8102</v>
      </c>
      <c r="K78" s="18" t="s">
        <v>8103</v>
      </c>
      <c r="L78" s="18" t="s">
        <v>132</v>
      </c>
      <c r="M78" s="18" t="s">
        <v>7037</v>
      </c>
      <c r="N78" s="18" t="s">
        <v>11443</v>
      </c>
      <c r="O78" s="18" t="s">
        <v>75</v>
      </c>
      <c r="P78" s="18" t="s">
        <v>11444</v>
      </c>
      <c r="Q78" s="18" t="s">
        <v>10817</v>
      </c>
      <c r="R78" s="18" t="s">
        <v>78</v>
      </c>
      <c r="S78" s="18" t="s">
        <v>77</v>
      </c>
      <c r="T78" s="22">
        <v>44915</v>
      </c>
      <c r="U78" s="18"/>
      <c r="V78" s="18" t="s">
        <v>81</v>
      </c>
      <c r="W78" s="18" t="s">
        <v>79</v>
      </c>
      <c r="X78" s="18" t="s">
        <v>10803</v>
      </c>
      <c r="Y78" s="18" t="s">
        <v>199</v>
      </c>
      <c r="Z78" s="18" t="s">
        <v>200</v>
      </c>
      <c r="AA78" s="18" t="s">
        <v>199</v>
      </c>
      <c r="AB78" s="18" t="s">
        <v>200</v>
      </c>
      <c r="AC78" s="18" t="s">
        <v>7984</v>
      </c>
      <c r="AD78" s="18" t="s">
        <v>10804</v>
      </c>
      <c r="AE78" s="18" t="s">
        <v>174</v>
      </c>
      <c r="AF78" s="18" t="s">
        <v>95</v>
      </c>
      <c r="AG78" s="18" t="s">
        <v>83</v>
      </c>
      <c r="AH78" s="18" t="s">
        <v>83</v>
      </c>
      <c r="AI78" s="18" t="s">
        <v>81</v>
      </c>
      <c r="AJ78" s="18" t="s">
        <v>118</v>
      </c>
      <c r="AK78" s="18" t="s">
        <v>95</v>
      </c>
      <c r="AL78" s="18" t="s">
        <v>10838</v>
      </c>
      <c r="AM78" s="18" t="s">
        <v>85</v>
      </c>
      <c r="AN78" s="18" t="s">
        <v>7031</v>
      </c>
      <c r="AO78" s="18" t="s">
        <v>86</v>
      </c>
      <c r="AP78" s="18" t="s">
        <v>90</v>
      </c>
      <c r="AQ78" s="18" t="s">
        <v>8002</v>
      </c>
      <c r="AR78" s="18" t="s">
        <v>177</v>
      </c>
      <c r="AS78" s="18" t="s">
        <v>139</v>
      </c>
      <c r="AT78" s="18" t="s">
        <v>95</v>
      </c>
      <c r="AU78" s="18" t="s">
        <v>95</v>
      </c>
      <c r="AV78" s="18" t="s">
        <v>7037</v>
      </c>
      <c r="AW78" s="18" t="s">
        <v>95</v>
      </c>
      <c r="AX78" s="18" t="s">
        <v>10806</v>
      </c>
      <c r="AY78" s="18" t="s">
        <v>95</v>
      </c>
      <c r="AZ78" s="18" t="s">
        <v>95</v>
      </c>
      <c r="BA78" s="18" t="s">
        <v>95</v>
      </c>
      <c r="BB78" s="18" t="s">
        <v>95</v>
      </c>
      <c r="BC78" s="18" t="s">
        <v>95</v>
      </c>
      <c r="BD78" s="18" t="s">
        <v>10829</v>
      </c>
      <c r="BE78" s="18" t="s">
        <v>11445</v>
      </c>
      <c r="BF78" s="18" t="s">
        <v>10809</v>
      </c>
      <c r="BG78" s="18" t="s">
        <v>7030</v>
      </c>
      <c r="BH78" s="18"/>
      <c r="BI78" s="18"/>
      <c r="BJ78" s="18" t="s">
        <v>199</v>
      </c>
      <c r="BK78" s="18" t="s">
        <v>11446</v>
      </c>
      <c r="BL78" s="18" t="s">
        <v>10811</v>
      </c>
      <c r="BM78" s="18" t="s">
        <v>139</v>
      </c>
      <c r="BN78" s="18" t="s">
        <v>85</v>
      </c>
      <c r="BO78" s="18">
        <v>1</v>
      </c>
      <c r="BP78" s="18" t="s">
        <v>10812</v>
      </c>
      <c r="BQ78" s="18" t="str">
        <f>VLOOKUP(Prepago[[#This Row],[NOM_PLAZA]],[1]!Locales[#Data],3,0)</f>
        <v>TIENDA RECREO</v>
      </c>
      <c r="BR78" s="18" t="str">
        <f>VLOOKUP(Prepago[[#This Row],[CODIGO_USUARIO]],[1]!Personal[#Data],6,0)</f>
        <v>MEDINA LAPO DAYANNA CAROLINA</v>
      </c>
      <c r="BS78" s="18">
        <f>DAY(Prepago[[#This Row],[FECHA_ALTA]])</f>
        <v>12</v>
      </c>
    </row>
    <row r="79" spans="1:71" x14ac:dyDescent="0.25">
      <c r="A79" s="18" t="s">
        <v>96</v>
      </c>
      <c r="B79" s="18" t="s">
        <v>11447</v>
      </c>
      <c r="C79" s="18" t="s">
        <v>11448</v>
      </c>
      <c r="D79" s="18" t="s">
        <v>11449</v>
      </c>
      <c r="E79" s="22">
        <v>44908</v>
      </c>
      <c r="F79" s="18" t="s">
        <v>67</v>
      </c>
      <c r="G79" s="18" t="s">
        <v>11450</v>
      </c>
      <c r="H79" s="18" t="s">
        <v>11451</v>
      </c>
      <c r="I79" s="18" t="s">
        <v>70</v>
      </c>
      <c r="J79" s="18" t="s">
        <v>8102</v>
      </c>
      <c r="K79" s="18" t="s">
        <v>8103</v>
      </c>
      <c r="L79" s="18" t="s">
        <v>259</v>
      </c>
      <c r="M79" s="18" t="s">
        <v>7037</v>
      </c>
      <c r="N79" s="18" t="s">
        <v>11452</v>
      </c>
      <c r="O79" s="18" t="s">
        <v>75</v>
      </c>
      <c r="P79" s="18" t="s">
        <v>11453</v>
      </c>
      <c r="Q79" s="18" t="s">
        <v>10817</v>
      </c>
      <c r="R79" s="18" t="s">
        <v>78</v>
      </c>
      <c r="S79" s="18" t="s">
        <v>77</v>
      </c>
      <c r="T79" s="22">
        <v>44915</v>
      </c>
      <c r="U79" s="18"/>
      <c r="V79" s="18" t="s">
        <v>81</v>
      </c>
      <c r="W79" s="18" t="s">
        <v>79</v>
      </c>
      <c r="X79" s="18" t="s">
        <v>10803</v>
      </c>
      <c r="Y79" s="18" t="s">
        <v>175</v>
      </c>
      <c r="Z79" s="18" t="s">
        <v>176</v>
      </c>
      <c r="AA79" s="18" t="s">
        <v>7062</v>
      </c>
      <c r="AB79" s="18" t="s">
        <v>95</v>
      </c>
      <c r="AC79" s="18" t="s">
        <v>7984</v>
      </c>
      <c r="AD79" s="18" t="s">
        <v>10804</v>
      </c>
      <c r="AE79" s="18" t="s">
        <v>174</v>
      </c>
      <c r="AF79" s="18" t="s">
        <v>95</v>
      </c>
      <c r="AG79" s="18" t="s">
        <v>83</v>
      </c>
      <c r="AH79" s="18" t="s">
        <v>83</v>
      </c>
      <c r="AI79" s="18" t="s">
        <v>81</v>
      </c>
      <c r="AJ79" s="18" t="s">
        <v>118</v>
      </c>
      <c r="AK79" s="18" t="s">
        <v>95</v>
      </c>
      <c r="AL79" s="18" t="s">
        <v>11268</v>
      </c>
      <c r="AM79" s="18" t="s">
        <v>85</v>
      </c>
      <c r="AN79" s="18" t="s">
        <v>7031</v>
      </c>
      <c r="AO79" s="18" t="s">
        <v>86</v>
      </c>
      <c r="AP79" s="18" t="s">
        <v>90</v>
      </c>
      <c r="AQ79" s="18" t="s">
        <v>8002</v>
      </c>
      <c r="AR79" s="18" t="s">
        <v>177</v>
      </c>
      <c r="AS79" s="18" t="s">
        <v>139</v>
      </c>
      <c r="AT79" s="18" t="s">
        <v>95</v>
      </c>
      <c r="AU79" s="18" t="s">
        <v>95</v>
      </c>
      <c r="AV79" s="18" t="s">
        <v>7037</v>
      </c>
      <c r="AW79" s="18" t="s">
        <v>95</v>
      </c>
      <c r="AX79" s="18" t="s">
        <v>10806</v>
      </c>
      <c r="AY79" s="18" t="s">
        <v>95</v>
      </c>
      <c r="AZ79" s="18" t="s">
        <v>95</v>
      </c>
      <c r="BA79" s="18" t="s">
        <v>95</v>
      </c>
      <c r="BB79" s="18" t="s">
        <v>95</v>
      </c>
      <c r="BC79" s="18" t="s">
        <v>95</v>
      </c>
      <c r="BD79" s="18" t="s">
        <v>10829</v>
      </c>
      <c r="BE79" s="18" t="s">
        <v>11454</v>
      </c>
      <c r="BF79" s="18" t="s">
        <v>10809</v>
      </c>
      <c r="BG79" s="18" t="s">
        <v>7030</v>
      </c>
      <c r="BH79" s="18"/>
      <c r="BI79" s="18"/>
      <c r="BJ79" s="18" t="s">
        <v>175</v>
      </c>
      <c r="BK79" s="18" t="s">
        <v>11455</v>
      </c>
      <c r="BL79" s="18" t="s">
        <v>10811</v>
      </c>
      <c r="BM79" s="18" t="s">
        <v>139</v>
      </c>
      <c r="BN79" s="18" t="s">
        <v>85</v>
      </c>
      <c r="BO79" s="18">
        <v>0</v>
      </c>
      <c r="BP79" s="18" t="s">
        <v>10812</v>
      </c>
      <c r="BQ79" s="18" t="str">
        <f>VLOOKUP(Prepago[[#This Row],[NOM_PLAZA]],[1]!Locales[#Data],3,0)</f>
        <v>TIENDA RECREO</v>
      </c>
      <c r="BR79" s="18" t="str">
        <f>VLOOKUP(Prepago[[#This Row],[CODIGO_USUARIO]],[1]!Personal[#Data],6,0)</f>
        <v>VARGAS REYES LUIS EDUARDO</v>
      </c>
      <c r="BS79" s="18">
        <f>DAY(Prepago[[#This Row],[FECHA_ALTA]])</f>
        <v>13</v>
      </c>
    </row>
    <row r="80" spans="1:71" x14ac:dyDescent="0.25">
      <c r="A80" s="18" t="s">
        <v>96</v>
      </c>
      <c r="B80" s="18" t="s">
        <v>11456</v>
      </c>
      <c r="C80" s="18" t="s">
        <v>11457</v>
      </c>
      <c r="D80" s="18" t="s">
        <v>11458</v>
      </c>
      <c r="E80" s="22">
        <v>44904</v>
      </c>
      <c r="F80" s="18" t="s">
        <v>67</v>
      </c>
      <c r="G80" s="18" t="s">
        <v>11459</v>
      </c>
      <c r="H80" s="18" t="s">
        <v>11460</v>
      </c>
      <c r="I80" s="18" t="s">
        <v>70</v>
      </c>
      <c r="J80" s="18" t="s">
        <v>8102</v>
      </c>
      <c r="K80" s="18" t="s">
        <v>8103</v>
      </c>
      <c r="L80" s="18" t="s">
        <v>73</v>
      </c>
      <c r="M80" s="18" t="s">
        <v>7029</v>
      </c>
      <c r="N80" s="18" t="s">
        <v>11461</v>
      </c>
      <c r="O80" s="18" t="s">
        <v>75</v>
      </c>
      <c r="P80" s="18" t="s">
        <v>11462</v>
      </c>
      <c r="Q80" s="18" t="s">
        <v>10817</v>
      </c>
      <c r="R80" s="18" t="s">
        <v>78</v>
      </c>
      <c r="S80" s="18" t="s">
        <v>77</v>
      </c>
      <c r="T80" s="22">
        <v>44915</v>
      </c>
      <c r="U80" s="18"/>
      <c r="V80" s="18" t="s">
        <v>81</v>
      </c>
      <c r="W80" s="18" t="s">
        <v>79</v>
      </c>
      <c r="X80" s="18" t="s">
        <v>10803</v>
      </c>
      <c r="Y80" s="18" t="s">
        <v>918</v>
      </c>
      <c r="Z80" s="18" t="s">
        <v>919</v>
      </c>
      <c r="AA80" s="18" t="s">
        <v>7062</v>
      </c>
      <c r="AB80" s="18" t="s">
        <v>95</v>
      </c>
      <c r="AC80" s="18" t="s">
        <v>7984</v>
      </c>
      <c r="AD80" s="18" t="s">
        <v>10804</v>
      </c>
      <c r="AE80" s="18" t="s">
        <v>174</v>
      </c>
      <c r="AF80" s="18" t="s">
        <v>95</v>
      </c>
      <c r="AG80" s="18" t="s">
        <v>83</v>
      </c>
      <c r="AH80" s="18" t="s">
        <v>83</v>
      </c>
      <c r="AI80" s="18" t="s">
        <v>81</v>
      </c>
      <c r="AJ80" s="18" t="s">
        <v>118</v>
      </c>
      <c r="AK80" s="18" t="s">
        <v>95</v>
      </c>
      <c r="AL80" s="18" t="s">
        <v>10999</v>
      </c>
      <c r="AM80" s="18" t="s">
        <v>85</v>
      </c>
      <c r="AN80" s="18" t="s">
        <v>7031</v>
      </c>
      <c r="AO80" s="18" t="s">
        <v>86</v>
      </c>
      <c r="AP80" s="18" t="s">
        <v>90</v>
      </c>
      <c r="AQ80" s="18" t="s">
        <v>8002</v>
      </c>
      <c r="AR80" s="18" t="s">
        <v>177</v>
      </c>
      <c r="AS80" s="18" t="s">
        <v>139</v>
      </c>
      <c r="AT80" s="18" t="s">
        <v>95</v>
      </c>
      <c r="AU80" s="18" t="s">
        <v>95</v>
      </c>
      <c r="AV80" s="18" t="s">
        <v>7029</v>
      </c>
      <c r="AW80" s="18" t="s">
        <v>95</v>
      </c>
      <c r="AX80" s="18" t="s">
        <v>10806</v>
      </c>
      <c r="AY80" s="18" t="s">
        <v>95</v>
      </c>
      <c r="AZ80" s="18" t="s">
        <v>95</v>
      </c>
      <c r="BA80" s="18" t="s">
        <v>95</v>
      </c>
      <c r="BB80" s="18" t="s">
        <v>95</v>
      </c>
      <c r="BC80" s="18" t="s">
        <v>95</v>
      </c>
      <c r="BD80" s="18" t="s">
        <v>10829</v>
      </c>
      <c r="BE80" s="18" t="s">
        <v>10808</v>
      </c>
      <c r="BF80" s="18" t="s">
        <v>10809</v>
      </c>
      <c r="BG80" s="18" t="s">
        <v>7030</v>
      </c>
      <c r="BH80" s="18"/>
      <c r="BI80" s="18"/>
      <c r="BJ80" s="18" t="s">
        <v>918</v>
      </c>
      <c r="BK80" s="18" t="s">
        <v>11463</v>
      </c>
      <c r="BL80" s="18" t="s">
        <v>10811</v>
      </c>
      <c r="BM80" s="18" t="s">
        <v>92</v>
      </c>
      <c r="BN80" s="18" t="s">
        <v>85</v>
      </c>
      <c r="BO80" s="18">
        <v>0</v>
      </c>
      <c r="BP80" s="18" t="s">
        <v>10812</v>
      </c>
      <c r="BQ80" s="18" t="str">
        <f>VLOOKUP(Prepago[[#This Row],[NOM_PLAZA]],[1]!Locales[#Data],3,0)</f>
        <v>TIENDA RECREO</v>
      </c>
      <c r="BR80" s="18" t="str">
        <f>VLOOKUP(Prepago[[#This Row],[CODIGO_USUARIO]],[1]!Personal[#Data],6,0)</f>
        <v>ORELLANA CARRERA MICHAEL ALEXANDER</v>
      </c>
      <c r="BS80" s="18">
        <f>DAY(Prepago[[#This Row],[FECHA_ALTA]])</f>
        <v>9</v>
      </c>
    </row>
    <row r="81" spans="1:71" x14ac:dyDescent="0.25">
      <c r="A81" s="18" t="s">
        <v>96</v>
      </c>
      <c r="B81" s="18" t="s">
        <v>11464</v>
      </c>
      <c r="C81" s="18" t="s">
        <v>11465</v>
      </c>
      <c r="D81" s="18" t="s">
        <v>11160</v>
      </c>
      <c r="E81" s="22">
        <v>44910</v>
      </c>
      <c r="F81" s="18" t="s">
        <v>67</v>
      </c>
      <c r="G81" s="18" t="s">
        <v>11161</v>
      </c>
      <c r="H81" s="18" t="s">
        <v>11162</v>
      </c>
      <c r="I81" s="18" t="s">
        <v>70</v>
      </c>
      <c r="J81" s="18" t="s">
        <v>8102</v>
      </c>
      <c r="K81" s="18" t="s">
        <v>8103</v>
      </c>
      <c r="L81" s="18" t="s">
        <v>95</v>
      </c>
      <c r="M81" s="18" t="s">
        <v>7037</v>
      </c>
      <c r="N81" s="18" t="s">
        <v>11466</v>
      </c>
      <c r="O81" s="18" t="s">
        <v>75</v>
      </c>
      <c r="P81" s="18" t="s">
        <v>11467</v>
      </c>
      <c r="Q81" s="18" t="s">
        <v>4453</v>
      </c>
      <c r="R81" s="18" t="s">
        <v>78</v>
      </c>
      <c r="S81" s="18" t="s">
        <v>77</v>
      </c>
      <c r="T81" s="22">
        <v>44915</v>
      </c>
      <c r="U81" s="18"/>
      <c r="V81" s="18" t="s">
        <v>81</v>
      </c>
      <c r="W81" s="18" t="s">
        <v>79</v>
      </c>
      <c r="X81" s="18" t="s">
        <v>10803</v>
      </c>
      <c r="Y81" s="18" t="s">
        <v>760</v>
      </c>
      <c r="Z81" s="18" t="s">
        <v>761</v>
      </c>
      <c r="AA81" s="18" t="s">
        <v>7062</v>
      </c>
      <c r="AB81" s="18" t="s">
        <v>95</v>
      </c>
      <c r="AC81" s="18" t="s">
        <v>7984</v>
      </c>
      <c r="AD81" s="18" t="s">
        <v>10804</v>
      </c>
      <c r="AE81" s="18" t="s">
        <v>174</v>
      </c>
      <c r="AF81" s="18" t="s">
        <v>95</v>
      </c>
      <c r="AG81" s="18" t="s">
        <v>83</v>
      </c>
      <c r="AH81" s="18" t="s">
        <v>83</v>
      </c>
      <c r="AI81" s="18" t="s">
        <v>81</v>
      </c>
      <c r="AJ81" s="18" t="s">
        <v>118</v>
      </c>
      <c r="AK81" s="18" t="s">
        <v>95</v>
      </c>
      <c r="AL81" s="18" t="s">
        <v>10818</v>
      </c>
      <c r="AM81" s="18" t="s">
        <v>85</v>
      </c>
      <c r="AN81" s="18" t="s">
        <v>7031</v>
      </c>
      <c r="AO81" s="18" t="s">
        <v>86</v>
      </c>
      <c r="AP81" s="18" t="s">
        <v>90</v>
      </c>
      <c r="AQ81" s="18" t="s">
        <v>8002</v>
      </c>
      <c r="AR81" s="18" t="s">
        <v>177</v>
      </c>
      <c r="AS81" s="18" t="s">
        <v>139</v>
      </c>
      <c r="AT81" s="18" t="s">
        <v>95</v>
      </c>
      <c r="AU81" s="18" t="s">
        <v>95</v>
      </c>
      <c r="AV81" s="18" t="s">
        <v>7037</v>
      </c>
      <c r="AW81" s="18" t="s">
        <v>95</v>
      </c>
      <c r="AX81" s="18" t="s">
        <v>10806</v>
      </c>
      <c r="AY81" s="18" t="s">
        <v>95</v>
      </c>
      <c r="AZ81" s="18" t="s">
        <v>95</v>
      </c>
      <c r="BA81" s="18" t="s">
        <v>95</v>
      </c>
      <c r="BB81" s="18" t="s">
        <v>95</v>
      </c>
      <c r="BC81" s="18" t="s">
        <v>95</v>
      </c>
      <c r="BD81" s="18" t="s">
        <v>10807</v>
      </c>
      <c r="BE81" s="18" t="s">
        <v>95</v>
      </c>
      <c r="BF81" s="18" t="s">
        <v>10809</v>
      </c>
      <c r="BG81" s="18" t="s">
        <v>7030</v>
      </c>
      <c r="BH81" s="18"/>
      <c r="BI81" s="18"/>
      <c r="BJ81" s="18" t="s">
        <v>760</v>
      </c>
      <c r="BK81" s="18" t="s">
        <v>11165</v>
      </c>
      <c r="BL81" s="18" t="s">
        <v>10811</v>
      </c>
      <c r="BM81" s="18" t="s">
        <v>139</v>
      </c>
      <c r="BN81" s="18" t="s">
        <v>85</v>
      </c>
      <c r="BO81" s="18">
        <v>0</v>
      </c>
      <c r="BP81" s="18" t="s">
        <v>10812</v>
      </c>
      <c r="BQ81" s="18" t="str">
        <f>VLOOKUP(Prepago[[#This Row],[NOM_PLAZA]],[1]!Locales[#Data],3,0)</f>
        <v>TIENDA RECREO</v>
      </c>
      <c r="BR81" s="18" t="str">
        <f>VLOOKUP(Prepago[[#This Row],[CODIGO_USUARIO]],[1]!Personal[#Data],6,0)</f>
        <v>VALBUENA SANCHEZ ALBERT ANTHONY</v>
      </c>
      <c r="BS81" s="18">
        <f>DAY(Prepago[[#This Row],[FECHA_ALTA]])</f>
        <v>15</v>
      </c>
    </row>
    <row r="82" spans="1:71" x14ac:dyDescent="0.25">
      <c r="A82" s="18" t="s">
        <v>96</v>
      </c>
      <c r="B82" s="18" t="s">
        <v>11468</v>
      </c>
      <c r="C82" s="18" t="s">
        <v>11469</v>
      </c>
      <c r="D82" s="18" t="s">
        <v>11470</v>
      </c>
      <c r="E82" s="22">
        <v>44908</v>
      </c>
      <c r="F82" s="18" t="s">
        <v>67</v>
      </c>
      <c r="G82" s="18" t="s">
        <v>11471</v>
      </c>
      <c r="H82" s="18" t="s">
        <v>11472</v>
      </c>
      <c r="I82" s="18" t="s">
        <v>70</v>
      </c>
      <c r="J82" s="18" t="s">
        <v>8102</v>
      </c>
      <c r="K82" s="18" t="s">
        <v>8103</v>
      </c>
      <c r="L82" s="18" t="s">
        <v>73</v>
      </c>
      <c r="M82" s="18" t="s">
        <v>7037</v>
      </c>
      <c r="N82" s="18" t="s">
        <v>11473</v>
      </c>
      <c r="O82" s="18" t="s">
        <v>75</v>
      </c>
      <c r="P82" s="18" t="s">
        <v>11474</v>
      </c>
      <c r="Q82" s="18" t="s">
        <v>1532</v>
      </c>
      <c r="R82" s="18" t="s">
        <v>78</v>
      </c>
      <c r="S82" s="18" t="s">
        <v>77</v>
      </c>
      <c r="T82" s="22">
        <v>44915</v>
      </c>
      <c r="U82" s="18"/>
      <c r="V82" s="18" t="s">
        <v>81</v>
      </c>
      <c r="W82" s="18" t="s">
        <v>79</v>
      </c>
      <c r="X82" s="18" t="s">
        <v>10803</v>
      </c>
      <c r="Y82" s="18" t="s">
        <v>187</v>
      </c>
      <c r="Z82" s="18" t="s">
        <v>188</v>
      </c>
      <c r="AA82" s="18" t="s">
        <v>7062</v>
      </c>
      <c r="AB82" s="18" t="s">
        <v>95</v>
      </c>
      <c r="AC82" s="18" t="s">
        <v>7984</v>
      </c>
      <c r="AD82" s="18" t="s">
        <v>10804</v>
      </c>
      <c r="AE82" s="18" t="s">
        <v>174</v>
      </c>
      <c r="AF82" s="18" t="s">
        <v>95</v>
      </c>
      <c r="AG82" s="18" t="s">
        <v>83</v>
      </c>
      <c r="AH82" s="18" t="s">
        <v>83</v>
      </c>
      <c r="AI82" s="18" t="s">
        <v>81</v>
      </c>
      <c r="AJ82" s="18" t="s">
        <v>118</v>
      </c>
      <c r="AK82" s="18" t="s">
        <v>95</v>
      </c>
      <c r="AL82" s="18" t="s">
        <v>10920</v>
      </c>
      <c r="AM82" s="18" t="s">
        <v>85</v>
      </c>
      <c r="AN82" s="18" t="s">
        <v>7031</v>
      </c>
      <c r="AO82" s="18" t="s">
        <v>86</v>
      </c>
      <c r="AP82" s="18" t="s">
        <v>90</v>
      </c>
      <c r="AQ82" s="18" t="s">
        <v>8002</v>
      </c>
      <c r="AR82" s="18" t="s">
        <v>177</v>
      </c>
      <c r="AS82" s="18" t="s">
        <v>139</v>
      </c>
      <c r="AT82" s="18" t="s">
        <v>95</v>
      </c>
      <c r="AU82" s="18" t="s">
        <v>95</v>
      </c>
      <c r="AV82" s="18" t="s">
        <v>7037</v>
      </c>
      <c r="AW82" s="18" t="s">
        <v>95</v>
      </c>
      <c r="AX82" s="18" t="s">
        <v>10806</v>
      </c>
      <c r="AY82" s="18" t="s">
        <v>95</v>
      </c>
      <c r="AZ82" s="18" t="s">
        <v>95</v>
      </c>
      <c r="BA82" s="18" t="s">
        <v>95</v>
      </c>
      <c r="BB82" s="18" t="s">
        <v>95</v>
      </c>
      <c r="BC82" s="18" t="s">
        <v>95</v>
      </c>
      <c r="BD82" s="18" t="s">
        <v>10829</v>
      </c>
      <c r="BE82" s="18" t="s">
        <v>10808</v>
      </c>
      <c r="BF82" s="18" t="s">
        <v>10809</v>
      </c>
      <c r="BG82" s="18" t="s">
        <v>7030</v>
      </c>
      <c r="BH82" s="18"/>
      <c r="BI82" s="18"/>
      <c r="BJ82" s="18" t="s">
        <v>187</v>
      </c>
      <c r="BK82" s="18" t="s">
        <v>11475</v>
      </c>
      <c r="BL82" s="18" t="s">
        <v>10811</v>
      </c>
      <c r="BM82" s="18" t="s">
        <v>139</v>
      </c>
      <c r="BN82" s="18" t="s">
        <v>85</v>
      </c>
      <c r="BO82" s="18">
        <v>1</v>
      </c>
      <c r="BP82" s="18" t="s">
        <v>10812</v>
      </c>
      <c r="BQ82" s="18" t="str">
        <f>VLOOKUP(Prepago[[#This Row],[NOM_PLAZA]],[1]!Locales[#Data],3,0)</f>
        <v>TIENDA RECREO</v>
      </c>
      <c r="BR82" s="18" t="str">
        <f>VLOOKUP(Prepago[[#This Row],[CODIGO_USUARIO]],[1]!Personal[#Data],6,0)</f>
        <v>ESPINOZA MARTINES LAURA XIOMARA</v>
      </c>
      <c r="BS82" s="18">
        <f>DAY(Prepago[[#This Row],[FECHA_ALTA]])</f>
        <v>13</v>
      </c>
    </row>
    <row r="83" spans="1:71" x14ac:dyDescent="0.25">
      <c r="A83" s="18" t="s">
        <v>96</v>
      </c>
      <c r="B83" s="18" t="s">
        <v>11476</v>
      </c>
      <c r="C83" s="18" t="s">
        <v>11477</v>
      </c>
      <c r="D83" s="18" t="s">
        <v>11478</v>
      </c>
      <c r="E83" s="22">
        <v>44907</v>
      </c>
      <c r="F83" s="18" t="s">
        <v>67</v>
      </c>
      <c r="G83" s="18" t="s">
        <v>11479</v>
      </c>
      <c r="H83" s="18" t="s">
        <v>11480</v>
      </c>
      <c r="I83" s="18" t="s">
        <v>193</v>
      </c>
      <c r="J83" s="18" t="s">
        <v>8102</v>
      </c>
      <c r="K83" s="18" t="s">
        <v>8103</v>
      </c>
      <c r="L83" s="18" t="s">
        <v>259</v>
      </c>
      <c r="M83" s="18" t="s">
        <v>7037</v>
      </c>
      <c r="N83" s="18" t="s">
        <v>11481</v>
      </c>
      <c r="O83" s="18" t="s">
        <v>75</v>
      </c>
      <c r="P83" s="18" t="s">
        <v>11482</v>
      </c>
      <c r="Q83" s="18" t="s">
        <v>10817</v>
      </c>
      <c r="R83" s="18" t="s">
        <v>78</v>
      </c>
      <c r="S83" s="18" t="s">
        <v>77</v>
      </c>
      <c r="T83" s="22">
        <v>44915</v>
      </c>
      <c r="U83" s="18"/>
      <c r="V83" s="18" t="s">
        <v>81</v>
      </c>
      <c r="W83" s="18" t="s">
        <v>79</v>
      </c>
      <c r="X83" s="18" t="s">
        <v>10803</v>
      </c>
      <c r="Y83" s="18" t="s">
        <v>262</v>
      </c>
      <c r="Z83" s="18" t="s">
        <v>263</v>
      </c>
      <c r="AA83" s="18" t="s">
        <v>7062</v>
      </c>
      <c r="AB83" s="18" t="s">
        <v>95</v>
      </c>
      <c r="AC83" s="18" t="s">
        <v>7984</v>
      </c>
      <c r="AD83" s="18" t="s">
        <v>10804</v>
      </c>
      <c r="AE83" s="18" t="s">
        <v>174</v>
      </c>
      <c r="AF83" s="18" t="s">
        <v>95</v>
      </c>
      <c r="AG83" s="18" t="s">
        <v>83</v>
      </c>
      <c r="AH83" s="18" t="s">
        <v>83</v>
      </c>
      <c r="AI83" s="18" t="s">
        <v>81</v>
      </c>
      <c r="AJ83" s="18" t="s">
        <v>118</v>
      </c>
      <c r="AK83" s="18" t="s">
        <v>95</v>
      </c>
      <c r="AL83" s="18" t="s">
        <v>10883</v>
      </c>
      <c r="AM83" s="18" t="s">
        <v>85</v>
      </c>
      <c r="AN83" s="18" t="s">
        <v>7031</v>
      </c>
      <c r="AO83" s="18" t="s">
        <v>86</v>
      </c>
      <c r="AP83" s="18" t="s">
        <v>90</v>
      </c>
      <c r="AQ83" s="18" t="s">
        <v>8002</v>
      </c>
      <c r="AR83" s="18" t="s">
        <v>177</v>
      </c>
      <c r="AS83" s="18" t="s">
        <v>139</v>
      </c>
      <c r="AT83" s="18" t="s">
        <v>95</v>
      </c>
      <c r="AU83" s="18" t="s">
        <v>95</v>
      </c>
      <c r="AV83" s="18" t="s">
        <v>7037</v>
      </c>
      <c r="AW83" s="18" t="s">
        <v>95</v>
      </c>
      <c r="AX83" s="18" t="s">
        <v>10806</v>
      </c>
      <c r="AY83" s="18" t="s">
        <v>95</v>
      </c>
      <c r="AZ83" s="18" t="s">
        <v>95</v>
      </c>
      <c r="BA83" s="18" t="s">
        <v>95</v>
      </c>
      <c r="BB83" s="18" t="s">
        <v>95</v>
      </c>
      <c r="BC83" s="18" t="s">
        <v>95</v>
      </c>
      <c r="BD83" s="18" t="s">
        <v>10829</v>
      </c>
      <c r="BE83" s="18" t="s">
        <v>11483</v>
      </c>
      <c r="BF83" s="18" t="s">
        <v>10809</v>
      </c>
      <c r="BG83" s="18" t="s">
        <v>7030</v>
      </c>
      <c r="BH83" s="18"/>
      <c r="BI83" s="18"/>
      <c r="BJ83" s="18" t="s">
        <v>262</v>
      </c>
      <c r="BK83" s="18" t="s">
        <v>11484</v>
      </c>
      <c r="BL83" s="18" t="s">
        <v>10811</v>
      </c>
      <c r="BM83" s="18" t="s">
        <v>139</v>
      </c>
      <c r="BN83" s="18" t="s">
        <v>85</v>
      </c>
      <c r="BO83" s="18">
        <v>1</v>
      </c>
      <c r="BP83" s="18" t="s">
        <v>10812</v>
      </c>
      <c r="BQ83" s="18" t="str">
        <f>VLOOKUP(Prepago[[#This Row],[NOM_PLAZA]],[1]!Locales[#Data],3,0)</f>
        <v>TIENDA RECREO</v>
      </c>
      <c r="BR83" s="18" t="str">
        <f>VLOOKUP(Prepago[[#This Row],[CODIGO_USUARIO]],[1]!Personal[#Data],6,0)</f>
        <v>CHICAIZA TOAPANTA ALEX DANILO</v>
      </c>
      <c r="BS83" s="18">
        <f>DAY(Prepago[[#This Row],[FECHA_ALTA]])</f>
        <v>12</v>
      </c>
    </row>
    <row r="84" spans="1:71" x14ac:dyDescent="0.25">
      <c r="A84" s="18" t="s">
        <v>96</v>
      </c>
      <c r="B84" s="18" t="s">
        <v>11485</v>
      </c>
      <c r="C84" s="18" t="s">
        <v>11486</v>
      </c>
      <c r="D84" s="18" t="s">
        <v>11487</v>
      </c>
      <c r="E84" s="22">
        <v>44901</v>
      </c>
      <c r="F84" s="18" t="s">
        <v>67</v>
      </c>
      <c r="G84" s="18" t="s">
        <v>11488</v>
      </c>
      <c r="H84" s="18" t="s">
        <v>11489</v>
      </c>
      <c r="I84" s="18" t="s">
        <v>70</v>
      </c>
      <c r="J84" s="18" t="s">
        <v>8102</v>
      </c>
      <c r="K84" s="18" t="s">
        <v>8103</v>
      </c>
      <c r="L84" s="18" t="s">
        <v>132</v>
      </c>
      <c r="M84" s="18" t="s">
        <v>7037</v>
      </c>
      <c r="N84" s="18" t="s">
        <v>11490</v>
      </c>
      <c r="O84" s="18" t="s">
        <v>75</v>
      </c>
      <c r="P84" s="18" t="s">
        <v>11491</v>
      </c>
      <c r="Q84" s="18" t="s">
        <v>1532</v>
      </c>
      <c r="R84" s="18" t="s">
        <v>78</v>
      </c>
      <c r="S84" s="18" t="s">
        <v>77</v>
      </c>
      <c r="T84" s="22">
        <v>44915</v>
      </c>
      <c r="U84" s="18"/>
      <c r="V84" s="18" t="s">
        <v>81</v>
      </c>
      <c r="W84" s="18" t="s">
        <v>79</v>
      </c>
      <c r="X84" s="18" t="s">
        <v>10803</v>
      </c>
      <c r="Y84" s="18" t="s">
        <v>822</v>
      </c>
      <c r="Z84" s="18" t="s">
        <v>823</v>
      </c>
      <c r="AA84" s="18" t="s">
        <v>7062</v>
      </c>
      <c r="AB84" s="18" t="s">
        <v>95</v>
      </c>
      <c r="AC84" s="18" t="s">
        <v>7984</v>
      </c>
      <c r="AD84" s="18" t="s">
        <v>10804</v>
      </c>
      <c r="AE84" s="18" t="s">
        <v>174</v>
      </c>
      <c r="AF84" s="18" t="s">
        <v>95</v>
      </c>
      <c r="AG84" s="18" t="s">
        <v>83</v>
      </c>
      <c r="AH84" s="18" t="s">
        <v>83</v>
      </c>
      <c r="AI84" s="18" t="s">
        <v>81</v>
      </c>
      <c r="AJ84" s="18" t="s">
        <v>118</v>
      </c>
      <c r="AK84" s="18" t="s">
        <v>95</v>
      </c>
      <c r="AL84" s="18" t="s">
        <v>10828</v>
      </c>
      <c r="AM84" s="18" t="s">
        <v>85</v>
      </c>
      <c r="AN84" s="18" t="s">
        <v>7031</v>
      </c>
      <c r="AO84" s="18" t="s">
        <v>86</v>
      </c>
      <c r="AP84" s="18" t="s">
        <v>90</v>
      </c>
      <c r="AQ84" s="18" t="s">
        <v>8002</v>
      </c>
      <c r="AR84" s="18" t="s">
        <v>177</v>
      </c>
      <c r="AS84" s="18" t="s">
        <v>139</v>
      </c>
      <c r="AT84" s="18" t="s">
        <v>95</v>
      </c>
      <c r="AU84" s="18" t="s">
        <v>95</v>
      </c>
      <c r="AV84" s="18" t="s">
        <v>7037</v>
      </c>
      <c r="AW84" s="18" t="s">
        <v>95</v>
      </c>
      <c r="AX84" s="18" t="s">
        <v>10806</v>
      </c>
      <c r="AY84" s="18" t="s">
        <v>95</v>
      </c>
      <c r="AZ84" s="18" t="s">
        <v>95</v>
      </c>
      <c r="BA84" s="18" t="s">
        <v>95</v>
      </c>
      <c r="BB84" s="18" t="s">
        <v>95</v>
      </c>
      <c r="BC84" s="18" t="s">
        <v>95</v>
      </c>
      <c r="BD84" s="18" t="s">
        <v>10807</v>
      </c>
      <c r="BE84" s="18" t="s">
        <v>11492</v>
      </c>
      <c r="BF84" s="18" t="s">
        <v>10809</v>
      </c>
      <c r="BG84" s="18" t="s">
        <v>7030</v>
      </c>
      <c r="BH84" s="18"/>
      <c r="BI84" s="18"/>
      <c r="BJ84" s="18" t="s">
        <v>822</v>
      </c>
      <c r="BK84" s="18" t="s">
        <v>11493</v>
      </c>
      <c r="BL84" s="18" t="s">
        <v>10811</v>
      </c>
      <c r="BM84" s="18" t="s">
        <v>139</v>
      </c>
      <c r="BN84" s="18" t="s">
        <v>85</v>
      </c>
      <c r="BO84" s="18">
        <v>1</v>
      </c>
      <c r="BP84" s="18" t="s">
        <v>10812</v>
      </c>
      <c r="BQ84" s="18" t="str">
        <f>VLOOKUP(Prepago[[#This Row],[NOM_PLAZA]],[1]!Locales[#Data],3,0)</f>
        <v>TIENDA RECREO</v>
      </c>
      <c r="BR84" s="18" t="str">
        <f>VLOOKUP(Prepago[[#This Row],[CODIGO_USUARIO]],[1]!Personal[#Data],6,0)</f>
        <v>SALAS PARRA MARIA JOSE</v>
      </c>
      <c r="BS84" s="18">
        <f>DAY(Prepago[[#This Row],[FECHA_ALTA]])</f>
        <v>6</v>
      </c>
    </row>
    <row r="85" spans="1:71" x14ac:dyDescent="0.25">
      <c r="A85" s="18" t="s">
        <v>96</v>
      </c>
      <c r="B85" s="18" t="s">
        <v>8561</v>
      </c>
      <c r="C85" s="18" t="s">
        <v>8567</v>
      </c>
      <c r="D85" s="18" t="s">
        <v>8563</v>
      </c>
      <c r="E85" s="22">
        <v>44900</v>
      </c>
      <c r="F85" s="18" t="s">
        <v>67</v>
      </c>
      <c r="G85" s="18" t="s">
        <v>8564</v>
      </c>
      <c r="H85" s="18" t="s">
        <v>8565</v>
      </c>
      <c r="I85" s="18" t="s">
        <v>70</v>
      </c>
      <c r="J85" s="18" t="s">
        <v>8102</v>
      </c>
      <c r="K85" s="18" t="s">
        <v>8103</v>
      </c>
      <c r="L85" s="18" t="s">
        <v>73</v>
      </c>
      <c r="M85" s="18" t="s">
        <v>7037</v>
      </c>
      <c r="N85" s="18" t="s">
        <v>8566</v>
      </c>
      <c r="O85" s="18" t="s">
        <v>287</v>
      </c>
      <c r="P85" s="18" t="s">
        <v>11494</v>
      </c>
      <c r="Q85" s="18" t="s">
        <v>1532</v>
      </c>
      <c r="R85" s="18" t="s">
        <v>78</v>
      </c>
      <c r="S85" s="18" t="s">
        <v>77</v>
      </c>
      <c r="T85" s="22">
        <v>44915</v>
      </c>
      <c r="U85" s="18"/>
      <c r="V85" s="18" t="s">
        <v>81</v>
      </c>
      <c r="W85" s="18" t="s">
        <v>79</v>
      </c>
      <c r="X85" s="18" t="s">
        <v>10803</v>
      </c>
      <c r="Y85" s="18" t="s">
        <v>175</v>
      </c>
      <c r="Z85" s="18" t="s">
        <v>176</v>
      </c>
      <c r="AA85" s="18" t="s">
        <v>7062</v>
      </c>
      <c r="AB85" s="18" t="s">
        <v>95</v>
      </c>
      <c r="AC85" s="18" t="s">
        <v>7984</v>
      </c>
      <c r="AD85" s="18" t="s">
        <v>10804</v>
      </c>
      <c r="AE85" s="18" t="s">
        <v>174</v>
      </c>
      <c r="AF85" s="18" t="s">
        <v>95</v>
      </c>
      <c r="AG85" s="18" t="s">
        <v>83</v>
      </c>
      <c r="AH85" s="18" t="s">
        <v>83</v>
      </c>
      <c r="AI85" s="18" t="s">
        <v>81</v>
      </c>
      <c r="AJ85" s="18" t="s">
        <v>118</v>
      </c>
      <c r="AK85" s="18" t="s">
        <v>95</v>
      </c>
      <c r="AL85" s="18" t="s">
        <v>11268</v>
      </c>
      <c r="AM85" s="18" t="s">
        <v>85</v>
      </c>
      <c r="AN85" s="18" t="s">
        <v>7031</v>
      </c>
      <c r="AO85" s="18" t="s">
        <v>86</v>
      </c>
      <c r="AP85" s="18" t="s">
        <v>90</v>
      </c>
      <c r="AQ85" s="18" t="s">
        <v>8002</v>
      </c>
      <c r="AR85" s="18" t="s">
        <v>177</v>
      </c>
      <c r="AS85" s="18" t="s">
        <v>139</v>
      </c>
      <c r="AT85" s="18" t="s">
        <v>95</v>
      </c>
      <c r="AU85" s="18" t="s">
        <v>95</v>
      </c>
      <c r="AV85" s="18" t="s">
        <v>7037</v>
      </c>
      <c r="AW85" s="18" t="s">
        <v>95</v>
      </c>
      <c r="AX85" s="18" t="s">
        <v>10806</v>
      </c>
      <c r="AY85" s="18" t="s">
        <v>95</v>
      </c>
      <c r="AZ85" s="18" t="s">
        <v>95</v>
      </c>
      <c r="BA85" s="18" t="s">
        <v>95</v>
      </c>
      <c r="BB85" s="18" t="s">
        <v>95</v>
      </c>
      <c r="BC85" s="18" t="s">
        <v>95</v>
      </c>
      <c r="BD85" s="18" t="s">
        <v>10829</v>
      </c>
      <c r="BE85" s="18" t="s">
        <v>10808</v>
      </c>
      <c r="BF85" s="18" t="s">
        <v>10809</v>
      </c>
      <c r="BG85" s="18" t="s">
        <v>7030</v>
      </c>
      <c r="BH85" s="18"/>
      <c r="BI85" s="18"/>
      <c r="BJ85" s="18" t="s">
        <v>175</v>
      </c>
      <c r="BK85" s="18" t="s">
        <v>11495</v>
      </c>
      <c r="BL85" s="18" t="s">
        <v>10811</v>
      </c>
      <c r="BM85" s="18" t="s">
        <v>139</v>
      </c>
      <c r="BN85" s="18" t="s">
        <v>85</v>
      </c>
      <c r="BO85" s="18">
        <v>0</v>
      </c>
      <c r="BP85" s="18" t="s">
        <v>10812</v>
      </c>
      <c r="BQ85" s="18" t="str">
        <f>VLOOKUP(Prepago[[#This Row],[NOM_PLAZA]],[1]!Locales[#Data],3,0)</f>
        <v>TIENDA RECREO</v>
      </c>
      <c r="BR85" s="18" t="str">
        <f>VLOOKUP(Prepago[[#This Row],[CODIGO_USUARIO]],[1]!Personal[#Data],6,0)</f>
        <v>VARGAS REYES LUIS EDUARDO</v>
      </c>
      <c r="BS85" s="18">
        <f>DAY(Prepago[[#This Row],[FECHA_ALTA]])</f>
        <v>5</v>
      </c>
    </row>
    <row r="86" spans="1:71" x14ac:dyDescent="0.25">
      <c r="A86" s="18" t="s">
        <v>96</v>
      </c>
      <c r="B86" s="18" t="s">
        <v>11496</v>
      </c>
      <c r="C86" s="18" t="s">
        <v>11497</v>
      </c>
      <c r="D86" s="18" t="s">
        <v>11498</v>
      </c>
      <c r="E86" s="22">
        <v>44906</v>
      </c>
      <c r="F86" s="18" t="s">
        <v>67</v>
      </c>
      <c r="G86" s="18" t="s">
        <v>11499</v>
      </c>
      <c r="H86" s="18" t="s">
        <v>11500</v>
      </c>
      <c r="I86" s="18" t="s">
        <v>70</v>
      </c>
      <c r="J86" s="18" t="s">
        <v>8102</v>
      </c>
      <c r="K86" s="18" t="s">
        <v>8103</v>
      </c>
      <c r="L86" s="18" t="s">
        <v>73</v>
      </c>
      <c r="M86" s="18" t="s">
        <v>7029</v>
      </c>
      <c r="N86" s="18" t="s">
        <v>11501</v>
      </c>
      <c r="O86" s="18" t="s">
        <v>75</v>
      </c>
      <c r="P86" s="18" t="s">
        <v>11502</v>
      </c>
      <c r="Q86" s="18" t="s">
        <v>1532</v>
      </c>
      <c r="R86" s="18" t="s">
        <v>78</v>
      </c>
      <c r="S86" s="18" t="s">
        <v>77</v>
      </c>
      <c r="T86" s="22">
        <v>44915</v>
      </c>
      <c r="U86" s="18"/>
      <c r="V86" s="18" t="s">
        <v>81</v>
      </c>
      <c r="W86" s="18" t="s">
        <v>79</v>
      </c>
      <c r="X86" s="18" t="s">
        <v>10803</v>
      </c>
      <c r="Y86" s="18" t="s">
        <v>760</v>
      </c>
      <c r="Z86" s="18" t="s">
        <v>761</v>
      </c>
      <c r="AA86" s="18" t="s">
        <v>7062</v>
      </c>
      <c r="AB86" s="18" t="s">
        <v>95</v>
      </c>
      <c r="AC86" s="18" t="s">
        <v>7984</v>
      </c>
      <c r="AD86" s="18" t="s">
        <v>10804</v>
      </c>
      <c r="AE86" s="18" t="s">
        <v>174</v>
      </c>
      <c r="AF86" s="18" t="s">
        <v>95</v>
      </c>
      <c r="AG86" s="18" t="s">
        <v>83</v>
      </c>
      <c r="AH86" s="18" t="s">
        <v>83</v>
      </c>
      <c r="AI86" s="18" t="s">
        <v>81</v>
      </c>
      <c r="AJ86" s="18" t="s">
        <v>118</v>
      </c>
      <c r="AK86" s="18" t="s">
        <v>95</v>
      </c>
      <c r="AL86" s="18" t="s">
        <v>10818</v>
      </c>
      <c r="AM86" s="18" t="s">
        <v>85</v>
      </c>
      <c r="AN86" s="18" t="s">
        <v>7031</v>
      </c>
      <c r="AO86" s="18" t="s">
        <v>86</v>
      </c>
      <c r="AP86" s="18" t="s">
        <v>90</v>
      </c>
      <c r="AQ86" s="18" t="s">
        <v>8002</v>
      </c>
      <c r="AR86" s="18" t="s">
        <v>177</v>
      </c>
      <c r="AS86" s="18" t="s">
        <v>139</v>
      </c>
      <c r="AT86" s="18" t="s">
        <v>95</v>
      </c>
      <c r="AU86" s="18" t="s">
        <v>95</v>
      </c>
      <c r="AV86" s="18" t="s">
        <v>7029</v>
      </c>
      <c r="AW86" s="18" t="s">
        <v>95</v>
      </c>
      <c r="AX86" s="18" t="s">
        <v>10806</v>
      </c>
      <c r="AY86" s="18" t="s">
        <v>95</v>
      </c>
      <c r="AZ86" s="18" t="s">
        <v>95</v>
      </c>
      <c r="BA86" s="18" t="s">
        <v>95</v>
      </c>
      <c r="BB86" s="18" t="s">
        <v>95</v>
      </c>
      <c r="BC86" s="18" t="s">
        <v>95</v>
      </c>
      <c r="BD86" s="18" t="s">
        <v>10829</v>
      </c>
      <c r="BE86" s="18" t="s">
        <v>11503</v>
      </c>
      <c r="BF86" s="18" t="s">
        <v>10809</v>
      </c>
      <c r="BG86" s="18" t="s">
        <v>7030</v>
      </c>
      <c r="BH86" s="18"/>
      <c r="BI86" s="18"/>
      <c r="BJ86" s="18" t="s">
        <v>760</v>
      </c>
      <c r="BK86" s="18" t="s">
        <v>11504</v>
      </c>
      <c r="BL86" s="18" t="s">
        <v>10811</v>
      </c>
      <c r="BM86" s="18" t="s">
        <v>92</v>
      </c>
      <c r="BN86" s="18" t="s">
        <v>85</v>
      </c>
      <c r="BO86" s="18">
        <v>0</v>
      </c>
      <c r="BP86" s="18" t="s">
        <v>10812</v>
      </c>
      <c r="BQ86" s="18" t="str">
        <f>VLOOKUP(Prepago[[#This Row],[NOM_PLAZA]],[1]!Locales[#Data],3,0)</f>
        <v>TIENDA RECREO</v>
      </c>
      <c r="BR86" s="18" t="str">
        <f>VLOOKUP(Prepago[[#This Row],[CODIGO_USUARIO]],[1]!Personal[#Data],6,0)</f>
        <v>VALBUENA SANCHEZ ALBERT ANTHONY</v>
      </c>
      <c r="BS86" s="18">
        <f>DAY(Prepago[[#This Row],[FECHA_ALTA]])</f>
        <v>11</v>
      </c>
    </row>
    <row r="87" spans="1:71" x14ac:dyDescent="0.25">
      <c r="A87" s="18" t="s">
        <v>96</v>
      </c>
      <c r="B87" s="18" t="s">
        <v>11505</v>
      </c>
      <c r="C87" s="18" t="s">
        <v>11506</v>
      </c>
      <c r="D87" s="18" t="s">
        <v>11507</v>
      </c>
      <c r="E87" s="22">
        <v>44901</v>
      </c>
      <c r="F87" s="18" t="s">
        <v>67</v>
      </c>
      <c r="G87" s="18" t="s">
        <v>11508</v>
      </c>
      <c r="H87" s="18" t="s">
        <v>11509</v>
      </c>
      <c r="I87" s="18" t="s">
        <v>70</v>
      </c>
      <c r="J87" s="18" t="s">
        <v>8102</v>
      </c>
      <c r="K87" s="18" t="s">
        <v>8103</v>
      </c>
      <c r="L87" s="18" t="s">
        <v>132</v>
      </c>
      <c r="M87" s="18" t="s">
        <v>7037</v>
      </c>
      <c r="N87" s="18" t="s">
        <v>11510</v>
      </c>
      <c r="O87" s="18" t="s">
        <v>75</v>
      </c>
      <c r="P87" s="18" t="s">
        <v>11511</v>
      </c>
      <c r="Q87" s="18" t="s">
        <v>10817</v>
      </c>
      <c r="R87" s="18" t="s">
        <v>78</v>
      </c>
      <c r="S87" s="18" t="s">
        <v>77</v>
      </c>
      <c r="T87" s="22">
        <v>44915</v>
      </c>
      <c r="U87" s="18"/>
      <c r="V87" s="18" t="s">
        <v>81</v>
      </c>
      <c r="W87" s="18" t="s">
        <v>79</v>
      </c>
      <c r="X87" s="18" t="s">
        <v>10803</v>
      </c>
      <c r="Y87" s="18" t="s">
        <v>630</v>
      </c>
      <c r="Z87" s="18" t="s">
        <v>631</v>
      </c>
      <c r="AA87" s="18" t="s">
        <v>630</v>
      </c>
      <c r="AB87" s="18" t="s">
        <v>631</v>
      </c>
      <c r="AC87" s="18" t="s">
        <v>7984</v>
      </c>
      <c r="AD87" s="18" t="s">
        <v>10804</v>
      </c>
      <c r="AE87" s="18" t="s">
        <v>174</v>
      </c>
      <c r="AF87" s="18" t="s">
        <v>95</v>
      </c>
      <c r="AG87" s="18" t="s">
        <v>83</v>
      </c>
      <c r="AH87" s="18" t="s">
        <v>83</v>
      </c>
      <c r="AI87" s="18" t="s">
        <v>81</v>
      </c>
      <c r="AJ87" s="18" t="s">
        <v>118</v>
      </c>
      <c r="AK87" s="18" t="s">
        <v>95</v>
      </c>
      <c r="AL87" s="18" t="s">
        <v>10873</v>
      </c>
      <c r="AM87" s="18" t="s">
        <v>85</v>
      </c>
      <c r="AN87" s="18" t="s">
        <v>7031</v>
      </c>
      <c r="AO87" s="18" t="s">
        <v>86</v>
      </c>
      <c r="AP87" s="18" t="s">
        <v>90</v>
      </c>
      <c r="AQ87" s="18" t="s">
        <v>8002</v>
      </c>
      <c r="AR87" s="18" t="s">
        <v>177</v>
      </c>
      <c r="AS87" s="18" t="s">
        <v>139</v>
      </c>
      <c r="AT87" s="18" t="s">
        <v>95</v>
      </c>
      <c r="AU87" s="18" t="s">
        <v>95</v>
      </c>
      <c r="AV87" s="18" t="s">
        <v>7037</v>
      </c>
      <c r="AW87" s="18" t="s">
        <v>95</v>
      </c>
      <c r="AX87" s="18" t="s">
        <v>10806</v>
      </c>
      <c r="AY87" s="18" t="s">
        <v>95</v>
      </c>
      <c r="AZ87" s="18" t="s">
        <v>95</v>
      </c>
      <c r="BA87" s="18" t="s">
        <v>95</v>
      </c>
      <c r="BB87" s="18" t="s">
        <v>95</v>
      </c>
      <c r="BC87" s="18" t="s">
        <v>95</v>
      </c>
      <c r="BD87" s="18" t="s">
        <v>10829</v>
      </c>
      <c r="BE87" s="18" t="s">
        <v>11512</v>
      </c>
      <c r="BF87" s="18" t="s">
        <v>10809</v>
      </c>
      <c r="BG87" s="18" t="s">
        <v>7030</v>
      </c>
      <c r="BH87" s="18"/>
      <c r="BI87" s="18"/>
      <c r="BJ87" s="18" t="s">
        <v>630</v>
      </c>
      <c r="BK87" s="18" t="s">
        <v>11513</v>
      </c>
      <c r="BL87" s="18" t="s">
        <v>10811</v>
      </c>
      <c r="BM87" s="18" t="s">
        <v>139</v>
      </c>
      <c r="BN87" s="18" t="s">
        <v>85</v>
      </c>
      <c r="BO87" s="18">
        <v>0</v>
      </c>
      <c r="BP87" s="18" t="s">
        <v>10812</v>
      </c>
      <c r="BQ87" s="18" t="str">
        <f>VLOOKUP(Prepago[[#This Row],[NOM_PLAZA]],[1]!Locales[#Data],3,0)</f>
        <v>TIENDA RECREO</v>
      </c>
      <c r="BR87" s="18" t="str">
        <f>VLOOKUP(Prepago[[#This Row],[CODIGO_USUARIO]],[1]!Personal[#Data],6,0)</f>
        <v>LOAYZA AGUILAR JONATHAN FABIAN</v>
      </c>
      <c r="BS87" s="18">
        <f>DAY(Prepago[[#This Row],[FECHA_ALTA]])</f>
        <v>6</v>
      </c>
    </row>
    <row r="88" spans="1:71" x14ac:dyDescent="0.25">
      <c r="A88" s="18" t="s">
        <v>96</v>
      </c>
      <c r="B88" s="18" t="s">
        <v>11514</v>
      </c>
      <c r="C88" s="18" t="s">
        <v>11515</v>
      </c>
      <c r="D88" s="18" t="s">
        <v>11516</v>
      </c>
      <c r="E88" s="22">
        <v>44909</v>
      </c>
      <c r="F88" s="18" t="s">
        <v>67</v>
      </c>
      <c r="G88" s="18" t="s">
        <v>11517</v>
      </c>
      <c r="H88" s="18" t="s">
        <v>11518</v>
      </c>
      <c r="I88" s="18" t="s">
        <v>193</v>
      </c>
      <c r="J88" s="18" t="s">
        <v>8102</v>
      </c>
      <c r="K88" s="18" t="s">
        <v>8103</v>
      </c>
      <c r="L88" s="18" t="s">
        <v>259</v>
      </c>
      <c r="M88" s="18" t="s">
        <v>7037</v>
      </c>
      <c r="N88" s="18" t="s">
        <v>11519</v>
      </c>
      <c r="O88" s="18" t="s">
        <v>75</v>
      </c>
      <c r="P88" s="18" t="s">
        <v>11520</v>
      </c>
      <c r="Q88" s="18" t="s">
        <v>10817</v>
      </c>
      <c r="R88" s="18" t="s">
        <v>78</v>
      </c>
      <c r="S88" s="18" t="s">
        <v>77</v>
      </c>
      <c r="T88" s="22">
        <v>44915</v>
      </c>
      <c r="U88" s="18"/>
      <c r="V88" s="18" t="s">
        <v>81</v>
      </c>
      <c r="W88" s="18" t="s">
        <v>79</v>
      </c>
      <c r="X88" s="18" t="s">
        <v>10803</v>
      </c>
      <c r="Y88" s="18" t="s">
        <v>262</v>
      </c>
      <c r="Z88" s="18" t="s">
        <v>263</v>
      </c>
      <c r="AA88" s="18" t="s">
        <v>7062</v>
      </c>
      <c r="AB88" s="18" t="s">
        <v>95</v>
      </c>
      <c r="AC88" s="18" t="s">
        <v>7984</v>
      </c>
      <c r="AD88" s="18" t="s">
        <v>10804</v>
      </c>
      <c r="AE88" s="18" t="s">
        <v>174</v>
      </c>
      <c r="AF88" s="18" t="s">
        <v>95</v>
      </c>
      <c r="AG88" s="18" t="s">
        <v>83</v>
      </c>
      <c r="AH88" s="18" t="s">
        <v>83</v>
      </c>
      <c r="AI88" s="18" t="s">
        <v>81</v>
      </c>
      <c r="AJ88" s="18" t="s">
        <v>118</v>
      </c>
      <c r="AK88" s="18" t="s">
        <v>95</v>
      </c>
      <c r="AL88" s="18" t="s">
        <v>10883</v>
      </c>
      <c r="AM88" s="18" t="s">
        <v>85</v>
      </c>
      <c r="AN88" s="18" t="s">
        <v>7031</v>
      </c>
      <c r="AO88" s="18" t="s">
        <v>86</v>
      </c>
      <c r="AP88" s="18" t="s">
        <v>90</v>
      </c>
      <c r="AQ88" s="18" t="s">
        <v>8002</v>
      </c>
      <c r="AR88" s="18" t="s">
        <v>177</v>
      </c>
      <c r="AS88" s="18" t="s">
        <v>139</v>
      </c>
      <c r="AT88" s="18" t="s">
        <v>95</v>
      </c>
      <c r="AU88" s="18" t="s">
        <v>95</v>
      </c>
      <c r="AV88" s="18" t="s">
        <v>7037</v>
      </c>
      <c r="AW88" s="18" t="s">
        <v>95</v>
      </c>
      <c r="AX88" s="18" t="s">
        <v>10806</v>
      </c>
      <c r="AY88" s="18" t="s">
        <v>95</v>
      </c>
      <c r="AZ88" s="18" t="s">
        <v>95</v>
      </c>
      <c r="BA88" s="18" t="s">
        <v>95</v>
      </c>
      <c r="BB88" s="18" t="s">
        <v>95</v>
      </c>
      <c r="BC88" s="18" t="s">
        <v>95</v>
      </c>
      <c r="BD88" s="18" t="s">
        <v>10829</v>
      </c>
      <c r="BE88" s="18" t="s">
        <v>11521</v>
      </c>
      <c r="BF88" s="18" t="s">
        <v>10809</v>
      </c>
      <c r="BG88" s="18" t="s">
        <v>7030</v>
      </c>
      <c r="BH88" s="18"/>
      <c r="BI88" s="18"/>
      <c r="BJ88" s="18" t="s">
        <v>262</v>
      </c>
      <c r="BK88" s="18" t="s">
        <v>11522</v>
      </c>
      <c r="BL88" s="18" t="s">
        <v>10811</v>
      </c>
      <c r="BM88" s="18" t="s">
        <v>139</v>
      </c>
      <c r="BN88" s="18" t="s">
        <v>85</v>
      </c>
      <c r="BO88" s="18">
        <v>0</v>
      </c>
      <c r="BP88" s="18" t="s">
        <v>10812</v>
      </c>
      <c r="BQ88" s="18" t="str">
        <f>VLOOKUP(Prepago[[#This Row],[NOM_PLAZA]],[1]!Locales[#Data],3,0)</f>
        <v>TIENDA RECREO</v>
      </c>
      <c r="BR88" s="18" t="str">
        <f>VLOOKUP(Prepago[[#This Row],[CODIGO_USUARIO]],[1]!Personal[#Data],6,0)</f>
        <v>CHICAIZA TOAPANTA ALEX DANILO</v>
      </c>
      <c r="BS88" s="18">
        <f>DAY(Prepago[[#This Row],[FECHA_ALTA]])</f>
        <v>14</v>
      </c>
    </row>
    <row r="89" spans="1:71" x14ac:dyDescent="0.25">
      <c r="A89" s="18" t="s">
        <v>96</v>
      </c>
      <c r="B89" s="18" t="s">
        <v>11523</v>
      </c>
      <c r="C89" s="18" t="s">
        <v>11524</v>
      </c>
      <c r="D89" s="18" t="s">
        <v>11525</v>
      </c>
      <c r="E89" s="22">
        <v>44913</v>
      </c>
      <c r="F89" s="18" t="s">
        <v>67</v>
      </c>
      <c r="G89" s="18" t="s">
        <v>11526</v>
      </c>
      <c r="H89" s="18" t="s">
        <v>11527</v>
      </c>
      <c r="I89" s="18" t="s">
        <v>70</v>
      </c>
      <c r="J89" s="18" t="s">
        <v>8102</v>
      </c>
      <c r="K89" s="18" t="s">
        <v>8103</v>
      </c>
      <c r="L89" s="18" t="s">
        <v>132</v>
      </c>
      <c r="M89" s="18" t="s">
        <v>7037</v>
      </c>
      <c r="N89" s="18" t="s">
        <v>11528</v>
      </c>
      <c r="O89" s="18" t="s">
        <v>75</v>
      </c>
      <c r="P89" s="18" t="s">
        <v>11529</v>
      </c>
      <c r="Q89" s="18" t="s">
        <v>10817</v>
      </c>
      <c r="R89" s="18" t="s">
        <v>78</v>
      </c>
      <c r="S89" s="18" t="s">
        <v>77</v>
      </c>
      <c r="T89" s="22">
        <v>44915</v>
      </c>
      <c r="U89" s="18"/>
      <c r="V89" s="18" t="s">
        <v>81</v>
      </c>
      <c r="W89" s="18" t="s">
        <v>79</v>
      </c>
      <c r="X89" s="18" t="s">
        <v>10803</v>
      </c>
      <c r="Y89" s="18" t="s">
        <v>2159</v>
      </c>
      <c r="Z89" s="18" t="s">
        <v>2160</v>
      </c>
      <c r="AA89" s="18" t="s">
        <v>7062</v>
      </c>
      <c r="AB89" s="18" t="s">
        <v>95</v>
      </c>
      <c r="AC89" s="18" t="s">
        <v>7984</v>
      </c>
      <c r="AD89" s="18" t="s">
        <v>10804</v>
      </c>
      <c r="AE89" s="18" t="s">
        <v>174</v>
      </c>
      <c r="AF89" s="18" t="s">
        <v>95</v>
      </c>
      <c r="AG89" s="18" t="s">
        <v>83</v>
      </c>
      <c r="AH89" s="18" t="s">
        <v>83</v>
      </c>
      <c r="AI89" s="18" t="s">
        <v>81</v>
      </c>
      <c r="AJ89" s="18" t="s">
        <v>118</v>
      </c>
      <c r="AK89" s="18" t="s">
        <v>95</v>
      </c>
      <c r="AL89" s="18" t="s">
        <v>11080</v>
      </c>
      <c r="AM89" s="18" t="s">
        <v>85</v>
      </c>
      <c r="AN89" s="18" t="s">
        <v>7031</v>
      </c>
      <c r="AO89" s="18" t="s">
        <v>86</v>
      </c>
      <c r="AP89" s="18" t="s">
        <v>90</v>
      </c>
      <c r="AQ89" s="18" t="s">
        <v>8002</v>
      </c>
      <c r="AR89" s="18" t="s">
        <v>177</v>
      </c>
      <c r="AS89" s="18" t="s">
        <v>139</v>
      </c>
      <c r="AT89" s="18" t="s">
        <v>95</v>
      </c>
      <c r="AU89" s="18" t="s">
        <v>95</v>
      </c>
      <c r="AV89" s="18" t="s">
        <v>7037</v>
      </c>
      <c r="AW89" s="18" t="s">
        <v>95</v>
      </c>
      <c r="AX89" s="18" t="s">
        <v>10806</v>
      </c>
      <c r="AY89" s="18" t="s">
        <v>95</v>
      </c>
      <c r="AZ89" s="18" t="s">
        <v>95</v>
      </c>
      <c r="BA89" s="18" t="s">
        <v>95</v>
      </c>
      <c r="BB89" s="18" t="s">
        <v>95</v>
      </c>
      <c r="BC89" s="18" t="s">
        <v>95</v>
      </c>
      <c r="BD89" s="18" t="s">
        <v>10829</v>
      </c>
      <c r="BE89" s="18" t="s">
        <v>11530</v>
      </c>
      <c r="BF89" s="18" t="s">
        <v>10809</v>
      </c>
      <c r="BG89" s="18" t="s">
        <v>7030</v>
      </c>
      <c r="BH89" s="18"/>
      <c r="BI89" s="18"/>
      <c r="BJ89" s="18" t="s">
        <v>2159</v>
      </c>
      <c r="BK89" s="18" t="s">
        <v>11531</v>
      </c>
      <c r="BL89" s="18" t="s">
        <v>10811</v>
      </c>
      <c r="BM89" s="18" t="s">
        <v>139</v>
      </c>
      <c r="BN89" s="18" t="s">
        <v>85</v>
      </c>
      <c r="BO89" s="18">
        <v>0</v>
      </c>
      <c r="BP89" s="18" t="s">
        <v>10812</v>
      </c>
      <c r="BQ89" s="18" t="str">
        <f>VLOOKUP(Prepago[[#This Row],[NOM_PLAZA]],[1]!Locales[#Data],3,0)</f>
        <v>TIENDA RECREO</v>
      </c>
      <c r="BR89" s="18" t="str">
        <f>VLOOKUP(Prepago[[#This Row],[CODIGO_USUARIO]],[1]!Personal[#Data],6,0)</f>
        <v>GUEVARA MAZA CRISTIAN FABIAN</v>
      </c>
      <c r="BS89" s="18">
        <f>DAY(Prepago[[#This Row],[FECHA_ALTA]])</f>
        <v>18</v>
      </c>
    </row>
    <row r="90" spans="1:71" x14ac:dyDescent="0.25">
      <c r="A90" s="18" t="s">
        <v>96</v>
      </c>
      <c r="B90" s="18" t="s">
        <v>11532</v>
      </c>
      <c r="C90" s="18" t="s">
        <v>11533</v>
      </c>
      <c r="D90" s="18" t="s">
        <v>11534</v>
      </c>
      <c r="E90" s="22">
        <v>44907</v>
      </c>
      <c r="F90" s="18" t="s">
        <v>67</v>
      </c>
      <c r="G90" s="18" t="s">
        <v>11535</v>
      </c>
      <c r="H90" s="18" t="s">
        <v>11536</v>
      </c>
      <c r="I90" s="18" t="s">
        <v>70</v>
      </c>
      <c r="J90" s="18" t="s">
        <v>8102</v>
      </c>
      <c r="K90" s="18" t="s">
        <v>8103</v>
      </c>
      <c r="L90" s="18" t="s">
        <v>73</v>
      </c>
      <c r="M90" s="18" t="s">
        <v>7037</v>
      </c>
      <c r="N90" s="18" t="s">
        <v>11537</v>
      </c>
      <c r="O90" s="18" t="s">
        <v>75</v>
      </c>
      <c r="P90" s="18" t="s">
        <v>11538</v>
      </c>
      <c r="Q90" s="18" t="s">
        <v>1532</v>
      </c>
      <c r="R90" s="18" t="s">
        <v>78</v>
      </c>
      <c r="S90" s="18" t="s">
        <v>77</v>
      </c>
      <c r="T90" s="22">
        <v>44915</v>
      </c>
      <c r="U90" s="18"/>
      <c r="V90" s="18" t="s">
        <v>81</v>
      </c>
      <c r="W90" s="18" t="s">
        <v>79</v>
      </c>
      <c r="X90" s="18" t="s">
        <v>10803</v>
      </c>
      <c r="Y90" s="18" t="s">
        <v>303</v>
      </c>
      <c r="Z90" s="18" t="s">
        <v>304</v>
      </c>
      <c r="AA90" s="18" t="s">
        <v>7062</v>
      </c>
      <c r="AB90" s="18" t="s">
        <v>95</v>
      </c>
      <c r="AC90" s="18" t="s">
        <v>7984</v>
      </c>
      <c r="AD90" s="18" t="s">
        <v>10804</v>
      </c>
      <c r="AE90" s="18" t="s">
        <v>174</v>
      </c>
      <c r="AF90" s="18" t="s">
        <v>95</v>
      </c>
      <c r="AG90" s="18" t="s">
        <v>83</v>
      </c>
      <c r="AH90" s="18" t="s">
        <v>83</v>
      </c>
      <c r="AI90" s="18" t="s">
        <v>81</v>
      </c>
      <c r="AJ90" s="18" t="s">
        <v>118</v>
      </c>
      <c r="AK90" s="18" t="s">
        <v>95</v>
      </c>
      <c r="AL90" s="18" t="s">
        <v>10805</v>
      </c>
      <c r="AM90" s="18" t="s">
        <v>85</v>
      </c>
      <c r="AN90" s="18" t="s">
        <v>7031</v>
      </c>
      <c r="AO90" s="18" t="s">
        <v>86</v>
      </c>
      <c r="AP90" s="18" t="s">
        <v>90</v>
      </c>
      <c r="AQ90" s="18" t="s">
        <v>8002</v>
      </c>
      <c r="AR90" s="18" t="s">
        <v>177</v>
      </c>
      <c r="AS90" s="18" t="s">
        <v>139</v>
      </c>
      <c r="AT90" s="18" t="s">
        <v>95</v>
      </c>
      <c r="AU90" s="18" t="s">
        <v>95</v>
      </c>
      <c r="AV90" s="18" t="s">
        <v>7037</v>
      </c>
      <c r="AW90" s="18" t="s">
        <v>95</v>
      </c>
      <c r="AX90" s="18" t="s">
        <v>10806</v>
      </c>
      <c r="AY90" s="18" t="s">
        <v>95</v>
      </c>
      <c r="AZ90" s="18" t="s">
        <v>95</v>
      </c>
      <c r="BA90" s="18" t="s">
        <v>95</v>
      </c>
      <c r="BB90" s="18" t="s">
        <v>95</v>
      </c>
      <c r="BC90" s="18" t="s">
        <v>95</v>
      </c>
      <c r="BD90" s="18" t="s">
        <v>10807</v>
      </c>
      <c r="BE90" s="18" t="s">
        <v>10808</v>
      </c>
      <c r="BF90" s="18" t="s">
        <v>10809</v>
      </c>
      <c r="BG90" s="18" t="s">
        <v>7030</v>
      </c>
      <c r="BH90" s="18"/>
      <c r="BI90" s="18"/>
      <c r="BJ90" s="18" t="s">
        <v>303</v>
      </c>
      <c r="BK90" s="18" t="s">
        <v>11539</v>
      </c>
      <c r="BL90" s="18" t="s">
        <v>10811</v>
      </c>
      <c r="BM90" s="18" t="s">
        <v>139</v>
      </c>
      <c r="BN90" s="18" t="s">
        <v>85</v>
      </c>
      <c r="BO90" s="18">
        <v>0</v>
      </c>
      <c r="BP90" s="18" t="s">
        <v>10812</v>
      </c>
      <c r="BQ90" s="18" t="str">
        <f>VLOOKUP(Prepago[[#This Row],[NOM_PLAZA]],[1]!Locales[#Data],3,0)</f>
        <v>TIENDA RECREO</v>
      </c>
      <c r="BR90" s="18" t="str">
        <f>VLOOKUP(Prepago[[#This Row],[CODIGO_USUARIO]],[1]!Personal[#Data],6,0)</f>
        <v>CORDOVA GAIBOR JONATHAN HERNAN</v>
      </c>
      <c r="BS90" s="18">
        <f>DAY(Prepago[[#This Row],[FECHA_ALTA]])</f>
        <v>12</v>
      </c>
    </row>
    <row r="91" spans="1:71" x14ac:dyDescent="0.25">
      <c r="A91" s="18" t="s">
        <v>96</v>
      </c>
      <c r="B91" s="18" t="s">
        <v>11540</v>
      </c>
      <c r="C91" s="18" t="s">
        <v>11541</v>
      </c>
      <c r="D91" s="18" t="s">
        <v>11542</v>
      </c>
      <c r="E91" s="22">
        <v>44908</v>
      </c>
      <c r="F91" s="18" t="s">
        <v>67</v>
      </c>
      <c r="G91" s="18" t="s">
        <v>11543</v>
      </c>
      <c r="H91" s="18" t="s">
        <v>11544</v>
      </c>
      <c r="I91" s="18" t="s">
        <v>70</v>
      </c>
      <c r="J91" s="18" t="s">
        <v>8102</v>
      </c>
      <c r="K91" s="18" t="s">
        <v>8103</v>
      </c>
      <c r="L91" s="18" t="s">
        <v>73</v>
      </c>
      <c r="M91" s="18" t="s">
        <v>7037</v>
      </c>
      <c r="N91" s="18" t="s">
        <v>11545</v>
      </c>
      <c r="O91" s="18" t="s">
        <v>75</v>
      </c>
      <c r="P91" s="18" t="s">
        <v>11546</v>
      </c>
      <c r="Q91" s="18" t="s">
        <v>4453</v>
      </c>
      <c r="R91" s="18" t="s">
        <v>78</v>
      </c>
      <c r="S91" s="18" t="s">
        <v>77</v>
      </c>
      <c r="T91" s="22">
        <v>44915</v>
      </c>
      <c r="U91" s="18"/>
      <c r="V91" s="18" t="s">
        <v>81</v>
      </c>
      <c r="W91" s="18" t="s">
        <v>79</v>
      </c>
      <c r="X91" s="18" t="s">
        <v>10803</v>
      </c>
      <c r="Y91" s="18" t="s">
        <v>175</v>
      </c>
      <c r="Z91" s="18" t="s">
        <v>176</v>
      </c>
      <c r="AA91" s="18" t="s">
        <v>7062</v>
      </c>
      <c r="AB91" s="18" t="s">
        <v>95</v>
      </c>
      <c r="AC91" s="18" t="s">
        <v>7984</v>
      </c>
      <c r="AD91" s="18" t="s">
        <v>10804</v>
      </c>
      <c r="AE91" s="18" t="s">
        <v>174</v>
      </c>
      <c r="AF91" s="18" t="s">
        <v>95</v>
      </c>
      <c r="AG91" s="18" t="s">
        <v>83</v>
      </c>
      <c r="AH91" s="18" t="s">
        <v>83</v>
      </c>
      <c r="AI91" s="18" t="s">
        <v>81</v>
      </c>
      <c r="AJ91" s="18" t="s">
        <v>118</v>
      </c>
      <c r="AK91" s="18" t="s">
        <v>95</v>
      </c>
      <c r="AL91" s="18" t="s">
        <v>11268</v>
      </c>
      <c r="AM91" s="18" t="s">
        <v>85</v>
      </c>
      <c r="AN91" s="18" t="s">
        <v>7031</v>
      </c>
      <c r="AO91" s="18" t="s">
        <v>86</v>
      </c>
      <c r="AP91" s="18" t="s">
        <v>90</v>
      </c>
      <c r="AQ91" s="18" t="s">
        <v>8002</v>
      </c>
      <c r="AR91" s="18" t="s">
        <v>177</v>
      </c>
      <c r="AS91" s="18" t="s">
        <v>139</v>
      </c>
      <c r="AT91" s="18" t="s">
        <v>95</v>
      </c>
      <c r="AU91" s="18" t="s">
        <v>95</v>
      </c>
      <c r="AV91" s="18" t="s">
        <v>7037</v>
      </c>
      <c r="AW91" s="18" t="s">
        <v>95</v>
      </c>
      <c r="AX91" s="18" t="s">
        <v>10806</v>
      </c>
      <c r="AY91" s="18" t="s">
        <v>95</v>
      </c>
      <c r="AZ91" s="18" t="s">
        <v>95</v>
      </c>
      <c r="BA91" s="18" t="s">
        <v>95</v>
      </c>
      <c r="BB91" s="18" t="s">
        <v>95</v>
      </c>
      <c r="BC91" s="18" t="s">
        <v>95</v>
      </c>
      <c r="BD91" s="18" t="s">
        <v>10807</v>
      </c>
      <c r="BE91" s="18" t="s">
        <v>10808</v>
      </c>
      <c r="BF91" s="18" t="s">
        <v>10809</v>
      </c>
      <c r="BG91" s="18" t="s">
        <v>7030</v>
      </c>
      <c r="BH91" s="18"/>
      <c r="BI91" s="18"/>
      <c r="BJ91" s="18" t="s">
        <v>175</v>
      </c>
      <c r="BK91" s="18" t="s">
        <v>11547</v>
      </c>
      <c r="BL91" s="18" t="s">
        <v>10811</v>
      </c>
      <c r="BM91" s="18" t="s">
        <v>139</v>
      </c>
      <c r="BN91" s="18" t="s">
        <v>85</v>
      </c>
      <c r="BO91" s="18">
        <v>0</v>
      </c>
      <c r="BP91" s="18" t="s">
        <v>10812</v>
      </c>
      <c r="BQ91" s="18" t="str">
        <f>VLOOKUP(Prepago[[#This Row],[NOM_PLAZA]],[1]!Locales[#Data],3,0)</f>
        <v>TIENDA RECREO</v>
      </c>
      <c r="BR91" s="18" t="str">
        <f>VLOOKUP(Prepago[[#This Row],[CODIGO_USUARIO]],[1]!Personal[#Data],6,0)</f>
        <v>VARGAS REYES LUIS EDUARDO</v>
      </c>
      <c r="BS91" s="18">
        <f>DAY(Prepago[[#This Row],[FECHA_ALTA]])</f>
        <v>13</v>
      </c>
    </row>
    <row r="92" spans="1:71" x14ac:dyDescent="0.25">
      <c r="A92" s="18" t="s">
        <v>96</v>
      </c>
      <c r="B92" s="18" t="s">
        <v>11548</v>
      </c>
      <c r="C92" s="18" t="s">
        <v>11549</v>
      </c>
      <c r="D92" s="18" t="s">
        <v>11550</v>
      </c>
      <c r="E92" s="22">
        <v>44911</v>
      </c>
      <c r="F92" s="18" t="s">
        <v>67</v>
      </c>
      <c r="G92" s="18" t="s">
        <v>11551</v>
      </c>
      <c r="H92" s="18" t="s">
        <v>11552</v>
      </c>
      <c r="I92" s="18" t="s">
        <v>70</v>
      </c>
      <c r="J92" s="18" t="s">
        <v>8102</v>
      </c>
      <c r="K92" s="18" t="s">
        <v>8103</v>
      </c>
      <c r="L92" s="18" t="s">
        <v>73</v>
      </c>
      <c r="M92" s="18" t="s">
        <v>7029</v>
      </c>
      <c r="N92" s="18" t="s">
        <v>11553</v>
      </c>
      <c r="O92" s="18" t="s">
        <v>75</v>
      </c>
      <c r="P92" s="18" t="s">
        <v>11554</v>
      </c>
      <c r="Q92" s="18" t="s">
        <v>1532</v>
      </c>
      <c r="R92" s="18" t="s">
        <v>78</v>
      </c>
      <c r="S92" s="18" t="s">
        <v>77</v>
      </c>
      <c r="T92" s="22">
        <v>44915</v>
      </c>
      <c r="U92" s="18"/>
      <c r="V92" s="18" t="s">
        <v>81</v>
      </c>
      <c r="W92" s="18" t="s">
        <v>79</v>
      </c>
      <c r="X92" s="18" t="s">
        <v>10803</v>
      </c>
      <c r="Y92" s="18" t="s">
        <v>822</v>
      </c>
      <c r="Z92" s="18" t="s">
        <v>823</v>
      </c>
      <c r="AA92" s="18" t="s">
        <v>7062</v>
      </c>
      <c r="AB92" s="18" t="s">
        <v>95</v>
      </c>
      <c r="AC92" s="18" t="s">
        <v>7984</v>
      </c>
      <c r="AD92" s="18" t="s">
        <v>10804</v>
      </c>
      <c r="AE92" s="18" t="s">
        <v>174</v>
      </c>
      <c r="AF92" s="18" t="s">
        <v>95</v>
      </c>
      <c r="AG92" s="18" t="s">
        <v>83</v>
      </c>
      <c r="AH92" s="18" t="s">
        <v>83</v>
      </c>
      <c r="AI92" s="18" t="s">
        <v>81</v>
      </c>
      <c r="AJ92" s="18" t="s">
        <v>118</v>
      </c>
      <c r="AK92" s="18" t="s">
        <v>95</v>
      </c>
      <c r="AL92" s="18" t="s">
        <v>10828</v>
      </c>
      <c r="AM92" s="18" t="s">
        <v>85</v>
      </c>
      <c r="AN92" s="18" t="s">
        <v>7031</v>
      </c>
      <c r="AO92" s="18" t="s">
        <v>86</v>
      </c>
      <c r="AP92" s="18" t="s">
        <v>90</v>
      </c>
      <c r="AQ92" s="18" t="s">
        <v>8002</v>
      </c>
      <c r="AR92" s="18" t="s">
        <v>177</v>
      </c>
      <c r="AS92" s="18" t="s">
        <v>139</v>
      </c>
      <c r="AT92" s="18" t="s">
        <v>95</v>
      </c>
      <c r="AU92" s="18" t="s">
        <v>95</v>
      </c>
      <c r="AV92" s="18" t="s">
        <v>7029</v>
      </c>
      <c r="AW92" s="18" t="s">
        <v>95</v>
      </c>
      <c r="AX92" s="18" t="s">
        <v>10806</v>
      </c>
      <c r="AY92" s="18" t="s">
        <v>95</v>
      </c>
      <c r="AZ92" s="18" t="s">
        <v>95</v>
      </c>
      <c r="BA92" s="18" t="s">
        <v>95</v>
      </c>
      <c r="BB92" s="18" t="s">
        <v>95</v>
      </c>
      <c r="BC92" s="18" t="s">
        <v>95</v>
      </c>
      <c r="BD92" s="18" t="s">
        <v>10829</v>
      </c>
      <c r="BE92" s="18" t="s">
        <v>10808</v>
      </c>
      <c r="BF92" s="18" t="s">
        <v>10809</v>
      </c>
      <c r="BG92" s="18" t="s">
        <v>7030</v>
      </c>
      <c r="BH92" s="18"/>
      <c r="BI92" s="18"/>
      <c r="BJ92" s="18" t="s">
        <v>822</v>
      </c>
      <c r="BK92" s="18" t="s">
        <v>11555</v>
      </c>
      <c r="BL92" s="18" t="s">
        <v>10811</v>
      </c>
      <c r="BM92" s="18" t="s">
        <v>92</v>
      </c>
      <c r="BN92" s="18" t="s">
        <v>85</v>
      </c>
      <c r="BO92" s="18">
        <v>0</v>
      </c>
      <c r="BP92" s="18" t="s">
        <v>10812</v>
      </c>
      <c r="BQ92" s="18" t="str">
        <f>VLOOKUP(Prepago[[#This Row],[NOM_PLAZA]],[1]!Locales[#Data],3,0)</f>
        <v>TIENDA RECREO</v>
      </c>
      <c r="BR92" s="18" t="str">
        <f>VLOOKUP(Prepago[[#This Row],[CODIGO_USUARIO]],[1]!Personal[#Data],6,0)</f>
        <v>SALAS PARRA MARIA JOSE</v>
      </c>
      <c r="BS92" s="18">
        <f>DAY(Prepago[[#This Row],[FECHA_ALTA]])</f>
        <v>16</v>
      </c>
    </row>
    <row r="93" spans="1:71" x14ac:dyDescent="0.25">
      <c r="A93" s="18" t="s">
        <v>96</v>
      </c>
      <c r="B93" s="18" t="s">
        <v>11556</v>
      </c>
      <c r="C93" s="18" t="s">
        <v>11557</v>
      </c>
      <c r="D93" s="18" t="s">
        <v>11558</v>
      </c>
      <c r="E93" s="22">
        <v>44908</v>
      </c>
      <c r="F93" s="18" t="s">
        <v>67</v>
      </c>
      <c r="G93" s="18" t="s">
        <v>11559</v>
      </c>
      <c r="H93" s="18" t="s">
        <v>11560</v>
      </c>
      <c r="I93" s="18" t="s">
        <v>70</v>
      </c>
      <c r="J93" s="18" t="s">
        <v>8102</v>
      </c>
      <c r="K93" s="18" t="s">
        <v>8103</v>
      </c>
      <c r="L93" s="18" t="s">
        <v>132</v>
      </c>
      <c r="M93" s="18" t="s">
        <v>7037</v>
      </c>
      <c r="N93" s="18" t="s">
        <v>11561</v>
      </c>
      <c r="O93" s="18" t="s">
        <v>75</v>
      </c>
      <c r="P93" s="18" t="s">
        <v>11562</v>
      </c>
      <c r="Q93" s="18" t="s">
        <v>4453</v>
      </c>
      <c r="R93" s="18" t="s">
        <v>78</v>
      </c>
      <c r="S93" s="18" t="s">
        <v>77</v>
      </c>
      <c r="T93" s="22">
        <v>44915</v>
      </c>
      <c r="U93" s="18"/>
      <c r="V93" s="18" t="s">
        <v>81</v>
      </c>
      <c r="W93" s="18" t="s">
        <v>79</v>
      </c>
      <c r="X93" s="18" t="s">
        <v>10803</v>
      </c>
      <c r="Y93" s="18" t="s">
        <v>187</v>
      </c>
      <c r="Z93" s="18" t="s">
        <v>188</v>
      </c>
      <c r="AA93" s="18" t="s">
        <v>7062</v>
      </c>
      <c r="AB93" s="18" t="s">
        <v>95</v>
      </c>
      <c r="AC93" s="18" t="s">
        <v>7984</v>
      </c>
      <c r="AD93" s="18" t="s">
        <v>10804</v>
      </c>
      <c r="AE93" s="18" t="s">
        <v>174</v>
      </c>
      <c r="AF93" s="18" t="s">
        <v>95</v>
      </c>
      <c r="AG93" s="18" t="s">
        <v>83</v>
      </c>
      <c r="AH93" s="18" t="s">
        <v>83</v>
      </c>
      <c r="AI93" s="18" t="s">
        <v>81</v>
      </c>
      <c r="AJ93" s="18" t="s">
        <v>118</v>
      </c>
      <c r="AK93" s="18" t="s">
        <v>95</v>
      </c>
      <c r="AL93" s="18" t="s">
        <v>10920</v>
      </c>
      <c r="AM93" s="18" t="s">
        <v>85</v>
      </c>
      <c r="AN93" s="18" t="s">
        <v>7031</v>
      </c>
      <c r="AO93" s="18" t="s">
        <v>86</v>
      </c>
      <c r="AP93" s="18" t="s">
        <v>90</v>
      </c>
      <c r="AQ93" s="18" t="s">
        <v>8002</v>
      </c>
      <c r="AR93" s="18" t="s">
        <v>177</v>
      </c>
      <c r="AS93" s="18" t="s">
        <v>139</v>
      </c>
      <c r="AT93" s="18" t="s">
        <v>95</v>
      </c>
      <c r="AU93" s="18" t="s">
        <v>95</v>
      </c>
      <c r="AV93" s="18" t="s">
        <v>7037</v>
      </c>
      <c r="AW93" s="18" t="s">
        <v>95</v>
      </c>
      <c r="AX93" s="18" t="s">
        <v>10806</v>
      </c>
      <c r="AY93" s="18" t="s">
        <v>95</v>
      </c>
      <c r="AZ93" s="18" t="s">
        <v>95</v>
      </c>
      <c r="BA93" s="18" t="s">
        <v>95</v>
      </c>
      <c r="BB93" s="18" t="s">
        <v>95</v>
      </c>
      <c r="BC93" s="18" t="s">
        <v>95</v>
      </c>
      <c r="BD93" s="18" t="s">
        <v>10807</v>
      </c>
      <c r="BE93" s="18" t="s">
        <v>11563</v>
      </c>
      <c r="BF93" s="18" t="s">
        <v>10809</v>
      </c>
      <c r="BG93" s="18" t="s">
        <v>7030</v>
      </c>
      <c r="BH93" s="18"/>
      <c r="BI93" s="18"/>
      <c r="BJ93" s="18" t="s">
        <v>187</v>
      </c>
      <c r="BK93" s="18" t="s">
        <v>11564</v>
      </c>
      <c r="BL93" s="18" t="s">
        <v>10811</v>
      </c>
      <c r="BM93" s="18" t="s">
        <v>139</v>
      </c>
      <c r="BN93" s="18" t="s">
        <v>85</v>
      </c>
      <c r="BO93" s="18">
        <v>0</v>
      </c>
      <c r="BP93" s="18" t="s">
        <v>10812</v>
      </c>
      <c r="BQ93" s="18" t="str">
        <f>VLOOKUP(Prepago[[#This Row],[NOM_PLAZA]],[1]!Locales[#Data],3,0)</f>
        <v>TIENDA RECREO</v>
      </c>
      <c r="BR93" s="18" t="str">
        <f>VLOOKUP(Prepago[[#This Row],[CODIGO_USUARIO]],[1]!Personal[#Data],6,0)</f>
        <v>ESPINOZA MARTINES LAURA XIOMARA</v>
      </c>
      <c r="BS93" s="18">
        <f>DAY(Prepago[[#This Row],[FECHA_ALTA]])</f>
        <v>13</v>
      </c>
    </row>
    <row r="94" spans="1:71" x14ac:dyDescent="0.25">
      <c r="A94" s="18" t="s">
        <v>96</v>
      </c>
      <c r="B94" s="18" t="s">
        <v>11565</v>
      </c>
      <c r="C94" s="18" t="s">
        <v>11566</v>
      </c>
      <c r="D94" s="18" t="s">
        <v>11567</v>
      </c>
      <c r="E94" s="22">
        <v>44913</v>
      </c>
      <c r="F94" s="18" t="s">
        <v>67</v>
      </c>
      <c r="G94" s="18" t="s">
        <v>10393</v>
      </c>
      <c r="H94" s="18" t="s">
        <v>10394</v>
      </c>
      <c r="I94" s="18" t="s">
        <v>70</v>
      </c>
      <c r="J94" s="18" t="s">
        <v>8102</v>
      </c>
      <c r="K94" s="18" t="s">
        <v>8103</v>
      </c>
      <c r="L94" s="18" t="s">
        <v>132</v>
      </c>
      <c r="M94" s="18" t="s">
        <v>7037</v>
      </c>
      <c r="N94" s="18" t="s">
        <v>11568</v>
      </c>
      <c r="O94" s="18" t="s">
        <v>75</v>
      </c>
      <c r="P94" s="18" t="s">
        <v>11569</v>
      </c>
      <c r="Q94" s="18" t="s">
        <v>1532</v>
      </c>
      <c r="R94" s="18" t="s">
        <v>78</v>
      </c>
      <c r="S94" s="18" t="s">
        <v>77</v>
      </c>
      <c r="T94" s="22">
        <v>44915</v>
      </c>
      <c r="U94" s="18"/>
      <c r="V94" s="18" t="s">
        <v>81</v>
      </c>
      <c r="W94" s="18" t="s">
        <v>79</v>
      </c>
      <c r="X94" s="18" t="s">
        <v>10803</v>
      </c>
      <c r="Y94" s="18" t="s">
        <v>187</v>
      </c>
      <c r="Z94" s="18" t="s">
        <v>188</v>
      </c>
      <c r="AA94" s="18" t="s">
        <v>7062</v>
      </c>
      <c r="AB94" s="18" t="s">
        <v>95</v>
      </c>
      <c r="AC94" s="18" t="s">
        <v>7984</v>
      </c>
      <c r="AD94" s="18" t="s">
        <v>10804</v>
      </c>
      <c r="AE94" s="18" t="s">
        <v>174</v>
      </c>
      <c r="AF94" s="18" t="s">
        <v>95</v>
      </c>
      <c r="AG94" s="18" t="s">
        <v>83</v>
      </c>
      <c r="AH94" s="18" t="s">
        <v>83</v>
      </c>
      <c r="AI94" s="18" t="s">
        <v>81</v>
      </c>
      <c r="AJ94" s="18" t="s">
        <v>118</v>
      </c>
      <c r="AK94" s="18" t="s">
        <v>95</v>
      </c>
      <c r="AL94" s="18" t="s">
        <v>10920</v>
      </c>
      <c r="AM94" s="18" t="s">
        <v>85</v>
      </c>
      <c r="AN94" s="18" t="s">
        <v>7031</v>
      </c>
      <c r="AO94" s="18" t="s">
        <v>86</v>
      </c>
      <c r="AP94" s="18" t="s">
        <v>90</v>
      </c>
      <c r="AQ94" s="18" t="s">
        <v>8002</v>
      </c>
      <c r="AR94" s="18" t="s">
        <v>177</v>
      </c>
      <c r="AS94" s="18" t="s">
        <v>139</v>
      </c>
      <c r="AT94" s="18" t="s">
        <v>95</v>
      </c>
      <c r="AU94" s="18" t="s">
        <v>95</v>
      </c>
      <c r="AV94" s="18" t="s">
        <v>7037</v>
      </c>
      <c r="AW94" s="18" t="s">
        <v>95</v>
      </c>
      <c r="AX94" s="18" t="s">
        <v>10806</v>
      </c>
      <c r="AY94" s="18" t="s">
        <v>95</v>
      </c>
      <c r="AZ94" s="18" t="s">
        <v>95</v>
      </c>
      <c r="BA94" s="18" t="s">
        <v>95</v>
      </c>
      <c r="BB94" s="18" t="s">
        <v>95</v>
      </c>
      <c r="BC94" s="18" t="s">
        <v>95</v>
      </c>
      <c r="BD94" s="18" t="s">
        <v>10829</v>
      </c>
      <c r="BE94" s="18" t="s">
        <v>11570</v>
      </c>
      <c r="BF94" s="18" t="s">
        <v>10809</v>
      </c>
      <c r="BG94" s="18" t="s">
        <v>7030</v>
      </c>
      <c r="BH94" s="18"/>
      <c r="BI94" s="18"/>
      <c r="BJ94" s="18" t="s">
        <v>187</v>
      </c>
      <c r="BK94" s="18" t="s">
        <v>11571</v>
      </c>
      <c r="BL94" s="18" t="s">
        <v>10811</v>
      </c>
      <c r="BM94" s="18" t="s">
        <v>139</v>
      </c>
      <c r="BN94" s="18" t="s">
        <v>85</v>
      </c>
      <c r="BO94" s="18">
        <v>0</v>
      </c>
      <c r="BP94" s="18" t="s">
        <v>10812</v>
      </c>
      <c r="BQ94" s="18" t="str">
        <f>VLOOKUP(Prepago[[#This Row],[NOM_PLAZA]],[1]!Locales[#Data],3,0)</f>
        <v>TIENDA RECREO</v>
      </c>
      <c r="BR94" s="18" t="str">
        <f>VLOOKUP(Prepago[[#This Row],[CODIGO_USUARIO]],[1]!Personal[#Data],6,0)</f>
        <v>ESPINOZA MARTINES LAURA XIOMARA</v>
      </c>
      <c r="BS94" s="18">
        <f>DAY(Prepago[[#This Row],[FECHA_ALTA]])</f>
        <v>18</v>
      </c>
    </row>
    <row r="95" spans="1:71" x14ac:dyDescent="0.25">
      <c r="A95" s="18" t="s">
        <v>96</v>
      </c>
      <c r="B95" s="18" t="s">
        <v>11572</v>
      </c>
      <c r="C95" s="18" t="s">
        <v>11573</v>
      </c>
      <c r="D95" s="18" t="s">
        <v>11574</v>
      </c>
      <c r="E95" s="22">
        <v>44896</v>
      </c>
      <c r="F95" s="18" t="s">
        <v>67</v>
      </c>
      <c r="G95" s="18" t="s">
        <v>11575</v>
      </c>
      <c r="H95" s="18" t="s">
        <v>11576</v>
      </c>
      <c r="I95" s="18" t="s">
        <v>70</v>
      </c>
      <c r="J95" s="18" t="s">
        <v>8102</v>
      </c>
      <c r="K95" s="18" t="s">
        <v>8103</v>
      </c>
      <c r="L95" s="18" t="s">
        <v>73</v>
      </c>
      <c r="M95" s="18" t="s">
        <v>7037</v>
      </c>
      <c r="N95" s="18" t="s">
        <v>11577</v>
      </c>
      <c r="O95" s="18" t="s">
        <v>75</v>
      </c>
      <c r="P95" s="18" t="s">
        <v>11578</v>
      </c>
      <c r="Q95" s="18" t="s">
        <v>1532</v>
      </c>
      <c r="R95" s="18" t="s">
        <v>78</v>
      </c>
      <c r="S95" s="18" t="s">
        <v>77</v>
      </c>
      <c r="T95" s="22">
        <v>44915</v>
      </c>
      <c r="U95" s="18"/>
      <c r="V95" s="18" t="s">
        <v>81</v>
      </c>
      <c r="W95" s="18" t="s">
        <v>79</v>
      </c>
      <c r="X95" s="18" t="s">
        <v>10803</v>
      </c>
      <c r="Y95" s="18" t="s">
        <v>822</v>
      </c>
      <c r="Z95" s="18" t="s">
        <v>823</v>
      </c>
      <c r="AA95" s="18" t="s">
        <v>7062</v>
      </c>
      <c r="AB95" s="18" t="s">
        <v>95</v>
      </c>
      <c r="AC95" s="18" t="s">
        <v>7984</v>
      </c>
      <c r="AD95" s="18" t="s">
        <v>10804</v>
      </c>
      <c r="AE95" s="18" t="s">
        <v>174</v>
      </c>
      <c r="AF95" s="18" t="s">
        <v>95</v>
      </c>
      <c r="AG95" s="18" t="s">
        <v>83</v>
      </c>
      <c r="AH95" s="18" t="s">
        <v>83</v>
      </c>
      <c r="AI95" s="18" t="s">
        <v>81</v>
      </c>
      <c r="AJ95" s="18" t="s">
        <v>118</v>
      </c>
      <c r="AK95" s="18" t="s">
        <v>95</v>
      </c>
      <c r="AL95" s="18" t="s">
        <v>10828</v>
      </c>
      <c r="AM95" s="18" t="s">
        <v>85</v>
      </c>
      <c r="AN95" s="18" t="s">
        <v>7031</v>
      </c>
      <c r="AO95" s="18" t="s">
        <v>86</v>
      </c>
      <c r="AP95" s="18" t="s">
        <v>90</v>
      </c>
      <c r="AQ95" s="18" t="s">
        <v>8002</v>
      </c>
      <c r="AR95" s="18" t="s">
        <v>177</v>
      </c>
      <c r="AS95" s="18" t="s">
        <v>139</v>
      </c>
      <c r="AT95" s="18" t="s">
        <v>95</v>
      </c>
      <c r="AU95" s="18" t="s">
        <v>95</v>
      </c>
      <c r="AV95" s="18" t="s">
        <v>7037</v>
      </c>
      <c r="AW95" s="18" t="s">
        <v>95</v>
      </c>
      <c r="AX95" s="18" t="s">
        <v>10806</v>
      </c>
      <c r="AY95" s="18" t="s">
        <v>95</v>
      </c>
      <c r="AZ95" s="18" t="s">
        <v>95</v>
      </c>
      <c r="BA95" s="18" t="s">
        <v>95</v>
      </c>
      <c r="BB95" s="18" t="s">
        <v>95</v>
      </c>
      <c r="BC95" s="18" t="s">
        <v>95</v>
      </c>
      <c r="BD95" s="18" t="s">
        <v>10829</v>
      </c>
      <c r="BE95" s="18" t="s">
        <v>10808</v>
      </c>
      <c r="BF95" s="18" t="s">
        <v>7037</v>
      </c>
      <c r="BG95" s="18" t="s">
        <v>7030</v>
      </c>
      <c r="BH95" s="18"/>
      <c r="BI95" s="18"/>
      <c r="BJ95" s="18" t="s">
        <v>822</v>
      </c>
      <c r="BK95" s="18" t="s">
        <v>11579</v>
      </c>
      <c r="BL95" s="18" t="s">
        <v>10811</v>
      </c>
      <c r="BM95" s="18" t="s">
        <v>139</v>
      </c>
      <c r="BN95" s="18" t="s">
        <v>85</v>
      </c>
      <c r="BO95" s="18">
        <v>1</v>
      </c>
      <c r="BP95" s="18" t="s">
        <v>10812</v>
      </c>
      <c r="BQ95" s="18" t="str">
        <f>VLOOKUP(Prepago[[#This Row],[NOM_PLAZA]],[1]!Locales[#Data],3,0)</f>
        <v>TIENDA RECREO</v>
      </c>
      <c r="BR95" s="18" t="str">
        <f>VLOOKUP(Prepago[[#This Row],[CODIGO_USUARIO]],[1]!Personal[#Data],6,0)</f>
        <v>SALAS PARRA MARIA JOSE</v>
      </c>
      <c r="BS95" s="18">
        <f>DAY(Prepago[[#This Row],[FECHA_ALTA]])</f>
        <v>1</v>
      </c>
    </row>
    <row r="96" spans="1:71" x14ac:dyDescent="0.25">
      <c r="A96" s="18" t="s">
        <v>96</v>
      </c>
      <c r="B96" s="18" t="s">
        <v>9195</v>
      </c>
      <c r="C96" s="18" t="s">
        <v>9202</v>
      </c>
      <c r="D96" s="18" t="s">
        <v>9197</v>
      </c>
      <c r="E96" s="22">
        <v>44904</v>
      </c>
      <c r="F96" s="18" t="s">
        <v>67</v>
      </c>
      <c r="G96" s="18" t="s">
        <v>9198</v>
      </c>
      <c r="H96" s="18" t="s">
        <v>9199</v>
      </c>
      <c r="I96" s="18" t="s">
        <v>514</v>
      </c>
      <c r="J96" s="18" t="s">
        <v>8102</v>
      </c>
      <c r="K96" s="18" t="s">
        <v>8103</v>
      </c>
      <c r="L96" s="18" t="s">
        <v>6578</v>
      </c>
      <c r="M96" s="18" t="s">
        <v>7037</v>
      </c>
      <c r="N96" s="18" t="s">
        <v>9201</v>
      </c>
      <c r="O96" s="18" t="s">
        <v>287</v>
      </c>
      <c r="P96" s="18" t="s">
        <v>11580</v>
      </c>
      <c r="Q96" s="18" t="s">
        <v>10817</v>
      </c>
      <c r="R96" s="18" t="s">
        <v>78</v>
      </c>
      <c r="S96" s="18" t="s">
        <v>77</v>
      </c>
      <c r="T96" s="22">
        <v>44915</v>
      </c>
      <c r="U96" s="18"/>
      <c r="V96" s="18" t="s">
        <v>81</v>
      </c>
      <c r="W96" s="18" t="s">
        <v>79</v>
      </c>
      <c r="X96" s="18" t="s">
        <v>10803</v>
      </c>
      <c r="Y96" s="18" t="s">
        <v>396</v>
      </c>
      <c r="Z96" s="18" t="s">
        <v>397</v>
      </c>
      <c r="AA96" s="18" t="s">
        <v>7062</v>
      </c>
      <c r="AB96" s="18" t="s">
        <v>95</v>
      </c>
      <c r="AC96" s="18" t="s">
        <v>7984</v>
      </c>
      <c r="AD96" s="18" t="s">
        <v>10804</v>
      </c>
      <c r="AE96" s="18" t="s">
        <v>174</v>
      </c>
      <c r="AF96" s="18" t="s">
        <v>95</v>
      </c>
      <c r="AG96" s="18" t="s">
        <v>83</v>
      </c>
      <c r="AH96" s="18" t="s">
        <v>83</v>
      </c>
      <c r="AI96" s="18" t="s">
        <v>81</v>
      </c>
      <c r="AJ96" s="18" t="s">
        <v>118</v>
      </c>
      <c r="AK96" s="18" t="s">
        <v>95</v>
      </c>
      <c r="AL96" s="18" t="s">
        <v>10910</v>
      </c>
      <c r="AM96" s="18" t="s">
        <v>85</v>
      </c>
      <c r="AN96" s="18" t="s">
        <v>7031</v>
      </c>
      <c r="AO96" s="18" t="s">
        <v>86</v>
      </c>
      <c r="AP96" s="18" t="s">
        <v>90</v>
      </c>
      <c r="AQ96" s="18" t="s">
        <v>8002</v>
      </c>
      <c r="AR96" s="18" t="s">
        <v>177</v>
      </c>
      <c r="AS96" s="18" t="s">
        <v>139</v>
      </c>
      <c r="AT96" s="18" t="s">
        <v>95</v>
      </c>
      <c r="AU96" s="18" t="s">
        <v>95</v>
      </c>
      <c r="AV96" s="18" t="s">
        <v>7037</v>
      </c>
      <c r="AW96" s="18" t="s">
        <v>95</v>
      </c>
      <c r="AX96" s="18" t="s">
        <v>10806</v>
      </c>
      <c r="AY96" s="18" t="s">
        <v>95</v>
      </c>
      <c r="AZ96" s="18" t="s">
        <v>95</v>
      </c>
      <c r="BA96" s="18" t="s">
        <v>95</v>
      </c>
      <c r="BB96" s="18" t="s">
        <v>95</v>
      </c>
      <c r="BC96" s="18" t="s">
        <v>95</v>
      </c>
      <c r="BD96" s="18" t="s">
        <v>10829</v>
      </c>
      <c r="BE96" s="18" t="s">
        <v>11581</v>
      </c>
      <c r="BF96" s="18" t="s">
        <v>10809</v>
      </c>
      <c r="BG96" s="18" t="s">
        <v>7030</v>
      </c>
      <c r="BH96" s="18"/>
      <c r="BI96" s="18"/>
      <c r="BJ96" s="18" t="s">
        <v>396</v>
      </c>
      <c r="BK96" s="18" t="s">
        <v>11582</v>
      </c>
      <c r="BL96" s="18" t="s">
        <v>10811</v>
      </c>
      <c r="BM96" s="18" t="s">
        <v>139</v>
      </c>
      <c r="BN96" s="18" t="s">
        <v>85</v>
      </c>
      <c r="BO96" s="18">
        <v>0</v>
      </c>
      <c r="BP96" s="18" t="s">
        <v>10812</v>
      </c>
      <c r="BQ96" s="18" t="str">
        <f>VLOOKUP(Prepago[[#This Row],[NOM_PLAZA]],[1]!Locales[#Data],3,0)</f>
        <v>TIENDA RECREO</v>
      </c>
      <c r="BR96" s="18" t="str">
        <f>VLOOKUP(Prepago[[#This Row],[CODIGO_USUARIO]],[1]!Personal[#Data],6,0)</f>
        <v>VINUEZA VELASCO ANGY DAYANA</v>
      </c>
      <c r="BS96" s="18">
        <f>DAY(Prepago[[#This Row],[FECHA_ALTA]])</f>
        <v>9</v>
      </c>
    </row>
    <row r="97" spans="1:71" x14ac:dyDescent="0.25">
      <c r="A97" s="18" t="s">
        <v>96</v>
      </c>
      <c r="B97" s="18" t="s">
        <v>11583</v>
      </c>
      <c r="C97" s="18" t="s">
        <v>11584</v>
      </c>
      <c r="D97" s="18" t="s">
        <v>11585</v>
      </c>
      <c r="E97" s="22">
        <v>44913</v>
      </c>
      <c r="F97" s="18" t="s">
        <v>67</v>
      </c>
      <c r="G97" s="18" t="s">
        <v>11586</v>
      </c>
      <c r="H97" s="18" t="s">
        <v>11587</v>
      </c>
      <c r="I97" s="18" t="s">
        <v>70</v>
      </c>
      <c r="J97" s="18" t="s">
        <v>8102</v>
      </c>
      <c r="K97" s="18" t="s">
        <v>8103</v>
      </c>
      <c r="L97" s="18" t="s">
        <v>95</v>
      </c>
      <c r="M97" s="18" t="s">
        <v>7414</v>
      </c>
      <c r="N97" s="18" t="s">
        <v>11588</v>
      </c>
      <c r="O97" s="18" t="s">
        <v>75</v>
      </c>
      <c r="P97" s="18" t="s">
        <v>11589</v>
      </c>
      <c r="Q97" s="18" t="s">
        <v>4453</v>
      </c>
      <c r="R97" s="18" t="s">
        <v>78</v>
      </c>
      <c r="S97" s="18" t="s">
        <v>77</v>
      </c>
      <c r="T97" s="22">
        <v>44915</v>
      </c>
      <c r="U97" s="18"/>
      <c r="V97" s="18" t="s">
        <v>81</v>
      </c>
      <c r="W97" s="18" t="s">
        <v>79</v>
      </c>
      <c r="X97" s="18" t="s">
        <v>10803</v>
      </c>
      <c r="Y97" s="18" t="s">
        <v>369</v>
      </c>
      <c r="Z97" s="18" t="s">
        <v>370</v>
      </c>
      <c r="AA97" s="18" t="s">
        <v>7062</v>
      </c>
      <c r="AB97" s="18" t="s">
        <v>95</v>
      </c>
      <c r="AC97" s="18" t="s">
        <v>7984</v>
      </c>
      <c r="AD97" s="18" t="s">
        <v>10804</v>
      </c>
      <c r="AE97" s="18" t="s">
        <v>174</v>
      </c>
      <c r="AF97" s="18" t="s">
        <v>95</v>
      </c>
      <c r="AG97" s="18" t="s">
        <v>83</v>
      </c>
      <c r="AH97" s="18" t="s">
        <v>83</v>
      </c>
      <c r="AI97" s="18" t="s">
        <v>81</v>
      </c>
      <c r="AJ97" s="18" t="s">
        <v>118</v>
      </c>
      <c r="AK97" s="18" t="s">
        <v>95</v>
      </c>
      <c r="AL97" s="18" t="s">
        <v>11062</v>
      </c>
      <c r="AM97" s="18" t="s">
        <v>85</v>
      </c>
      <c r="AN97" s="18" t="s">
        <v>7031</v>
      </c>
      <c r="AO97" s="18" t="s">
        <v>86</v>
      </c>
      <c r="AP97" s="18" t="s">
        <v>90</v>
      </c>
      <c r="AQ97" s="18" t="s">
        <v>8002</v>
      </c>
      <c r="AR97" s="18" t="s">
        <v>177</v>
      </c>
      <c r="AS97" s="18" t="s">
        <v>139</v>
      </c>
      <c r="AT97" s="18" t="s">
        <v>95</v>
      </c>
      <c r="AU97" s="18" t="s">
        <v>95</v>
      </c>
      <c r="AV97" s="18" t="s">
        <v>7414</v>
      </c>
      <c r="AW97" s="18" t="s">
        <v>95</v>
      </c>
      <c r="AX97" s="18" t="s">
        <v>10806</v>
      </c>
      <c r="AY97" s="18" t="s">
        <v>95</v>
      </c>
      <c r="AZ97" s="18" t="s">
        <v>95</v>
      </c>
      <c r="BA97" s="18" t="s">
        <v>95</v>
      </c>
      <c r="BB97" s="18" t="s">
        <v>95</v>
      </c>
      <c r="BC97" s="18" t="s">
        <v>95</v>
      </c>
      <c r="BD97" s="18" t="s">
        <v>10829</v>
      </c>
      <c r="BE97" s="18" t="s">
        <v>95</v>
      </c>
      <c r="BF97" s="18" t="s">
        <v>10809</v>
      </c>
      <c r="BG97" s="18" t="s">
        <v>7030</v>
      </c>
      <c r="BH97" s="18"/>
      <c r="BI97" s="18"/>
      <c r="BJ97" s="18" t="s">
        <v>369</v>
      </c>
      <c r="BK97" s="18" t="s">
        <v>11590</v>
      </c>
      <c r="BL97" s="18" t="s">
        <v>10811</v>
      </c>
      <c r="BM97" s="18" t="s">
        <v>139</v>
      </c>
      <c r="BN97" s="18" t="s">
        <v>85</v>
      </c>
      <c r="BO97" s="18">
        <v>0</v>
      </c>
      <c r="BP97" s="18" t="s">
        <v>10812</v>
      </c>
      <c r="BQ97" s="18" t="str">
        <f>VLOOKUP(Prepago[[#This Row],[NOM_PLAZA]],[1]!Locales[#Data],3,0)</f>
        <v>TIENDA RECREO</v>
      </c>
      <c r="BR97" s="18" t="str">
        <f>VLOOKUP(Prepago[[#This Row],[CODIGO_USUARIO]],[1]!Personal[#Data],6,0)</f>
        <v>GUAIGUA REINOSO GENESIS CAROLINA</v>
      </c>
      <c r="BS97" s="18">
        <f>DAY(Prepago[[#This Row],[FECHA_ALTA]])</f>
        <v>18</v>
      </c>
    </row>
    <row r="98" spans="1:71" x14ac:dyDescent="0.25">
      <c r="A98" s="18" t="s">
        <v>96</v>
      </c>
      <c r="B98" s="18" t="s">
        <v>11591</v>
      </c>
      <c r="C98" s="18" t="s">
        <v>11592</v>
      </c>
      <c r="D98" s="18" t="s">
        <v>11593</v>
      </c>
      <c r="E98" s="22">
        <v>44897</v>
      </c>
      <c r="F98" s="18" t="s">
        <v>67</v>
      </c>
      <c r="G98" s="18" t="s">
        <v>11594</v>
      </c>
      <c r="H98" s="18" t="s">
        <v>11595</v>
      </c>
      <c r="I98" s="18" t="s">
        <v>193</v>
      </c>
      <c r="J98" s="18" t="s">
        <v>8102</v>
      </c>
      <c r="K98" s="18" t="s">
        <v>8103</v>
      </c>
      <c r="L98" s="18" t="s">
        <v>11596</v>
      </c>
      <c r="M98" s="18" t="s">
        <v>7037</v>
      </c>
      <c r="N98" s="18" t="s">
        <v>11597</v>
      </c>
      <c r="O98" s="18" t="s">
        <v>75</v>
      </c>
      <c r="P98" s="18" t="s">
        <v>11598</v>
      </c>
      <c r="Q98" s="18" t="s">
        <v>10817</v>
      </c>
      <c r="R98" s="18" t="s">
        <v>78</v>
      </c>
      <c r="S98" s="18" t="s">
        <v>77</v>
      </c>
      <c r="T98" s="22">
        <v>44915</v>
      </c>
      <c r="U98" s="18"/>
      <c r="V98" s="18" t="s">
        <v>81</v>
      </c>
      <c r="W98" s="18" t="s">
        <v>79</v>
      </c>
      <c r="X98" s="18" t="s">
        <v>10803</v>
      </c>
      <c r="Y98" s="18" t="s">
        <v>396</v>
      </c>
      <c r="Z98" s="18" t="s">
        <v>397</v>
      </c>
      <c r="AA98" s="18" t="s">
        <v>7062</v>
      </c>
      <c r="AB98" s="18" t="s">
        <v>95</v>
      </c>
      <c r="AC98" s="18" t="s">
        <v>7984</v>
      </c>
      <c r="AD98" s="18" t="s">
        <v>10804</v>
      </c>
      <c r="AE98" s="18" t="s">
        <v>174</v>
      </c>
      <c r="AF98" s="18" t="s">
        <v>95</v>
      </c>
      <c r="AG98" s="18" t="s">
        <v>83</v>
      </c>
      <c r="AH98" s="18" t="s">
        <v>83</v>
      </c>
      <c r="AI98" s="18" t="s">
        <v>81</v>
      </c>
      <c r="AJ98" s="18" t="s">
        <v>118</v>
      </c>
      <c r="AK98" s="18" t="s">
        <v>95</v>
      </c>
      <c r="AL98" s="18" t="s">
        <v>10910</v>
      </c>
      <c r="AM98" s="18" t="s">
        <v>85</v>
      </c>
      <c r="AN98" s="18" t="s">
        <v>7031</v>
      </c>
      <c r="AO98" s="18" t="s">
        <v>86</v>
      </c>
      <c r="AP98" s="18" t="s">
        <v>90</v>
      </c>
      <c r="AQ98" s="18" t="s">
        <v>8002</v>
      </c>
      <c r="AR98" s="18" t="s">
        <v>177</v>
      </c>
      <c r="AS98" s="18" t="s">
        <v>139</v>
      </c>
      <c r="AT98" s="18" t="s">
        <v>95</v>
      </c>
      <c r="AU98" s="18" t="s">
        <v>95</v>
      </c>
      <c r="AV98" s="18" t="s">
        <v>7037</v>
      </c>
      <c r="AW98" s="18" t="s">
        <v>95</v>
      </c>
      <c r="AX98" s="18" t="s">
        <v>10806</v>
      </c>
      <c r="AY98" s="18" t="s">
        <v>95</v>
      </c>
      <c r="AZ98" s="18" t="s">
        <v>95</v>
      </c>
      <c r="BA98" s="18" t="s">
        <v>95</v>
      </c>
      <c r="BB98" s="18" t="s">
        <v>95</v>
      </c>
      <c r="BC98" s="18" t="s">
        <v>95</v>
      </c>
      <c r="BD98" s="18" t="s">
        <v>10829</v>
      </c>
      <c r="BE98" s="18" t="s">
        <v>11599</v>
      </c>
      <c r="BF98" s="18" t="s">
        <v>7037</v>
      </c>
      <c r="BG98" s="18" t="s">
        <v>7030</v>
      </c>
      <c r="BH98" s="18"/>
      <c r="BI98" s="18"/>
      <c r="BJ98" s="18" t="s">
        <v>396</v>
      </c>
      <c r="BK98" s="18" t="s">
        <v>11600</v>
      </c>
      <c r="BL98" s="18" t="s">
        <v>10811</v>
      </c>
      <c r="BM98" s="18" t="s">
        <v>139</v>
      </c>
      <c r="BN98" s="18" t="s">
        <v>85</v>
      </c>
      <c r="BO98" s="18">
        <v>0</v>
      </c>
      <c r="BP98" s="18" t="s">
        <v>10812</v>
      </c>
      <c r="BQ98" s="18" t="str">
        <f>VLOOKUP(Prepago[[#This Row],[NOM_PLAZA]],[1]!Locales[#Data],3,0)</f>
        <v>TIENDA RECREO</v>
      </c>
      <c r="BR98" s="18" t="str">
        <f>VLOOKUP(Prepago[[#This Row],[CODIGO_USUARIO]],[1]!Personal[#Data],6,0)</f>
        <v>VINUEZA VELASCO ANGY DAYANA</v>
      </c>
      <c r="BS98" s="18">
        <f>DAY(Prepago[[#This Row],[FECHA_ALTA]])</f>
        <v>2</v>
      </c>
    </row>
    <row r="99" spans="1:71" x14ac:dyDescent="0.25">
      <c r="A99" s="18" t="s">
        <v>96</v>
      </c>
      <c r="B99" s="18" t="s">
        <v>11601</v>
      </c>
      <c r="C99" s="18" t="s">
        <v>11602</v>
      </c>
      <c r="D99" s="18" t="s">
        <v>11603</v>
      </c>
      <c r="E99" s="22">
        <v>44913</v>
      </c>
      <c r="F99" s="18" t="s">
        <v>67</v>
      </c>
      <c r="G99" s="18" t="s">
        <v>11604</v>
      </c>
      <c r="H99" s="18" t="s">
        <v>11605</v>
      </c>
      <c r="I99" s="18" t="s">
        <v>70</v>
      </c>
      <c r="J99" s="18" t="s">
        <v>8102</v>
      </c>
      <c r="K99" s="18" t="s">
        <v>8103</v>
      </c>
      <c r="L99" s="18" t="s">
        <v>132</v>
      </c>
      <c r="M99" s="18" t="s">
        <v>7037</v>
      </c>
      <c r="N99" s="18" t="s">
        <v>11606</v>
      </c>
      <c r="O99" s="18" t="s">
        <v>75</v>
      </c>
      <c r="P99" s="18" t="s">
        <v>11607</v>
      </c>
      <c r="Q99" s="18" t="s">
        <v>1532</v>
      </c>
      <c r="R99" s="18" t="s">
        <v>78</v>
      </c>
      <c r="S99" s="18" t="s">
        <v>77</v>
      </c>
      <c r="T99" s="22">
        <v>44915</v>
      </c>
      <c r="U99" s="18"/>
      <c r="V99" s="18" t="s">
        <v>81</v>
      </c>
      <c r="W99" s="18" t="s">
        <v>79</v>
      </c>
      <c r="X99" s="18" t="s">
        <v>10803</v>
      </c>
      <c r="Y99" s="18" t="s">
        <v>396</v>
      </c>
      <c r="Z99" s="18" t="s">
        <v>397</v>
      </c>
      <c r="AA99" s="18" t="s">
        <v>396</v>
      </c>
      <c r="AB99" s="18" t="s">
        <v>397</v>
      </c>
      <c r="AC99" s="18" t="s">
        <v>7984</v>
      </c>
      <c r="AD99" s="18" t="s">
        <v>10804</v>
      </c>
      <c r="AE99" s="18" t="s">
        <v>174</v>
      </c>
      <c r="AF99" s="18" t="s">
        <v>95</v>
      </c>
      <c r="AG99" s="18" t="s">
        <v>83</v>
      </c>
      <c r="AH99" s="18" t="s">
        <v>83</v>
      </c>
      <c r="AI99" s="18" t="s">
        <v>81</v>
      </c>
      <c r="AJ99" s="18" t="s">
        <v>118</v>
      </c>
      <c r="AK99" s="18" t="s">
        <v>95</v>
      </c>
      <c r="AL99" s="18" t="s">
        <v>10910</v>
      </c>
      <c r="AM99" s="18" t="s">
        <v>85</v>
      </c>
      <c r="AN99" s="18" t="s">
        <v>7031</v>
      </c>
      <c r="AO99" s="18" t="s">
        <v>86</v>
      </c>
      <c r="AP99" s="18" t="s">
        <v>90</v>
      </c>
      <c r="AQ99" s="18" t="s">
        <v>8002</v>
      </c>
      <c r="AR99" s="18" t="s">
        <v>177</v>
      </c>
      <c r="AS99" s="18" t="s">
        <v>139</v>
      </c>
      <c r="AT99" s="18" t="s">
        <v>95</v>
      </c>
      <c r="AU99" s="18" t="s">
        <v>95</v>
      </c>
      <c r="AV99" s="18" t="s">
        <v>7037</v>
      </c>
      <c r="AW99" s="18" t="s">
        <v>95</v>
      </c>
      <c r="AX99" s="18" t="s">
        <v>10806</v>
      </c>
      <c r="AY99" s="18" t="s">
        <v>95</v>
      </c>
      <c r="AZ99" s="18" t="s">
        <v>95</v>
      </c>
      <c r="BA99" s="18" t="s">
        <v>95</v>
      </c>
      <c r="BB99" s="18" t="s">
        <v>95</v>
      </c>
      <c r="BC99" s="18" t="s">
        <v>95</v>
      </c>
      <c r="BD99" s="18" t="s">
        <v>10829</v>
      </c>
      <c r="BE99" s="18" t="s">
        <v>11608</v>
      </c>
      <c r="BF99" s="18" t="s">
        <v>10809</v>
      </c>
      <c r="BG99" s="18" t="s">
        <v>7030</v>
      </c>
      <c r="BH99" s="18"/>
      <c r="BI99" s="18"/>
      <c r="BJ99" s="18" t="s">
        <v>396</v>
      </c>
      <c r="BK99" s="18" t="s">
        <v>11609</v>
      </c>
      <c r="BL99" s="18" t="s">
        <v>10811</v>
      </c>
      <c r="BM99" s="18" t="s">
        <v>139</v>
      </c>
      <c r="BN99" s="18" t="s">
        <v>85</v>
      </c>
      <c r="BO99" s="18">
        <v>0</v>
      </c>
      <c r="BP99" s="18" t="s">
        <v>10812</v>
      </c>
      <c r="BQ99" s="18" t="str">
        <f>VLOOKUP(Prepago[[#This Row],[NOM_PLAZA]],[1]!Locales[#Data],3,0)</f>
        <v>TIENDA RECREO</v>
      </c>
      <c r="BR99" s="18" t="str">
        <f>VLOOKUP(Prepago[[#This Row],[CODIGO_USUARIO]],[1]!Personal[#Data],6,0)</f>
        <v>VINUEZA VELASCO ANGY DAYANA</v>
      </c>
      <c r="BS99" s="18">
        <f>DAY(Prepago[[#This Row],[FECHA_ALTA]])</f>
        <v>18</v>
      </c>
    </row>
    <row r="100" spans="1:71" x14ac:dyDescent="0.25">
      <c r="A100" s="18" t="s">
        <v>96</v>
      </c>
      <c r="B100" s="18" t="s">
        <v>11610</v>
      </c>
      <c r="C100" s="18" t="s">
        <v>11611</v>
      </c>
      <c r="D100" s="18" t="s">
        <v>11612</v>
      </c>
      <c r="E100" s="22">
        <v>44910</v>
      </c>
      <c r="F100" s="18" t="s">
        <v>67</v>
      </c>
      <c r="G100" s="18" t="s">
        <v>11613</v>
      </c>
      <c r="H100" s="18" t="s">
        <v>11614</v>
      </c>
      <c r="I100" s="18" t="s">
        <v>70</v>
      </c>
      <c r="J100" s="18" t="s">
        <v>8102</v>
      </c>
      <c r="K100" s="18" t="s">
        <v>8103</v>
      </c>
      <c r="L100" s="18" t="s">
        <v>132</v>
      </c>
      <c r="M100" s="18" t="s">
        <v>7037</v>
      </c>
      <c r="N100" s="18" t="s">
        <v>11615</v>
      </c>
      <c r="O100" s="18" t="s">
        <v>75</v>
      </c>
      <c r="P100" s="18" t="s">
        <v>11616</v>
      </c>
      <c r="Q100" s="18" t="s">
        <v>4453</v>
      </c>
      <c r="R100" s="18" t="s">
        <v>78</v>
      </c>
      <c r="S100" s="18" t="s">
        <v>77</v>
      </c>
      <c r="T100" s="22">
        <v>44915</v>
      </c>
      <c r="U100" s="18"/>
      <c r="V100" s="18" t="s">
        <v>81</v>
      </c>
      <c r="W100" s="18" t="s">
        <v>79</v>
      </c>
      <c r="X100" s="18" t="s">
        <v>10803</v>
      </c>
      <c r="Y100" s="18" t="s">
        <v>760</v>
      </c>
      <c r="Z100" s="18" t="s">
        <v>761</v>
      </c>
      <c r="AA100" s="18" t="s">
        <v>7062</v>
      </c>
      <c r="AB100" s="18" t="s">
        <v>95</v>
      </c>
      <c r="AC100" s="18" t="s">
        <v>7984</v>
      </c>
      <c r="AD100" s="18" t="s">
        <v>10804</v>
      </c>
      <c r="AE100" s="18" t="s">
        <v>174</v>
      </c>
      <c r="AF100" s="18" t="s">
        <v>95</v>
      </c>
      <c r="AG100" s="18" t="s">
        <v>83</v>
      </c>
      <c r="AH100" s="18" t="s">
        <v>83</v>
      </c>
      <c r="AI100" s="18" t="s">
        <v>81</v>
      </c>
      <c r="AJ100" s="18" t="s">
        <v>118</v>
      </c>
      <c r="AK100" s="18" t="s">
        <v>95</v>
      </c>
      <c r="AL100" s="18" t="s">
        <v>10818</v>
      </c>
      <c r="AM100" s="18" t="s">
        <v>85</v>
      </c>
      <c r="AN100" s="18" t="s">
        <v>7031</v>
      </c>
      <c r="AO100" s="18" t="s">
        <v>86</v>
      </c>
      <c r="AP100" s="18" t="s">
        <v>90</v>
      </c>
      <c r="AQ100" s="18" t="s">
        <v>8002</v>
      </c>
      <c r="AR100" s="18" t="s">
        <v>177</v>
      </c>
      <c r="AS100" s="18" t="s">
        <v>139</v>
      </c>
      <c r="AT100" s="18" t="s">
        <v>95</v>
      </c>
      <c r="AU100" s="18" t="s">
        <v>95</v>
      </c>
      <c r="AV100" s="18" t="s">
        <v>7037</v>
      </c>
      <c r="AW100" s="18" t="s">
        <v>95</v>
      </c>
      <c r="AX100" s="18" t="s">
        <v>10806</v>
      </c>
      <c r="AY100" s="18" t="s">
        <v>95</v>
      </c>
      <c r="AZ100" s="18" t="s">
        <v>95</v>
      </c>
      <c r="BA100" s="18" t="s">
        <v>95</v>
      </c>
      <c r="BB100" s="18" t="s">
        <v>95</v>
      </c>
      <c r="BC100" s="18" t="s">
        <v>95</v>
      </c>
      <c r="BD100" s="18" t="s">
        <v>10807</v>
      </c>
      <c r="BE100" s="18" t="s">
        <v>11617</v>
      </c>
      <c r="BF100" s="18" t="s">
        <v>10809</v>
      </c>
      <c r="BG100" s="18" t="s">
        <v>7030</v>
      </c>
      <c r="BH100" s="18"/>
      <c r="BI100" s="18"/>
      <c r="BJ100" s="18" t="s">
        <v>760</v>
      </c>
      <c r="BK100" s="18" t="s">
        <v>11618</v>
      </c>
      <c r="BL100" s="18" t="s">
        <v>10811</v>
      </c>
      <c r="BM100" s="18" t="s">
        <v>139</v>
      </c>
      <c r="BN100" s="18" t="s">
        <v>85</v>
      </c>
      <c r="BO100" s="18">
        <v>0</v>
      </c>
      <c r="BP100" s="18" t="s">
        <v>10812</v>
      </c>
      <c r="BQ100" s="18" t="str">
        <f>VLOOKUP(Prepago[[#This Row],[NOM_PLAZA]],[1]!Locales[#Data],3,0)</f>
        <v>TIENDA RECREO</v>
      </c>
      <c r="BR100" s="18" t="str">
        <f>VLOOKUP(Prepago[[#This Row],[CODIGO_USUARIO]],[1]!Personal[#Data],6,0)</f>
        <v>VALBUENA SANCHEZ ALBERT ANTHONY</v>
      </c>
      <c r="BS100" s="18">
        <f>DAY(Prepago[[#This Row],[FECHA_ALTA]])</f>
        <v>15</v>
      </c>
    </row>
    <row r="101" spans="1:71" x14ac:dyDescent="0.25">
      <c r="A101" s="18" t="s">
        <v>96</v>
      </c>
      <c r="B101" s="18" t="s">
        <v>11619</v>
      </c>
      <c r="C101" s="18" t="s">
        <v>11620</v>
      </c>
      <c r="D101" s="18" t="s">
        <v>11621</v>
      </c>
      <c r="E101" s="22">
        <v>44910</v>
      </c>
      <c r="F101" s="18" t="s">
        <v>67</v>
      </c>
      <c r="G101" s="18" t="s">
        <v>11622</v>
      </c>
      <c r="H101" s="18" t="s">
        <v>11623</v>
      </c>
      <c r="I101" s="18" t="s">
        <v>70</v>
      </c>
      <c r="J101" s="18" t="s">
        <v>8102</v>
      </c>
      <c r="K101" s="18" t="s">
        <v>8103</v>
      </c>
      <c r="L101" s="18" t="s">
        <v>132</v>
      </c>
      <c r="M101" s="18" t="s">
        <v>7037</v>
      </c>
      <c r="N101" s="18" t="s">
        <v>11624</v>
      </c>
      <c r="O101" s="18" t="s">
        <v>75</v>
      </c>
      <c r="P101" s="18" t="s">
        <v>11625</v>
      </c>
      <c r="Q101" s="18" t="s">
        <v>4453</v>
      </c>
      <c r="R101" s="18" t="s">
        <v>78</v>
      </c>
      <c r="S101" s="18" t="s">
        <v>77</v>
      </c>
      <c r="T101" s="22">
        <v>44915</v>
      </c>
      <c r="U101" s="18"/>
      <c r="V101" s="18" t="s">
        <v>81</v>
      </c>
      <c r="W101" s="18" t="s">
        <v>79</v>
      </c>
      <c r="X101" s="18" t="s">
        <v>10803</v>
      </c>
      <c r="Y101" s="18" t="s">
        <v>822</v>
      </c>
      <c r="Z101" s="18" t="s">
        <v>823</v>
      </c>
      <c r="AA101" s="18" t="s">
        <v>7062</v>
      </c>
      <c r="AB101" s="18" t="s">
        <v>95</v>
      </c>
      <c r="AC101" s="18" t="s">
        <v>7984</v>
      </c>
      <c r="AD101" s="18" t="s">
        <v>10804</v>
      </c>
      <c r="AE101" s="18" t="s">
        <v>174</v>
      </c>
      <c r="AF101" s="18" t="s">
        <v>95</v>
      </c>
      <c r="AG101" s="18" t="s">
        <v>83</v>
      </c>
      <c r="AH101" s="18" t="s">
        <v>83</v>
      </c>
      <c r="AI101" s="18" t="s">
        <v>81</v>
      </c>
      <c r="AJ101" s="18" t="s">
        <v>118</v>
      </c>
      <c r="AK101" s="18" t="s">
        <v>95</v>
      </c>
      <c r="AL101" s="18" t="s">
        <v>10828</v>
      </c>
      <c r="AM101" s="18" t="s">
        <v>85</v>
      </c>
      <c r="AN101" s="18" t="s">
        <v>7031</v>
      </c>
      <c r="AO101" s="18" t="s">
        <v>86</v>
      </c>
      <c r="AP101" s="18" t="s">
        <v>90</v>
      </c>
      <c r="AQ101" s="18" t="s">
        <v>8002</v>
      </c>
      <c r="AR101" s="18" t="s">
        <v>177</v>
      </c>
      <c r="AS101" s="18" t="s">
        <v>139</v>
      </c>
      <c r="AT101" s="18" t="s">
        <v>95</v>
      </c>
      <c r="AU101" s="18" t="s">
        <v>95</v>
      </c>
      <c r="AV101" s="18" t="s">
        <v>7037</v>
      </c>
      <c r="AW101" s="18" t="s">
        <v>95</v>
      </c>
      <c r="AX101" s="18" t="s">
        <v>10806</v>
      </c>
      <c r="AY101" s="18" t="s">
        <v>95</v>
      </c>
      <c r="AZ101" s="18" t="s">
        <v>95</v>
      </c>
      <c r="BA101" s="18" t="s">
        <v>95</v>
      </c>
      <c r="BB101" s="18" t="s">
        <v>95</v>
      </c>
      <c r="BC101" s="18" t="s">
        <v>95</v>
      </c>
      <c r="BD101" s="18" t="s">
        <v>10829</v>
      </c>
      <c r="BE101" s="18" t="s">
        <v>11626</v>
      </c>
      <c r="BF101" s="18" t="s">
        <v>10809</v>
      </c>
      <c r="BG101" s="18" t="s">
        <v>7030</v>
      </c>
      <c r="BH101" s="18"/>
      <c r="BI101" s="18"/>
      <c r="BJ101" s="18" t="s">
        <v>822</v>
      </c>
      <c r="BK101" s="18" t="s">
        <v>11627</v>
      </c>
      <c r="BL101" s="18" t="s">
        <v>10811</v>
      </c>
      <c r="BM101" s="18" t="s">
        <v>139</v>
      </c>
      <c r="BN101" s="18" t="s">
        <v>85</v>
      </c>
      <c r="BO101" s="18">
        <v>0</v>
      </c>
      <c r="BP101" s="18" t="s">
        <v>10812</v>
      </c>
      <c r="BQ101" s="18" t="str">
        <f>VLOOKUP(Prepago[[#This Row],[NOM_PLAZA]],[1]!Locales[#Data],3,0)</f>
        <v>TIENDA RECREO</v>
      </c>
      <c r="BR101" s="18" t="str">
        <f>VLOOKUP(Prepago[[#This Row],[CODIGO_USUARIO]],[1]!Personal[#Data],6,0)</f>
        <v>SALAS PARRA MARIA JOSE</v>
      </c>
      <c r="BS101" s="18">
        <f>DAY(Prepago[[#This Row],[FECHA_ALTA]])</f>
        <v>15</v>
      </c>
    </row>
    <row r="102" spans="1:71" x14ac:dyDescent="0.25">
      <c r="A102" s="18" t="s">
        <v>96</v>
      </c>
      <c r="B102" s="18" t="s">
        <v>11628</v>
      </c>
      <c r="C102" s="18" t="s">
        <v>11629</v>
      </c>
      <c r="D102" s="18" t="s">
        <v>11630</v>
      </c>
      <c r="E102" s="22">
        <v>44910</v>
      </c>
      <c r="F102" s="18" t="s">
        <v>67</v>
      </c>
      <c r="G102" s="18" t="s">
        <v>11631</v>
      </c>
      <c r="H102" s="18" t="s">
        <v>11632</v>
      </c>
      <c r="I102" s="18" t="s">
        <v>70</v>
      </c>
      <c r="J102" s="18" t="s">
        <v>8102</v>
      </c>
      <c r="K102" s="18" t="s">
        <v>8103</v>
      </c>
      <c r="L102" s="18" t="s">
        <v>132</v>
      </c>
      <c r="M102" s="18" t="s">
        <v>7037</v>
      </c>
      <c r="N102" s="18" t="s">
        <v>11633</v>
      </c>
      <c r="O102" s="18" t="s">
        <v>75</v>
      </c>
      <c r="P102" s="18" t="s">
        <v>11634</v>
      </c>
      <c r="Q102" s="18" t="s">
        <v>1532</v>
      </c>
      <c r="R102" s="18" t="s">
        <v>78</v>
      </c>
      <c r="S102" s="18" t="s">
        <v>77</v>
      </c>
      <c r="T102" s="22">
        <v>44915</v>
      </c>
      <c r="U102" s="18"/>
      <c r="V102" s="18" t="s">
        <v>81</v>
      </c>
      <c r="W102" s="18" t="s">
        <v>79</v>
      </c>
      <c r="X102" s="18" t="s">
        <v>10803</v>
      </c>
      <c r="Y102" s="18" t="s">
        <v>822</v>
      </c>
      <c r="Z102" s="18" t="s">
        <v>823</v>
      </c>
      <c r="AA102" s="18" t="s">
        <v>7062</v>
      </c>
      <c r="AB102" s="18" t="s">
        <v>95</v>
      </c>
      <c r="AC102" s="18" t="s">
        <v>7984</v>
      </c>
      <c r="AD102" s="18" t="s">
        <v>10804</v>
      </c>
      <c r="AE102" s="18" t="s">
        <v>174</v>
      </c>
      <c r="AF102" s="18" t="s">
        <v>95</v>
      </c>
      <c r="AG102" s="18" t="s">
        <v>83</v>
      </c>
      <c r="AH102" s="18" t="s">
        <v>83</v>
      </c>
      <c r="AI102" s="18" t="s">
        <v>81</v>
      </c>
      <c r="AJ102" s="18" t="s">
        <v>118</v>
      </c>
      <c r="AK102" s="18" t="s">
        <v>95</v>
      </c>
      <c r="AL102" s="18" t="s">
        <v>10828</v>
      </c>
      <c r="AM102" s="18" t="s">
        <v>85</v>
      </c>
      <c r="AN102" s="18" t="s">
        <v>7031</v>
      </c>
      <c r="AO102" s="18" t="s">
        <v>86</v>
      </c>
      <c r="AP102" s="18" t="s">
        <v>90</v>
      </c>
      <c r="AQ102" s="18" t="s">
        <v>8002</v>
      </c>
      <c r="AR102" s="18" t="s">
        <v>177</v>
      </c>
      <c r="AS102" s="18" t="s">
        <v>139</v>
      </c>
      <c r="AT102" s="18" t="s">
        <v>95</v>
      </c>
      <c r="AU102" s="18" t="s">
        <v>95</v>
      </c>
      <c r="AV102" s="18" t="s">
        <v>7037</v>
      </c>
      <c r="AW102" s="18" t="s">
        <v>95</v>
      </c>
      <c r="AX102" s="18" t="s">
        <v>10806</v>
      </c>
      <c r="AY102" s="18" t="s">
        <v>95</v>
      </c>
      <c r="AZ102" s="18" t="s">
        <v>95</v>
      </c>
      <c r="BA102" s="18" t="s">
        <v>95</v>
      </c>
      <c r="BB102" s="18" t="s">
        <v>95</v>
      </c>
      <c r="BC102" s="18" t="s">
        <v>95</v>
      </c>
      <c r="BD102" s="18" t="s">
        <v>10807</v>
      </c>
      <c r="BE102" s="18" t="s">
        <v>10808</v>
      </c>
      <c r="BF102" s="18" t="s">
        <v>10809</v>
      </c>
      <c r="BG102" s="18" t="s">
        <v>7030</v>
      </c>
      <c r="BH102" s="18"/>
      <c r="BI102" s="18"/>
      <c r="BJ102" s="18" t="s">
        <v>822</v>
      </c>
      <c r="BK102" s="18" t="s">
        <v>11635</v>
      </c>
      <c r="BL102" s="18" t="s">
        <v>10811</v>
      </c>
      <c r="BM102" s="18" t="s">
        <v>139</v>
      </c>
      <c r="BN102" s="18" t="s">
        <v>85</v>
      </c>
      <c r="BO102" s="18">
        <v>0</v>
      </c>
      <c r="BP102" s="18" t="s">
        <v>10812</v>
      </c>
      <c r="BQ102" s="18" t="str">
        <f>VLOOKUP(Prepago[[#This Row],[NOM_PLAZA]],[1]!Locales[#Data],3,0)</f>
        <v>TIENDA RECREO</v>
      </c>
      <c r="BR102" s="18" t="str">
        <f>VLOOKUP(Prepago[[#This Row],[CODIGO_USUARIO]],[1]!Personal[#Data],6,0)</f>
        <v>SALAS PARRA MARIA JOSE</v>
      </c>
      <c r="BS102" s="18">
        <f>DAY(Prepago[[#This Row],[FECHA_ALTA]])</f>
        <v>15</v>
      </c>
    </row>
    <row r="103" spans="1:71" x14ac:dyDescent="0.25">
      <c r="A103" s="18" t="s">
        <v>96</v>
      </c>
      <c r="B103" s="18" t="s">
        <v>11636</v>
      </c>
      <c r="C103" s="18" t="s">
        <v>11637</v>
      </c>
      <c r="D103" s="18" t="s">
        <v>11638</v>
      </c>
      <c r="E103" s="22">
        <v>44905</v>
      </c>
      <c r="F103" s="18" t="s">
        <v>67</v>
      </c>
      <c r="G103" s="18" t="s">
        <v>11639</v>
      </c>
      <c r="H103" s="18" t="s">
        <v>11640</v>
      </c>
      <c r="I103" s="18" t="s">
        <v>70</v>
      </c>
      <c r="J103" s="18" t="s">
        <v>8102</v>
      </c>
      <c r="K103" s="18" t="s">
        <v>8103</v>
      </c>
      <c r="L103" s="18" t="s">
        <v>132</v>
      </c>
      <c r="M103" s="18" t="s">
        <v>7037</v>
      </c>
      <c r="N103" s="18" t="s">
        <v>11641</v>
      </c>
      <c r="O103" s="18" t="s">
        <v>75</v>
      </c>
      <c r="P103" s="18" t="s">
        <v>11642</v>
      </c>
      <c r="Q103" s="18" t="s">
        <v>4453</v>
      </c>
      <c r="R103" s="18" t="s">
        <v>78</v>
      </c>
      <c r="S103" s="18" t="s">
        <v>77</v>
      </c>
      <c r="T103" s="22">
        <v>44915</v>
      </c>
      <c r="U103" s="18"/>
      <c r="V103" s="18" t="s">
        <v>81</v>
      </c>
      <c r="W103" s="18" t="s">
        <v>79</v>
      </c>
      <c r="X103" s="18" t="s">
        <v>10803</v>
      </c>
      <c r="Y103" s="18" t="s">
        <v>760</v>
      </c>
      <c r="Z103" s="18" t="s">
        <v>761</v>
      </c>
      <c r="AA103" s="18" t="s">
        <v>7062</v>
      </c>
      <c r="AB103" s="18" t="s">
        <v>95</v>
      </c>
      <c r="AC103" s="18" t="s">
        <v>7984</v>
      </c>
      <c r="AD103" s="18" t="s">
        <v>10804</v>
      </c>
      <c r="AE103" s="18" t="s">
        <v>174</v>
      </c>
      <c r="AF103" s="18" t="s">
        <v>95</v>
      </c>
      <c r="AG103" s="18" t="s">
        <v>83</v>
      </c>
      <c r="AH103" s="18" t="s">
        <v>83</v>
      </c>
      <c r="AI103" s="18" t="s">
        <v>81</v>
      </c>
      <c r="AJ103" s="18" t="s">
        <v>118</v>
      </c>
      <c r="AK103" s="18" t="s">
        <v>95</v>
      </c>
      <c r="AL103" s="18" t="s">
        <v>10818</v>
      </c>
      <c r="AM103" s="18" t="s">
        <v>85</v>
      </c>
      <c r="AN103" s="18" t="s">
        <v>7031</v>
      </c>
      <c r="AO103" s="18" t="s">
        <v>86</v>
      </c>
      <c r="AP103" s="18" t="s">
        <v>90</v>
      </c>
      <c r="AQ103" s="18" t="s">
        <v>8002</v>
      </c>
      <c r="AR103" s="18" t="s">
        <v>177</v>
      </c>
      <c r="AS103" s="18" t="s">
        <v>139</v>
      </c>
      <c r="AT103" s="18" t="s">
        <v>95</v>
      </c>
      <c r="AU103" s="18" t="s">
        <v>95</v>
      </c>
      <c r="AV103" s="18" t="s">
        <v>7037</v>
      </c>
      <c r="AW103" s="18" t="s">
        <v>95</v>
      </c>
      <c r="AX103" s="18" t="s">
        <v>10806</v>
      </c>
      <c r="AY103" s="18" t="s">
        <v>95</v>
      </c>
      <c r="AZ103" s="18" t="s">
        <v>95</v>
      </c>
      <c r="BA103" s="18" t="s">
        <v>95</v>
      </c>
      <c r="BB103" s="18" t="s">
        <v>95</v>
      </c>
      <c r="BC103" s="18" t="s">
        <v>95</v>
      </c>
      <c r="BD103" s="18" t="s">
        <v>10829</v>
      </c>
      <c r="BE103" s="18" t="s">
        <v>11643</v>
      </c>
      <c r="BF103" s="18" t="s">
        <v>10809</v>
      </c>
      <c r="BG103" s="18" t="s">
        <v>7030</v>
      </c>
      <c r="BH103" s="18"/>
      <c r="BI103" s="18"/>
      <c r="BJ103" s="18" t="s">
        <v>760</v>
      </c>
      <c r="BK103" s="18" t="s">
        <v>11644</v>
      </c>
      <c r="BL103" s="18" t="s">
        <v>10811</v>
      </c>
      <c r="BM103" s="18" t="s">
        <v>139</v>
      </c>
      <c r="BN103" s="18" t="s">
        <v>85</v>
      </c>
      <c r="BO103" s="18">
        <v>1</v>
      </c>
      <c r="BP103" s="18" t="s">
        <v>10812</v>
      </c>
      <c r="BQ103" s="18" t="str">
        <f>VLOOKUP(Prepago[[#This Row],[NOM_PLAZA]],[1]!Locales[#Data],3,0)</f>
        <v>TIENDA RECREO</v>
      </c>
      <c r="BR103" s="18" t="str">
        <f>VLOOKUP(Prepago[[#This Row],[CODIGO_USUARIO]],[1]!Personal[#Data],6,0)</f>
        <v>VALBUENA SANCHEZ ALBERT ANTHONY</v>
      </c>
      <c r="BS103" s="18">
        <f>DAY(Prepago[[#This Row],[FECHA_ALTA]])</f>
        <v>10</v>
      </c>
    </row>
    <row r="104" spans="1:71" x14ac:dyDescent="0.25">
      <c r="A104" s="18" t="s">
        <v>96</v>
      </c>
      <c r="B104" s="18" t="s">
        <v>11645</v>
      </c>
      <c r="C104" s="18" t="s">
        <v>11646</v>
      </c>
      <c r="D104" s="18" t="s">
        <v>11647</v>
      </c>
      <c r="E104" s="22">
        <v>44903</v>
      </c>
      <c r="F104" s="18" t="s">
        <v>67</v>
      </c>
      <c r="G104" s="18" t="s">
        <v>11648</v>
      </c>
      <c r="H104" s="18" t="s">
        <v>11649</v>
      </c>
      <c r="I104" s="18" t="s">
        <v>70</v>
      </c>
      <c r="J104" s="18" t="s">
        <v>8102</v>
      </c>
      <c r="K104" s="18" t="s">
        <v>8103</v>
      </c>
      <c r="L104" s="18" t="s">
        <v>95</v>
      </c>
      <c r="M104" s="18" t="s">
        <v>7037</v>
      </c>
      <c r="N104" s="18" t="s">
        <v>11650</v>
      </c>
      <c r="O104" s="18" t="s">
        <v>75</v>
      </c>
      <c r="P104" s="18" t="s">
        <v>11651</v>
      </c>
      <c r="Q104" s="18" t="s">
        <v>4453</v>
      </c>
      <c r="R104" s="18" t="s">
        <v>78</v>
      </c>
      <c r="S104" s="18" t="s">
        <v>77</v>
      </c>
      <c r="T104" s="22">
        <v>44915</v>
      </c>
      <c r="U104" s="18"/>
      <c r="V104" s="18" t="s">
        <v>81</v>
      </c>
      <c r="W104" s="18" t="s">
        <v>79</v>
      </c>
      <c r="X104" s="18" t="s">
        <v>10803</v>
      </c>
      <c r="Y104" s="18" t="s">
        <v>187</v>
      </c>
      <c r="Z104" s="18" t="s">
        <v>188</v>
      </c>
      <c r="AA104" s="18" t="s">
        <v>7062</v>
      </c>
      <c r="AB104" s="18" t="s">
        <v>95</v>
      </c>
      <c r="AC104" s="18" t="s">
        <v>7984</v>
      </c>
      <c r="AD104" s="18" t="s">
        <v>10804</v>
      </c>
      <c r="AE104" s="18" t="s">
        <v>174</v>
      </c>
      <c r="AF104" s="18" t="s">
        <v>95</v>
      </c>
      <c r="AG104" s="18" t="s">
        <v>83</v>
      </c>
      <c r="AH104" s="18" t="s">
        <v>83</v>
      </c>
      <c r="AI104" s="18" t="s">
        <v>81</v>
      </c>
      <c r="AJ104" s="18" t="s">
        <v>118</v>
      </c>
      <c r="AK104" s="18" t="s">
        <v>95</v>
      </c>
      <c r="AL104" s="18" t="s">
        <v>10920</v>
      </c>
      <c r="AM104" s="18" t="s">
        <v>85</v>
      </c>
      <c r="AN104" s="18" t="s">
        <v>7031</v>
      </c>
      <c r="AO104" s="18" t="s">
        <v>86</v>
      </c>
      <c r="AP104" s="18" t="s">
        <v>90</v>
      </c>
      <c r="AQ104" s="18" t="s">
        <v>8002</v>
      </c>
      <c r="AR104" s="18" t="s">
        <v>177</v>
      </c>
      <c r="AS104" s="18" t="s">
        <v>139</v>
      </c>
      <c r="AT104" s="18" t="s">
        <v>95</v>
      </c>
      <c r="AU104" s="18" t="s">
        <v>95</v>
      </c>
      <c r="AV104" s="18" t="s">
        <v>7037</v>
      </c>
      <c r="AW104" s="18" t="s">
        <v>95</v>
      </c>
      <c r="AX104" s="18" t="s">
        <v>10806</v>
      </c>
      <c r="AY104" s="18" t="s">
        <v>95</v>
      </c>
      <c r="AZ104" s="18" t="s">
        <v>95</v>
      </c>
      <c r="BA104" s="18" t="s">
        <v>95</v>
      </c>
      <c r="BB104" s="18" t="s">
        <v>95</v>
      </c>
      <c r="BC104" s="18" t="s">
        <v>95</v>
      </c>
      <c r="BD104" s="18" t="s">
        <v>10807</v>
      </c>
      <c r="BE104" s="18" t="s">
        <v>95</v>
      </c>
      <c r="BF104" s="18" t="s">
        <v>10809</v>
      </c>
      <c r="BG104" s="18" t="s">
        <v>7030</v>
      </c>
      <c r="BH104" s="18"/>
      <c r="BI104" s="18"/>
      <c r="BJ104" s="18" t="s">
        <v>187</v>
      </c>
      <c r="BK104" s="18" t="s">
        <v>11652</v>
      </c>
      <c r="BL104" s="18" t="s">
        <v>10811</v>
      </c>
      <c r="BM104" s="18" t="s">
        <v>139</v>
      </c>
      <c r="BN104" s="18" t="s">
        <v>85</v>
      </c>
      <c r="BO104" s="18">
        <v>0</v>
      </c>
      <c r="BP104" s="18" t="s">
        <v>10812</v>
      </c>
      <c r="BQ104" s="18" t="str">
        <f>VLOOKUP(Prepago[[#This Row],[NOM_PLAZA]],[1]!Locales[#Data],3,0)</f>
        <v>TIENDA RECREO</v>
      </c>
      <c r="BR104" s="18" t="str">
        <f>VLOOKUP(Prepago[[#This Row],[CODIGO_USUARIO]],[1]!Personal[#Data],6,0)</f>
        <v>ESPINOZA MARTINES LAURA XIOMARA</v>
      </c>
      <c r="BS104" s="18">
        <f>DAY(Prepago[[#This Row],[FECHA_ALTA]])</f>
        <v>8</v>
      </c>
    </row>
    <row r="105" spans="1:71" x14ac:dyDescent="0.25">
      <c r="A105" s="18" t="s">
        <v>96</v>
      </c>
      <c r="B105" s="18" t="s">
        <v>11653</v>
      </c>
      <c r="C105" s="18" t="s">
        <v>11654</v>
      </c>
      <c r="D105" s="18" t="s">
        <v>11655</v>
      </c>
      <c r="E105" s="22">
        <v>44902</v>
      </c>
      <c r="F105" s="18" t="s">
        <v>67</v>
      </c>
      <c r="G105" s="18" t="s">
        <v>11656</v>
      </c>
      <c r="H105" s="18" t="s">
        <v>11657</v>
      </c>
      <c r="I105" s="18" t="s">
        <v>70</v>
      </c>
      <c r="J105" s="18" t="s">
        <v>8102</v>
      </c>
      <c r="K105" s="18" t="s">
        <v>8103</v>
      </c>
      <c r="L105" s="18" t="s">
        <v>132</v>
      </c>
      <c r="M105" s="18" t="s">
        <v>7037</v>
      </c>
      <c r="N105" s="18" t="s">
        <v>11658</v>
      </c>
      <c r="O105" s="18" t="s">
        <v>75</v>
      </c>
      <c r="P105" s="18" t="s">
        <v>11659</v>
      </c>
      <c r="Q105" s="18" t="s">
        <v>4453</v>
      </c>
      <c r="R105" s="18" t="s">
        <v>78</v>
      </c>
      <c r="S105" s="18" t="s">
        <v>77</v>
      </c>
      <c r="T105" s="22">
        <v>44915</v>
      </c>
      <c r="U105" s="18"/>
      <c r="V105" s="18" t="s">
        <v>81</v>
      </c>
      <c r="W105" s="18" t="s">
        <v>79</v>
      </c>
      <c r="X105" s="18" t="s">
        <v>10803</v>
      </c>
      <c r="Y105" s="18" t="s">
        <v>175</v>
      </c>
      <c r="Z105" s="18" t="s">
        <v>176</v>
      </c>
      <c r="AA105" s="18" t="s">
        <v>7062</v>
      </c>
      <c r="AB105" s="18" t="s">
        <v>95</v>
      </c>
      <c r="AC105" s="18" t="s">
        <v>7984</v>
      </c>
      <c r="AD105" s="18" t="s">
        <v>10804</v>
      </c>
      <c r="AE105" s="18" t="s">
        <v>174</v>
      </c>
      <c r="AF105" s="18" t="s">
        <v>95</v>
      </c>
      <c r="AG105" s="18" t="s">
        <v>83</v>
      </c>
      <c r="AH105" s="18" t="s">
        <v>83</v>
      </c>
      <c r="AI105" s="18" t="s">
        <v>81</v>
      </c>
      <c r="AJ105" s="18" t="s">
        <v>118</v>
      </c>
      <c r="AK105" s="18" t="s">
        <v>95</v>
      </c>
      <c r="AL105" s="18" t="s">
        <v>11268</v>
      </c>
      <c r="AM105" s="18" t="s">
        <v>85</v>
      </c>
      <c r="AN105" s="18" t="s">
        <v>7031</v>
      </c>
      <c r="AO105" s="18" t="s">
        <v>86</v>
      </c>
      <c r="AP105" s="18" t="s">
        <v>90</v>
      </c>
      <c r="AQ105" s="18" t="s">
        <v>8002</v>
      </c>
      <c r="AR105" s="18" t="s">
        <v>177</v>
      </c>
      <c r="AS105" s="18" t="s">
        <v>139</v>
      </c>
      <c r="AT105" s="18" t="s">
        <v>95</v>
      </c>
      <c r="AU105" s="18" t="s">
        <v>95</v>
      </c>
      <c r="AV105" s="18" t="s">
        <v>7037</v>
      </c>
      <c r="AW105" s="18" t="s">
        <v>95</v>
      </c>
      <c r="AX105" s="18" t="s">
        <v>10806</v>
      </c>
      <c r="AY105" s="18" t="s">
        <v>95</v>
      </c>
      <c r="AZ105" s="18" t="s">
        <v>95</v>
      </c>
      <c r="BA105" s="18" t="s">
        <v>95</v>
      </c>
      <c r="BB105" s="18" t="s">
        <v>95</v>
      </c>
      <c r="BC105" s="18" t="s">
        <v>95</v>
      </c>
      <c r="BD105" s="18" t="s">
        <v>10807</v>
      </c>
      <c r="BE105" s="18" t="s">
        <v>10808</v>
      </c>
      <c r="BF105" s="18" t="s">
        <v>10809</v>
      </c>
      <c r="BG105" s="18" t="s">
        <v>7030</v>
      </c>
      <c r="BH105" s="18"/>
      <c r="BI105" s="18"/>
      <c r="BJ105" s="18" t="s">
        <v>175</v>
      </c>
      <c r="BK105" s="18" t="s">
        <v>11660</v>
      </c>
      <c r="BL105" s="18" t="s">
        <v>10811</v>
      </c>
      <c r="BM105" s="18" t="s">
        <v>139</v>
      </c>
      <c r="BN105" s="18" t="s">
        <v>85</v>
      </c>
      <c r="BO105" s="18">
        <v>0</v>
      </c>
      <c r="BP105" s="18" t="s">
        <v>10812</v>
      </c>
      <c r="BQ105" s="18" t="str">
        <f>VLOOKUP(Prepago[[#This Row],[NOM_PLAZA]],[1]!Locales[#Data],3,0)</f>
        <v>TIENDA RECREO</v>
      </c>
      <c r="BR105" s="18" t="str">
        <f>VLOOKUP(Prepago[[#This Row],[CODIGO_USUARIO]],[1]!Personal[#Data],6,0)</f>
        <v>VARGAS REYES LUIS EDUARDO</v>
      </c>
      <c r="BS105" s="18">
        <f>DAY(Prepago[[#This Row],[FECHA_ALTA]])</f>
        <v>7</v>
      </c>
    </row>
    <row r="106" spans="1:71" x14ac:dyDescent="0.25">
      <c r="A106" s="18" t="s">
        <v>96</v>
      </c>
      <c r="B106" s="18" t="s">
        <v>11661</v>
      </c>
      <c r="C106" s="18" t="s">
        <v>11662</v>
      </c>
      <c r="D106" s="18" t="s">
        <v>11663</v>
      </c>
      <c r="E106" s="22">
        <v>44902</v>
      </c>
      <c r="F106" s="18" t="s">
        <v>67</v>
      </c>
      <c r="G106" s="18" t="s">
        <v>11664</v>
      </c>
      <c r="H106" s="18" t="s">
        <v>11665</v>
      </c>
      <c r="I106" s="18" t="s">
        <v>70</v>
      </c>
      <c r="J106" s="18" t="s">
        <v>8102</v>
      </c>
      <c r="K106" s="18" t="s">
        <v>8103</v>
      </c>
      <c r="L106" s="18" t="s">
        <v>132</v>
      </c>
      <c r="M106" s="18" t="s">
        <v>7037</v>
      </c>
      <c r="N106" s="18" t="s">
        <v>11666</v>
      </c>
      <c r="O106" s="18" t="s">
        <v>75</v>
      </c>
      <c r="P106" s="18" t="s">
        <v>11667</v>
      </c>
      <c r="Q106" s="18" t="s">
        <v>10817</v>
      </c>
      <c r="R106" s="18" t="s">
        <v>78</v>
      </c>
      <c r="S106" s="18" t="s">
        <v>77</v>
      </c>
      <c r="T106" s="22">
        <v>44915</v>
      </c>
      <c r="U106" s="18"/>
      <c r="V106" s="18" t="s">
        <v>81</v>
      </c>
      <c r="W106" s="18" t="s">
        <v>79</v>
      </c>
      <c r="X106" s="18" t="s">
        <v>10803</v>
      </c>
      <c r="Y106" s="18" t="s">
        <v>396</v>
      </c>
      <c r="Z106" s="18" t="s">
        <v>397</v>
      </c>
      <c r="AA106" s="18" t="s">
        <v>7062</v>
      </c>
      <c r="AB106" s="18" t="s">
        <v>95</v>
      </c>
      <c r="AC106" s="18" t="s">
        <v>7984</v>
      </c>
      <c r="AD106" s="18" t="s">
        <v>10804</v>
      </c>
      <c r="AE106" s="18" t="s">
        <v>174</v>
      </c>
      <c r="AF106" s="18" t="s">
        <v>95</v>
      </c>
      <c r="AG106" s="18" t="s">
        <v>83</v>
      </c>
      <c r="AH106" s="18" t="s">
        <v>83</v>
      </c>
      <c r="AI106" s="18" t="s">
        <v>81</v>
      </c>
      <c r="AJ106" s="18" t="s">
        <v>118</v>
      </c>
      <c r="AK106" s="18" t="s">
        <v>95</v>
      </c>
      <c r="AL106" s="18" t="s">
        <v>10910</v>
      </c>
      <c r="AM106" s="18" t="s">
        <v>85</v>
      </c>
      <c r="AN106" s="18" t="s">
        <v>7031</v>
      </c>
      <c r="AO106" s="18" t="s">
        <v>86</v>
      </c>
      <c r="AP106" s="18" t="s">
        <v>90</v>
      </c>
      <c r="AQ106" s="18" t="s">
        <v>8002</v>
      </c>
      <c r="AR106" s="18" t="s">
        <v>177</v>
      </c>
      <c r="AS106" s="18" t="s">
        <v>139</v>
      </c>
      <c r="AT106" s="18" t="s">
        <v>95</v>
      </c>
      <c r="AU106" s="18" t="s">
        <v>95</v>
      </c>
      <c r="AV106" s="18" t="s">
        <v>7037</v>
      </c>
      <c r="AW106" s="18" t="s">
        <v>95</v>
      </c>
      <c r="AX106" s="18" t="s">
        <v>10806</v>
      </c>
      <c r="AY106" s="18" t="s">
        <v>95</v>
      </c>
      <c r="AZ106" s="18" t="s">
        <v>95</v>
      </c>
      <c r="BA106" s="18" t="s">
        <v>95</v>
      </c>
      <c r="BB106" s="18" t="s">
        <v>95</v>
      </c>
      <c r="BC106" s="18" t="s">
        <v>95</v>
      </c>
      <c r="BD106" s="18" t="s">
        <v>10829</v>
      </c>
      <c r="BE106" s="18" t="s">
        <v>11668</v>
      </c>
      <c r="BF106" s="18" t="s">
        <v>10809</v>
      </c>
      <c r="BG106" s="18" t="s">
        <v>7030</v>
      </c>
      <c r="BH106" s="18"/>
      <c r="BI106" s="18"/>
      <c r="BJ106" s="18" t="s">
        <v>396</v>
      </c>
      <c r="BK106" s="18" t="s">
        <v>11669</v>
      </c>
      <c r="BL106" s="18" t="s">
        <v>10811</v>
      </c>
      <c r="BM106" s="18" t="s">
        <v>139</v>
      </c>
      <c r="BN106" s="18" t="s">
        <v>85</v>
      </c>
      <c r="BO106" s="18">
        <v>1</v>
      </c>
      <c r="BP106" s="18" t="s">
        <v>10812</v>
      </c>
      <c r="BQ106" s="18" t="str">
        <f>VLOOKUP(Prepago[[#This Row],[NOM_PLAZA]],[1]!Locales[#Data],3,0)</f>
        <v>TIENDA RECREO</v>
      </c>
      <c r="BR106" s="18" t="str">
        <f>VLOOKUP(Prepago[[#This Row],[CODIGO_USUARIO]],[1]!Personal[#Data],6,0)</f>
        <v>VINUEZA VELASCO ANGY DAYANA</v>
      </c>
      <c r="BS106" s="18">
        <f>DAY(Prepago[[#This Row],[FECHA_ALTA]])</f>
        <v>7</v>
      </c>
    </row>
    <row r="107" spans="1:71" x14ac:dyDescent="0.25">
      <c r="A107" s="18" t="s">
        <v>96</v>
      </c>
      <c r="B107" s="18" t="s">
        <v>11670</v>
      </c>
      <c r="C107" s="18" t="s">
        <v>11671</v>
      </c>
      <c r="D107" s="18" t="s">
        <v>11672</v>
      </c>
      <c r="E107" s="22">
        <v>44897</v>
      </c>
      <c r="F107" s="18" t="s">
        <v>67</v>
      </c>
      <c r="G107" s="18" t="s">
        <v>11673</v>
      </c>
      <c r="H107" s="18" t="s">
        <v>11674</v>
      </c>
      <c r="I107" s="18" t="s">
        <v>70</v>
      </c>
      <c r="J107" s="18" t="s">
        <v>8102</v>
      </c>
      <c r="K107" s="18" t="s">
        <v>8103</v>
      </c>
      <c r="L107" s="18" t="s">
        <v>132</v>
      </c>
      <c r="M107" s="18" t="s">
        <v>7037</v>
      </c>
      <c r="N107" s="18" t="s">
        <v>11675</v>
      </c>
      <c r="O107" s="18" t="s">
        <v>75</v>
      </c>
      <c r="P107" s="18" t="s">
        <v>11676</v>
      </c>
      <c r="Q107" s="18" t="s">
        <v>4453</v>
      </c>
      <c r="R107" s="18" t="s">
        <v>78</v>
      </c>
      <c r="S107" s="18" t="s">
        <v>77</v>
      </c>
      <c r="T107" s="22">
        <v>44915</v>
      </c>
      <c r="U107" s="18"/>
      <c r="V107" s="18" t="s">
        <v>81</v>
      </c>
      <c r="W107" s="18" t="s">
        <v>79</v>
      </c>
      <c r="X107" s="18" t="s">
        <v>10803</v>
      </c>
      <c r="Y107" s="18" t="s">
        <v>630</v>
      </c>
      <c r="Z107" s="18" t="s">
        <v>631</v>
      </c>
      <c r="AA107" s="18" t="s">
        <v>7062</v>
      </c>
      <c r="AB107" s="18" t="s">
        <v>95</v>
      </c>
      <c r="AC107" s="18" t="s">
        <v>7984</v>
      </c>
      <c r="AD107" s="18" t="s">
        <v>10804</v>
      </c>
      <c r="AE107" s="18" t="s">
        <v>174</v>
      </c>
      <c r="AF107" s="18" t="s">
        <v>95</v>
      </c>
      <c r="AG107" s="18" t="s">
        <v>83</v>
      </c>
      <c r="AH107" s="18" t="s">
        <v>83</v>
      </c>
      <c r="AI107" s="18" t="s">
        <v>81</v>
      </c>
      <c r="AJ107" s="18" t="s">
        <v>118</v>
      </c>
      <c r="AK107" s="18" t="s">
        <v>95</v>
      </c>
      <c r="AL107" s="18" t="s">
        <v>10873</v>
      </c>
      <c r="AM107" s="18" t="s">
        <v>85</v>
      </c>
      <c r="AN107" s="18" t="s">
        <v>7031</v>
      </c>
      <c r="AO107" s="18" t="s">
        <v>86</v>
      </c>
      <c r="AP107" s="18" t="s">
        <v>90</v>
      </c>
      <c r="AQ107" s="18" t="s">
        <v>8002</v>
      </c>
      <c r="AR107" s="18" t="s">
        <v>177</v>
      </c>
      <c r="AS107" s="18" t="s">
        <v>139</v>
      </c>
      <c r="AT107" s="18" t="s">
        <v>95</v>
      </c>
      <c r="AU107" s="18" t="s">
        <v>95</v>
      </c>
      <c r="AV107" s="18" t="s">
        <v>7037</v>
      </c>
      <c r="AW107" s="18" t="s">
        <v>95</v>
      </c>
      <c r="AX107" s="18" t="s">
        <v>10806</v>
      </c>
      <c r="AY107" s="18" t="s">
        <v>95</v>
      </c>
      <c r="AZ107" s="18" t="s">
        <v>95</v>
      </c>
      <c r="BA107" s="18" t="s">
        <v>95</v>
      </c>
      <c r="BB107" s="18" t="s">
        <v>95</v>
      </c>
      <c r="BC107" s="18" t="s">
        <v>95</v>
      </c>
      <c r="BD107" s="18" t="s">
        <v>10807</v>
      </c>
      <c r="BE107" s="18" t="s">
        <v>11677</v>
      </c>
      <c r="BF107" s="18" t="s">
        <v>10809</v>
      </c>
      <c r="BG107" s="18" t="s">
        <v>7030</v>
      </c>
      <c r="BH107" s="18"/>
      <c r="BI107" s="18"/>
      <c r="BJ107" s="18" t="s">
        <v>630</v>
      </c>
      <c r="BK107" s="18" t="s">
        <v>11678</v>
      </c>
      <c r="BL107" s="18" t="s">
        <v>10811</v>
      </c>
      <c r="BM107" s="18" t="s">
        <v>139</v>
      </c>
      <c r="BN107" s="18" t="s">
        <v>85</v>
      </c>
      <c r="BO107" s="18">
        <v>1</v>
      </c>
      <c r="BP107" s="18" t="s">
        <v>10812</v>
      </c>
      <c r="BQ107" s="18" t="str">
        <f>VLOOKUP(Prepago[[#This Row],[NOM_PLAZA]],[1]!Locales[#Data],3,0)</f>
        <v>TIENDA RECREO</v>
      </c>
      <c r="BR107" s="18" t="str">
        <f>VLOOKUP(Prepago[[#This Row],[CODIGO_USUARIO]],[1]!Personal[#Data],6,0)</f>
        <v>LOAYZA AGUILAR JONATHAN FABIAN</v>
      </c>
      <c r="BS107" s="18">
        <f>DAY(Prepago[[#This Row],[FECHA_ALTA]])</f>
        <v>2</v>
      </c>
    </row>
    <row r="108" spans="1:71" x14ac:dyDescent="0.25">
      <c r="A108" s="18" t="s">
        <v>96</v>
      </c>
      <c r="B108" s="18" t="s">
        <v>11679</v>
      </c>
      <c r="C108" s="18" t="s">
        <v>11680</v>
      </c>
      <c r="D108" s="18" t="s">
        <v>11681</v>
      </c>
      <c r="E108" s="22">
        <v>44906</v>
      </c>
      <c r="F108" s="18" t="s">
        <v>67</v>
      </c>
      <c r="G108" s="18" t="s">
        <v>11682</v>
      </c>
      <c r="H108" s="18" t="s">
        <v>11683</v>
      </c>
      <c r="I108" s="18" t="s">
        <v>70</v>
      </c>
      <c r="J108" s="18" t="s">
        <v>8102</v>
      </c>
      <c r="K108" s="18" t="s">
        <v>8103</v>
      </c>
      <c r="L108" s="18" t="s">
        <v>132</v>
      </c>
      <c r="M108" s="18" t="s">
        <v>7037</v>
      </c>
      <c r="N108" s="18" t="s">
        <v>11684</v>
      </c>
      <c r="O108" s="18" t="s">
        <v>75</v>
      </c>
      <c r="P108" s="18" t="s">
        <v>11685</v>
      </c>
      <c r="Q108" s="18" t="s">
        <v>10817</v>
      </c>
      <c r="R108" s="18" t="s">
        <v>78</v>
      </c>
      <c r="S108" s="18" t="s">
        <v>77</v>
      </c>
      <c r="T108" s="22">
        <v>44915</v>
      </c>
      <c r="U108" s="18"/>
      <c r="V108" s="18" t="s">
        <v>81</v>
      </c>
      <c r="W108" s="18" t="s">
        <v>79</v>
      </c>
      <c r="X108" s="18" t="s">
        <v>10803</v>
      </c>
      <c r="Y108" s="18" t="s">
        <v>2103</v>
      </c>
      <c r="Z108" s="18" t="s">
        <v>2104</v>
      </c>
      <c r="AA108" s="18" t="s">
        <v>2103</v>
      </c>
      <c r="AB108" s="18" t="s">
        <v>2104</v>
      </c>
      <c r="AC108" s="18" t="s">
        <v>7984</v>
      </c>
      <c r="AD108" s="18" t="s">
        <v>10804</v>
      </c>
      <c r="AE108" s="18" t="s">
        <v>174</v>
      </c>
      <c r="AF108" s="18" t="s">
        <v>95</v>
      </c>
      <c r="AG108" s="18" t="s">
        <v>83</v>
      </c>
      <c r="AH108" s="18" t="s">
        <v>83</v>
      </c>
      <c r="AI108" s="18" t="s">
        <v>81</v>
      </c>
      <c r="AJ108" s="18" t="s">
        <v>118</v>
      </c>
      <c r="AK108" s="18" t="s">
        <v>95</v>
      </c>
      <c r="AL108" s="18" t="s">
        <v>11686</v>
      </c>
      <c r="AM108" s="18" t="s">
        <v>85</v>
      </c>
      <c r="AN108" s="18" t="s">
        <v>7031</v>
      </c>
      <c r="AO108" s="18" t="s">
        <v>86</v>
      </c>
      <c r="AP108" s="18" t="s">
        <v>90</v>
      </c>
      <c r="AQ108" s="18" t="s">
        <v>8002</v>
      </c>
      <c r="AR108" s="18" t="s">
        <v>177</v>
      </c>
      <c r="AS108" s="18" t="s">
        <v>139</v>
      </c>
      <c r="AT108" s="18" t="s">
        <v>95</v>
      </c>
      <c r="AU108" s="18" t="s">
        <v>95</v>
      </c>
      <c r="AV108" s="18" t="s">
        <v>7037</v>
      </c>
      <c r="AW108" s="18" t="s">
        <v>95</v>
      </c>
      <c r="AX108" s="18" t="s">
        <v>10806</v>
      </c>
      <c r="AY108" s="18" t="s">
        <v>95</v>
      </c>
      <c r="AZ108" s="18" t="s">
        <v>95</v>
      </c>
      <c r="BA108" s="18" t="s">
        <v>95</v>
      </c>
      <c r="BB108" s="18" t="s">
        <v>95</v>
      </c>
      <c r="BC108" s="18" t="s">
        <v>95</v>
      </c>
      <c r="BD108" s="18" t="s">
        <v>10829</v>
      </c>
      <c r="BE108" s="18" t="s">
        <v>11687</v>
      </c>
      <c r="BF108" s="18" t="s">
        <v>10809</v>
      </c>
      <c r="BG108" s="18" t="s">
        <v>7030</v>
      </c>
      <c r="BH108" s="18"/>
      <c r="BI108" s="18"/>
      <c r="BJ108" s="18" t="s">
        <v>2103</v>
      </c>
      <c r="BK108" s="18" t="s">
        <v>11688</v>
      </c>
      <c r="BL108" s="18" t="s">
        <v>10811</v>
      </c>
      <c r="BM108" s="18" t="s">
        <v>139</v>
      </c>
      <c r="BN108" s="18" t="s">
        <v>85</v>
      </c>
      <c r="BO108" s="18">
        <v>0</v>
      </c>
      <c r="BP108" s="18" t="s">
        <v>10812</v>
      </c>
      <c r="BQ108" s="18" t="str">
        <f>VLOOKUP(Prepago[[#This Row],[NOM_PLAZA]],[1]!Locales[#Data],3,0)</f>
        <v>TIENDA RECREO</v>
      </c>
      <c r="BR108" s="18" t="str">
        <f>VLOOKUP(Prepago[[#This Row],[CODIGO_USUARIO]],[1]!Personal[#Data],6,0)</f>
        <v>CORDOVA BRUCIL LUIS EDUARDO</v>
      </c>
      <c r="BS108" s="18">
        <f>DAY(Prepago[[#This Row],[FECHA_ALTA]])</f>
        <v>11</v>
      </c>
    </row>
    <row r="109" spans="1:71" x14ac:dyDescent="0.25">
      <c r="A109" s="18" t="s">
        <v>96</v>
      </c>
      <c r="B109" s="18" t="s">
        <v>11689</v>
      </c>
      <c r="C109" s="18" t="s">
        <v>11690</v>
      </c>
      <c r="D109" s="18" t="s">
        <v>11691</v>
      </c>
      <c r="E109" s="22">
        <v>44900</v>
      </c>
      <c r="F109" s="18" t="s">
        <v>67</v>
      </c>
      <c r="G109" s="18" t="s">
        <v>11692</v>
      </c>
      <c r="H109" s="18" t="s">
        <v>11693</v>
      </c>
      <c r="I109" s="18" t="s">
        <v>70</v>
      </c>
      <c r="J109" s="18" t="s">
        <v>8102</v>
      </c>
      <c r="K109" s="18" t="s">
        <v>8103</v>
      </c>
      <c r="L109" s="18" t="s">
        <v>132</v>
      </c>
      <c r="M109" s="18" t="s">
        <v>7037</v>
      </c>
      <c r="N109" s="18" t="s">
        <v>11694</v>
      </c>
      <c r="O109" s="18" t="s">
        <v>75</v>
      </c>
      <c r="P109" s="18" t="s">
        <v>11695</v>
      </c>
      <c r="Q109" s="18" t="s">
        <v>10817</v>
      </c>
      <c r="R109" s="18" t="s">
        <v>78</v>
      </c>
      <c r="S109" s="18" t="s">
        <v>77</v>
      </c>
      <c r="T109" s="22">
        <v>44915</v>
      </c>
      <c r="U109" s="18"/>
      <c r="V109" s="18" t="s">
        <v>81</v>
      </c>
      <c r="W109" s="18" t="s">
        <v>79</v>
      </c>
      <c r="X109" s="18" t="s">
        <v>10803</v>
      </c>
      <c r="Y109" s="18" t="s">
        <v>303</v>
      </c>
      <c r="Z109" s="18" t="s">
        <v>304</v>
      </c>
      <c r="AA109" s="18" t="s">
        <v>7062</v>
      </c>
      <c r="AB109" s="18" t="s">
        <v>95</v>
      </c>
      <c r="AC109" s="18" t="s">
        <v>7984</v>
      </c>
      <c r="AD109" s="18" t="s">
        <v>10804</v>
      </c>
      <c r="AE109" s="18" t="s">
        <v>174</v>
      </c>
      <c r="AF109" s="18" t="s">
        <v>95</v>
      </c>
      <c r="AG109" s="18" t="s">
        <v>83</v>
      </c>
      <c r="AH109" s="18" t="s">
        <v>83</v>
      </c>
      <c r="AI109" s="18" t="s">
        <v>81</v>
      </c>
      <c r="AJ109" s="18" t="s">
        <v>118</v>
      </c>
      <c r="AK109" s="18" t="s">
        <v>95</v>
      </c>
      <c r="AL109" s="18" t="s">
        <v>10805</v>
      </c>
      <c r="AM109" s="18" t="s">
        <v>85</v>
      </c>
      <c r="AN109" s="18" t="s">
        <v>7031</v>
      </c>
      <c r="AO109" s="18" t="s">
        <v>86</v>
      </c>
      <c r="AP109" s="18" t="s">
        <v>90</v>
      </c>
      <c r="AQ109" s="18" t="s">
        <v>8002</v>
      </c>
      <c r="AR109" s="18" t="s">
        <v>177</v>
      </c>
      <c r="AS109" s="18" t="s">
        <v>139</v>
      </c>
      <c r="AT109" s="18" t="s">
        <v>95</v>
      </c>
      <c r="AU109" s="18" t="s">
        <v>95</v>
      </c>
      <c r="AV109" s="18" t="s">
        <v>7037</v>
      </c>
      <c r="AW109" s="18" t="s">
        <v>95</v>
      </c>
      <c r="AX109" s="18" t="s">
        <v>10806</v>
      </c>
      <c r="AY109" s="18" t="s">
        <v>95</v>
      </c>
      <c r="AZ109" s="18" t="s">
        <v>95</v>
      </c>
      <c r="BA109" s="18" t="s">
        <v>95</v>
      </c>
      <c r="BB109" s="18" t="s">
        <v>95</v>
      </c>
      <c r="BC109" s="18" t="s">
        <v>95</v>
      </c>
      <c r="BD109" s="18" t="s">
        <v>10829</v>
      </c>
      <c r="BE109" s="18" t="s">
        <v>11696</v>
      </c>
      <c r="BF109" s="18" t="s">
        <v>10809</v>
      </c>
      <c r="BG109" s="18" t="s">
        <v>7030</v>
      </c>
      <c r="BH109" s="18"/>
      <c r="BI109" s="18"/>
      <c r="BJ109" s="18" t="s">
        <v>303</v>
      </c>
      <c r="BK109" s="18" t="s">
        <v>11697</v>
      </c>
      <c r="BL109" s="18" t="s">
        <v>10811</v>
      </c>
      <c r="BM109" s="18" t="s">
        <v>139</v>
      </c>
      <c r="BN109" s="18" t="s">
        <v>85</v>
      </c>
      <c r="BO109" s="18">
        <v>0</v>
      </c>
      <c r="BP109" s="18" t="s">
        <v>10812</v>
      </c>
      <c r="BQ109" s="18" t="str">
        <f>VLOOKUP(Prepago[[#This Row],[NOM_PLAZA]],[1]!Locales[#Data],3,0)</f>
        <v>TIENDA RECREO</v>
      </c>
      <c r="BR109" s="18" t="str">
        <f>VLOOKUP(Prepago[[#This Row],[CODIGO_USUARIO]],[1]!Personal[#Data],6,0)</f>
        <v>CORDOVA GAIBOR JONATHAN HERNAN</v>
      </c>
      <c r="BS109" s="18">
        <f>DAY(Prepago[[#This Row],[FECHA_ALTA]])</f>
        <v>5</v>
      </c>
    </row>
    <row r="110" spans="1:71" x14ac:dyDescent="0.25">
      <c r="A110" s="18" t="s">
        <v>96</v>
      </c>
      <c r="B110" s="18" t="s">
        <v>9522</v>
      </c>
      <c r="C110" s="18" t="s">
        <v>9528</v>
      </c>
      <c r="D110" s="18" t="s">
        <v>9524</v>
      </c>
      <c r="E110" s="22">
        <v>44907</v>
      </c>
      <c r="F110" s="18" t="s">
        <v>67</v>
      </c>
      <c r="G110" s="18" t="s">
        <v>9525</v>
      </c>
      <c r="H110" s="18" t="s">
        <v>9526</v>
      </c>
      <c r="I110" s="18" t="s">
        <v>70</v>
      </c>
      <c r="J110" s="18" t="s">
        <v>8102</v>
      </c>
      <c r="K110" s="18" t="s">
        <v>8103</v>
      </c>
      <c r="L110" s="18" t="s">
        <v>196</v>
      </c>
      <c r="M110" s="18" t="s">
        <v>7066</v>
      </c>
      <c r="N110" s="18" t="s">
        <v>9527</v>
      </c>
      <c r="O110" s="18" t="s">
        <v>287</v>
      </c>
      <c r="P110" s="18" t="s">
        <v>11698</v>
      </c>
      <c r="Q110" s="18" t="s">
        <v>10817</v>
      </c>
      <c r="R110" s="18" t="s">
        <v>78</v>
      </c>
      <c r="S110" s="18" t="s">
        <v>77</v>
      </c>
      <c r="T110" s="22">
        <v>44915</v>
      </c>
      <c r="U110" s="18"/>
      <c r="V110" s="18" t="s">
        <v>81</v>
      </c>
      <c r="W110" s="18" t="s">
        <v>79</v>
      </c>
      <c r="X110" s="18" t="s">
        <v>10803</v>
      </c>
      <c r="Y110" s="18" t="s">
        <v>1315</v>
      </c>
      <c r="Z110" s="18" t="s">
        <v>1316</v>
      </c>
      <c r="AA110" s="18" t="s">
        <v>7062</v>
      </c>
      <c r="AB110" s="18" t="s">
        <v>95</v>
      </c>
      <c r="AC110" s="18" t="s">
        <v>7984</v>
      </c>
      <c r="AD110" s="18" t="s">
        <v>10804</v>
      </c>
      <c r="AE110" s="18" t="s">
        <v>174</v>
      </c>
      <c r="AF110" s="18" t="s">
        <v>95</v>
      </c>
      <c r="AG110" s="18" t="s">
        <v>83</v>
      </c>
      <c r="AH110" s="18" t="s">
        <v>83</v>
      </c>
      <c r="AI110" s="18" t="s">
        <v>81</v>
      </c>
      <c r="AJ110" s="18" t="s">
        <v>118</v>
      </c>
      <c r="AK110" s="18" t="s">
        <v>95</v>
      </c>
      <c r="AL110" s="18" t="s">
        <v>11052</v>
      </c>
      <c r="AM110" s="18" t="s">
        <v>85</v>
      </c>
      <c r="AN110" s="18" t="s">
        <v>7031</v>
      </c>
      <c r="AO110" s="18" t="s">
        <v>86</v>
      </c>
      <c r="AP110" s="18" t="s">
        <v>90</v>
      </c>
      <c r="AQ110" s="18" t="s">
        <v>8002</v>
      </c>
      <c r="AR110" s="18" t="s">
        <v>177</v>
      </c>
      <c r="AS110" s="18" t="s">
        <v>139</v>
      </c>
      <c r="AT110" s="18" t="s">
        <v>95</v>
      </c>
      <c r="AU110" s="18" t="s">
        <v>95</v>
      </c>
      <c r="AV110" s="18" t="s">
        <v>7066</v>
      </c>
      <c r="AW110" s="18" t="s">
        <v>95</v>
      </c>
      <c r="AX110" s="18" t="s">
        <v>10806</v>
      </c>
      <c r="AY110" s="18" t="s">
        <v>95</v>
      </c>
      <c r="AZ110" s="18" t="s">
        <v>95</v>
      </c>
      <c r="BA110" s="18" t="s">
        <v>95</v>
      </c>
      <c r="BB110" s="18" t="s">
        <v>95</v>
      </c>
      <c r="BC110" s="18" t="s">
        <v>95</v>
      </c>
      <c r="BD110" s="18" t="s">
        <v>10829</v>
      </c>
      <c r="BE110" s="18" t="s">
        <v>11699</v>
      </c>
      <c r="BF110" s="18" t="s">
        <v>10809</v>
      </c>
      <c r="BG110" s="18" t="s">
        <v>7030</v>
      </c>
      <c r="BH110" s="18"/>
      <c r="BI110" s="18"/>
      <c r="BJ110" s="18" t="s">
        <v>1315</v>
      </c>
      <c r="BK110" s="18" t="s">
        <v>11700</v>
      </c>
      <c r="BL110" s="18" t="s">
        <v>10811</v>
      </c>
      <c r="BM110" s="18" t="s">
        <v>8121</v>
      </c>
      <c r="BN110" s="18" t="s">
        <v>85</v>
      </c>
      <c r="BO110" s="18">
        <v>0</v>
      </c>
      <c r="BP110" s="18" t="s">
        <v>10812</v>
      </c>
      <c r="BQ110" s="18" t="str">
        <f>VLOOKUP(Prepago[[#This Row],[NOM_PLAZA]],[1]!Locales[#Data],3,0)</f>
        <v>TIENDA RECREO</v>
      </c>
      <c r="BR110" s="18" t="str">
        <f>VLOOKUP(Prepago[[#This Row],[CODIGO_USUARIO]],[1]!Personal[#Data],6,0)</f>
        <v>ORTEGA  NATALIE MÉNDEZ</v>
      </c>
      <c r="BS110" s="18">
        <f>DAY(Prepago[[#This Row],[FECHA_ALTA]])</f>
        <v>12</v>
      </c>
    </row>
    <row r="111" spans="1:71" x14ac:dyDescent="0.25">
      <c r="A111" s="18" t="s">
        <v>96</v>
      </c>
      <c r="B111" s="18" t="s">
        <v>11701</v>
      </c>
      <c r="C111" s="18" t="s">
        <v>11702</v>
      </c>
      <c r="D111" s="18" t="s">
        <v>11703</v>
      </c>
      <c r="E111" s="22">
        <v>44906</v>
      </c>
      <c r="F111" s="18" t="s">
        <v>67</v>
      </c>
      <c r="G111" s="18" t="s">
        <v>11704</v>
      </c>
      <c r="H111" s="18" t="s">
        <v>11705</v>
      </c>
      <c r="I111" s="18" t="s">
        <v>70</v>
      </c>
      <c r="J111" s="18" t="s">
        <v>8102</v>
      </c>
      <c r="K111" s="18" t="s">
        <v>8103</v>
      </c>
      <c r="L111" s="18" t="s">
        <v>132</v>
      </c>
      <c r="M111" s="18" t="s">
        <v>7037</v>
      </c>
      <c r="N111" s="18" t="s">
        <v>11706</v>
      </c>
      <c r="O111" s="18" t="s">
        <v>75</v>
      </c>
      <c r="P111" s="18" t="s">
        <v>11707</v>
      </c>
      <c r="Q111" s="18" t="s">
        <v>1532</v>
      </c>
      <c r="R111" s="18" t="s">
        <v>78</v>
      </c>
      <c r="S111" s="18" t="s">
        <v>77</v>
      </c>
      <c r="T111" s="22">
        <v>44915</v>
      </c>
      <c r="U111" s="18"/>
      <c r="V111" s="18" t="s">
        <v>81</v>
      </c>
      <c r="W111" s="18" t="s">
        <v>79</v>
      </c>
      <c r="X111" s="18" t="s">
        <v>10803</v>
      </c>
      <c r="Y111" s="18" t="s">
        <v>303</v>
      </c>
      <c r="Z111" s="18" t="s">
        <v>304</v>
      </c>
      <c r="AA111" s="18" t="s">
        <v>7062</v>
      </c>
      <c r="AB111" s="18" t="s">
        <v>95</v>
      </c>
      <c r="AC111" s="18" t="s">
        <v>7984</v>
      </c>
      <c r="AD111" s="18" t="s">
        <v>10804</v>
      </c>
      <c r="AE111" s="18" t="s">
        <v>174</v>
      </c>
      <c r="AF111" s="18" t="s">
        <v>95</v>
      </c>
      <c r="AG111" s="18" t="s">
        <v>83</v>
      </c>
      <c r="AH111" s="18" t="s">
        <v>83</v>
      </c>
      <c r="AI111" s="18" t="s">
        <v>81</v>
      </c>
      <c r="AJ111" s="18" t="s">
        <v>118</v>
      </c>
      <c r="AK111" s="18" t="s">
        <v>95</v>
      </c>
      <c r="AL111" s="18" t="s">
        <v>10805</v>
      </c>
      <c r="AM111" s="18" t="s">
        <v>85</v>
      </c>
      <c r="AN111" s="18" t="s">
        <v>7031</v>
      </c>
      <c r="AO111" s="18" t="s">
        <v>86</v>
      </c>
      <c r="AP111" s="18" t="s">
        <v>90</v>
      </c>
      <c r="AQ111" s="18" t="s">
        <v>8002</v>
      </c>
      <c r="AR111" s="18" t="s">
        <v>177</v>
      </c>
      <c r="AS111" s="18" t="s">
        <v>139</v>
      </c>
      <c r="AT111" s="18" t="s">
        <v>95</v>
      </c>
      <c r="AU111" s="18" t="s">
        <v>95</v>
      </c>
      <c r="AV111" s="18" t="s">
        <v>7037</v>
      </c>
      <c r="AW111" s="18" t="s">
        <v>95</v>
      </c>
      <c r="AX111" s="18" t="s">
        <v>10806</v>
      </c>
      <c r="AY111" s="18" t="s">
        <v>95</v>
      </c>
      <c r="AZ111" s="18" t="s">
        <v>95</v>
      </c>
      <c r="BA111" s="18" t="s">
        <v>95</v>
      </c>
      <c r="BB111" s="18" t="s">
        <v>95</v>
      </c>
      <c r="BC111" s="18" t="s">
        <v>95</v>
      </c>
      <c r="BD111" s="18" t="s">
        <v>10807</v>
      </c>
      <c r="BE111" s="18" t="s">
        <v>11708</v>
      </c>
      <c r="BF111" s="18" t="s">
        <v>10809</v>
      </c>
      <c r="BG111" s="18" t="s">
        <v>7030</v>
      </c>
      <c r="BH111" s="18"/>
      <c r="BI111" s="18"/>
      <c r="BJ111" s="18" t="s">
        <v>303</v>
      </c>
      <c r="BK111" s="18" t="s">
        <v>11709</v>
      </c>
      <c r="BL111" s="18" t="s">
        <v>10811</v>
      </c>
      <c r="BM111" s="18" t="s">
        <v>139</v>
      </c>
      <c r="BN111" s="18" t="s">
        <v>85</v>
      </c>
      <c r="BO111" s="18">
        <v>0</v>
      </c>
      <c r="BP111" s="18" t="s">
        <v>10812</v>
      </c>
      <c r="BQ111" s="18" t="str">
        <f>VLOOKUP(Prepago[[#This Row],[NOM_PLAZA]],[1]!Locales[#Data],3,0)</f>
        <v>TIENDA RECREO</v>
      </c>
      <c r="BR111" s="18" t="str">
        <f>VLOOKUP(Prepago[[#This Row],[CODIGO_USUARIO]],[1]!Personal[#Data],6,0)</f>
        <v>CORDOVA GAIBOR JONATHAN HERNAN</v>
      </c>
      <c r="BS111" s="18">
        <f>DAY(Prepago[[#This Row],[FECHA_ALTA]])</f>
        <v>11</v>
      </c>
    </row>
    <row r="112" spans="1:71" x14ac:dyDescent="0.25">
      <c r="A112" s="18" t="s">
        <v>96</v>
      </c>
      <c r="B112" s="18" t="s">
        <v>11710</v>
      </c>
      <c r="C112" s="18" t="s">
        <v>11711</v>
      </c>
      <c r="D112" s="18" t="s">
        <v>11712</v>
      </c>
      <c r="E112" s="22">
        <v>44902</v>
      </c>
      <c r="F112" s="18" t="s">
        <v>67</v>
      </c>
      <c r="G112" s="18" t="s">
        <v>11713</v>
      </c>
      <c r="H112" s="18" t="s">
        <v>11714</v>
      </c>
      <c r="I112" s="18" t="s">
        <v>70</v>
      </c>
      <c r="J112" s="18" t="s">
        <v>8102</v>
      </c>
      <c r="K112" s="18" t="s">
        <v>8103</v>
      </c>
      <c r="L112" s="18" t="s">
        <v>132</v>
      </c>
      <c r="M112" s="18" t="s">
        <v>7037</v>
      </c>
      <c r="N112" s="18" t="s">
        <v>11715</v>
      </c>
      <c r="O112" s="18" t="s">
        <v>75</v>
      </c>
      <c r="P112" s="18" t="s">
        <v>11716</v>
      </c>
      <c r="Q112" s="18" t="s">
        <v>10817</v>
      </c>
      <c r="R112" s="18" t="s">
        <v>78</v>
      </c>
      <c r="S112" s="18" t="s">
        <v>77</v>
      </c>
      <c r="T112" s="22">
        <v>44915</v>
      </c>
      <c r="U112" s="18"/>
      <c r="V112" s="18" t="s">
        <v>81</v>
      </c>
      <c r="W112" s="18" t="s">
        <v>79</v>
      </c>
      <c r="X112" s="18" t="s">
        <v>10803</v>
      </c>
      <c r="Y112" s="18" t="s">
        <v>187</v>
      </c>
      <c r="Z112" s="18" t="s">
        <v>188</v>
      </c>
      <c r="AA112" s="18" t="s">
        <v>7062</v>
      </c>
      <c r="AB112" s="18" t="s">
        <v>95</v>
      </c>
      <c r="AC112" s="18" t="s">
        <v>7984</v>
      </c>
      <c r="AD112" s="18" t="s">
        <v>10804</v>
      </c>
      <c r="AE112" s="18" t="s">
        <v>174</v>
      </c>
      <c r="AF112" s="18" t="s">
        <v>95</v>
      </c>
      <c r="AG112" s="18" t="s">
        <v>83</v>
      </c>
      <c r="AH112" s="18" t="s">
        <v>83</v>
      </c>
      <c r="AI112" s="18" t="s">
        <v>81</v>
      </c>
      <c r="AJ112" s="18" t="s">
        <v>118</v>
      </c>
      <c r="AK112" s="18" t="s">
        <v>95</v>
      </c>
      <c r="AL112" s="18" t="s">
        <v>10920</v>
      </c>
      <c r="AM112" s="18" t="s">
        <v>85</v>
      </c>
      <c r="AN112" s="18" t="s">
        <v>7031</v>
      </c>
      <c r="AO112" s="18" t="s">
        <v>86</v>
      </c>
      <c r="AP112" s="18" t="s">
        <v>90</v>
      </c>
      <c r="AQ112" s="18" t="s">
        <v>8002</v>
      </c>
      <c r="AR112" s="18" t="s">
        <v>177</v>
      </c>
      <c r="AS112" s="18" t="s">
        <v>139</v>
      </c>
      <c r="AT112" s="18" t="s">
        <v>95</v>
      </c>
      <c r="AU112" s="18" t="s">
        <v>95</v>
      </c>
      <c r="AV112" s="18" t="s">
        <v>7037</v>
      </c>
      <c r="AW112" s="18" t="s">
        <v>95</v>
      </c>
      <c r="AX112" s="18" t="s">
        <v>10806</v>
      </c>
      <c r="AY112" s="18" t="s">
        <v>95</v>
      </c>
      <c r="AZ112" s="18" t="s">
        <v>95</v>
      </c>
      <c r="BA112" s="18" t="s">
        <v>95</v>
      </c>
      <c r="BB112" s="18" t="s">
        <v>95</v>
      </c>
      <c r="BC112" s="18" t="s">
        <v>95</v>
      </c>
      <c r="BD112" s="18" t="s">
        <v>10829</v>
      </c>
      <c r="BE112" s="18" t="s">
        <v>95</v>
      </c>
      <c r="BF112" s="18" t="s">
        <v>7066</v>
      </c>
      <c r="BG112" s="18" t="s">
        <v>7030</v>
      </c>
      <c r="BH112" s="18"/>
      <c r="BI112" s="18"/>
      <c r="BJ112" s="18" t="s">
        <v>187</v>
      </c>
      <c r="BK112" s="18" t="s">
        <v>11717</v>
      </c>
      <c r="BL112" s="18" t="s">
        <v>10811</v>
      </c>
      <c r="BM112" s="18" t="s">
        <v>139</v>
      </c>
      <c r="BN112" s="18" t="s">
        <v>85</v>
      </c>
      <c r="BO112" s="18">
        <v>0</v>
      </c>
      <c r="BP112" s="18" t="s">
        <v>10812</v>
      </c>
      <c r="BQ112" s="18" t="str">
        <f>VLOOKUP(Prepago[[#This Row],[NOM_PLAZA]],[1]!Locales[#Data],3,0)</f>
        <v>TIENDA RECREO</v>
      </c>
      <c r="BR112" s="18" t="str">
        <f>VLOOKUP(Prepago[[#This Row],[CODIGO_USUARIO]],[1]!Personal[#Data],6,0)</f>
        <v>ESPINOZA MARTINES LAURA XIOMARA</v>
      </c>
      <c r="BS112" s="18">
        <f>DAY(Prepago[[#This Row],[FECHA_ALTA]])</f>
        <v>7</v>
      </c>
    </row>
    <row r="113" spans="1:71" x14ac:dyDescent="0.25">
      <c r="A113" s="18" t="s">
        <v>96</v>
      </c>
      <c r="B113" s="18" t="s">
        <v>11718</v>
      </c>
      <c r="C113" s="18" t="s">
        <v>11719</v>
      </c>
      <c r="D113" s="18" t="s">
        <v>11720</v>
      </c>
      <c r="E113" s="22">
        <v>44912</v>
      </c>
      <c r="F113" s="18" t="s">
        <v>67</v>
      </c>
      <c r="G113" s="18" t="s">
        <v>11721</v>
      </c>
      <c r="H113" s="18" t="s">
        <v>11722</v>
      </c>
      <c r="I113" s="18" t="s">
        <v>70</v>
      </c>
      <c r="J113" s="18" t="s">
        <v>8102</v>
      </c>
      <c r="K113" s="18" t="s">
        <v>8103</v>
      </c>
      <c r="L113" s="18" t="s">
        <v>1949</v>
      </c>
      <c r="M113" s="18" t="s">
        <v>7037</v>
      </c>
      <c r="N113" s="18" t="s">
        <v>11723</v>
      </c>
      <c r="O113" s="18" t="s">
        <v>75</v>
      </c>
      <c r="P113" s="18" t="s">
        <v>11724</v>
      </c>
      <c r="Q113" s="18" t="s">
        <v>10817</v>
      </c>
      <c r="R113" s="18" t="s">
        <v>78</v>
      </c>
      <c r="S113" s="18" t="s">
        <v>77</v>
      </c>
      <c r="T113" s="22">
        <v>44915</v>
      </c>
      <c r="U113" s="18"/>
      <c r="V113" s="18" t="s">
        <v>81</v>
      </c>
      <c r="W113" s="18" t="s">
        <v>79</v>
      </c>
      <c r="X113" s="18" t="s">
        <v>10803</v>
      </c>
      <c r="Y113" s="18" t="s">
        <v>630</v>
      </c>
      <c r="Z113" s="18" t="s">
        <v>631</v>
      </c>
      <c r="AA113" s="18" t="s">
        <v>7062</v>
      </c>
      <c r="AB113" s="18" t="s">
        <v>95</v>
      </c>
      <c r="AC113" s="18" t="s">
        <v>7984</v>
      </c>
      <c r="AD113" s="18" t="s">
        <v>10804</v>
      </c>
      <c r="AE113" s="18" t="s">
        <v>174</v>
      </c>
      <c r="AF113" s="18" t="s">
        <v>95</v>
      </c>
      <c r="AG113" s="18" t="s">
        <v>83</v>
      </c>
      <c r="AH113" s="18" t="s">
        <v>83</v>
      </c>
      <c r="AI113" s="18" t="s">
        <v>81</v>
      </c>
      <c r="AJ113" s="18" t="s">
        <v>118</v>
      </c>
      <c r="AK113" s="18" t="s">
        <v>95</v>
      </c>
      <c r="AL113" s="18" t="s">
        <v>10873</v>
      </c>
      <c r="AM113" s="18" t="s">
        <v>85</v>
      </c>
      <c r="AN113" s="18" t="s">
        <v>7031</v>
      </c>
      <c r="AO113" s="18" t="s">
        <v>86</v>
      </c>
      <c r="AP113" s="18" t="s">
        <v>90</v>
      </c>
      <c r="AQ113" s="18" t="s">
        <v>8002</v>
      </c>
      <c r="AR113" s="18" t="s">
        <v>177</v>
      </c>
      <c r="AS113" s="18" t="s">
        <v>139</v>
      </c>
      <c r="AT113" s="18" t="s">
        <v>95</v>
      </c>
      <c r="AU113" s="18" t="s">
        <v>95</v>
      </c>
      <c r="AV113" s="18" t="s">
        <v>7037</v>
      </c>
      <c r="AW113" s="18" t="s">
        <v>95</v>
      </c>
      <c r="AX113" s="18" t="s">
        <v>10806</v>
      </c>
      <c r="AY113" s="18" t="s">
        <v>95</v>
      </c>
      <c r="AZ113" s="18" t="s">
        <v>95</v>
      </c>
      <c r="BA113" s="18" t="s">
        <v>95</v>
      </c>
      <c r="BB113" s="18" t="s">
        <v>95</v>
      </c>
      <c r="BC113" s="18" t="s">
        <v>95</v>
      </c>
      <c r="BD113" s="18" t="s">
        <v>10829</v>
      </c>
      <c r="BE113" s="18" t="s">
        <v>11725</v>
      </c>
      <c r="BF113" s="18" t="s">
        <v>10809</v>
      </c>
      <c r="BG113" s="18" t="s">
        <v>7030</v>
      </c>
      <c r="BH113" s="18"/>
      <c r="BI113" s="18"/>
      <c r="BJ113" s="18" t="s">
        <v>630</v>
      </c>
      <c r="BK113" s="18" t="s">
        <v>11726</v>
      </c>
      <c r="BL113" s="18" t="s">
        <v>10811</v>
      </c>
      <c r="BM113" s="18" t="s">
        <v>139</v>
      </c>
      <c r="BN113" s="18" t="s">
        <v>85</v>
      </c>
      <c r="BO113" s="18">
        <v>0</v>
      </c>
      <c r="BP113" s="18" t="s">
        <v>10812</v>
      </c>
      <c r="BQ113" s="18" t="str">
        <f>VLOOKUP(Prepago[[#This Row],[NOM_PLAZA]],[1]!Locales[#Data],3,0)</f>
        <v>TIENDA RECREO</v>
      </c>
      <c r="BR113" s="18" t="str">
        <f>VLOOKUP(Prepago[[#This Row],[CODIGO_USUARIO]],[1]!Personal[#Data],6,0)</f>
        <v>LOAYZA AGUILAR JONATHAN FABIAN</v>
      </c>
      <c r="BS113" s="18">
        <f>DAY(Prepago[[#This Row],[FECHA_ALTA]])</f>
        <v>17</v>
      </c>
    </row>
    <row r="114" spans="1:71" x14ac:dyDescent="0.25">
      <c r="A114" s="18" t="s">
        <v>96</v>
      </c>
      <c r="B114" s="18" t="s">
        <v>11727</v>
      </c>
      <c r="C114" s="18" t="s">
        <v>11728</v>
      </c>
      <c r="D114" s="18" t="s">
        <v>11729</v>
      </c>
      <c r="E114" s="22">
        <v>44898</v>
      </c>
      <c r="F114" s="18" t="s">
        <v>67</v>
      </c>
      <c r="G114" s="18" t="s">
        <v>11730</v>
      </c>
      <c r="H114" s="18" t="s">
        <v>11731</v>
      </c>
      <c r="I114" s="18" t="s">
        <v>70</v>
      </c>
      <c r="J114" s="18" t="s">
        <v>8102</v>
      </c>
      <c r="K114" s="18" t="s">
        <v>8103</v>
      </c>
      <c r="L114" s="18" t="s">
        <v>132</v>
      </c>
      <c r="M114" s="18" t="s">
        <v>7037</v>
      </c>
      <c r="N114" s="18" t="s">
        <v>11732</v>
      </c>
      <c r="O114" s="18" t="s">
        <v>75</v>
      </c>
      <c r="P114" s="18" t="s">
        <v>11733</v>
      </c>
      <c r="Q114" s="18" t="s">
        <v>10817</v>
      </c>
      <c r="R114" s="18" t="s">
        <v>78</v>
      </c>
      <c r="S114" s="18" t="s">
        <v>77</v>
      </c>
      <c r="T114" s="22">
        <v>44915</v>
      </c>
      <c r="U114" s="18"/>
      <c r="V114" s="18" t="s">
        <v>81</v>
      </c>
      <c r="W114" s="18" t="s">
        <v>79</v>
      </c>
      <c r="X114" s="18" t="s">
        <v>10803</v>
      </c>
      <c r="Y114" s="18" t="s">
        <v>303</v>
      </c>
      <c r="Z114" s="18" t="s">
        <v>304</v>
      </c>
      <c r="AA114" s="18" t="s">
        <v>7062</v>
      </c>
      <c r="AB114" s="18" t="s">
        <v>95</v>
      </c>
      <c r="AC114" s="18" t="s">
        <v>7984</v>
      </c>
      <c r="AD114" s="18" t="s">
        <v>10804</v>
      </c>
      <c r="AE114" s="18" t="s">
        <v>174</v>
      </c>
      <c r="AF114" s="18" t="s">
        <v>95</v>
      </c>
      <c r="AG114" s="18" t="s">
        <v>83</v>
      </c>
      <c r="AH114" s="18" t="s">
        <v>83</v>
      </c>
      <c r="AI114" s="18" t="s">
        <v>81</v>
      </c>
      <c r="AJ114" s="18" t="s">
        <v>118</v>
      </c>
      <c r="AK114" s="18" t="s">
        <v>95</v>
      </c>
      <c r="AL114" s="18" t="s">
        <v>10805</v>
      </c>
      <c r="AM114" s="18" t="s">
        <v>85</v>
      </c>
      <c r="AN114" s="18" t="s">
        <v>7031</v>
      </c>
      <c r="AO114" s="18" t="s">
        <v>86</v>
      </c>
      <c r="AP114" s="18" t="s">
        <v>90</v>
      </c>
      <c r="AQ114" s="18" t="s">
        <v>8002</v>
      </c>
      <c r="AR114" s="18" t="s">
        <v>177</v>
      </c>
      <c r="AS114" s="18" t="s">
        <v>139</v>
      </c>
      <c r="AT114" s="18" t="s">
        <v>95</v>
      </c>
      <c r="AU114" s="18" t="s">
        <v>95</v>
      </c>
      <c r="AV114" s="18" t="s">
        <v>7037</v>
      </c>
      <c r="AW114" s="18" t="s">
        <v>95</v>
      </c>
      <c r="AX114" s="18" t="s">
        <v>10806</v>
      </c>
      <c r="AY114" s="18" t="s">
        <v>95</v>
      </c>
      <c r="AZ114" s="18" t="s">
        <v>95</v>
      </c>
      <c r="BA114" s="18" t="s">
        <v>95</v>
      </c>
      <c r="BB114" s="18" t="s">
        <v>95</v>
      </c>
      <c r="BC114" s="18" t="s">
        <v>95</v>
      </c>
      <c r="BD114" s="18" t="s">
        <v>10829</v>
      </c>
      <c r="BE114" s="18" t="s">
        <v>11734</v>
      </c>
      <c r="BF114" s="18" t="s">
        <v>10809</v>
      </c>
      <c r="BG114" s="18" t="s">
        <v>7030</v>
      </c>
      <c r="BH114" s="18"/>
      <c r="BI114" s="18"/>
      <c r="BJ114" s="18" t="s">
        <v>303</v>
      </c>
      <c r="BK114" s="18" t="s">
        <v>11735</v>
      </c>
      <c r="BL114" s="18" t="s">
        <v>10811</v>
      </c>
      <c r="BM114" s="18" t="s">
        <v>139</v>
      </c>
      <c r="BN114" s="18" t="s">
        <v>85</v>
      </c>
      <c r="BO114" s="18">
        <v>0</v>
      </c>
      <c r="BP114" s="18" t="s">
        <v>10812</v>
      </c>
      <c r="BQ114" s="18" t="str">
        <f>VLOOKUP(Prepago[[#This Row],[NOM_PLAZA]],[1]!Locales[#Data],3,0)</f>
        <v>TIENDA RECREO</v>
      </c>
      <c r="BR114" s="18" t="str">
        <f>VLOOKUP(Prepago[[#This Row],[CODIGO_USUARIO]],[1]!Personal[#Data],6,0)</f>
        <v>CORDOVA GAIBOR JONATHAN HERNAN</v>
      </c>
      <c r="BS114" s="18">
        <f>DAY(Prepago[[#This Row],[FECHA_ALTA]])</f>
        <v>3</v>
      </c>
    </row>
    <row r="115" spans="1:71" x14ac:dyDescent="0.25">
      <c r="A115" s="18" t="s">
        <v>96</v>
      </c>
      <c r="B115" s="18" t="s">
        <v>11736</v>
      </c>
      <c r="C115" s="18" t="s">
        <v>11737</v>
      </c>
      <c r="D115" s="18" t="s">
        <v>11738</v>
      </c>
      <c r="E115" s="22">
        <v>44902</v>
      </c>
      <c r="F115" s="18" t="s">
        <v>67</v>
      </c>
      <c r="G115" s="18" t="s">
        <v>11739</v>
      </c>
      <c r="H115" s="18" t="s">
        <v>11740</v>
      </c>
      <c r="I115" s="18" t="s">
        <v>70</v>
      </c>
      <c r="J115" s="18" t="s">
        <v>8102</v>
      </c>
      <c r="K115" s="18" t="s">
        <v>8103</v>
      </c>
      <c r="L115" s="18" t="s">
        <v>73</v>
      </c>
      <c r="M115" s="18" t="s">
        <v>7037</v>
      </c>
      <c r="N115" s="18" t="s">
        <v>11741</v>
      </c>
      <c r="O115" s="18" t="s">
        <v>75</v>
      </c>
      <c r="P115" s="18" t="s">
        <v>11742</v>
      </c>
      <c r="Q115" s="18" t="s">
        <v>10817</v>
      </c>
      <c r="R115" s="18" t="s">
        <v>78</v>
      </c>
      <c r="S115" s="18" t="s">
        <v>77</v>
      </c>
      <c r="T115" s="22">
        <v>44915</v>
      </c>
      <c r="U115" s="18"/>
      <c r="V115" s="18" t="s">
        <v>81</v>
      </c>
      <c r="W115" s="18" t="s">
        <v>79</v>
      </c>
      <c r="X115" s="18" t="s">
        <v>10803</v>
      </c>
      <c r="Y115" s="18" t="s">
        <v>630</v>
      </c>
      <c r="Z115" s="18" t="s">
        <v>631</v>
      </c>
      <c r="AA115" s="18" t="s">
        <v>7062</v>
      </c>
      <c r="AB115" s="18" t="s">
        <v>95</v>
      </c>
      <c r="AC115" s="18" t="s">
        <v>7984</v>
      </c>
      <c r="AD115" s="18" t="s">
        <v>10804</v>
      </c>
      <c r="AE115" s="18" t="s">
        <v>174</v>
      </c>
      <c r="AF115" s="18" t="s">
        <v>95</v>
      </c>
      <c r="AG115" s="18" t="s">
        <v>83</v>
      </c>
      <c r="AH115" s="18" t="s">
        <v>83</v>
      </c>
      <c r="AI115" s="18" t="s">
        <v>81</v>
      </c>
      <c r="AJ115" s="18" t="s">
        <v>118</v>
      </c>
      <c r="AK115" s="18" t="s">
        <v>95</v>
      </c>
      <c r="AL115" s="18" t="s">
        <v>10873</v>
      </c>
      <c r="AM115" s="18" t="s">
        <v>85</v>
      </c>
      <c r="AN115" s="18" t="s">
        <v>7031</v>
      </c>
      <c r="AO115" s="18" t="s">
        <v>86</v>
      </c>
      <c r="AP115" s="18" t="s">
        <v>90</v>
      </c>
      <c r="AQ115" s="18" t="s">
        <v>8002</v>
      </c>
      <c r="AR115" s="18" t="s">
        <v>177</v>
      </c>
      <c r="AS115" s="18" t="s">
        <v>139</v>
      </c>
      <c r="AT115" s="18" t="s">
        <v>95</v>
      </c>
      <c r="AU115" s="18" t="s">
        <v>95</v>
      </c>
      <c r="AV115" s="18" t="s">
        <v>7037</v>
      </c>
      <c r="AW115" s="18" t="s">
        <v>95</v>
      </c>
      <c r="AX115" s="18" t="s">
        <v>10806</v>
      </c>
      <c r="AY115" s="18" t="s">
        <v>95</v>
      </c>
      <c r="AZ115" s="18" t="s">
        <v>95</v>
      </c>
      <c r="BA115" s="18" t="s">
        <v>95</v>
      </c>
      <c r="BB115" s="18" t="s">
        <v>95</v>
      </c>
      <c r="BC115" s="18" t="s">
        <v>95</v>
      </c>
      <c r="BD115" s="18" t="s">
        <v>10829</v>
      </c>
      <c r="BE115" s="18" t="s">
        <v>11743</v>
      </c>
      <c r="BF115" s="18" t="s">
        <v>10809</v>
      </c>
      <c r="BG115" s="18" t="s">
        <v>7030</v>
      </c>
      <c r="BH115" s="18"/>
      <c r="BI115" s="18"/>
      <c r="BJ115" s="18" t="s">
        <v>630</v>
      </c>
      <c r="BK115" s="18" t="s">
        <v>11744</v>
      </c>
      <c r="BL115" s="18" t="s">
        <v>10811</v>
      </c>
      <c r="BM115" s="18" t="s">
        <v>139</v>
      </c>
      <c r="BN115" s="18" t="s">
        <v>85</v>
      </c>
      <c r="BO115" s="18">
        <v>1</v>
      </c>
      <c r="BP115" s="18" t="s">
        <v>10812</v>
      </c>
      <c r="BQ115" s="18" t="str">
        <f>VLOOKUP(Prepago[[#This Row],[NOM_PLAZA]],[1]!Locales[#Data],3,0)</f>
        <v>TIENDA RECREO</v>
      </c>
      <c r="BR115" s="18" t="str">
        <f>VLOOKUP(Prepago[[#This Row],[CODIGO_USUARIO]],[1]!Personal[#Data],6,0)</f>
        <v>LOAYZA AGUILAR JONATHAN FABIAN</v>
      </c>
      <c r="BS115" s="18">
        <f>DAY(Prepago[[#This Row],[FECHA_ALTA]])</f>
        <v>7</v>
      </c>
    </row>
    <row r="116" spans="1:71" x14ac:dyDescent="0.25">
      <c r="A116" s="18" t="s">
        <v>96</v>
      </c>
      <c r="B116" s="18" t="s">
        <v>11745</v>
      </c>
      <c r="C116" s="18" t="s">
        <v>11746</v>
      </c>
      <c r="D116" s="18" t="s">
        <v>11747</v>
      </c>
      <c r="E116" s="22">
        <v>44900</v>
      </c>
      <c r="F116" s="18" t="s">
        <v>67</v>
      </c>
      <c r="G116" s="18" t="s">
        <v>11748</v>
      </c>
      <c r="H116" s="18" t="s">
        <v>11749</v>
      </c>
      <c r="I116" s="18" t="s">
        <v>70</v>
      </c>
      <c r="J116" s="18" t="s">
        <v>8102</v>
      </c>
      <c r="K116" s="18" t="s">
        <v>8103</v>
      </c>
      <c r="L116" s="18" t="s">
        <v>132</v>
      </c>
      <c r="M116" s="18" t="s">
        <v>7037</v>
      </c>
      <c r="N116" s="18" t="s">
        <v>11750</v>
      </c>
      <c r="O116" s="18" t="s">
        <v>75</v>
      </c>
      <c r="P116" s="18" t="s">
        <v>11751</v>
      </c>
      <c r="Q116" s="18" t="s">
        <v>10817</v>
      </c>
      <c r="R116" s="18" t="s">
        <v>78</v>
      </c>
      <c r="S116" s="18" t="s">
        <v>77</v>
      </c>
      <c r="T116" s="22">
        <v>44915</v>
      </c>
      <c r="U116" s="18"/>
      <c r="V116" s="18" t="s">
        <v>81</v>
      </c>
      <c r="W116" s="18" t="s">
        <v>79</v>
      </c>
      <c r="X116" s="18" t="s">
        <v>10803</v>
      </c>
      <c r="Y116" s="18" t="s">
        <v>369</v>
      </c>
      <c r="Z116" s="18" t="s">
        <v>370</v>
      </c>
      <c r="AA116" s="18" t="s">
        <v>7062</v>
      </c>
      <c r="AB116" s="18" t="s">
        <v>95</v>
      </c>
      <c r="AC116" s="18" t="s">
        <v>7984</v>
      </c>
      <c r="AD116" s="18" t="s">
        <v>10804</v>
      </c>
      <c r="AE116" s="18" t="s">
        <v>174</v>
      </c>
      <c r="AF116" s="18" t="s">
        <v>95</v>
      </c>
      <c r="AG116" s="18" t="s">
        <v>83</v>
      </c>
      <c r="AH116" s="18" t="s">
        <v>83</v>
      </c>
      <c r="AI116" s="18" t="s">
        <v>81</v>
      </c>
      <c r="AJ116" s="18" t="s">
        <v>118</v>
      </c>
      <c r="AK116" s="18" t="s">
        <v>95</v>
      </c>
      <c r="AL116" s="18" t="s">
        <v>11062</v>
      </c>
      <c r="AM116" s="18" t="s">
        <v>85</v>
      </c>
      <c r="AN116" s="18" t="s">
        <v>7031</v>
      </c>
      <c r="AO116" s="18" t="s">
        <v>86</v>
      </c>
      <c r="AP116" s="18" t="s">
        <v>90</v>
      </c>
      <c r="AQ116" s="18" t="s">
        <v>8002</v>
      </c>
      <c r="AR116" s="18" t="s">
        <v>177</v>
      </c>
      <c r="AS116" s="18" t="s">
        <v>139</v>
      </c>
      <c r="AT116" s="18" t="s">
        <v>95</v>
      </c>
      <c r="AU116" s="18" t="s">
        <v>95</v>
      </c>
      <c r="AV116" s="18" t="s">
        <v>7037</v>
      </c>
      <c r="AW116" s="18" t="s">
        <v>95</v>
      </c>
      <c r="AX116" s="18" t="s">
        <v>10806</v>
      </c>
      <c r="AY116" s="18" t="s">
        <v>95</v>
      </c>
      <c r="AZ116" s="18" t="s">
        <v>95</v>
      </c>
      <c r="BA116" s="18" t="s">
        <v>95</v>
      </c>
      <c r="BB116" s="18" t="s">
        <v>95</v>
      </c>
      <c r="BC116" s="18" t="s">
        <v>95</v>
      </c>
      <c r="BD116" s="18" t="s">
        <v>10807</v>
      </c>
      <c r="BE116" s="18" t="s">
        <v>11206</v>
      </c>
      <c r="BF116" s="18" t="s">
        <v>10809</v>
      </c>
      <c r="BG116" s="18" t="s">
        <v>7030</v>
      </c>
      <c r="BH116" s="18"/>
      <c r="BI116" s="18"/>
      <c r="BJ116" s="18" t="s">
        <v>369</v>
      </c>
      <c r="BK116" s="18" t="s">
        <v>11752</v>
      </c>
      <c r="BL116" s="18" t="s">
        <v>10811</v>
      </c>
      <c r="BM116" s="18" t="s">
        <v>139</v>
      </c>
      <c r="BN116" s="18" t="s">
        <v>85</v>
      </c>
      <c r="BO116" s="18">
        <v>0</v>
      </c>
      <c r="BP116" s="18" t="s">
        <v>10812</v>
      </c>
      <c r="BQ116" s="18" t="str">
        <f>VLOOKUP(Prepago[[#This Row],[NOM_PLAZA]],[1]!Locales[#Data],3,0)</f>
        <v>TIENDA RECREO</v>
      </c>
      <c r="BR116" s="18" t="str">
        <f>VLOOKUP(Prepago[[#This Row],[CODIGO_USUARIO]],[1]!Personal[#Data],6,0)</f>
        <v>GUAIGUA REINOSO GENESIS CAROLINA</v>
      </c>
      <c r="BS116" s="18">
        <f>DAY(Prepago[[#This Row],[FECHA_ALTA]])</f>
        <v>5</v>
      </c>
    </row>
    <row r="117" spans="1:71" x14ac:dyDescent="0.25">
      <c r="A117" s="18" t="s">
        <v>96</v>
      </c>
      <c r="B117" s="18" t="s">
        <v>11753</v>
      </c>
      <c r="C117" s="18" t="s">
        <v>11754</v>
      </c>
      <c r="D117" s="18" t="s">
        <v>11755</v>
      </c>
      <c r="E117" s="22">
        <v>44907</v>
      </c>
      <c r="F117" s="18" t="s">
        <v>67</v>
      </c>
      <c r="G117" s="18" t="s">
        <v>11756</v>
      </c>
      <c r="H117" s="18" t="s">
        <v>11757</v>
      </c>
      <c r="I117" s="18" t="s">
        <v>70</v>
      </c>
      <c r="J117" s="18" t="s">
        <v>8102</v>
      </c>
      <c r="K117" s="18" t="s">
        <v>8103</v>
      </c>
      <c r="L117" s="18" t="s">
        <v>95</v>
      </c>
      <c r="M117" s="18" t="s">
        <v>7037</v>
      </c>
      <c r="N117" s="18" t="s">
        <v>11758</v>
      </c>
      <c r="O117" s="18" t="s">
        <v>75</v>
      </c>
      <c r="P117" s="18" t="s">
        <v>11759</v>
      </c>
      <c r="Q117" s="18" t="s">
        <v>4453</v>
      </c>
      <c r="R117" s="18" t="s">
        <v>78</v>
      </c>
      <c r="S117" s="18" t="s">
        <v>77</v>
      </c>
      <c r="T117" s="22">
        <v>44915</v>
      </c>
      <c r="U117" s="18"/>
      <c r="V117" s="18" t="s">
        <v>81</v>
      </c>
      <c r="W117" s="18" t="s">
        <v>79</v>
      </c>
      <c r="X117" s="18" t="s">
        <v>10803</v>
      </c>
      <c r="Y117" s="18" t="s">
        <v>187</v>
      </c>
      <c r="Z117" s="18" t="s">
        <v>188</v>
      </c>
      <c r="AA117" s="18" t="s">
        <v>7062</v>
      </c>
      <c r="AB117" s="18" t="s">
        <v>95</v>
      </c>
      <c r="AC117" s="18" t="s">
        <v>7984</v>
      </c>
      <c r="AD117" s="18" t="s">
        <v>10804</v>
      </c>
      <c r="AE117" s="18" t="s">
        <v>174</v>
      </c>
      <c r="AF117" s="18" t="s">
        <v>95</v>
      </c>
      <c r="AG117" s="18" t="s">
        <v>83</v>
      </c>
      <c r="AH117" s="18" t="s">
        <v>83</v>
      </c>
      <c r="AI117" s="18" t="s">
        <v>81</v>
      </c>
      <c r="AJ117" s="18" t="s">
        <v>118</v>
      </c>
      <c r="AK117" s="18" t="s">
        <v>95</v>
      </c>
      <c r="AL117" s="18" t="s">
        <v>10920</v>
      </c>
      <c r="AM117" s="18" t="s">
        <v>85</v>
      </c>
      <c r="AN117" s="18" t="s">
        <v>7031</v>
      </c>
      <c r="AO117" s="18" t="s">
        <v>86</v>
      </c>
      <c r="AP117" s="18" t="s">
        <v>90</v>
      </c>
      <c r="AQ117" s="18" t="s">
        <v>8002</v>
      </c>
      <c r="AR117" s="18" t="s">
        <v>177</v>
      </c>
      <c r="AS117" s="18" t="s">
        <v>139</v>
      </c>
      <c r="AT117" s="18" t="s">
        <v>95</v>
      </c>
      <c r="AU117" s="18" t="s">
        <v>95</v>
      </c>
      <c r="AV117" s="18" t="s">
        <v>7037</v>
      </c>
      <c r="AW117" s="18" t="s">
        <v>95</v>
      </c>
      <c r="AX117" s="18" t="s">
        <v>10806</v>
      </c>
      <c r="AY117" s="18" t="s">
        <v>82</v>
      </c>
      <c r="AZ117" s="18" t="s">
        <v>95</v>
      </c>
      <c r="BA117" s="18" t="s">
        <v>95</v>
      </c>
      <c r="BB117" s="18" t="s">
        <v>95</v>
      </c>
      <c r="BC117" s="18" t="s">
        <v>95</v>
      </c>
      <c r="BD117" s="18" t="s">
        <v>10807</v>
      </c>
      <c r="BE117" s="18" t="s">
        <v>95</v>
      </c>
      <c r="BF117" s="18" t="s">
        <v>10809</v>
      </c>
      <c r="BG117" s="18" t="s">
        <v>7030</v>
      </c>
      <c r="BH117" s="18"/>
      <c r="BI117" s="18"/>
      <c r="BJ117" s="18" t="s">
        <v>187</v>
      </c>
      <c r="BK117" s="18" t="s">
        <v>11760</v>
      </c>
      <c r="BL117" s="18" t="s">
        <v>10811</v>
      </c>
      <c r="BM117" s="18" t="s">
        <v>139</v>
      </c>
      <c r="BN117" s="18" t="s">
        <v>85</v>
      </c>
      <c r="BO117" s="18">
        <v>0</v>
      </c>
      <c r="BP117" s="18" t="s">
        <v>10812</v>
      </c>
      <c r="BQ117" s="18" t="str">
        <f>VLOOKUP(Prepago[[#This Row],[NOM_PLAZA]],[1]!Locales[#Data],3,0)</f>
        <v>TIENDA RECREO</v>
      </c>
      <c r="BR117" s="18" t="str">
        <f>VLOOKUP(Prepago[[#This Row],[CODIGO_USUARIO]],[1]!Personal[#Data],6,0)</f>
        <v>ESPINOZA MARTINES LAURA XIOMARA</v>
      </c>
      <c r="BS117" s="18">
        <f>DAY(Prepago[[#This Row],[FECHA_ALTA]])</f>
        <v>12</v>
      </c>
    </row>
    <row r="118" spans="1:71" x14ac:dyDescent="0.25">
      <c r="A118" s="18" t="s">
        <v>96</v>
      </c>
      <c r="B118" s="18" t="s">
        <v>11761</v>
      </c>
      <c r="C118" s="18" t="s">
        <v>11762</v>
      </c>
      <c r="D118" s="18" t="s">
        <v>11763</v>
      </c>
      <c r="E118" s="22">
        <v>44902</v>
      </c>
      <c r="F118" s="18" t="s">
        <v>67</v>
      </c>
      <c r="G118" s="18" t="s">
        <v>11764</v>
      </c>
      <c r="H118" s="18" t="s">
        <v>11765</v>
      </c>
      <c r="I118" s="18" t="s">
        <v>70</v>
      </c>
      <c r="J118" s="18" t="s">
        <v>8102</v>
      </c>
      <c r="K118" s="18" t="s">
        <v>8103</v>
      </c>
      <c r="L118" s="18" t="s">
        <v>73</v>
      </c>
      <c r="M118" s="18" t="s">
        <v>7037</v>
      </c>
      <c r="N118" s="18" t="s">
        <v>11766</v>
      </c>
      <c r="O118" s="18" t="s">
        <v>75</v>
      </c>
      <c r="P118" s="18" t="s">
        <v>11767</v>
      </c>
      <c r="Q118" s="18" t="s">
        <v>1532</v>
      </c>
      <c r="R118" s="18" t="s">
        <v>78</v>
      </c>
      <c r="S118" s="18" t="s">
        <v>77</v>
      </c>
      <c r="T118" s="22">
        <v>44915</v>
      </c>
      <c r="U118" s="18"/>
      <c r="V118" s="18" t="s">
        <v>81</v>
      </c>
      <c r="W118" s="18" t="s">
        <v>79</v>
      </c>
      <c r="X118" s="18" t="s">
        <v>10803</v>
      </c>
      <c r="Y118" s="18" t="s">
        <v>303</v>
      </c>
      <c r="Z118" s="18" t="s">
        <v>304</v>
      </c>
      <c r="AA118" s="18" t="s">
        <v>7062</v>
      </c>
      <c r="AB118" s="18" t="s">
        <v>95</v>
      </c>
      <c r="AC118" s="18" t="s">
        <v>7984</v>
      </c>
      <c r="AD118" s="18" t="s">
        <v>10804</v>
      </c>
      <c r="AE118" s="18" t="s">
        <v>174</v>
      </c>
      <c r="AF118" s="18" t="s">
        <v>95</v>
      </c>
      <c r="AG118" s="18" t="s">
        <v>83</v>
      </c>
      <c r="AH118" s="18" t="s">
        <v>83</v>
      </c>
      <c r="AI118" s="18" t="s">
        <v>81</v>
      </c>
      <c r="AJ118" s="18" t="s">
        <v>118</v>
      </c>
      <c r="AK118" s="18" t="s">
        <v>95</v>
      </c>
      <c r="AL118" s="18" t="s">
        <v>10805</v>
      </c>
      <c r="AM118" s="18" t="s">
        <v>85</v>
      </c>
      <c r="AN118" s="18" t="s">
        <v>7031</v>
      </c>
      <c r="AO118" s="18" t="s">
        <v>86</v>
      </c>
      <c r="AP118" s="18" t="s">
        <v>90</v>
      </c>
      <c r="AQ118" s="18" t="s">
        <v>8002</v>
      </c>
      <c r="AR118" s="18" t="s">
        <v>177</v>
      </c>
      <c r="AS118" s="18" t="s">
        <v>139</v>
      </c>
      <c r="AT118" s="18" t="s">
        <v>95</v>
      </c>
      <c r="AU118" s="18" t="s">
        <v>95</v>
      </c>
      <c r="AV118" s="18" t="s">
        <v>7037</v>
      </c>
      <c r="AW118" s="18" t="s">
        <v>95</v>
      </c>
      <c r="AX118" s="18" t="s">
        <v>10806</v>
      </c>
      <c r="AY118" s="18" t="s">
        <v>95</v>
      </c>
      <c r="AZ118" s="18" t="s">
        <v>95</v>
      </c>
      <c r="BA118" s="18" t="s">
        <v>95</v>
      </c>
      <c r="BB118" s="18" t="s">
        <v>95</v>
      </c>
      <c r="BC118" s="18" t="s">
        <v>95</v>
      </c>
      <c r="BD118" s="18" t="s">
        <v>10807</v>
      </c>
      <c r="BE118" s="18" t="s">
        <v>10808</v>
      </c>
      <c r="BF118" s="18" t="s">
        <v>10809</v>
      </c>
      <c r="BG118" s="18" t="s">
        <v>7030</v>
      </c>
      <c r="BH118" s="18"/>
      <c r="BI118" s="18"/>
      <c r="BJ118" s="18" t="s">
        <v>303</v>
      </c>
      <c r="BK118" s="18" t="s">
        <v>11768</v>
      </c>
      <c r="BL118" s="18" t="s">
        <v>10811</v>
      </c>
      <c r="BM118" s="18" t="s">
        <v>139</v>
      </c>
      <c r="BN118" s="18" t="s">
        <v>85</v>
      </c>
      <c r="BO118" s="18">
        <v>1</v>
      </c>
      <c r="BP118" s="18" t="s">
        <v>10812</v>
      </c>
      <c r="BQ118" s="18" t="str">
        <f>VLOOKUP(Prepago[[#This Row],[NOM_PLAZA]],[1]!Locales[#Data],3,0)</f>
        <v>TIENDA RECREO</v>
      </c>
      <c r="BR118" s="18" t="str">
        <f>VLOOKUP(Prepago[[#This Row],[CODIGO_USUARIO]],[1]!Personal[#Data],6,0)</f>
        <v>CORDOVA GAIBOR JONATHAN HERNAN</v>
      </c>
      <c r="BS118" s="18">
        <f>DAY(Prepago[[#This Row],[FECHA_ALTA]])</f>
        <v>7</v>
      </c>
    </row>
    <row r="119" spans="1:71" x14ac:dyDescent="0.25">
      <c r="A119" s="18" t="s">
        <v>96</v>
      </c>
      <c r="B119" s="18" t="s">
        <v>11769</v>
      </c>
      <c r="C119" s="18" t="s">
        <v>11770</v>
      </c>
      <c r="D119" s="18" t="s">
        <v>11771</v>
      </c>
      <c r="E119" s="22">
        <v>44905</v>
      </c>
      <c r="F119" s="18" t="s">
        <v>67</v>
      </c>
      <c r="G119" s="18" t="s">
        <v>3568</v>
      </c>
      <c r="H119" s="18" t="s">
        <v>3569</v>
      </c>
      <c r="I119" s="18" t="s">
        <v>70</v>
      </c>
      <c r="J119" s="18" t="s">
        <v>8102</v>
      </c>
      <c r="K119" s="18" t="s">
        <v>8103</v>
      </c>
      <c r="L119" s="18" t="s">
        <v>132</v>
      </c>
      <c r="M119" s="18" t="s">
        <v>7037</v>
      </c>
      <c r="N119" s="18" t="s">
        <v>11772</v>
      </c>
      <c r="O119" s="18" t="s">
        <v>75</v>
      </c>
      <c r="P119" s="18" t="s">
        <v>11773</v>
      </c>
      <c r="Q119" s="18" t="s">
        <v>1532</v>
      </c>
      <c r="R119" s="18" t="s">
        <v>78</v>
      </c>
      <c r="S119" s="18" t="s">
        <v>77</v>
      </c>
      <c r="T119" s="22">
        <v>44915</v>
      </c>
      <c r="U119" s="18"/>
      <c r="V119" s="18" t="s">
        <v>81</v>
      </c>
      <c r="W119" s="18" t="s">
        <v>79</v>
      </c>
      <c r="X119" s="18" t="s">
        <v>10803</v>
      </c>
      <c r="Y119" s="18" t="s">
        <v>303</v>
      </c>
      <c r="Z119" s="18" t="s">
        <v>304</v>
      </c>
      <c r="AA119" s="18" t="s">
        <v>7062</v>
      </c>
      <c r="AB119" s="18" t="s">
        <v>95</v>
      </c>
      <c r="AC119" s="18" t="s">
        <v>7984</v>
      </c>
      <c r="AD119" s="18" t="s">
        <v>10804</v>
      </c>
      <c r="AE119" s="18" t="s">
        <v>174</v>
      </c>
      <c r="AF119" s="18" t="s">
        <v>95</v>
      </c>
      <c r="AG119" s="18" t="s">
        <v>83</v>
      </c>
      <c r="AH119" s="18" t="s">
        <v>83</v>
      </c>
      <c r="AI119" s="18" t="s">
        <v>81</v>
      </c>
      <c r="AJ119" s="18" t="s">
        <v>118</v>
      </c>
      <c r="AK119" s="18" t="s">
        <v>95</v>
      </c>
      <c r="AL119" s="18" t="s">
        <v>10805</v>
      </c>
      <c r="AM119" s="18" t="s">
        <v>85</v>
      </c>
      <c r="AN119" s="18" t="s">
        <v>7031</v>
      </c>
      <c r="AO119" s="18" t="s">
        <v>86</v>
      </c>
      <c r="AP119" s="18" t="s">
        <v>90</v>
      </c>
      <c r="AQ119" s="18" t="s">
        <v>8002</v>
      </c>
      <c r="AR119" s="18" t="s">
        <v>177</v>
      </c>
      <c r="AS119" s="18" t="s">
        <v>139</v>
      </c>
      <c r="AT119" s="18" t="s">
        <v>95</v>
      </c>
      <c r="AU119" s="18" t="s">
        <v>95</v>
      </c>
      <c r="AV119" s="18" t="s">
        <v>7037</v>
      </c>
      <c r="AW119" s="18" t="s">
        <v>95</v>
      </c>
      <c r="AX119" s="18" t="s">
        <v>10806</v>
      </c>
      <c r="AY119" s="18" t="s">
        <v>95</v>
      </c>
      <c r="AZ119" s="18" t="s">
        <v>95</v>
      </c>
      <c r="BA119" s="18" t="s">
        <v>95</v>
      </c>
      <c r="BB119" s="18" t="s">
        <v>95</v>
      </c>
      <c r="BC119" s="18" t="s">
        <v>95</v>
      </c>
      <c r="BD119" s="18" t="s">
        <v>10807</v>
      </c>
      <c r="BE119" s="18" t="s">
        <v>11774</v>
      </c>
      <c r="BF119" s="18" t="s">
        <v>10809</v>
      </c>
      <c r="BG119" s="18" t="s">
        <v>7030</v>
      </c>
      <c r="BH119" s="18"/>
      <c r="BI119" s="18"/>
      <c r="BJ119" s="18" t="s">
        <v>303</v>
      </c>
      <c r="BK119" s="18" t="s">
        <v>11775</v>
      </c>
      <c r="BL119" s="18" t="s">
        <v>10811</v>
      </c>
      <c r="BM119" s="18" t="s">
        <v>139</v>
      </c>
      <c r="BN119" s="18" t="s">
        <v>85</v>
      </c>
      <c r="BO119" s="18">
        <v>0</v>
      </c>
      <c r="BP119" s="18" t="s">
        <v>10812</v>
      </c>
      <c r="BQ119" s="18" t="str">
        <f>VLOOKUP(Prepago[[#This Row],[NOM_PLAZA]],[1]!Locales[#Data],3,0)</f>
        <v>TIENDA RECREO</v>
      </c>
      <c r="BR119" s="18" t="str">
        <f>VLOOKUP(Prepago[[#This Row],[CODIGO_USUARIO]],[1]!Personal[#Data],6,0)</f>
        <v>CORDOVA GAIBOR JONATHAN HERNAN</v>
      </c>
      <c r="BS119" s="18">
        <f>DAY(Prepago[[#This Row],[FECHA_ALTA]])</f>
        <v>10</v>
      </c>
    </row>
    <row r="120" spans="1:71" x14ac:dyDescent="0.25">
      <c r="A120" s="18" t="s">
        <v>96</v>
      </c>
      <c r="B120" s="18" t="s">
        <v>11776</v>
      </c>
      <c r="C120" s="18" t="s">
        <v>11777</v>
      </c>
      <c r="D120" s="18" t="s">
        <v>11778</v>
      </c>
      <c r="E120" s="22">
        <v>44900</v>
      </c>
      <c r="F120" s="18" t="s">
        <v>67</v>
      </c>
      <c r="G120" s="18" t="s">
        <v>11779</v>
      </c>
      <c r="H120" s="18" t="s">
        <v>11780</v>
      </c>
      <c r="I120" s="18" t="s">
        <v>514</v>
      </c>
      <c r="J120" s="18" t="s">
        <v>8102</v>
      </c>
      <c r="K120" s="18" t="s">
        <v>8103</v>
      </c>
      <c r="L120" s="18" t="s">
        <v>132</v>
      </c>
      <c r="M120" s="18" t="s">
        <v>7037</v>
      </c>
      <c r="N120" s="18" t="s">
        <v>11781</v>
      </c>
      <c r="O120" s="18" t="s">
        <v>75</v>
      </c>
      <c r="P120" s="18" t="s">
        <v>11782</v>
      </c>
      <c r="Q120" s="18" t="s">
        <v>10817</v>
      </c>
      <c r="R120" s="18" t="s">
        <v>78</v>
      </c>
      <c r="S120" s="18" t="s">
        <v>77</v>
      </c>
      <c r="T120" s="22">
        <v>44915</v>
      </c>
      <c r="U120" s="18"/>
      <c r="V120" s="18" t="s">
        <v>81</v>
      </c>
      <c r="W120" s="18" t="s">
        <v>79</v>
      </c>
      <c r="X120" s="18" t="s">
        <v>10803</v>
      </c>
      <c r="Y120" s="18" t="s">
        <v>187</v>
      </c>
      <c r="Z120" s="18" t="s">
        <v>188</v>
      </c>
      <c r="AA120" s="18" t="s">
        <v>7062</v>
      </c>
      <c r="AB120" s="18" t="s">
        <v>95</v>
      </c>
      <c r="AC120" s="18" t="s">
        <v>7984</v>
      </c>
      <c r="AD120" s="18" t="s">
        <v>10804</v>
      </c>
      <c r="AE120" s="18" t="s">
        <v>174</v>
      </c>
      <c r="AF120" s="18" t="s">
        <v>95</v>
      </c>
      <c r="AG120" s="18" t="s">
        <v>83</v>
      </c>
      <c r="AH120" s="18" t="s">
        <v>83</v>
      </c>
      <c r="AI120" s="18" t="s">
        <v>81</v>
      </c>
      <c r="AJ120" s="18" t="s">
        <v>118</v>
      </c>
      <c r="AK120" s="18" t="s">
        <v>95</v>
      </c>
      <c r="AL120" s="18" t="s">
        <v>10920</v>
      </c>
      <c r="AM120" s="18" t="s">
        <v>85</v>
      </c>
      <c r="AN120" s="18" t="s">
        <v>7031</v>
      </c>
      <c r="AO120" s="18" t="s">
        <v>86</v>
      </c>
      <c r="AP120" s="18" t="s">
        <v>90</v>
      </c>
      <c r="AQ120" s="18" t="s">
        <v>8002</v>
      </c>
      <c r="AR120" s="18" t="s">
        <v>177</v>
      </c>
      <c r="AS120" s="18" t="s">
        <v>139</v>
      </c>
      <c r="AT120" s="18" t="s">
        <v>95</v>
      </c>
      <c r="AU120" s="18" t="s">
        <v>95</v>
      </c>
      <c r="AV120" s="18" t="s">
        <v>7037</v>
      </c>
      <c r="AW120" s="18" t="s">
        <v>95</v>
      </c>
      <c r="AX120" s="18" t="s">
        <v>10806</v>
      </c>
      <c r="AY120" s="18" t="s">
        <v>95</v>
      </c>
      <c r="AZ120" s="18" t="s">
        <v>95</v>
      </c>
      <c r="BA120" s="18" t="s">
        <v>95</v>
      </c>
      <c r="BB120" s="18" t="s">
        <v>95</v>
      </c>
      <c r="BC120" s="18" t="s">
        <v>95</v>
      </c>
      <c r="BD120" s="18" t="s">
        <v>10829</v>
      </c>
      <c r="BE120" s="18" t="s">
        <v>11783</v>
      </c>
      <c r="BF120" s="18" t="s">
        <v>10809</v>
      </c>
      <c r="BG120" s="18" t="s">
        <v>7030</v>
      </c>
      <c r="BH120" s="18"/>
      <c r="BI120" s="18"/>
      <c r="BJ120" s="18" t="s">
        <v>187</v>
      </c>
      <c r="BK120" s="18" t="s">
        <v>11784</v>
      </c>
      <c r="BL120" s="18" t="s">
        <v>10811</v>
      </c>
      <c r="BM120" s="18" t="s">
        <v>139</v>
      </c>
      <c r="BN120" s="18" t="s">
        <v>85</v>
      </c>
      <c r="BO120" s="18">
        <v>1</v>
      </c>
      <c r="BP120" s="18" t="s">
        <v>10812</v>
      </c>
      <c r="BQ120" s="18" t="str">
        <f>VLOOKUP(Prepago[[#This Row],[NOM_PLAZA]],[1]!Locales[#Data],3,0)</f>
        <v>TIENDA RECREO</v>
      </c>
      <c r="BR120" s="18" t="str">
        <f>VLOOKUP(Prepago[[#This Row],[CODIGO_USUARIO]],[1]!Personal[#Data],6,0)</f>
        <v>ESPINOZA MARTINES LAURA XIOMARA</v>
      </c>
      <c r="BS120" s="18">
        <f>DAY(Prepago[[#This Row],[FECHA_ALTA]])</f>
        <v>5</v>
      </c>
    </row>
    <row r="121" spans="1:71" x14ac:dyDescent="0.25">
      <c r="A121" s="18" t="s">
        <v>96</v>
      </c>
      <c r="B121" s="18" t="s">
        <v>11785</v>
      </c>
      <c r="C121" s="18" t="s">
        <v>11786</v>
      </c>
      <c r="D121" s="18" t="s">
        <v>11787</v>
      </c>
      <c r="E121" s="22">
        <v>44901</v>
      </c>
      <c r="F121" s="18" t="s">
        <v>67</v>
      </c>
      <c r="G121" s="18" t="s">
        <v>11788</v>
      </c>
      <c r="H121" s="18" t="s">
        <v>11789</v>
      </c>
      <c r="I121" s="18" t="s">
        <v>70</v>
      </c>
      <c r="J121" s="18" t="s">
        <v>8102</v>
      </c>
      <c r="K121" s="18" t="s">
        <v>8103</v>
      </c>
      <c r="L121" s="18" t="s">
        <v>132</v>
      </c>
      <c r="M121" s="18" t="s">
        <v>7037</v>
      </c>
      <c r="N121" s="18" t="s">
        <v>11790</v>
      </c>
      <c r="O121" s="18" t="s">
        <v>75</v>
      </c>
      <c r="P121" s="18" t="s">
        <v>11791</v>
      </c>
      <c r="Q121" s="18" t="s">
        <v>10817</v>
      </c>
      <c r="R121" s="18" t="s">
        <v>78</v>
      </c>
      <c r="S121" s="18" t="s">
        <v>77</v>
      </c>
      <c r="T121" s="22">
        <v>44915</v>
      </c>
      <c r="U121" s="18"/>
      <c r="V121" s="18" t="s">
        <v>81</v>
      </c>
      <c r="W121" s="18" t="s">
        <v>79</v>
      </c>
      <c r="X121" s="18" t="s">
        <v>10803</v>
      </c>
      <c r="Y121" s="18" t="s">
        <v>369</v>
      </c>
      <c r="Z121" s="18" t="s">
        <v>370</v>
      </c>
      <c r="AA121" s="18" t="s">
        <v>7062</v>
      </c>
      <c r="AB121" s="18" t="s">
        <v>95</v>
      </c>
      <c r="AC121" s="18" t="s">
        <v>7984</v>
      </c>
      <c r="AD121" s="18" t="s">
        <v>10804</v>
      </c>
      <c r="AE121" s="18" t="s">
        <v>174</v>
      </c>
      <c r="AF121" s="18" t="s">
        <v>95</v>
      </c>
      <c r="AG121" s="18" t="s">
        <v>83</v>
      </c>
      <c r="AH121" s="18" t="s">
        <v>83</v>
      </c>
      <c r="AI121" s="18" t="s">
        <v>81</v>
      </c>
      <c r="AJ121" s="18" t="s">
        <v>118</v>
      </c>
      <c r="AK121" s="18" t="s">
        <v>95</v>
      </c>
      <c r="AL121" s="18" t="s">
        <v>11062</v>
      </c>
      <c r="AM121" s="18" t="s">
        <v>85</v>
      </c>
      <c r="AN121" s="18" t="s">
        <v>7031</v>
      </c>
      <c r="AO121" s="18" t="s">
        <v>86</v>
      </c>
      <c r="AP121" s="18" t="s">
        <v>90</v>
      </c>
      <c r="AQ121" s="18" t="s">
        <v>8002</v>
      </c>
      <c r="AR121" s="18" t="s">
        <v>177</v>
      </c>
      <c r="AS121" s="18" t="s">
        <v>139</v>
      </c>
      <c r="AT121" s="18" t="s">
        <v>95</v>
      </c>
      <c r="AU121" s="18" t="s">
        <v>95</v>
      </c>
      <c r="AV121" s="18" t="s">
        <v>7037</v>
      </c>
      <c r="AW121" s="18" t="s">
        <v>95</v>
      </c>
      <c r="AX121" s="18" t="s">
        <v>10806</v>
      </c>
      <c r="AY121" s="18" t="s">
        <v>95</v>
      </c>
      <c r="AZ121" s="18" t="s">
        <v>95</v>
      </c>
      <c r="BA121" s="18" t="s">
        <v>95</v>
      </c>
      <c r="BB121" s="18" t="s">
        <v>95</v>
      </c>
      <c r="BC121" s="18" t="s">
        <v>95</v>
      </c>
      <c r="BD121" s="18" t="s">
        <v>10829</v>
      </c>
      <c r="BE121" s="18" t="s">
        <v>11792</v>
      </c>
      <c r="BF121" s="18" t="s">
        <v>10809</v>
      </c>
      <c r="BG121" s="18" t="s">
        <v>7030</v>
      </c>
      <c r="BH121" s="18"/>
      <c r="BI121" s="18"/>
      <c r="BJ121" s="18" t="s">
        <v>369</v>
      </c>
      <c r="BK121" s="18" t="s">
        <v>11793</v>
      </c>
      <c r="BL121" s="18" t="s">
        <v>10811</v>
      </c>
      <c r="BM121" s="18" t="s">
        <v>139</v>
      </c>
      <c r="BN121" s="18" t="s">
        <v>85</v>
      </c>
      <c r="BO121" s="18">
        <v>0</v>
      </c>
      <c r="BP121" s="18" t="s">
        <v>10812</v>
      </c>
      <c r="BQ121" s="18" t="str">
        <f>VLOOKUP(Prepago[[#This Row],[NOM_PLAZA]],[1]!Locales[#Data],3,0)</f>
        <v>TIENDA RECREO</v>
      </c>
      <c r="BR121" s="18" t="str">
        <f>VLOOKUP(Prepago[[#This Row],[CODIGO_USUARIO]],[1]!Personal[#Data],6,0)</f>
        <v>GUAIGUA REINOSO GENESIS CAROLINA</v>
      </c>
      <c r="BS121" s="18">
        <f>DAY(Prepago[[#This Row],[FECHA_ALTA]])</f>
        <v>6</v>
      </c>
    </row>
    <row r="122" spans="1:71" x14ac:dyDescent="0.25">
      <c r="A122" s="18" t="s">
        <v>96</v>
      </c>
      <c r="B122" s="18" t="s">
        <v>11794</v>
      </c>
      <c r="C122" s="18" t="s">
        <v>11795</v>
      </c>
      <c r="D122" s="18" t="s">
        <v>11796</v>
      </c>
      <c r="E122" s="22">
        <v>44911</v>
      </c>
      <c r="F122" s="18" t="s">
        <v>67</v>
      </c>
      <c r="G122" s="18" t="s">
        <v>11797</v>
      </c>
      <c r="H122" s="18" t="s">
        <v>11798</v>
      </c>
      <c r="I122" s="18" t="s">
        <v>70</v>
      </c>
      <c r="J122" s="18" t="s">
        <v>8102</v>
      </c>
      <c r="K122" s="18" t="s">
        <v>8103</v>
      </c>
      <c r="L122" s="18" t="s">
        <v>95</v>
      </c>
      <c r="M122" s="18" t="s">
        <v>7037</v>
      </c>
      <c r="N122" s="18" t="s">
        <v>11799</v>
      </c>
      <c r="O122" s="18" t="s">
        <v>75</v>
      </c>
      <c r="P122" s="18" t="s">
        <v>11800</v>
      </c>
      <c r="Q122" s="18" t="s">
        <v>4453</v>
      </c>
      <c r="R122" s="18" t="s">
        <v>78</v>
      </c>
      <c r="S122" s="18" t="s">
        <v>77</v>
      </c>
      <c r="T122" s="22">
        <v>44915</v>
      </c>
      <c r="U122" s="18"/>
      <c r="V122" s="18" t="s">
        <v>81</v>
      </c>
      <c r="W122" s="18" t="s">
        <v>79</v>
      </c>
      <c r="X122" s="18" t="s">
        <v>10803</v>
      </c>
      <c r="Y122" s="18" t="s">
        <v>822</v>
      </c>
      <c r="Z122" s="18" t="s">
        <v>823</v>
      </c>
      <c r="AA122" s="18" t="s">
        <v>7062</v>
      </c>
      <c r="AB122" s="18" t="s">
        <v>95</v>
      </c>
      <c r="AC122" s="18" t="s">
        <v>7984</v>
      </c>
      <c r="AD122" s="18" t="s">
        <v>10804</v>
      </c>
      <c r="AE122" s="18" t="s">
        <v>174</v>
      </c>
      <c r="AF122" s="18" t="s">
        <v>95</v>
      </c>
      <c r="AG122" s="18" t="s">
        <v>83</v>
      </c>
      <c r="AH122" s="18" t="s">
        <v>83</v>
      </c>
      <c r="AI122" s="18" t="s">
        <v>81</v>
      </c>
      <c r="AJ122" s="18" t="s">
        <v>118</v>
      </c>
      <c r="AK122" s="18" t="s">
        <v>95</v>
      </c>
      <c r="AL122" s="18" t="s">
        <v>10828</v>
      </c>
      <c r="AM122" s="18" t="s">
        <v>85</v>
      </c>
      <c r="AN122" s="18" t="s">
        <v>7031</v>
      </c>
      <c r="AO122" s="18" t="s">
        <v>86</v>
      </c>
      <c r="AP122" s="18" t="s">
        <v>90</v>
      </c>
      <c r="AQ122" s="18" t="s">
        <v>8002</v>
      </c>
      <c r="AR122" s="18" t="s">
        <v>177</v>
      </c>
      <c r="AS122" s="18" t="s">
        <v>139</v>
      </c>
      <c r="AT122" s="18" t="s">
        <v>95</v>
      </c>
      <c r="AU122" s="18" t="s">
        <v>95</v>
      </c>
      <c r="AV122" s="18" t="s">
        <v>7037</v>
      </c>
      <c r="AW122" s="18" t="s">
        <v>95</v>
      </c>
      <c r="AX122" s="18" t="s">
        <v>10806</v>
      </c>
      <c r="AY122" s="18" t="s">
        <v>95</v>
      </c>
      <c r="AZ122" s="18" t="s">
        <v>95</v>
      </c>
      <c r="BA122" s="18" t="s">
        <v>95</v>
      </c>
      <c r="BB122" s="18" t="s">
        <v>95</v>
      </c>
      <c r="BC122" s="18" t="s">
        <v>95</v>
      </c>
      <c r="BD122" s="18" t="s">
        <v>10829</v>
      </c>
      <c r="BE122" s="18" t="s">
        <v>95</v>
      </c>
      <c r="BF122" s="18" t="s">
        <v>10809</v>
      </c>
      <c r="BG122" s="18" t="s">
        <v>7030</v>
      </c>
      <c r="BH122" s="18"/>
      <c r="BI122" s="18"/>
      <c r="BJ122" s="18" t="s">
        <v>822</v>
      </c>
      <c r="BK122" s="18" t="s">
        <v>11801</v>
      </c>
      <c r="BL122" s="18" t="s">
        <v>10811</v>
      </c>
      <c r="BM122" s="18" t="s">
        <v>139</v>
      </c>
      <c r="BN122" s="18" t="s">
        <v>85</v>
      </c>
      <c r="BO122" s="18">
        <v>0</v>
      </c>
      <c r="BP122" s="18" t="s">
        <v>10812</v>
      </c>
      <c r="BQ122" s="18" t="str">
        <f>VLOOKUP(Prepago[[#This Row],[NOM_PLAZA]],[1]!Locales[#Data],3,0)</f>
        <v>TIENDA RECREO</v>
      </c>
      <c r="BR122" s="18" t="str">
        <f>VLOOKUP(Prepago[[#This Row],[CODIGO_USUARIO]],[1]!Personal[#Data],6,0)</f>
        <v>SALAS PARRA MARIA JOSE</v>
      </c>
      <c r="BS122" s="18">
        <f>DAY(Prepago[[#This Row],[FECHA_ALTA]])</f>
        <v>16</v>
      </c>
    </row>
    <row r="123" spans="1:71" x14ac:dyDescent="0.25">
      <c r="A123" s="18" t="s">
        <v>96</v>
      </c>
      <c r="B123" s="18" t="s">
        <v>11802</v>
      </c>
      <c r="C123" s="18" t="s">
        <v>11803</v>
      </c>
      <c r="D123" s="18" t="s">
        <v>11431</v>
      </c>
      <c r="E123" s="22">
        <v>44905</v>
      </c>
      <c r="F123" s="18" t="s">
        <v>67</v>
      </c>
      <c r="G123" s="18" t="s">
        <v>11432</v>
      </c>
      <c r="H123" s="18" t="s">
        <v>11433</v>
      </c>
      <c r="I123" s="18" t="s">
        <v>70</v>
      </c>
      <c r="J123" s="18" t="s">
        <v>8102</v>
      </c>
      <c r="K123" s="18" t="s">
        <v>8103</v>
      </c>
      <c r="L123" s="18" t="s">
        <v>3903</v>
      </c>
      <c r="M123" s="18" t="s">
        <v>3903</v>
      </c>
      <c r="N123" s="18" t="s">
        <v>11804</v>
      </c>
      <c r="O123" s="18" t="s">
        <v>75</v>
      </c>
      <c r="P123" s="18" t="s">
        <v>11805</v>
      </c>
      <c r="Q123" s="18" t="s">
        <v>10817</v>
      </c>
      <c r="R123" s="18" t="s">
        <v>78</v>
      </c>
      <c r="S123" s="18" t="s">
        <v>77</v>
      </c>
      <c r="T123" s="22">
        <v>44915</v>
      </c>
      <c r="U123" s="18"/>
      <c r="V123" s="18" t="s">
        <v>81</v>
      </c>
      <c r="W123" s="18" t="s">
        <v>79</v>
      </c>
      <c r="X123" s="18" t="s">
        <v>10803</v>
      </c>
      <c r="Y123" s="18" t="s">
        <v>2159</v>
      </c>
      <c r="Z123" s="18" t="s">
        <v>2160</v>
      </c>
      <c r="AA123" s="18" t="s">
        <v>7062</v>
      </c>
      <c r="AB123" s="18" t="s">
        <v>95</v>
      </c>
      <c r="AC123" s="18" t="s">
        <v>7984</v>
      </c>
      <c r="AD123" s="18" t="s">
        <v>10804</v>
      </c>
      <c r="AE123" s="18" t="s">
        <v>174</v>
      </c>
      <c r="AF123" s="18" t="s">
        <v>95</v>
      </c>
      <c r="AG123" s="18" t="s">
        <v>83</v>
      </c>
      <c r="AH123" s="18" t="s">
        <v>83</v>
      </c>
      <c r="AI123" s="18" t="s">
        <v>81</v>
      </c>
      <c r="AJ123" s="18" t="s">
        <v>118</v>
      </c>
      <c r="AK123" s="18" t="s">
        <v>95</v>
      </c>
      <c r="AL123" s="18" t="s">
        <v>11080</v>
      </c>
      <c r="AM123" s="18" t="s">
        <v>85</v>
      </c>
      <c r="AN123" s="18" t="s">
        <v>7031</v>
      </c>
      <c r="AO123" s="18" t="s">
        <v>86</v>
      </c>
      <c r="AP123" s="18" t="s">
        <v>90</v>
      </c>
      <c r="AQ123" s="18" t="s">
        <v>8002</v>
      </c>
      <c r="AR123" s="18" t="s">
        <v>177</v>
      </c>
      <c r="AS123" s="18" t="s">
        <v>139</v>
      </c>
      <c r="AT123" s="18" t="s">
        <v>95</v>
      </c>
      <c r="AU123" s="18" t="s">
        <v>95</v>
      </c>
      <c r="AV123" s="18" t="s">
        <v>3903</v>
      </c>
      <c r="AW123" s="18" t="s">
        <v>95</v>
      </c>
      <c r="AX123" s="18" t="s">
        <v>10806</v>
      </c>
      <c r="AY123" s="18" t="s">
        <v>95</v>
      </c>
      <c r="AZ123" s="18" t="s">
        <v>95</v>
      </c>
      <c r="BA123" s="18" t="s">
        <v>95</v>
      </c>
      <c r="BB123" s="18" t="s">
        <v>95</v>
      </c>
      <c r="BC123" s="18" t="s">
        <v>95</v>
      </c>
      <c r="BD123" s="18" t="s">
        <v>10829</v>
      </c>
      <c r="BE123" s="18" t="s">
        <v>11436</v>
      </c>
      <c r="BF123" s="18" t="s">
        <v>10809</v>
      </c>
      <c r="BG123" s="18" t="s">
        <v>7030</v>
      </c>
      <c r="BH123" s="18"/>
      <c r="BI123" s="18"/>
      <c r="BJ123" s="18" t="s">
        <v>2159</v>
      </c>
      <c r="BK123" s="18" t="s">
        <v>11437</v>
      </c>
      <c r="BL123" s="18" t="s">
        <v>10811</v>
      </c>
      <c r="BM123" s="18" t="s">
        <v>92</v>
      </c>
      <c r="BN123" s="18" t="s">
        <v>85</v>
      </c>
      <c r="BO123" s="18">
        <v>0</v>
      </c>
      <c r="BP123" s="18" t="s">
        <v>10812</v>
      </c>
      <c r="BQ123" s="18" t="str">
        <f>VLOOKUP(Prepago[[#This Row],[NOM_PLAZA]],[1]!Locales[#Data],3,0)</f>
        <v>TIENDA RECREO</v>
      </c>
      <c r="BR123" s="18" t="str">
        <f>VLOOKUP(Prepago[[#This Row],[CODIGO_USUARIO]],[1]!Personal[#Data],6,0)</f>
        <v>GUEVARA MAZA CRISTIAN FABIAN</v>
      </c>
      <c r="BS123" s="18">
        <f>DAY(Prepago[[#This Row],[FECHA_ALTA]])</f>
        <v>10</v>
      </c>
    </row>
    <row r="124" spans="1:71" x14ac:dyDescent="0.25">
      <c r="A124" s="18" t="s">
        <v>96</v>
      </c>
      <c r="B124" s="18" t="s">
        <v>11806</v>
      </c>
      <c r="C124" s="18" t="s">
        <v>11807</v>
      </c>
      <c r="D124" s="18" t="s">
        <v>11808</v>
      </c>
      <c r="E124" s="22">
        <v>44913</v>
      </c>
      <c r="F124" s="18" t="s">
        <v>67</v>
      </c>
      <c r="G124" s="18" t="s">
        <v>11809</v>
      </c>
      <c r="H124" s="18" t="s">
        <v>11810</v>
      </c>
      <c r="I124" s="18" t="s">
        <v>70</v>
      </c>
      <c r="J124" s="18" t="s">
        <v>8102</v>
      </c>
      <c r="K124" s="18" t="s">
        <v>8103</v>
      </c>
      <c r="L124" s="18" t="s">
        <v>95</v>
      </c>
      <c r="M124" s="18" t="s">
        <v>7037</v>
      </c>
      <c r="N124" s="18" t="s">
        <v>11811</v>
      </c>
      <c r="O124" s="18" t="s">
        <v>75</v>
      </c>
      <c r="P124" s="18" t="s">
        <v>11812</v>
      </c>
      <c r="Q124" s="18" t="s">
        <v>4453</v>
      </c>
      <c r="R124" s="18" t="s">
        <v>78</v>
      </c>
      <c r="S124" s="18" t="s">
        <v>77</v>
      </c>
      <c r="T124" s="22">
        <v>44915</v>
      </c>
      <c r="U124" s="18"/>
      <c r="V124" s="18" t="s">
        <v>81</v>
      </c>
      <c r="W124" s="18" t="s">
        <v>79</v>
      </c>
      <c r="X124" s="18" t="s">
        <v>10803</v>
      </c>
      <c r="Y124" s="18" t="s">
        <v>822</v>
      </c>
      <c r="Z124" s="18" t="s">
        <v>823</v>
      </c>
      <c r="AA124" s="18" t="s">
        <v>7062</v>
      </c>
      <c r="AB124" s="18" t="s">
        <v>95</v>
      </c>
      <c r="AC124" s="18" t="s">
        <v>7984</v>
      </c>
      <c r="AD124" s="18" t="s">
        <v>10804</v>
      </c>
      <c r="AE124" s="18" t="s">
        <v>174</v>
      </c>
      <c r="AF124" s="18" t="s">
        <v>95</v>
      </c>
      <c r="AG124" s="18" t="s">
        <v>83</v>
      </c>
      <c r="AH124" s="18" t="s">
        <v>83</v>
      </c>
      <c r="AI124" s="18" t="s">
        <v>81</v>
      </c>
      <c r="AJ124" s="18" t="s">
        <v>118</v>
      </c>
      <c r="AK124" s="18" t="s">
        <v>95</v>
      </c>
      <c r="AL124" s="18" t="s">
        <v>10828</v>
      </c>
      <c r="AM124" s="18" t="s">
        <v>85</v>
      </c>
      <c r="AN124" s="18" t="s">
        <v>7031</v>
      </c>
      <c r="AO124" s="18" t="s">
        <v>86</v>
      </c>
      <c r="AP124" s="18" t="s">
        <v>90</v>
      </c>
      <c r="AQ124" s="18" t="s">
        <v>8002</v>
      </c>
      <c r="AR124" s="18" t="s">
        <v>177</v>
      </c>
      <c r="AS124" s="18" t="s">
        <v>139</v>
      </c>
      <c r="AT124" s="18" t="s">
        <v>95</v>
      </c>
      <c r="AU124" s="18" t="s">
        <v>95</v>
      </c>
      <c r="AV124" s="18" t="s">
        <v>7037</v>
      </c>
      <c r="AW124" s="18" t="s">
        <v>95</v>
      </c>
      <c r="AX124" s="18" t="s">
        <v>10806</v>
      </c>
      <c r="AY124" s="18" t="s">
        <v>95</v>
      </c>
      <c r="AZ124" s="18" t="s">
        <v>95</v>
      </c>
      <c r="BA124" s="18" t="s">
        <v>95</v>
      </c>
      <c r="BB124" s="18" t="s">
        <v>95</v>
      </c>
      <c r="BC124" s="18" t="s">
        <v>95</v>
      </c>
      <c r="BD124" s="18" t="s">
        <v>10807</v>
      </c>
      <c r="BE124" s="18" t="s">
        <v>95</v>
      </c>
      <c r="BF124" s="18" t="s">
        <v>7080</v>
      </c>
      <c r="BG124" s="18" t="s">
        <v>7030</v>
      </c>
      <c r="BH124" s="18"/>
      <c r="BI124" s="18"/>
      <c r="BJ124" s="18" t="s">
        <v>822</v>
      </c>
      <c r="BK124" s="18" t="s">
        <v>11813</v>
      </c>
      <c r="BL124" s="18" t="s">
        <v>10811</v>
      </c>
      <c r="BM124" s="18" t="s">
        <v>139</v>
      </c>
      <c r="BN124" s="18" t="s">
        <v>85</v>
      </c>
      <c r="BO124" s="18">
        <v>0</v>
      </c>
      <c r="BP124" s="18" t="s">
        <v>10812</v>
      </c>
      <c r="BQ124" s="18" t="str">
        <f>VLOOKUP(Prepago[[#This Row],[NOM_PLAZA]],[1]!Locales[#Data],3,0)</f>
        <v>TIENDA RECREO</v>
      </c>
      <c r="BR124" s="18" t="str">
        <f>VLOOKUP(Prepago[[#This Row],[CODIGO_USUARIO]],[1]!Personal[#Data],6,0)</f>
        <v>SALAS PARRA MARIA JOSE</v>
      </c>
      <c r="BS124" s="18">
        <f>DAY(Prepago[[#This Row],[FECHA_ALTA]])</f>
        <v>18</v>
      </c>
    </row>
    <row r="125" spans="1:71" x14ac:dyDescent="0.25">
      <c r="A125" s="18" t="s">
        <v>96</v>
      </c>
      <c r="B125" s="18" t="s">
        <v>11814</v>
      </c>
      <c r="C125" s="18" t="s">
        <v>11815</v>
      </c>
      <c r="D125" s="18" t="s">
        <v>11816</v>
      </c>
      <c r="E125" s="22">
        <v>44900</v>
      </c>
      <c r="F125" s="18" t="s">
        <v>67</v>
      </c>
      <c r="G125" s="18" t="s">
        <v>11817</v>
      </c>
      <c r="H125" s="18" t="s">
        <v>11818</v>
      </c>
      <c r="I125" s="18" t="s">
        <v>70</v>
      </c>
      <c r="J125" s="18" t="s">
        <v>8102</v>
      </c>
      <c r="K125" s="18" t="s">
        <v>8103</v>
      </c>
      <c r="L125" s="18" t="s">
        <v>95</v>
      </c>
      <c r="M125" s="18" t="s">
        <v>7037</v>
      </c>
      <c r="N125" s="18" t="s">
        <v>11819</v>
      </c>
      <c r="O125" s="18" t="s">
        <v>75</v>
      </c>
      <c r="P125" s="18" t="s">
        <v>11820</v>
      </c>
      <c r="Q125" s="18" t="s">
        <v>4453</v>
      </c>
      <c r="R125" s="18" t="s">
        <v>78</v>
      </c>
      <c r="S125" s="18" t="s">
        <v>77</v>
      </c>
      <c r="T125" s="22">
        <v>44915</v>
      </c>
      <c r="U125" s="18"/>
      <c r="V125" s="18" t="s">
        <v>81</v>
      </c>
      <c r="W125" s="18" t="s">
        <v>79</v>
      </c>
      <c r="X125" s="18" t="s">
        <v>10803</v>
      </c>
      <c r="Y125" s="18" t="s">
        <v>175</v>
      </c>
      <c r="Z125" s="18" t="s">
        <v>176</v>
      </c>
      <c r="AA125" s="18" t="s">
        <v>7062</v>
      </c>
      <c r="AB125" s="18" t="s">
        <v>95</v>
      </c>
      <c r="AC125" s="18" t="s">
        <v>7984</v>
      </c>
      <c r="AD125" s="18" t="s">
        <v>10804</v>
      </c>
      <c r="AE125" s="18" t="s">
        <v>174</v>
      </c>
      <c r="AF125" s="18" t="s">
        <v>95</v>
      </c>
      <c r="AG125" s="18" t="s">
        <v>83</v>
      </c>
      <c r="AH125" s="18" t="s">
        <v>83</v>
      </c>
      <c r="AI125" s="18" t="s">
        <v>81</v>
      </c>
      <c r="AJ125" s="18" t="s">
        <v>118</v>
      </c>
      <c r="AK125" s="18" t="s">
        <v>95</v>
      </c>
      <c r="AL125" s="18" t="s">
        <v>11268</v>
      </c>
      <c r="AM125" s="18" t="s">
        <v>85</v>
      </c>
      <c r="AN125" s="18" t="s">
        <v>7031</v>
      </c>
      <c r="AO125" s="18" t="s">
        <v>86</v>
      </c>
      <c r="AP125" s="18" t="s">
        <v>90</v>
      </c>
      <c r="AQ125" s="18" t="s">
        <v>8002</v>
      </c>
      <c r="AR125" s="18" t="s">
        <v>177</v>
      </c>
      <c r="AS125" s="18" t="s">
        <v>139</v>
      </c>
      <c r="AT125" s="18" t="s">
        <v>95</v>
      </c>
      <c r="AU125" s="18" t="s">
        <v>95</v>
      </c>
      <c r="AV125" s="18" t="s">
        <v>7037</v>
      </c>
      <c r="AW125" s="18" t="s">
        <v>95</v>
      </c>
      <c r="AX125" s="18" t="s">
        <v>10806</v>
      </c>
      <c r="AY125" s="18" t="s">
        <v>95</v>
      </c>
      <c r="AZ125" s="18" t="s">
        <v>95</v>
      </c>
      <c r="BA125" s="18" t="s">
        <v>95</v>
      </c>
      <c r="BB125" s="18" t="s">
        <v>95</v>
      </c>
      <c r="BC125" s="18" t="s">
        <v>95</v>
      </c>
      <c r="BD125" s="18" t="s">
        <v>10807</v>
      </c>
      <c r="BE125" s="18" t="s">
        <v>95</v>
      </c>
      <c r="BF125" s="18" t="s">
        <v>10809</v>
      </c>
      <c r="BG125" s="18" t="s">
        <v>7030</v>
      </c>
      <c r="BH125" s="18"/>
      <c r="BI125" s="18"/>
      <c r="BJ125" s="18" t="s">
        <v>175</v>
      </c>
      <c r="BK125" s="18" t="s">
        <v>11821</v>
      </c>
      <c r="BL125" s="18" t="s">
        <v>10811</v>
      </c>
      <c r="BM125" s="18" t="s">
        <v>139</v>
      </c>
      <c r="BN125" s="18" t="s">
        <v>85</v>
      </c>
      <c r="BO125" s="18">
        <v>1</v>
      </c>
      <c r="BP125" s="18" t="s">
        <v>10812</v>
      </c>
      <c r="BQ125" s="18" t="str">
        <f>VLOOKUP(Prepago[[#This Row],[NOM_PLAZA]],[1]!Locales[#Data],3,0)</f>
        <v>TIENDA RECREO</v>
      </c>
      <c r="BR125" s="18" t="str">
        <f>VLOOKUP(Prepago[[#This Row],[CODIGO_USUARIO]],[1]!Personal[#Data],6,0)</f>
        <v>VARGAS REYES LUIS EDUARDO</v>
      </c>
      <c r="BS125" s="18">
        <f>DAY(Prepago[[#This Row],[FECHA_ALTA]])</f>
        <v>5</v>
      </c>
    </row>
    <row r="126" spans="1:71" x14ac:dyDescent="0.25">
      <c r="A126" s="18" t="s">
        <v>96</v>
      </c>
      <c r="B126" s="18" t="s">
        <v>11822</v>
      </c>
      <c r="C126" s="18" t="s">
        <v>11823</v>
      </c>
      <c r="D126" s="18" t="s">
        <v>11824</v>
      </c>
      <c r="E126" s="22">
        <v>44900</v>
      </c>
      <c r="F126" s="18" t="s">
        <v>67</v>
      </c>
      <c r="G126" s="18" t="s">
        <v>11825</v>
      </c>
      <c r="H126" s="18" t="s">
        <v>11826</v>
      </c>
      <c r="I126" s="18" t="s">
        <v>70</v>
      </c>
      <c r="J126" s="18" t="s">
        <v>8102</v>
      </c>
      <c r="K126" s="18" t="s">
        <v>8103</v>
      </c>
      <c r="L126" s="18" t="s">
        <v>132</v>
      </c>
      <c r="M126" s="18" t="s">
        <v>7037</v>
      </c>
      <c r="N126" s="18" t="s">
        <v>11827</v>
      </c>
      <c r="O126" s="18" t="s">
        <v>75</v>
      </c>
      <c r="P126" s="18" t="s">
        <v>11828</v>
      </c>
      <c r="Q126" s="18" t="s">
        <v>10817</v>
      </c>
      <c r="R126" s="18" t="s">
        <v>78</v>
      </c>
      <c r="S126" s="18" t="s">
        <v>77</v>
      </c>
      <c r="T126" s="22">
        <v>44915</v>
      </c>
      <c r="U126" s="18"/>
      <c r="V126" s="18" t="s">
        <v>81</v>
      </c>
      <c r="W126" s="18" t="s">
        <v>79</v>
      </c>
      <c r="X126" s="18" t="s">
        <v>10803</v>
      </c>
      <c r="Y126" s="18" t="s">
        <v>630</v>
      </c>
      <c r="Z126" s="18" t="s">
        <v>631</v>
      </c>
      <c r="AA126" s="18" t="s">
        <v>7062</v>
      </c>
      <c r="AB126" s="18" t="s">
        <v>95</v>
      </c>
      <c r="AC126" s="18" t="s">
        <v>7984</v>
      </c>
      <c r="AD126" s="18" t="s">
        <v>10804</v>
      </c>
      <c r="AE126" s="18" t="s">
        <v>174</v>
      </c>
      <c r="AF126" s="18" t="s">
        <v>95</v>
      </c>
      <c r="AG126" s="18" t="s">
        <v>83</v>
      </c>
      <c r="AH126" s="18" t="s">
        <v>83</v>
      </c>
      <c r="AI126" s="18" t="s">
        <v>81</v>
      </c>
      <c r="AJ126" s="18" t="s">
        <v>118</v>
      </c>
      <c r="AK126" s="18" t="s">
        <v>95</v>
      </c>
      <c r="AL126" s="18" t="s">
        <v>10873</v>
      </c>
      <c r="AM126" s="18" t="s">
        <v>85</v>
      </c>
      <c r="AN126" s="18" t="s">
        <v>7031</v>
      </c>
      <c r="AO126" s="18" t="s">
        <v>86</v>
      </c>
      <c r="AP126" s="18" t="s">
        <v>90</v>
      </c>
      <c r="AQ126" s="18" t="s">
        <v>8002</v>
      </c>
      <c r="AR126" s="18" t="s">
        <v>177</v>
      </c>
      <c r="AS126" s="18" t="s">
        <v>139</v>
      </c>
      <c r="AT126" s="18" t="s">
        <v>95</v>
      </c>
      <c r="AU126" s="18" t="s">
        <v>95</v>
      </c>
      <c r="AV126" s="18" t="s">
        <v>7037</v>
      </c>
      <c r="AW126" s="18" t="s">
        <v>95</v>
      </c>
      <c r="AX126" s="18" t="s">
        <v>10806</v>
      </c>
      <c r="AY126" s="18" t="s">
        <v>95</v>
      </c>
      <c r="AZ126" s="18" t="s">
        <v>95</v>
      </c>
      <c r="BA126" s="18" t="s">
        <v>95</v>
      </c>
      <c r="BB126" s="18" t="s">
        <v>95</v>
      </c>
      <c r="BC126" s="18" t="s">
        <v>95</v>
      </c>
      <c r="BD126" s="18" t="s">
        <v>10829</v>
      </c>
      <c r="BE126" s="18" t="s">
        <v>11829</v>
      </c>
      <c r="BF126" s="18" t="s">
        <v>10809</v>
      </c>
      <c r="BG126" s="18" t="s">
        <v>7030</v>
      </c>
      <c r="BH126" s="18"/>
      <c r="BI126" s="18"/>
      <c r="BJ126" s="18" t="s">
        <v>630</v>
      </c>
      <c r="BK126" s="18" t="s">
        <v>11830</v>
      </c>
      <c r="BL126" s="18" t="s">
        <v>10811</v>
      </c>
      <c r="BM126" s="18" t="s">
        <v>139</v>
      </c>
      <c r="BN126" s="18" t="s">
        <v>85</v>
      </c>
      <c r="BO126" s="18">
        <v>0</v>
      </c>
      <c r="BP126" s="18" t="s">
        <v>10812</v>
      </c>
      <c r="BQ126" s="18" t="str">
        <f>VLOOKUP(Prepago[[#This Row],[NOM_PLAZA]],[1]!Locales[#Data],3,0)</f>
        <v>TIENDA RECREO</v>
      </c>
      <c r="BR126" s="18" t="str">
        <f>VLOOKUP(Prepago[[#This Row],[CODIGO_USUARIO]],[1]!Personal[#Data],6,0)</f>
        <v>LOAYZA AGUILAR JONATHAN FABIAN</v>
      </c>
      <c r="BS126" s="18">
        <f>DAY(Prepago[[#This Row],[FECHA_ALTA]])</f>
        <v>5</v>
      </c>
    </row>
    <row r="127" spans="1:71" x14ac:dyDescent="0.25">
      <c r="A127" s="18" t="s">
        <v>96</v>
      </c>
      <c r="B127" s="18" t="s">
        <v>11831</v>
      </c>
      <c r="C127" s="18" t="s">
        <v>11832</v>
      </c>
      <c r="D127" s="18" t="s">
        <v>11833</v>
      </c>
      <c r="E127" s="22">
        <v>44907</v>
      </c>
      <c r="F127" s="18" t="s">
        <v>67</v>
      </c>
      <c r="G127" s="18" t="s">
        <v>11834</v>
      </c>
      <c r="H127" s="18" t="s">
        <v>11835</v>
      </c>
      <c r="I127" s="18" t="s">
        <v>70</v>
      </c>
      <c r="J127" s="18" t="s">
        <v>8102</v>
      </c>
      <c r="K127" s="18" t="s">
        <v>8103</v>
      </c>
      <c r="L127" s="18" t="s">
        <v>132</v>
      </c>
      <c r="M127" s="18" t="s">
        <v>7037</v>
      </c>
      <c r="N127" s="18" t="s">
        <v>11836</v>
      </c>
      <c r="O127" s="18" t="s">
        <v>75</v>
      </c>
      <c r="P127" s="18" t="s">
        <v>11837</v>
      </c>
      <c r="Q127" s="18" t="s">
        <v>10817</v>
      </c>
      <c r="R127" s="18" t="s">
        <v>78</v>
      </c>
      <c r="S127" s="18" t="s">
        <v>77</v>
      </c>
      <c r="T127" s="22">
        <v>44915</v>
      </c>
      <c r="U127" s="18"/>
      <c r="V127" s="18" t="s">
        <v>81</v>
      </c>
      <c r="W127" s="18" t="s">
        <v>79</v>
      </c>
      <c r="X127" s="18" t="s">
        <v>10803</v>
      </c>
      <c r="Y127" s="18" t="s">
        <v>396</v>
      </c>
      <c r="Z127" s="18" t="s">
        <v>397</v>
      </c>
      <c r="AA127" s="18" t="s">
        <v>396</v>
      </c>
      <c r="AB127" s="18" t="s">
        <v>397</v>
      </c>
      <c r="AC127" s="18" t="s">
        <v>7984</v>
      </c>
      <c r="AD127" s="18" t="s">
        <v>10804</v>
      </c>
      <c r="AE127" s="18" t="s">
        <v>174</v>
      </c>
      <c r="AF127" s="18" t="s">
        <v>95</v>
      </c>
      <c r="AG127" s="18" t="s">
        <v>83</v>
      </c>
      <c r="AH127" s="18" t="s">
        <v>83</v>
      </c>
      <c r="AI127" s="18" t="s">
        <v>81</v>
      </c>
      <c r="AJ127" s="18" t="s">
        <v>118</v>
      </c>
      <c r="AK127" s="18" t="s">
        <v>95</v>
      </c>
      <c r="AL127" s="18" t="s">
        <v>10910</v>
      </c>
      <c r="AM127" s="18" t="s">
        <v>85</v>
      </c>
      <c r="AN127" s="18" t="s">
        <v>7031</v>
      </c>
      <c r="AO127" s="18" t="s">
        <v>86</v>
      </c>
      <c r="AP127" s="18" t="s">
        <v>90</v>
      </c>
      <c r="AQ127" s="18" t="s">
        <v>8002</v>
      </c>
      <c r="AR127" s="18" t="s">
        <v>177</v>
      </c>
      <c r="AS127" s="18" t="s">
        <v>139</v>
      </c>
      <c r="AT127" s="18" t="s">
        <v>95</v>
      </c>
      <c r="AU127" s="18" t="s">
        <v>95</v>
      </c>
      <c r="AV127" s="18" t="s">
        <v>7037</v>
      </c>
      <c r="AW127" s="18" t="s">
        <v>95</v>
      </c>
      <c r="AX127" s="18" t="s">
        <v>10806</v>
      </c>
      <c r="AY127" s="18" t="s">
        <v>95</v>
      </c>
      <c r="AZ127" s="18" t="s">
        <v>95</v>
      </c>
      <c r="BA127" s="18" t="s">
        <v>95</v>
      </c>
      <c r="BB127" s="18" t="s">
        <v>95</v>
      </c>
      <c r="BC127" s="18" t="s">
        <v>95</v>
      </c>
      <c r="BD127" s="18" t="s">
        <v>10829</v>
      </c>
      <c r="BE127" s="18" t="s">
        <v>11838</v>
      </c>
      <c r="BF127" s="18" t="s">
        <v>10809</v>
      </c>
      <c r="BG127" s="18" t="s">
        <v>7030</v>
      </c>
      <c r="BH127" s="18"/>
      <c r="BI127" s="18"/>
      <c r="BJ127" s="18" t="s">
        <v>396</v>
      </c>
      <c r="BK127" s="18" t="s">
        <v>11839</v>
      </c>
      <c r="BL127" s="18" t="s">
        <v>10811</v>
      </c>
      <c r="BM127" s="18" t="s">
        <v>139</v>
      </c>
      <c r="BN127" s="18" t="s">
        <v>85</v>
      </c>
      <c r="BO127" s="18">
        <v>0</v>
      </c>
      <c r="BP127" s="18" t="s">
        <v>10812</v>
      </c>
      <c r="BQ127" s="18" t="str">
        <f>VLOOKUP(Prepago[[#This Row],[NOM_PLAZA]],[1]!Locales[#Data],3,0)</f>
        <v>TIENDA RECREO</v>
      </c>
      <c r="BR127" s="18" t="str">
        <f>VLOOKUP(Prepago[[#This Row],[CODIGO_USUARIO]],[1]!Personal[#Data],6,0)</f>
        <v>VINUEZA VELASCO ANGY DAYANA</v>
      </c>
      <c r="BS127" s="18">
        <f>DAY(Prepago[[#This Row],[FECHA_ALTA]])</f>
        <v>12</v>
      </c>
    </row>
    <row r="128" spans="1:71" x14ac:dyDescent="0.25">
      <c r="A128" s="18" t="s">
        <v>96</v>
      </c>
      <c r="B128" s="18" t="s">
        <v>11840</v>
      </c>
      <c r="C128" s="18" t="s">
        <v>11841</v>
      </c>
      <c r="D128" s="18" t="s">
        <v>11842</v>
      </c>
      <c r="E128" s="22">
        <v>44914</v>
      </c>
      <c r="F128" s="18" t="s">
        <v>67</v>
      </c>
      <c r="G128" s="18" t="s">
        <v>11843</v>
      </c>
      <c r="H128" s="18" t="s">
        <v>11844</v>
      </c>
      <c r="I128" s="18" t="s">
        <v>70</v>
      </c>
      <c r="J128" s="18" t="s">
        <v>8102</v>
      </c>
      <c r="K128" s="18" t="s">
        <v>8103</v>
      </c>
      <c r="L128" s="18" t="s">
        <v>73</v>
      </c>
      <c r="M128" s="18" t="s">
        <v>7029</v>
      </c>
      <c r="N128" s="18" t="s">
        <v>11845</v>
      </c>
      <c r="O128" s="18" t="s">
        <v>75</v>
      </c>
      <c r="P128" s="18" t="s">
        <v>11846</v>
      </c>
      <c r="Q128" s="18" t="s">
        <v>4453</v>
      </c>
      <c r="R128" s="18" t="s">
        <v>78</v>
      </c>
      <c r="S128" s="18" t="s">
        <v>77</v>
      </c>
      <c r="T128" s="22">
        <v>44915</v>
      </c>
      <c r="U128" s="18"/>
      <c r="V128" s="18" t="s">
        <v>81</v>
      </c>
      <c r="W128" s="18" t="s">
        <v>79</v>
      </c>
      <c r="X128" s="18" t="s">
        <v>10803</v>
      </c>
      <c r="Y128" s="18" t="s">
        <v>918</v>
      </c>
      <c r="Z128" s="18" t="s">
        <v>919</v>
      </c>
      <c r="AA128" s="18" t="s">
        <v>7062</v>
      </c>
      <c r="AB128" s="18" t="s">
        <v>95</v>
      </c>
      <c r="AC128" s="18" t="s">
        <v>7984</v>
      </c>
      <c r="AD128" s="18" t="s">
        <v>10804</v>
      </c>
      <c r="AE128" s="18" t="s">
        <v>174</v>
      </c>
      <c r="AF128" s="18" t="s">
        <v>95</v>
      </c>
      <c r="AG128" s="18" t="s">
        <v>83</v>
      </c>
      <c r="AH128" s="18" t="s">
        <v>83</v>
      </c>
      <c r="AI128" s="18" t="s">
        <v>81</v>
      </c>
      <c r="AJ128" s="18" t="s">
        <v>118</v>
      </c>
      <c r="AK128" s="18" t="s">
        <v>95</v>
      </c>
      <c r="AL128" s="18" t="s">
        <v>10999</v>
      </c>
      <c r="AM128" s="18" t="s">
        <v>85</v>
      </c>
      <c r="AN128" s="18" t="s">
        <v>7031</v>
      </c>
      <c r="AO128" s="18" t="s">
        <v>86</v>
      </c>
      <c r="AP128" s="18" t="s">
        <v>90</v>
      </c>
      <c r="AQ128" s="18" t="s">
        <v>8002</v>
      </c>
      <c r="AR128" s="18" t="s">
        <v>177</v>
      </c>
      <c r="AS128" s="18" t="s">
        <v>139</v>
      </c>
      <c r="AT128" s="18" t="s">
        <v>95</v>
      </c>
      <c r="AU128" s="18" t="s">
        <v>95</v>
      </c>
      <c r="AV128" s="18" t="s">
        <v>7029</v>
      </c>
      <c r="AW128" s="18" t="s">
        <v>95</v>
      </c>
      <c r="AX128" s="18" t="s">
        <v>10806</v>
      </c>
      <c r="AY128" s="18" t="s">
        <v>95</v>
      </c>
      <c r="AZ128" s="18" t="s">
        <v>95</v>
      </c>
      <c r="BA128" s="18" t="s">
        <v>95</v>
      </c>
      <c r="BB128" s="18" t="s">
        <v>95</v>
      </c>
      <c r="BC128" s="18" t="s">
        <v>95</v>
      </c>
      <c r="BD128" s="18" t="s">
        <v>10807</v>
      </c>
      <c r="BE128" s="18" t="s">
        <v>10808</v>
      </c>
      <c r="BF128" s="18" t="s">
        <v>10809</v>
      </c>
      <c r="BG128" s="18" t="s">
        <v>7030</v>
      </c>
      <c r="BH128" s="18"/>
      <c r="BI128" s="18"/>
      <c r="BJ128" s="18" t="s">
        <v>918</v>
      </c>
      <c r="BK128" s="18" t="s">
        <v>11847</v>
      </c>
      <c r="BL128" s="18" t="s">
        <v>10811</v>
      </c>
      <c r="BM128" s="18" t="s">
        <v>92</v>
      </c>
      <c r="BN128" s="18" t="s">
        <v>85</v>
      </c>
      <c r="BO128" s="18">
        <v>0</v>
      </c>
      <c r="BP128" s="18" t="s">
        <v>10812</v>
      </c>
      <c r="BQ128" s="18" t="str">
        <f>VLOOKUP(Prepago[[#This Row],[NOM_PLAZA]],[1]!Locales[#Data],3,0)</f>
        <v>TIENDA RECREO</v>
      </c>
      <c r="BR128" s="18" t="str">
        <f>VLOOKUP(Prepago[[#This Row],[CODIGO_USUARIO]],[1]!Personal[#Data],6,0)</f>
        <v>ORELLANA CARRERA MICHAEL ALEXANDER</v>
      </c>
      <c r="BS128" s="18">
        <f>DAY(Prepago[[#This Row],[FECHA_ALTA]])</f>
        <v>19</v>
      </c>
    </row>
    <row r="129" spans="1:71" x14ac:dyDescent="0.25">
      <c r="A129" s="18" t="s">
        <v>96</v>
      </c>
      <c r="B129" s="18" t="s">
        <v>11848</v>
      </c>
      <c r="C129" s="18" t="s">
        <v>11849</v>
      </c>
      <c r="D129" s="18" t="s">
        <v>11850</v>
      </c>
      <c r="E129" s="22">
        <v>44897</v>
      </c>
      <c r="F129" s="18" t="s">
        <v>67</v>
      </c>
      <c r="G129" s="18" t="s">
        <v>11851</v>
      </c>
      <c r="H129" s="18" t="s">
        <v>11852</v>
      </c>
      <c r="I129" s="18" t="s">
        <v>70</v>
      </c>
      <c r="J129" s="18" t="s">
        <v>8102</v>
      </c>
      <c r="K129" s="18" t="s">
        <v>8103</v>
      </c>
      <c r="L129" s="18" t="s">
        <v>132</v>
      </c>
      <c r="M129" s="18" t="s">
        <v>7037</v>
      </c>
      <c r="N129" s="18" t="s">
        <v>11853</v>
      </c>
      <c r="O129" s="18" t="s">
        <v>75</v>
      </c>
      <c r="P129" s="18" t="s">
        <v>11854</v>
      </c>
      <c r="Q129" s="18" t="s">
        <v>10817</v>
      </c>
      <c r="R129" s="18" t="s">
        <v>78</v>
      </c>
      <c r="S129" s="18" t="s">
        <v>77</v>
      </c>
      <c r="T129" s="22">
        <v>44915</v>
      </c>
      <c r="U129" s="18"/>
      <c r="V129" s="18" t="s">
        <v>81</v>
      </c>
      <c r="W129" s="18" t="s">
        <v>79</v>
      </c>
      <c r="X129" s="18" t="s">
        <v>10803</v>
      </c>
      <c r="Y129" s="18" t="s">
        <v>187</v>
      </c>
      <c r="Z129" s="18" t="s">
        <v>188</v>
      </c>
      <c r="AA129" s="18" t="s">
        <v>7062</v>
      </c>
      <c r="AB129" s="18" t="s">
        <v>95</v>
      </c>
      <c r="AC129" s="18" t="s">
        <v>7984</v>
      </c>
      <c r="AD129" s="18" t="s">
        <v>10804</v>
      </c>
      <c r="AE129" s="18" t="s">
        <v>174</v>
      </c>
      <c r="AF129" s="18" t="s">
        <v>95</v>
      </c>
      <c r="AG129" s="18" t="s">
        <v>83</v>
      </c>
      <c r="AH129" s="18" t="s">
        <v>83</v>
      </c>
      <c r="AI129" s="18" t="s">
        <v>81</v>
      </c>
      <c r="AJ129" s="18" t="s">
        <v>118</v>
      </c>
      <c r="AK129" s="18" t="s">
        <v>95</v>
      </c>
      <c r="AL129" s="18" t="s">
        <v>10920</v>
      </c>
      <c r="AM129" s="18" t="s">
        <v>85</v>
      </c>
      <c r="AN129" s="18" t="s">
        <v>7031</v>
      </c>
      <c r="AO129" s="18" t="s">
        <v>86</v>
      </c>
      <c r="AP129" s="18" t="s">
        <v>90</v>
      </c>
      <c r="AQ129" s="18" t="s">
        <v>8002</v>
      </c>
      <c r="AR129" s="18" t="s">
        <v>177</v>
      </c>
      <c r="AS129" s="18" t="s">
        <v>139</v>
      </c>
      <c r="AT129" s="18" t="s">
        <v>95</v>
      </c>
      <c r="AU129" s="18" t="s">
        <v>95</v>
      </c>
      <c r="AV129" s="18" t="s">
        <v>7037</v>
      </c>
      <c r="AW129" s="18" t="s">
        <v>95</v>
      </c>
      <c r="AX129" s="18" t="s">
        <v>10806</v>
      </c>
      <c r="AY129" s="18" t="s">
        <v>95</v>
      </c>
      <c r="AZ129" s="18" t="s">
        <v>95</v>
      </c>
      <c r="BA129" s="18" t="s">
        <v>95</v>
      </c>
      <c r="BB129" s="18" t="s">
        <v>95</v>
      </c>
      <c r="BC129" s="18" t="s">
        <v>95</v>
      </c>
      <c r="BD129" s="18" t="s">
        <v>10807</v>
      </c>
      <c r="BE129" s="18" t="s">
        <v>11855</v>
      </c>
      <c r="BF129" s="18" t="s">
        <v>10809</v>
      </c>
      <c r="BG129" s="18" t="s">
        <v>7030</v>
      </c>
      <c r="BH129" s="18"/>
      <c r="BI129" s="18"/>
      <c r="BJ129" s="18" t="s">
        <v>187</v>
      </c>
      <c r="BK129" s="18" t="s">
        <v>11856</v>
      </c>
      <c r="BL129" s="18" t="s">
        <v>10811</v>
      </c>
      <c r="BM129" s="18" t="s">
        <v>139</v>
      </c>
      <c r="BN129" s="18" t="s">
        <v>85</v>
      </c>
      <c r="BO129" s="18">
        <v>1</v>
      </c>
      <c r="BP129" s="18" t="s">
        <v>10812</v>
      </c>
      <c r="BQ129" s="18" t="str">
        <f>VLOOKUP(Prepago[[#This Row],[NOM_PLAZA]],[1]!Locales[#Data],3,0)</f>
        <v>TIENDA RECREO</v>
      </c>
      <c r="BR129" s="18" t="str">
        <f>VLOOKUP(Prepago[[#This Row],[CODIGO_USUARIO]],[1]!Personal[#Data],6,0)</f>
        <v>ESPINOZA MARTINES LAURA XIOMARA</v>
      </c>
      <c r="BS129" s="18">
        <f>DAY(Prepago[[#This Row],[FECHA_ALTA]])</f>
        <v>2</v>
      </c>
    </row>
    <row r="130" spans="1:71" x14ac:dyDescent="0.25">
      <c r="A130" s="18" t="s">
        <v>96</v>
      </c>
      <c r="B130" s="18" t="s">
        <v>11857</v>
      </c>
      <c r="C130" s="18" t="s">
        <v>11858</v>
      </c>
      <c r="D130" s="18" t="s">
        <v>11859</v>
      </c>
      <c r="E130" s="22">
        <v>44913</v>
      </c>
      <c r="F130" s="18" t="s">
        <v>67</v>
      </c>
      <c r="G130" s="18" t="s">
        <v>11860</v>
      </c>
      <c r="H130" s="18" t="s">
        <v>11861</v>
      </c>
      <c r="I130" s="18" t="s">
        <v>70</v>
      </c>
      <c r="J130" s="18" t="s">
        <v>8102</v>
      </c>
      <c r="K130" s="18" t="s">
        <v>8103</v>
      </c>
      <c r="L130" s="18" t="s">
        <v>11862</v>
      </c>
      <c r="M130" s="18" t="s">
        <v>7037</v>
      </c>
      <c r="N130" s="18" t="s">
        <v>11863</v>
      </c>
      <c r="O130" s="18" t="s">
        <v>75</v>
      </c>
      <c r="P130" s="18" t="s">
        <v>11864</v>
      </c>
      <c r="Q130" s="18" t="s">
        <v>10817</v>
      </c>
      <c r="R130" s="18" t="s">
        <v>78</v>
      </c>
      <c r="S130" s="18" t="s">
        <v>77</v>
      </c>
      <c r="T130" s="22">
        <v>44915</v>
      </c>
      <c r="U130" s="18"/>
      <c r="V130" s="18" t="s">
        <v>81</v>
      </c>
      <c r="W130" s="18" t="s">
        <v>79</v>
      </c>
      <c r="X130" s="18" t="s">
        <v>10803</v>
      </c>
      <c r="Y130" s="18" t="s">
        <v>2159</v>
      </c>
      <c r="Z130" s="18" t="s">
        <v>2160</v>
      </c>
      <c r="AA130" s="18" t="s">
        <v>2159</v>
      </c>
      <c r="AB130" s="18" t="s">
        <v>2160</v>
      </c>
      <c r="AC130" s="18" t="s">
        <v>7984</v>
      </c>
      <c r="AD130" s="18" t="s">
        <v>10804</v>
      </c>
      <c r="AE130" s="18" t="s">
        <v>174</v>
      </c>
      <c r="AF130" s="18" t="s">
        <v>95</v>
      </c>
      <c r="AG130" s="18" t="s">
        <v>83</v>
      </c>
      <c r="AH130" s="18" t="s">
        <v>83</v>
      </c>
      <c r="AI130" s="18" t="s">
        <v>81</v>
      </c>
      <c r="AJ130" s="18" t="s">
        <v>118</v>
      </c>
      <c r="AK130" s="18" t="s">
        <v>95</v>
      </c>
      <c r="AL130" s="18" t="s">
        <v>11080</v>
      </c>
      <c r="AM130" s="18" t="s">
        <v>85</v>
      </c>
      <c r="AN130" s="18" t="s">
        <v>7031</v>
      </c>
      <c r="AO130" s="18" t="s">
        <v>86</v>
      </c>
      <c r="AP130" s="18" t="s">
        <v>90</v>
      </c>
      <c r="AQ130" s="18" t="s">
        <v>8002</v>
      </c>
      <c r="AR130" s="18" t="s">
        <v>177</v>
      </c>
      <c r="AS130" s="18" t="s">
        <v>139</v>
      </c>
      <c r="AT130" s="18" t="s">
        <v>95</v>
      </c>
      <c r="AU130" s="18" t="s">
        <v>95</v>
      </c>
      <c r="AV130" s="18" t="s">
        <v>7037</v>
      </c>
      <c r="AW130" s="18" t="s">
        <v>95</v>
      </c>
      <c r="AX130" s="18" t="s">
        <v>10806</v>
      </c>
      <c r="AY130" s="18" t="s">
        <v>95</v>
      </c>
      <c r="AZ130" s="18" t="s">
        <v>95</v>
      </c>
      <c r="BA130" s="18" t="s">
        <v>95</v>
      </c>
      <c r="BB130" s="18" t="s">
        <v>95</v>
      </c>
      <c r="BC130" s="18" t="s">
        <v>95</v>
      </c>
      <c r="BD130" s="18" t="s">
        <v>10807</v>
      </c>
      <c r="BE130" s="18" t="s">
        <v>11865</v>
      </c>
      <c r="BF130" s="18" t="s">
        <v>10809</v>
      </c>
      <c r="BG130" s="18" t="s">
        <v>7030</v>
      </c>
      <c r="BH130" s="18"/>
      <c r="BI130" s="18"/>
      <c r="BJ130" s="18" t="s">
        <v>2159</v>
      </c>
      <c r="BK130" s="18" t="s">
        <v>11866</v>
      </c>
      <c r="BL130" s="18" t="s">
        <v>10811</v>
      </c>
      <c r="BM130" s="18" t="s">
        <v>139</v>
      </c>
      <c r="BN130" s="18" t="s">
        <v>85</v>
      </c>
      <c r="BO130" s="18">
        <v>0</v>
      </c>
      <c r="BP130" s="18" t="s">
        <v>10812</v>
      </c>
      <c r="BQ130" s="18" t="str">
        <f>VLOOKUP(Prepago[[#This Row],[NOM_PLAZA]],[1]!Locales[#Data],3,0)</f>
        <v>TIENDA RECREO</v>
      </c>
      <c r="BR130" s="18" t="str">
        <f>VLOOKUP(Prepago[[#This Row],[CODIGO_USUARIO]],[1]!Personal[#Data],6,0)</f>
        <v>GUEVARA MAZA CRISTIAN FABIAN</v>
      </c>
      <c r="BS130" s="18">
        <f>DAY(Prepago[[#This Row],[FECHA_ALTA]])</f>
        <v>18</v>
      </c>
    </row>
    <row r="131" spans="1:71" x14ac:dyDescent="0.25">
      <c r="A131" s="18" t="s">
        <v>96</v>
      </c>
      <c r="B131" s="18" t="s">
        <v>11867</v>
      </c>
      <c r="C131" s="18" t="s">
        <v>11868</v>
      </c>
      <c r="D131" s="18" t="s">
        <v>11612</v>
      </c>
      <c r="E131" s="22">
        <v>44910</v>
      </c>
      <c r="F131" s="18" t="s">
        <v>67</v>
      </c>
      <c r="G131" s="18" t="s">
        <v>11613</v>
      </c>
      <c r="H131" s="18" t="s">
        <v>11614</v>
      </c>
      <c r="I131" s="18" t="s">
        <v>70</v>
      </c>
      <c r="J131" s="18" t="s">
        <v>8102</v>
      </c>
      <c r="K131" s="18" t="s">
        <v>8103</v>
      </c>
      <c r="L131" s="18" t="s">
        <v>132</v>
      </c>
      <c r="M131" s="18" t="s">
        <v>7037</v>
      </c>
      <c r="N131" s="18" t="s">
        <v>11869</v>
      </c>
      <c r="O131" s="18" t="s">
        <v>75</v>
      </c>
      <c r="P131" s="18" t="s">
        <v>11870</v>
      </c>
      <c r="Q131" s="18" t="s">
        <v>4453</v>
      </c>
      <c r="R131" s="18" t="s">
        <v>78</v>
      </c>
      <c r="S131" s="18" t="s">
        <v>77</v>
      </c>
      <c r="T131" s="22">
        <v>44915</v>
      </c>
      <c r="U131" s="18"/>
      <c r="V131" s="18" t="s">
        <v>81</v>
      </c>
      <c r="W131" s="18" t="s">
        <v>79</v>
      </c>
      <c r="X131" s="18" t="s">
        <v>10803</v>
      </c>
      <c r="Y131" s="18" t="s">
        <v>760</v>
      </c>
      <c r="Z131" s="18" t="s">
        <v>761</v>
      </c>
      <c r="AA131" s="18" t="s">
        <v>7062</v>
      </c>
      <c r="AB131" s="18" t="s">
        <v>95</v>
      </c>
      <c r="AC131" s="18" t="s">
        <v>7984</v>
      </c>
      <c r="AD131" s="18" t="s">
        <v>10804</v>
      </c>
      <c r="AE131" s="18" t="s">
        <v>174</v>
      </c>
      <c r="AF131" s="18" t="s">
        <v>95</v>
      </c>
      <c r="AG131" s="18" t="s">
        <v>83</v>
      </c>
      <c r="AH131" s="18" t="s">
        <v>83</v>
      </c>
      <c r="AI131" s="18" t="s">
        <v>81</v>
      </c>
      <c r="AJ131" s="18" t="s">
        <v>118</v>
      </c>
      <c r="AK131" s="18" t="s">
        <v>95</v>
      </c>
      <c r="AL131" s="18" t="s">
        <v>10818</v>
      </c>
      <c r="AM131" s="18" t="s">
        <v>85</v>
      </c>
      <c r="AN131" s="18" t="s">
        <v>7031</v>
      </c>
      <c r="AO131" s="18" t="s">
        <v>86</v>
      </c>
      <c r="AP131" s="18" t="s">
        <v>90</v>
      </c>
      <c r="AQ131" s="18" t="s">
        <v>8002</v>
      </c>
      <c r="AR131" s="18" t="s">
        <v>177</v>
      </c>
      <c r="AS131" s="18" t="s">
        <v>139</v>
      </c>
      <c r="AT131" s="18" t="s">
        <v>95</v>
      </c>
      <c r="AU131" s="18" t="s">
        <v>95</v>
      </c>
      <c r="AV131" s="18" t="s">
        <v>7037</v>
      </c>
      <c r="AW131" s="18" t="s">
        <v>95</v>
      </c>
      <c r="AX131" s="18" t="s">
        <v>10806</v>
      </c>
      <c r="AY131" s="18" t="s">
        <v>95</v>
      </c>
      <c r="AZ131" s="18" t="s">
        <v>95</v>
      </c>
      <c r="BA131" s="18" t="s">
        <v>95</v>
      </c>
      <c r="BB131" s="18" t="s">
        <v>95</v>
      </c>
      <c r="BC131" s="18" t="s">
        <v>95</v>
      </c>
      <c r="BD131" s="18" t="s">
        <v>10807</v>
      </c>
      <c r="BE131" s="18" t="s">
        <v>11617</v>
      </c>
      <c r="BF131" s="18" t="s">
        <v>7037</v>
      </c>
      <c r="BG131" s="18" t="s">
        <v>7030</v>
      </c>
      <c r="BH131" s="18"/>
      <c r="BI131" s="18"/>
      <c r="BJ131" s="18" t="s">
        <v>760</v>
      </c>
      <c r="BK131" s="18" t="s">
        <v>11618</v>
      </c>
      <c r="BL131" s="18" t="s">
        <v>10811</v>
      </c>
      <c r="BM131" s="18" t="s">
        <v>139</v>
      </c>
      <c r="BN131" s="18" t="s">
        <v>85</v>
      </c>
      <c r="BO131" s="18">
        <v>0</v>
      </c>
      <c r="BP131" s="18" t="s">
        <v>10812</v>
      </c>
      <c r="BQ131" s="18" t="str">
        <f>VLOOKUP(Prepago[[#This Row],[NOM_PLAZA]],[1]!Locales[#Data],3,0)</f>
        <v>TIENDA RECREO</v>
      </c>
      <c r="BR131" s="18" t="str">
        <f>VLOOKUP(Prepago[[#This Row],[CODIGO_USUARIO]],[1]!Personal[#Data],6,0)</f>
        <v>VALBUENA SANCHEZ ALBERT ANTHONY</v>
      </c>
      <c r="BS131" s="18">
        <f>DAY(Prepago[[#This Row],[FECHA_ALTA]])</f>
        <v>15</v>
      </c>
    </row>
    <row r="132" spans="1:71" x14ac:dyDescent="0.25">
      <c r="A132" s="18" t="s">
        <v>96</v>
      </c>
      <c r="B132" s="18" t="s">
        <v>11871</v>
      </c>
      <c r="C132" s="18" t="s">
        <v>11872</v>
      </c>
      <c r="D132" s="18" t="s">
        <v>11873</v>
      </c>
      <c r="E132" s="22">
        <v>44913</v>
      </c>
      <c r="F132" s="18" t="s">
        <v>67</v>
      </c>
      <c r="G132" s="18" t="s">
        <v>11874</v>
      </c>
      <c r="H132" s="18" t="s">
        <v>11875</v>
      </c>
      <c r="I132" s="18" t="s">
        <v>70</v>
      </c>
      <c r="J132" s="18" t="s">
        <v>8102</v>
      </c>
      <c r="K132" s="18" t="s">
        <v>8103</v>
      </c>
      <c r="L132" s="18" t="s">
        <v>132</v>
      </c>
      <c r="M132" s="18" t="s">
        <v>7037</v>
      </c>
      <c r="N132" s="18" t="s">
        <v>11876</v>
      </c>
      <c r="O132" s="18" t="s">
        <v>75</v>
      </c>
      <c r="P132" s="18" t="s">
        <v>11877</v>
      </c>
      <c r="Q132" s="18" t="s">
        <v>10817</v>
      </c>
      <c r="R132" s="18" t="s">
        <v>78</v>
      </c>
      <c r="S132" s="18" t="s">
        <v>77</v>
      </c>
      <c r="T132" s="22">
        <v>44915</v>
      </c>
      <c r="U132" s="18"/>
      <c r="V132" s="18" t="s">
        <v>81</v>
      </c>
      <c r="W132" s="18" t="s">
        <v>79</v>
      </c>
      <c r="X132" s="18" t="s">
        <v>10803</v>
      </c>
      <c r="Y132" s="18" t="s">
        <v>492</v>
      </c>
      <c r="Z132" s="18" t="s">
        <v>493</v>
      </c>
      <c r="AA132" s="18" t="s">
        <v>7062</v>
      </c>
      <c r="AB132" s="18" t="s">
        <v>95</v>
      </c>
      <c r="AC132" s="18" t="s">
        <v>7984</v>
      </c>
      <c r="AD132" s="18" t="s">
        <v>10804</v>
      </c>
      <c r="AE132" s="18" t="s">
        <v>174</v>
      </c>
      <c r="AF132" s="18" t="s">
        <v>95</v>
      </c>
      <c r="AG132" s="18" t="s">
        <v>83</v>
      </c>
      <c r="AH132" s="18" t="s">
        <v>83</v>
      </c>
      <c r="AI132" s="18" t="s">
        <v>81</v>
      </c>
      <c r="AJ132" s="18" t="s">
        <v>118</v>
      </c>
      <c r="AK132" s="18" t="s">
        <v>95</v>
      </c>
      <c r="AL132" s="18" t="s">
        <v>11329</v>
      </c>
      <c r="AM132" s="18" t="s">
        <v>85</v>
      </c>
      <c r="AN132" s="18" t="s">
        <v>7031</v>
      </c>
      <c r="AO132" s="18" t="s">
        <v>86</v>
      </c>
      <c r="AP132" s="18" t="s">
        <v>90</v>
      </c>
      <c r="AQ132" s="18" t="s">
        <v>8002</v>
      </c>
      <c r="AR132" s="18" t="s">
        <v>177</v>
      </c>
      <c r="AS132" s="18" t="s">
        <v>139</v>
      </c>
      <c r="AT132" s="18" t="s">
        <v>95</v>
      </c>
      <c r="AU132" s="18" t="s">
        <v>95</v>
      </c>
      <c r="AV132" s="18" t="s">
        <v>7037</v>
      </c>
      <c r="AW132" s="18" t="s">
        <v>95</v>
      </c>
      <c r="AX132" s="18" t="s">
        <v>10806</v>
      </c>
      <c r="AY132" s="18" t="s">
        <v>95</v>
      </c>
      <c r="AZ132" s="18" t="s">
        <v>95</v>
      </c>
      <c r="BA132" s="18" t="s">
        <v>95</v>
      </c>
      <c r="BB132" s="18" t="s">
        <v>95</v>
      </c>
      <c r="BC132" s="18" t="s">
        <v>95</v>
      </c>
      <c r="BD132" s="18" t="s">
        <v>10829</v>
      </c>
      <c r="BE132" s="18" t="s">
        <v>11878</v>
      </c>
      <c r="BF132" s="18" t="s">
        <v>10809</v>
      </c>
      <c r="BG132" s="18" t="s">
        <v>7030</v>
      </c>
      <c r="BH132" s="18"/>
      <c r="BI132" s="18"/>
      <c r="BJ132" s="18" t="s">
        <v>492</v>
      </c>
      <c r="BK132" s="18" t="s">
        <v>11879</v>
      </c>
      <c r="BL132" s="18" t="s">
        <v>10811</v>
      </c>
      <c r="BM132" s="18" t="s">
        <v>139</v>
      </c>
      <c r="BN132" s="18" t="s">
        <v>85</v>
      </c>
      <c r="BO132" s="18">
        <v>0</v>
      </c>
      <c r="BP132" s="18" t="s">
        <v>10812</v>
      </c>
      <c r="BQ132" s="18" t="str">
        <f>VLOOKUP(Prepago[[#This Row],[NOM_PLAZA]],[1]!Locales[#Data],3,0)</f>
        <v>TIENDA RECREO</v>
      </c>
      <c r="BR132" s="18" t="str">
        <f>VLOOKUP(Prepago[[#This Row],[CODIGO_USUARIO]],[1]!Personal[#Data],6,0)</f>
        <v>CONDO GARCIA NICOLAS MATIAS</v>
      </c>
      <c r="BS132" s="18">
        <f>DAY(Prepago[[#This Row],[FECHA_ALTA]])</f>
        <v>18</v>
      </c>
    </row>
    <row r="133" spans="1:71" x14ac:dyDescent="0.25">
      <c r="A133" s="18" t="s">
        <v>96</v>
      </c>
      <c r="B133" s="18" t="s">
        <v>11880</v>
      </c>
      <c r="C133" s="18" t="s">
        <v>11881</v>
      </c>
      <c r="D133" s="18" t="s">
        <v>11882</v>
      </c>
      <c r="E133" s="22">
        <v>44905</v>
      </c>
      <c r="F133" s="18" t="s">
        <v>67</v>
      </c>
      <c r="G133" s="18" t="s">
        <v>11883</v>
      </c>
      <c r="H133" s="18" t="s">
        <v>11884</v>
      </c>
      <c r="I133" s="18" t="s">
        <v>70</v>
      </c>
      <c r="J133" s="18" t="s">
        <v>8102</v>
      </c>
      <c r="K133" s="18" t="s">
        <v>8103</v>
      </c>
      <c r="L133" s="18" t="s">
        <v>73</v>
      </c>
      <c r="M133" s="18" t="s">
        <v>7037</v>
      </c>
      <c r="N133" s="18" t="s">
        <v>11885</v>
      </c>
      <c r="O133" s="18" t="s">
        <v>75</v>
      </c>
      <c r="P133" s="18" t="s">
        <v>11886</v>
      </c>
      <c r="Q133" s="18" t="s">
        <v>10817</v>
      </c>
      <c r="R133" s="18" t="s">
        <v>78</v>
      </c>
      <c r="S133" s="18" t="s">
        <v>77</v>
      </c>
      <c r="T133" s="22">
        <v>44915</v>
      </c>
      <c r="U133" s="18"/>
      <c r="V133" s="18" t="s">
        <v>81</v>
      </c>
      <c r="W133" s="18" t="s">
        <v>79</v>
      </c>
      <c r="X133" s="18" t="s">
        <v>10803</v>
      </c>
      <c r="Y133" s="18" t="s">
        <v>740</v>
      </c>
      <c r="Z133" s="18" t="s">
        <v>741</v>
      </c>
      <c r="AA133" s="18" t="s">
        <v>7062</v>
      </c>
      <c r="AB133" s="18" t="s">
        <v>95</v>
      </c>
      <c r="AC133" s="18" t="s">
        <v>7984</v>
      </c>
      <c r="AD133" s="18" t="s">
        <v>10804</v>
      </c>
      <c r="AE133" s="18" t="s">
        <v>174</v>
      </c>
      <c r="AF133" s="18" t="s">
        <v>95</v>
      </c>
      <c r="AG133" s="18" t="s">
        <v>83</v>
      </c>
      <c r="AH133" s="18" t="s">
        <v>83</v>
      </c>
      <c r="AI133" s="18" t="s">
        <v>81</v>
      </c>
      <c r="AJ133" s="18" t="s">
        <v>118</v>
      </c>
      <c r="AK133" s="18" t="s">
        <v>95</v>
      </c>
      <c r="AL133" s="18" t="s">
        <v>10946</v>
      </c>
      <c r="AM133" s="18" t="s">
        <v>85</v>
      </c>
      <c r="AN133" s="18" t="s">
        <v>7031</v>
      </c>
      <c r="AO133" s="18" t="s">
        <v>86</v>
      </c>
      <c r="AP133" s="18" t="s">
        <v>90</v>
      </c>
      <c r="AQ133" s="18" t="s">
        <v>8002</v>
      </c>
      <c r="AR133" s="18" t="s">
        <v>177</v>
      </c>
      <c r="AS133" s="18" t="s">
        <v>139</v>
      </c>
      <c r="AT133" s="18" t="s">
        <v>95</v>
      </c>
      <c r="AU133" s="18" t="s">
        <v>95</v>
      </c>
      <c r="AV133" s="18" t="s">
        <v>7037</v>
      </c>
      <c r="AW133" s="18" t="s">
        <v>95</v>
      </c>
      <c r="AX133" s="18" t="s">
        <v>10806</v>
      </c>
      <c r="AY133" s="18" t="s">
        <v>95</v>
      </c>
      <c r="AZ133" s="18" t="s">
        <v>95</v>
      </c>
      <c r="BA133" s="18" t="s">
        <v>95</v>
      </c>
      <c r="BB133" s="18" t="s">
        <v>95</v>
      </c>
      <c r="BC133" s="18" t="s">
        <v>95</v>
      </c>
      <c r="BD133" s="18" t="s">
        <v>10829</v>
      </c>
      <c r="BE133" s="18" t="s">
        <v>10808</v>
      </c>
      <c r="BF133" s="18" t="s">
        <v>10809</v>
      </c>
      <c r="BG133" s="18" t="s">
        <v>7030</v>
      </c>
      <c r="BH133" s="18"/>
      <c r="BI133" s="18"/>
      <c r="BJ133" s="18" t="s">
        <v>740</v>
      </c>
      <c r="BK133" s="18" t="s">
        <v>11887</v>
      </c>
      <c r="BL133" s="18" t="s">
        <v>10811</v>
      </c>
      <c r="BM133" s="18" t="s">
        <v>139</v>
      </c>
      <c r="BN133" s="18" t="s">
        <v>85</v>
      </c>
      <c r="BO133" s="18">
        <v>1</v>
      </c>
      <c r="BP133" s="18" t="s">
        <v>10812</v>
      </c>
      <c r="BQ133" s="18" t="str">
        <f>VLOOKUP(Prepago[[#This Row],[NOM_PLAZA]],[1]!Locales[#Data],3,0)</f>
        <v>TIENDA RECREO</v>
      </c>
      <c r="BR133" s="18" t="str">
        <f>VLOOKUP(Prepago[[#This Row],[CODIGO_USUARIO]],[1]!Personal[#Data],6,0)</f>
        <v>CHAVEZ VASQUEZ YESSENIA KATHERINE</v>
      </c>
      <c r="BS133" s="18">
        <f>DAY(Prepago[[#This Row],[FECHA_ALTA]])</f>
        <v>10</v>
      </c>
    </row>
    <row r="134" spans="1:71" x14ac:dyDescent="0.25">
      <c r="A134" s="18" t="s">
        <v>96</v>
      </c>
      <c r="B134" s="18" t="s">
        <v>11888</v>
      </c>
      <c r="C134" s="18" t="s">
        <v>11889</v>
      </c>
      <c r="D134" s="18" t="s">
        <v>11890</v>
      </c>
      <c r="E134" s="22">
        <v>44914</v>
      </c>
      <c r="F134" s="18" t="s">
        <v>67</v>
      </c>
      <c r="G134" s="18" t="s">
        <v>11891</v>
      </c>
      <c r="H134" s="18" t="s">
        <v>11892</v>
      </c>
      <c r="I134" s="18" t="s">
        <v>70</v>
      </c>
      <c r="J134" s="18" t="s">
        <v>8102</v>
      </c>
      <c r="K134" s="18" t="s">
        <v>8103</v>
      </c>
      <c r="L134" s="18" t="s">
        <v>132</v>
      </c>
      <c r="M134" s="18" t="s">
        <v>7037</v>
      </c>
      <c r="N134" s="18" t="s">
        <v>11893</v>
      </c>
      <c r="O134" s="18" t="s">
        <v>75</v>
      </c>
      <c r="P134" s="18" t="s">
        <v>11894</v>
      </c>
      <c r="Q134" s="18" t="s">
        <v>10817</v>
      </c>
      <c r="R134" s="18" t="s">
        <v>78</v>
      </c>
      <c r="S134" s="18" t="s">
        <v>77</v>
      </c>
      <c r="T134" s="22">
        <v>44915</v>
      </c>
      <c r="U134" s="18"/>
      <c r="V134" s="18" t="s">
        <v>81</v>
      </c>
      <c r="W134" s="18" t="s">
        <v>79</v>
      </c>
      <c r="X134" s="18" t="s">
        <v>10803</v>
      </c>
      <c r="Y134" s="18" t="s">
        <v>303</v>
      </c>
      <c r="Z134" s="18" t="s">
        <v>304</v>
      </c>
      <c r="AA134" s="18" t="s">
        <v>7062</v>
      </c>
      <c r="AB134" s="18" t="s">
        <v>95</v>
      </c>
      <c r="AC134" s="18" t="s">
        <v>7984</v>
      </c>
      <c r="AD134" s="18" t="s">
        <v>10804</v>
      </c>
      <c r="AE134" s="18" t="s">
        <v>174</v>
      </c>
      <c r="AF134" s="18" t="s">
        <v>95</v>
      </c>
      <c r="AG134" s="18" t="s">
        <v>83</v>
      </c>
      <c r="AH134" s="18" t="s">
        <v>83</v>
      </c>
      <c r="AI134" s="18" t="s">
        <v>81</v>
      </c>
      <c r="AJ134" s="18" t="s">
        <v>118</v>
      </c>
      <c r="AK134" s="18" t="s">
        <v>95</v>
      </c>
      <c r="AL134" s="18" t="s">
        <v>10805</v>
      </c>
      <c r="AM134" s="18" t="s">
        <v>85</v>
      </c>
      <c r="AN134" s="18" t="s">
        <v>7031</v>
      </c>
      <c r="AO134" s="18" t="s">
        <v>86</v>
      </c>
      <c r="AP134" s="18" t="s">
        <v>90</v>
      </c>
      <c r="AQ134" s="18" t="s">
        <v>8002</v>
      </c>
      <c r="AR134" s="18" t="s">
        <v>177</v>
      </c>
      <c r="AS134" s="18" t="s">
        <v>139</v>
      </c>
      <c r="AT134" s="18" t="s">
        <v>95</v>
      </c>
      <c r="AU134" s="18" t="s">
        <v>95</v>
      </c>
      <c r="AV134" s="18" t="s">
        <v>7037</v>
      </c>
      <c r="AW134" s="18" t="s">
        <v>95</v>
      </c>
      <c r="AX134" s="18" t="s">
        <v>10806</v>
      </c>
      <c r="AY134" s="18" t="s">
        <v>95</v>
      </c>
      <c r="AZ134" s="18" t="s">
        <v>95</v>
      </c>
      <c r="BA134" s="18" t="s">
        <v>95</v>
      </c>
      <c r="BB134" s="18" t="s">
        <v>95</v>
      </c>
      <c r="BC134" s="18" t="s">
        <v>95</v>
      </c>
      <c r="BD134" s="18" t="s">
        <v>10829</v>
      </c>
      <c r="BE134" s="18" t="s">
        <v>11895</v>
      </c>
      <c r="BF134" s="18" t="s">
        <v>10809</v>
      </c>
      <c r="BG134" s="18" t="s">
        <v>7030</v>
      </c>
      <c r="BH134" s="18"/>
      <c r="BI134" s="18"/>
      <c r="BJ134" s="18" t="s">
        <v>303</v>
      </c>
      <c r="BK134" s="18" t="s">
        <v>11896</v>
      </c>
      <c r="BL134" s="18" t="s">
        <v>10811</v>
      </c>
      <c r="BM134" s="18" t="s">
        <v>139</v>
      </c>
      <c r="BN134" s="18" t="s">
        <v>85</v>
      </c>
      <c r="BO134" s="18">
        <v>0</v>
      </c>
      <c r="BP134" s="18" t="s">
        <v>10812</v>
      </c>
      <c r="BQ134" s="18" t="str">
        <f>VLOOKUP(Prepago[[#This Row],[NOM_PLAZA]],[1]!Locales[#Data],3,0)</f>
        <v>TIENDA RECREO</v>
      </c>
      <c r="BR134" s="18" t="str">
        <f>VLOOKUP(Prepago[[#This Row],[CODIGO_USUARIO]],[1]!Personal[#Data],6,0)</f>
        <v>CORDOVA GAIBOR JONATHAN HERNAN</v>
      </c>
      <c r="BS134" s="18">
        <f>DAY(Prepago[[#This Row],[FECHA_ALTA]])</f>
        <v>19</v>
      </c>
    </row>
    <row r="135" spans="1:71" x14ac:dyDescent="0.25">
      <c r="A135" s="18" t="s">
        <v>96</v>
      </c>
      <c r="B135" s="18" t="s">
        <v>11897</v>
      </c>
      <c r="C135" s="18" t="s">
        <v>11898</v>
      </c>
      <c r="D135" s="18" t="s">
        <v>11899</v>
      </c>
      <c r="E135" s="22">
        <v>44896</v>
      </c>
      <c r="F135" s="18" t="s">
        <v>67</v>
      </c>
      <c r="G135" s="18" t="s">
        <v>11900</v>
      </c>
      <c r="H135" s="18" t="s">
        <v>11901</v>
      </c>
      <c r="I135" s="18" t="s">
        <v>70</v>
      </c>
      <c r="J135" s="18" t="s">
        <v>8102</v>
      </c>
      <c r="K135" s="18" t="s">
        <v>8103</v>
      </c>
      <c r="L135" s="18" t="s">
        <v>73</v>
      </c>
      <c r="M135" s="18" t="s">
        <v>7037</v>
      </c>
      <c r="N135" s="18" t="s">
        <v>11902</v>
      </c>
      <c r="O135" s="18" t="s">
        <v>75</v>
      </c>
      <c r="P135" s="18" t="s">
        <v>11903</v>
      </c>
      <c r="Q135" s="18" t="s">
        <v>4453</v>
      </c>
      <c r="R135" s="18" t="s">
        <v>78</v>
      </c>
      <c r="S135" s="18" t="s">
        <v>77</v>
      </c>
      <c r="T135" s="22">
        <v>44915</v>
      </c>
      <c r="U135" s="18"/>
      <c r="V135" s="18" t="s">
        <v>81</v>
      </c>
      <c r="W135" s="18" t="s">
        <v>79</v>
      </c>
      <c r="X135" s="18" t="s">
        <v>10803</v>
      </c>
      <c r="Y135" s="18" t="s">
        <v>492</v>
      </c>
      <c r="Z135" s="18" t="s">
        <v>493</v>
      </c>
      <c r="AA135" s="18" t="s">
        <v>7062</v>
      </c>
      <c r="AB135" s="18" t="s">
        <v>95</v>
      </c>
      <c r="AC135" s="18" t="s">
        <v>7984</v>
      </c>
      <c r="AD135" s="18" t="s">
        <v>10804</v>
      </c>
      <c r="AE135" s="18" t="s">
        <v>174</v>
      </c>
      <c r="AF135" s="18" t="s">
        <v>95</v>
      </c>
      <c r="AG135" s="18" t="s">
        <v>83</v>
      </c>
      <c r="AH135" s="18" t="s">
        <v>83</v>
      </c>
      <c r="AI135" s="18" t="s">
        <v>81</v>
      </c>
      <c r="AJ135" s="18" t="s">
        <v>118</v>
      </c>
      <c r="AK135" s="18" t="s">
        <v>95</v>
      </c>
      <c r="AL135" s="18" t="s">
        <v>11329</v>
      </c>
      <c r="AM135" s="18" t="s">
        <v>85</v>
      </c>
      <c r="AN135" s="18" t="s">
        <v>7031</v>
      </c>
      <c r="AO135" s="18" t="s">
        <v>86</v>
      </c>
      <c r="AP135" s="18" t="s">
        <v>90</v>
      </c>
      <c r="AQ135" s="18" t="s">
        <v>8002</v>
      </c>
      <c r="AR135" s="18" t="s">
        <v>177</v>
      </c>
      <c r="AS135" s="18" t="s">
        <v>139</v>
      </c>
      <c r="AT135" s="18" t="s">
        <v>95</v>
      </c>
      <c r="AU135" s="18" t="s">
        <v>95</v>
      </c>
      <c r="AV135" s="18" t="s">
        <v>7037</v>
      </c>
      <c r="AW135" s="18" t="s">
        <v>95</v>
      </c>
      <c r="AX135" s="18" t="s">
        <v>10806</v>
      </c>
      <c r="AY135" s="18" t="s">
        <v>95</v>
      </c>
      <c r="AZ135" s="18" t="s">
        <v>95</v>
      </c>
      <c r="BA135" s="18" t="s">
        <v>95</v>
      </c>
      <c r="BB135" s="18" t="s">
        <v>95</v>
      </c>
      <c r="BC135" s="18" t="s">
        <v>95</v>
      </c>
      <c r="BD135" s="18" t="s">
        <v>10807</v>
      </c>
      <c r="BE135" s="18" t="s">
        <v>10808</v>
      </c>
      <c r="BF135" s="18" t="s">
        <v>7037</v>
      </c>
      <c r="BG135" s="18" t="s">
        <v>7030</v>
      </c>
      <c r="BH135" s="18"/>
      <c r="BI135" s="18"/>
      <c r="BJ135" s="18" t="s">
        <v>492</v>
      </c>
      <c r="BK135" s="18" t="s">
        <v>11904</v>
      </c>
      <c r="BL135" s="18" t="s">
        <v>10811</v>
      </c>
      <c r="BM135" s="18" t="s">
        <v>139</v>
      </c>
      <c r="BN135" s="18" t="s">
        <v>85</v>
      </c>
      <c r="BO135" s="18">
        <v>1</v>
      </c>
      <c r="BP135" s="18" t="s">
        <v>10812</v>
      </c>
      <c r="BQ135" s="18" t="str">
        <f>VLOOKUP(Prepago[[#This Row],[NOM_PLAZA]],[1]!Locales[#Data],3,0)</f>
        <v>TIENDA RECREO</v>
      </c>
      <c r="BR135" s="18" t="str">
        <f>VLOOKUP(Prepago[[#This Row],[CODIGO_USUARIO]],[1]!Personal[#Data],6,0)</f>
        <v>CONDO GARCIA NICOLAS MATIAS</v>
      </c>
      <c r="BS135" s="18">
        <f>DAY(Prepago[[#This Row],[FECHA_ALTA]])</f>
        <v>1</v>
      </c>
    </row>
    <row r="136" spans="1:71" x14ac:dyDescent="0.25">
      <c r="A136" s="18" t="s">
        <v>96</v>
      </c>
      <c r="B136" s="18" t="s">
        <v>11905</v>
      </c>
      <c r="C136" s="18" t="s">
        <v>11906</v>
      </c>
      <c r="D136" s="18" t="s">
        <v>11907</v>
      </c>
      <c r="E136" s="22">
        <v>44908</v>
      </c>
      <c r="F136" s="18" t="s">
        <v>67</v>
      </c>
      <c r="G136" s="18" t="s">
        <v>11908</v>
      </c>
      <c r="H136" s="18" t="s">
        <v>11909</v>
      </c>
      <c r="I136" s="18" t="s">
        <v>70</v>
      </c>
      <c r="J136" s="18" t="s">
        <v>8102</v>
      </c>
      <c r="K136" s="18" t="s">
        <v>8103</v>
      </c>
      <c r="L136" s="18" t="s">
        <v>73</v>
      </c>
      <c r="M136" s="18" t="s">
        <v>7037</v>
      </c>
      <c r="N136" s="18" t="s">
        <v>11910</v>
      </c>
      <c r="O136" s="18" t="s">
        <v>75</v>
      </c>
      <c r="P136" s="18" t="s">
        <v>11911</v>
      </c>
      <c r="Q136" s="18" t="s">
        <v>4453</v>
      </c>
      <c r="R136" s="18" t="s">
        <v>78</v>
      </c>
      <c r="S136" s="18" t="s">
        <v>77</v>
      </c>
      <c r="T136" s="22">
        <v>44915</v>
      </c>
      <c r="U136" s="18"/>
      <c r="V136" s="18" t="s">
        <v>81</v>
      </c>
      <c r="W136" s="18" t="s">
        <v>79</v>
      </c>
      <c r="X136" s="18" t="s">
        <v>10803</v>
      </c>
      <c r="Y136" s="18" t="s">
        <v>457</v>
      </c>
      <c r="Z136" s="18" t="s">
        <v>458</v>
      </c>
      <c r="AA136" s="18" t="s">
        <v>457</v>
      </c>
      <c r="AB136" s="18" t="s">
        <v>458</v>
      </c>
      <c r="AC136" s="18" t="s">
        <v>7984</v>
      </c>
      <c r="AD136" s="18" t="s">
        <v>10804</v>
      </c>
      <c r="AE136" s="18" t="s">
        <v>174</v>
      </c>
      <c r="AF136" s="18" t="s">
        <v>95</v>
      </c>
      <c r="AG136" s="18" t="s">
        <v>83</v>
      </c>
      <c r="AH136" s="18" t="s">
        <v>83</v>
      </c>
      <c r="AI136" s="18" t="s">
        <v>81</v>
      </c>
      <c r="AJ136" s="18" t="s">
        <v>118</v>
      </c>
      <c r="AK136" s="18" t="s">
        <v>95</v>
      </c>
      <c r="AL136" s="18" t="s">
        <v>11391</v>
      </c>
      <c r="AM136" s="18" t="s">
        <v>85</v>
      </c>
      <c r="AN136" s="18" t="s">
        <v>7031</v>
      </c>
      <c r="AO136" s="18" t="s">
        <v>86</v>
      </c>
      <c r="AP136" s="18" t="s">
        <v>90</v>
      </c>
      <c r="AQ136" s="18" t="s">
        <v>8002</v>
      </c>
      <c r="AR136" s="18" t="s">
        <v>177</v>
      </c>
      <c r="AS136" s="18" t="s">
        <v>139</v>
      </c>
      <c r="AT136" s="18" t="s">
        <v>95</v>
      </c>
      <c r="AU136" s="18" t="s">
        <v>95</v>
      </c>
      <c r="AV136" s="18" t="s">
        <v>7037</v>
      </c>
      <c r="AW136" s="18" t="s">
        <v>95</v>
      </c>
      <c r="AX136" s="18" t="s">
        <v>10806</v>
      </c>
      <c r="AY136" s="18" t="s">
        <v>95</v>
      </c>
      <c r="AZ136" s="18" t="s">
        <v>95</v>
      </c>
      <c r="BA136" s="18" t="s">
        <v>95</v>
      </c>
      <c r="BB136" s="18" t="s">
        <v>95</v>
      </c>
      <c r="BC136" s="18" t="s">
        <v>95</v>
      </c>
      <c r="BD136" s="18" t="s">
        <v>10807</v>
      </c>
      <c r="BE136" s="18" t="s">
        <v>10808</v>
      </c>
      <c r="BF136" s="18" t="s">
        <v>10809</v>
      </c>
      <c r="BG136" s="18" t="s">
        <v>7030</v>
      </c>
      <c r="BH136" s="18"/>
      <c r="BI136" s="18"/>
      <c r="BJ136" s="18" t="s">
        <v>457</v>
      </c>
      <c r="BK136" s="18" t="s">
        <v>11912</v>
      </c>
      <c r="BL136" s="18" t="s">
        <v>10811</v>
      </c>
      <c r="BM136" s="18" t="s">
        <v>139</v>
      </c>
      <c r="BN136" s="18" t="s">
        <v>85</v>
      </c>
      <c r="BO136" s="18">
        <v>1</v>
      </c>
      <c r="BP136" s="18" t="s">
        <v>10812</v>
      </c>
      <c r="BQ136" s="18" t="str">
        <f>VLOOKUP(Prepago[[#This Row],[NOM_PLAZA]],[1]!Locales[#Data],3,0)</f>
        <v>TIENDA RECREO</v>
      </c>
      <c r="BR136" s="18" t="str">
        <f>VLOOKUP(Prepago[[#This Row],[CODIGO_USUARIO]],[1]!Personal[#Data],6,0)</f>
        <v>LOZADA REYES BERTHA MARIBEL</v>
      </c>
      <c r="BS136" s="18">
        <f>DAY(Prepago[[#This Row],[FECHA_ALTA]])</f>
        <v>13</v>
      </c>
    </row>
    <row r="137" spans="1:71" x14ac:dyDescent="0.25">
      <c r="A137" s="18" t="s">
        <v>96</v>
      </c>
      <c r="B137" s="18" t="s">
        <v>11913</v>
      </c>
      <c r="C137" s="18" t="s">
        <v>11914</v>
      </c>
      <c r="D137" s="18" t="s">
        <v>11915</v>
      </c>
      <c r="E137" s="22">
        <v>44914</v>
      </c>
      <c r="F137" s="18" t="s">
        <v>67</v>
      </c>
      <c r="G137" s="18" t="s">
        <v>11916</v>
      </c>
      <c r="H137" s="18" t="s">
        <v>11917</v>
      </c>
      <c r="I137" s="18" t="s">
        <v>70</v>
      </c>
      <c r="J137" s="18" t="s">
        <v>8102</v>
      </c>
      <c r="K137" s="18" t="s">
        <v>8103</v>
      </c>
      <c r="L137" s="18" t="s">
        <v>73</v>
      </c>
      <c r="M137" s="18" t="s">
        <v>7029</v>
      </c>
      <c r="N137" s="18" t="s">
        <v>11918</v>
      </c>
      <c r="O137" s="18" t="s">
        <v>75</v>
      </c>
      <c r="P137" s="18" t="s">
        <v>11919</v>
      </c>
      <c r="Q137" s="18" t="s">
        <v>10817</v>
      </c>
      <c r="R137" s="18" t="s">
        <v>78</v>
      </c>
      <c r="S137" s="18" t="s">
        <v>77</v>
      </c>
      <c r="T137" s="22">
        <v>44915</v>
      </c>
      <c r="U137" s="18"/>
      <c r="V137" s="18" t="s">
        <v>81</v>
      </c>
      <c r="W137" s="18" t="s">
        <v>79</v>
      </c>
      <c r="X137" s="18" t="s">
        <v>10803</v>
      </c>
      <c r="Y137" s="18" t="s">
        <v>2159</v>
      </c>
      <c r="Z137" s="18" t="s">
        <v>2160</v>
      </c>
      <c r="AA137" s="18" t="s">
        <v>2159</v>
      </c>
      <c r="AB137" s="18" t="s">
        <v>2160</v>
      </c>
      <c r="AC137" s="18" t="s">
        <v>7984</v>
      </c>
      <c r="AD137" s="18" t="s">
        <v>10804</v>
      </c>
      <c r="AE137" s="18" t="s">
        <v>174</v>
      </c>
      <c r="AF137" s="18" t="s">
        <v>95</v>
      </c>
      <c r="AG137" s="18" t="s">
        <v>83</v>
      </c>
      <c r="AH137" s="18" t="s">
        <v>83</v>
      </c>
      <c r="AI137" s="18" t="s">
        <v>81</v>
      </c>
      <c r="AJ137" s="18" t="s">
        <v>118</v>
      </c>
      <c r="AK137" s="18" t="s">
        <v>95</v>
      </c>
      <c r="AL137" s="18" t="s">
        <v>11080</v>
      </c>
      <c r="AM137" s="18" t="s">
        <v>85</v>
      </c>
      <c r="AN137" s="18" t="s">
        <v>7031</v>
      </c>
      <c r="AO137" s="18" t="s">
        <v>86</v>
      </c>
      <c r="AP137" s="18" t="s">
        <v>90</v>
      </c>
      <c r="AQ137" s="18" t="s">
        <v>8002</v>
      </c>
      <c r="AR137" s="18" t="s">
        <v>177</v>
      </c>
      <c r="AS137" s="18" t="s">
        <v>139</v>
      </c>
      <c r="AT137" s="18" t="s">
        <v>95</v>
      </c>
      <c r="AU137" s="18" t="s">
        <v>95</v>
      </c>
      <c r="AV137" s="18" t="s">
        <v>7029</v>
      </c>
      <c r="AW137" s="18" t="s">
        <v>95</v>
      </c>
      <c r="AX137" s="18" t="s">
        <v>10806</v>
      </c>
      <c r="AY137" s="18" t="s">
        <v>95</v>
      </c>
      <c r="AZ137" s="18" t="s">
        <v>95</v>
      </c>
      <c r="BA137" s="18" t="s">
        <v>95</v>
      </c>
      <c r="BB137" s="18" t="s">
        <v>95</v>
      </c>
      <c r="BC137" s="18" t="s">
        <v>95</v>
      </c>
      <c r="BD137" s="18" t="s">
        <v>10829</v>
      </c>
      <c r="BE137" s="18" t="s">
        <v>11920</v>
      </c>
      <c r="BF137" s="18" t="s">
        <v>10809</v>
      </c>
      <c r="BG137" s="18" t="s">
        <v>7030</v>
      </c>
      <c r="BH137" s="18"/>
      <c r="BI137" s="18"/>
      <c r="BJ137" s="18" t="s">
        <v>2159</v>
      </c>
      <c r="BK137" s="18" t="s">
        <v>11921</v>
      </c>
      <c r="BL137" s="18" t="s">
        <v>10811</v>
      </c>
      <c r="BM137" s="18" t="s">
        <v>92</v>
      </c>
      <c r="BN137" s="18" t="s">
        <v>85</v>
      </c>
      <c r="BO137" s="18">
        <v>0</v>
      </c>
      <c r="BP137" s="18" t="s">
        <v>10812</v>
      </c>
      <c r="BQ137" s="18" t="str">
        <f>VLOOKUP(Prepago[[#This Row],[NOM_PLAZA]],[1]!Locales[#Data],3,0)</f>
        <v>TIENDA RECREO</v>
      </c>
      <c r="BR137" s="18" t="str">
        <f>VLOOKUP(Prepago[[#This Row],[CODIGO_USUARIO]],[1]!Personal[#Data],6,0)</f>
        <v>GUEVARA MAZA CRISTIAN FABIAN</v>
      </c>
      <c r="BS137" s="18">
        <f>DAY(Prepago[[#This Row],[FECHA_ALTA]])</f>
        <v>19</v>
      </c>
    </row>
    <row r="138" spans="1:71" x14ac:dyDescent="0.25">
      <c r="A138" s="18" t="s">
        <v>96</v>
      </c>
      <c r="B138" s="18" t="s">
        <v>11922</v>
      </c>
      <c r="C138" s="18" t="s">
        <v>11923</v>
      </c>
      <c r="D138" s="18" t="s">
        <v>11638</v>
      </c>
      <c r="E138" s="22">
        <v>44905</v>
      </c>
      <c r="F138" s="18" t="s">
        <v>67</v>
      </c>
      <c r="G138" s="18" t="s">
        <v>11639</v>
      </c>
      <c r="H138" s="18" t="s">
        <v>11640</v>
      </c>
      <c r="I138" s="18" t="s">
        <v>70</v>
      </c>
      <c r="J138" s="18" t="s">
        <v>8102</v>
      </c>
      <c r="K138" s="18" t="s">
        <v>8103</v>
      </c>
      <c r="L138" s="18" t="s">
        <v>132</v>
      </c>
      <c r="M138" s="18" t="s">
        <v>7037</v>
      </c>
      <c r="N138" s="18" t="s">
        <v>11924</v>
      </c>
      <c r="O138" s="18" t="s">
        <v>75</v>
      </c>
      <c r="P138" s="18" t="s">
        <v>11925</v>
      </c>
      <c r="Q138" s="18" t="s">
        <v>4453</v>
      </c>
      <c r="R138" s="18" t="s">
        <v>78</v>
      </c>
      <c r="S138" s="18" t="s">
        <v>77</v>
      </c>
      <c r="T138" s="22">
        <v>44915</v>
      </c>
      <c r="U138" s="18"/>
      <c r="V138" s="18" t="s">
        <v>81</v>
      </c>
      <c r="W138" s="18" t="s">
        <v>79</v>
      </c>
      <c r="X138" s="18" t="s">
        <v>10803</v>
      </c>
      <c r="Y138" s="18" t="s">
        <v>760</v>
      </c>
      <c r="Z138" s="18" t="s">
        <v>761</v>
      </c>
      <c r="AA138" s="18" t="s">
        <v>7062</v>
      </c>
      <c r="AB138" s="18" t="s">
        <v>95</v>
      </c>
      <c r="AC138" s="18" t="s">
        <v>7984</v>
      </c>
      <c r="AD138" s="18" t="s">
        <v>10804</v>
      </c>
      <c r="AE138" s="18" t="s">
        <v>174</v>
      </c>
      <c r="AF138" s="18" t="s">
        <v>95</v>
      </c>
      <c r="AG138" s="18" t="s">
        <v>83</v>
      </c>
      <c r="AH138" s="18" t="s">
        <v>83</v>
      </c>
      <c r="AI138" s="18" t="s">
        <v>81</v>
      </c>
      <c r="AJ138" s="18" t="s">
        <v>118</v>
      </c>
      <c r="AK138" s="18" t="s">
        <v>95</v>
      </c>
      <c r="AL138" s="18" t="s">
        <v>10818</v>
      </c>
      <c r="AM138" s="18" t="s">
        <v>85</v>
      </c>
      <c r="AN138" s="18" t="s">
        <v>7031</v>
      </c>
      <c r="AO138" s="18" t="s">
        <v>86</v>
      </c>
      <c r="AP138" s="18" t="s">
        <v>90</v>
      </c>
      <c r="AQ138" s="18" t="s">
        <v>8002</v>
      </c>
      <c r="AR138" s="18" t="s">
        <v>177</v>
      </c>
      <c r="AS138" s="18" t="s">
        <v>139</v>
      </c>
      <c r="AT138" s="18" t="s">
        <v>95</v>
      </c>
      <c r="AU138" s="18" t="s">
        <v>95</v>
      </c>
      <c r="AV138" s="18" t="s">
        <v>7037</v>
      </c>
      <c r="AW138" s="18" t="s">
        <v>95</v>
      </c>
      <c r="AX138" s="18" t="s">
        <v>10806</v>
      </c>
      <c r="AY138" s="18" t="s">
        <v>95</v>
      </c>
      <c r="AZ138" s="18" t="s">
        <v>95</v>
      </c>
      <c r="BA138" s="18" t="s">
        <v>95</v>
      </c>
      <c r="BB138" s="18" t="s">
        <v>95</v>
      </c>
      <c r="BC138" s="18" t="s">
        <v>95</v>
      </c>
      <c r="BD138" s="18" t="s">
        <v>10829</v>
      </c>
      <c r="BE138" s="18" t="s">
        <v>11643</v>
      </c>
      <c r="BF138" s="18" t="s">
        <v>10809</v>
      </c>
      <c r="BG138" s="18" t="s">
        <v>7030</v>
      </c>
      <c r="BH138" s="18"/>
      <c r="BI138" s="18"/>
      <c r="BJ138" s="18" t="s">
        <v>760</v>
      </c>
      <c r="BK138" s="18" t="s">
        <v>11644</v>
      </c>
      <c r="BL138" s="18" t="s">
        <v>10811</v>
      </c>
      <c r="BM138" s="18" t="s">
        <v>139</v>
      </c>
      <c r="BN138" s="18" t="s">
        <v>85</v>
      </c>
      <c r="BO138" s="18">
        <v>0</v>
      </c>
      <c r="BP138" s="18" t="s">
        <v>10812</v>
      </c>
      <c r="BQ138" s="18" t="str">
        <f>VLOOKUP(Prepago[[#This Row],[NOM_PLAZA]],[1]!Locales[#Data],3,0)</f>
        <v>TIENDA RECREO</v>
      </c>
      <c r="BR138" s="18" t="str">
        <f>VLOOKUP(Prepago[[#This Row],[CODIGO_USUARIO]],[1]!Personal[#Data],6,0)</f>
        <v>VALBUENA SANCHEZ ALBERT ANTHONY</v>
      </c>
      <c r="BS138" s="18">
        <f>DAY(Prepago[[#This Row],[FECHA_ALTA]])</f>
        <v>10</v>
      </c>
    </row>
    <row r="139" spans="1:71" x14ac:dyDescent="0.25">
      <c r="A139" s="18" t="s">
        <v>96</v>
      </c>
      <c r="B139" s="18" t="s">
        <v>11926</v>
      </c>
      <c r="C139" s="18" t="s">
        <v>11927</v>
      </c>
      <c r="D139" s="18" t="s">
        <v>11928</v>
      </c>
      <c r="E139" s="22">
        <v>44900</v>
      </c>
      <c r="F139" s="18" t="s">
        <v>67</v>
      </c>
      <c r="G139" s="18" t="s">
        <v>11929</v>
      </c>
      <c r="H139" s="18" t="s">
        <v>11930</v>
      </c>
      <c r="I139" s="18" t="s">
        <v>70</v>
      </c>
      <c r="J139" s="18" t="s">
        <v>8102</v>
      </c>
      <c r="K139" s="18" t="s">
        <v>8103</v>
      </c>
      <c r="L139" s="18" t="s">
        <v>73</v>
      </c>
      <c r="M139" s="18" t="s">
        <v>7037</v>
      </c>
      <c r="N139" s="18" t="s">
        <v>11931</v>
      </c>
      <c r="O139" s="18" t="s">
        <v>75</v>
      </c>
      <c r="P139" s="18" t="s">
        <v>11932</v>
      </c>
      <c r="Q139" s="18" t="s">
        <v>4453</v>
      </c>
      <c r="R139" s="18" t="s">
        <v>78</v>
      </c>
      <c r="S139" s="18" t="s">
        <v>77</v>
      </c>
      <c r="T139" s="22">
        <v>44915</v>
      </c>
      <c r="U139" s="18"/>
      <c r="V139" s="18" t="s">
        <v>81</v>
      </c>
      <c r="W139" s="18" t="s">
        <v>79</v>
      </c>
      <c r="X139" s="18" t="s">
        <v>10803</v>
      </c>
      <c r="Y139" s="18" t="s">
        <v>369</v>
      </c>
      <c r="Z139" s="18" t="s">
        <v>370</v>
      </c>
      <c r="AA139" s="18" t="s">
        <v>7062</v>
      </c>
      <c r="AB139" s="18" t="s">
        <v>95</v>
      </c>
      <c r="AC139" s="18" t="s">
        <v>7984</v>
      </c>
      <c r="AD139" s="18" t="s">
        <v>10804</v>
      </c>
      <c r="AE139" s="18" t="s">
        <v>174</v>
      </c>
      <c r="AF139" s="18" t="s">
        <v>95</v>
      </c>
      <c r="AG139" s="18" t="s">
        <v>83</v>
      </c>
      <c r="AH139" s="18" t="s">
        <v>83</v>
      </c>
      <c r="AI139" s="18" t="s">
        <v>81</v>
      </c>
      <c r="AJ139" s="18" t="s">
        <v>118</v>
      </c>
      <c r="AK139" s="18" t="s">
        <v>95</v>
      </c>
      <c r="AL139" s="18" t="s">
        <v>11062</v>
      </c>
      <c r="AM139" s="18" t="s">
        <v>85</v>
      </c>
      <c r="AN139" s="18" t="s">
        <v>7031</v>
      </c>
      <c r="AO139" s="18" t="s">
        <v>86</v>
      </c>
      <c r="AP139" s="18" t="s">
        <v>90</v>
      </c>
      <c r="AQ139" s="18" t="s">
        <v>8002</v>
      </c>
      <c r="AR139" s="18" t="s">
        <v>177</v>
      </c>
      <c r="AS139" s="18" t="s">
        <v>139</v>
      </c>
      <c r="AT139" s="18" t="s">
        <v>95</v>
      </c>
      <c r="AU139" s="18" t="s">
        <v>95</v>
      </c>
      <c r="AV139" s="18" t="s">
        <v>7037</v>
      </c>
      <c r="AW139" s="18" t="s">
        <v>95</v>
      </c>
      <c r="AX139" s="18" t="s">
        <v>10806</v>
      </c>
      <c r="AY139" s="18" t="s">
        <v>95</v>
      </c>
      <c r="AZ139" s="18" t="s">
        <v>95</v>
      </c>
      <c r="BA139" s="18" t="s">
        <v>95</v>
      </c>
      <c r="BB139" s="18" t="s">
        <v>95</v>
      </c>
      <c r="BC139" s="18" t="s">
        <v>95</v>
      </c>
      <c r="BD139" s="18" t="s">
        <v>10807</v>
      </c>
      <c r="BE139" s="18" t="s">
        <v>11933</v>
      </c>
      <c r="BF139" s="18" t="s">
        <v>10809</v>
      </c>
      <c r="BG139" s="18" t="s">
        <v>7030</v>
      </c>
      <c r="BH139" s="18"/>
      <c r="BI139" s="18"/>
      <c r="BJ139" s="18" t="s">
        <v>369</v>
      </c>
      <c r="BK139" s="18" t="s">
        <v>11934</v>
      </c>
      <c r="BL139" s="18" t="s">
        <v>10811</v>
      </c>
      <c r="BM139" s="18" t="s">
        <v>139</v>
      </c>
      <c r="BN139" s="18" t="s">
        <v>85</v>
      </c>
      <c r="BO139" s="18">
        <v>1</v>
      </c>
      <c r="BP139" s="18" t="s">
        <v>10812</v>
      </c>
      <c r="BQ139" s="18" t="str">
        <f>VLOOKUP(Prepago[[#This Row],[NOM_PLAZA]],[1]!Locales[#Data],3,0)</f>
        <v>TIENDA RECREO</v>
      </c>
      <c r="BR139" s="18" t="str">
        <f>VLOOKUP(Prepago[[#This Row],[CODIGO_USUARIO]],[1]!Personal[#Data],6,0)</f>
        <v>GUAIGUA REINOSO GENESIS CAROLINA</v>
      </c>
      <c r="BS139" s="18">
        <f>DAY(Prepago[[#This Row],[FECHA_ALTA]])</f>
        <v>5</v>
      </c>
    </row>
    <row r="140" spans="1:71" x14ac:dyDescent="0.25">
      <c r="A140" s="18" t="s">
        <v>96</v>
      </c>
      <c r="B140" s="18" t="s">
        <v>11935</v>
      </c>
      <c r="C140" s="18" t="s">
        <v>11936</v>
      </c>
      <c r="D140" s="18" t="s">
        <v>11937</v>
      </c>
      <c r="E140" s="22">
        <v>44914</v>
      </c>
      <c r="F140" s="18" t="s">
        <v>67</v>
      </c>
      <c r="G140" s="18" t="s">
        <v>11938</v>
      </c>
      <c r="H140" s="18" t="s">
        <v>11939</v>
      </c>
      <c r="I140" s="18" t="s">
        <v>70</v>
      </c>
      <c r="J140" s="18" t="s">
        <v>8102</v>
      </c>
      <c r="K140" s="18" t="s">
        <v>8103</v>
      </c>
      <c r="L140" s="18" t="s">
        <v>132</v>
      </c>
      <c r="M140" s="18" t="s">
        <v>7037</v>
      </c>
      <c r="N140" s="18" t="s">
        <v>11940</v>
      </c>
      <c r="O140" s="18" t="s">
        <v>75</v>
      </c>
      <c r="P140" s="18" t="s">
        <v>11941</v>
      </c>
      <c r="Q140" s="18" t="s">
        <v>10817</v>
      </c>
      <c r="R140" s="18" t="s">
        <v>78</v>
      </c>
      <c r="S140" s="18" t="s">
        <v>77</v>
      </c>
      <c r="T140" s="22">
        <v>44915</v>
      </c>
      <c r="U140" s="18"/>
      <c r="V140" s="18" t="s">
        <v>81</v>
      </c>
      <c r="W140" s="18" t="s">
        <v>79</v>
      </c>
      <c r="X140" s="18" t="s">
        <v>10803</v>
      </c>
      <c r="Y140" s="18" t="s">
        <v>396</v>
      </c>
      <c r="Z140" s="18" t="s">
        <v>397</v>
      </c>
      <c r="AA140" s="18" t="s">
        <v>396</v>
      </c>
      <c r="AB140" s="18" t="s">
        <v>397</v>
      </c>
      <c r="AC140" s="18" t="s">
        <v>7984</v>
      </c>
      <c r="AD140" s="18" t="s">
        <v>10804</v>
      </c>
      <c r="AE140" s="18" t="s">
        <v>174</v>
      </c>
      <c r="AF140" s="18" t="s">
        <v>95</v>
      </c>
      <c r="AG140" s="18" t="s">
        <v>83</v>
      </c>
      <c r="AH140" s="18" t="s">
        <v>83</v>
      </c>
      <c r="AI140" s="18" t="s">
        <v>81</v>
      </c>
      <c r="AJ140" s="18" t="s">
        <v>118</v>
      </c>
      <c r="AK140" s="18" t="s">
        <v>95</v>
      </c>
      <c r="AL140" s="18" t="s">
        <v>10910</v>
      </c>
      <c r="AM140" s="18" t="s">
        <v>85</v>
      </c>
      <c r="AN140" s="18" t="s">
        <v>7031</v>
      </c>
      <c r="AO140" s="18" t="s">
        <v>86</v>
      </c>
      <c r="AP140" s="18" t="s">
        <v>90</v>
      </c>
      <c r="AQ140" s="18" t="s">
        <v>8002</v>
      </c>
      <c r="AR140" s="18" t="s">
        <v>177</v>
      </c>
      <c r="AS140" s="18" t="s">
        <v>139</v>
      </c>
      <c r="AT140" s="18" t="s">
        <v>95</v>
      </c>
      <c r="AU140" s="18" t="s">
        <v>95</v>
      </c>
      <c r="AV140" s="18" t="s">
        <v>7037</v>
      </c>
      <c r="AW140" s="18" t="s">
        <v>95</v>
      </c>
      <c r="AX140" s="18" t="s">
        <v>10806</v>
      </c>
      <c r="AY140" s="18" t="s">
        <v>95</v>
      </c>
      <c r="AZ140" s="18" t="s">
        <v>95</v>
      </c>
      <c r="BA140" s="18" t="s">
        <v>95</v>
      </c>
      <c r="BB140" s="18" t="s">
        <v>95</v>
      </c>
      <c r="BC140" s="18" t="s">
        <v>95</v>
      </c>
      <c r="BD140" s="18" t="s">
        <v>10829</v>
      </c>
      <c r="BE140" s="18" t="s">
        <v>11942</v>
      </c>
      <c r="BF140" s="18" t="s">
        <v>10809</v>
      </c>
      <c r="BG140" s="18" t="s">
        <v>7030</v>
      </c>
      <c r="BH140" s="18"/>
      <c r="BI140" s="18"/>
      <c r="BJ140" s="18" t="s">
        <v>396</v>
      </c>
      <c r="BK140" s="18" t="s">
        <v>11943</v>
      </c>
      <c r="BL140" s="18" t="s">
        <v>10811</v>
      </c>
      <c r="BM140" s="18" t="s">
        <v>139</v>
      </c>
      <c r="BN140" s="18" t="s">
        <v>85</v>
      </c>
      <c r="BO140" s="18">
        <v>0</v>
      </c>
      <c r="BP140" s="18" t="s">
        <v>10812</v>
      </c>
      <c r="BQ140" s="18" t="str">
        <f>VLOOKUP(Prepago[[#This Row],[NOM_PLAZA]],[1]!Locales[#Data],3,0)</f>
        <v>TIENDA RECREO</v>
      </c>
      <c r="BR140" s="18" t="str">
        <f>VLOOKUP(Prepago[[#This Row],[CODIGO_USUARIO]],[1]!Personal[#Data],6,0)</f>
        <v>VINUEZA VELASCO ANGY DAYANA</v>
      </c>
      <c r="BS140" s="18">
        <f>DAY(Prepago[[#This Row],[FECHA_ALTA]])</f>
        <v>19</v>
      </c>
    </row>
    <row r="141" spans="1:71" x14ac:dyDescent="0.25">
      <c r="A141" s="18" t="s">
        <v>96</v>
      </c>
      <c r="B141" s="18" t="s">
        <v>11944</v>
      </c>
      <c r="C141" s="18" t="s">
        <v>11945</v>
      </c>
      <c r="D141" s="18" t="s">
        <v>11946</v>
      </c>
      <c r="E141" s="22">
        <v>44913</v>
      </c>
      <c r="F141" s="18" t="s">
        <v>67</v>
      </c>
      <c r="G141" s="18" t="s">
        <v>11947</v>
      </c>
      <c r="H141" s="18" t="s">
        <v>11948</v>
      </c>
      <c r="I141" s="18" t="s">
        <v>70</v>
      </c>
      <c r="J141" s="18" t="s">
        <v>8102</v>
      </c>
      <c r="K141" s="18" t="s">
        <v>8103</v>
      </c>
      <c r="L141" s="18" t="s">
        <v>132</v>
      </c>
      <c r="M141" s="18" t="s">
        <v>7037</v>
      </c>
      <c r="N141" s="18" t="s">
        <v>11949</v>
      </c>
      <c r="O141" s="18" t="s">
        <v>75</v>
      </c>
      <c r="P141" s="18" t="s">
        <v>11950</v>
      </c>
      <c r="Q141" s="18" t="s">
        <v>1532</v>
      </c>
      <c r="R141" s="18" t="s">
        <v>78</v>
      </c>
      <c r="S141" s="18" t="s">
        <v>77</v>
      </c>
      <c r="T141" s="22">
        <v>44915</v>
      </c>
      <c r="U141" s="18"/>
      <c r="V141" s="18" t="s">
        <v>81</v>
      </c>
      <c r="W141" s="18" t="s">
        <v>79</v>
      </c>
      <c r="X141" s="18" t="s">
        <v>10803</v>
      </c>
      <c r="Y141" s="18" t="s">
        <v>251</v>
      </c>
      <c r="Z141" s="18" t="s">
        <v>252</v>
      </c>
      <c r="AA141" s="18" t="s">
        <v>7062</v>
      </c>
      <c r="AB141" s="18" t="s">
        <v>95</v>
      </c>
      <c r="AC141" s="18" t="s">
        <v>7984</v>
      </c>
      <c r="AD141" s="18" t="s">
        <v>10804</v>
      </c>
      <c r="AE141" s="18" t="s">
        <v>174</v>
      </c>
      <c r="AF141" s="18" t="s">
        <v>95</v>
      </c>
      <c r="AG141" s="18" t="s">
        <v>83</v>
      </c>
      <c r="AH141" s="18" t="s">
        <v>83</v>
      </c>
      <c r="AI141" s="18" t="s">
        <v>81</v>
      </c>
      <c r="AJ141" s="18" t="s">
        <v>118</v>
      </c>
      <c r="AK141" s="18" t="s">
        <v>95</v>
      </c>
      <c r="AL141" s="18" t="s">
        <v>10864</v>
      </c>
      <c r="AM141" s="18" t="s">
        <v>85</v>
      </c>
      <c r="AN141" s="18" t="s">
        <v>7031</v>
      </c>
      <c r="AO141" s="18" t="s">
        <v>86</v>
      </c>
      <c r="AP141" s="18" t="s">
        <v>90</v>
      </c>
      <c r="AQ141" s="18" t="s">
        <v>8002</v>
      </c>
      <c r="AR141" s="18" t="s">
        <v>177</v>
      </c>
      <c r="AS141" s="18" t="s">
        <v>139</v>
      </c>
      <c r="AT141" s="18" t="s">
        <v>95</v>
      </c>
      <c r="AU141" s="18" t="s">
        <v>95</v>
      </c>
      <c r="AV141" s="18" t="s">
        <v>7037</v>
      </c>
      <c r="AW141" s="18" t="s">
        <v>95</v>
      </c>
      <c r="AX141" s="18" t="s">
        <v>10806</v>
      </c>
      <c r="AY141" s="18" t="s">
        <v>95</v>
      </c>
      <c r="AZ141" s="18" t="s">
        <v>95</v>
      </c>
      <c r="BA141" s="18" t="s">
        <v>95</v>
      </c>
      <c r="BB141" s="18" t="s">
        <v>95</v>
      </c>
      <c r="BC141" s="18" t="s">
        <v>95</v>
      </c>
      <c r="BD141" s="18" t="s">
        <v>10807</v>
      </c>
      <c r="BE141" s="18" t="s">
        <v>10808</v>
      </c>
      <c r="BF141" s="18" t="s">
        <v>10809</v>
      </c>
      <c r="BG141" s="18" t="s">
        <v>7030</v>
      </c>
      <c r="BH141" s="18"/>
      <c r="BI141" s="18"/>
      <c r="BJ141" s="18" t="s">
        <v>251</v>
      </c>
      <c r="BK141" s="18" t="s">
        <v>11951</v>
      </c>
      <c r="BL141" s="18" t="s">
        <v>10811</v>
      </c>
      <c r="BM141" s="18" t="s">
        <v>139</v>
      </c>
      <c r="BN141" s="18" t="s">
        <v>85</v>
      </c>
      <c r="BO141" s="18">
        <v>0</v>
      </c>
      <c r="BP141" s="18" t="s">
        <v>10812</v>
      </c>
      <c r="BQ141" s="18" t="str">
        <f>VLOOKUP(Prepago[[#This Row],[NOM_PLAZA]],[1]!Locales[#Data],3,0)</f>
        <v>TIENDA RECREO</v>
      </c>
      <c r="BR141" s="18" t="str">
        <f>VLOOKUP(Prepago[[#This Row],[CODIGO_USUARIO]],[1]!Personal[#Data],6,0)</f>
        <v>CRUZ MONTUFAR KATHERINE ALEJANDRA</v>
      </c>
      <c r="BS141" s="18">
        <f>DAY(Prepago[[#This Row],[FECHA_ALTA]])</f>
        <v>18</v>
      </c>
    </row>
    <row r="142" spans="1:71" x14ac:dyDescent="0.25">
      <c r="A142" s="18" t="s">
        <v>96</v>
      </c>
      <c r="B142" s="18" t="s">
        <v>11952</v>
      </c>
      <c r="C142" s="18" t="s">
        <v>11953</v>
      </c>
      <c r="D142" s="18" t="s">
        <v>11954</v>
      </c>
      <c r="E142" s="22">
        <v>44900</v>
      </c>
      <c r="F142" s="18" t="s">
        <v>67</v>
      </c>
      <c r="G142" s="18" t="s">
        <v>11955</v>
      </c>
      <c r="H142" s="18" t="s">
        <v>11956</v>
      </c>
      <c r="I142" s="18" t="s">
        <v>70</v>
      </c>
      <c r="J142" s="18" t="s">
        <v>8102</v>
      </c>
      <c r="K142" s="18" t="s">
        <v>8103</v>
      </c>
      <c r="L142" s="18" t="s">
        <v>95</v>
      </c>
      <c r="M142" s="18" t="s">
        <v>7037</v>
      </c>
      <c r="N142" s="18" t="s">
        <v>11957</v>
      </c>
      <c r="O142" s="18" t="s">
        <v>75</v>
      </c>
      <c r="P142" s="18" t="s">
        <v>11958</v>
      </c>
      <c r="Q142" s="18" t="s">
        <v>4453</v>
      </c>
      <c r="R142" s="18" t="s">
        <v>78</v>
      </c>
      <c r="S142" s="18" t="s">
        <v>77</v>
      </c>
      <c r="T142" s="22">
        <v>44915</v>
      </c>
      <c r="U142" s="18"/>
      <c r="V142" s="18" t="s">
        <v>81</v>
      </c>
      <c r="W142" s="18" t="s">
        <v>79</v>
      </c>
      <c r="X142" s="18" t="s">
        <v>10803</v>
      </c>
      <c r="Y142" s="18" t="s">
        <v>630</v>
      </c>
      <c r="Z142" s="18" t="s">
        <v>631</v>
      </c>
      <c r="AA142" s="18" t="s">
        <v>7062</v>
      </c>
      <c r="AB142" s="18" t="s">
        <v>95</v>
      </c>
      <c r="AC142" s="18" t="s">
        <v>7984</v>
      </c>
      <c r="AD142" s="18" t="s">
        <v>10804</v>
      </c>
      <c r="AE142" s="18" t="s">
        <v>174</v>
      </c>
      <c r="AF142" s="18" t="s">
        <v>95</v>
      </c>
      <c r="AG142" s="18" t="s">
        <v>83</v>
      </c>
      <c r="AH142" s="18" t="s">
        <v>83</v>
      </c>
      <c r="AI142" s="18" t="s">
        <v>81</v>
      </c>
      <c r="AJ142" s="18" t="s">
        <v>118</v>
      </c>
      <c r="AK142" s="18" t="s">
        <v>95</v>
      </c>
      <c r="AL142" s="18" t="s">
        <v>10873</v>
      </c>
      <c r="AM142" s="18" t="s">
        <v>85</v>
      </c>
      <c r="AN142" s="18" t="s">
        <v>7031</v>
      </c>
      <c r="AO142" s="18" t="s">
        <v>86</v>
      </c>
      <c r="AP142" s="18" t="s">
        <v>90</v>
      </c>
      <c r="AQ142" s="18" t="s">
        <v>8002</v>
      </c>
      <c r="AR142" s="18" t="s">
        <v>177</v>
      </c>
      <c r="AS142" s="18" t="s">
        <v>139</v>
      </c>
      <c r="AT142" s="18" t="s">
        <v>95</v>
      </c>
      <c r="AU142" s="18" t="s">
        <v>95</v>
      </c>
      <c r="AV142" s="18" t="s">
        <v>7037</v>
      </c>
      <c r="AW142" s="18" t="s">
        <v>95</v>
      </c>
      <c r="AX142" s="18" t="s">
        <v>10806</v>
      </c>
      <c r="AY142" s="18" t="s">
        <v>95</v>
      </c>
      <c r="AZ142" s="18" t="s">
        <v>95</v>
      </c>
      <c r="BA142" s="18" t="s">
        <v>95</v>
      </c>
      <c r="BB142" s="18" t="s">
        <v>95</v>
      </c>
      <c r="BC142" s="18" t="s">
        <v>95</v>
      </c>
      <c r="BD142" s="18" t="s">
        <v>10807</v>
      </c>
      <c r="BE142" s="18" t="s">
        <v>95</v>
      </c>
      <c r="BF142" s="18" t="s">
        <v>10809</v>
      </c>
      <c r="BG142" s="18" t="s">
        <v>7030</v>
      </c>
      <c r="BH142" s="18"/>
      <c r="BI142" s="18"/>
      <c r="BJ142" s="18" t="s">
        <v>630</v>
      </c>
      <c r="BK142" s="18" t="s">
        <v>11959</v>
      </c>
      <c r="BL142" s="18" t="s">
        <v>10811</v>
      </c>
      <c r="BM142" s="18" t="s">
        <v>139</v>
      </c>
      <c r="BN142" s="18" t="s">
        <v>85</v>
      </c>
      <c r="BO142" s="18">
        <v>0</v>
      </c>
      <c r="BP142" s="18" t="s">
        <v>10812</v>
      </c>
      <c r="BQ142" s="18" t="str">
        <f>VLOOKUP(Prepago[[#This Row],[NOM_PLAZA]],[1]!Locales[#Data],3,0)</f>
        <v>TIENDA RECREO</v>
      </c>
      <c r="BR142" s="18" t="str">
        <f>VLOOKUP(Prepago[[#This Row],[CODIGO_USUARIO]],[1]!Personal[#Data],6,0)</f>
        <v>LOAYZA AGUILAR JONATHAN FABIAN</v>
      </c>
      <c r="BS142" s="18">
        <f>DAY(Prepago[[#This Row],[FECHA_ALTA]])</f>
        <v>5</v>
      </c>
    </row>
    <row r="143" spans="1:71" x14ac:dyDescent="0.25">
      <c r="A143" s="18" t="s">
        <v>96</v>
      </c>
      <c r="B143" s="18" t="s">
        <v>11960</v>
      </c>
      <c r="C143" s="18" t="s">
        <v>11961</v>
      </c>
      <c r="D143" s="18" t="s">
        <v>11962</v>
      </c>
      <c r="E143" s="22">
        <v>44901</v>
      </c>
      <c r="F143" s="18" t="s">
        <v>67</v>
      </c>
      <c r="G143" s="18" t="s">
        <v>11963</v>
      </c>
      <c r="H143" s="18" t="s">
        <v>11964</v>
      </c>
      <c r="I143" s="18" t="s">
        <v>70</v>
      </c>
      <c r="J143" s="18" t="s">
        <v>8102</v>
      </c>
      <c r="K143" s="18" t="s">
        <v>8103</v>
      </c>
      <c r="L143" s="18" t="s">
        <v>11965</v>
      </c>
      <c r="M143" s="18" t="s">
        <v>7037</v>
      </c>
      <c r="N143" s="18" t="s">
        <v>11966</v>
      </c>
      <c r="O143" s="18" t="s">
        <v>75</v>
      </c>
      <c r="P143" s="18" t="s">
        <v>11967</v>
      </c>
      <c r="Q143" s="18" t="s">
        <v>4453</v>
      </c>
      <c r="R143" s="18" t="s">
        <v>78</v>
      </c>
      <c r="S143" s="18" t="s">
        <v>77</v>
      </c>
      <c r="T143" s="22">
        <v>44915</v>
      </c>
      <c r="U143" s="18"/>
      <c r="V143" s="18" t="s">
        <v>81</v>
      </c>
      <c r="W143" s="18" t="s">
        <v>79</v>
      </c>
      <c r="X143" s="18" t="s">
        <v>10803</v>
      </c>
      <c r="Y143" s="18" t="s">
        <v>303</v>
      </c>
      <c r="Z143" s="18" t="s">
        <v>304</v>
      </c>
      <c r="AA143" s="18" t="s">
        <v>7062</v>
      </c>
      <c r="AB143" s="18" t="s">
        <v>95</v>
      </c>
      <c r="AC143" s="18" t="s">
        <v>7984</v>
      </c>
      <c r="AD143" s="18" t="s">
        <v>10804</v>
      </c>
      <c r="AE143" s="18" t="s">
        <v>174</v>
      </c>
      <c r="AF143" s="18" t="s">
        <v>95</v>
      </c>
      <c r="AG143" s="18" t="s">
        <v>83</v>
      </c>
      <c r="AH143" s="18" t="s">
        <v>83</v>
      </c>
      <c r="AI143" s="18" t="s">
        <v>81</v>
      </c>
      <c r="AJ143" s="18" t="s">
        <v>118</v>
      </c>
      <c r="AK143" s="18" t="s">
        <v>95</v>
      </c>
      <c r="AL143" s="18" t="s">
        <v>10805</v>
      </c>
      <c r="AM143" s="18" t="s">
        <v>85</v>
      </c>
      <c r="AN143" s="18" t="s">
        <v>7031</v>
      </c>
      <c r="AO143" s="18" t="s">
        <v>86</v>
      </c>
      <c r="AP143" s="18" t="s">
        <v>90</v>
      </c>
      <c r="AQ143" s="18" t="s">
        <v>8002</v>
      </c>
      <c r="AR143" s="18" t="s">
        <v>177</v>
      </c>
      <c r="AS143" s="18" t="s">
        <v>139</v>
      </c>
      <c r="AT143" s="18" t="s">
        <v>95</v>
      </c>
      <c r="AU143" s="18" t="s">
        <v>95</v>
      </c>
      <c r="AV143" s="18" t="s">
        <v>7037</v>
      </c>
      <c r="AW143" s="18" t="s">
        <v>95</v>
      </c>
      <c r="AX143" s="18" t="s">
        <v>10806</v>
      </c>
      <c r="AY143" s="18" t="s">
        <v>95</v>
      </c>
      <c r="AZ143" s="18" t="s">
        <v>95</v>
      </c>
      <c r="BA143" s="18" t="s">
        <v>95</v>
      </c>
      <c r="BB143" s="18" t="s">
        <v>95</v>
      </c>
      <c r="BC143" s="18" t="s">
        <v>95</v>
      </c>
      <c r="BD143" s="18" t="s">
        <v>10829</v>
      </c>
      <c r="BE143" s="18" t="s">
        <v>11968</v>
      </c>
      <c r="BF143" s="18" t="s">
        <v>10809</v>
      </c>
      <c r="BG143" s="18" t="s">
        <v>7030</v>
      </c>
      <c r="BH143" s="18"/>
      <c r="BI143" s="18"/>
      <c r="BJ143" s="18" t="s">
        <v>303</v>
      </c>
      <c r="BK143" s="18" t="s">
        <v>11969</v>
      </c>
      <c r="BL143" s="18" t="s">
        <v>10811</v>
      </c>
      <c r="BM143" s="18" t="s">
        <v>139</v>
      </c>
      <c r="BN143" s="18" t="s">
        <v>85</v>
      </c>
      <c r="BO143" s="18">
        <v>0</v>
      </c>
      <c r="BP143" s="18" t="s">
        <v>10812</v>
      </c>
      <c r="BQ143" s="18" t="str">
        <f>VLOOKUP(Prepago[[#This Row],[NOM_PLAZA]],[1]!Locales[#Data],3,0)</f>
        <v>TIENDA RECREO</v>
      </c>
      <c r="BR143" s="18" t="str">
        <f>VLOOKUP(Prepago[[#This Row],[CODIGO_USUARIO]],[1]!Personal[#Data],6,0)</f>
        <v>CORDOVA GAIBOR JONATHAN HERNAN</v>
      </c>
      <c r="BS143" s="18">
        <f>DAY(Prepago[[#This Row],[FECHA_ALTA]])</f>
        <v>6</v>
      </c>
    </row>
    <row r="144" spans="1:71" x14ac:dyDescent="0.25">
      <c r="A144" s="18" t="s">
        <v>96</v>
      </c>
      <c r="B144" s="18" t="s">
        <v>9376</v>
      </c>
      <c r="C144" s="18" t="s">
        <v>9382</v>
      </c>
      <c r="D144" s="18" t="s">
        <v>9378</v>
      </c>
      <c r="E144" s="22">
        <v>44906</v>
      </c>
      <c r="F144" s="18" t="s">
        <v>67</v>
      </c>
      <c r="G144" s="18" t="s">
        <v>9379</v>
      </c>
      <c r="H144" s="18" t="s">
        <v>9380</v>
      </c>
      <c r="I144" s="18" t="s">
        <v>70</v>
      </c>
      <c r="J144" s="18" t="s">
        <v>8102</v>
      </c>
      <c r="K144" s="18" t="s">
        <v>8103</v>
      </c>
      <c r="L144" s="18" t="s">
        <v>95</v>
      </c>
      <c r="M144" s="18" t="s">
        <v>7037</v>
      </c>
      <c r="N144" s="18" t="s">
        <v>9381</v>
      </c>
      <c r="O144" s="18" t="s">
        <v>287</v>
      </c>
      <c r="P144" s="18" t="s">
        <v>11970</v>
      </c>
      <c r="Q144" s="18" t="s">
        <v>10817</v>
      </c>
      <c r="R144" s="18" t="s">
        <v>78</v>
      </c>
      <c r="S144" s="18" t="s">
        <v>77</v>
      </c>
      <c r="T144" s="22">
        <v>44915</v>
      </c>
      <c r="U144" s="18"/>
      <c r="V144" s="18" t="s">
        <v>81</v>
      </c>
      <c r="W144" s="18" t="s">
        <v>79</v>
      </c>
      <c r="X144" s="18" t="s">
        <v>10803</v>
      </c>
      <c r="Y144" s="18" t="s">
        <v>2103</v>
      </c>
      <c r="Z144" s="18" t="s">
        <v>2104</v>
      </c>
      <c r="AA144" s="18" t="s">
        <v>7062</v>
      </c>
      <c r="AB144" s="18" t="s">
        <v>95</v>
      </c>
      <c r="AC144" s="18" t="s">
        <v>7984</v>
      </c>
      <c r="AD144" s="18" t="s">
        <v>10804</v>
      </c>
      <c r="AE144" s="18" t="s">
        <v>174</v>
      </c>
      <c r="AF144" s="18" t="s">
        <v>95</v>
      </c>
      <c r="AG144" s="18" t="s">
        <v>83</v>
      </c>
      <c r="AH144" s="18" t="s">
        <v>83</v>
      </c>
      <c r="AI144" s="18" t="s">
        <v>81</v>
      </c>
      <c r="AJ144" s="18" t="s">
        <v>118</v>
      </c>
      <c r="AK144" s="18" t="s">
        <v>95</v>
      </c>
      <c r="AL144" s="18" t="s">
        <v>11686</v>
      </c>
      <c r="AM144" s="18" t="s">
        <v>85</v>
      </c>
      <c r="AN144" s="18" t="s">
        <v>7031</v>
      </c>
      <c r="AO144" s="18" t="s">
        <v>86</v>
      </c>
      <c r="AP144" s="18" t="s">
        <v>90</v>
      </c>
      <c r="AQ144" s="18" t="s">
        <v>8002</v>
      </c>
      <c r="AR144" s="18" t="s">
        <v>177</v>
      </c>
      <c r="AS144" s="18" t="s">
        <v>139</v>
      </c>
      <c r="AT144" s="18" t="s">
        <v>95</v>
      </c>
      <c r="AU144" s="18" t="s">
        <v>95</v>
      </c>
      <c r="AV144" s="18" t="s">
        <v>7037</v>
      </c>
      <c r="AW144" s="18" t="s">
        <v>95</v>
      </c>
      <c r="AX144" s="18" t="s">
        <v>10806</v>
      </c>
      <c r="AY144" s="18" t="s">
        <v>95</v>
      </c>
      <c r="AZ144" s="18" t="s">
        <v>95</v>
      </c>
      <c r="BA144" s="18" t="s">
        <v>95</v>
      </c>
      <c r="BB144" s="18" t="s">
        <v>95</v>
      </c>
      <c r="BC144" s="18" t="s">
        <v>95</v>
      </c>
      <c r="BD144" s="18" t="s">
        <v>10829</v>
      </c>
      <c r="BE144" s="18" t="s">
        <v>11971</v>
      </c>
      <c r="BF144" s="18" t="s">
        <v>10809</v>
      </c>
      <c r="BG144" s="18" t="s">
        <v>7030</v>
      </c>
      <c r="BH144" s="18"/>
      <c r="BI144" s="18"/>
      <c r="BJ144" s="18" t="s">
        <v>2103</v>
      </c>
      <c r="BK144" s="18" t="s">
        <v>11972</v>
      </c>
      <c r="BL144" s="18" t="s">
        <v>10811</v>
      </c>
      <c r="BM144" s="18" t="s">
        <v>139</v>
      </c>
      <c r="BN144" s="18" t="s">
        <v>85</v>
      </c>
      <c r="BO144" s="18">
        <v>0</v>
      </c>
      <c r="BP144" s="18" t="s">
        <v>10812</v>
      </c>
      <c r="BQ144" s="18" t="str">
        <f>VLOOKUP(Prepago[[#This Row],[NOM_PLAZA]],[1]!Locales[#Data],3,0)</f>
        <v>TIENDA RECREO</v>
      </c>
      <c r="BR144" s="18" t="str">
        <f>VLOOKUP(Prepago[[#This Row],[CODIGO_USUARIO]],[1]!Personal[#Data],6,0)</f>
        <v>CORDOVA BRUCIL LUIS EDUARDO</v>
      </c>
      <c r="BS144" s="18">
        <f>DAY(Prepago[[#This Row],[FECHA_ALTA]])</f>
        <v>11</v>
      </c>
    </row>
    <row r="145" spans="1:71" x14ac:dyDescent="0.25">
      <c r="A145" s="18" t="s">
        <v>96</v>
      </c>
      <c r="B145" s="18" t="s">
        <v>11973</v>
      </c>
      <c r="C145" s="18" t="s">
        <v>11974</v>
      </c>
      <c r="D145" s="18" t="s">
        <v>11975</v>
      </c>
      <c r="E145" s="22">
        <v>44912</v>
      </c>
      <c r="F145" s="18" t="s">
        <v>67</v>
      </c>
      <c r="G145" s="18" t="s">
        <v>6894</v>
      </c>
      <c r="H145" s="18" t="s">
        <v>6895</v>
      </c>
      <c r="I145" s="18" t="s">
        <v>70</v>
      </c>
      <c r="J145" s="18" t="s">
        <v>8102</v>
      </c>
      <c r="K145" s="18" t="s">
        <v>8103</v>
      </c>
      <c r="L145" s="18" t="s">
        <v>132</v>
      </c>
      <c r="M145" s="18" t="s">
        <v>7037</v>
      </c>
      <c r="N145" s="18" t="s">
        <v>11976</v>
      </c>
      <c r="O145" s="18" t="s">
        <v>75</v>
      </c>
      <c r="P145" s="18" t="s">
        <v>11977</v>
      </c>
      <c r="Q145" s="18" t="s">
        <v>4453</v>
      </c>
      <c r="R145" s="18" t="s">
        <v>78</v>
      </c>
      <c r="S145" s="18" t="s">
        <v>77</v>
      </c>
      <c r="T145" s="22">
        <v>44915</v>
      </c>
      <c r="U145" s="18"/>
      <c r="V145" s="18" t="s">
        <v>81</v>
      </c>
      <c r="W145" s="18" t="s">
        <v>79</v>
      </c>
      <c r="X145" s="18" t="s">
        <v>10803</v>
      </c>
      <c r="Y145" s="18" t="s">
        <v>760</v>
      </c>
      <c r="Z145" s="18" t="s">
        <v>761</v>
      </c>
      <c r="AA145" s="18" t="s">
        <v>7062</v>
      </c>
      <c r="AB145" s="18" t="s">
        <v>95</v>
      </c>
      <c r="AC145" s="18" t="s">
        <v>7984</v>
      </c>
      <c r="AD145" s="18" t="s">
        <v>10804</v>
      </c>
      <c r="AE145" s="18" t="s">
        <v>174</v>
      </c>
      <c r="AF145" s="18" t="s">
        <v>95</v>
      </c>
      <c r="AG145" s="18" t="s">
        <v>83</v>
      </c>
      <c r="AH145" s="18" t="s">
        <v>83</v>
      </c>
      <c r="AI145" s="18" t="s">
        <v>81</v>
      </c>
      <c r="AJ145" s="18" t="s">
        <v>118</v>
      </c>
      <c r="AK145" s="18" t="s">
        <v>95</v>
      </c>
      <c r="AL145" s="18" t="s">
        <v>10818</v>
      </c>
      <c r="AM145" s="18" t="s">
        <v>85</v>
      </c>
      <c r="AN145" s="18" t="s">
        <v>7031</v>
      </c>
      <c r="AO145" s="18" t="s">
        <v>86</v>
      </c>
      <c r="AP145" s="18" t="s">
        <v>90</v>
      </c>
      <c r="AQ145" s="18" t="s">
        <v>8002</v>
      </c>
      <c r="AR145" s="18" t="s">
        <v>177</v>
      </c>
      <c r="AS145" s="18" t="s">
        <v>139</v>
      </c>
      <c r="AT145" s="18" t="s">
        <v>95</v>
      </c>
      <c r="AU145" s="18" t="s">
        <v>95</v>
      </c>
      <c r="AV145" s="18" t="s">
        <v>7037</v>
      </c>
      <c r="AW145" s="18" t="s">
        <v>95</v>
      </c>
      <c r="AX145" s="18" t="s">
        <v>10806</v>
      </c>
      <c r="AY145" s="18" t="s">
        <v>95</v>
      </c>
      <c r="AZ145" s="18" t="s">
        <v>95</v>
      </c>
      <c r="BA145" s="18" t="s">
        <v>95</v>
      </c>
      <c r="BB145" s="18" t="s">
        <v>95</v>
      </c>
      <c r="BC145" s="18" t="s">
        <v>95</v>
      </c>
      <c r="BD145" s="18" t="s">
        <v>10807</v>
      </c>
      <c r="BE145" s="18" t="s">
        <v>11978</v>
      </c>
      <c r="BF145" s="18" t="s">
        <v>10809</v>
      </c>
      <c r="BG145" s="18" t="s">
        <v>7030</v>
      </c>
      <c r="BH145" s="18"/>
      <c r="BI145" s="18"/>
      <c r="BJ145" s="18" t="s">
        <v>760</v>
      </c>
      <c r="BK145" s="18" t="s">
        <v>11979</v>
      </c>
      <c r="BL145" s="18" t="s">
        <v>10811</v>
      </c>
      <c r="BM145" s="18" t="s">
        <v>139</v>
      </c>
      <c r="BN145" s="18" t="s">
        <v>85</v>
      </c>
      <c r="BO145" s="18">
        <v>0</v>
      </c>
      <c r="BP145" s="18" t="s">
        <v>10812</v>
      </c>
      <c r="BQ145" s="18" t="str">
        <f>VLOOKUP(Prepago[[#This Row],[NOM_PLAZA]],[1]!Locales[#Data],3,0)</f>
        <v>TIENDA RECREO</v>
      </c>
      <c r="BR145" s="18" t="str">
        <f>VLOOKUP(Prepago[[#This Row],[CODIGO_USUARIO]],[1]!Personal[#Data],6,0)</f>
        <v>VALBUENA SANCHEZ ALBERT ANTHONY</v>
      </c>
      <c r="BS145" s="18">
        <f>DAY(Prepago[[#This Row],[FECHA_ALTA]])</f>
        <v>17</v>
      </c>
    </row>
    <row r="146" spans="1:71" x14ac:dyDescent="0.25">
      <c r="A146" s="18" t="s">
        <v>96</v>
      </c>
      <c r="B146" s="18" t="s">
        <v>11980</v>
      </c>
      <c r="C146" s="18" t="s">
        <v>11981</v>
      </c>
      <c r="D146" s="18" t="s">
        <v>8537</v>
      </c>
      <c r="E146" s="22">
        <v>44913</v>
      </c>
      <c r="F146" s="18" t="s">
        <v>67</v>
      </c>
      <c r="G146" s="18" t="s">
        <v>8538</v>
      </c>
      <c r="H146" s="18" t="s">
        <v>8539</v>
      </c>
      <c r="I146" s="18" t="s">
        <v>70</v>
      </c>
      <c r="J146" s="18" t="s">
        <v>8102</v>
      </c>
      <c r="K146" s="18" t="s">
        <v>8103</v>
      </c>
      <c r="L146" s="18" t="s">
        <v>132</v>
      </c>
      <c r="M146" s="18" t="s">
        <v>7037</v>
      </c>
      <c r="N146" s="18" t="s">
        <v>11982</v>
      </c>
      <c r="O146" s="18" t="s">
        <v>75</v>
      </c>
      <c r="P146" s="18" t="s">
        <v>11983</v>
      </c>
      <c r="Q146" s="18" t="s">
        <v>10817</v>
      </c>
      <c r="R146" s="18" t="s">
        <v>78</v>
      </c>
      <c r="S146" s="18" t="s">
        <v>77</v>
      </c>
      <c r="T146" s="22">
        <v>44915</v>
      </c>
      <c r="U146" s="18"/>
      <c r="V146" s="18" t="s">
        <v>81</v>
      </c>
      <c r="W146" s="18" t="s">
        <v>79</v>
      </c>
      <c r="X146" s="18" t="s">
        <v>10803</v>
      </c>
      <c r="Y146" s="18" t="s">
        <v>369</v>
      </c>
      <c r="Z146" s="18" t="s">
        <v>370</v>
      </c>
      <c r="AA146" s="18" t="s">
        <v>7062</v>
      </c>
      <c r="AB146" s="18" t="s">
        <v>95</v>
      </c>
      <c r="AC146" s="18" t="s">
        <v>7984</v>
      </c>
      <c r="AD146" s="18" t="s">
        <v>10804</v>
      </c>
      <c r="AE146" s="18" t="s">
        <v>174</v>
      </c>
      <c r="AF146" s="18" t="s">
        <v>95</v>
      </c>
      <c r="AG146" s="18" t="s">
        <v>83</v>
      </c>
      <c r="AH146" s="18" t="s">
        <v>83</v>
      </c>
      <c r="AI146" s="18" t="s">
        <v>81</v>
      </c>
      <c r="AJ146" s="18" t="s">
        <v>118</v>
      </c>
      <c r="AK146" s="18" t="s">
        <v>95</v>
      </c>
      <c r="AL146" s="18" t="s">
        <v>11062</v>
      </c>
      <c r="AM146" s="18" t="s">
        <v>85</v>
      </c>
      <c r="AN146" s="18" t="s">
        <v>7031</v>
      </c>
      <c r="AO146" s="18" t="s">
        <v>86</v>
      </c>
      <c r="AP146" s="18" t="s">
        <v>90</v>
      </c>
      <c r="AQ146" s="18" t="s">
        <v>8002</v>
      </c>
      <c r="AR146" s="18" t="s">
        <v>177</v>
      </c>
      <c r="AS146" s="18" t="s">
        <v>139</v>
      </c>
      <c r="AT146" s="18" t="s">
        <v>95</v>
      </c>
      <c r="AU146" s="18" t="s">
        <v>95</v>
      </c>
      <c r="AV146" s="18" t="s">
        <v>7037</v>
      </c>
      <c r="AW146" s="18" t="s">
        <v>95</v>
      </c>
      <c r="AX146" s="18" t="s">
        <v>10806</v>
      </c>
      <c r="AY146" s="18" t="s">
        <v>95</v>
      </c>
      <c r="AZ146" s="18" t="s">
        <v>95</v>
      </c>
      <c r="BA146" s="18" t="s">
        <v>95</v>
      </c>
      <c r="BB146" s="18" t="s">
        <v>95</v>
      </c>
      <c r="BC146" s="18" t="s">
        <v>95</v>
      </c>
      <c r="BD146" s="18" t="s">
        <v>10807</v>
      </c>
      <c r="BE146" s="18" t="s">
        <v>10819</v>
      </c>
      <c r="BF146" s="18" t="s">
        <v>10809</v>
      </c>
      <c r="BG146" s="18" t="s">
        <v>7030</v>
      </c>
      <c r="BH146" s="18"/>
      <c r="BI146" s="18"/>
      <c r="BJ146" s="18" t="s">
        <v>369</v>
      </c>
      <c r="BK146" s="18" t="s">
        <v>11984</v>
      </c>
      <c r="BL146" s="18" t="s">
        <v>10811</v>
      </c>
      <c r="BM146" s="18" t="s">
        <v>139</v>
      </c>
      <c r="BN146" s="18" t="s">
        <v>85</v>
      </c>
      <c r="BO146" s="18">
        <v>0</v>
      </c>
      <c r="BP146" s="18" t="s">
        <v>10812</v>
      </c>
      <c r="BQ146" s="18" t="str">
        <f>VLOOKUP(Prepago[[#This Row],[NOM_PLAZA]],[1]!Locales[#Data],3,0)</f>
        <v>TIENDA RECREO</v>
      </c>
      <c r="BR146" s="18" t="str">
        <f>VLOOKUP(Prepago[[#This Row],[CODIGO_USUARIO]],[1]!Personal[#Data],6,0)</f>
        <v>GUAIGUA REINOSO GENESIS CAROLINA</v>
      </c>
      <c r="BS146" s="18">
        <f>DAY(Prepago[[#This Row],[FECHA_ALTA]])</f>
        <v>18</v>
      </c>
    </row>
    <row r="147" spans="1:71" x14ac:dyDescent="0.25">
      <c r="A147" s="18" t="s">
        <v>96</v>
      </c>
      <c r="B147" s="18" t="s">
        <v>11985</v>
      </c>
      <c r="C147" s="18" t="s">
        <v>11986</v>
      </c>
      <c r="D147" s="18" t="s">
        <v>11987</v>
      </c>
      <c r="E147" s="22">
        <v>44913</v>
      </c>
      <c r="F147" s="18" t="s">
        <v>67</v>
      </c>
      <c r="G147" s="18" t="s">
        <v>11988</v>
      </c>
      <c r="H147" s="18" t="s">
        <v>11989</v>
      </c>
      <c r="I147" s="18" t="s">
        <v>70</v>
      </c>
      <c r="J147" s="18" t="s">
        <v>8102</v>
      </c>
      <c r="K147" s="18" t="s">
        <v>8103</v>
      </c>
      <c r="L147" s="18" t="s">
        <v>95</v>
      </c>
      <c r="M147" s="18" t="s">
        <v>7037</v>
      </c>
      <c r="N147" s="18" t="s">
        <v>11990</v>
      </c>
      <c r="O147" s="18" t="s">
        <v>75</v>
      </c>
      <c r="P147" s="18" t="s">
        <v>11991</v>
      </c>
      <c r="Q147" s="18" t="s">
        <v>4453</v>
      </c>
      <c r="R147" s="18" t="s">
        <v>78</v>
      </c>
      <c r="S147" s="18" t="s">
        <v>77</v>
      </c>
      <c r="T147" s="22">
        <v>44915</v>
      </c>
      <c r="U147" s="18"/>
      <c r="V147" s="18" t="s">
        <v>81</v>
      </c>
      <c r="W147" s="18" t="s">
        <v>79</v>
      </c>
      <c r="X147" s="18" t="s">
        <v>10803</v>
      </c>
      <c r="Y147" s="18" t="s">
        <v>822</v>
      </c>
      <c r="Z147" s="18" t="s">
        <v>823</v>
      </c>
      <c r="AA147" s="18" t="s">
        <v>7062</v>
      </c>
      <c r="AB147" s="18" t="s">
        <v>95</v>
      </c>
      <c r="AC147" s="18" t="s">
        <v>7984</v>
      </c>
      <c r="AD147" s="18" t="s">
        <v>10804</v>
      </c>
      <c r="AE147" s="18" t="s">
        <v>174</v>
      </c>
      <c r="AF147" s="18" t="s">
        <v>95</v>
      </c>
      <c r="AG147" s="18" t="s">
        <v>83</v>
      </c>
      <c r="AH147" s="18" t="s">
        <v>83</v>
      </c>
      <c r="AI147" s="18" t="s">
        <v>81</v>
      </c>
      <c r="AJ147" s="18" t="s">
        <v>118</v>
      </c>
      <c r="AK147" s="18" t="s">
        <v>95</v>
      </c>
      <c r="AL147" s="18" t="s">
        <v>10828</v>
      </c>
      <c r="AM147" s="18" t="s">
        <v>85</v>
      </c>
      <c r="AN147" s="18" t="s">
        <v>7031</v>
      </c>
      <c r="AO147" s="18" t="s">
        <v>86</v>
      </c>
      <c r="AP147" s="18" t="s">
        <v>90</v>
      </c>
      <c r="AQ147" s="18" t="s">
        <v>8002</v>
      </c>
      <c r="AR147" s="18" t="s">
        <v>177</v>
      </c>
      <c r="AS147" s="18" t="s">
        <v>139</v>
      </c>
      <c r="AT147" s="18" t="s">
        <v>95</v>
      </c>
      <c r="AU147" s="18" t="s">
        <v>95</v>
      </c>
      <c r="AV147" s="18" t="s">
        <v>7037</v>
      </c>
      <c r="AW147" s="18" t="s">
        <v>95</v>
      </c>
      <c r="AX147" s="18" t="s">
        <v>10806</v>
      </c>
      <c r="AY147" s="18" t="s">
        <v>95</v>
      </c>
      <c r="AZ147" s="18" t="s">
        <v>95</v>
      </c>
      <c r="BA147" s="18" t="s">
        <v>95</v>
      </c>
      <c r="BB147" s="18" t="s">
        <v>95</v>
      </c>
      <c r="BC147" s="18" t="s">
        <v>95</v>
      </c>
      <c r="BD147" s="18" t="s">
        <v>10829</v>
      </c>
      <c r="BE147" s="18" t="s">
        <v>95</v>
      </c>
      <c r="BF147" s="18" t="s">
        <v>10809</v>
      </c>
      <c r="BG147" s="18" t="s">
        <v>7030</v>
      </c>
      <c r="BH147" s="18"/>
      <c r="BI147" s="18"/>
      <c r="BJ147" s="18" t="s">
        <v>822</v>
      </c>
      <c r="BK147" s="18" t="s">
        <v>11992</v>
      </c>
      <c r="BL147" s="18" t="s">
        <v>10811</v>
      </c>
      <c r="BM147" s="18" t="s">
        <v>139</v>
      </c>
      <c r="BN147" s="18" t="s">
        <v>85</v>
      </c>
      <c r="BO147" s="18">
        <v>1</v>
      </c>
      <c r="BP147" s="18" t="s">
        <v>10812</v>
      </c>
      <c r="BQ147" s="18" t="str">
        <f>VLOOKUP(Prepago[[#This Row],[NOM_PLAZA]],[1]!Locales[#Data],3,0)</f>
        <v>TIENDA RECREO</v>
      </c>
      <c r="BR147" s="18" t="str">
        <f>VLOOKUP(Prepago[[#This Row],[CODIGO_USUARIO]],[1]!Personal[#Data],6,0)</f>
        <v>SALAS PARRA MARIA JOSE</v>
      </c>
      <c r="BS147" s="18">
        <f>DAY(Prepago[[#This Row],[FECHA_ALTA]])</f>
        <v>18</v>
      </c>
    </row>
    <row r="148" spans="1:71" x14ac:dyDescent="0.25">
      <c r="A148" s="18" t="s">
        <v>96</v>
      </c>
      <c r="B148" s="18" t="s">
        <v>11993</v>
      </c>
      <c r="C148" s="18" t="s">
        <v>11994</v>
      </c>
      <c r="D148" s="18" t="s">
        <v>11995</v>
      </c>
      <c r="E148" s="22">
        <v>44904</v>
      </c>
      <c r="F148" s="18" t="s">
        <v>67</v>
      </c>
      <c r="G148" s="18" t="s">
        <v>11996</v>
      </c>
      <c r="H148" s="18" t="s">
        <v>11997</v>
      </c>
      <c r="I148" s="18" t="s">
        <v>70</v>
      </c>
      <c r="J148" s="18" t="s">
        <v>8102</v>
      </c>
      <c r="K148" s="18" t="s">
        <v>8103</v>
      </c>
      <c r="L148" s="18" t="s">
        <v>132</v>
      </c>
      <c r="M148" s="18" t="s">
        <v>7037</v>
      </c>
      <c r="N148" s="18" t="s">
        <v>11998</v>
      </c>
      <c r="O148" s="18" t="s">
        <v>75</v>
      </c>
      <c r="P148" s="18" t="s">
        <v>11999</v>
      </c>
      <c r="Q148" s="18" t="s">
        <v>10817</v>
      </c>
      <c r="R148" s="18" t="s">
        <v>78</v>
      </c>
      <c r="S148" s="18" t="s">
        <v>77</v>
      </c>
      <c r="T148" s="22">
        <v>44915</v>
      </c>
      <c r="U148" s="18"/>
      <c r="V148" s="18" t="s">
        <v>81</v>
      </c>
      <c r="W148" s="18" t="s">
        <v>79</v>
      </c>
      <c r="X148" s="18" t="s">
        <v>10803</v>
      </c>
      <c r="Y148" s="18" t="s">
        <v>396</v>
      </c>
      <c r="Z148" s="18" t="s">
        <v>397</v>
      </c>
      <c r="AA148" s="18" t="s">
        <v>396</v>
      </c>
      <c r="AB148" s="18" t="s">
        <v>397</v>
      </c>
      <c r="AC148" s="18" t="s">
        <v>7984</v>
      </c>
      <c r="AD148" s="18" t="s">
        <v>10804</v>
      </c>
      <c r="AE148" s="18" t="s">
        <v>174</v>
      </c>
      <c r="AF148" s="18" t="s">
        <v>95</v>
      </c>
      <c r="AG148" s="18" t="s">
        <v>83</v>
      </c>
      <c r="AH148" s="18" t="s">
        <v>83</v>
      </c>
      <c r="AI148" s="18" t="s">
        <v>81</v>
      </c>
      <c r="AJ148" s="18" t="s">
        <v>118</v>
      </c>
      <c r="AK148" s="18" t="s">
        <v>95</v>
      </c>
      <c r="AL148" s="18" t="s">
        <v>10910</v>
      </c>
      <c r="AM148" s="18" t="s">
        <v>85</v>
      </c>
      <c r="AN148" s="18" t="s">
        <v>7031</v>
      </c>
      <c r="AO148" s="18" t="s">
        <v>86</v>
      </c>
      <c r="AP148" s="18" t="s">
        <v>90</v>
      </c>
      <c r="AQ148" s="18" t="s">
        <v>8002</v>
      </c>
      <c r="AR148" s="18" t="s">
        <v>177</v>
      </c>
      <c r="AS148" s="18" t="s">
        <v>139</v>
      </c>
      <c r="AT148" s="18" t="s">
        <v>95</v>
      </c>
      <c r="AU148" s="18" t="s">
        <v>95</v>
      </c>
      <c r="AV148" s="18" t="s">
        <v>7037</v>
      </c>
      <c r="AW148" s="18" t="s">
        <v>95</v>
      </c>
      <c r="AX148" s="18" t="s">
        <v>10806</v>
      </c>
      <c r="AY148" s="18" t="s">
        <v>95</v>
      </c>
      <c r="AZ148" s="18" t="s">
        <v>95</v>
      </c>
      <c r="BA148" s="18" t="s">
        <v>95</v>
      </c>
      <c r="BB148" s="18" t="s">
        <v>95</v>
      </c>
      <c r="BC148" s="18" t="s">
        <v>95</v>
      </c>
      <c r="BD148" s="18" t="s">
        <v>10829</v>
      </c>
      <c r="BE148" s="18" t="s">
        <v>12000</v>
      </c>
      <c r="BF148" s="18" t="s">
        <v>10809</v>
      </c>
      <c r="BG148" s="18" t="s">
        <v>7030</v>
      </c>
      <c r="BH148" s="18"/>
      <c r="BI148" s="18"/>
      <c r="BJ148" s="18" t="s">
        <v>396</v>
      </c>
      <c r="BK148" s="18" t="s">
        <v>12001</v>
      </c>
      <c r="BL148" s="18" t="s">
        <v>10811</v>
      </c>
      <c r="BM148" s="18" t="s">
        <v>139</v>
      </c>
      <c r="BN148" s="18" t="s">
        <v>85</v>
      </c>
      <c r="BO148" s="18">
        <v>0</v>
      </c>
      <c r="BP148" s="18" t="s">
        <v>10812</v>
      </c>
      <c r="BQ148" s="18" t="str">
        <f>VLOOKUP(Prepago[[#This Row],[NOM_PLAZA]],[1]!Locales[#Data],3,0)</f>
        <v>TIENDA RECREO</v>
      </c>
      <c r="BR148" s="18" t="str">
        <f>VLOOKUP(Prepago[[#This Row],[CODIGO_USUARIO]],[1]!Personal[#Data],6,0)</f>
        <v>VINUEZA VELASCO ANGY DAYANA</v>
      </c>
      <c r="BS148" s="18">
        <f>DAY(Prepago[[#This Row],[FECHA_ALTA]])</f>
        <v>9</v>
      </c>
    </row>
    <row r="149" spans="1:71" x14ac:dyDescent="0.25">
      <c r="A149" s="18" t="s">
        <v>96</v>
      </c>
      <c r="B149" s="18" t="s">
        <v>12002</v>
      </c>
      <c r="C149" s="18" t="s">
        <v>12003</v>
      </c>
      <c r="D149" s="18" t="s">
        <v>12004</v>
      </c>
      <c r="E149" s="22">
        <v>44899</v>
      </c>
      <c r="F149" s="18" t="s">
        <v>67</v>
      </c>
      <c r="G149" s="18" t="s">
        <v>12005</v>
      </c>
      <c r="H149" s="18" t="s">
        <v>12006</v>
      </c>
      <c r="I149" s="18" t="s">
        <v>70</v>
      </c>
      <c r="J149" s="18" t="s">
        <v>8102</v>
      </c>
      <c r="K149" s="18" t="s">
        <v>8103</v>
      </c>
      <c r="L149" s="18" t="s">
        <v>95</v>
      </c>
      <c r="M149" s="18" t="s">
        <v>7037</v>
      </c>
      <c r="N149" s="18" t="s">
        <v>12007</v>
      </c>
      <c r="O149" s="18" t="s">
        <v>75</v>
      </c>
      <c r="P149" s="18" t="s">
        <v>12008</v>
      </c>
      <c r="Q149" s="18" t="s">
        <v>10817</v>
      </c>
      <c r="R149" s="18" t="s">
        <v>78</v>
      </c>
      <c r="S149" s="18" t="s">
        <v>77</v>
      </c>
      <c r="T149" s="22">
        <v>44915</v>
      </c>
      <c r="U149" s="18"/>
      <c r="V149" s="18" t="s">
        <v>81</v>
      </c>
      <c r="W149" s="18" t="s">
        <v>79</v>
      </c>
      <c r="X149" s="18" t="s">
        <v>10803</v>
      </c>
      <c r="Y149" s="18" t="s">
        <v>2159</v>
      </c>
      <c r="Z149" s="18" t="s">
        <v>2160</v>
      </c>
      <c r="AA149" s="18" t="s">
        <v>7062</v>
      </c>
      <c r="AB149" s="18" t="s">
        <v>95</v>
      </c>
      <c r="AC149" s="18" t="s">
        <v>7984</v>
      </c>
      <c r="AD149" s="18" t="s">
        <v>10804</v>
      </c>
      <c r="AE149" s="18" t="s">
        <v>174</v>
      </c>
      <c r="AF149" s="18" t="s">
        <v>95</v>
      </c>
      <c r="AG149" s="18" t="s">
        <v>83</v>
      </c>
      <c r="AH149" s="18" t="s">
        <v>83</v>
      </c>
      <c r="AI149" s="18" t="s">
        <v>81</v>
      </c>
      <c r="AJ149" s="18" t="s">
        <v>118</v>
      </c>
      <c r="AK149" s="18" t="s">
        <v>95</v>
      </c>
      <c r="AL149" s="18" t="s">
        <v>11080</v>
      </c>
      <c r="AM149" s="18" t="s">
        <v>85</v>
      </c>
      <c r="AN149" s="18" t="s">
        <v>7031</v>
      </c>
      <c r="AO149" s="18" t="s">
        <v>86</v>
      </c>
      <c r="AP149" s="18" t="s">
        <v>90</v>
      </c>
      <c r="AQ149" s="18" t="s">
        <v>8002</v>
      </c>
      <c r="AR149" s="18" t="s">
        <v>177</v>
      </c>
      <c r="AS149" s="18" t="s">
        <v>139</v>
      </c>
      <c r="AT149" s="18" t="s">
        <v>95</v>
      </c>
      <c r="AU149" s="18" t="s">
        <v>95</v>
      </c>
      <c r="AV149" s="18" t="s">
        <v>7037</v>
      </c>
      <c r="AW149" s="18" t="s">
        <v>95</v>
      </c>
      <c r="AX149" s="18" t="s">
        <v>10806</v>
      </c>
      <c r="AY149" s="18" t="s">
        <v>95</v>
      </c>
      <c r="AZ149" s="18" t="s">
        <v>95</v>
      </c>
      <c r="BA149" s="18" t="s">
        <v>95</v>
      </c>
      <c r="BB149" s="18" t="s">
        <v>95</v>
      </c>
      <c r="BC149" s="18" t="s">
        <v>95</v>
      </c>
      <c r="BD149" s="18" t="s">
        <v>10829</v>
      </c>
      <c r="BE149" s="18" t="s">
        <v>12009</v>
      </c>
      <c r="BF149" s="18" t="s">
        <v>10809</v>
      </c>
      <c r="BG149" s="18" t="s">
        <v>7030</v>
      </c>
      <c r="BH149" s="18"/>
      <c r="BI149" s="18"/>
      <c r="BJ149" s="18" t="s">
        <v>2159</v>
      </c>
      <c r="BK149" s="18" t="s">
        <v>12010</v>
      </c>
      <c r="BL149" s="18" t="s">
        <v>10811</v>
      </c>
      <c r="BM149" s="18" t="s">
        <v>139</v>
      </c>
      <c r="BN149" s="18" t="s">
        <v>85</v>
      </c>
      <c r="BO149" s="18">
        <v>0</v>
      </c>
      <c r="BP149" s="18" t="s">
        <v>10812</v>
      </c>
      <c r="BQ149" s="18" t="str">
        <f>VLOOKUP(Prepago[[#This Row],[NOM_PLAZA]],[1]!Locales[#Data],3,0)</f>
        <v>TIENDA RECREO</v>
      </c>
      <c r="BR149" s="18" t="str">
        <f>VLOOKUP(Prepago[[#This Row],[CODIGO_USUARIO]],[1]!Personal[#Data],6,0)</f>
        <v>GUEVARA MAZA CRISTIAN FABIAN</v>
      </c>
      <c r="BS149" s="18">
        <f>DAY(Prepago[[#This Row],[FECHA_ALTA]])</f>
        <v>4</v>
      </c>
    </row>
    <row r="150" spans="1:71" x14ac:dyDescent="0.25">
      <c r="A150" s="18" t="s">
        <v>96</v>
      </c>
      <c r="B150" s="18" t="s">
        <v>12011</v>
      </c>
      <c r="C150" s="18" t="s">
        <v>12012</v>
      </c>
      <c r="D150" s="18" t="s">
        <v>12013</v>
      </c>
      <c r="E150" s="22">
        <v>44904</v>
      </c>
      <c r="F150" s="18" t="s">
        <v>67</v>
      </c>
      <c r="G150" s="18" t="s">
        <v>12014</v>
      </c>
      <c r="H150" s="18" t="s">
        <v>12015</v>
      </c>
      <c r="I150" s="18" t="s">
        <v>70</v>
      </c>
      <c r="J150" s="18" t="s">
        <v>8102</v>
      </c>
      <c r="K150" s="18" t="s">
        <v>8103</v>
      </c>
      <c r="L150" s="18" t="s">
        <v>95</v>
      </c>
      <c r="M150" s="18" t="s">
        <v>7037</v>
      </c>
      <c r="N150" s="18" t="s">
        <v>12016</v>
      </c>
      <c r="O150" s="18" t="s">
        <v>75</v>
      </c>
      <c r="P150" s="18" t="s">
        <v>12017</v>
      </c>
      <c r="Q150" s="18" t="s">
        <v>4453</v>
      </c>
      <c r="R150" s="18" t="s">
        <v>78</v>
      </c>
      <c r="S150" s="18" t="s">
        <v>77</v>
      </c>
      <c r="T150" s="22">
        <v>44915</v>
      </c>
      <c r="U150" s="18"/>
      <c r="V150" s="18" t="s">
        <v>81</v>
      </c>
      <c r="W150" s="18" t="s">
        <v>79</v>
      </c>
      <c r="X150" s="18" t="s">
        <v>10803</v>
      </c>
      <c r="Y150" s="18" t="s">
        <v>12018</v>
      </c>
      <c r="Z150" s="18" t="s">
        <v>12019</v>
      </c>
      <c r="AA150" s="18" t="s">
        <v>12018</v>
      </c>
      <c r="AB150" s="18" t="s">
        <v>12019</v>
      </c>
      <c r="AC150" s="18" t="s">
        <v>7984</v>
      </c>
      <c r="AD150" s="18" t="s">
        <v>10804</v>
      </c>
      <c r="AE150" s="18" t="s">
        <v>174</v>
      </c>
      <c r="AF150" s="18" t="s">
        <v>95</v>
      </c>
      <c r="AG150" s="18" t="s">
        <v>83</v>
      </c>
      <c r="AH150" s="18" t="s">
        <v>83</v>
      </c>
      <c r="AI150" s="18" t="s">
        <v>81</v>
      </c>
      <c r="AJ150" s="18" t="s">
        <v>118</v>
      </c>
      <c r="AK150" s="18" t="s">
        <v>95</v>
      </c>
      <c r="AL150" s="18" t="s">
        <v>12020</v>
      </c>
      <c r="AM150" s="18" t="s">
        <v>85</v>
      </c>
      <c r="AN150" s="18" t="s">
        <v>7031</v>
      </c>
      <c r="AO150" s="18" t="s">
        <v>86</v>
      </c>
      <c r="AP150" s="18" t="s">
        <v>90</v>
      </c>
      <c r="AQ150" s="18" t="s">
        <v>8002</v>
      </c>
      <c r="AR150" s="18" t="s">
        <v>177</v>
      </c>
      <c r="AS150" s="18" t="s">
        <v>139</v>
      </c>
      <c r="AT150" s="18" t="s">
        <v>95</v>
      </c>
      <c r="AU150" s="18" t="s">
        <v>95</v>
      </c>
      <c r="AV150" s="18" t="s">
        <v>7037</v>
      </c>
      <c r="AW150" s="18" t="s">
        <v>95</v>
      </c>
      <c r="AX150" s="18" t="s">
        <v>10806</v>
      </c>
      <c r="AY150" s="18" t="s">
        <v>95</v>
      </c>
      <c r="AZ150" s="18" t="s">
        <v>95</v>
      </c>
      <c r="BA150" s="18" t="s">
        <v>95</v>
      </c>
      <c r="BB150" s="18" t="s">
        <v>95</v>
      </c>
      <c r="BC150" s="18" t="s">
        <v>95</v>
      </c>
      <c r="BD150" s="18" t="s">
        <v>10829</v>
      </c>
      <c r="BE150" s="18" t="s">
        <v>12021</v>
      </c>
      <c r="BF150" s="18" t="s">
        <v>10809</v>
      </c>
      <c r="BG150" s="18" t="s">
        <v>7030</v>
      </c>
      <c r="BH150" s="18"/>
      <c r="BI150" s="18"/>
      <c r="BJ150" s="18" t="s">
        <v>12018</v>
      </c>
      <c r="BK150" s="18" t="s">
        <v>12022</v>
      </c>
      <c r="BL150" s="18" t="s">
        <v>10811</v>
      </c>
      <c r="BM150" s="18" t="s">
        <v>139</v>
      </c>
      <c r="BN150" s="18" t="s">
        <v>85</v>
      </c>
      <c r="BO150" s="18">
        <v>0</v>
      </c>
      <c r="BP150" s="18" t="s">
        <v>10812</v>
      </c>
      <c r="BQ150" s="18" t="str">
        <f>VLOOKUP(Prepago[[#This Row],[NOM_PLAZA]],[1]!Locales[#Data],3,0)</f>
        <v>TIENDA RECREO</v>
      </c>
      <c r="BR150" s="18" t="e">
        <f>VLOOKUP(Prepago[[#This Row],[CODIGO_USUARIO]],[1]!Personal[#Data],6,0)</f>
        <v>#N/A</v>
      </c>
      <c r="BS150" s="18">
        <f>DAY(Prepago[[#This Row],[FECHA_ALTA]])</f>
        <v>9</v>
      </c>
    </row>
    <row r="151" spans="1:71" x14ac:dyDescent="0.25">
      <c r="A151" s="18" t="s">
        <v>96</v>
      </c>
      <c r="B151" s="18" t="s">
        <v>12023</v>
      </c>
      <c r="C151" s="18" t="s">
        <v>12024</v>
      </c>
      <c r="D151" s="18" t="s">
        <v>12025</v>
      </c>
      <c r="E151" s="22">
        <v>44908</v>
      </c>
      <c r="F151" s="18" t="s">
        <v>67</v>
      </c>
      <c r="G151" s="18" t="s">
        <v>299</v>
      </c>
      <c r="H151" s="18" t="s">
        <v>300</v>
      </c>
      <c r="I151" s="18" t="s">
        <v>70</v>
      </c>
      <c r="J151" s="18" t="s">
        <v>8102</v>
      </c>
      <c r="K151" s="18" t="s">
        <v>8103</v>
      </c>
      <c r="L151" s="18" t="s">
        <v>132</v>
      </c>
      <c r="M151" s="18" t="s">
        <v>7037</v>
      </c>
      <c r="N151" s="18" t="s">
        <v>12026</v>
      </c>
      <c r="O151" s="18" t="s">
        <v>75</v>
      </c>
      <c r="P151" s="18" t="s">
        <v>12027</v>
      </c>
      <c r="Q151" s="18" t="s">
        <v>4453</v>
      </c>
      <c r="R151" s="18" t="s">
        <v>78</v>
      </c>
      <c r="S151" s="18" t="s">
        <v>77</v>
      </c>
      <c r="T151" s="22">
        <v>44915</v>
      </c>
      <c r="U151" s="18"/>
      <c r="V151" s="18" t="s">
        <v>81</v>
      </c>
      <c r="W151" s="18" t="s">
        <v>79</v>
      </c>
      <c r="X151" s="18" t="s">
        <v>10803</v>
      </c>
      <c r="Y151" s="18" t="s">
        <v>303</v>
      </c>
      <c r="Z151" s="18" t="s">
        <v>304</v>
      </c>
      <c r="AA151" s="18" t="s">
        <v>303</v>
      </c>
      <c r="AB151" s="18" t="s">
        <v>304</v>
      </c>
      <c r="AC151" s="18" t="s">
        <v>7984</v>
      </c>
      <c r="AD151" s="18" t="s">
        <v>10804</v>
      </c>
      <c r="AE151" s="18" t="s">
        <v>174</v>
      </c>
      <c r="AF151" s="18" t="s">
        <v>95</v>
      </c>
      <c r="AG151" s="18" t="s">
        <v>83</v>
      </c>
      <c r="AH151" s="18" t="s">
        <v>83</v>
      </c>
      <c r="AI151" s="18" t="s">
        <v>81</v>
      </c>
      <c r="AJ151" s="18" t="s">
        <v>118</v>
      </c>
      <c r="AK151" s="18" t="s">
        <v>95</v>
      </c>
      <c r="AL151" s="18" t="s">
        <v>10805</v>
      </c>
      <c r="AM151" s="18" t="s">
        <v>85</v>
      </c>
      <c r="AN151" s="18" t="s">
        <v>7031</v>
      </c>
      <c r="AO151" s="18" t="s">
        <v>86</v>
      </c>
      <c r="AP151" s="18" t="s">
        <v>90</v>
      </c>
      <c r="AQ151" s="18" t="s">
        <v>8002</v>
      </c>
      <c r="AR151" s="18" t="s">
        <v>177</v>
      </c>
      <c r="AS151" s="18" t="s">
        <v>139</v>
      </c>
      <c r="AT151" s="18" t="s">
        <v>95</v>
      </c>
      <c r="AU151" s="18" t="s">
        <v>95</v>
      </c>
      <c r="AV151" s="18" t="s">
        <v>7037</v>
      </c>
      <c r="AW151" s="18" t="s">
        <v>95</v>
      </c>
      <c r="AX151" s="18" t="s">
        <v>10806</v>
      </c>
      <c r="AY151" s="18" t="s">
        <v>95</v>
      </c>
      <c r="AZ151" s="18" t="s">
        <v>95</v>
      </c>
      <c r="BA151" s="18" t="s">
        <v>95</v>
      </c>
      <c r="BB151" s="18" t="s">
        <v>95</v>
      </c>
      <c r="BC151" s="18" t="s">
        <v>95</v>
      </c>
      <c r="BD151" s="18" t="s">
        <v>10807</v>
      </c>
      <c r="BE151" s="18" t="s">
        <v>12028</v>
      </c>
      <c r="BF151" s="18" t="s">
        <v>10809</v>
      </c>
      <c r="BG151" s="18" t="s">
        <v>7030</v>
      </c>
      <c r="BH151" s="18"/>
      <c r="BI151" s="18"/>
      <c r="BJ151" s="18" t="s">
        <v>303</v>
      </c>
      <c r="BK151" s="18" t="s">
        <v>12029</v>
      </c>
      <c r="BL151" s="18" t="s">
        <v>10811</v>
      </c>
      <c r="BM151" s="18" t="s">
        <v>139</v>
      </c>
      <c r="BN151" s="18" t="s">
        <v>85</v>
      </c>
      <c r="BO151" s="18">
        <v>0</v>
      </c>
      <c r="BP151" s="18" t="s">
        <v>10812</v>
      </c>
      <c r="BQ151" s="18" t="str">
        <f>VLOOKUP(Prepago[[#This Row],[NOM_PLAZA]],[1]!Locales[#Data],3,0)</f>
        <v>TIENDA RECREO</v>
      </c>
      <c r="BR151" s="18" t="str">
        <f>VLOOKUP(Prepago[[#This Row],[CODIGO_USUARIO]],[1]!Personal[#Data],6,0)</f>
        <v>CORDOVA GAIBOR JONATHAN HERNAN</v>
      </c>
      <c r="BS151" s="18">
        <f>DAY(Prepago[[#This Row],[FECHA_ALTA]])</f>
        <v>13</v>
      </c>
    </row>
    <row r="152" spans="1:71" x14ac:dyDescent="0.25">
      <c r="A152" s="18" t="s">
        <v>96</v>
      </c>
      <c r="B152" s="18" t="s">
        <v>12030</v>
      </c>
      <c r="C152" s="18" t="s">
        <v>12031</v>
      </c>
      <c r="D152" s="18" t="s">
        <v>12032</v>
      </c>
      <c r="E152" s="22">
        <v>44905</v>
      </c>
      <c r="F152" s="18" t="s">
        <v>67</v>
      </c>
      <c r="G152" s="18" t="s">
        <v>12033</v>
      </c>
      <c r="H152" s="18" t="s">
        <v>12034</v>
      </c>
      <c r="I152" s="18" t="s">
        <v>70</v>
      </c>
      <c r="J152" s="18" t="s">
        <v>8102</v>
      </c>
      <c r="K152" s="18" t="s">
        <v>8103</v>
      </c>
      <c r="L152" s="18" t="s">
        <v>259</v>
      </c>
      <c r="M152" s="18" t="s">
        <v>7037</v>
      </c>
      <c r="N152" s="18" t="s">
        <v>12035</v>
      </c>
      <c r="O152" s="18" t="s">
        <v>75</v>
      </c>
      <c r="P152" s="18" t="s">
        <v>12036</v>
      </c>
      <c r="Q152" s="18" t="s">
        <v>10817</v>
      </c>
      <c r="R152" s="18" t="s">
        <v>78</v>
      </c>
      <c r="S152" s="18" t="s">
        <v>77</v>
      </c>
      <c r="T152" s="22">
        <v>44915</v>
      </c>
      <c r="U152" s="18"/>
      <c r="V152" s="18" t="s">
        <v>81</v>
      </c>
      <c r="W152" s="18" t="s">
        <v>79</v>
      </c>
      <c r="X152" s="18" t="s">
        <v>10803</v>
      </c>
      <c r="Y152" s="18" t="s">
        <v>2159</v>
      </c>
      <c r="Z152" s="18" t="s">
        <v>2160</v>
      </c>
      <c r="AA152" s="18" t="s">
        <v>7062</v>
      </c>
      <c r="AB152" s="18" t="s">
        <v>95</v>
      </c>
      <c r="AC152" s="18" t="s">
        <v>7984</v>
      </c>
      <c r="AD152" s="18" t="s">
        <v>10804</v>
      </c>
      <c r="AE152" s="18" t="s">
        <v>174</v>
      </c>
      <c r="AF152" s="18" t="s">
        <v>95</v>
      </c>
      <c r="AG152" s="18" t="s">
        <v>83</v>
      </c>
      <c r="AH152" s="18" t="s">
        <v>83</v>
      </c>
      <c r="AI152" s="18" t="s">
        <v>81</v>
      </c>
      <c r="AJ152" s="18" t="s">
        <v>118</v>
      </c>
      <c r="AK152" s="18" t="s">
        <v>95</v>
      </c>
      <c r="AL152" s="18" t="s">
        <v>11080</v>
      </c>
      <c r="AM152" s="18" t="s">
        <v>85</v>
      </c>
      <c r="AN152" s="18" t="s">
        <v>7031</v>
      </c>
      <c r="AO152" s="18" t="s">
        <v>86</v>
      </c>
      <c r="AP152" s="18" t="s">
        <v>90</v>
      </c>
      <c r="AQ152" s="18" t="s">
        <v>8002</v>
      </c>
      <c r="AR152" s="18" t="s">
        <v>177</v>
      </c>
      <c r="AS152" s="18" t="s">
        <v>139</v>
      </c>
      <c r="AT152" s="18" t="s">
        <v>95</v>
      </c>
      <c r="AU152" s="18" t="s">
        <v>95</v>
      </c>
      <c r="AV152" s="18" t="s">
        <v>7037</v>
      </c>
      <c r="AW152" s="18" t="s">
        <v>95</v>
      </c>
      <c r="AX152" s="18" t="s">
        <v>10806</v>
      </c>
      <c r="AY152" s="18" t="s">
        <v>95</v>
      </c>
      <c r="AZ152" s="18" t="s">
        <v>95</v>
      </c>
      <c r="BA152" s="18" t="s">
        <v>95</v>
      </c>
      <c r="BB152" s="18" t="s">
        <v>95</v>
      </c>
      <c r="BC152" s="18" t="s">
        <v>95</v>
      </c>
      <c r="BD152" s="18" t="s">
        <v>10829</v>
      </c>
      <c r="BE152" s="18" t="s">
        <v>12037</v>
      </c>
      <c r="BF152" s="18" t="s">
        <v>10809</v>
      </c>
      <c r="BG152" s="18" t="s">
        <v>7030</v>
      </c>
      <c r="BH152" s="18"/>
      <c r="BI152" s="18"/>
      <c r="BJ152" s="18" t="s">
        <v>2159</v>
      </c>
      <c r="BK152" s="18" t="s">
        <v>12038</v>
      </c>
      <c r="BL152" s="18" t="s">
        <v>10811</v>
      </c>
      <c r="BM152" s="18" t="s">
        <v>139</v>
      </c>
      <c r="BN152" s="18" t="s">
        <v>85</v>
      </c>
      <c r="BO152" s="18">
        <v>0</v>
      </c>
      <c r="BP152" s="18" t="s">
        <v>10812</v>
      </c>
      <c r="BQ152" s="18" t="str">
        <f>VLOOKUP(Prepago[[#This Row],[NOM_PLAZA]],[1]!Locales[#Data],3,0)</f>
        <v>TIENDA RECREO</v>
      </c>
      <c r="BR152" s="18" t="str">
        <f>VLOOKUP(Prepago[[#This Row],[CODIGO_USUARIO]],[1]!Personal[#Data],6,0)</f>
        <v>GUEVARA MAZA CRISTIAN FABIAN</v>
      </c>
      <c r="BS152" s="18">
        <f>DAY(Prepago[[#This Row],[FECHA_ALTA]])</f>
        <v>10</v>
      </c>
    </row>
    <row r="153" spans="1:71" x14ac:dyDescent="0.25">
      <c r="A153" s="18" t="s">
        <v>96</v>
      </c>
      <c r="B153" s="18" t="s">
        <v>12039</v>
      </c>
      <c r="C153" s="18" t="s">
        <v>12040</v>
      </c>
      <c r="D153" s="18" t="s">
        <v>10959</v>
      </c>
      <c r="E153" s="22">
        <v>44911</v>
      </c>
      <c r="F153" s="18" t="s">
        <v>67</v>
      </c>
      <c r="G153" s="18" t="s">
        <v>10960</v>
      </c>
      <c r="H153" s="18" t="s">
        <v>10961</v>
      </c>
      <c r="I153" s="18" t="s">
        <v>70</v>
      </c>
      <c r="J153" s="18" t="s">
        <v>8102</v>
      </c>
      <c r="K153" s="18" t="s">
        <v>8103</v>
      </c>
      <c r="L153" s="18" t="s">
        <v>132</v>
      </c>
      <c r="M153" s="18" t="s">
        <v>7037</v>
      </c>
      <c r="N153" s="18" t="s">
        <v>12041</v>
      </c>
      <c r="O153" s="18" t="s">
        <v>75</v>
      </c>
      <c r="P153" s="18" t="s">
        <v>12042</v>
      </c>
      <c r="Q153" s="18" t="s">
        <v>4453</v>
      </c>
      <c r="R153" s="18" t="s">
        <v>78</v>
      </c>
      <c r="S153" s="18" t="s">
        <v>77</v>
      </c>
      <c r="T153" s="22">
        <v>44915</v>
      </c>
      <c r="U153" s="18"/>
      <c r="V153" s="18" t="s">
        <v>81</v>
      </c>
      <c r="W153" s="18" t="s">
        <v>79</v>
      </c>
      <c r="X153" s="18" t="s">
        <v>10803</v>
      </c>
      <c r="Y153" s="18" t="s">
        <v>760</v>
      </c>
      <c r="Z153" s="18" t="s">
        <v>761</v>
      </c>
      <c r="AA153" s="18" t="s">
        <v>7062</v>
      </c>
      <c r="AB153" s="18" t="s">
        <v>95</v>
      </c>
      <c r="AC153" s="18" t="s">
        <v>7984</v>
      </c>
      <c r="AD153" s="18" t="s">
        <v>10804</v>
      </c>
      <c r="AE153" s="18" t="s">
        <v>174</v>
      </c>
      <c r="AF153" s="18" t="s">
        <v>95</v>
      </c>
      <c r="AG153" s="18" t="s">
        <v>83</v>
      </c>
      <c r="AH153" s="18" t="s">
        <v>83</v>
      </c>
      <c r="AI153" s="18" t="s">
        <v>81</v>
      </c>
      <c r="AJ153" s="18" t="s">
        <v>118</v>
      </c>
      <c r="AK153" s="18" t="s">
        <v>95</v>
      </c>
      <c r="AL153" s="18" t="s">
        <v>10818</v>
      </c>
      <c r="AM153" s="18" t="s">
        <v>85</v>
      </c>
      <c r="AN153" s="18" t="s">
        <v>7031</v>
      </c>
      <c r="AO153" s="18" t="s">
        <v>86</v>
      </c>
      <c r="AP153" s="18" t="s">
        <v>90</v>
      </c>
      <c r="AQ153" s="18" t="s">
        <v>8002</v>
      </c>
      <c r="AR153" s="18" t="s">
        <v>177</v>
      </c>
      <c r="AS153" s="18" t="s">
        <v>139</v>
      </c>
      <c r="AT153" s="18" t="s">
        <v>95</v>
      </c>
      <c r="AU153" s="18" t="s">
        <v>95</v>
      </c>
      <c r="AV153" s="18" t="s">
        <v>7037</v>
      </c>
      <c r="AW153" s="18" t="s">
        <v>95</v>
      </c>
      <c r="AX153" s="18" t="s">
        <v>10806</v>
      </c>
      <c r="AY153" s="18" t="s">
        <v>95</v>
      </c>
      <c r="AZ153" s="18" t="s">
        <v>95</v>
      </c>
      <c r="BA153" s="18" t="s">
        <v>95</v>
      </c>
      <c r="BB153" s="18" t="s">
        <v>95</v>
      </c>
      <c r="BC153" s="18" t="s">
        <v>95</v>
      </c>
      <c r="BD153" s="18" t="s">
        <v>10829</v>
      </c>
      <c r="BE153" s="18" t="s">
        <v>10964</v>
      </c>
      <c r="BF153" s="18" t="s">
        <v>10809</v>
      </c>
      <c r="BG153" s="18" t="s">
        <v>7030</v>
      </c>
      <c r="BH153" s="18"/>
      <c r="BI153" s="18"/>
      <c r="BJ153" s="18" t="s">
        <v>760</v>
      </c>
      <c r="BK153" s="18" t="s">
        <v>10965</v>
      </c>
      <c r="BL153" s="18" t="s">
        <v>10811</v>
      </c>
      <c r="BM153" s="18" t="s">
        <v>139</v>
      </c>
      <c r="BN153" s="18" t="s">
        <v>85</v>
      </c>
      <c r="BO153" s="18">
        <v>0</v>
      </c>
      <c r="BP153" s="18" t="s">
        <v>10812</v>
      </c>
      <c r="BQ153" s="18" t="str">
        <f>VLOOKUP(Prepago[[#This Row],[NOM_PLAZA]],[1]!Locales[#Data],3,0)</f>
        <v>TIENDA RECREO</v>
      </c>
      <c r="BR153" s="18" t="str">
        <f>VLOOKUP(Prepago[[#This Row],[CODIGO_USUARIO]],[1]!Personal[#Data],6,0)</f>
        <v>VALBUENA SANCHEZ ALBERT ANTHONY</v>
      </c>
      <c r="BS153" s="18">
        <f>DAY(Prepago[[#This Row],[FECHA_ALTA]])</f>
        <v>16</v>
      </c>
    </row>
    <row r="154" spans="1:71" x14ac:dyDescent="0.25">
      <c r="A154" s="18" t="s">
        <v>96</v>
      </c>
      <c r="B154" s="18" t="s">
        <v>12043</v>
      </c>
      <c r="C154" s="18" t="s">
        <v>12044</v>
      </c>
      <c r="D154" s="18" t="s">
        <v>12045</v>
      </c>
      <c r="E154" s="22">
        <v>44898</v>
      </c>
      <c r="F154" s="18" t="s">
        <v>67</v>
      </c>
      <c r="G154" s="18" t="s">
        <v>12046</v>
      </c>
      <c r="H154" s="18" t="s">
        <v>12047</v>
      </c>
      <c r="I154" s="18" t="s">
        <v>70</v>
      </c>
      <c r="J154" s="18" t="s">
        <v>8102</v>
      </c>
      <c r="K154" s="18" t="s">
        <v>8103</v>
      </c>
      <c r="L154" s="18" t="s">
        <v>73</v>
      </c>
      <c r="M154" s="18" t="s">
        <v>7037</v>
      </c>
      <c r="N154" s="18" t="s">
        <v>12048</v>
      </c>
      <c r="O154" s="18" t="s">
        <v>75</v>
      </c>
      <c r="P154" s="18" t="s">
        <v>12049</v>
      </c>
      <c r="Q154" s="18" t="s">
        <v>4453</v>
      </c>
      <c r="R154" s="18" t="s">
        <v>78</v>
      </c>
      <c r="S154" s="18" t="s">
        <v>77</v>
      </c>
      <c r="T154" s="22">
        <v>44915</v>
      </c>
      <c r="U154" s="18"/>
      <c r="V154" s="18" t="s">
        <v>81</v>
      </c>
      <c r="W154" s="18" t="s">
        <v>79</v>
      </c>
      <c r="X154" s="18" t="s">
        <v>10803</v>
      </c>
      <c r="Y154" s="18" t="s">
        <v>630</v>
      </c>
      <c r="Z154" s="18" t="s">
        <v>631</v>
      </c>
      <c r="AA154" s="18" t="s">
        <v>7062</v>
      </c>
      <c r="AB154" s="18" t="s">
        <v>95</v>
      </c>
      <c r="AC154" s="18" t="s">
        <v>7984</v>
      </c>
      <c r="AD154" s="18" t="s">
        <v>10804</v>
      </c>
      <c r="AE154" s="18" t="s">
        <v>174</v>
      </c>
      <c r="AF154" s="18" t="s">
        <v>95</v>
      </c>
      <c r="AG154" s="18" t="s">
        <v>83</v>
      </c>
      <c r="AH154" s="18" t="s">
        <v>83</v>
      </c>
      <c r="AI154" s="18" t="s">
        <v>81</v>
      </c>
      <c r="AJ154" s="18" t="s">
        <v>118</v>
      </c>
      <c r="AK154" s="18" t="s">
        <v>95</v>
      </c>
      <c r="AL154" s="18" t="s">
        <v>10873</v>
      </c>
      <c r="AM154" s="18" t="s">
        <v>85</v>
      </c>
      <c r="AN154" s="18" t="s">
        <v>7031</v>
      </c>
      <c r="AO154" s="18" t="s">
        <v>86</v>
      </c>
      <c r="AP154" s="18" t="s">
        <v>90</v>
      </c>
      <c r="AQ154" s="18" t="s">
        <v>8002</v>
      </c>
      <c r="AR154" s="18" t="s">
        <v>177</v>
      </c>
      <c r="AS154" s="18" t="s">
        <v>139</v>
      </c>
      <c r="AT154" s="18" t="s">
        <v>95</v>
      </c>
      <c r="AU154" s="18" t="s">
        <v>95</v>
      </c>
      <c r="AV154" s="18" t="s">
        <v>7037</v>
      </c>
      <c r="AW154" s="18" t="s">
        <v>95</v>
      </c>
      <c r="AX154" s="18" t="s">
        <v>10806</v>
      </c>
      <c r="AY154" s="18" t="s">
        <v>95</v>
      </c>
      <c r="AZ154" s="18" t="s">
        <v>95</v>
      </c>
      <c r="BA154" s="18" t="s">
        <v>95</v>
      </c>
      <c r="BB154" s="18" t="s">
        <v>95</v>
      </c>
      <c r="BC154" s="18" t="s">
        <v>95</v>
      </c>
      <c r="BD154" s="18" t="s">
        <v>10829</v>
      </c>
      <c r="BE154" s="18" t="s">
        <v>10808</v>
      </c>
      <c r="BF154" s="18" t="s">
        <v>10809</v>
      </c>
      <c r="BG154" s="18" t="s">
        <v>7030</v>
      </c>
      <c r="BH154" s="18"/>
      <c r="BI154" s="18"/>
      <c r="BJ154" s="18" t="s">
        <v>630</v>
      </c>
      <c r="BK154" s="18" t="s">
        <v>12050</v>
      </c>
      <c r="BL154" s="18" t="s">
        <v>10811</v>
      </c>
      <c r="BM154" s="18" t="s">
        <v>139</v>
      </c>
      <c r="BN154" s="18" t="s">
        <v>85</v>
      </c>
      <c r="BO154" s="18">
        <v>0</v>
      </c>
      <c r="BP154" s="18" t="s">
        <v>10812</v>
      </c>
      <c r="BQ154" s="18" t="str">
        <f>VLOOKUP(Prepago[[#This Row],[NOM_PLAZA]],[1]!Locales[#Data],3,0)</f>
        <v>TIENDA RECREO</v>
      </c>
      <c r="BR154" s="18" t="str">
        <f>VLOOKUP(Prepago[[#This Row],[CODIGO_USUARIO]],[1]!Personal[#Data],6,0)</f>
        <v>LOAYZA AGUILAR JONATHAN FABIAN</v>
      </c>
      <c r="BS154" s="18">
        <f>DAY(Prepago[[#This Row],[FECHA_ALTA]])</f>
        <v>3</v>
      </c>
    </row>
    <row r="155" spans="1:71" x14ac:dyDescent="0.25">
      <c r="A155" s="18" t="s">
        <v>96</v>
      </c>
      <c r="B155" s="18" t="s">
        <v>12051</v>
      </c>
      <c r="C155" s="18" t="s">
        <v>12052</v>
      </c>
      <c r="D155" s="18" t="s">
        <v>11747</v>
      </c>
      <c r="E155" s="22">
        <v>44900</v>
      </c>
      <c r="F155" s="18" t="s">
        <v>67</v>
      </c>
      <c r="G155" s="18" t="s">
        <v>11748</v>
      </c>
      <c r="H155" s="18" t="s">
        <v>11749</v>
      </c>
      <c r="I155" s="18" t="s">
        <v>70</v>
      </c>
      <c r="J155" s="18" t="s">
        <v>8102</v>
      </c>
      <c r="K155" s="18" t="s">
        <v>8103</v>
      </c>
      <c r="L155" s="18" t="s">
        <v>132</v>
      </c>
      <c r="M155" s="18" t="s">
        <v>7037</v>
      </c>
      <c r="N155" s="18" t="s">
        <v>12053</v>
      </c>
      <c r="O155" s="18" t="s">
        <v>75</v>
      </c>
      <c r="P155" s="18" t="s">
        <v>12054</v>
      </c>
      <c r="Q155" s="18" t="s">
        <v>10817</v>
      </c>
      <c r="R155" s="18" t="s">
        <v>78</v>
      </c>
      <c r="S155" s="18" t="s">
        <v>77</v>
      </c>
      <c r="T155" s="22">
        <v>44915</v>
      </c>
      <c r="U155" s="18"/>
      <c r="V155" s="18" t="s">
        <v>81</v>
      </c>
      <c r="W155" s="18" t="s">
        <v>79</v>
      </c>
      <c r="X155" s="18" t="s">
        <v>10803</v>
      </c>
      <c r="Y155" s="18" t="s">
        <v>369</v>
      </c>
      <c r="Z155" s="18" t="s">
        <v>370</v>
      </c>
      <c r="AA155" s="18" t="s">
        <v>7062</v>
      </c>
      <c r="AB155" s="18" t="s">
        <v>95</v>
      </c>
      <c r="AC155" s="18" t="s">
        <v>7984</v>
      </c>
      <c r="AD155" s="18" t="s">
        <v>10804</v>
      </c>
      <c r="AE155" s="18" t="s">
        <v>174</v>
      </c>
      <c r="AF155" s="18" t="s">
        <v>95</v>
      </c>
      <c r="AG155" s="18" t="s">
        <v>83</v>
      </c>
      <c r="AH155" s="18" t="s">
        <v>83</v>
      </c>
      <c r="AI155" s="18" t="s">
        <v>81</v>
      </c>
      <c r="AJ155" s="18" t="s">
        <v>118</v>
      </c>
      <c r="AK155" s="18" t="s">
        <v>95</v>
      </c>
      <c r="AL155" s="18" t="s">
        <v>11062</v>
      </c>
      <c r="AM155" s="18" t="s">
        <v>85</v>
      </c>
      <c r="AN155" s="18" t="s">
        <v>7031</v>
      </c>
      <c r="AO155" s="18" t="s">
        <v>86</v>
      </c>
      <c r="AP155" s="18" t="s">
        <v>90</v>
      </c>
      <c r="AQ155" s="18" t="s">
        <v>8002</v>
      </c>
      <c r="AR155" s="18" t="s">
        <v>177</v>
      </c>
      <c r="AS155" s="18" t="s">
        <v>139</v>
      </c>
      <c r="AT155" s="18" t="s">
        <v>95</v>
      </c>
      <c r="AU155" s="18" t="s">
        <v>95</v>
      </c>
      <c r="AV155" s="18" t="s">
        <v>7037</v>
      </c>
      <c r="AW155" s="18" t="s">
        <v>95</v>
      </c>
      <c r="AX155" s="18" t="s">
        <v>10806</v>
      </c>
      <c r="AY155" s="18" t="s">
        <v>95</v>
      </c>
      <c r="AZ155" s="18" t="s">
        <v>95</v>
      </c>
      <c r="BA155" s="18" t="s">
        <v>95</v>
      </c>
      <c r="BB155" s="18" t="s">
        <v>95</v>
      </c>
      <c r="BC155" s="18" t="s">
        <v>95</v>
      </c>
      <c r="BD155" s="18" t="s">
        <v>10807</v>
      </c>
      <c r="BE155" s="18" t="s">
        <v>11206</v>
      </c>
      <c r="BF155" s="18" t="s">
        <v>10809</v>
      </c>
      <c r="BG155" s="18" t="s">
        <v>7030</v>
      </c>
      <c r="BH155" s="18"/>
      <c r="BI155" s="18"/>
      <c r="BJ155" s="18" t="s">
        <v>369</v>
      </c>
      <c r="BK155" s="18" t="s">
        <v>11752</v>
      </c>
      <c r="BL155" s="18" t="s">
        <v>10811</v>
      </c>
      <c r="BM155" s="18" t="s">
        <v>139</v>
      </c>
      <c r="BN155" s="18" t="s">
        <v>85</v>
      </c>
      <c r="BO155" s="18">
        <v>0</v>
      </c>
      <c r="BP155" s="18" t="s">
        <v>10812</v>
      </c>
      <c r="BQ155" s="18" t="str">
        <f>VLOOKUP(Prepago[[#This Row],[NOM_PLAZA]],[1]!Locales[#Data],3,0)</f>
        <v>TIENDA RECREO</v>
      </c>
      <c r="BR155" s="18" t="str">
        <f>VLOOKUP(Prepago[[#This Row],[CODIGO_USUARIO]],[1]!Personal[#Data],6,0)</f>
        <v>GUAIGUA REINOSO GENESIS CAROLINA</v>
      </c>
      <c r="BS155" s="18">
        <f>DAY(Prepago[[#This Row],[FECHA_ALTA]])</f>
        <v>5</v>
      </c>
    </row>
    <row r="156" spans="1:71" x14ac:dyDescent="0.25">
      <c r="A156" s="18" t="s">
        <v>96</v>
      </c>
      <c r="B156" s="18" t="s">
        <v>12055</v>
      </c>
      <c r="C156" s="18" t="s">
        <v>12056</v>
      </c>
      <c r="D156" s="18" t="s">
        <v>11273</v>
      </c>
      <c r="E156" s="22">
        <v>44910</v>
      </c>
      <c r="F156" s="18" t="s">
        <v>67</v>
      </c>
      <c r="G156" s="18" t="s">
        <v>11274</v>
      </c>
      <c r="H156" s="18" t="s">
        <v>11275</v>
      </c>
      <c r="I156" s="18" t="s">
        <v>70</v>
      </c>
      <c r="J156" s="18" t="s">
        <v>8102</v>
      </c>
      <c r="K156" s="18" t="s">
        <v>8103</v>
      </c>
      <c r="L156" s="18" t="s">
        <v>73</v>
      </c>
      <c r="M156" s="18" t="s">
        <v>7029</v>
      </c>
      <c r="N156" s="18" t="s">
        <v>12057</v>
      </c>
      <c r="O156" s="18" t="s">
        <v>75</v>
      </c>
      <c r="P156" s="18" t="s">
        <v>12058</v>
      </c>
      <c r="Q156" s="18" t="s">
        <v>4453</v>
      </c>
      <c r="R156" s="18" t="s">
        <v>78</v>
      </c>
      <c r="S156" s="18" t="s">
        <v>77</v>
      </c>
      <c r="T156" s="22">
        <v>44915</v>
      </c>
      <c r="U156" s="18"/>
      <c r="V156" s="18" t="s">
        <v>81</v>
      </c>
      <c r="W156" s="18" t="s">
        <v>79</v>
      </c>
      <c r="X156" s="18" t="s">
        <v>10803</v>
      </c>
      <c r="Y156" s="18" t="s">
        <v>760</v>
      </c>
      <c r="Z156" s="18" t="s">
        <v>761</v>
      </c>
      <c r="AA156" s="18" t="s">
        <v>7062</v>
      </c>
      <c r="AB156" s="18" t="s">
        <v>95</v>
      </c>
      <c r="AC156" s="18" t="s">
        <v>7984</v>
      </c>
      <c r="AD156" s="18" t="s">
        <v>10804</v>
      </c>
      <c r="AE156" s="18" t="s">
        <v>174</v>
      </c>
      <c r="AF156" s="18" t="s">
        <v>95</v>
      </c>
      <c r="AG156" s="18" t="s">
        <v>83</v>
      </c>
      <c r="AH156" s="18" t="s">
        <v>83</v>
      </c>
      <c r="AI156" s="18" t="s">
        <v>81</v>
      </c>
      <c r="AJ156" s="18" t="s">
        <v>118</v>
      </c>
      <c r="AK156" s="18" t="s">
        <v>95</v>
      </c>
      <c r="AL156" s="18" t="s">
        <v>10818</v>
      </c>
      <c r="AM156" s="18" t="s">
        <v>85</v>
      </c>
      <c r="AN156" s="18" t="s">
        <v>7031</v>
      </c>
      <c r="AO156" s="18" t="s">
        <v>86</v>
      </c>
      <c r="AP156" s="18" t="s">
        <v>90</v>
      </c>
      <c r="AQ156" s="18" t="s">
        <v>8002</v>
      </c>
      <c r="AR156" s="18" t="s">
        <v>177</v>
      </c>
      <c r="AS156" s="18" t="s">
        <v>139</v>
      </c>
      <c r="AT156" s="18" t="s">
        <v>95</v>
      </c>
      <c r="AU156" s="18" t="s">
        <v>95</v>
      </c>
      <c r="AV156" s="18" t="s">
        <v>7029</v>
      </c>
      <c r="AW156" s="18" t="s">
        <v>95</v>
      </c>
      <c r="AX156" s="18" t="s">
        <v>10806</v>
      </c>
      <c r="AY156" s="18" t="s">
        <v>95</v>
      </c>
      <c r="AZ156" s="18" t="s">
        <v>95</v>
      </c>
      <c r="BA156" s="18" t="s">
        <v>95</v>
      </c>
      <c r="BB156" s="18" t="s">
        <v>95</v>
      </c>
      <c r="BC156" s="18" t="s">
        <v>95</v>
      </c>
      <c r="BD156" s="18" t="s">
        <v>10807</v>
      </c>
      <c r="BE156" s="18" t="s">
        <v>10808</v>
      </c>
      <c r="BF156" s="18" t="s">
        <v>10809</v>
      </c>
      <c r="BG156" s="18" t="s">
        <v>7030</v>
      </c>
      <c r="BH156" s="18"/>
      <c r="BI156" s="18"/>
      <c r="BJ156" s="18" t="s">
        <v>760</v>
      </c>
      <c r="BK156" s="18" t="s">
        <v>11278</v>
      </c>
      <c r="BL156" s="18" t="s">
        <v>10811</v>
      </c>
      <c r="BM156" s="18" t="s">
        <v>92</v>
      </c>
      <c r="BN156" s="18" t="s">
        <v>85</v>
      </c>
      <c r="BO156" s="18">
        <v>0</v>
      </c>
      <c r="BP156" s="18" t="s">
        <v>10812</v>
      </c>
      <c r="BQ156" s="18" t="str">
        <f>VLOOKUP(Prepago[[#This Row],[NOM_PLAZA]],[1]!Locales[#Data],3,0)</f>
        <v>TIENDA RECREO</v>
      </c>
      <c r="BR156" s="18" t="str">
        <f>VLOOKUP(Prepago[[#This Row],[CODIGO_USUARIO]],[1]!Personal[#Data],6,0)</f>
        <v>VALBUENA SANCHEZ ALBERT ANTHONY</v>
      </c>
      <c r="BS156" s="18">
        <f>DAY(Prepago[[#This Row],[FECHA_ALTA]])</f>
        <v>15</v>
      </c>
    </row>
    <row r="157" spans="1:71" x14ac:dyDescent="0.25">
      <c r="A157" s="18" t="s">
        <v>96</v>
      </c>
      <c r="B157" s="18" t="s">
        <v>12059</v>
      </c>
      <c r="C157" s="18" t="s">
        <v>12060</v>
      </c>
      <c r="D157" s="18" t="s">
        <v>12061</v>
      </c>
      <c r="E157" s="22">
        <v>44908</v>
      </c>
      <c r="F157" s="18" t="s">
        <v>67</v>
      </c>
      <c r="G157" s="18" t="s">
        <v>12062</v>
      </c>
      <c r="H157" s="18" t="s">
        <v>12063</v>
      </c>
      <c r="I157" s="18" t="s">
        <v>70</v>
      </c>
      <c r="J157" s="18" t="s">
        <v>8102</v>
      </c>
      <c r="K157" s="18" t="s">
        <v>8103</v>
      </c>
      <c r="L157" s="18" t="s">
        <v>2316</v>
      </c>
      <c r="M157" s="18" t="s">
        <v>7037</v>
      </c>
      <c r="N157" s="18" t="s">
        <v>12064</v>
      </c>
      <c r="O157" s="18" t="s">
        <v>75</v>
      </c>
      <c r="P157" s="18" t="s">
        <v>12065</v>
      </c>
      <c r="Q157" s="18" t="s">
        <v>10817</v>
      </c>
      <c r="R157" s="18" t="s">
        <v>78</v>
      </c>
      <c r="S157" s="18" t="s">
        <v>77</v>
      </c>
      <c r="T157" s="22">
        <v>44915</v>
      </c>
      <c r="U157" s="18"/>
      <c r="V157" s="18" t="s">
        <v>81</v>
      </c>
      <c r="W157" s="18" t="s">
        <v>79</v>
      </c>
      <c r="X157" s="18" t="s">
        <v>10803</v>
      </c>
      <c r="Y157" s="18" t="s">
        <v>1315</v>
      </c>
      <c r="Z157" s="18" t="s">
        <v>1316</v>
      </c>
      <c r="AA157" s="18" t="s">
        <v>1315</v>
      </c>
      <c r="AB157" s="18" t="s">
        <v>1316</v>
      </c>
      <c r="AC157" s="18" t="s">
        <v>7984</v>
      </c>
      <c r="AD157" s="18" t="s">
        <v>10804</v>
      </c>
      <c r="AE157" s="18" t="s">
        <v>174</v>
      </c>
      <c r="AF157" s="18" t="s">
        <v>95</v>
      </c>
      <c r="AG157" s="18" t="s">
        <v>83</v>
      </c>
      <c r="AH157" s="18" t="s">
        <v>83</v>
      </c>
      <c r="AI157" s="18" t="s">
        <v>81</v>
      </c>
      <c r="AJ157" s="18" t="s">
        <v>118</v>
      </c>
      <c r="AK157" s="18" t="s">
        <v>95</v>
      </c>
      <c r="AL157" s="18" t="s">
        <v>11052</v>
      </c>
      <c r="AM157" s="18" t="s">
        <v>85</v>
      </c>
      <c r="AN157" s="18" t="s">
        <v>7031</v>
      </c>
      <c r="AO157" s="18" t="s">
        <v>86</v>
      </c>
      <c r="AP157" s="18" t="s">
        <v>90</v>
      </c>
      <c r="AQ157" s="18" t="s">
        <v>8002</v>
      </c>
      <c r="AR157" s="18" t="s">
        <v>177</v>
      </c>
      <c r="AS157" s="18" t="s">
        <v>139</v>
      </c>
      <c r="AT157" s="18" t="s">
        <v>95</v>
      </c>
      <c r="AU157" s="18" t="s">
        <v>95</v>
      </c>
      <c r="AV157" s="18" t="s">
        <v>7037</v>
      </c>
      <c r="AW157" s="18" t="s">
        <v>95</v>
      </c>
      <c r="AX157" s="18" t="s">
        <v>10806</v>
      </c>
      <c r="AY157" s="18" t="s">
        <v>95</v>
      </c>
      <c r="AZ157" s="18" t="s">
        <v>95</v>
      </c>
      <c r="BA157" s="18" t="s">
        <v>95</v>
      </c>
      <c r="BB157" s="18" t="s">
        <v>95</v>
      </c>
      <c r="BC157" s="18" t="s">
        <v>95</v>
      </c>
      <c r="BD157" s="18" t="s">
        <v>10829</v>
      </c>
      <c r="BE157" s="18" t="s">
        <v>12066</v>
      </c>
      <c r="BF157" s="18" t="s">
        <v>10809</v>
      </c>
      <c r="BG157" s="18" t="s">
        <v>7030</v>
      </c>
      <c r="BH157" s="18"/>
      <c r="BI157" s="18"/>
      <c r="BJ157" s="18" t="s">
        <v>1315</v>
      </c>
      <c r="BK157" s="18" t="s">
        <v>12067</v>
      </c>
      <c r="BL157" s="18" t="s">
        <v>10811</v>
      </c>
      <c r="BM157" s="18" t="s">
        <v>139</v>
      </c>
      <c r="BN157" s="18" t="s">
        <v>85</v>
      </c>
      <c r="BO157" s="18">
        <v>1</v>
      </c>
      <c r="BP157" s="18" t="s">
        <v>10812</v>
      </c>
      <c r="BQ157" s="18" t="str">
        <f>VLOOKUP(Prepago[[#This Row],[NOM_PLAZA]],[1]!Locales[#Data],3,0)</f>
        <v>TIENDA RECREO</v>
      </c>
      <c r="BR157" s="18" t="str">
        <f>VLOOKUP(Prepago[[#This Row],[CODIGO_USUARIO]],[1]!Personal[#Data],6,0)</f>
        <v>ORTEGA  NATALIE MÉNDEZ</v>
      </c>
      <c r="BS157" s="18">
        <f>DAY(Prepago[[#This Row],[FECHA_ALTA]])</f>
        <v>13</v>
      </c>
    </row>
    <row r="158" spans="1:71" x14ac:dyDescent="0.25">
      <c r="A158" s="18" t="s">
        <v>96</v>
      </c>
      <c r="B158" s="18" t="s">
        <v>12068</v>
      </c>
      <c r="C158" s="18" t="s">
        <v>12069</v>
      </c>
      <c r="D158" s="18" t="s">
        <v>12070</v>
      </c>
      <c r="E158" s="22">
        <v>44914</v>
      </c>
      <c r="F158" s="18" t="s">
        <v>67</v>
      </c>
      <c r="G158" s="18" t="s">
        <v>12071</v>
      </c>
      <c r="H158" s="18" t="s">
        <v>12072</v>
      </c>
      <c r="I158" s="18" t="s">
        <v>70</v>
      </c>
      <c r="J158" s="18" t="s">
        <v>8102</v>
      </c>
      <c r="K158" s="18" t="s">
        <v>8103</v>
      </c>
      <c r="L158" s="18" t="s">
        <v>12073</v>
      </c>
      <c r="M158" s="18" t="s">
        <v>7037</v>
      </c>
      <c r="N158" s="18" t="s">
        <v>12074</v>
      </c>
      <c r="O158" s="18" t="s">
        <v>75</v>
      </c>
      <c r="P158" s="18" t="s">
        <v>12075</v>
      </c>
      <c r="Q158" s="18" t="s">
        <v>1532</v>
      </c>
      <c r="R158" s="18" t="s">
        <v>78</v>
      </c>
      <c r="S158" s="18" t="s">
        <v>77</v>
      </c>
      <c r="T158" s="22">
        <v>44915</v>
      </c>
      <c r="U158" s="18"/>
      <c r="V158" s="18" t="s">
        <v>81</v>
      </c>
      <c r="W158" s="18" t="s">
        <v>79</v>
      </c>
      <c r="X158" s="18" t="s">
        <v>10803</v>
      </c>
      <c r="Y158" s="18" t="s">
        <v>251</v>
      </c>
      <c r="Z158" s="18" t="s">
        <v>252</v>
      </c>
      <c r="AA158" s="18" t="s">
        <v>7062</v>
      </c>
      <c r="AB158" s="18" t="s">
        <v>95</v>
      </c>
      <c r="AC158" s="18" t="s">
        <v>7984</v>
      </c>
      <c r="AD158" s="18" t="s">
        <v>10804</v>
      </c>
      <c r="AE158" s="18" t="s">
        <v>174</v>
      </c>
      <c r="AF158" s="18" t="s">
        <v>95</v>
      </c>
      <c r="AG158" s="18" t="s">
        <v>83</v>
      </c>
      <c r="AH158" s="18" t="s">
        <v>83</v>
      </c>
      <c r="AI158" s="18" t="s">
        <v>81</v>
      </c>
      <c r="AJ158" s="18" t="s">
        <v>118</v>
      </c>
      <c r="AK158" s="18" t="s">
        <v>95</v>
      </c>
      <c r="AL158" s="18" t="s">
        <v>10864</v>
      </c>
      <c r="AM158" s="18" t="s">
        <v>85</v>
      </c>
      <c r="AN158" s="18" t="s">
        <v>7031</v>
      </c>
      <c r="AO158" s="18" t="s">
        <v>86</v>
      </c>
      <c r="AP158" s="18" t="s">
        <v>90</v>
      </c>
      <c r="AQ158" s="18" t="s">
        <v>8002</v>
      </c>
      <c r="AR158" s="18" t="s">
        <v>177</v>
      </c>
      <c r="AS158" s="18" t="s">
        <v>139</v>
      </c>
      <c r="AT158" s="18" t="s">
        <v>95</v>
      </c>
      <c r="AU158" s="18" t="s">
        <v>95</v>
      </c>
      <c r="AV158" s="18" t="s">
        <v>7037</v>
      </c>
      <c r="AW158" s="18" t="s">
        <v>95</v>
      </c>
      <c r="AX158" s="18" t="s">
        <v>10806</v>
      </c>
      <c r="AY158" s="18" t="s">
        <v>95</v>
      </c>
      <c r="AZ158" s="18" t="s">
        <v>95</v>
      </c>
      <c r="BA158" s="18" t="s">
        <v>95</v>
      </c>
      <c r="BB158" s="18" t="s">
        <v>95</v>
      </c>
      <c r="BC158" s="18" t="s">
        <v>95</v>
      </c>
      <c r="BD158" s="18" t="s">
        <v>10829</v>
      </c>
      <c r="BE158" s="18" t="s">
        <v>12076</v>
      </c>
      <c r="BF158" s="18" t="s">
        <v>10809</v>
      </c>
      <c r="BG158" s="18" t="s">
        <v>7030</v>
      </c>
      <c r="BH158" s="18"/>
      <c r="BI158" s="18"/>
      <c r="BJ158" s="18" t="s">
        <v>251</v>
      </c>
      <c r="BK158" s="18" t="s">
        <v>12077</v>
      </c>
      <c r="BL158" s="18" t="s">
        <v>10811</v>
      </c>
      <c r="BM158" s="18" t="s">
        <v>139</v>
      </c>
      <c r="BN158" s="18" t="s">
        <v>85</v>
      </c>
      <c r="BO158" s="18">
        <v>0</v>
      </c>
      <c r="BP158" s="18" t="s">
        <v>10812</v>
      </c>
      <c r="BQ158" s="18" t="str">
        <f>VLOOKUP(Prepago[[#This Row],[NOM_PLAZA]],[1]!Locales[#Data],3,0)</f>
        <v>TIENDA RECREO</v>
      </c>
      <c r="BR158" s="18" t="str">
        <f>VLOOKUP(Prepago[[#This Row],[CODIGO_USUARIO]],[1]!Personal[#Data],6,0)</f>
        <v>CRUZ MONTUFAR KATHERINE ALEJANDRA</v>
      </c>
      <c r="BS158" s="18">
        <f>DAY(Prepago[[#This Row],[FECHA_ALTA]])</f>
        <v>19</v>
      </c>
    </row>
    <row r="159" spans="1:71" x14ac:dyDescent="0.25">
      <c r="A159" s="18" t="s">
        <v>96</v>
      </c>
      <c r="B159" s="18" t="s">
        <v>12078</v>
      </c>
      <c r="C159" s="18" t="s">
        <v>12079</v>
      </c>
      <c r="D159" s="18" t="s">
        <v>12080</v>
      </c>
      <c r="E159" s="22">
        <v>44906</v>
      </c>
      <c r="F159" s="18" t="s">
        <v>67</v>
      </c>
      <c r="G159" s="18" t="s">
        <v>12081</v>
      </c>
      <c r="H159" s="18" t="s">
        <v>12082</v>
      </c>
      <c r="I159" s="18" t="s">
        <v>70</v>
      </c>
      <c r="J159" s="18" t="s">
        <v>8102</v>
      </c>
      <c r="K159" s="18" t="s">
        <v>8103</v>
      </c>
      <c r="L159" s="18" t="s">
        <v>132</v>
      </c>
      <c r="M159" s="18" t="s">
        <v>7037</v>
      </c>
      <c r="N159" s="18" t="s">
        <v>12083</v>
      </c>
      <c r="O159" s="18" t="s">
        <v>75</v>
      </c>
      <c r="P159" s="18" t="s">
        <v>12084</v>
      </c>
      <c r="Q159" s="18" t="s">
        <v>1532</v>
      </c>
      <c r="R159" s="18" t="s">
        <v>78</v>
      </c>
      <c r="S159" s="18" t="s">
        <v>77</v>
      </c>
      <c r="T159" s="22">
        <v>44915</v>
      </c>
      <c r="U159" s="18"/>
      <c r="V159" s="18" t="s">
        <v>81</v>
      </c>
      <c r="W159" s="18" t="s">
        <v>79</v>
      </c>
      <c r="X159" s="18" t="s">
        <v>10803</v>
      </c>
      <c r="Y159" s="18" t="s">
        <v>251</v>
      </c>
      <c r="Z159" s="18" t="s">
        <v>252</v>
      </c>
      <c r="AA159" s="18" t="s">
        <v>7062</v>
      </c>
      <c r="AB159" s="18" t="s">
        <v>95</v>
      </c>
      <c r="AC159" s="18" t="s">
        <v>7984</v>
      </c>
      <c r="AD159" s="18" t="s">
        <v>10804</v>
      </c>
      <c r="AE159" s="18" t="s">
        <v>174</v>
      </c>
      <c r="AF159" s="18" t="s">
        <v>95</v>
      </c>
      <c r="AG159" s="18" t="s">
        <v>83</v>
      </c>
      <c r="AH159" s="18" t="s">
        <v>83</v>
      </c>
      <c r="AI159" s="18" t="s">
        <v>81</v>
      </c>
      <c r="AJ159" s="18" t="s">
        <v>118</v>
      </c>
      <c r="AK159" s="18" t="s">
        <v>95</v>
      </c>
      <c r="AL159" s="18" t="s">
        <v>10864</v>
      </c>
      <c r="AM159" s="18" t="s">
        <v>85</v>
      </c>
      <c r="AN159" s="18" t="s">
        <v>7031</v>
      </c>
      <c r="AO159" s="18" t="s">
        <v>86</v>
      </c>
      <c r="AP159" s="18" t="s">
        <v>90</v>
      </c>
      <c r="AQ159" s="18" t="s">
        <v>8002</v>
      </c>
      <c r="AR159" s="18" t="s">
        <v>177</v>
      </c>
      <c r="AS159" s="18" t="s">
        <v>139</v>
      </c>
      <c r="AT159" s="18" t="s">
        <v>95</v>
      </c>
      <c r="AU159" s="18" t="s">
        <v>95</v>
      </c>
      <c r="AV159" s="18" t="s">
        <v>7037</v>
      </c>
      <c r="AW159" s="18" t="s">
        <v>95</v>
      </c>
      <c r="AX159" s="18" t="s">
        <v>10806</v>
      </c>
      <c r="AY159" s="18" t="s">
        <v>95</v>
      </c>
      <c r="AZ159" s="18" t="s">
        <v>95</v>
      </c>
      <c r="BA159" s="18" t="s">
        <v>95</v>
      </c>
      <c r="BB159" s="18" t="s">
        <v>95</v>
      </c>
      <c r="BC159" s="18" t="s">
        <v>95</v>
      </c>
      <c r="BD159" s="18" t="s">
        <v>10807</v>
      </c>
      <c r="BE159" s="18" t="s">
        <v>10808</v>
      </c>
      <c r="BF159" s="18" t="s">
        <v>10809</v>
      </c>
      <c r="BG159" s="18" t="s">
        <v>7030</v>
      </c>
      <c r="BH159" s="18"/>
      <c r="BI159" s="18"/>
      <c r="BJ159" s="18" t="s">
        <v>251</v>
      </c>
      <c r="BK159" s="18" t="s">
        <v>12085</v>
      </c>
      <c r="BL159" s="18" t="s">
        <v>10811</v>
      </c>
      <c r="BM159" s="18" t="s">
        <v>139</v>
      </c>
      <c r="BN159" s="18" t="s">
        <v>85</v>
      </c>
      <c r="BO159" s="18">
        <v>0</v>
      </c>
      <c r="BP159" s="18" t="s">
        <v>10812</v>
      </c>
      <c r="BQ159" s="18" t="str">
        <f>VLOOKUP(Prepago[[#This Row],[NOM_PLAZA]],[1]!Locales[#Data],3,0)</f>
        <v>TIENDA RECREO</v>
      </c>
      <c r="BR159" s="18" t="str">
        <f>VLOOKUP(Prepago[[#This Row],[CODIGO_USUARIO]],[1]!Personal[#Data],6,0)</f>
        <v>CRUZ MONTUFAR KATHERINE ALEJANDRA</v>
      </c>
      <c r="BS159" s="18">
        <f>DAY(Prepago[[#This Row],[FECHA_ALTA]])</f>
        <v>11</v>
      </c>
    </row>
    <row r="160" spans="1:71" x14ac:dyDescent="0.25">
      <c r="A160" s="18" t="s">
        <v>96</v>
      </c>
      <c r="B160" s="18" t="s">
        <v>12086</v>
      </c>
      <c r="C160" s="18" t="s">
        <v>12087</v>
      </c>
      <c r="D160" s="18" t="s">
        <v>12088</v>
      </c>
      <c r="E160" s="22">
        <v>44913</v>
      </c>
      <c r="F160" s="18" t="s">
        <v>67</v>
      </c>
      <c r="G160" s="18" t="s">
        <v>12089</v>
      </c>
      <c r="H160" s="18" t="s">
        <v>12090</v>
      </c>
      <c r="I160" s="18" t="s">
        <v>70</v>
      </c>
      <c r="J160" s="18" t="s">
        <v>8102</v>
      </c>
      <c r="K160" s="18" t="s">
        <v>8103</v>
      </c>
      <c r="L160" s="18" t="s">
        <v>132</v>
      </c>
      <c r="M160" s="18" t="s">
        <v>7037</v>
      </c>
      <c r="N160" s="18" t="s">
        <v>12091</v>
      </c>
      <c r="O160" s="18" t="s">
        <v>75</v>
      </c>
      <c r="P160" s="18" t="s">
        <v>12092</v>
      </c>
      <c r="Q160" s="18" t="s">
        <v>1532</v>
      </c>
      <c r="R160" s="18" t="s">
        <v>78</v>
      </c>
      <c r="S160" s="18" t="s">
        <v>77</v>
      </c>
      <c r="T160" s="22">
        <v>44915</v>
      </c>
      <c r="U160" s="18"/>
      <c r="V160" s="18" t="s">
        <v>81</v>
      </c>
      <c r="W160" s="18" t="s">
        <v>79</v>
      </c>
      <c r="X160" s="18" t="s">
        <v>10803</v>
      </c>
      <c r="Y160" s="18" t="s">
        <v>822</v>
      </c>
      <c r="Z160" s="18" t="s">
        <v>823</v>
      </c>
      <c r="AA160" s="18" t="s">
        <v>822</v>
      </c>
      <c r="AB160" s="18" t="s">
        <v>823</v>
      </c>
      <c r="AC160" s="18" t="s">
        <v>7984</v>
      </c>
      <c r="AD160" s="18" t="s">
        <v>10804</v>
      </c>
      <c r="AE160" s="18" t="s">
        <v>174</v>
      </c>
      <c r="AF160" s="18" t="s">
        <v>95</v>
      </c>
      <c r="AG160" s="18" t="s">
        <v>83</v>
      </c>
      <c r="AH160" s="18" t="s">
        <v>83</v>
      </c>
      <c r="AI160" s="18" t="s">
        <v>81</v>
      </c>
      <c r="AJ160" s="18" t="s">
        <v>118</v>
      </c>
      <c r="AK160" s="18" t="s">
        <v>95</v>
      </c>
      <c r="AL160" s="18" t="s">
        <v>10828</v>
      </c>
      <c r="AM160" s="18" t="s">
        <v>85</v>
      </c>
      <c r="AN160" s="18" t="s">
        <v>7031</v>
      </c>
      <c r="AO160" s="18" t="s">
        <v>86</v>
      </c>
      <c r="AP160" s="18" t="s">
        <v>90</v>
      </c>
      <c r="AQ160" s="18" t="s">
        <v>8002</v>
      </c>
      <c r="AR160" s="18" t="s">
        <v>177</v>
      </c>
      <c r="AS160" s="18" t="s">
        <v>139</v>
      </c>
      <c r="AT160" s="18" t="s">
        <v>95</v>
      </c>
      <c r="AU160" s="18" t="s">
        <v>95</v>
      </c>
      <c r="AV160" s="18" t="s">
        <v>7037</v>
      </c>
      <c r="AW160" s="18" t="s">
        <v>95</v>
      </c>
      <c r="AX160" s="18" t="s">
        <v>10806</v>
      </c>
      <c r="AY160" s="18" t="s">
        <v>95</v>
      </c>
      <c r="AZ160" s="18" t="s">
        <v>95</v>
      </c>
      <c r="BA160" s="18" t="s">
        <v>95</v>
      </c>
      <c r="BB160" s="18" t="s">
        <v>95</v>
      </c>
      <c r="BC160" s="18" t="s">
        <v>95</v>
      </c>
      <c r="BD160" s="18" t="s">
        <v>10829</v>
      </c>
      <c r="BE160" s="18" t="s">
        <v>12093</v>
      </c>
      <c r="BF160" s="18" t="s">
        <v>10809</v>
      </c>
      <c r="BG160" s="18" t="s">
        <v>7030</v>
      </c>
      <c r="BH160" s="18"/>
      <c r="BI160" s="18"/>
      <c r="BJ160" s="18" t="s">
        <v>822</v>
      </c>
      <c r="BK160" s="18" t="s">
        <v>12094</v>
      </c>
      <c r="BL160" s="18" t="s">
        <v>10811</v>
      </c>
      <c r="BM160" s="18" t="s">
        <v>139</v>
      </c>
      <c r="BN160" s="18" t="s">
        <v>85</v>
      </c>
      <c r="BO160" s="18">
        <v>0</v>
      </c>
      <c r="BP160" s="18" t="s">
        <v>10812</v>
      </c>
      <c r="BQ160" s="18" t="str">
        <f>VLOOKUP(Prepago[[#This Row],[NOM_PLAZA]],[1]!Locales[#Data],3,0)</f>
        <v>TIENDA RECREO</v>
      </c>
      <c r="BR160" s="18" t="str">
        <f>VLOOKUP(Prepago[[#This Row],[CODIGO_USUARIO]],[1]!Personal[#Data],6,0)</f>
        <v>SALAS PARRA MARIA JOSE</v>
      </c>
      <c r="BS160" s="18">
        <f>DAY(Prepago[[#This Row],[FECHA_ALTA]])</f>
        <v>18</v>
      </c>
    </row>
    <row r="161" spans="1:71" x14ac:dyDescent="0.25">
      <c r="A161" s="18" t="s">
        <v>96</v>
      </c>
      <c r="B161" s="18" t="s">
        <v>12095</v>
      </c>
      <c r="C161" s="18" t="s">
        <v>12096</v>
      </c>
      <c r="D161" s="18" t="s">
        <v>12097</v>
      </c>
      <c r="E161" s="22">
        <v>44903</v>
      </c>
      <c r="F161" s="18" t="s">
        <v>67</v>
      </c>
      <c r="G161" s="18" t="s">
        <v>12098</v>
      </c>
      <c r="H161" s="18" t="s">
        <v>12099</v>
      </c>
      <c r="I161" s="18" t="s">
        <v>70</v>
      </c>
      <c r="J161" s="18" t="s">
        <v>8102</v>
      </c>
      <c r="K161" s="18" t="s">
        <v>8103</v>
      </c>
      <c r="L161" s="18" t="s">
        <v>196</v>
      </c>
      <c r="M161" s="18" t="s">
        <v>7037</v>
      </c>
      <c r="N161" s="18" t="s">
        <v>12100</v>
      </c>
      <c r="O161" s="18" t="s">
        <v>75</v>
      </c>
      <c r="P161" s="18" t="s">
        <v>12101</v>
      </c>
      <c r="Q161" s="18" t="s">
        <v>10817</v>
      </c>
      <c r="R161" s="18" t="s">
        <v>78</v>
      </c>
      <c r="S161" s="18" t="s">
        <v>77</v>
      </c>
      <c r="T161" s="22">
        <v>44915</v>
      </c>
      <c r="U161" s="18"/>
      <c r="V161" s="18" t="s">
        <v>81</v>
      </c>
      <c r="W161" s="18" t="s">
        <v>79</v>
      </c>
      <c r="X161" s="18" t="s">
        <v>10803</v>
      </c>
      <c r="Y161" s="18" t="s">
        <v>262</v>
      </c>
      <c r="Z161" s="18" t="s">
        <v>263</v>
      </c>
      <c r="AA161" s="18" t="s">
        <v>7062</v>
      </c>
      <c r="AB161" s="18" t="s">
        <v>95</v>
      </c>
      <c r="AC161" s="18" t="s">
        <v>7984</v>
      </c>
      <c r="AD161" s="18" t="s">
        <v>10804</v>
      </c>
      <c r="AE161" s="18" t="s">
        <v>174</v>
      </c>
      <c r="AF161" s="18" t="s">
        <v>95</v>
      </c>
      <c r="AG161" s="18" t="s">
        <v>83</v>
      </c>
      <c r="AH161" s="18" t="s">
        <v>83</v>
      </c>
      <c r="AI161" s="18" t="s">
        <v>81</v>
      </c>
      <c r="AJ161" s="18" t="s">
        <v>118</v>
      </c>
      <c r="AK161" s="18" t="s">
        <v>95</v>
      </c>
      <c r="AL161" s="18" t="s">
        <v>10883</v>
      </c>
      <c r="AM161" s="18" t="s">
        <v>85</v>
      </c>
      <c r="AN161" s="18" t="s">
        <v>7031</v>
      </c>
      <c r="AO161" s="18" t="s">
        <v>86</v>
      </c>
      <c r="AP161" s="18" t="s">
        <v>90</v>
      </c>
      <c r="AQ161" s="18" t="s">
        <v>8002</v>
      </c>
      <c r="AR161" s="18" t="s">
        <v>177</v>
      </c>
      <c r="AS161" s="18" t="s">
        <v>139</v>
      </c>
      <c r="AT161" s="18" t="s">
        <v>95</v>
      </c>
      <c r="AU161" s="18" t="s">
        <v>95</v>
      </c>
      <c r="AV161" s="18" t="s">
        <v>7037</v>
      </c>
      <c r="AW161" s="18" t="s">
        <v>95</v>
      </c>
      <c r="AX161" s="18" t="s">
        <v>10806</v>
      </c>
      <c r="AY161" s="18" t="s">
        <v>95</v>
      </c>
      <c r="AZ161" s="18" t="s">
        <v>95</v>
      </c>
      <c r="BA161" s="18" t="s">
        <v>95</v>
      </c>
      <c r="BB161" s="18" t="s">
        <v>95</v>
      </c>
      <c r="BC161" s="18" t="s">
        <v>95</v>
      </c>
      <c r="BD161" s="18" t="s">
        <v>10829</v>
      </c>
      <c r="BE161" s="18" t="s">
        <v>12102</v>
      </c>
      <c r="BF161" s="18" t="s">
        <v>10809</v>
      </c>
      <c r="BG161" s="18" t="s">
        <v>7030</v>
      </c>
      <c r="BH161" s="18"/>
      <c r="BI161" s="18"/>
      <c r="BJ161" s="18" t="s">
        <v>262</v>
      </c>
      <c r="BK161" s="18" t="s">
        <v>12103</v>
      </c>
      <c r="BL161" s="18" t="s">
        <v>10811</v>
      </c>
      <c r="BM161" s="18" t="s">
        <v>139</v>
      </c>
      <c r="BN161" s="18" t="s">
        <v>85</v>
      </c>
      <c r="BO161" s="18">
        <v>1</v>
      </c>
      <c r="BP161" s="18" t="s">
        <v>10812</v>
      </c>
      <c r="BQ161" s="18" t="str">
        <f>VLOOKUP(Prepago[[#This Row],[NOM_PLAZA]],[1]!Locales[#Data],3,0)</f>
        <v>TIENDA RECREO</v>
      </c>
      <c r="BR161" s="18" t="str">
        <f>VLOOKUP(Prepago[[#This Row],[CODIGO_USUARIO]],[1]!Personal[#Data],6,0)</f>
        <v>CHICAIZA TOAPANTA ALEX DANILO</v>
      </c>
      <c r="BS161" s="18">
        <f>DAY(Prepago[[#This Row],[FECHA_ALTA]])</f>
        <v>8</v>
      </c>
    </row>
    <row r="162" spans="1:71" x14ac:dyDescent="0.25">
      <c r="A162" s="18" t="s">
        <v>96</v>
      </c>
      <c r="B162" s="18" t="s">
        <v>12104</v>
      </c>
      <c r="C162" s="18" t="s">
        <v>12105</v>
      </c>
      <c r="D162" s="18" t="s">
        <v>12106</v>
      </c>
      <c r="E162" s="22">
        <v>44901</v>
      </c>
      <c r="F162" s="18" t="s">
        <v>67</v>
      </c>
      <c r="G162" s="18" t="s">
        <v>12107</v>
      </c>
      <c r="H162" s="18" t="s">
        <v>12108</v>
      </c>
      <c r="I162" s="18" t="s">
        <v>70</v>
      </c>
      <c r="J162" s="18" t="s">
        <v>8102</v>
      </c>
      <c r="K162" s="18" t="s">
        <v>8103</v>
      </c>
      <c r="L162" s="18" t="s">
        <v>132</v>
      </c>
      <c r="M162" s="18" t="s">
        <v>7037</v>
      </c>
      <c r="N162" s="18" t="s">
        <v>12109</v>
      </c>
      <c r="O162" s="18" t="s">
        <v>75</v>
      </c>
      <c r="P162" s="18" t="s">
        <v>12110</v>
      </c>
      <c r="Q162" s="18" t="s">
        <v>1532</v>
      </c>
      <c r="R162" s="18" t="s">
        <v>78</v>
      </c>
      <c r="S162" s="18" t="s">
        <v>77</v>
      </c>
      <c r="T162" s="22">
        <v>44915</v>
      </c>
      <c r="U162" s="18"/>
      <c r="V162" s="18" t="s">
        <v>81</v>
      </c>
      <c r="W162" s="18" t="s">
        <v>79</v>
      </c>
      <c r="X162" s="18" t="s">
        <v>10803</v>
      </c>
      <c r="Y162" s="18" t="s">
        <v>369</v>
      </c>
      <c r="Z162" s="18" t="s">
        <v>370</v>
      </c>
      <c r="AA162" s="18" t="s">
        <v>7062</v>
      </c>
      <c r="AB162" s="18" t="s">
        <v>95</v>
      </c>
      <c r="AC162" s="18" t="s">
        <v>7984</v>
      </c>
      <c r="AD162" s="18" t="s">
        <v>10804</v>
      </c>
      <c r="AE162" s="18" t="s">
        <v>174</v>
      </c>
      <c r="AF162" s="18" t="s">
        <v>95</v>
      </c>
      <c r="AG162" s="18" t="s">
        <v>83</v>
      </c>
      <c r="AH162" s="18" t="s">
        <v>83</v>
      </c>
      <c r="AI162" s="18" t="s">
        <v>81</v>
      </c>
      <c r="AJ162" s="18" t="s">
        <v>118</v>
      </c>
      <c r="AK162" s="18" t="s">
        <v>95</v>
      </c>
      <c r="AL162" s="18" t="s">
        <v>11062</v>
      </c>
      <c r="AM162" s="18" t="s">
        <v>85</v>
      </c>
      <c r="AN162" s="18" t="s">
        <v>7031</v>
      </c>
      <c r="AO162" s="18" t="s">
        <v>86</v>
      </c>
      <c r="AP162" s="18" t="s">
        <v>90</v>
      </c>
      <c r="AQ162" s="18" t="s">
        <v>8002</v>
      </c>
      <c r="AR162" s="18" t="s">
        <v>177</v>
      </c>
      <c r="AS162" s="18" t="s">
        <v>139</v>
      </c>
      <c r="AT162" s="18" t="s">
        <v>95</v>
      </c>
      <c r="AU162" s="18" t="s">
        <v>95</v>
      </c>
      <c r="AV162" s="18" t="s">
        <v>7037</v>
      </c>
      <c r="AW162" s="18" t="s">
        <v>95</v>
      </c>
      <c r="AX162" s="18" t="s">
        <v>10806</v>
      </c>
      <c r="AY162" s="18" t="s">
        <v>95</v>
      </c>
      <c r="AZ162" s="18" t="s">
        <v>95</v>
      </c>
      <c r="BA162" s="18" t="s">
        <v>95</v>
      </c>
      <c r="BB162" s="18" t="s">
        <v>95</v>
      </c>
      <c r="BC162" s="18" t="s">
        <v>95</v>
      </c>
      <c r="BD162" s="18" t="s">
        <v>10829</v>
      </c>
      <c r="BE162" s="18" t="s">
        <v>12111</v>
      </c>
      <c r="BF162" s="18" t="s">
        <v>10809</v>
      </c>
      <c r="BG162" s="18" t="s">
        <v>7030</v>
      </c>
      <c r="BH162" s="18"/>
      <c r="BI162" s="18"/>
      <c r="BJ162" s="18" t="s">
        <v>369</v>
      </c>
      <c r="BK162" s="18" t="s">
        <v>12112</v>
      </c>
      <c r="BL162" s="18" t="s">
        <v>10811</v>
      </c>
      <c r="BM162" s="18" t="s">
        <v>139</v>
      </c>
      <c r="BN162" s="18" t="s">
        <v>85</v>
      </c>
      <c r="BO162" s="18">
        <v>0</v>
      </c>
      <c r="BP162" s="18" t="s">
        <v>10812</v>
      </c>
      <c r="BQ162" s="18" t="str">
        <f>VLOOKUP(Prepago[[#This Row],[NOM_PLAZA]],[1]!Locales[#Data],3,0)</f>
        <v>TIENDA RECREO</v>
      </c>
      <c r="BR162" s="18" t="str">
        <f>VLOOKUP(Prepago[[#This Row],[CODIGO_USUARIO]],[1]!Personal[#Data],6,0)</f>
        <v>GUAIGUA REINOSO GENESIS CAROLINA</v>
      </c>
      <c r="BS162" s="18">
        <f>DAY(Prepago[[#This Row],[FECHA_ALTA]])</f>
        <v>6</v>
      </c>
    </row>
    <row r="163" spans="1:71" x14ac:dyDescent="0.25">
      <c r="A163" s="18" t="s">
        <v>96</v>
      </c>
      <c r="B163" s="18" t="s">
        <v>12113</v>
      </c>
      <c r="C163" s="18" t="s">
        <v>12114</v>
      </c>
      <c r="D163" s="18" t="s">
        <v>12115</v>
      </c>
      <c r="E163" s="22">
        <v>44896</v>
      </c>
      <c r="F163" s="18" t="s">
        <v>67</v>
      </c>
      <c r="G163" s="18" t="s">
        <v>12116</v>
      </c>
      <c r="H163" s="18" t="s">
        <v>12117</v>
      </c>
      <c r="I163" s="18" t="s">
        <v>70</v>
      </c>
      <c r="J163" s="18" t="s">
        <v>8102</v>
      </c>
      <c r="K163" s="18" t="s">
        <v>8103</v>
      </c>
      <c r="L163" s="18" t="s">
        <v>132</v>
      </c>
      <c r="M163" s="18" t="s">
        <v>7037</v>
      </c>
      <c r="N163" s="18" t="s">
        <v>12118</v>
      </c>
      <c r="O163" s="18" t="s">
        <v>75</v>
      </c>
      <c r="P163" s="18" t="s">
        <v>12119</v>
      </c>
      <c r="Q163" s="18" t="s">
        <v>1532</v>
      </c>
      <c r="R163" s="18" t="s">
        <v>78</v>
      </c>
      <c r="S163" s="18" t="s">
        <v>77</v>
      </c>
      <c r="T163" s="22">
        <v>44915</v>
      </c>
      <c r="U163" s="18"/>
      <c r="V163" s="18" t="s">
        <v>81</v>
      </c>
      <c r="W163" s="18" t="s">
        <v>79</v>
      </c>
      <c r="X163" s="18" t="s">
        <v>10803</v>
      </c>
      <c r="Y163" s="18" t="s">
        <v>492</v>
      </c>
      <c r="Z163" s="18" t="s">
        <v>493</v>
      </c>
      <c r="AA163" s="18" t="s">
        <v>7062</v>
      </c>
      <c r="AB163" s="18" t="s">
        <v>95</v>
      </c>
      <c r="AC163" s="18" t="s">
        <v>7984</v>
      </c>
      <c r="AD163" s="18" t="s">
        <v>10804</v>
      </c>
      <c r="AE163" s="18" t="s">
        <v>174</v>
      </c>
      <c r="AF163" s="18" t="s">
        <v>95</v>
      </c>
      <c r="AG163" s="18" t="s">
        <v>83</v>
      </c>
      <c r="AH163" s="18" t="s">
        <v>83</v>
      </c>
      <c r="AI163" s="18" t="s">
        <v>81</v>
      </c>
      <c r="AJ163" s="18" t="s">
        <v>118</v>
      </c>
      <c r="AK163" s="18" t="s">
        <v>95</v>
      </c>
      <c r="AL163" s="18" t="s">
        <v>11329</v>
      </c>
      <c r="AM163" s="18" t="s">
        <v>85</v>
      </c>
      <c r="AN163" s="18" t="s">
        <v>7031</v>
      </c>
      <c r="AO163" s="18" t="s">
        <v>86</v>
      </c>
      <c r="AP163" s="18" t="s">
        <v>90</v>
      </c>
      <c r="AQ163" s="18" t="s">
        <v>8002</v>
      </c>
      <c r="AR163" s="18" t="s">
        <v>177</v>
      </c>
      <c r="AS163" s="18" t="s">
        <v>139</v>
      </c>
      <c r="AT163" s="18" t="s">
        <v>95</v>
      </c>
      <c r="AU163" s="18" t="s">
        <v>95</v>
      </c>
      <c r="AV163" s="18" t="s">
        <v>7037</v>
      </c>
      <c r="AW163" s="18" t="s">
        <v>95</v>
      </c>
      <c r="AX163" s="18" t="s">
        <v>10806</v>
      </c>
      <c r="AY163" s="18" t="s">
        <v>95</v>
      </c>
      <c r="AZ163" s="18" t="s">
        <v>95</v>
      </c>
      <c r="BA163" s="18" t="s">
        <v>95</v>
      </c>
      <c r="BB163" s="18" t="s">
        <v>95</v>
      </c>
      <c r="BC163" s="18" t="s">
        <v>95</v>
      </c>
      <c r="BD163" s="18" t="s">
        <v>10829</v>
      </c>
      <c r="BE163" s="18" t="s">
        <v>12120</v>
      </c>
      <c r="BF163" s="18" t="s">
        <v>7037</v>
      </c>
      <c r="BG163" s="18" t="s">
        <v>7030</v>
      </c>
      <c r="BH163" s="18"/>
      <c r="BI163" s="18"/>
      <c r="BJ163" s="18" t="s">
        <v>492</v>
      </c>
      <c r="BK163" s="18" t="s">
        <v>12121</v>
      </c>
      <c r="BL163" s="18" t="s">
        <v>10811</v>
      </c>
      <c r="BM163" s="18" t="s">
        <v>139</v>
      </c>
      <c r="BN163" s="18" t="s">
        <v>85</v>
      </c>
      <c r="BO163" s="18">
        <v>0</v>
      </c>
      <c r="BP163" s="18" t="s">
        <v>10812</v>
      </c>
      <c r="BQ163" s="18" t="str">
        <f>VLOOKUP(Prepago[[#This Row],[NOM_PLAZA]],[1]!Locales[#Data],3,0)</f>
        <v>TIENDA RECREO</v>
      </c>
      <c r="BR163" s="18" t="str">
        <f>VLOOKUP(Prepago[[#This Row],[CODIGO_USUARIO]],[1]!Personal[#Data],6,0)</f>
        <v>CONDO GARCIA NICOLAS MATIAS</v>
      </c>
      <c r="BS163" s="18">
        <f>DAY(Prepago[[#This Row],[FECHA_ALTA]])</f>
        <v>1</v>
      </c>
    </row>
    <row r="164" spans="1:71" x14ac:dyDescent="0.25">
      <c r="A164" s="18" t="s">
        <v>96</v>
      </c>
      <c r="B164" s="18" t="s">
        <v>12122</v>
      </c>
      <c r="C164" s="18" t="s">
        <v>12123</v>
      </c>
      <c r="D164" s="18" t="s">
        <v>12124</v>
      </c>
      <c r="E164" s="22">
        <v>44910</v>
      </c>
      <c r="F164" s="18" t="s">
        <v>67</v>
      </c>
      <c r="G164" s="18" t="s">
        <v>12125</v>
      </c>
      <c r="H164" s="18" t="s">
        <v>12126</v>
      </c>
      <c r="I164" s="18" t="s">
        <v>70</v>
      </c>
      <c r="J164" s="18" t="s">
        <v>8102</v>
      </c>
      <c r="K164" s="18" t="s">
        <v>8103</v>
      </c>
      <c r="L164" s="18" t="s">
        <v>132</v>
      </c>
      <c r="M164" s="18" t="s">
        <v>7037</v>
      </c>
      <c r="N164" s="18" t="s">
        <v>12127</v>
      </c>
      <c r="O164" s="18" t="s">
        <v>75</v>
      </c>
      <c r="P164" s="18" t="s">
        <v>12128</v>
      </c>
      <c r="Q164" s="18" t="s">
        <v>10817</v>
      </c>
      <c r="R164" s="18" t="s">
        <v>78</v>
      </c>
      <c r="S164" s="18" t="s">
        <v>77</v>
      </c>
      <c r="T164" s="22">
        <v>44915</v>
      </c>
      <c r="U164" s="18"/>
      <c r="V164" s="18" t="s">
        <v>81</v>
      </c>
      <c r="W164" s="18" t="s">
        <v>79</v>
      </c>
      <c r="X164" s="18" t="s">
        <v>10803</v>
      </c>
      <c r="Y164" s="18" t="s">
        <v>251</v>
      </c>
      <c r="Z164" s="18" t="s">
        <v>252</v>
      </c>
      <c r="AA164" s="18" t="s">
        <v>7062</v>
      </c>
      <c r="AB164" s="18" t="s">
        <v>95</v>
      </c>
      <c r="AC164" s="18" t="s">
        <v>7984</v>
      </c>
      <c r="AD164" s="18" t="s">
        <v>10804</v>
      </c>
      <c r="AE164" s="18" t="s">
        <v>174</v>
      </c>
      <c r="AF164" s="18" t="s">
        <v>95</v>
      </c>
      <c r="AG164" s="18" t="s">
        <v>83</v>
      </c>
      <c r="AH164" s="18" t="s">
        <v>83</v>
      </c>
      <c r="AI164" s="18" t="s">
        <v>81</v>
      </c>
      <c r="AJ164" s="18" t="s">
        <v>118</v>
      </c>
      <c r="AK164" s="18" t="s">
        <v>95</v>
      </c>
      <c r="AL164" s="18" t="s">
        <v>10864</v>
      </c>
      <c r="AM164" s="18" t="s">
        <v>85</v>
      </c>
      <c r="AN164" s="18" t="s">
        <v>7031</v>
      </c>
      <c r="AO164" s="18" t="s">
        <v>86</v>
      </c>
      <c r="AP164" s="18" t="s">
        <v>90</v>
      </c>
      <c r="AQ164" s="18" t="s">
        <v>8002</v>
      </c>
      <c r="AR164" s="18" t="s">
        <v>177</v>
      </c>
      <c r="AS164" s="18" t="s">
        <v>139</v>
      </c>
      <c r="AT164" s="18" t="s">
        <v>95</v>
      </c>
      <c r="AU164" s="18" t="s">
        <v>95</v>
      </c>
      <c r="AV164" s="18" t="s">
        <v>7037</v>
      </c>
      <c r="AW164" s="18" t="s">
        <v>95</v>
      </c>
      <c r="AX164" s="18" t="s">
        <v>10806</v>
      </c>
      <c r="AY164" s="18" t="s">
        <v>95</v>
      </c>
      <c r="AZ164" s="18" t="s">
        <v>95</v>
      </c>
      <c r="BA164" s="18" t="s">
        <v>95</v>
      </c>
      <c r="BB164" s="18" t="s">
        <v>95</v>
      </c>
      <c r="BC164" s="18" t="s">
        <v>95</v>
      </c>
      <c r="BD164" s="18" t="s">
        <v>10829</v>
      </c>
      <c r="BE164" s="18" t="s">
        <v>12129</v>
      </c>
      <c r="BF164" s="18" t="s">
        <v>10809</v>
      </c>
      <c r="BG164" s="18" t="s">
        <v>7030</v>
      </c>
      <c r="BH164" s="18"/>
      <c r="BI164" s="18"/>
      <c r="BJ164" s="18" t="s">
        <v>251</v>
      </c>
      <c r="BK164" s="18" t="s">
        <v>12130</v>
      </c>
      <c r="BL164" s="18" t="s">
        <v>10811</v>
      </c>
      <c r="BM164" s="18" t="s">
        <v>139</v>
      </c>
      <c r="BN164" s="18" t="s">
        <v>85</v>
      </c>
      <c r="BO164" s="18">
        <v>0</v>
      </c>
      <c r="BP164" s="18" t="s">
        <v>10812</v>
      </c>
      <c r="BQ164" s="18" t="str">
        <f>VLOOKUP(Prepago[[#This Row],[NOM_PLAZA]],[1]!Locales[#Data],3,0)</f>
        <v>TIENDA RECREO</v>
      </c>
      <c r="BR164" s="18" t="str">
        <f>VLOOKUP(Prepago[[#This Row],[CODIGO_USUARIO]],[1]!Personal[#Data],6,0)</f>
        <v>CRUZ MONTUFAR KATHERINE ALEJANDRA</v>
      </c>
      <c r="BS164" s="18">
        <f>DAY(Prepago[[#This Row],[FECHA_ALTA]])</f>
        <v>15</v>
      </c>
    </row>
    <row r="165" spans="1:71" x14ac:dyDescent="0.25">
      <c r="A165" s="18" t="s">
        <v>96</v>
      </c>
      <c r="B165" s="18" t="s">
        <v>12131</v>
      </c>
      <c r="C165" s="18" t="s">
        <v>12132</v>
      </c>
      <c r="D165" s="18" t="s">
        <v>12133</v>
      </c>
      <c r="E165" s="22">
        <v>44905</v>
      </c>
      <c r="F165" s="18" t="s">
        <v>67</v>
      </c>
      <c r="G165" s="18" t="s">
        <v>12134</v>
      </c>
      <c r="H165" s="18" t="s">
        <v>12135</v>
      </c>
      <c r="I165" s="18" t="s">
        <v>193</v>
      </c>
      <c r="J165" s="18" t="s">
        <v>8102</v>
      </c>
      <c r="K165" s="18" t="s">
        <v>8103</v>
      </c>
      <c r="L165" s="18" t="s">
        <v>132</v>
      </c>
      <c r="M165" s="18" t="s">
        <v>7037</v>
      </c>
      <c r="N165" s="18" t="s">
        <v>12136</v>
      </c>
      <c r="O165" s="18" t="s">
        <v>75</v>
      </c>
      <c r="P165" s="18" t="s">
        <v>12137</v>
      </c>
      <c r="Q165" s="18" t="s">
        <v>10817</v>
      </c>
      <c r="R165" s="18" t="s">
        <v>78</v>
      </c>
      <c r="S165" s="18" t="s">
        <v>77</v>
      </c>
      <c r="T165" s="22">
        <v>44915</v>
      </c>
      <c r="U165" s="18"/>
      <c r="V165" s="18" t="s">
        <v>81</v>
      </c>
      <c r="W165" s="18" t="s">
        <v>79</v>
      </c>
      <c r="X165" s="18" t="s">
        <v>10803</v>
      </c>
      <c r="Y165" s="18" t="s">
        <v>303</v>
      </c>
      <c r="Z165" s="18" t="s">
        <v>304</v>
      </c>
      <c r="AA165" s="18" t="s">
        <v>7062</v>
      </c>
      <c r="AB165" s="18" t="s">
        <v>95</v>
      </c>
      <c r="AC165" s="18" t="s">
        <v>7984</v>
      </c>
      <c r="AD165" s="18" t="s">
        <v>10804</v>
      </c>
      <c r="AE165" s="18" t="s">
        <v>174</v>
      </c>
      <c r="AF165" s="18" t="s">
        <v>95</v>
      </c>
      <c r="AG165" s="18" t="s">
        <v>83</v>
      </c>
      <c r="AH165" s="18" t="s">
        <v>83</v>
      </c>
      <c r="AI165" s="18" t="s">
        <v>81</v>
      </c>
      <c r="AJ165" s="18" t="s">
        <v>118</v>
      </c>
      <c r="AK165" s="18" t="s">
        <v>95</v>
      </c>
      <c r="AL165" s="18" t="s">
        <v>10805</v>
      </c>
      <c r="AM165" s="18" t="s">
        <v>85</v>
      </c>
      <c r="AN165" s="18" t="s">
        <v>7031</v>
      </c>
      <c r="AO165" s="18" t="s">
        <v>86</v>
      </c>
      <c r="AP165" s="18" t="s">
        <v>90</v>
      </c>
      <c r="AQ165" s="18" t="s">
        <v>8002</v>
      </c>
      <c r="AR165" s="18" t="s">
        <v>177</v>
      </c>
      <c r="AS165" s="18" t="s">
        <v>139</v>
      </c>
      <c r="AT165" s="18" t="s">
        <v>95</v>
      </c>
      <c r="AU165" s="18" t="s">
        <v>95</v>
      </c>
      <c r="AV165" s="18" t="s">
        <v>7037</v>
      </c>
      <c r="AW165" s="18" t="s">
        <v>95</v>
      </c>
      <c r="AX165" s="18" t="s">
        <v>10806</v>
      </c>
      <c r="AY165" s="18" t="s">
        <v>95</v>
      </c>
      <c r="AZ165" s="18" t="s">
        <v>95</v>
      </c>
      <c r="BA165" s="18" t="s">
        <v>95</v>
      </c>
      <c r="BB165" s="18" t="s">
        <v>95</v>
      </c>
      <c r="BC165" s="18" t="s">
        <v>95</v>
      </c>
      <c r="BD165" s="18" t="s">
        <v>10829</v>
      </c>
      <c r="BE165" s="18" t="s">
        <v>12138</v>
      </c>
      <c r="BF165" s="18" t="s">
        <v>10809</v>
      </c>
      <c r="BG165" s="18" t="s">
        <v>7030</v>
      </c>
      <c r="BH165" s="18"/>
      <c r="BI165" s="18"/>
      <c r="BJ165" s="18" t="s">
        <v>303</v>
      </c>
      <c r="BK165" s="18" t="s">
        <v>12139</v>
      </c>
      <c r="BL165" s="18" t="s">
        <v>10811</v>
      </c>
      <c r="BM165" s="18" t="s">
        <v>139</v>
      </c>
      <c r="BN165" s="18" t="s">
        <v>85</v>
      </c>
      <c r="BO165" s="18">
        <v>1</v>
      </c>
      <c r="BP165" s="18" t="s">
        <v>10812</v>
      </c>
      <c r="BQ165" s="18" t="str">
        <f>VLOOKUP(Prepago[[#This Row],[NOM_PLAZA]],[1]!Locales[#Data],3,0)</f>
        <v>TIENDA RECREO</v>
      </c>
      <c r="BR165" s="18" t="str">
        <f>VLOOKUP(Prepago[[#This Row],[CODIGO_USUARIO]],[1]!Personal[#Data],6,0)</f>
        <v>CORDOVA GAIBOR JONATHAN HERNAN</v>
      </c>
      <c r="BS165" s="18">
        <f>DAY(Prepago[[#This Row],[FECHA_ALTA]])</f>
        <v>10</v>
      </c>
    </row>
    <row r="166" spans="1:71" x14ac:dyDescent="0.25">
      <c r="A166" s="18" t="s">
        <v>96</v>
      </c>
      <c r="B166" s="18" t="s">
        <v>9721</v>
      </c>
      <c r="C166" s="18" t="s">
        <v>9727</v>
      </c>
      <c r="D166" s="18" t="s">
        <v>9723</v>
      </c>
      <c r="E166" s="22">
        <v>44908</v>
      </c>
      <c r="F166" s="18" t="s">
        <v>67</v>
      </c>
      <c r="G166" s="18" t="s">
        <v>9724</v>
      </c>
      <c r="H166" s="18" t="s">
        <v>9725</v>
      </c>
      <c r="I166" s="18" t="s">
        <v>70</v>
      </c>
      <c r="J166" s="18" t="s">
        <v>8102</v>
      </c>
      <c r="K166" s="18" t="s">
        <v>8103</v>
      </c>
      <c r="L166" s="18" t="s">
        <v>132</v>
      </c>
      <c r="M166" s="18" t="s">
        <v>7037</v>
      </c>
      <c r="N166" s="18" t="s">
        <v>9726</v>
      </c>
      <c r="O166" s="18" t="s">
        <v>287</v>
      </c>
      <c r="P166" s="18" t="s">
        <v>12140</v>
      </c>
      <c r="Q166" s="18" t="s">
        <v>10817</v>
      </c>
      <c r="R166" s="18" t="s">
        <v>78</v>
      </c>
      <c r="S166" s="18" t="s">
        <v>77</v>
      </c>
      <c r="T166" s="22">
        <v>44915</v>
      </c>
      <c r="U166" s="18"/>
      <c r="V166" s="18" t="s">
        <v>81</v>
      </c>
      <c r="W166" s="18" t="s">
        <v>79</v>
      </c>
      <c r="X166" s="18" t="s">
        <v>10803</v>
      </c>
      <c r="Y166" s="18" t="s">
        <v>740</v>
      </c>
      <c r="Z166" s="18" t="s">
        <v>741</v>
      </c>
      <c r="AA166" s="18" t="s">
        <v>7062</v>
      </c>
      <c r="AB166" s="18" t="s">
        <v>95</v>
      </c>
      <c r="AC166" s="18" t="s">
        <v>7984</v>
      </c>
      <c r="AD166" s="18" t="s">
        <v>10804</v>
      </c>
      <c r="AE166" s="18" t="s">
        <v>174</v>
      </c>
      <c r="AF166" s="18" t="s">
        <v>95</v>
      </c>
      <c r="AG166" s="18" t="s">
        <v>83</v>
      </c>
      <c r="AH166" s="18" t="s">
        <v>83</v>
      </c>
      <c r="AI166" s="18" t="s">
        <v>81</v>
      </c>
      <c r="AJ166" s="18" t="s">
        <v>118</v>
      </c>
      <c r="AK166" s="18" t="s">
        <v>95</v>
      </c>
      <c r="AL166" s="18" t="s">
        <v>10946</v>
      </c>
      <c r="AM166" s="18" t="s">
        <v>85</v>
      </c>
      <c r="AN166" s="18" t="s">
        <v>7031</v>
      </c>
      <c r="AO166" s="18" t="s">
        <v>86</v>
      </c>
      <c r="AP166" s="18" t="s">
        <v>90</v>
      </c>
      <c r="AQ166" s="18" t="s">
        <v>8002</v>
      </c>
      <c r="AR166" s="18" t="s">
        <v>177</v>
      </c>
      <c r="AS166" s="18" t="s">
        <v>139</v>
      </c>
      <c r="AT166" s="18" t="s">
        <v>95</v>
      </c>
      <c r="AU166" s="18" t="s">
        <v>95</v>
      </c>
      <c r="AV166" s="18" t="s">
        <v>7037</v>
      </c>
      <c r="AW166" s="18" t="s">
        <v>95</v>
      </c>
      <c r="AX166" s="18" t="s">
        <v>10806</v>
      </c>
      <c r="AY166" s="18" t="s">
        <v>95</v>
      </c>
      <c r="AZ166" s="18" t="s">
        <v>95</v>
      </c>
      <c r="BA166" s="18" t="s">
        <v>95</v>
      </c>
      <c r="BB166" s="18" t="s">
        <v>95</v>
      </c>
      <c r="BC166" s="18" t="s">
        <v>95</v>
      </c>
      <c r="BD166" s="18" t="s">
        <v>10829</v>
      </c>
      <c r="BE166" s="18" t="s">
        <v>12141</v>
      </c>
      <c r="BF166" s="18" t="s">
        <v>10809</v>
      </c>
      <c r="BG166" s="18" t="s">
        <v>7030</v>
      </c>
      <c r="BH166" s="18"/>
      <c r="BI166" s="18"/>
      <c r="BJ166" s="18" t="s">
        <v>740</v>
      </c>
      <c r="BK166" s="18" t="s">
        <v>12142</v>
      </c>
      <c r="BL166" s="18" t="s">
        <v>10811</v>
      </c>
      <c r="BM166" s="18" t="s">
        <v>139</v>
      </c>
      <c r="BN166" s="18" t="s">
        <v>85</v>
      </c>
      <c r="BO166" s="18">
        <v>0</v>
      </c>
      <c r="BP166" s="18" t="s">
        <v>10812</v>
      </c>
      <c r="BQ166" s="18" t="str">
        <f>VLOOKUP(Prepago[[#This Row],[NOM_PLAZA]],[1]!Locales[#Data],3,0)</f>
        <v>TIENDA RECREO</v>
      </c>
      <c r="BR166" s="18" t="str">
        <f>VLOOKUP(Prepago[[#This Row],[CODIGO_USUARIO]],[1]!Personal[#Data],6,0)</f>
        <v>CHAVEZ VASQUEZ YESSENIA KATHERINE</v>
      </c>
      <c r="BS166" s="18">
        <f>DAY(Prepago[[#This Row],[FECHA_ALTA]])</f>
        <v>13</v>
      </c>
    </row>
    <row r="167" spans="1:71" x14ac:dyDescent="0.25">
      <c r="A167" s="18" t="s">
        <v>96</v>
      </c>
      <c r="B167" s="18" t="s">
        <v>12143</v>
      </c>
      <c r="C167" s="18" t="s">
        <v>12144</v>
      </c>
      <c r="D167" s="18" t="s">
        <v>12145</v>
      </c>
      <c r="E167" s="22">
        <v>44909</v>
      </c>
      <c r="F167" s="18" t="s">
        <v>67</v>
      </c>
      <c r="G167" s="18" t="s">
        <v>12146</v>
      </c>
      <c r="H167" s="18" t="s">
        <v>12147</v>
      </c>
      <c r="I167" s="18" t="s">
        <v>70</v>
      </c>
      <c r="J167" s="18" t="s">
        <v>8102</v>
      </c>
      <c r="K167" s="18" t="s">
        <v>8103</v>
      </c>
      <c r="L167" s="18" t="s">
        <v>73</v>
      </c>
      <c r="M167" s="18" t="s">
        <v>7037</v>
      </c>
      <c r="N167" s="18" t="s">
        <v>12148</v>
      </c>
      <c r="O167" s="18" t="s">
        <v>75</v>
      </c>
      <c r="P167" s="18" t="s">
        <v>12149</v>
      </c>
      <c r="Q167" s="18" t="s">
        <v>10817</v>
      </c>
      <c r="R167" s="18" t="s">
        <v>78</v>
      </c>
      <c r="S167" s="18" t="s">
        <v>77</v>
      </c>
      <c r="T167" s="22">
        <v>44915</v>
      </c>
      <c r="U167" s="18"/>
      <c r="V167" s="18" t="s">
        <v>81</v>
      </c>
      <c r="W167" s="18" t="s">
        <v>79</v>
      </c>
      <c r="X167" s="18" t="s">
        <v>10803</v>
      </c>
      <c r="Y167" s="18" t="s">
        <v>262</v>
      </c>
      <c r="Z167" s="18" t="s">
        <v>263</v>
      </c>
      <c r="AA167" s="18" t="s">
        <v>262</v>
      </c>
      <c r="AB167" s="18" t="s">
        <v>263</v>
      </c>
      <c r="AC167" s="18" t="s">
        <v>7984</v>
      </c>
      <c r="AD167" s="18" t="s">
        <v>10804</v>
      </c>
      <c r="AE167" s="18" t="s">
        <v>174</v>
      </c>
      <c r="AF167" s="18" t="s">
        <v>95</v>
      </c>
      <c r="AG167" s="18" t="s">
        <v>83</v>
      </c>
      <c r="AH167" s="18" t="s">
        <v>83</v>
      </c>
      <c r="AI167" s="18" t="s">
        <v>81</v>
      </c>
      <c r="AJ167" s="18" t="s">
        <v>118</v>
      </c>
      <c r="AK167" s="18" t="s">
        <v>95</v>
      </c>
      <c r="AL167" s="18" t="s">
        <v>10883</v>
      </c>
      <c r="AM167" s="18" t="s">
        <v>85</v>
      </c>
      <c r="AN167" s="18" t="s">
        <v>7031</v>
      </c>
      <c r="AO167" s="18" t="s">
        <v>86</v>
      </c>
      <c r="AP167" s="18" t="s">
        <v>90</v>
      </c>
      <c r="AQ167" s="18" t="s">
        <v>8002</v>
      </c>
      <c r="AR167" s="18" t="s">
        <v>177</v>
      </c>
      <c r="AS167" s="18" t="s">
        <v>139</v>
      </c>
      <c r="AT167" s="18" t="s">
        <v>95</v>
      </c>
      <c r="AU167" s="18" t="s">
        <v>95</v>
      </c>
      <c r="AV167" s="18" t="s">
        <v>7037</v>
      </c>
      <c r="AW167" s="18" t="s">
        <v>95</v>
      </c>
      <c r="AX167" s="18" t="s">
        <v>10806</v>
      </c>
      <c r="AY167" s="18" t="s">
        <v>95</v>
      </c>
      <c r="AZ167" s="18" t="s">
        <v>95</v>
      </c>
      <c r="BA167" s="18" t="s">
        <v>95</v>
      </c>
      <c r="BB167" s="18" t="s">
        <v>95</v>
      </c>
      <c r="BC167" s="18" t="s">
        <v>95</v>
      </c>
      <c r="BD167" s="18" t="s">
        <v>10829</v>
      </c>
      <c r="BE167" s="18" t="s">
        <v>10808</v>
      </c>
      <c r="BF167" s="18" t="s">
        <v>10809</v>
      </c>
      <c r="BG167" s="18" t="s">
        <v>7030</v>
      </c>
      <c r="BH167" s="18"/>
      <c r="BI167" s="18"/>
      <c r="BJ167" s="18" t="s">
        <v>262</v>
      </c>
      <c r="BK167" s="18" t="s">
        <v>12150</v>
      </c>
      <c r="BL167" s="18" t="s">
        <v>10811</v>
      </c>
      <c r="BM167" s="18" t="s">
        <v>139</v>
      </c>
      <c r="BN167" s="18" t="s">
        <v>85</v>
      </c>
      <c r="BO167" s="18">
        <v>0</v>
      </c>
      <c r="BP167" s="18" t="s">
        <v>10812</v>
      </c>
      <c r="BQ167" s="18" t="str">
        <f>VLOOKUP(Prepago[[#This Row],[NOM_PLAZA]],[1]!Locales[#Data],3,0)</f>
        <v>TIENDA RECREO</v>
      </c>
      <c r="BR167" s="18" t="str">
        <f>VLOOKUP(Prepago[[#This Row],[CODIGO_USUARIO]],[1]!Personal[#Data],6,0)</f>
        <v>CHICAIZA TOAPANTA ALEX DANILO</v>
      </c>
      <c r="BS167" s="18">
        <f>DAY(Prepago[[#This Row],[FECHA_ALTA]])</f>
        <v>14</v>
      </c>
    </row>
    <row r="168" spans="1:71" x14ac:dyDescent="0.25">
      <c r="A168" s="18" t="s">
        <v>96</v>
      </c>
      <c r="B168" s="18" t="s">
        <v>12151</v>
      </c>
      <c r="C168" s="18" t="s">
        <v>12152</v>
      </c>
      <c r="D168" s="18" t="s">
        <v>12153</v>
      </c>
      <c r="E168" s="22">
        <v>44901</v>
      </c>
      <c r="F168" s="18" t="s">
        <v>67</v>
      </c>
      <c r="G168" s="18" t="s">
        <v>12154</v>
      </c>
      <c r="H168" s="18" t="s">
        <v>12155</v>
      </c>
      <c r="I168" s="18" t="s">
        <v>70</v>
      </c>
      <c r="J168" s="18" t="s">
        <v>8102</v>
      </c>
      <c r="K168" s="18" t="s">
        <v>8103</v>
      </c>
      <c r="L168" s="18" t="s">
        <v>132</v>
      </c>
      <c r="M168" s="18" t="s">
        <v>7037</v>
      </c>
      <c r="N168" s="18" t="s">
        <v>12156</v>
      </c>
      <c r="O168" s="18" t="s">
        <v>75</v>
      </c>
      <c r="P168" s="18" t="s">
        <v>12157</v>
      </c>
      <c r="Q168" s="18" t="s">
        <v>4453</v>
      </c>
      <c r="R168" s="18" t="s">
        <v>78</v>
      </c>
      <c r="S168" s="18" t="s">
        <v>77</v>
      </c>
      <c r="T168" s="22">
        <v>44915</v>
      </c>
      <c r="U168" s="18"/>
      <c r="V168" s="18" t="s">
        <v>81</v>
      </c>
      <c r="W168" s="18" t="s">
        <v>79</v>
      </c>
      <c r="X168" s="18" t="s">
        <v>10803</v>
      </c>
      <c r="Y168" s="18" t="s">
        <v>187</v>
      </c>
      <c r="Z168" s="18" t="s">
        <v>188</v>
      </c>
      <c r="AA168" s="18" t="s">
        <v>7062</v>
      </c>
      <c r="AB168" s="18" t="s">
        <v>95</v>
      </c>
      <c r="AC168" s="18" t="s">
        <v>7984</v>
      </c>
      <c r="AD168" s="18" t="s">
        <v>10804</v>
      </c>
      <c r="AE168" s="18" t="s">
        <v>174</v>
      </c>
      <c r="AF168" s="18" t="s">
        <v>95</v>
      </c>
      <c r="AG168" s="18" t="s">
        <v>83</v>
      </c>
      <c r="AH168" s="18" t="s">
        <v>83</v>
      </c>
      <c r="AI168" s="18" t="s">
        <v>81</v>
      </c>
      <c r="AJ168" s="18" t="s">
        <v>118</v>
      </c>
      <c r="AK168" s="18" t="s">
        <v>95</v>
      </c>
      <c r="AL168" s="18" t="s">
        <v>10920</v>
      </c>
      <c r="AM168" s="18" t="s">
        <v>85</v>
      </c>
      <c r="AN168" s="18" t="s">
        <v>7031</v>
      </c>
      <c r="AO168" s="18" t="s">
        <v>86</v>
      </c>
      <c r="AP168" s="18" t="s">
        <v>90</v>
      </c>
      <c r="AQ168" s="18" t="s">
        <v>8002</v>
      </c>
      <c r="AR168" s="18" t="s">
        <v>177</v>
      </c>
      <c r="AS168" s="18" t="s">
        <v>139</v>
      </c>
      <c r="AT168" s="18" t="s">
        <v>95</v>
      </c>
      <c r="AU168" s="18" t="s">
        <v>95</v>
      </c>
      <c r="AV168" s="18" t="s">
        <v>7037</v>
      </c>
      <c r="AW168" s="18" t="s">
        <v>95</v>
      </c>
      <c r="AX168" s="18" t="s">
        <v>10806</v>
      </c>
      <c r="AY168" s="18" t="s">
        <v>95</v>
      </c>
      <c r="AZ168" s="18" t="s">
        <v>95</v>
      </c>
      <c r="BA168" s="18" t="s">
        <v>95</v>
      </c>
      <c r="BB168" s="18" t="s">
        <v>95</v>
      </c>
      <c r="BC168" s="18" t="s">
        <v>95</v>
      </c>
      <c r="BD168" s="18" t="s">
        <v>10807</v>
      </c>
      <c r="BE168" s="18" t="s">
        <v>12158</v>
      </c>
      <c r="BF168" s="18" t="s">
        <v>10809</v>
      </c>
      <c r="BG168" s="18" t="s">
        <v>7030</v>
      </c>
      <c r="BH168" s="18"/>
      <c r="BI168" s="18"/>
      <c r="BJ168" s="18" t="s">
        <v>187</v>
      </c>
      <c r="BK168" s="18" t="s">
        <v>12159</v>
      </c>
      <c r="BL168" s="18" t="s">
        <v>10811</v>
      </c>
      <c r="BM168" s="18" t="s">
        <v>139</v>
      </c>
      <c r="BN168" s="18" t="s">
        <v>85</v>
      </c>
      <c r="BO168" s="18">
        <v>1</v>
      </c>
      <c r="BP168" s="18" t="s">
        <v>10812</v>
      </c>
      <c r="BQ168" s="18" t="str">
        <f>VLOOKUP(Prepago[[#This Row],[NOM_PLAZA]],[1]!Locales[#Data],3,0)</f>
        <v>TIENDA RECREO</v>
      </c>
      <c r="BR168" s="18" t="str">
        <f>VLOOKUP(Prepago[[#This Row],[CODIGO_USUARIO]],[1]!Personal[#Data],6,0)</f>
        <v>ESPINOZA MARTINES LAURA XIOMARA</v>
      </c>
      <c r="BS168" s="18">
        <f>DAY(Prepago[[#This Row],[FECHA_ALTA]])</f>
        <v>6</v>
      </c>
    </row>
    <row r="169" spans="1:71" x14ac:dyDescent="0.25">
      <c r="A169" s="18" t="s">
        <v>96</v>
      </c>
      <c r="B169" s="18" t="s">
        <v>12160</v>
      </c>
      <c r="C169" s="18" t="s">
        <v>12161</v>
      </c>
      <c r="D169" s="18" t="s">
        <v>12162</v>
      </c>
      <c r="E169" s="22">
        <v>44914</v>
      </c>
      <c r="F169" s="18" t="s">
        <v>67</v>
      </c>
      <c r="G169" s="18" t="s">
        <v>12163</v>
      </c>
      <c r="H169" s="18" t="s">
        <v>12164</v>
      </c>
      <c r="I169" s="18" t="s">
        <v>70</v>
      </c>
      <c r="J169" s="18" t="s">
        <v>8102</v>
      </c>
      <c r="K169" s="18" t="s">
        <v>8103</v>
      </c>
      <c r="L169" s="18" t="s">
        <v>2316</v>
      </c>
      <c r="M169" s="18" t="s">
        <v>7037</v>
      </c>
      <c r="N169" s="18" t="s">
        <v>12165</v>
      </c>
      <c r="O169" s="18" t="s">
        <v>75</v>
      </c>
      <c r="P169" s="18" t="s">
        <v>12166</v>
      </c>
      <c r="Q169" s="18" t="s">
        <v>10817</v>
      </c>
      <c r="R169" s="18" t="s">
        <v>78</v>
      </c>
      <c r="S169" s="18" t="s">
        <v>77</v>
      </c>
      <c r="T169" s="22">
        <v>44915</v>
      </c>
      <c r="U169" s="18"/>
      <c r="V169" s="18" t="s">
        <v>81</v>
      </c>
      <c r="W169" s="18" t="s">
        <v>79</v>
      </c>
      <c r="X169" s="18" t="s">
        <v>10803</v>
      </c>
      <c r="Y169" s="18" t="s">
        <v>457</v>
      </c>
      <c r="Z169" s="18" t="s">
        <v>458</v>
      </c>
      <c r="AA169" s="18" t="s">
        <v>457</v>
      </c>
      <c r="AB169" s="18" t="s">
        <v>458</v>
      </c>
      <c r="AC169" s="18" t="s">
        <v>7984</v>
      </c>
      <c r="AD169" s="18" t="s">
        <v>10804</v>
      </c>
      <c r="AE169" s="18" t="s">
        <v>174</v>
      </c>
      <c r="AF169" s="18" t="s">
        <v>95</v>
      </c>
      <c r="AG169" s="18" t="s">
        <v>83</v>
      </c>
      <c r="AH169" s="18" t="s">
        <v>83</v>
      </c>
      <c r="AI169" s="18" t="s">
        <v>81</v>
      </c>
      <c r="AJ169" s="18" t="s">
        <v>118</v>
      </c>
      <c r="AK169" s="18" t="s">
        <v>95</v>
      </c>
      <c r="AL169" s="18" t="s">
        <v>11391</v>
      </c>
      <c r="AM169" s="18" t="s">
        <v>85</v>
      </c>
      <c r="AN169" s="18" t="s">
        <v>7031</v>
      </c>
      <c r="AO169" s="18" t="s">
        <v>86</v>
      </c>
      <c r="AP169" s="18" t="s">
        <v>90</v>
      </c>
      <c r="AQ169" s="18" t="s">
        <v>8002</v>
      </c>
      <c r="AR169" s="18" t="s">
        <v>177</v>
      </c>
      <c r="AS169" s="18" t="s">
        <v>139</v>
      </c>
      <c r="AT169" s="18" t="s">
        <v>95</v>
      </c>
      <c r="AU169" s="18" t="s">
        <v>95</v>
      </c>
      <c r="AV169" s="18" t="s">
        <v>7037</v>
      </c>
      <c r="AW169" s="18" t="s">
        <v>95</v>
      </c>
      <c r="AX169" s="18" t="s">
        <v>10806</v>
      </c>
      <c r="AY169" s="18" t="s">
        <v>95</v>
      </c>
      <c r="AZ169" s="18" t="s">
        <v>95</v>
      </c>
      <c r="BA169" s="18" t="s">
        <v>95</v>
      </c>
      <c r="BB169" s="18" t="s">
        <v>95</v>
      </c>
      <c r="BC169" s="18" t="s">
        <v>95</v>
      </c>
      <c r="BD169" s="18" t="s">
        <v>10807</v>
      </c>
      <c r="BE169" s="18" t="s">
        <v>12167</v>
      </c>
      <c r="BF169" s="18" t="s">
        <v>10809</v>
      </c>
      <c r="BG169" s="18" t="s">
        <v>7030</v>
      </c>
      <c r="BH169" s="18"/>
      <c r="BI169" s="18"/>
      <c r="BJ169" s="18" t="s">
        <v>457</v>
      </c>
      <c r="BK169" s="18" t="s">
        <v>12168</v>
      </c>
      <c r="BL169" s="18" t="s">
        <v>10811</v>
      </c>
      <c r="BM169" s="18" t="s">
        <v>139</v>
      </c>
      <c r="BN169" s="18" t="s">
        <v>85</v>
      </c>
      <c r="BO169" s="18">
        <v>1</v>
      </c>
      <c r="BP169" s="18" t="s">
        <v>10812</v>
      </c>
      <c r="BQ169" s="18" t="str">
        <f>VLOOKUP(Prepago[[#This Row],[NOM_PLAZA]],[1]!Locales[#Data],3,0)</f>
        <v>TIENDA RECREO</v>
      </c>
      <c r="BR169" s="18" t="str">
        <f>VLOOKUP(Prepago[[#This Row],[CODIGO_USUARIO]],[1]!Personal[#Data],6,0)</f>
        <v>LOZADA REYES BERTHA MARIBEL</v>
      </c>
      <c r="BS169" s="18">
        <f>DAY(Prepago[[#This Row],[FECHA_ALTA]])</f>
        <v>19</v>
      </c>
    </row>
    <row r="170" spans="1:71" x14ac:dyDescent="0.25">
      <c r="A170" s="18" t="s">
        <v>96</v>
      </c>
      <c r="B170" s="18" t="s">
        <v>12169</v>
      </c>
      <c r="C170" s="18" t="s">
        <v>12170</v>
      </c>
      <c r="D170" s="18" t="s">
        <v>11975</v>
      </c>
      <c r="E170" s="22">
        <v>44912</v>
      </c>
      <c r="F170" s="18" t="s">
        <v>67</v>
      </c>
      <c r="G170" s="18" t="s">
        <v>6894</v>
      </c>
      <c r="H170" s="18" t="s">
        <v>6895</v>
      </c>
      <c r="I170" s="18" t="s">
        <v>70</v>
      </c>
      <c r="J170" s="18" t="s">
        <v>8102</v>
      </c>
      <c r="K170" s="18" t="s">
        <v>8103</v>
      </c>
      <c r="L170" s="18" t="s">
        <v>132</v>
      </c>
      <c r="M170" s="18" t="s">
        <v>7037</v>
      </c>
      <c r="N170" s="18" t="s">
        <v>12171</v>
      </c>
      <c r="O170" s="18" t="s">
        <v>75</v>
      </c>
      <c r="P170" s="18" t="s">
        <v>12172</v>
      </c>
      <c r="Q170" s="18" t="s">
        <v>4453</v>
      </c>
      <c r="R170" s="18" t="s">
        <v>78</v>
      </c>
      <c r="S170" s="18" t="s">
        <v>77</v>
      </c>
      <c r="T170" s="22">
        <v>44915</v>
      </c>
      <c r="U170" s="18"/>
      <c r="V170" s="18" t="s">
        <v>81</v>
      </c>
      <c r="W170" s="18" t="s">
        <v>79</v>
      </c>
      <c r="X170" s="18" t="s">
        <v>10803</v>
      </c>
      <c r="Y170" s="18" t="s">
        <v>760</v>
      </c>
      <c r="Z170" s="18" t="s">
        <v>761</v>
      </c>
      <c r="AA170" s="18" t="s">
        <v>7062</v>
      </c>
      <c r="AB170" s="18" t="s">
        <v>95</v>
      </c>
      <c r="AC170" s="18" t="s">
        <v>7984</v>
      </c>
      <c r="AD170" s="18" t="s">
        <v>10804</v>
      </c>
      <c r="AE170" s="18" t="s">
        <v>174</v>
      </c>
      <c r="AF170" s="18" t="s">
        <v>95</v>
      </c>
      <c r="AG170" s="18" t="s">
        <v>83</v>
      </c>
      <c r="AH170" s="18" t="s">
        <v>83</v>
      </c>
      <c r="AI170" s="18" t="s">
        <v>81</v>
      </c>
      <c r="AJ170" s="18" t="s">
        <v>118</v>
      </c>
      <c r="AK170" s="18" t="s">
        <v>95</v>
      </c>
      <c r="AL170" s="18" t="s">
        <v>10818</v>
      </c>
      <c r="AM170" s="18" t="s">
        <v>85</v>
      </c>
      <c r="AN170" s="18" t="s">
        <v>7031</v>
      </c>
      <c r="AO170" s="18" t="s">
        <v>86</v>
      </c>
      <c r="AP170" s="18" t="s">
        <v>90</v>
      </c>
      <c r="AQ170" s="18" t="s">
        <v>8002</v>
      </c>
      <c r="AR170" s="18" t="s">
        <v>177</v>
      </c>
      <c r="AS170" s="18" t="s">
        <v>139</v>
      </c>
      <c r="AT170" s="18" t="s">
        <v>95</v>
      </c>
      <c r="AU170" s="18" t="s">
        <v>95</v>
      </c>
      <c r="AV170" s="18" t="s">
        <v>7037</v>
      </c>
      <c r="AW170" s="18" t="s">
        <v>95</v>
      </c>
      <c r="AX170" s="18" t="s">
        <v>10806</v>
      </c>
      <c r="AY170" s="18" t="s">
        <v>95</v>
      </c>
      <c r="AZ170" s="18" t="s">
        <v>95</v>
      </c>
      <c r="BA170" s="18" t="s">
        <v>95</v>
      </c>
      <c r="BB170" s="18" t="s">
        <v>95</v>
      </c>
      <c r="BC170" s="18" t="s">
        <v>95</v>
      </c>
      <c r="BD170" s="18" t="s">
        <v>10807</v>
      </c>
      <c r="BE170" s="18" t="s">
        <v>11978</v>
      </c>
      <c r="BF170" s="18" t="s">
        <v>10809</v>
      </c>
      <c r="BG170" s="18" t="s">
        <v>7030</v>
      </c>
      <c r="BH170" s="18"/>
      <c r="BI170" s="18"/>
      <c r="BJ170" s="18" t="s">
        <v>760</v>
      </c>
      <c r="BK170" s="18" t="s">
        <v>11979</v>
      </c>
      <c r="BL170" s="18" t="s">
        <v>10811</v>
      </c>
      <c r="BM170" s="18" t="s">
        <v>139</v>
      </c>
      <c r="BN170" s="18" t="s">
        <v>85</v>
      </c>
      <c r="BO170" s="18">
        <v>0</v>
      </c>
      <c r="BP170" s="18" t="s">
        <v>10812</v>
      </c>
      <c r="BQ170" s="18" t="str">
        <f>VLOOKUP(Prepago[[#This Row],[NOM_PLAZA]],[1]!Locales[#Data],3,0)</f>
        <v>TIENDA RECREO</v>
      </c>
      <c r="BR170" s="18" t="str">
        <f>VLOOKUP(Prepago[[#This Row],[CODIGO_USUARIO]],[1]!Personal[#Data],6,0)</f>
        <v>VALBUENA SANCHEZ ALBERT ANTHONY</v>
      </c>
      <c r="BS170" s="18">
        <f>DAY(Prepago[[#This Row],[FECHA_ALTA]])</f>
        <v>17</v>
      </c>
    </row>
    <row r="171" spans="1:71" x14ac:dyDescent="0.25">
      <c r="A171" s="18" t="s">
        <v>96</v>
      </c>
      <c r="B171" s="18" t="s">
        <v>12173</v>
      </c>
      <c r="C171" s="18" t="s">
        <v>12174</v>
      </c>
      <c r="D171" s="18" t="s">
        <v>12175</v>
      </c>
      <c r="E171" s="22">
        <v>44909</v>
      </c>
      <c r="F171" s="18" t="s">
        <v>67</v>
      </c>
      <c r="G171" s="18" t="s">
        <v>6766</v>
      </c>
      <c r="H171" s="18" t="s">
        <v>6767</v>
      </c>
      <c r="I171" s="18" t="s">
        <v>70</v>
      </c>
      <c r="J171" s="18" t="s">
        <v>8102</v>
      </c>
      <c r="K171" s="18" t="s">
        <v>8103</v>
      </c>
      <c r="L171" s="18" t="s">
        <v>95</v>
      </c>
      <c r="M171" s="18" t="s">
        <v>7037</v>
      </c>
      <c r="N171" s="18" t="s">
        <v>12176</v>
      </c>
      <c r="O171" s="18" t="s">
        <v>75</v>
      </c>
      <c r="P171" s="18" t="s">
        <v>12177</v>
      </c>
      <c r="Q171" s="18" t="s">
        <v>4453</v>
      </c>
      <c r="R171" s="18" t="s">
        <v>78</v>
      </c>
      <c r="S171" s="18" t="s">
        <v>77</v>
      </c>
      <c r="T171" s="22">
        <v>44915</v>
      </c>
      <c r="U171" s="18"/>
      <c r="V171" s="18" t="s">
        <v>81</v>
      </c>
      <c r="W171" s="18" t="s">
        <v>79</v>
      </c>
      <c r="X171" s="18" t="s">
        <v>10803</v>
      </c>
      <c r="Y171" s="18" t="s">
        <v>918</v>
      </c>
      <c r="Z171" s="18" t="s">
        <v>919</v>
      </c>
      <c r="AA171" s="18" t="s">
        <v>7062</v>
      </c>
      <c r="AB171" s="18" t="s">
        <v>95</v>
      </c>
      <c r="AC171" s="18" t="s">
        <v>7984</v>
      </c>
      <c r="AD171" s="18" t="s">
        <v>10804</v>
      </c>
      <c r="AE171" s="18" t="s">
        <v>174</v>
      </c>
      <c r="AF171" s="18" t="s">
        <v>95</v>
      </c>
      <c r="AG171" s="18" t="s">
        <v>83</v>
      </c>
      <c r="AH171" s="18" t="s">
        <v>83</v>
      </c>
      <c r="AI171" s="18" t="s">
        <v>81</v>
      </c>
      <c r="AJ171" s="18" t="s">
        <v>118</v>
      </c>
      <c r="AK171" s="18" t="s">
        <v>95</v>
      </c>
      <c r="AL171" s="18" t="s">
        <v>10999</v>
      </c>
      <c r="AM171" s="18" t="s">
        <v>85</v>
      </c>
      <c r="AN171" s="18" t="s">
        <v>7031</v>
      </c>
      <c r="AO171" s="18" t="s">
        <v>86</v>
      </c>
      <c r="AP171" s="18" t="s">
        <v>90</v>
      </c>
      <c r="AQ171" s="18" t="s">
        <v>8002</v>
      </c>
      <c r="AR171" s="18" t="s">
        <v>177</v>
      </c>
      <c r="AS171" s="18" t="s">
        <v>139</v>
      </c>
      <c r="AT171" s="18" t="s">
        <v>95</v>
      </c>
      <c r="AU171" s="18" t="s">
        <v>95</v>
      </c>
      <c r="AV171" s="18" t="s">
        <v>7037</v>
      </c>
      <c r="AW171" s="18" t="s">
        <v>95</v>
      </c>
      <c r="AX171" s="18" t="s">
        <v>10806</v>
      </c>
      <c r="AY171" s="18" t="s">
        <v>95</v>
      </c>
      <c r="AZ171" s="18" t="s">
        <v>95</v>
      </c>
      <c r="BA171" s="18" t="s">
        <v>95</v>
      </c>
      <c r="BB171" s="18" t="s">
        <v>95</v>
      </c>
      <c r="BC171" s="18" t="s">
        <v>95</v>
      </c>
      <c r="BD171" s="18" t="s">
        <v>10807</v>
      </c>
      <c r="BE171" s="18" t="s">
        <v>12178</v>
      </c>
      <c r="BF171" s="18" t="s">
        <v>10809</v>
      </c>
      <c r="BG171" s="18" t="s">
        <v>7030</v>
      </c>
      <c r="BH171" s="18"/>
      <c r="BI171" s="18"/>
      <c r="BJ171" s="18" t="s">
        <v>918</v>
      </c>
      <c r="BK171" s="18" t="s">
        <v>12179</v>
      </c>
      <c r="BL171" s="18" t="s">
        <v>10811</v>
      </c>
      <c r="BM171" s="18" t="s">
        <v>139</v>
      </c>
      <c r="BN171" s="18" t="s">
        <v>85</v>
      </c>
      <c r="BO171" s="18">
        <v>0</v>
      </c>
      <c r="BP171" s="18" t="s">
        <v>10812</v>
      </c>
      <c r="BQ171" s="18" t="str">
        <f>VLOOKUP(Prepago[[#This Row],[NOM_PLAZA]],[1]!Locales[#Data],3,0)</f>
        <v>TIENDA RECREO</v>
      </c>
      <c r="BR171" s="18" t="str">
        <f>VLOOKUP(Prepago[[#This Row],[CODIGO_USUARIO]],[1]!Personal[#Data],6,0)</f>
        <v>ORELLANA CARRERA MICHAEL ALEXANDER</v>
      </c>
      <c r="BS171" s="18">
        <f>DAY(Prepago[[#This Row],[FECHA_ALTA]])</f>
        <v>14</v>
      </c>
    </row>
    <row r="172" spans="1:71" x14ac:dyDescent="0.25">
      <c r="A172" s="18" t="s">
        <v>96</v>
      </c>
      <c r="B172" s="18" t="s">
        <v>12180</v>
      </c>
      <c r="C172" s="18" t="s">
        <v>12181</v>
      </c>
      <c r="D172" s="18" t="s">
        <v>12182</v>
      </c>
      <c r="E172" s="22">
        <v>44902</v>
      </c>
      <c r="F172" s="18" t="s">
        <v>67</v>
      </c>
      <c r="G172" s="18" t="s">
        <v>12183</v>
      </c>
      <c r="H172" s="18" t="s">
        <v>12184</v>
      </c>
      <c r="I172" s="18" t="s">
        <v>70</v>
      </c>
      <c r="J172" s="18" t="s">
        <v>8102</v>
      </c>
      <c r="K172" s="18" t="s">
        <v>8103</v>
      </c>
      <c r="L172" s="18" t="s">
        <v>132</v>
      </c>
      <c r="M172" s="18" t="s">
        <v>7037</v>
      </c>
      <c r="N172" s="18" t="s">
        <v>12185</v>
      </c>
      <c r="O172" s="18" t="s">
        <v>75</v>
      </c>
      <c r="P172" s="18" t="s">
        <v>12186</v>
      </c>
      <c r="Q172" s="18" t="s">
        <v>1532</v>
      </c>
      <c r="R172" s="18" t="s">
        <v>78</v>
      </c>
      <c r="S172" s="18" t="s">
        <v>77</v>
      </c>
      <c r="T172" s="22">
        <v>44915</v>
      </c>
      <c r="U172" s="18"/>
      <c r="V172" s="18" t="s">
        <v>81</v>
      </c>
      <c r="W172" s="18" t="s">
        <v>79</v>
      </c>
      <c r="X172" s="18" t="s">
        <v>10803</v>
      </c>
      <c r="Y172" s="18" t="s">
        <v>303</v>
      </c>
      <c r="Z172" s="18" t="s">
        <v>304</v>
      </c>
      <c r="AA172" s="18" t="s">
        <v>7062</v>
      </c>
      <c r="AB172" s="18" t="s">
        <v>95</v>
      </c>
      <c r="AC172" s="18" t="s">
        <v>7984</v>
      </c>
      <c r="AD172" s="18" t="s">
        <v>10804</v>
      </c>
      <c r="AE172" s="18" t="s">
        <v>174</v>
      </c>
      <c r="AF172" s="18" t="s">
        <v>95</v>
      </c>
      <c r="AG172" s="18" t="s">
        <v>83</v>
      </c>
      <c r="AH172" s="18" t="s">
        <v>83</v>
      </c>
      <c r="AI172" s="18" t="s">
        <v>81</v>
      </c>
      <c r="AJ172" s="18" t="s">
        <v>118</v>
      </c>
      <c r="AK172" s="18" t="s">
        <v>95</v>
      </c>
      <c r="AL172" s="18" t="s">
        <v>10805</v>
      </c>
      <c r="AM172" s="18" t="s">
        <v>85</v>
      </c>
      <c r="AN172" s="18" t="s">
        <v>7031</v>
      </c>
      <c r="AO172" s="18" t="s">
        <v>86</v>
      </c>
      <c r="AP172" s="18" t="s">
        <v>90</v>
      </c>
      <c r="AQ172" s="18" t="s">
        <v>8002</v>
      </c>
      <c r="AR172" s="18" t="s">
        <v>177</v>
      </c>
      <c r="AS172" s="18" t="s">
        <v>139</v>
      </c>
      <c r="AT172" s="18" t="s">
        <v>95</v>
      </c>
      <c r="AU172" s="18" t="s">
        <v>95</v>
      </c>
      <c r="AV172" s="18" t="s">
        <v>7037</v>
      </c>
      <c r="AW172" s="18" t="s">
        <v>95</v>
      </c>
      <c r="AX172" s="18" t="s">
        <v>10806</v>
      </c>
      <c r="AY172" s="18" t="s">
        <v>95</v>
      </c>
      <c r="AZ172" s="18" t="s">
        <v>95</v>
      </c>
      <c r="BA172" s="18" t="s">
        <v>95</v>
      </c>
      <c r="BB172" s="18" t="s">
        <v>95</v>
      </c>
      <c r="BC172" s="18" t="s">
        <v>95</v>
      </c>
      <c r="BD172" s="18" t="s">
        <v>10807</v>
      </c>
      <c r="BE172" s="18" t="s">
        <v>12187</v>
      </c>
      <c r="BF172" s="18" t="s">
        <v>10809</v>
      </c>
      <c r="BG172" s="18" t="s">
        <v>7030</v>
      </c>
      <c r="BH172" s="18"/>
      <c r="BI172" s="18"/>
      <c r="BJ172" s="18" t="s">
        <v>303</v>
      </c>
      <c r="BK172" s="18" t="s">
        <v>12188</v>
      </c>
      <c r="BL172" s="18" t="s">
        <v>10811</v>
      </c>
      <c r="BM172" s="18" t="s">
        <v>139</v>
      </c>
      <c r="BN172" s="18" t="s">
        <v>85</v>
      </c>
      <c r="BO172" s="18">
        <v>0</v>
      </c>
      <c r="BP172" s="18" t="s">
        <v>10812</v>
      </c>
      <c r="BQ172" s="18" t="str">
        <f>VLOOKUP(Prepago[[#This Row],[NOM_PLAZA]],[1]!Locales[#Data],3,0)</f>
        <v>TIENDA RECREO</v>
      </c>
      <c r="BR172" s="18" t="str">
        <f>VLOOKUP(Prepago[[#This Row],[CODIGO_USUARIO]],[1]!Personal[#Data],6,0)</f>
        <v>CORDOVA GAIBOR JONATHAN HERNAN</v>
      </c>
      <c r="BS172" s="18">
        <f>DAY(Prepago[[#This Row],[FECHA_ALTA]])</f>
        <v>7</v>
      </c>
    </row>
    <row r="173" spans="1:71" x14ac:dyDescent="0.25">
      <c r="A173" s="18" t="s">
        <v>96</v>
      </c>
      <c r="B173" s="18" t="s">
        <v>12189</v>
      </c>
      <c r="C173" s="18" t="s">
        <v>12190</v>
      </c>
      <c r="D173" s="18" t="s">
        <v>12191</v>
      </c>
      <c r="E173" s="22">
        <v>44901</v>
      </c>
      <c r="F173" s="18" t="s">
        <v>67</v>
      </c>
      <c r="G173" s="18" t="s">
        <v>12192</v>
      </c>
      <c r="H173" s="18" t="s">
        <v>12193</v>
      </c>
      <c r="I173" s="18" t="s">
        <v>70</v>
      </c>
      <c r="J173" s="18" t="s">
        <v>8102</v>
      </c>
      <c r="K173" s="18" t="s">
        <v>8103</v>
      </c>
      <c r="L173" s="18" t="s">
        <v>132</v>
      </c>
      <c r="M173" s="18" t="s">
        <v>7037</v>
      </c>
      <c r="N173" s="18" t="s">
        <v>12194</v>
      </c>
      <c r="O173" s="18" t="s">
        <v>75</v>
      </c>
      <c r="P173" s="18" t="s">
        <v>12195</v>
      </c>
      <c r="Q173" s="18" t="s">
        <v>10817</v>
      </c>
      <c r="R173" s="18" t="s">
        <v>78</v>
      </c>
      <c r="S173" s="18" t="s">
        <v>77</v>
      </c>
      <c r="T173" s="22">
        <v>44915</v>
      </c>
      <c r="U173" s="18"/>
      <c r="V173" s="18" t="s">
        <v>81</v>
      </c>
      <c r="W173" s="18" t="s">
        <v>79</v>
      </c>
      <c r="X173" s="18" t="s">
        <v>10803</v>
      </c>
      <c r="Y173" s="18" t="s">
        <v>175</v>
      </c>
      <c r="Z173" s="18" t="s">
        <v>176</v>
      </c>
      <c r="AA173" s="18" t="s">
        <v>7062</v>
      </c>
      <c r="AB173" s="18" t="s">
        <v>95</v>
      </c>
      <c r="AC173" s="18" t="s">
        <v>7984</v>
      </c>
      <c r="AD173" s="18" t="s">
        <v>10804</v>
      </c>
      <c r="AE173" s="18" t="s">
        <v>174</v>
      </c>
      <c r="AF173" s="18" t="s">
        <v>95</v>
      </c>
      <c r="AG173" s="18" t="s">
        <v>83</v>
      </c>
      <c r="AH173" s="18" t="s">
        <v>83</v>
      </c>
      <c r="AI173" s="18" t="s">
        <v>81</v>
      </c>
      <c r="AJ173" s="18" t="s">
        <v>118</v>
      </c>
      <c r="AK173" s="18" t="s">
        <v>95</v>
      </c>
      <c r="AL173" s="18" t="s">
        <v>11268</v>
      </c>
      <c r="AM173" s="18" t="s">
        <v>85</v>
      </c>
      <c r="AN173" s="18" t="s">
        <v>7031</v>
      </c>
      <c r="AO173" s="18" t="s">
        <v>86</v>
      </c>
      <c r="AP173" s="18" t="s">
        <v>90</v>
      </c>
      <c r="AQ173" s="18" t="s">
        <v>8002</v>
      </c>
      <c r="AR173" s="18" t="s">
        <v>177</v>
      </c>
      <c r="AS173" s="18" t="s">
        <v>139</v>
      </c>
      <c r="AT173" s="18" t="s">
        <v>95</v>
      </c>
      <c r="AU173" s="18" t="s">
        <v>95</v>
      </c>
      <c r="AV173" s="18" t="s">
        <v>7037</v>
      </c>
      <c r="AW173" s="18" t="s">
        <v>95</v>
      </c>
      <c r="AX173" s="18" t="s">
        <v>10806</v>
      </c>
      <c r="AY173" s="18" t="s">
        <v>95</v>
      </c>
      <c r="AZ173" s="18" t="s">
        <v>95</v>
      </c>
      <c r="BA173" s="18" t="s">
        <v>95</v>
      </c>
      <c r="BB173" s="18" t="s">
        <v>95</v>
      </c>
      <c r="BC173" s="18" t="s">
        <v>95</v>
      </c>
      <c r="BD173" s="18" t="s">
        <v>10829</v>
      </c>
      <c r="BE173" s="18" t="s">
        <v>12196</v>
      </c>
      <c r="BF173" s="18" t="s">
        <v>10809</v>
      </c>
      <c r="BG173" s="18" t="s">
        <v>7030</v>
      </c>
      <c r="BH173" s="18"/>
      <c r="BI173" s="18"/>
      <c r="BJ173" s="18" t="s">
        <v>175</v>
      </c>
      <c r="BK173" s="18" t="s">
        <v>12197</v>
      </c>
      <c r="BL173" s="18" t="s">
        <v>10811</v>
      </c>
      <c r="BM173" s="18" t="s">
        <v>139</v>
      </c>
      <c r="BN173" s="18" t="s">
        <v>85</v>
      </c>
      <c r="BO173" s="18">
        <v>0</v>
      </c>
      <c r="BP173" s="18" t="s">
        <v>10812</v>
      </c>
      <c r="BQ173" s="18" t="str">
        <f>VLOOKUP(Prepago[[#This Row],[NOM_PLAZA]],[1]!Locales[#Data],3,0)</f>
        <v>TIENDA RECREO</v>
      </c>
      <c r="BR173" s="18" t="str">
        <f>VLOOKUP(Prepago[[#This Row],[CODIGO_USUARIO]],[1]!Personal[#Data],6,0)</f>
        <v>VARGAS REYES LUIS EDUARDO</v>
      </c>
      <c r="BS173" s="18">
        <f>DAY(Prepago[[#This Row],[FECHA_ALTA]])</f>
        <v>6</v>
      </c>
    </row>
    <row r="174" spans="1:71" x14ac:dyDescent="0.25">
      <c r="A174" s="18" t="s">
        <v>96</v>
      </c>
      <c r="B174" s="18" t="s">
        <v>12198</v>
      </c>
      <c r="C174" s="18" t="s">
        <v>12199</v>
      </c>
      <c r="D174" s="18" t="s">
        <v>11987</v>
      </c>
      <c r="E174" s="22">
        <v>44913</v>
      </c>
      <c r="F174" s="18" t="s">
        <v>67</v>
      </c>
      <c r="G174" s="18" t="s">
        <v>11988</v>
      </c>
      <c r="H174" s="18" t="s">
        <v>11989</v>
      </c>
      <c r="I174" s="18" t="s">
        <v>70</v>
      </c>
      <c r="J174" s="18" t="s">
        <v>8102</v>
      </c>
      <c r="K174" s="18" t="s">
        <v>8103</v>
      </c>
      <c r="L174" s="18" t="s">
        <v>95</v>
      </c>
      <c r="M174" s="18" t="s">
        <v>7037</v>
      </c>
      <c r="N174" s="18" t="s">
        <v>12200</v>
      </c>
      <c r="O174" s="18" t="s">
        <v>75</v>
      </c>
      <c r="P174" s="18" t="s">
        <v>12201</v>
      </c>
      <c r="Q174" s="18" t="s">
        <v>4453</v>
      </c>
      <c r="R174" s="18" t="s">
        <v>78</v>
      </c>
      <c r="S174" s="18" t="s">
        <v>77</v>
      </c>
      <c r="T174" s="22">
        <v>44915</v>
      </c>
      <c r="U174" s="18"/>
      <c r="V174" s="18" t="s">
        <v>81</v>
      </c>
      <c r="W174" s="18" t="s">
        <v>79</v>
      </c>
      <c r="X174" s="18" t="s">
        <v>10803</v>
      </c>
      <c r="Y174" s="18" t="s">
        <v>822</v>
      </c>
      <c r="Z174" s="18" t="s">
        <v>823</v>
      </c>
      <c r="AA174" s="18" t="s">
        <v>7062</v>
      </c>
      <c r="AB174" s="18" t="s">
        <v>95</v>
      </c>
      <c r="AC174" s="18" t="s">
        <v>7984</v>
      </c>
      <c r="AD174" s="18" t="s">
        <v>10804</v>
      </c>
      <c r="AE174" s="18" t="s">
        <v>174</v>
      </c>
      <c r="AF174" s="18" t="s">
        <v>95</v>
      </c>
      <c r="AG174" s="18" t="s">
        <v>83</v>
      </c>
      <c r="AH174" s="18" t="s">
        <v>83</v>
      </c>
      <c r="AI174" s="18" t="s">
        <v>81</v>
      </c>
      <c r="AJ174" s="18" t="s">
        <v>118</v>
      </c>
      <c r="AK174" s="18" t="s">
        <v>95</v>
      </c>
      <c r="AL174" s="18" t="s">
        <v>10828</v>
      </c>
      <c r="AM174" s="18" t="s">
        <v>85</v>
      </c>
      <c r="AN174" s="18" t="s">
        <v>7031</v>
      </c>
      <c r="AO174" s="18" t="s">
        <v>86</v>
      </c>
      <c r="AP174" s="18" t="s">
        <v>90</v>
      </c>
      <c r="AQ174" s="18" t="s">
        <v>8002</v>
      </c>
      <c r="AR174" s="18" t="s">
        <v>177</v>
      </c>
      <c r="AS174" s="18" t="s">
        <v>139</v>
      </c>
      <c r="AT174" s="18" t="s">
        <v>95</v>
      </c>
      <c r="AU174" s="18" t="s">
        <v>95</v>
      </c>
      <c r="AV174" s="18" t="s">
        <v>7037</v>
      </c>
      <c r="AW174" s="18" t="s">
        <v>95</v>
      </c>
      <c r="AX174" s="18" t="s">
        <v>10806</v>
      </c>
      <c r="AY174" s="18" t="s">
        <v>95</v>
      </c>
      <c r="AZ174" s="18" t="s">
        <v>95</v>
      </c>
      <c r="BA174" s="18" t="s">
        <v>95</v>
      </c>
      <c r="BB174" s="18" t="s">
        <v>95</v>
      </c>
      <c r="BC174" s="18" t="s">
        <v>95</v>
      </c>
      <c r="BD174" s="18" t="s">
        <v>10829</v>
      </c>
      <c r="BE174" s="18" t="s">
        <v>95</v>
      </c>
      <c r="BF174" s="18" t="s">
        <v>10809</v>
      </c>
      <c r="BG174" s="18" t="s">
        <v>7030</v>
      </c>
      <c r="BH174" s="18"/>
      <c r="BI174" s="18"/>
      <c r="BJ174" s="18" t="s">
        <v>822</v>
      </c>
      <c r="BK174" s="18" t="s">
        <v>11992</v>
      </c>
      <c r="BL174" s="18" t="s">
        <v>10811</v>
      </c>
      <c r="BM174" s="18" t="s">
        <v>139</v>
      </c>
      <c r="BN174" s="18" t="s">
        <v>85</v>
      </c>
      <c r="BO174" s="18">
        <v>0</v>
      </c>
      <c r="BP174" s="18" t="s">
        <v>10812</v>
      </c>
      <c r="BQ174" s="18" t="str">
        <f>VLOOKUP(Prepago[[#This Row],[NOM_PLAZA]],[1]!Locales[#Data],3,0)</f>
        <v>TIENDA RECREO</v>
      </c>
      <c r="BR174" s="18" t="str">
        <f>VLOOKUP(Prepago[[#This Row],[CODIGO_USUARIO]],[1]!Personal[#Data],6,0)</f>
        <v>SALAS PARRA MARIA JOSE</v>
      </c>
      <c r="BS174" s="18">
        <f>DAY(Prepago[[#This Row],[FECHA_ALTA]])</f>
        <v>18</v>
      </c>
    </row>
    <row r="175" spans="1:71" x14ac:dyDescent="0.25">
      <c r="A175" s="18" t="s">
        <v>96</v>
      </c>
      <c r="B175" s="18" t="s">
        <v>12202</v>
      </c>
      <c r="C175" s="18" t="s">
        <v>12203</v>
      </c>
      <c r="D175" s="18" t="s">
        <v>12204</v>
      </c>
      <c r="E175" s="22">
        <v>44914</v>
      </c>
      <c r="F175" s="18" t="s">
        <v>67</v>
      </c>
      <c r="G175" s="18" t="s">
        <v>12205</v>
      </c>
      <c r="H175" s="18" t="s">
        <v>12206</v>
      </c>
      <c r="I175" s="18" t="s">
        <v>70</v>
      </c>
      <c r="J175" s="18" t="s">
        <v>8102</v>
      </c>
      <c r="K175" s="18" t="s">
        <v>8103</v>
      </c>
      <c r="L175" s="18" t="s">
        <v>132</v>
      </c>
      <c r="M175" s="18" t="s">
        <v>7037</v>
      </c>
      <c r="N175" s="18" t="s">
        <v>12207</v>
      </c>
      <c r="O175" s="18" t="s">
        <v>75</v>
      </c>
      <c r="P175" s="18" t="s">
        <v>12208</v>
      </c>
      <c r="Q175" s="18" t="s">
        <v>10817</v>
      </c>
      <c r="R175" s="18" t="s">
        <v>78</v>
      </c>
      <c r="S175" s="18" t="s">
        <v>77</v>
      </c>
      <c r="T175" s="22">
        <v>44915</v>
      </c>
      <c r="U175" s="18"/>
      <c r="V175" s="18" t="s">
        <v>81</v>
      </c>
      <c r="W175" s="18" t="s">
        <v>79</v>
      </c>
      <c r="X175" s="18" t="s">
        <v>10803</v>
      </c>
      <c r="Y175" s="18" t="s">
        <v>760</v>
      </c>
      <c r="Z175" s="18" t="s">
        <v>761</v>
      </c>
      <c r="AA175" s="18" t="s">
        <v>7062</v>
      </c>
      <c r="AB175" s="18" t="s">
        <v>95</v>
      </c>
      <c r="AC175" s="18" t="s">
        <v>7984</v>
      </c>
      <c r="AD175" s="18" t="s">
        <v>10804</v>
      </c>
      <c r="AE175" s="18" t="s">
        <v>174</v>
      </c>
      <c r="AF175" s="18" t="s">
        <v>95</v>
      </c>
      <c r="AG175" s="18" t="s">
        <v>83</v>
      </c>
      <c r="AH175" s="18" t="s">
        <v>83</v>
      </c>
      <c r="AI175" s="18" t="s">
        <v>81</v>
      </c>
      <c r="AJ175" s="18" t="s">
        <v>118</v>
      </c>
      <c r="AK175" s="18" t="s">
        <v>95</v>
      </c>
      <c r="AL175" s="18" t="s">
        <v>10818</v>
      </c>
      <c r="AM175" s="18" t="s">
        <v>85</v>
      </c>
      <c r="AN175" s="18" t="s">
        <v>7031</v>
      </c>
      <c r="AO175" s="18" t="s">
        <v>86</v>
      </c>
      <c r="AP175" s="18" t="s">
        <v>90</v>
      </c>
      <c r="AQ175" s="18" t="s">
        <v>8002</v>
      </c>
      <c r="AR175" s="18" t="s">
        <v>177</v>
      </c>
      <c r="AS175" s="18" t="s">
        <v>139</v>
      </c>
      <c r="AT175" s="18" t="s">
        <v>95</v>
      </c>
      <c r="AU175" s="18" t="s">
        <v>95</v>
      </c>
      <c r="AV175" s="18" t="s">
        <v>7037</v>
      </c>
      <c r="AW175" s="18" t="s">
        <v>95</v>
      </c>
      <c r="AX175" s="18" t="s">
        <v>10806</v>
      </c>
      <c r="AY175" s="18" t="s">
        <v>95</v>
      </c>
      <c r="AZ175" s="18" t="s">
        <v>95</v>
      </c>
      <c r="BA175" s="18" t="s">
        <v>95</v>
      </c>
      <c r="BB175" s="18" t="s">
        <v>95</v>
      </c>
      <c r="BC175" s="18" t="s">
        <v>95</v>
      </c>
      <c r="BD175" s="18" t="s">
        <v>10829</v>
      </c>
      <c r="BE175" s="18" t="s">
        <v>12209</v>
      </c>
      <c r="BF175" s="18" t="s">
        <v>10809</v>
      </c>
      <c r="BG175" s="18" t="s">
        <v>7030</v>
      </c>
      <c r="BH175" s="18"/>
      <c r="BI175" s="18"/>
      <c r="BJ175" s="18" t="s">
        <v>760</v>
      </c>
      <c r="BK175" s="18" t="s">
        <v>12210</v>
      </c>
      <c r="BL175" s="18" t="s">
        <v>10811</v>
      </c>
      <c r="BM175" s="18" t="s">
        <v>139</v>
      </c>
      <c r="BN175" s="18" t="s">
        <v>85</v>
      </c>
      <c r="BO175" s="18">
        <v>0</v>
      </c>
      <c r="BP175" s="18" t="s">
        <v>10812</v>
      </c>
      <c r="BQ175" s="18" t="str">
        <f>VLOOKUP(Prepago[[#This Row],[NOM_PLAZA]],[1]!Locales[#Data],3,0)</f>
        <v>TIENDA RECREO</v>
      </c>
      <c r="BR175" s="18" t="str">
        <f>VLOOKUP(Prepago[[#This Row],[CODIGO_USUARIO]],[1]!Personal[#Data],6,0)</f>
        <v>VALBUENA SANCHEZ ALBERT ANTHONY</v>
      </c>
      <c r="BS175" s="18">
        <f>DAY(Prepago[[#This Row],[FECHA_ALTA]])</f>
        <v>19</v>
      </c>
    </row>
    <row r="176" spans="1:71" x14ac:dyDescent="0.25">
      <c r="A176" s="18" t="s">
        <v>96</v>
      </c>
      <c r="B176" s="18" t="s">
        <v>12211</v>
      </c>
      <c r="C176" s="18" t="s">
        <v>12212</v>
      </c>
      <c r="D176" s="18" t="s">
        <v>12213</v>
      </c>
      <c r="E176" s="22">
        <v>44911</v>
      </c>
      <c r="F176" s="18" t="s">
        <v>67</v>
      </c>
      <c r="G176" s="18" t="s">
        <v>12214</v>
      </c>
      <c r="H176" s="18" t="s">
        <v>12215</v>
      </c>
      <c r="I176" s="18" t="s">
        <v>70</v>
      </c>
      <c r="J176" s="18" t="s">
        <v>8102</v>
      </c>
      <c r="K176" s="18" t="s">
        <v>8103</v>
      </c>
      <c r="L176" s="18" t="s">
        <v>95</v>
      </c>
      <c r="M176" s="18" t="s">
        <v>7037</v>
      </c>
      <c r="N176" s="18" t="s">
        <v>12216</v>
      </c>
      <c r="O176" s="18" t="s">
        <v>75</v>
      </c>
      <c r="P176" s="18" t="s">
        <v>12217</v>
      </c>
      <c r="Q176" s="18" t="s">
        <v>4453</v>
      </c>
      <c r="R176" s="18" t="s">
        <v>78</v>
      </c>
      <c r="S176" s="18" t="s">
        <v>77</v>
      </c>
      <c r="T176" s="22">
        <v>44915</v>
      </c>
      <c r="U176" s="18"/>
      <c r="V176" s="18" t="s">
        <v>81</v>
      </c>
      <c r="W176" s="18" t="s">
        <v>79</v>
      </c>
      <c r="X176" s="18" t="s">
        <v>10803</v>
      </c>
      <c r="Y176" s="18" t="s">
        <v>1315</v>
      </c>
      <c r="Z176" s="18" t="s">
        <v>1316</v>
      </c>
      <c r="AA176" s="18" t="s">
        <v>1315</v>
      </c>
      <c r="AB176" s="18" t="s">
        <v>1316</v>
      </c>
      <c r="AC176" s="18" t="s">
        <v>7984</v>
      </c>
      <c r="AD176" s="18" t="s">
        <v>10804</v>
      </c>
      <c r="AE176" s="18" t="s">
        <v>174</v>
      </c>
      <c r="AF176" s="18" t="s">
        <v>95</v>
      </c>
      <c r="AG176" s="18" t="s">
        <v>83</v>
      </c>
      <c r="AH176" s="18" t="s">
        <v>83</v>
      </c>
      <c r="AI176" s="18" t="s">
        <v>81</v>
      </c>
      <c r="AJ176" s="18" t="s">
        <v>118</v>
      </c>
      <c r="AK176" s="18" t="s">
        <v>95</v>
      </c>
      <c r="AL176" s="18" t="s">
        <v>11052</v>
      </c>
      <c r="AM176" s="18" t="s">
        <v>85</v>
      </c>
      <c r="AN176" s="18" t="s">
        <v>7031</v>
      </c>
      <c r="AO176" s="18" t="s">
        <v>86</v>
      </c>
      <c r="AP176" s="18" t="s">
        <v>90</v>
      </c>
      <c r="AQ176" s="18" t="s">
        <v>8002</v>
      </c>
      <c r="AR176" s="18" t="s">
        <v>177</v>
      </c>
      <c r="AS176" s="18" t="s">
        <v>139</v>
      </c>
      <c r="AT176" s="18" t="s">
        <v>95</v>
      </c>
      <c r="AU176" s="18" t="s">
        <v>95</v>
      </c>
      <c r="AV176" s="18" t="s">
        <v>7037</v>
      </c>
      <c r="AW176" s="18" t="s">
        <v>95</v>
      </c>
      <c r="AX176" s="18" t="s">
        <v>10806</v>
      </c>
      <c r="AY176" s="18" t="s">
        <v>95</v>
      </c>
      <c r="AZ176" s="18" t="s">
        <v>95</v>
      </c>
      <c r="BA176" s="18" t="s">
        <v>95</v>
      </c>
      <c r="BB176" s="18" t="s">
        <v>95</v>
      </c>
      <c r="BC176" s="18" t="s">
        <v>95</v>
      </c>
      <c r="BD176" s="18" t="s">
        <v>10829</v>
      </c>
      <c r="BE176" s="18" t="s">
        <v>12218</v>
      </c>
      <c r="BF176" s="18" t="s">
        <v>10809</v>
      </c>
      <c r="BG176" s="18" t="s">
        <v>7030</v>
      </c>
      <c r="BH176" s="18"/>
      <c r="BI176" s="18"/>
      <c r="BJ176" s="18" t="s">
        <v>1315</v>
      </c>
      <c r="BK176" s="18" t="s">
        <v>12219</v>
      </c>
      <c r="BL176" s="18" t="s">
        <v>10811</v>
      </c>
      <c r="BM176" s="18" t="s">
        <v>139</v>
      </c>
      <c r="BN176" s="18" t="s">
        <v>85</v>
      </c>
      <c r="BO176" s="18">
        <v>0</v>
      </c>
      <c r="BP176" s="18" t="s">
        <v>10812</v>
      </c>
      <c r="BQ176" s="18" t="str">
        <f>VLOOKUP(Prepago[[#This Row],[NOM_PLAZA]],[1]!Locales[#Data],3,0)</f>
        <v>TIENDA RECREO</v>
      </c>
      <c r="BR176" s="18" t="str">
        <f>VLOOKUP(Prepago[[#This Row],[CODIGO_USUARIO]],[1]!Personal[#Data],6,0)</f>
        <v>ORTEGA  NATALIE MÉNDEZ</v>
      </c>
      <c r="BS176" s="18">
        <f>DAY(Prepago[[#This Row],[FECHA_ALTA]])</f>
        <v>16</v>
      </c>
    </row>
    <row r="177" spans="1:71" x14ac:dyDescent="0.25">
      <c r="A177" s="18" t="s">
        <v>96</v>
      </c>
      <c r="B177" s="18" t="s">
        <v>12220</v>
      </c>
      <c r="C177" s="18" t="s">
        <v>12221</v>
      </c>
      <c r="D177" s="18" t="s">
        <v>12222</v>
      </c>
      <c r="E177" s="22">
        <v>44913</v>
      </c>
      <c r="F177" s="18" t="s">
        <v>67</v>
      </c>
      <c r="G177" s="18" t="s">
        <v>12223</v>
      </c>
      <c r="H177" s="18" t="s">
        <v>12224</v>
      </c>
      <c r="I177" s="18" t="s">
        <v>70</v>
      </c>
      <c r="J177" s="18" t="s">
        <v>8102</v>
      </c>
      <c r="K177" s="18" t="s">
        <v>8103</v>
      </c>
      <c r="L177" s="18" t="s">
        <v>259</v>
      </c>
      <c r="M177" s="18" t="s">
        <v>7037</v>
      </c>
      <c r="N177" s="18" t="s">
        <v>12225</v>
      </c>
      <c r="O177" s="18" t="s">
        <v>75</v>
      </c>
      <c r="P177" s="18" t="s">
        <v>12226</v>
      </c>
      <c r="Q177" s="18" t="s">
        <v>10817</v>
      </c>
      <c r="R177" s="18" t="s">
        <v>78</v>
      </c>
      <c r="S177" s="18" t="s">
        <v>77</v>
      </c>
      <c r="T177" s="22">
        <v>44915</v>
      </c>
      <c r="U177" s="18"/>
      <c r="V177" s="18" t="s">
        <v>81</v>
      </c>
      <c r="W177" s="18" t="s">
        <v>79</v>
      </c>
      <c r="X177" s="18" t="s">
        <v>10803</v>
      </c>
      <c r="Y177" s="18" t="s">
        <v>822</v>
      </c>
      <c r="Z177" s="18" t="s">
        <v>823</v>
      </c>
      <c r="AA177" s="18" t="s">
        <v>7062</v>
      </c>
      <c r="AB177" s="18" t="s">
        <v>95</v>
      </c>
      <c r="AC177" s="18" t="s">
        <v>7984</v>
      </c>
      <c r="AD177" s="18" t="s">
        <v>10804</v>
      </c>
      <c r="AE177" s="18" t="s">
        <v>174</v>
      </c>
      <c r="AF177" s="18" t="s">
        <v>95</v>
      </c>
      <c r="AG177" s="18" t="s">
        <v>83</v>
      </c>
      <c r="AH177" s="18" t="s">
        <v>83</v>
      </c>
      <c r="AI177" s="18" t="s">
        <v>81</v>
      </c>
      <c r="AJ177" s="18" t="s">
        <v>118</v>
      </c>
      <c r="AK177" s="18" t="s">
        <v>95</v>
      </c>
      <c r="AL177" s="18" t="s">
        <v>10828</v>
      </c>
      <c r="AM177" s="18" t="s">
        <v>85</v>
      </c>
      <c r="AN177" s="18" t="s">
        <v>7031</v>
      </c>
      <c r="AO177" s="18" t="s">
        <v>86</v>
      </c>
      <c r="AP177" s="18" t="s">
        <v>90</v>
      </c>
      <c r="AQ177" s="18" t="s">
        <v>8002</v>
      </c>
      <c r="AR177" s="18" t="s">
        <v>177</v>
      </c>
      <c r="AS177" s="18" t="s">
        <v>139</v>
      </c>
      <c r="AT177" s="18" t="s">
        <v>95</v>
      </c>
      <c r="AU177" s="18" t="s">
        <v>95</v>
      </c>
      <c r="AV177" s="18" t="s">
        <v>7037</v>
      </c>
      <c r="AW177" s="18" t="s">
        <v>95</v>
      </c>
      <c r="AX177" s="18" t="s">
        <v>10806</v>
      </c>
      <c r="AY177" s="18" t="s">
        <v>95</v>
      </c>
      <c r="AZ177" s="18" t="s">
        <v>95</v>
      </c>
      <c r="BA177" s="18" t="s">
        <v>95</v>
      </c>
      <c r="BB177" s="18" t="s">
        <v>95</v>
      </c>
      <c r="BC177" s="18" t="s">
        <v>95</v>
      </c>
      <c r="BD177" s="18" t="s">
        <v>10829</v>
      </c>
      <c r="BE177" s="18" t="s">
        <v>12227</v>
      </c>
      <c r="BF177" s="18" t="s">
        <v>10809</v>
      </c>
      <c r="BG177" s="18" t="s">
        <v>7030</v>
      </c>
      <c r="BH177" s="18"/>
      <c r="BI177" s="18"/>
      <c r="BJ177" s="18" t="s">
        <v>822</v>
      </c>
      <c r="BK177" s="18" t="s">
        <v>12228</v>
      </c>
      <c r="BL177" s="18" t="s">
        <v>10811</v>
      </c>
      <c r="BM177" s="18" t="s">
        <v>139</v>
      </c>
      <c r="BN177" s="18" t="s">
        <v>85</v>
      </c>
      <c r="BO177" s="18">
        <v>0</v>
      </c>
      <c r="BP177" s="18" t="s">
        <v>10812</v>
      </c>
      <c r="BQ177" s="18" t="str">
        <f>VLOOKUP(Prepago[[#This Row],[NOM_PLAZA]],[1]!Locales[#Data],3,0)</f>
        <v>TIENDA RECREO</v>
      </c>
      <c r="BR177" s="18" t="str">
        <f>VLOOKUP(Prepago[[#This Row],[CODIGO_USUARIO]],[1]!Personal[#Data],6,0)</f>
        <v>SALAS PARRA MARIA JOSE</v>
      </c>
      <c r="BS177" s="18">
        <f>DAY(Prepago[[#This Row],[FECHA_ALTA]])</f>
        <v>18</v>
      </c>
    </row>
    <row r="178" spans="1:71" x14ac:dyDescent="0.25">
      <c r="A178" s="18" t="s">
        <v>96</v>
      </c>
      <c r="B178" s="18" t="s">
        <v>12229</v>
      </c>
      <c r="C178" s="18" t="s">
        <v>12230</v>
      </c>
      <c r="D178" s="18" t="s">
        <v>12231</v>
      </c>
      <c r="E178" s="22">
        <v>44909</v>
      </c>
      <c r="F178" s="18" t="s">
        <v>67</v>
      </c>
      <c r="G178" s="18" t="s">
        <v>12232</v>
      </c>
      <c r="H178" s="18" t="s">
        <v>12233</v>
      </c>
      <c r="I178" s="18" t="s">
        <v>70</v>
      </c>
      <c r="J178" s="18" t="s">
        <v>8102</v>
      </c>
      <c r="K178" s="18" t="s">
        <v>8103</v>
      </c>
      <c r="L178" s="18" t="s">
        <v>132</v>
      </c>
      <c r="M178" s="18" t="s">
        <v>7037</v>
      </c>
      <c r="N178" s="18" t="s">
        <v>12234</v>
      </c>
      <c r="O178" s="18" t="s">
        <v>75</v>
      </c>
      <c r="P178" s="18" t="s">
        <v>12235</v>
      </c>
      <c r="Q178" s="18" t="s">
        <v>4453</v>
      </c>
      <c r="R178" s="18" t="s">
        <v>78</v>
      </c>
      <c r="S178" s="18" t="s">
        <v>77</v>
      </c>
      <c r="T178" s="22">
        <v>44915</v>
      </c>
      <c r="U178" s="18"/>
      <c r="V178" s="18" t="s">
        <v>81</v>
      </c>
      <c r="W178" s="18" t="s">
        <v>79</v>
      </c>
      <c r="X178" s="18" t="s">
        <v>10803</v>
      </c>
      <c r="Y178" s="18" t="s">
        <v>175</v>
      </c>
      <c r="Z178" s="18" t="s">
        <v>176</v>
      </c>
      <c r="AA178" s="18" t="s">
        <v>7062</v>
      </c>
      <c r="AB178" s="18" t="s">
        <v>95</v>
      </c>
      <c r="AC178" s="18" t="s">
        <v>7984</v>
      </c>
      <c r="AD178" s="18" t="s">
        <v>10804</v>
      </c>
      <c r="AE178" s="18" t="s">
        <v>174</v>
      </c>
      <c r="AF178" s="18" t="s">
        <v>95</v>
      </c>
      <c r="AG178" s="18" t="s">
        <v>83</v>
      </c>
      <c r="AH178" s="18" t="s">
        <v>83</v>
      </c>
      <c r="AI178" s="18" t="s">
        <v>81</v>
      </c>
      <c r="AJ178" s="18" t="s">
        <v>118</v>
      </c>
      <c r="AK178" s="18" t="s">
        <v>95</v>
      </c>
      <c r="AL178" s="18" t="s">
        <v>11268</v>
      </c>
      <c r="AM178" s="18" t="s">
        <v>85</v>
      </c>
      <c r="AN178" s="18" t="s">
        <v>7031</v>
      </c>
      <c r="AO178" s="18" t="s">
        <v>86</v>
      </c>
      <c r="AP178" s="18" t="s">
        <v>90</v>
      </c>
      <c r="AQ178" s="18" t="s">
        <v>8002</v>
      </c>
      <c r="AR178" s="18" t="s">
        <v>177</v>
      </c>
      <c r="AS178" s="18" t="s">
        <v>139</v>
      </c>
      <c r="AT178" s="18" t="s">
        <v>95</v>
      </c>
      <c r="AU178" s="18" t="s">
        <v>95</v>
      </c>
      <c r="AV178" s="18" t="s">
        <v>7037</v>
      </c>
      <c r="AW178" s="18" t="s">
        <v>95</v>
      </c>
      <c r="AX178" s="18" t="s">
        <v>10806</v>
      </c>
      <c r="AY178" s="18" t="s">
        <v>95</v>
      </c>
      <c r="AZ178" s="18" t="s">
        <v>95</v>
      </c>
      <c r="BA178" s="18" t="s">
        <v>95</v>
      </c>
      <c r="BB178" s="18" t="s">
        <v>95</v>
      </c>
      <c r="BC178" s="18" t="s">
        <v>95</v>
      </c>
      <c r="BD178" s="18" t="s">
        <v>10829</v>
      </c>
      <c r="BE178" s="18" t="s">
        <v>11206</v>
      </c>
      <c r="BF178" s="18" t="s">
        <v>10809</v>
      </c>
      <c r="BG178" s="18" t="s">
        <v>7030</v>
      </c>
      <c r="BH178" s="18"/>
      <c r="BI178" s="18"/>
      <c r="BJ178" s="18" t="s">
        <v>175</v>
      </c>
      <c r="BK178" s="18" t="s">
        <v>12236</v>
      </c>
      <c r="BL178" s="18" t="s">
        <v>10811</v>
      </c>
      <c r="BM178" s="18" t="s">
        <v>139</v>
      </c>
      <c r="BN178" s="18" t="s">
        <v>85</v>
      </c>
      <c r="BO178" s="18">
        <v>1</v>
      </c>
      <c r="BP178" s="18" t="s">
        <v>10812</v>
      </c>
      <c r="BQ178" s="18" t="str">
        <f>VLOOKUP(Prepago[[#This Row],[NOM_PLAZA]],[1]!Locales[#Data],3,0)</f>
        <v>TIENDA RECREO</v>
      </c>
      <c r="BR178" s="18" t="str">
        <f>VLOOKUP(Prepago[[#This Row],[CODIGO_USUARIO]],[1]!Personal[#Data],6,0)</f>
        <v>VARGAS REYES LUIS EDUARDO</v>
      </c>
      <c r="BS178" s="18">
        <f>DAY(Prepago[[#This Row],[FECHA_ALTA]])</f>
        <v>14</v>
      </c>
    </row>
    <row r="179" spans="1:71" x14ac:dyDescent="0.25">
      <c r="A179" s="18" t="s">
        <v>96</v>
      </c>
      <c r="B179" s="18" t="s">
        <v>12237</v>
      </c>
      <c r="C179" s="18" t="s">
        <v>12238</v>
      </c>
      <c r="D179" s="18" t="s">
        <v>12239</v>
      </c>
      <c r="E179" s="22">
        <v>44910</v>
      </c>
      <c r="F179" s="18" t="s">
        <v>67</v>
      </c>
      <c r="G179" s="18" t="s">
        <v>12240</v>
      </c>
      <c r="H179" s="18" t="s">
        <v>12241</v>
      </c>
      <c r="I179" s="18" t="s">
        <v>70</v>
      </c>
      <c r="J179" s="18" t="s">
        <v>8102</v>
      </c>
      <c r="K179" s="18" t="s">
        <v>8103</v>
      </c>
      <c r="L179" s="18" t="s">
        <v>73</v>
      </c>
      <c r="M179" s="18" t="s">
        <v>7037</v>
      </c>
      <c r="N179" s="18" t="s">
        <v>12242</v>
      </c>
      <c r="O179" s="18" t="s">
        <v>75</v>
      </c>
      <c r="P179" s="18" t="s">
        <v>12243</v>
      </c>
      <c r="Q179" s="18" t="s">
        <v>1532</v>
      </c>
      <c r="R179" s="18" t="s">
        <v>78</v>
      </c>
      <c r="S179" s="18" t="s">
        <v>77</v>
      </c>
      <c r="T179" s="22">
        <v>44915</v>
      </c>
      <c r="U179" s="18"/>
      <c r="V179" s="18" t="s">
        <v>81</v>
      </c>
      <c r="W179" s="18" t="s">
        <v>79</v>
      </c>
      <c r="X179" s="18" t="s">
        <v>10803</v>
      </c>
      <c r="Y179" s="18" t="s">
        <v>492</v>
      </c>
      <c r="Z179" s="18" t="s">
        <v>493</v>
      </c>
      <c r="AA179" s="18" t="s">
        <v>7062</v>
      </c>
      <c r="AB179" s="18" t="s">
        <v>95</v>
      </c>
      <c r="AC179" s="18" t="s">
        <v>7984</v>
      </c>
      <c r="AD179" s="18" t="s">
        <v>10804</v>
      </c>
      <c r="AE179" s="18" t="s">
        <v>174</v>
      </c>
      <c r="AF179" s="18" t="s">
        <v>95</v>
      </c>
      <c r="AG179" s="18" t="s">
        <v>83</v>
      </c>
      <c r="AH179" s="18" t="s">
        <v>83</v>
      </c>
      <c r="AI179" s="18" t="s">
        <v>81</v>
      </c>
      <c r="AJ179" s="18" t="s">
        <v>118</v>
      </c>
      <c r="AK179" s="18" t="s">
        <v>95</v>
      </c>
      <c r="AL179" s="18" t="s">
        <v>11329</v>
      </c>
      <c r="AM179" s="18" t="s">
        <v>85</v>
      </c>
      <c r="AN179" s="18" t="s">
        <v>7031</v>
      </c>
      <c r="AO179" s="18" t="s">
        <v>86</v>
      </c>
      <c r="AP179" s="18" t="s">
        <v>90</v>
      </c>
      <c r="AQ179" s="18" t="s">
        <v>8002</v>
      </c>
      <c r="AR179" s="18" t="s">
        <v>177</v>
      </c>
      <c r="AS179" s="18" t="s">
        <v>139</v>
      </c>
      <c r="AT179" s="18" t="s">
        <v>95</v>
      </c>
      <c r="AU179" s="18" t="s">
        <v>95</v>
      </c>
      <c r="AV179" s="18" t="s">
        <v>7037</v>
      </c>
      <c r="AW179" s="18" t="s">
        <v>95</v>
      </c>
      <c r="AX179" s="18" t="s">
        <v>10806</v>
      </c>
      <c r="AY179" s="18" t="s">
        <v>95</v>
      </c>
      <c r="AZ179" s="18" t="s">
        <v>95</v>
      </c>
      <c r="BA179" s="18" t="s">
        <v>95</v>
      </c>
      <c r="BB179" s="18" t="s">
        <v>95</v>
      </c>
      <c r="BC179" s="18" t="s">
        <v>95</v>
      </c>
      <c r="BD179" s="18" t="s">
        <v>10807</v>
      </c>
      <c r="BE179" s="18" t="s">
        <v>10808</v>
      </c>
      <c r="BF179" s="18" t="s">
        <v>10809</v>
      </c>
      <c r="BG179" s="18" t="s">
        <v>7030</v>
      </c>
      <c r="BH179" s="18"/>
      <c r="BI179" s="18"/>
      <c r="BJ179" s="18" t="s">
        <v>492</v>
      </c>
      <c r="BK179" s="18" t="s">
        <v>12244</v>
      </c>
      <c r="BL179" s="18" t="s">
        <v>10811</v>
      </c>
      <c r="BM179" s="18" t="s">
        <v>139</v>
      </c>
      <c r="BN179" s="18" t="s">
        <v>85</v>
      </c>
      <c r="BO179" s="18">
        <v>0</v>
      </c>
      <c r="BP179" s="18" t="s">
        <v>10812</v>
      </c>
      <c r="BQ179" s="18" t="str">
        <f>VLOOKUP(Prepago[[#This Row],[NOM_PLAZA]],[1]!Locales[#Data],3,0)</f>
        <v>TIENDA RECREO</v>
      </c>
      <c r="BR179" s="18" t="str">
        <f>VLOOKUP(Prepago[[#This Row],[CODIGO_USUARIO]],[1]!Personal[#Data],6,0)</f>
        <v>CONDO GARCIA NICOLAS MATIAS</v>
      </c>
      <c r="BS179" s="18">
        <f>DAY(Prepago[[#This Row],[FECHA_ALTA]])</f>
        <v>15</v>
      </c>
    </row>
    <row r="180" spans="1:71" x14ac:dyDescent="0.25">
      <c r="A180" s="18" t="s">
        <v>96</v>
      </c>
      <c r="B180" s="18" t="s">
        <v>12245</v>
      </c>
      <c r="C180" s="18" t="s">
        <v>12246</v>
      </c>
      <c r="D180" s="18" t="s">
        <v>12247</v>
      </c>
      <c r="E180" s="22">
        <v>44913</v>
      </c>
      <c r="F180" s="18" t="s">
        <v>67</v>
      </c>
      <c r="G180" s="18" t="s">
        <v>12248</v>
      </c>
      <c r="H180" s="18" t="s">
        <v>12249</v>
      </c>
      <c r="I180" s="18" t="s">
        <v>70</v>
      </c>
      <c r="J180" s="18" t="s">
        <v>8102</v>
      </c>
      <c r="K180" s="18" t="s">
        <v>8103</v>
      </c>
      <c r="L180" s="18" t="s">
        <v>259</v>
      </c>
      <c r="M180" s="18" t="s">
        <v>7037</v>
      </c>
      <c r="N180" s="18" t="s">
        <v>12250</v>
      </c>
      <c r="O180" s="18" t="s">
        <v>75</v>
      </c>
      <c r="P180" s="18" t="s">
        <v>12251</v>
      </c>
      <c r="Q180" s="18" t="s">
        <v>4453</v>
      </c>
      <c r="R180" s="18" t="s">
        <v>78</v>
      </c>
      <c r="S180" s="18" t="s">
        <v>77</v>
      </c>
      <c r="T180" s="22">
        <v>44915</v>
      </c>
      <c r="U180" s="18"/>
      <c r="V180" s="18" t="s">
        <v>81</v>
      </c>
      <c r="W180" s="18" t="s">
        <v>79</v>
      </c>
      <c r="X180" s="18" t="s">
        <v>10803</v>
      </c>
      <c r="Y180" s="18" t="s">
        <v>251</v>
      </c>
      <c r="Z180" s="18" t="s">
        <v>252</v>
      </c>
      <c r="AA180" s="18" t="s">
        <v>7062</v>
      </c>
      <c r="AB180" s="18" t="s">
        <v>95</v>
      </c>
      <c r="AC180" s="18" t="s">
        <v>7984</v>
      </c>
      <c r="AD180" s="18" t="s">
        <v>10804</v>
      </c>
      <c r="AE180" s="18" t="s">
        <v>174</v>
      </c>
      <c r="AF180" s="18" t="s">
        <v>95</v>
      </c>
      <c r="AG180" s="18" t="s">
        <v>83</v>
      </c>
      <c r="AH180" s="18" t="s">
        <v>83</v>
      </c>
      <c r="AI180" s="18" t="s">
        <v>81</v>
      </c>
      <c r="AJ180" s="18" t="s">
        <v>118</v>
      </c>
      <c r="AK180" s="18" t="s">
        <v>95</v>
      </c>
      <c r="AL180" s="18" t="s">
        <v>10864</v>
      </c>
      <c r="AM180" s="18" t="s">
        <v>85</v>
      </c>
      <c r="AN180" s="18" t="s">
        <v>7031</v>
      </c>
      <c r="AO180" s="18" t="s">
        <v>86</v>
      </c>
      <c r="AP180" s="18" t="s">
        <v>90</v>
      </c>
      <c r="AQ180" s="18" t="s">
        <v>8002</v>
      </c>
      <c r="AR180" s="18" t="s">
        <v>177</v>
      </c>
      <c r="AS180" s="18" t="s">
        <v>139</v>
      </c>
      <c r="AT180" s="18" t="s">
        <v>95</v>
      </c>
      <c r="AU180" s="18" t="s">
        <v>95</v>
      </c>
      <c r="AV180" s="18" t="s">
        <v>7037</v>
      </c>
      <c r="AW180" s="18" t="s">
        <v>95</v>
      </c>
      <c r="AX180" s="18" t="s">
        <v>10806</v>
      </c>
      <c r="AY180" s="18" t="s">
        <v>95</v>
      </c>
      <c r="AZ180" s="18" t="s">
        <v>95</v>
      </c>
      <c r="BA180" s="18" t="s">
        <v>95</v>
      </c>
      <c r="BB180" s="18" t="s">
        <v>95</v>
      </c>
      <c r="BC180" s="18" t="s">
        <v>95</v>
      </c>
      <c r="BD180" s="18" t="s">
        <v>10807</v>
      </c>
      <c r="BE180" s="18" t="s">
        <v>12252</v>
      </c>
      <c r="BF180" s="18" t="s">
        <v>10809</v>
      </c>
      <c r="BG180" s="18" t="s">
        <v>7030</v>
      </c>
      <c r="BH180" s="18"/>
      <c r="BI180" s="18"/>
      <c r="BJ180" s="18" t="s">
        <v>251</v>
      </c>
      <c r="BK180" s="18" t="s">
        <v>12253</v>
      </c>
      <c r="BL180" s="18" t="s">
        <v>10811</v>
      </c>
      <c r="BM180" s="18" t="s">
        <v>139</v>
      </c>
      <c r="BN180" s="18" t="s">
        <v>85</v>
      </c>
      <c r="BO180" s="18">
        <v>0</v>
      </c>
      <c r="BP180" s="18" t="s">
        <v>10812</v>
      </c>
      <c r="BQ180" s="18" t="str">
        <f>VLOOKUP(Prepago[[#This Row],[NOM_PLAZA]],[1]!Locales[#Data],3,0)</f>
        <v>TIENDA RECREO</v>
      </c>
      <c r="BR180" s="18" t="str">
        <f>VLOOKUP(Prepago[[#This Row],[CODIGO_USUARIO]],[1]!Personal[#Data],6,0)</f>
        <v>CRUZ MONTUFAR KATHERINE ALEJANDRA</v>
      </c>
      <c r="BS180" s="18">
        <f>DAY(Prepago[[#This Row],[FECHA_ALTA]])</f>
        <v>18</v>
      </c>
    </row>
    <row r="181" spans="1:71" x14ac:dyDescent="0.25">
      <c r="A181" s="18" t="s">
        <v>96</v>
      </c>
      <c r="B181" s="18" t="s">
        <v>12254</v>
      </c>
      <c r="C181" s="18" t="s">
        <v>12255</v>
      </c>
      <c r="D181" s="18" t="s">
        <v>12256</v>
      </c>
      <c r="E181" s="22">
        <v>44898</v>
      </c>
      <c r="F181" s="18" t="s">
        <v>67</v>
      </c>
      <c r="G181" s="18" t="s">
        <v>12257</v>
      </c>
      <c r="H181" s="18" t="s">
        <v>12258</v>
      </c>
      <c r="I181" s="18" t="s">
        <v>70</v>
      </c>
      <c r="J181" s="18" t="s">
        <v>8102</v>
      </c>
      <c r="K181" s="18" t="s">
        <v>8103</v>
      </c>
      <c r="L181" s="18" t="s">
        <v>73</v>
      </c>
      <c r="M181" s="18" t="s">
        <v>7029</v>
      </c>
      <c r="N181" s="18" t="s">
        <v>12259</v>
      </c>
      <c r="O181" s="18" t="s">
        <v>75</v>
      </c>
      <c r="P181" s="18" t="s">
        <v>12260</v>
      </c>
      <c r="Q181" s="18" t="s">
        <v>4453</v>
      </c>
      <c r="R181" s="18" t="s">
        <v>78</v>
      </c>
      <c r="S181" s="18" t="s">
        <v>77</v>
      </c>
      <c r="T181" s="22">
        <v>44915</v>
      </c>
      <c r="U181" s="18"/>
      <c r="V181" s="18" t="s">
        <v>81</v>
      </c>
      <c r="W181" s="18" t="s">
        <v>79</v>
      </c>
      <c r="X181" s="18" t="s">
        <v>10803</v>
      </c>
      <c r="Y181" s="18" t="s">
        <v>251</v>
      </c>
      <c r="Z181" s="18" t="s">
        <v>252</v>
      </c>
      <c r="AA181" s="18" t="s">
        <v>7062</v>
      </c>
      <c r="AB181" s="18" t="s">
        <v>95</v>
      </c>
      <c r="AC181" s="18" t="s">
        <v>7984</v>
      </c>
      <c r="AD181" s="18" t="s">
        <v>10804</v>
      </c>
      <c r="AE181" s="18" t="s">
        <v>174</v>
      </c>
      <c r="AF181" s="18" t="s">
        <v>95</v>
      </c>
      <c r="AG181" s="18" t="s">
        <v>83</v>
      </c>
      <c r="AH181" s="18" t="s">
        <v>83</v>
      </c>
      <c r="AI181" s="18" t="s">
        <v>81</v>
      </c>
      <c r="AJ181" s="18" t="s">
        <v>118</v>
      </c>
      <c r="AK181" s="18" t="s">
        <v>95</v>
      </c>
      <c r="AL181" s="18" t="s">
        <v>10864</v>
      </c>
      <c r="AM181" s="18" t="s">
        <v>85</v>
      </c>
      <c r="AN181" s="18" t="s">
        <v>7031</v>
      </c>
      <c r="AO181" s="18" t="s">
        <v>86</v>
      </c>
      <c r="AP181" s="18" t="s">
        <v>90</v>
      </c>
      <c r="AQ181" s="18" t="s">
        <v>8002</v>
      </c>
      <c r="AR181" s="18" t="s">
        <v>177</v>
      </c>
      <c r="AS181" s="18" t="s">
        <v>139</v>
      </c>
      <c r="AT181" s="18" t="s">
        <v>95</v>
      </c>
      <c r="AU181" s="18" t="s">
        <v>95</v>
      </c>
      <c r="AV181" s="18" t="s">
        <v>7029</v>
      </c>
      <c r="AW181" s="18" t="s">
        <v>95</v>
      </c>
      <c r="AX181" s="18" t="s">
        <v>10806</v>
      </c>
      <c r="AY181" s="18" t="s">
        <v>95</v>
      </c>
      <c r="AZ181" s="18" t="s">
        <v>95</v>
      </c>
      <c r="BA181" s="18" t="s">
        <v>95</v>
      </c>
      <c r="BB181" s="18" t="s">
        <v>95</v>
      </c>
      <c r="BC181" s="18" t="s">
        <v>95</v>
      </c>
      <c r="BD181" s="18" t="s">
        <v>10807</v>
      </c>
      <c r="BE181" s="18" t="s">
        <v>10808</v>
      </c>
      <c r="BF181" s="18" t="s">
        <v>10809</v>
      </c>
      <c r="BG181" s="18" t="s">
        <v>7030</v>
      </c>
      <c r="BH181" s="18"/>
      <c r="BI181" s="18"/>
      <c r="BJ181" s="18" t="s">
        <v>251</v>
      </c>
      <c r="BK181" s="18" t="s">
        <v>12261</v>
      </c>
      <c r="BL181" s="18" t="s">
        <v>10811</v>
      </c>
      <c r="BM181" s="18" t="s">
        <v>92</v>
      </c>
      <c r="BN181" s="18" t="s">
        <v>85</v>
      </c>
      <c r="BO181" s="18">
        <v>0</v>
      </c>
      <c r="BP181" s="18" t="s">
        <v>10812</v>
      </c>
      <c r="BQ181" s="18" t="str">
        <f>VLOOKUP(Prepago[[#This Row],[NOM_PLAZA]],[1]!Locales[#Data],3,0)</f>
        <v>TIENDA RECREO</v>
      </c>
      <c r="BR181" s="18" t="str">
        <f>VLOOKUP(Prepago[[#This Row],[CODIGO_USUARIO]],[1]!Personal[#Data],6,0)</f>
        <v>CRUZ MONTUFAR KATHERINE ALEJANDRA</v>
      </c>
      <c r="BS181" s="18">
        <f>DAY(Prepago[[#This Row],[FECHA_ALTA]])</f>
        <v>3</v>
      </c>
    </row>
    <row r="182" spans="1:71" x14ac:dyDescent="0.25">
      <c r="A182" s="18" t="s">
        <v>96</v>
      </c>
      <c r="B182" s="18" t="s">
        <v>12262</v>
      </c>
      <c r="C182" s="18" t="s">
        <v>12263</v>
      </c>
      <c r="D182" s="18" t="s">
        <v>12264</v>
      </c>
      <c r="E182" s="22">
        <v>44913</v>
      </c>
      <c r="F182" s="18" t="s">
        <v>67</v>
      </c>
      <c r="G182" s="18" t="s">
        <v>12265</v>
      </c>
      <c r="H182" s="18" t="s">
        <v>12266</v>
      </c>
      <c r="I182" s="18" t="s">
        <v>193</v>
      </c>
      <c r="J182" s="18" t="s">
        <v>8102</v>
      </c>
      <c r="K182" s="18" t="s">
        <v>8103</v>
      </c>
      <c r="L182" s="18" t="s">
        <v>259</v>
      </c>
      <c r="M182" s="18" t="s">
        <v>7037</v>
      </c>
      <c r="N182" s="18" t="s">
        <v>12267</v>
      </c>
      <c r="O182" s="18" t="s">
        <v>75</v>
      </c>
      <c r="P182" s="18" t="s">
        <v>12268</v>
      </c>
      <c r="Q182" s="18" t="s">
        <v>10817</v>
      </c>
      <c r="R182" s="18" t="s">
        <v>78</v>
      </c>
      <c r="S182" s="18" t="s">
        <v>77</v>
      </c>
      <c r="T182" s="22">
        <v>44915</v>
      </c>
      <c r="U182" s="18"/>
      <c r="V182" s="18" t="s">
        <v>81</v>
      </c>
      <c r="W182" s="18" t="s">
        <v>79</v>
      </c>
      <c r="X182" s="18" t="s">
        <v>10803</v>
      </c>
      <c r="Y182" s="18" t="s">
        <v>822</v>
      </c>
      <c r="Z182" s="18" t="s">
        <v>823</v>
      </c>
      <c r="AA182" s="18" t="s">
        <v>7062</v>
      </c>
      <c r="AB182" s="18" t="s">
        <v>95</v>
      </c>
      <c r="AC182" s="18" t="s">
        <v>7984</v>
      </c>
      <c r="AD182" s="18" t="s">
        <v>10804</v>
      </c>
      <c r="AE182" s="18" t="s">
        <v>174</v>
      </c>
      <c r="AF182" s="18" t="s">
        <v>95</v>
      </c>
      <c r="AG182" s="18" t="s">
        <v>83</v>
      </c>
      <c r="AH182" s="18" t="s">
        <v>83</v>
      </c>
      <c r="AI182" s="18" t="s">
        <v>81</v>
      </c>
      <c r="AJ182" s="18" t="s">
        <v>118</v>
      </c>
      <c r="AK182" s="18" t="s">
        <v>95</v>
      </c>
      <c r="AL182" s="18" t="s">
        <v>10828</v>
      </c>
      <c r="AM182" s="18" t="s">
        <v>85</v>
      </c>
      <c r="AN182" s="18" t="s">
        <v>7031</v>
      </c>
      <c r="AO182" s="18" t="s">
        <v>86</v>
      </c>
      <c r="AP182" s="18" t="s">
        <v>90</v>
      </c>
      <c r="AQ182" s="18" t="s">
        <v>8002</v>
      </c>
      <c r="AR182" s="18" t="s">
        <v>177</v>
      </c>
      <c r="AS182" s="18" t="s">
        <v>139</v>
      </c>
      <c r="AT182" s="18" t="s">
        <v>95</v>
      </c>
      <c r="AU182" s="18" t="s">
        <v>95</v>
      </c>
      <c r="AV182" s="18" t="s">
        <v>7037</v>
      </c>
      <c r="AW182" s="18" t="s">
        <v>95</v>
      </c>
      <c r="AX182" s="18" t="s">
        <v>10806</v>
      </c>
      <c r="AY182" s="18" t="s">
        <v>95</v>
      </c>
      <c r="AZ182" s="18" t="s">
        <v>95</v>
      </c>
      <c r="BA182" s="18" t="s">
        <v>95</v>
      </c>
      <c r="BB182" s="18" t="s">
        <v>95</v>
      </c>
      <c r="BC182" s="18" t="s">
        <v>95</v>
      </c>
      <c r="BD182" s="18" t="s">
        <v>10829</v>
      </c>
      <c r="BE182" s="18" t="s">
        <v>12269</v>
      </c>
      <c r="BF182" s="18" t="s">
        <v>10809</v>
      </c>
      <c r="BG182" s="18" t="s">
        <v>7030</v>
      </c>
      <c r="BH182" s="18"/>
      <c r="BI182" s="18"/>
      <c r="BJ182" s="18" t="s">
        <v>822</v>
      </c>
      <c r="BK182" s="18" t="s">
        <v>12270</v>
      </c>
      <c r="BL182" s="18" t="s">
        <v>10811</v>
      </c>
      <c r="BM182" s="18" t="s">
        <v>139</v>
      </c>
      <c r="BN182" s="18" t="s">
        <v>85</v>
      </c>
      <c r="BO182" s="18">
        <v>0</v>
      </c>
      <c r="BP182" s="18" t="s">
        <v>10812</v>
      </c>
      <c r="BQ182" s="18" t="str">
        <f>VLOOKUP(Prepago[[#This Row],[NOM_PLAZA]],[1]!Locales[#Data],3,0)</f>
        <v>TIENDA RECREO</v>
      </c>
      <c r="BR182" s="18" t="str">
        <f>VLOOKUP(Prepago[[#This Row],[CODIGO_USUARIO]],[1]!Personal[#Data],6,0)</f>
        <v>SALAS PARRA MARIA JOSE</v>
      </c>
      <c r="BS182" s="18">
        <f>DAY(Prepago[[#This Row],[FECHA_ALTA]])</f>
        <v>18</v>
      </c>
    </row>
    <row r="183" spans="1:71" x14ac:dyDescent="0.25">
      <c r="A183" s="18" t="s">
        <v>96</v>
      </c>
      <c r="B183" s="18" t="s">
        <v>12271</v>
      </c>
      <c r="C183" s="18" t="s">
        <v>12272</v>
      </c>
      <c r="D183" s="18" t="s">
        <v>12273</v>
      </c>
      <c r="E183" s="22">
        <v>44906</v>
      </c>
      <c r="F183" s="18" t="s">
        <v>67</v>
      </c>
      <c r="G183" s="18" t="s">
        <v>12274</v>
      </c>
      <c r="H183" s="18" t="s">
        <v>12275</v>
      </c>
      <c r="I183" s="18" t="s">
        <v>70</v>
      </c>
      <c r="J183" s="18" t="s">
        <v>8102</v>
      </c>
      <c r="K183" s="18" t="s">
        <v>8103</v>
      </c>
      <c r="L183" s="18" t="s">
        <v>349</v>
      </c>
      <c r="M183" s="18" t="s">
        <v>7066</v>
      </c>
      <c r="N183" s="18" t="s">
        <v>12276</v>
      </c>
      <c r="O183" s="18" t="s">
        <v>75</v>
      </c>
      <c r="P183" s="18" t="s">
        <v>12277</v>
      </c>
      <c r="Q183" s="18" t="s">
        <v>10817</v>
      </c>
      <c r="R183" s="18" t="s">
        <v>78</v>
      </c>
      <c r="S183" s="18" t="s">
        <v>77</v>
      </c>
      <c r="T183" s="22">
        <v>44915</v>
      </c>
      <c r="U183" s="18"/>
      <c r="V183" s="18" t="s">
        <v>81</v>
      </c>
      <c r="W183" s="18" t="s">
        <v>79</v>
      </c>
      <c r="X183" s="18" t="s">
        <v>10803</v>
      </c>
      <c r="Y183" s="18" t="s">
        <v>2103</v>
      </c>
      <c r="Z183" s="18" t="s">
        <v>2104</v>
      </c>
      <c r="AA183" s="18" t="s">
        <v>2103</v>
      </c>
      <c r="AB183" s="18" t="s">
        <v>2104</v>
      </c>
      <c r="AC183" s="18" t="s">
        <v>7984</v>
      </c>
      <c r="AD183" s="18" t="s">
        <v>10804</v>
      </c>
      <c r="AE183" s="18" t="s">
        <v>174</v>
      </c>
      <c r="AF183" s="18" t="s">
        <v>95</v>
      </c>
      <c r="AG183" s="18" t="s">
        <v>83</v>
      </c>
      <c r="AH183" s="18" t="s">
        <v>83</v>
      </c>
      <c r="AI183" s="18" t="s">
        <v>81</v>
      </c>
      <c r="AJ183" s="18" t="s">
        <v>118</v>
      </c>
      <c r="AK183" s="18" t="s">
        <v>95</v>
      </c>
      <c r="AL183" s="18" t="s">
        <v>11686</v>
      </c>
      <c r="AM183" s="18" t="s">
        <v>85</v>
      </c>
      <c r="AN183" s="18" t="s">
        <v>7031</v>
      </c>
      <c r="AO183" s="18" t="s">
        <v>86</v>
      </c>
      <c r="AP183" s="18" t="s">
        <v>90</v>
      </c>
      <c r="AQ183" s="18" t="s">
        <v>8002</v>
      </c>
      <c r="AR183" s="18" t="s">
        <v>177</v>
      </c>
      <c r="AS183" s="18" t="s">
        <v>139</v>
      </c>
      <c r="AT183" s="18" t="s">
        <v>95</v>
      </c>
      <c r="AU183" s="18" t="s">
        <v>95</v>
      </c>
      <c r="AV183" s="18" t="s">
        <v>7066</v>
      </c>
      <c r="AW183" s="18" t="s">
        <v>95</v>
      </c>
      <c r="AX183" s="18" t="s">
        <v>10806</v>
      </c>
      <c r="AY183" s="18" t="s">
        <v>95</v>
      </c>
      <c r="AZ183" s="18" t="s">
        <v>95</v>
      </c>
      <c r="BA183" s="18" t="s">
        <v>95</v>
      </c>
      <c r="BB183" s="18" t="s">
        <v>95</v>
      </c>
      <c r="BC183" s="18" t="s">
        <v>95</v>
      </c>
      <c r="BD183" s="18" t="s">
        <v>10829</v>
      </c>
      <c r="BE183" s="18" t="s">
        <v>12278</v>
      </c>
      <c r="BF183" s="18" t="s">
        <v>10809</v>
      </c>
      <c r="BG183" s="18" t="s">
        <v>7030</v>
      </c>
      <c r="BH183" s="18"/>
      <c r="BI183" s="18"/>
      <c r="BJ183" s="18" t="s">
        <v>2103</v>
      </c>
      <c r="BK183" s="18" t="s">
        <v>12279</v>
      </c>
      <c r="BL183" s="18" t="s">
        <v>10811</v>
      </c>
      <c r="BM183" s="18" t="s">
        <v>8121</v>
      </c>
      <c r="BN183" s="18" t="s">
        <v>85</v>
      </c>
      <c r="BO183" s="18">
        <v>0</v>
      </c>
      <c r="BP183" s="18" t="s">
        <v>10812</v>
      </c>
      <c r="BQ183" s="18" t="str">
        <f>VLOOKUP(Prepago[[#This Row],[NOM_PLAZA]],[1]!Locales[#Data],3,0)</f>
        <v>TIENDA RECREO</v>
      </c>
      <c r="BR183" s="18" t="str">
        <f>VLOOKUP(Prepago[[#This Row],[CODIGO_USUARIO]],[1]!Personal[#Data],6,0)</f>
        <v>CORDOVA BRUCIL LUIS EDUARDO</v>
      </c>
      <c r="BS183" s="18">
        <f>DAY(Prepago[[#This Row],[FECHA_ALTA]])</f>
        <v>11</v>
      </c>
    </row>
    <row r="184" spans="1:71" x14ac:dyDescent="0.25">
      <c r="A184" s="18" t="s">
        <v>96</v>
      </c>
      <c r="B184" s="18" t="s">
        <v>12280</v>
      </c>
      <c r="C184" s="18" t="s">
        <v>12281</v>
      </c>
      <c r="D184" s="18" t="s">
        <v>12282</v>
      </c>
      <c r="E184" s="22">
        <v>44898</v>
      </c>
      <c r="F184" s="18" t="s">
        <v>67</v>
      </c>
      <c r="G184" s="18" t="s">
        <v>12283</v>
      </c>
      <c r="H184" s="18" t="s">
        <v>12284</v>
      </c>
      <c r="I184" s="18" t="s">
        <v>70</v>
      </c>
      <c r="J184" s="18" t="s">
        <v>8102</v>
      </c>
      <c r="K184" s="18" t="s">
        <v>8103</v>
      </c>
      <c r="L184" s="18" t="s">
        <v>73</v>
      </c>
      <c r="M184" s="18" t="s">
        <v>7037</v>
      </c>
      <c r="N184" s="18" t="s">
        <v>12285</v>
      </c>
      <c r="O184" s="18" t="s">
        <v>75</v>
      </c>
      <c r="P184" s="18" t="s">
        <v>12286</v>
      </c>
      <c r="Q184" s="18" t="s">
        <v>1532</v>
      </c>
      <c r="R184" s="18" t="s">
        <v>78</v>
      </c>
      <c r="S184" s="18" t="s">
        <v>77</v>
      </c>
      <c r="T184" s="22">
        <v>44915</v>
      </c>
      <c r="U184" s="18"/>
      <c r="V184" s="18" t="s">
        <v>81</v>
      </c>
      <c r="W184" s="18" t="s">
        <v>79</v>
      </c>
      <c r="X184" s="18" t="s">
        <v>10803</v>
      </c>
      <c r="Y184" s="18" t="s">
        <v>822</v>
      </c>
      <c r="Z184" s="18" t="s">
        <v>823</v>
      </c>
      <c r="AA184" s="18" t="s">
        <v>7062</v>
      </c>
      <c r="AB184" s="18" t="s">
        <v>95</v>
      </c>
      <c r="AC184" s="18" t="s">
        <v>7984</v>
      </c>
      <c r="AD184" s="18" t="s">
        <v>10804</v>
      </c>
      <c r="AE184" s="18" t="s">
        <v>174</v>
      </c>
      <c r="AF184" s="18" t="s">
        <v>95</v>
      </c>
      <c r="AG184" s="18" t="s">
        <v>83</v>
      </c>
      <c r="AH184" s="18" t="s">
        <v>83</v>
      </c>
      <c r="AI184" s="18" t="s">
        <v>81</v>
      </c>
      <c r="AJ184" s="18" t="s">
        <v>118</v>
      </c>
      <c r="AK184" s="18" t="s">
        <v>95</v>
      </c>
      <c r="AL184" s="18" t="s">
        <v>10828</v>
      </c>
      <c r="AM184" s="18" t="s">
        <v>85</v>
      </c>
      <c r="AN184" s="18" t="s">
        <v>7031</v>
      </c>
      <c r="AO184" s="18" t="s">
        <v>86</v>
      </c>
      <c r="AP184" s="18" t="s">
        <v>90</v>
      </c>
      <c r="AQ184" s="18" t="s">
        <v>8002</v>
      </c>
      <c r="AR184" s="18" t="s">
        <v>177</v>
      </c>
      <c r="AS184" s="18" t="s">
        <v>139</v>
      </c>
      <c r="AT184" s="18" t="s">
        <v>95</v>
      </c>
      <c r="AU184" s="18" t="s">
        <v>95</v>
      </c>
      <c r="AV184" s="18" t="s">
        <v>7037</v>
      </c>
      <c r="AW184" s="18" t="s">
        <v>95</v>
      </c>
      <c r="AX184" s="18" t="s">
        <v>10806</v>
      </c>
      <c r="AY184" s="18" t="s">
        <v>95</v>
      </c>
      <c r="AZ184" s="18" t="s">
        <v>95</v>
      </c>
      <c r="BA184" s="18" t="s">
        <v>95</v>
      </c>
      <c r="BB184" s="18" t="s">
        <v>95</v>
      </c>
      <c r="BC184" s="18" t="s">
        <v>95</v>
      </c>
      <c r="BD184" s="18" t="s">
        <v>10807</v>
      </c>
      <c r="BE184" s="18" t="s">
        <v>10808</v>
      </c>
      <c r="BF184" s="18" t="s">
        <v>10809</v>
      </c>
      <c r="BG184" s="18" t="s">
        <v>7030</v>
      </c>
      <c r="BH184" s="18"/>
      <c r="BI184" s="18"/>
      <c r="BJ184" s="18" t="s">
        <v>822</v>
      </c>
      <c r="BK184" s="18" t="s">
        <v>12287</v>
      </c>
      <c r="BL184" s="18" t="s">
        <v>10811</v>
      </c>
      <c r="BM184" s="18" t="s">
        <v>139</v>
      </c>
      <c r="BN184" s="18" t="s">
        <v>85</v>
      </c>
      <c r="BO184" s="18">
        <v>0</v>
      </c>
      <c r="BP184" s="18" t="s">
        <v>10812</v>
      </c>
      <c r="BQ184" s="18" t="str">
        <f>VLOOKUP(Prepago[[#This Row],[NOM_PLAZA]],[1]!Locales[#Data],3,0)</f>
        <v>TIENDA RECREO</v>
      </c>
      <c r="BR184" s="18" t="str">
        <f>VLOOKUP(Prepago[[#This Row],[CODIGO_USUARIO]],[1]!Personal[#Data],6,0)</f>
        <v>SALAS PARRA MARIA JOSE</v>
      </c>
      <c r="BS184" s="18">
        <f>DAY(Prepago[[#This Row],[FECHA_ALTA]])</f>
        <v>3</v>
      </c>
    </row>
    <row r="185" spans="1:71" x14ac:dyDescent="0.25">
      <c r="A185" s="18" t="s">
        <v>96</v>
      </c>
      <c r="B185" s="18" t="s">
        <v>12288</v>
      </c>
      <c r="C185" s="18" t="s">
        <v>12289</v>
      </c>
      <c r="D185" s="18" t="s">
        <v>12290</v>
      </c>
      <c r="E185" s="22">
        <v>44912</v>
      </c>
      <c r="F185" s="18" t="s">
        <v>67</v>
      </c>
      <c r="G185" s="18" t="s">
        <v>12291</v>
      </c>
      <c r="H185" s="18" t="s">
        <v>12292</v>
      </c>
      <c r="I185" s="18" t="s">
        <v>70</v>
      </c>
      <c r="J185" s="18" t="s">
        <v>8102</v>
      </c>
      <c r="K185" s="18" t="s">
        <v>8103</v>
      </c>
      <c r="L185" s="18" t="s">
        <v>73</v>
      </c>
      <c r="M185" s="18" t="s">
        <v>7037</v>
      </c>
      <c r="N185" s="18" t="s">
        <v>12293</v>
      </c>
      <c r="O185" s="18" t="s">
        <v>75</v>
      </c>
      <c r="P185" s="18" t="s">
        <v>12294</v>
      </c>
      <c r="Q185" s="18" t="s">
        <v>10817</v>
      </c>
      <c r="R185" s="18" t="s">
        <v>78</v>
      </c>
      <c r="S185" s="18" t="s">
        <v>77</v>
      </c>
      <c r="T185" s="22">
        <v>44915</v>
      </c>
      <c r="U185" s="18"/>
      <c r="V185" s="18" t="s">
        <v>81</v>
      </c>
      <c r="W185" s="18" t="s">
        <v>79</v>
      </c>
      <c r="X185" s="18" t="s">
        <v>10803</v>
      </c>
      <c r="Y185" s="18" t="s">
        <v>492</v>
      </c>
      <c r="Z185" s="18" t="s">
        <v>493</v>
      </c>
      <c r="AA185" s="18" t="s">
        <v>7062</v>
      </c>
      <c r="AB185" s="18" t="s">
        <v>95</v>
      </c>
      <c r="AC185" s="18" t="s">
        <v>7984</v>
      </c>
      <c r="AD185" s="18" t="s">
        <v>10804</v>
      </c>
      <c r="AE185" s="18" t="s">
        <v>174</v>
      </c>
      <c r="AF185" s="18" t="s">
        <v>95</v>
      </c>
      <c r="AG185" s="18" t="s">
        <v>83</v>
      </c>
      <c r="AH185" s="18" t="s">
        <v>83</v>
      </c>
      <c r="AI185" s="18" t="s">
        <v>81</v>
      </c>
      <c r="AJ185" s="18" t="s">
        <v>118</v>
      </c>
      <c r="AK185" s="18" t="s">
        <v>95</v>
      </c>
      <c r="AL185" s="18" t="s">
        <v>11329</v>
      </c>
      <c r="AM185" s="18" t="s">
        <v>85</v>
      </c>
      <c r="AN185" s="18" t="s">
        <v>7031</v>
      </c>
      <c r="AO185" s="18" t="s">
        <v>86</v>
      </c>
      <c r="AP185" s="18" t="s">
        <v>90</v>
      </c>
      <c r="AQ185" s="18" t="s">
        <v>8002</v>
      </c>
      <c r="AR185" s="18" t="s">
        <v>177</v>
      </c>
      <c r="AS185" s="18" t="s">
        <v>139</v>
      </c>
      <c r="AT185" s="18" t="s">
        <v>95</v>
      </c>
      <c r="AU185" s="18" t="s">
        <v>95</v>
      </c>
      <c r="AV185" s="18" t="s">
        <v>7037</v>
      </c>
      <c r="AW185" s="18" t="s">
        <v>95</v>
      </c>
      <c r="AX185" s="18" t="s">
        <v>10806</v>
      </c>
      <c r="AY185" s="18" t="s">
        <v>95</v>
      </c>
      <c r="AZ185" s="18" t="s">
        <v>95</v>
      </c>
      <c r="BA185" s="18" t="s">
        <v>95</v>
      </c>
      <c r="BB185" s="18" t="s">
        <v>95</v>
      </c>
      <c r="BC185" s="18" t="s">
        <v>95</v>
      </c>
      <c r="BD185" s="18" t="s">
        <v>10829</v>
      </c>
      <c r="BE185" s="18" t="s">
        <v>12295</v>
      </c>
      <c r="BF185" s="18" t="s">
        <v>10809</v>
      </c>
      <c r="BG185" s="18" t="s">
        <v>7030</v>
      </c>
      <c r="BH185" s="18"/>
      <c r="BI185" s="18"/>
      <c r="BJ185" s="18" t="s">
        <v>492</v>
      </c>
      <c r="BK185" s="18" t="s">
        <v>12296</v>
      </c>
      <c r="BL185" s="18" t="s">
        <v>10811</v>
      </c>
      <c r="BM185" s="18" t="s">
        <v>139</v>
      </c>
      <c r="BN185" s="18" t="s">
        <v>85</v>
      </c>
      <c r="BO185" s="18">
        <v>0</v>
      </c>
      <c r="BP185" s="18" t="s">
        <v>10812</v>
      </c>
      <c r="BQ185" s="18" t="str">
        <f>VLOOKUP(Prepago[[#This Row],[NOM_PLAZA]],[1]!Locales[#Data],3,0)</f>
        <v>TIENDA RECREO</v>
      </c>
      <c r="BR185" s="18" t="str">
        <f>VLOOKUP(Prepago[[#This Row],[CODIGO_USUARIO]],[1]!Personal[#Data],6,0)</f>
        <v>CONDO GARCIA NICOLAS MATIAS</v>
      </c>
      <c r="BS185" s="18">
        <f>DAY(Prepago[[#This Row],[FECHA_ALTA]])</f>
        <v>17</v>
      </c>
    </row>
    <row r="186" spans="1:71" x14ac:dyDescent="0.25">
      <c r="A186" s="18" t="s">
        <v>96</v>
      </c>
      <c r="B186" s="18" t="s">
        <v>12297</v>
      </c>
      <c r="C186" s="18" t="s">
        <v>12298</v>
      </c>
      <c r="D186" s="18" t="s">
        <v>12204</v>
      </c>
      <c r="E186" s="22">
        <v>44914</v>
      </c>
      <c r="F186" s="18" t="s">
        <v>67</v>
      </c>
      <c r="G186" s="18" t="s">
        <v>12205</v>
      </c>
      <c r="H186" s="18" t="s">
        <v>12206</v>
      </c>
      <c r="I186" s="18" t="s">
        <v>70</v>
      </c>
      <c r="J186" s="18" t="s">
        <v>8102</v>
      </c>
      <c r="K186" s="18" t="s">
        <v>8103</v>
      </c>
      <c r="L186" s="18" t="s">
        <v>132</v>
      </c>
      <c r="M186" s="18" t="s">
        <v>7037</v>
      </c>
      <c r="N186" s="18" t="s">
        <v>12299</v>
      </c>
      <c r="O186" s="18" t="s">
        <v>75</v>
      </c>
      <c r="P186" s="18" t="s">
        <v>12300</v>
      </c>
      <c r="Q186" s="18" t="s">
        <v>10817</v>
      </c>
      <c r="R186" s="18" t="s">
        <v>78</v>
      </c>
      <c r="S186" s="18" t="s">
        <v>77</v>
      </c>
      <c r="T186" s="22">
        <v>44915</v>
      </c>
      <c r="U186" s="18"/>
      <c r="V186" s="18" t="s">
        <v>81</v>
      </c>
      <c r="W186" s="18" t="s">
        <v>79</v>
      </c>
      <c r="X186" s="18" t="s">
        <v>10803</v>
      </c>
      <c r="Y186" s="18" t="s">
        <v>760</v>
      </c>
      <c r="Z186" s="18" t="s">
        <v>761</v>
      </c>
      <c r="AA186" s="18" t="s">
        <v>7062</v>
      </c>
      <c r="AB186" s="18" t="s">
        <v>95</v>
      </c>
      <c r="AC186" s="18" t="s">
        <v>7984</v>
      </c>
      <c r="AD186" s="18" t="s">
        <v>10804</v>
      </c>
      <c r="AE186" s="18" t="s">
        <v>174</v>
      </c>
      <c r="AF186" s="18" t="s">
        <v>95</v>
      </c>
      <c r="AG186" s="18" t="s">
        <v>83</v>
      </c>
      <c r="AH186" s="18" t="s">
        <v>83</v>
      </c>
      <c r="AI186" s="18" t="s">
        <v>81</v>
      </c>
      <c r="AJ186" s="18" t="s">
        <v>118</v>
      </c>
      <c r="AK186" s="18" t="s">
        <v>95</v>
      </c>
      <c r="AL186" s="18" t="s">
        <v>10818</v>
      </c>
      <c r="AM186" s="18" t="s">
        <v>85</v>
      </c>
      <c r="AN186" s="18" t="s">
        <v>7031</v>
      </c>
      <c r="AO186" s="18" t="s">
        <v>86</v>
      </c>
      <c r="AP186" s="18" t="s">
        <v>90</v>
      </c>
      <c r="AQ186" s="18" t="s">
        <v>8002</v>
      </c>
      <c r="AR186" s="18" t="s">
        <v>177</v>
      </c>
      <c r="AS186" s="18" t="s">
        <v>139</v>
      </c>
      <c r="AT186" s="18" t="s">
        <v>95</v>
      </c>
      <c r="AU186" s="18" t="s">
        <v>95</v>
      </c>
      <c r="AV186" s="18" t="s">
        <v>7037</v>
      </c>
      <c r="AW186" s="18" t="s">
        <v>95</v>
      </c>
      <c r="AX186" s="18" t="s">
        <v>10806</v>
      </c>
      <c r="AY186" s="18" t="s">
        <v>95</v>
      </c>
      <c r="AZ186" s="18" t="s">
        <v>95</v>
      </c>
      <c r="BA186" s="18" t="s">
        <v>95</v>
      </c>
      <c r="BB186" s="18" t="s">
        <v>95</v>
      </c>
      <c r="BC186" s="18" t="s">
        <v>95</v>
      </c>
      <c r="BD186" s="18" t="s">
        <v>10829</v>
      </c>
      <c r="BE186" s="18" t="s">
        <v>12209</v>
      </c>
      <c r="BF186" s="18" t="s">
        <v>10809</v>
      </c>
      <c r="BG186" s="18" t="s">
        <v>7030</v>
      </c>
      <c r="BH186" s="18"/>
      <c r="BI186" s="18"/>
      <c r="BJ186" s="18" t="s">
        <v>760</v>
      </c>
      <c r="BK186" s="18" t="s">
        <v>12210</v>
      </c>
      <c r="BL186" s="18" t="s">
        <v>10811</v>
      </c>
      <c r="BM186" s="18" t="s">
        <v>139</v>
      </c>
      <c r="BN186" s="18" t="s">
        <v>85</v>
      </c>
      <c r="BO186" s="18">
        <v>0</v>
      </c>
      <c r="BP186" s="18" t="s">
        <v>10812</v>
      </c>
      <c r="BQ186" s="18" t="str">
        <f>VLOOKUP(Prepago[[#This Row],[NOM_PLAZA]],[1]!Locales[#Data],3,0)</f>
        <v>TIENDA RECREO</v>
      </c>
      <c r="BR186" s="18" t="str">
        <f>VLOOKUP(Prepago[[#This Row],[CODIGO_USUARIO]],[1]!Personal[#Data],6,0)</f>
        <v>VALBUENA SANCHEZ ALBERT ANTHONY</v>
      </c>
      <c r="BS186" s="18">
        <f>DAY(Prepago[[#This Row],[FECHA_ALTA]])</f>
        <v>19</v>
      </c>
    </row>
    <row r="187" spans="1:71" x14ac:dyDescent="0.25">
      <c r="A187" s="18" t="s">
        <v>96</v>
      </c>
      <c r="B187" s="18" t="s">
        <v>12301</v>
      </c>
      <c r="C187" s="18" t="s">
        <v>12302</v>
      </c>
      <c r="D187" s="18" t="s">
        <v>12303</v>
      </c>
      <c r="E187" s="22">
        <v>44897</v>
      </c>
      <c r="F187" s="18" t="s">
        <v>67</v>
      </c>
      <c r="G187" s="18" t="s">
        <v>12304</v>
      </c>
      <c r="H187" s="18" t="s">
        <v>12305</v>
      </c>
      <c r="I187" s="18" t="s">
        <v>70</v>
      </c>
      <c r="J187" s="18" t="s">
        <v>8102</v>
      </c>
      <c r="K187" s="18" t="s">
        <v>8103</v>
      </c>
      <c r="L187" s="18" t="s">
        <v>73</v>
      </c>
      <c r="M187" s="18" t="s">
        <v>7037</v>
      </c>
      <c r="N187" s="18" t="s">
        <v>12306</v>
      </c>
      <c r="O187" s="18" t="s">
        <v>75</v>
      </c>
      <c r="P187" s="18" t="s">
        <v>12307</v>
      </c>
      <c r="Q187" s="18" t="s">
        <v>4453</v>
      </c>
      <c r="R187" s="18" t="s">
        <v>78</v>
      </c>
      <c r="S187" s="18" t="s">
        <v>77</v>
      </c>
      <c r="T187" s="22">
        <v>44915</v>
      </c>
      <c r="U187" s="18"/>
      <c r="V187" s="18" t="s">
        <v>81</v>
      </c>
      <c r="W187" s="18" t="s">
        <v>79</v>
      </c>
      <c r="X187" s="18" t="s">
        <v>10803</v>
      </c>
      <c r="Y187" s="18" t="s">
        <v>251</v>
      </c>
      <c r="Z187" s="18" t="s">
        <v>252</v>
      </c>
      <c r="AA187" s="18" t="s">
        <v>7062</v>
      </c>
      <c r="AB187" s="18" t="s">
        <v>95</v>
      </c>
      <c r="AC187" s="18" t="s">
        <v>7984</v>
      </c>
      <c r="AD187" s="18" t="s">
        <v>10804</v>
      </c>
      <c r="AE187" s="18" t="s">
        <v>174</v>
      </c>
      <c r="AF187" s="18" t="s">
        <v>95</v>
      </c>
      <c r="AG187" s="18" t="s">
        <v>83</v>
      </c>
      <c r="AH187" s="18" t="s">
        <v>83</v>
      </c>
      <c r="AI187" s="18" t="s">
        <v>81</v>
      </c>
      <c r="AJ187" s="18" t="s">
        <v>118</v>
      </c>
      <c r="AK187" s="18" t="s">
        <v>95</v>
      </c>
      <c r="AL187" s="18" t="s">
        <v>10864</v>
      </c>
      <c r="AM187" s="18" t="s">
        <v>85</v>
      </c>
      <c r="AN187" s="18" t="s">
        <v>7031</v>
      </c>
      <c r="AO187" s="18" t="s">
        <v>86</v>
      </c>
      <c r="AP187" s="18" t="s">
        <v>90</v>
      </c>
      <c r="AQ187" s="18" t="s">
        <v>8002</v>
      </c>
      <c r="AR187" s="18" t="s">
        <v>177</v>
      </c>
      <c r="AS187" s="18" t="s">
        <v>139</v>
      </c>
      <c r="AT187" s="18" t="s">
        <v>95</v>
      </c>
      <c r="AU187" s="18" t="s">
        <v>95</v>
      </c>
      <c r="AV187" s="18" t="s">
        <v>7037</v>
      </c>
      <c r="AW187" s="18" t="s">
        <v>95</v>
      </c>
      <c r="AX187" s="18" t="s">
        <v>10806</v>
      </c>
      <c r="AY187" s="18" t="s">
        <v>95</v>
      </c>
      <c r="AZ187" s="18" t="s">
        <v>95</v>
      </c>
      <c r="BA187" s="18" t="s">
        <v>95</v>
      </c>
      <c r="BB187" s="18" t="s">
        <v>95</v>
      </c>
      <c r="BC187" s="18" t="s">
        <v>95</v>
      </c>
      <c r="BD187" s="18" t="s">
        <v>10807</v>
      </c>
      <c r="BE187" s="18" t="s">
        <v>12308</v>
      </c>
      <c r="BF187" s="18" t="s">
        <v>7037</v>
      </c>
      <c r="BG187" s="18" t="s">
        <v>7030</v>
      </c>
      <c r="BH187" s="18"/>
      <c r="BI187" s="18"/>
      <c r="BJ187" s="18" t="s">
        <v>251</v>
      </c>
      <c r="BK187" s="18" t="s">
        <v>12309</v>
      </c>
      <c r="BL187" s="18" t="s">
        <v>10811</v>
      </c>
      <c r="BM187" s="18" t="s">
        <v>139</v>
      </c>
      <c r="BN187" s="18" t="s">
        <v>85</v>
      </c>
      <c r="BO187" s="18">
        <v>0</v>
      </c>
      <c r="BP187" s="18" t="s">
        <v>10812</v>
      </c>
      <c r="BQ187" s="18" t="str">
        <f>VLOOKUP(Prepago[[#This Row],[NOM_PLAZA]],[1]!Locales[#Data],3,0)</f>
        <v>TIENDA RECREO</v>
      </c>
      <c r="BR187" s="18" t="str">
        <f>VLOOKUP(Prepago[[#This Row],[CODIGO_USUARIO]],[1]!Personal[#Data],6,0)</f>
        <v>CRUZ MONTUFAR KATHERINE ALEJANDRA</v>
      </c>
      <c r="BS187" s="18">
        <f>DAY(Prepago[[#This Row],[FECHA_ALTA]])</f>
        <v>2</v>
      </c>
    </row>
    <row r="188" spans="1:71" x14ac:dyDescent="0.25">
      <c r="A188" s="18" t="s">
        <v>96</v>
      </c>
      <c r="B188" s="18" t="s">
        <v>12310</v>
      </c>
      <c r="C188" s="18" t="s">
        <v>12311</v>
      </c>
      <c r="D188" s="18" t="s">
        <v>12312</v>
      </c>
      <c r="E188" s="22">
        <v>44908</v>
      </c>
      <c r="F188" s="18" t="s">
        <v>67</v>
      </c>
      <c r="G188" s="18" t="s">
        <v>12313</v>
      </c>
      <c r="H188" s="18" t="s">
        <v>12314</v>
      </c>
      <c r="I188" s="18" t="s">
        <v>70</v>
      </c>
      <c r="J188" s="18" t="s">
        <v>8102</v>
      </c>
      <c r="K188" s="18" t="s">
        <v>8103</v>
      </c>
      <c r="L188" s="18" t="s">
        <v>73</v>
      </c>
      <c r="M188" s="18" t="s">
        <v>7037</v>
      </c>
      <c r="N188" s="18" t="s">
        <v>12315</v>
      </c>
      <c r="O188" s="18" t="s">
        <v>75</v>
      </c>
      <c r="P188" s="18" t="s">
        <v>12316</v>
      </c>
      <c r="Q188" s="18" t="s">
        <v>4453</v>
      </c>
      <c r="R188" s="18" t="s">
        <v>78</v>
      </c>
      <c r="S188" s="18" t="s">
        <v>77</v>
      </c>
      <c r="T188" s="22">
        <v>44915</v>
      </c>
      <c r="U188" s="18"/>
      <c r="V188" s="18" t="s">
        <v>81</v>
      </c>
      <c r="W188" s="18" t="s">
        <v>79</v>
      </c>
      <c r="X188" s="18" t="s">
        <v>10803</v>
      </c>
      <c r="Y188" s="18" t="s">
        <v>630</v>
      </c>
      <c r="Z188" s="18" t="s">
        <v>631</v>
      </c>
      <c r="AA188" s="18" t="s">
        <v>7062</v>
      </c>
      <c r="AB188" s="18" t="s">
        <v>95</v>
      </c>
      <c r="AC188" s="18" t="s">
        <v>7984</v>
      </c>
      <c r="AD188" s="18" t="s">
        <v>10804</v>
      </c>
      <c r="AE188" s="18" t="s">
        <v>174</v>
      </c>
      <c r="AF188" s="18" t="s">
        <v>95</v>
      </c>
      <c r="AG188" s="18" t="s">
        <v>83</v>
      </c>
      <c r="AH188" s="18" t="s">
        <v>83</v>
      </c>
      <c r="AI188" s="18" t="s">
        <v>81</v>
      </c>
      <c r="AJ188" s="18" t="s">
        <v>118</v>
      </c>
      <c r="AK188" s="18" t="s">
        <v>95</v>
      </c>
      <c r="AL188" s="18" t="s">
        <v>10873</v>
      </c>
      <c r="AM188" s="18" t="s">
        <v>85</v>
      </c>
      <c r="AN188" s="18" t="s">
        <v>7031</v>
      </c>
      <c r="AO188" s="18" t="s">
        <v>86</v>
      </c>
      <c r="AP188" s="18" t="s">
        <v>90</v>
      </c>
      <c r="AQ188" s="18" t="s">
        <v>8002</v>
      </c>
      <c r="AR188" s="18" t="s">
        <v>177</v>
      </c>
      <c r="AS188" s="18" t="s">
        <v>139</v>
      </c>
      <c r="AT188" s="18" t="s">
        <v>95</v>
      </c>
      <c r="AU188" s="18" t="s">
        <v>95</v>
      </c>
      <c r="AV188" s="18" t="s">
        <v>7037</v>
      </c>
      <c r="AW188" s="18" t="s">
        <v>95</v>
      </c>
      <c r="AX188" s="18" t="s">
        <v>10806</v>
      </c>
      <c r="AY188" s="18" t="s">
        <v>95</v>
      </c>
      <c r="AZ188" s="18" t="s">
        <v>95</v>
      </c>
      <c r="BA188" s="18" t="s">
        <v>95</v>
      </c>
      <c r="BB188" s="18" t="s">
        <v>95</v>
      </c>
      <c r="BC188" s="18" t="s">
        <v>95</v>
      </c>
      <c r="BD188" s="18" t="s">
        <v>10807</v>
      </c>
      <c r="BE188" s="18" t="s">
        <v>10808</v>
      </c>
      <c r="BF188" s="18" t="s">
        <v>10809</v>
      </c>
      <c r="BG188" s="18" t="s">
        <v>7030</v>
      </c>
      <c r="BH188" s="18"/>
      <c r="BI188" s="18"/>
      <c r="BJ188" s="18" t="s">
        <v>630</v>
      </c>
      <c r="BK188" s="18" t="s">
        <v>12317</v>
      </c>
      <c r="BL188" s="18" t="s">
        <v>10811</v>
      </c>
      <c r="BM188" s="18" t="s">
        <v>139</v>
      </c>
      <c r="BN188" s="18" t="s">
        <v>85</v>
      </c>
      <c r="BO188" s="18">
        <v>0</v>
      </c>
      <c r="BP188" s="18" t="s">
        <v>10812</v>
      </c>
      <c r="BQ188" s="18" t="str">
        <f>VLOOKUP(Prepago[[#This Row],[NOM_PLAZA]],[1]!Locales[#Data],3,0)</f>
        <v>TIENDA RECREO</v>
      </c>
      <c r="BR188" s="18" t="str">
        <f>VLOOKUP(Prepago[[#This Row],[CODIGO_USUARIO]],[1]!Personal[#Data],6,0)</f>
        <v>LOAYZA AGUILAR JONATHAN FABIAN</v>
      </c>
      <c r="BS188" s="18">
        <f>DAY(Prepago[[#This Row],[FECHA_ALTA]])</f>
        <v>13</v>
      </c>
    </row>
    <row r="189" spans="1:71" x14ac:dyDescent="0.25">
      <c r="A189" s="18" t="s">
        <v>96</v>
      </c>
      <c r="B189" s="18" t="s">
        <v>12318</v>
      </c>
      <c r="C189" s="18" t="s">
        <v>12319</v>
      </c>
      <c r="D189" s="18" t="s">
        <v>12320</v>
      </c>
      <c r="E189" s="22">
        <v>44905</v>
      </c>
      <c r="F189" s="18" t="s">
        <v>67</v>
      </c>
      <c r="G189" s="18" t="s">
        <v>12033</v>
      </c>
      <c r="H189" s="18" t="s">
        <v>12034</v>
      </c>
      <c r="I189" s="18" t="s">
        <v>70</v>
      </c>
      <c r="J189" s="18" t="s">
        <v>8102</v>
      </c>
      <c r="K189" s="18" t="s">
        <v>8103</v>
      </c>
      <c r="L189" s="18" t="s">
        <v>259</v>
      </c>
      <c r="M189" s="18" t="s">
        <v>7037</v>
      </c>
      <c r="N189" s="18" t="s">
        <v>12321</v>
      </c>
      <c r="O189" s="18" t="s">
        <v>75</v>
      </c>
      <c r="P189" s="18" t="s">
        <v>12322</v>
      </c>
      <c r="Q189" s="18" t="s">
        <v>4453</v>
      </c>
      <c r="R189" s="18" t="s">
        <v>78</v>
      </c>
      <c r="S189" s="18" t="s">
        <v>77</v>
      </c>
      <c r="T189" s="22">
        <v>44915</v>
      </c>
      <c r="U189" s="18"/>
      <c r="V189" s="18" t="s">
        <v>81</v>
      </c>
      <c r="W189" s="18" t="s">
        <v>79</v>
      </c>
      <c r="X189" s="18" t="s">
        <v>10803</v>
      </c>
      <c r="Y189" s="18" t="s">
        <v>303</v>
      </c>
      <c r="Z189" s="18" t="s">
        <v>304</v>
      </c>
      <c r="AA189" s="18" t="s">
        <v>7062</v>
      </c>
      <c r="AB189" s="18" t="s">
        <v>95</v>
      </c>
      <c r="AC189" s="18" t="s">
        <v>7984</v>
      </c>
      <c r="AD189" s="18" t="s">
        <v>10804</v>
      </c>
      <c r="AE189" s="18" t="s">
        <v>174</v>
      </c>
      <c r="AF189" s="18" t="s">
        <v>95</v>
      </c>
      <c r="AG189" s="18" t="s">
        <v>83</v>
      </c>
      <c r="AH189" s="18" t="s">
        <v>83</v>
      </c>
      <c r="AI189" s="18" t="s">
        <v>81</v>
      </c>
      <c r="AJ189" s="18" t="s">
        <v>118</v>
      </c>
      <c r="AK189" s="18" t="s">
        <v>95</v>
      </c>
      <c r="AL189" s="18" t="s">
        <v>10805</v>
      </c>
      <c r="AM189" s="18" t="s">
        <v>85</v>
      </c>
      <c r="AN189" s="18" t="s">
        <v>7031</v>
      </c>
      <c r="AO189" s="18" t="s">
        <v>86</v>
      </c>
      <c r="AP189" s="18" t="s">
        <v>90</v>
      </c>
      <c r="AQ189" s="18" t="s">
        <v>8002</v>
      </c>
      <c r="AR189" s="18" t="s">
        <v>177</v>
      </c>
      <c r="AS189" s="18" t="s">
        <v>139</v>
      </c>
      <c r="AT189" s="18" t="s">
        <v>95</v>
      </c>
      <c r="AU189" s="18" t="s">
        <v>95</v>
      </c>
      <c r="AV189" s="18" t="s">
        <v>7037</v>
      </c>
      <c r="AW189" s="18" t="s">
        <v>95</v>
      </c>
      <c r="AX189" s="18" t="s">
        <v>10806</v>
      </c>
      <c r="AY189" s="18" t="s">
        <v>95</v>
      </c>
      <c r="AZ189" s="18" t="s">
        <v>95</v>
      </c>
      <c r="BA189" s="18" t="s">
        <v>95</v>
      </c>
      <c r="BB189" s="18" t="s">
        <v>95</v>
      </c>
      <c r="BC189" s="18" t="s">
        <v>95</v>
      </c>
      <c r="BD189" s="18" t="s">
        <v>10807</v>
      </c>
      <c r="BE189" s="18" t="s">
        <v>12037</v>
      </c>
      <c r="BF189" s="18" t="s">
        <v>7037</v>
      </c>
      <c r="BG189" s="18" t="s">
        <v>7030</v>
      </c>
      <c r="BH189" s="18"/>
      <c r="BI189" s="18"/>
      <c r="BJ189" s="18" t="s">
        <v>303</v>
      </c>
      <c r="BK189" s="18" t="s">
        <v>12323</v>
      </c>
      <c r="BL189" s="18" t="s">
        <v>10811</v>
      </c>
      <c r="BM189" s="18" t="s">
        <v>139</v>
      </c>
      <c r="BN189" s="18" t="s">
        <v>85</v>
      </c>
      <c r="BO189" s="18">
        <v>0</v>
      </c>
      <c r="BP189" s="18" t="s">
        <v>10812</v>
      </c>
      <c r="BQ189" s="18" t="str">
        <f>VLOOKUP(Prepago[[#This Row],[NOM_PLAZA]],[1]!Locales[#Data],3,0)</f>
        <v>TIENDA RECREO</v>
      </c>
      <c r="BR189" s="18" t="str">
        <f>VLOOKUP(Prepago[[#This Row],[CODIGO_USUARIO]],[1]!Personal[#Data],6,0)</f>
        <v>CORDOVA GAIBOR JONATHAN HERNAN</v>
      </c>
      <c r="BS189" s="18">
        <f>DAY(Prepago[[#This Row],[FECHA_ALTA]])</f>
        <v>10</v>
      </c>
    </row>
    <row r="190" spans="1:71" x14ac:dyDescent="0.25">
      <c r="A190" s="18" t="s">
        <v>96</v>
      </c>
      <c r="B190" s="18" t="s">
        <v>12324</v>
      </c>
      <c r="C190" s="18" t="s">
        <v>12325</v>
      </c>
      <c r="D190" s="18" t="s">
        <v>11147</v>
      </c>
      <c r="E190" s="22">
        <v>44912</v>
      </c>
      <c r="F190" s="18" t="s">
        <v>67</v>
      </c>
      <c r="G190" s="18" t="s">
        <v>11148</v>
      </c>
      <c r="H190" s="18" t="s">
        <v>11149</v>
      </c>
      <c r="I190" s="18" t="s">
        <v>70</v>
      </c>
      <c r="J190" s="18" t="s">
        <v>8102</v>
      </c>
      <c r="K190" s="18" t="s">
        <v>8103</v>
      </c>
      <c r="L190" s="18" t="s">
        <v>132</v>
      </c>
      <c r="M190" s="18" t="s">
        <v>7037</v>
      </c>
      <c r="N190" s="18" t="s">
        <v>12326</v>
      </c>
      <c r="O190" s="18" t="s">
        <v>75</v>
      </c>
      <c r="P190" s="18" t="s">
        <v>12327</v>
      </c>
      <c r="Q190" s="18" t="s">
        <v>10817</v>
      </c>
      <c r="R190" s="18" t="s">
        <v>78</v>
      </c>
      <c r="S190" s="18" t="s">
        <v>77</v>
      </c>
      <c r="T190" s="22">
        <v>44915</v>
      </c>
      <c r="U190" s="18"/>
      <c r="V190" s="18" t="s">
        <v>81</v>
      </c>
      <c r="W190" s="18" t="s">
        <v>79</v>
      </c>
      <c r="X190" s="18" t="s">
        <v>10803</v>
      </c>
      <c r="Y190" s="18" t="s">
        <v>396</v>
      </c>
      <c r="Z190" s="18" t="s">
        <v>397</v>
      </c>
      <c r="AA190" s="18" t="s">
        <v>396</v>
      </c>
      <c r="AB190" s="18" t="s">
        <v>397</v>
      </c>
      <c r="AC190" s="18" t="s">
        <v>7984</v>
      </c>
      <c r="AD190" s="18" t="s">
        <v>10804</v>
      </c>
      <c r="AE190" s="18" t="s">
        <v>174</v>
      </c>
      <c r="AF190" s="18" t="s">
        <v>95</v>
      </c>
      <c r="AG190" s="18" t="s">
        <v>83</v>
      </c>
      <c r="AH190" s="18" t="s">
        <v>83</v>
      </c>
      <c r="AI190" s="18" t="s">
        <v>81</v>
      </c>
      <c r="AJ190" s="18" t="s">
        <v>118</v>
      </c>
      <c r="AK190" s="18" t="s">
        <v>95</v>
      </c>
      <c r="AL190" s="18" t="s">
        <v>10910</v>
      </c>
      <c r="AM190" s="18" t="s">
        <v>85</v>
      </c>
      <c r="AN190" s="18" t="s">
        <v>7031</v>
      </c>
      <c r="AO190" s="18" t="s">
        <v>86</v>
      </c>
      <c r="AP190" s="18" t="s">
        <v>90</v>
      </c>
      <c r="AQ190" s="18" t="s">
        <v>8002</v>
      </c>
      <c r="AR190" s="18" t="s">
        <v>177</v>
      </c>
      <c r="AS190" s="18" t="s">
        <v>139</v>
      </c>
      <c r="AT190" s="18" t="s">
        <v>95</v>
      </c>
      <c r="AU190" s="18" t="s">
        <v>95</v>
      </c>
      <c r="AV190" s="18" t="s">
        <v>7037</v>
      </c>
      <c r="AW190" s="18" t="s">
        <v>95</v>
      </c>
      <c r="AX190" s="18" t="s">
        <v>10806</v>
      </c>
      <c r="AY190" s="18" t="s">
        <v>95</v>
      </c>
      <c r="AZ190" s="18" t="s">
        <v>95</v>
      </c>
      <c r="BA190" s="18" t="s">
        <v>95</v>
      </c>
      <c r="BB190" s="18" t="s">
        <v>95</v>
      </c>
      <c r="BC190" s="18" t="s">
        <v>95</v>
      </c>
      <c r="BD190" s="18" t="s">
        <v>10829</v>
      </c>
      <c r="BE190" s="18" t="s">
        <v>11152</v>
      </c>
      <c r="BF190" s="18" t="s">
        <v>10809</v>
      </c>
      <c r="BG190" s="18" t="s">
        <v>7030</v>
      </c>
      <c r="BH190" s="18"/>
      <c r="BI190" s="18"/>
      <c r="BJ190" s="18" t="s">
        <v>396</v>
      </c>
      <c r="BK190" s="18" t="s">
        <v>12328</v>
      </c>
      <c r="BL190" s="18" t="s">
        <v>10811</v>
      </c>
      <c r="BM190" s="18" t="s">
        <v>139</v>
      </c>
      <c r="BN190" s="18" t="s">
        <v>85</v>
      </c>
      <c r="BO190" s="18">
        <v>0</v>
      </c>
      <c r="BP190" s="18" t="s">
        <v>10812</v>
      </c>
      <c r="BQ190" s="18" t="str">
        <f>VLOOKUP(Prepago[[#This Row],[NOM_PLAZA]],[1]!Locales[#Data],3,0)</f>
        <v>TIENDA RECREO</v>
      </c>
      <c r="BR190" s="18" t="str">
        <f>VLOOKUP(Prepago[[#This Row],[CODIGO_USUARIO]],[1]!Personal[#Data],6,0)</f>
        <v>VINUEZA VELASCO ANGY DAYANA</v>
      </c>
      <c r="BS190" s="18">
        <f>DAY(Prepago[[#This Row],[FECHA_ALTA]])</f>
        <v>17</v>
      </c>
    </row>
    <row r="191" spans="1:71" x14ac:dyDescent="0.25">
      <c r="A191" s="18" t="s">
        <v>96</v>
      </c>
      <c r="B191" s="18" t="s">
        <v>12329</v>
      </c>
      <c r="C191" s="18" t="s">
        <v>12330</v>
      </c>
      <c r="D191" s="18" t="s">
        <v>12331</v>
      </c>
      <c r="E191" s="22">
        <v>44907</v>
      </c>
      <c r="F191" s="18" t="s">
        <v>67</v>
      </c>
      <c r="G191" s="18" t="s">
        <v>12332</v>
      </c>
      <c r="H191" s="18" t="s">
        <v>12333</v>
      </c>
      <c r="I191" s="18" t="s">
        <v>70</v>
      </c>
      <c r="J191" s="18" t="s">
        <v>8102</v>
      </c>
      <c r="K191" s="18" t="s">
        <v>8103</v>
      </c>
      <c r="L191" s="18" t="s">
        <v>259</v>
      </c>
      <c r="M191" s="18" t="s">
        <v>7037</v>
      </c>
      <c r="N191" s="18" t="s">
        <v>12334</v>
      </c>
      <c r="O191" s="18" t="s">
        <v>75</v>
      </c>
      <c r="P191" s="18" t="s">
        <v>12335</v>
      </c>
      <c r="Q191" s="18" t="s">
        <v>1532</v>
      </c>
      <c r="R191" s="18" t="s">
        <v>78</v>
      </c>
      <c r="S191" s="18" t="s">
        <v>77</v>
      </c>
      <c r="T191" s="22">
        <v>44915</v>
      </c>
      <c r="U191" s="18"/>
      <c r="V191" s="18" t="s">
        <v>81</v>
      </c>
      <c r="W191" s="18" t="s">
        <v>79</v>
      </c>
      <c r="X191" s="18" t="s">
        <v>10803</v>
      </c>
      <c r="Y191" s="18" t="s">
        <v>251</v>
      </c>
      <c r="Z191" s="18" t="s">
        <v>252</v>
      </c>
      <c r="AA191" s="18" t="s">
        <v>7062</v>
      </c>
      <c r="AB191" s="18" t="s">
        <v>95</v>
      </c>
      <c r="AC191" s="18" t="s">
        <v>7984</v>
      </c>
      <c r="AD191" s="18" t="s">
        <v>10804</v>
      </c>
      <c r="AE191" s="18" t="s">
        <v>174</v>
      </c>
      <c r="AF191" s="18" t="s">
        <v>95</v>
      </c>
      <c r="AG191" s="18" t="s">
        <v>83</v>
      </c>
      <c r="AH191" s="18" t="s">
        <v>83</v>
      </c>
      <c r="AI191" s="18" t="s">
        <v>81</v>
      </c>
      <c r="AJ191" s="18" t="s">
        <v>118</v>
      </c>
      <c r="AK191" s="18" t="s">
        <v>95</v>
      </c>
      <c r="AL191" s="18" t="s">
        <v>10864</v>
      </c>
      <c r="AM191" s="18" t="s">
        <v>85</v>
      </c>
      <c r="AN191" s="18" t="s">
        <v>7031</v>
      </c>
      <c r="AO191" s="18" t="s">
        <v>86</v>
      </c>
      <c r="AP191" s="18" t="s">
        <v>90</v>
      </c>
      <c r="AQ191" s="18" t="s">
        <v>8002</v>
      </c>
      <c r="AR191" s="18" t="s">
        <v>177</v>
      </c>
      <c r="AS191" s="18" t="s">
        <v>139</v>
      </c>
      <c r="AT191" s="18" t="s">
        <v>95</v>
      </c>
      <c r="AU191" s="18" t="s">
        <v>95</v>
      </c>
      <c r="AV191" s="18" t="s">
        <v>7037</v>
      </c>
      <c r="AW191" s="18" t="s">
        <v>95</v>
      </c>
      <c r="AX191" s="18" t="s">
        <v>10806</v>
      </c>
      <c r="AY191" s="18" t="s">
        <v>95</v>
      </c>
      <c r="AZ191" s="18" t="s">
        <v>95</v>
      </c>
      <c r="BA191" s="18" t="s">
        <v>95</v>
      </c>
      <c r="BB191" s="18" t="s">
        <v>95</v>
      </c>
      <c r="BC191" s="18" t="s">
        <v>95</v>
      </c>
      <c r="BD191" s="18" t="s">
        <v>10829</v>
      </c>
      <c r="BE191" s="18" t="s">
        <v>12336</v>
      </c>
      <c r="BF191" s="18" t="s">
        <v>10809</v>
      </c>
      <c r="BG191" s="18" t="s">
        <v>7030</v>
      </c>
      <c r="BH191" s="18"/>
      <c r="BI191" s="18"/>
      <c r="BJ191" s="18" t="s">
        <v>251</v>
      </c>
      <c r="BK191" s="18" t="s">
        <v>12337</v>
      </c>
      <c r="BL191" s="18" t="s">
        <v>10811</v>
      </c>
      <c r="BM191" s="18" t="s">
        <v>139</v>
      </c>
      <c r="BN191" s="18" t="s">
        <v>85</v>
      </c>
      <c r="BO191" s="18">
        <v>0</v>
      </c>
      <c r="BP191" s="18" t="s">
        <v>10812</v>
      </c>
      <c r="BQ191" s="18" t="str">
        <f>VLOOKUP(Prepago[[#This Row],[NOM_PLAZA]],[1]!Locales[#Data],3,0)</f>
        <v>TIENDA RECREO</v>
      </c>
      <c r="BR191" s="18" t="str">
        <f>VLOOKUP(Prepago[[#This Row],[CODIGO_USUARIO]],[1]!Personal[#Data],6,0)</f>
        <v>CRUZ MONTUFAR KATHERINE ALEJANDRA</v>
      </c>
      <c r="BS191" s="18">
        <f>DAY(Prepago[[#This Row],[FECHA_ALTA]])</f>
        <v>12</v>
      </c>
    </row>
    <row r="192" spans="1:71" x14ac:dyDescent="0.25">
      <c r="A192" s="18" t="s">
        <v>96</v>
      </c>
      <c r="B192" s="18" t="s">
        <v>12338</v>
      </c>
      <c r="C192" s="18" t="s">
        <v>12339</v>
      </c>
      <c r="D192" s="18" t="s">
        <v>11431</v>
      </c>
      <c r="E192" s="22">
        <v>44909</v>
      </c>
      <c r="F192" s="18" t="s">
        <v>67</v>
      </c>
      <c r="G192" s="18" t="s">
        <v>11432</v>
      </c>
      <c r="H192" s="18" t="s">
        <v>11433</v>
      </c>
      <c r="I192" s="18" t="s">
        <v>70</v>
      </c>
      <c r="J192" s="18" t="s">
        <v>8102</v>
      </c>
      <c r="K192" s="18" t="s">
        <v>8103</v>
      </c>
      <c r="L192" s="18" t="s">
        <v>3903</v>
      </c>
      <c r="M192" s="18" t="s">
        <v>7037</v>
      </c>
      <c r="N192" s="18" t="s">
        <v>12340</v>
      </c>
      <c r="O192" s="18" t="s">
        <v>75</v>
      </c>
      <c r="P192" s="18" t="s">
        <v>12341</v>
      </c>
      <c r="Q192" s="18" t="s">
        <v>10817</v>
      </c>
      <c r="R192" s="18" t="s">
        <v>78</v>
      </c>
      <c r="S192" s="18" t="s">
        <v>77</v>
      </c>
      <c r="T192" s="22">
        <v>44915</v>
      </c>
      <c r="U192" s="18"/>
      <c r="V192" s="18" t="s">
        <v>81</v>
      </c>
      <c r="W192" s="18" t="s">
        <v>79</v>
      </c>
      <c r="X192" s="18" t="s">
        <v>10803</v>
      </c>
      <c r="Y192" s="18" t="s">
        <v>2159</v>
      </c>
      <c r="Z192" s="18" t="s">
        <v>2160</v>
      </c>
      <c r="AA192" s="18" t="s">
        <v>7062</v>
      </c>
      <c r="AB192" s="18" t="s">
        <v>95</v>
      </c>
      <c r="AC192" s="18" t="s">
        <v>7984</v>
      </c>
      <c r="AD192" s="18" t="s">
        <v>10804</v>
      </c>
      <c r="AE192" s="18" t="s">
        <v>174</v>
      </c>
      <c r="AF192" s="18" t="s">
        <v>95</v>
      </c>
      <c r="AG192" s="18" t="s">
        <v>81</v>
      </c>
      <c r="AH192" s="18" t="s">
        <v>83</v>
      </c>
      <c r="AI192" s="18" t="s">
        <v>81</v>
      </c>
      <c r="AJ192" s="18" t="s">
        <v>118</v>
      </c>
      <c r="AK192" s="18" t="s">
        <v>95</v>
      </c>
      <c r="AL192" s="18" t="s">
        <v>11080</v>
      </c>
      <c r="AM192" s="18" t="s">
        <v>85</v>
      </c>
      <c r="AN192" s="18" t="s">
        <v>7031</v>
      </c>
      <c r="AO192" s="18" t="s">
        <v>86</v>
      </c>
      <c r="AP192" s="18" t="s">
        <v>90</v>
      </c>
      <c r="AQ192" s="18" t="s">
        <v>8002</v>
      </c>
      <c r="AR192" s="18" t="s">
        <v>177</v>
      </c>
      <c r="AS192" s="18" t="s">
        <v>139</v>
      </c>
      <c r="AT192" s="18" t="s">
        <v>95</v>
      </c>
      <c r="AU192" s="18" t="s">
        <v>95</v>
      </c>
      <c r="AV192" s="18" t="s">
        <v>7037</v>
      </c>
      <c r="AW192" s="18" t="s">
        <v>95</v>
      </c>
      <c r="AX192" s="18" t="s">
        <v>10806</v>
      </c>
      <c r="AY192" s="18" t="s">
        <v>693</v>
      </c>
      <c r="AZ192" s="18" t="s">
        <v>95</v>
      </c>
      <c r="BA192" s="18" t="s">
        <v>95</v>
      </c>
      <c r="BB192" s="18" t="s">
        <v>95</v>
      </c>
      <c r="BC192" s="18" t="s">
        <v>95</v>
      </c>
      <c r="BD192" s="18" t="s">
        <v>10829</v>
      </c>
      <c r="BE192" s="18" t="s">
        <v>11436</v>
      </c>
      <c r="BF192" s="18" t="s">
        <v>7122</v>
      </c>
      <c r="BG192" s="18" t="s">
        <v>7030</v>
      </c>
      <c r="BH192" s="18"/>
      <c r="BI192" s="18"/>
      <c r="BJ192" s="18" t="s">
        <v>2159</v>
      </c>
      <c r="BK192" s="18" t="s">
        <v>12342</v>
      </c>
      <c r="BL192" s="18" t="s">
        <v>10811</v>
      </c>
      <c r="BM192" s="18" t="s">
        <v>139</v>
      </c>
      <c r="BN192" s="18" t="s">
        <v>85</v>
      </c>
      <c r="BO192" s="18">
        <v>0</v>
      </c>
      <c r="BP192" s="18" t="s">
        <v>10812</v>
      </c>
      <c r="BQ192" s="18" t="str">
        <f>VLOOKUP(Prepago[[#This Row],[NOM_PLAZA]],[1]!Locales[#Data],3,0)</f>
        <v>TIENDA RECREO</v>
      </c>
      <c r="BR192" s="18" t="str">
        <f>VLOOKUP(Prepago[[#This Row],[CODIGO_USUARIO]],[1]!Personal[#Data],6,0)</f>
        <v>GUEVARA MAZA CRISTIAN FABIAN</v>
      </c>
      <c r="BS192" s="18">
        <f>DAY(Prepago[[#This Row],[FECHA_ALTA]])</f>
        <v>14</v>
      </c>
    </row>
    <row r="193" spans="1:71" x14ac:dyDescent="0.25">
      <c r="A193" s="18" t="s">
        <v>96</v>
      </c>
      <c r="B193" s="18" t="s">
        <v>12343</v>
      </c>
      <c r="C193" s="18" t="s">
        <v>12344</v>
      </c>
      <c r="D193" s="18" t="s">
        <v>12345</v>
      </c>
      <c r="E193" s="22">
        <v>44912</v>
      </c>
      <c r="F193" s="18" t="s">
        <v>67</v>
      </c>
      <c r="G193" s="18" t="s">
        <v>12346</v>
      </c>
      <c r="H193" s="18" t="s">
        <v>12347</v>
      </c>
      <c r="I193" s="18" t="s">
        <v>70</v>
      </c>
      <c r="J193" s="18" t="s">
        <v>8102</v>
      </c>
      <c r="K193" s="18" t="s">
        <v>8103</v>
      </c>
      <c r="L193" s="18" t="s">
        <v>95</v>
      </c>
      <c r="M193" s="18" t="s">
        <v>7037</v>
      </c>
      <c r="N193" s="18" t="s">
        <v>12348</v>
      </c>
      <c r="O193" s="18" t="s">
        <v>75</v>
      </c>
      <c r="P193" s="18" t="s">
        <v>12349</v>
      </c>
      <c r="Q193" s="18" t="s">
        <v>10817</v>
      </c>
      <c r="R193" s="18" t="s">
        <v>78</v>
      </c>
      <c r="S193" s="18" t="s">
        <v>77</v>
      </c>
      <c r="T193" s="22">
        <v>44915</v>
      </c>
      <c r="U193" s="18"/>
      <c r="V193" s="18" t="s">
        <v>81</v>
      </c>
      <c r="W193" s="18" t="s">
        <v>79</v>
      </c>
      <c r="X193" s="18" t="s">
        <v>10803</v>
      </c>
      <c r="Y193" s="18" t="s">
        <v>457</v>
      </c>
      <c r="Z193" s="18" t="s">
        <v>458</v>
      </c>
      <c r="AA193" s="18" t="s">
        <v>457</v>
      </c>
      <c r="AB193" s="18" t="s">
        <v>458</v>
      </c>
      <c r="AC193" s="18" t="s">
        <v>7984</v>
      </c>
      <c r="AD193" s="18" t="s">
        <v>10804</v>
      </c>
      <c r="AE193" s="18" t="s">
        <v>174</v>
      </c>
      <c r="AF193" s="18" t="s">
        <v>95</v>
      </c>
      <c r="AG193" s="18" t="s">
        <v>83</v>
      </c>
      <c r="AH193" s="18" t="s">
        <v>83</v>
      </c>
      <c r="AI193" s="18" t="s">
        <v>81</v>
      </c>
      <c r="AJ193" s="18" t="s">
        <v>118</v>
      </c>
      <c r="AK193" s="18" t="s">
        <v>95</v>
      </c>
      <c r="AL193" s="18" t="s">
        <v>11391</v>
      </c>
      <c r="AM193" s="18" t="s">
        <v>85</v>
      </c>
      <c r="AN193" s="18" t="s">
        <v>7031</v>
      </c>
      <c r="AO193" s="18" t="s">
        <v>86</v>
      </c>
      <c r="AP193" s="18" t="s">
        <v>90</v>
      </c>
      <c r="AQ193" s="18" t="s">
        <v>8002</v>
      </c>
      <c r="AR193" s="18" t="s">
        <v>177</v>
      </c>
      <c r="AS193" s="18" t="s">
        <v>139</v>
      </c>
      <c r="AT193" s="18" t="s">
        <v>95</v>
      </c>
      <c r="AU193" s="18" t="s">
        <v>95</v>
      </c>
      <c r="AV193" s="18" t="s">
        <v>7037</v>
      </c>
      <c r="AW193" s="18" t="s">
        <v>95</v>
      </c>
      <c r="AX193" s="18" t="s">
        <v>10806</v>
      </c>
      <c r="AY193" s="18" t="s">
        <v>95</v>
      </c>
      <c r="AZ193" s="18" t="s">
        <v>95</v>
      </c>
      <c r="BA193" s="18" t="s">
        <v>95</v>
      </c>
      <c r="BB193" s="18" t="s">
        <v>95</v>
      </c>
      <c r="BC193" s="18" t="s">
        <v>95</v>
      </c>
      <c r="BD193" s="18" t="s">
        <v>10807</v>
      </c>
      <c r="BE193" s="18" t="s">
        <v>12350</v>
      </c>
      <c r="BF193" s="18" t="s">
        <v>10809</v>
      </c>
      <c r="BG193" s="18" t="s">
        <v>7030</v>
      </c>
      <c r="BH193" s="18"/>
      <c r="BI193" s="18"/>
      <c r="BJ193" s="18" t="s">
        <v>457</v>
      </c>
      <c r="BK193" s="18" t="s">
        <v>12351</v>
      </c>
      <c r="BL193" s="18" t="s">
        <v>10811</v>
      </c>
      <c r="BM193" s="18" t="s">
        <v>139</v>
      </c>
      <c r="BN193" s="18" t="s">
        <v>85</v>
      </c>
      <c r="BO193" s="18">
        <v>1</v>
      </c>
      <c r="BP193" s="18" t="s">
        <v>10812</v>
      </c>
      <c r="BQ193" s="18" t="str">
        <f>VLOOKUP(Prepago[[#This Row],[NOM_PLAZA]],[1]!Locales[#Data],3,0)</f>
        <v>TIENDA RECREO</v>
      </c>
      <c r="BR193" s="18" t="str">
        <f>VLOOKUP(Prepago[[#This Row],[CODIGO_USUARIO]],[1]!Personal[#Data],6,0)</f>
        <v>LOZADA REYES BERTHA MARIBEL</v>
      </c>
      <c r="BS193" s="18">
        <f>DAY(Prepago[[#This Row],[FECHA_ALTA]])</f>
        <v>17</v>
      </c>
    </row>
    <row r="194" spans="1:71" x14ac:dyDescent="0.25">
      <c r="A194" s="18" t="s">
        <v>96</v>
      </c>
      <c r="B194" s="18" t="s">
        <v>12352</v>
      </c>
      <c r="C194" s="18" t="s">
        <v>12353</v>
      </c>
      <c r="D194" s="18" t="s">
        <v>12354</v>
      </c>
      <c r="E194" s="22">
        <v>44913</v>
      </c>
      <c r="F194" s="18" t="s">
        <v>67</v>
      </c>
      <c r="G194" s="18" t="s">
        <v>12355</v>
      </c>
      <c r="H194" s="18" t="s">
        <v>12356</v>
      </c>
      <c r="I194" s="18" t="s">
        <v>70</v>
      </c>
      <c r="J194" s="18" t="s">
        <v>8102</v>
      </c>
      <c r="K194" s="18" t="s">
        <v>8103</v>
      </c>
      <c r="L194" s="18" t="s">
        <v>132</v>
      </c>
      <c r="M194" s="18" t="s">
        <v>7037</v>
      </c>
      <c r="N194" s="18" t="s">
        <v>12357</v>
      </c>
      <c r="O194" s="18" t="s">
        <v>75</v>
      </c>
      <c r="P194" s="18" t="s">
        <v>12358</v>
      </c>
      <c r="Q194" s="18" t="s">
        <v>4453</v>
      </c>
      <c r="R194" s="18" t="s">
        <v>78</v>
      </c>
      <c r="S194" s="18" t="s">
        <v>77</v>
      </c>
      <c r="T194" s="22">
        <v>44915</v>
      </c>
      <c r="U194" s="18"/>
      <c r="V194" s="18" t="s">
        <v>81</v>
      </c>
      <c r="W194" s="18" t="s">
        <v>79</v>
      </c>
      <c r="X194" s="18" t="s">
        <v>10803</v>
      </c>
      <c r="Y194" s="18" t="s">
        <v>369</v>
      </c>
      <c r="Z194" s="18" t="s">
        <v>370</v>
      </c>
      <c r="AA194" s="18" t="s">
        <v>7062</v>
      </c>
      <c r="AB194" s="18" t="s">
        <v>95</v>
      </c>
      <c r="AC194" s="18" t="s">
        <v>7984</v>
      </c>
      <c r="AD194" s="18" t="s">
        <v>10804</v>
      </c>
      <c r="AE194" s="18" t="s">
        <v>174</v>
      </c>
      <c r="AF194" s="18" t="s">
        <v>95</v>
      </c>
      <c r="AG194" s="18" t="s">
        <v>83</v>
      </c>
      <c r="AH194" s="18" t="s">
        <v>83</v>
      </c>
      <c r="AI194" s="18" t="s">
        <v>81</v>
      </c>
      <c r="AJ194" s="18" t="s">
        <v>118</v>
      </c>
      <c r="AK194" s="18" t="s">
        <v>95</v>
      </c>
      <c r="AL194" s="18" t="s">
        <v>11062</v>
      </c>
      <c r="AM194" s="18" t="s">
        <v>85</v>
      </c>
      <c r="AN194" s="18" t="s">
        <v>7031</v>
      </c>
      <c r="AO194" s="18" t="s">
        <v>86</v>
      </c>
      <c r="AP194" s="18" t="s">
        <v>90</v>
      </c>
      <c r="AQ194" s="18" t="s">
        <v>8002</v>
      </c>
      <c r="AR194" s="18" t="s">
        <v>177</v>
      </c>
      <c r="AS194" s="18" t="s">
        <v>139</v>
      </c>
      <c r="AT194" s="18" t="s">
        <v>95</v>
      </c>
      <c r="AU194" s="18" t="s">
        <v>95</v>
      </c>
      <c r="AV194" s="18" t="s">
        <v>7037</v>
      </c>
      <c r="AW194" s="18" t="s">
        <v>95</v>
      </c>
      <c r="AX194" s="18" t="s">
        <v>10806</v>
      </c>
      <c r="AY194" s="18" t="s">
        <v>95</v>
      </c>
      <c r="AZ194" s="18" t="s">
        <v>95</v>
      </c>
      <c r="BA194" s="18" t="s">
        <v>95</v>
      </c>
      <c r="BB194" s="18" t="s">
        <v>95</v>
      </c>
      <c r="BC194" s="18" t="s">
        <v>95</v>
      </c>
      <c r="BD194" s="18" t="s">
        <v>10807</v>
      </c>
      <c r="BE194" s="18" t="s">
        <v>12359</v>
      </c>
      <c r="BF194" s="18" t="s">
        <v>7037</v>
      </c>
      <c r="BG194" s="18" t="s">
        <v>7030</v>
      </c>
      <c r="BH194" s="18"/>
      <c r="BI194" s="18"/>
      <c r="BJ194" s="18" t="s">
        <v>369</v>
      </c>
      <c r="BK194" s="18" t="s">
        <v>12360</v>
      </c>
      <c r="BL194" s="18" t="s">
        <v>10811</v>
      </c>
      <c r="BM194" s="18" t="s">
        <v>139</v>
      </c>
      <c r="BN194" s="18" t="s">
        <v>85</v>
      </c>
      <c r="BO194" s="18">
        <v>0</v>
      </c>
      <c r="BP194" s="18" t="s">
        <v>10812</v>
      </c>
      <c r="BQ194" s="18" t="str">
        <f>VLOOKUP(Prepago[[#This Row],[NOM_PLAZA]],[1]!Locales[#Data],3,0)</f>
        <v>TIENDA RECREO</v>
      </c>
      <c r="BR194" s="18" t="str">
        <f>VLOOKUP(Prepago[[#This Row],[CODIGO_USUARIO]],[1]!Personal[#Data],6,0)</f>
        <v>GUAIGUA REINOSO GENESIS CAROLINA</v>
      </c>
      <c r="BS194" s="18">
        <f>DAY(Prepago[[#This Row],[FECHA_ALTA]])</f>
        <v>18</v>
      </c>
    </row>
    <row r="195" spans="1:71" x14ac:dyDescent="0.25">
      <c r="A195" s="18" t="s">
        <v>96</v>
      </c>
      <c r="B195" s="18" t="s">
        <v>12361</v>
      </c>
      <c r="C195" s="18" t="s">
        <v>12362</v>
      </c>
      <c r="D195" s="18" t="s">
        <v>12363</v>
      </c>
      <c r="E195" s="22">
        <v>44911</v>
      </c>
      <c r="F195" s="18" t="s">
        <v>67</v>
      </c>
      <c r="G195" s="18" t="s">
        <v>12364</v>
      </c>
      <c r="H195" s="18" t="s">
        <v>12365</v>
      </c>
      <c r="I195" s="18" t="s">
        <v>70</v>
      </c>
      <c r="J195" s="18" t="s">
        <v>8102</v>
      </c>
      <c r="K195" s="18" t="s">
        <v>8103</v>
      </c>
      <c r="L195" s="18" t="s">
        <v>95</v>
      </c>
      <c r="M195" s="18" t="s">
        <v>7037</v>
      </c>
      <c r="N195" s="18" t="s">
        <v>12366</v>
      </c>
      <c r="O195" s="18" t="s">
        <v>75</v>
      </c>
      <c r="P195" s="18" t="s">
        <v>12367</v>
      </c>
      <c r="Q195" s="18" t="s">
        <v>4453</v>
      </c>
      <c r="R195" s="18" t="s">
        <v>78</v>
      </c>
      <c r="S195" s="18" t="s">
        <v>77</v>
      </c>
      <c r="T195" s="22">
        <v>44915</v>
      </c>
      <c r="U195" s="18"/>
      <c r="V195" s="18" t="s">
        <v>81</v>
      </c>
      <c r="W195" s="18" t="s">
        <v>79</v>
      </c>
      <c r="X195" s="18" t="s">
        <v>10803</v>
      </c>
      <c r="Y195" s="18" t="s">
        <v>492</v>
      </c>
      <c r="Z195" s="18" t="s">
        <v>493</v>
      </c>
      <c r="AA195" s="18" t="s">
        <v>7062</v>
      </c>
      <c r="AB195" s="18" t="s">
        <v>95</v>
      </c>
      <c r="AC195" s="18" t="s">
        <v>7984</v>
      </c>
      <c r="AD195" s="18" t="s">
        <v>10804</v>
      </c>
      <c r="AE195" s="18" t="s">
        <v>174</v>
      </c>
      <c r="AF195" s="18" t="s">
        <v>95</v>
      </c>
      <c r="AG195" s="18" t="s">
        <v>83</v>
      </c>
      <c r="AH195" s="18" t="s">
        <v>83</v>
      </c>
      <c r="AI195" s="18" t="s">
        <v>81</v>
      </c>
      <c r="AJ195" s="18" t="s">
        <v>118</v>
      </c>
      <c r="AK195" s="18" t="s">
        <v>95</v>
      </c>
      <c r="AL195" s="18" t="s">
        <v>11329</v>
      </c>
      <c r="AM195" s="18" t="s">
        <v>85</v>
      </c>
      <c r="AN195" s="18" t="s">
        <v>7031</v>
      </c>
      <c r="AO195" s="18" t="s">
        <v>86</v>
      </c>
      <c r="AP195" s="18" t="s">
        <v>90</v>
      </c>
      <c r="AQ195" s="18" t="s">
        <v>8002</v>
      </c>
      <c r="AR195" s="18" t="s">
        <v>177</v>
      </c>
      <c r="AS195" s="18" t="s">
        <v>139</v>
      </c>
      <c r="AT195" s="18" t="s">
        <v>95</v>
      </c>
      <c r="AU195" s="18" t="s">
        <v>95</v>
      </c>
      <c r="AV195" s="18" t="s">
        <v>7037</v>
      </c>
      <c r="AW195" s="18" t="s">
        <v>95</v>
      </c>
      <c r="AX195" s="18" t="s">
        <v>10806</v>
      </c>
      <c r="AY195" s="18" t="s">
        <v>95</v>
      </c>
      <c r="AZ195" s="18" t="s">
        <v>95</v>
      </c>
      <c r="BA195" s="18" t="s">
        <v>95</v>
      </c>
      <c r="BB195" s="18" t="s">
        <v>95</v>
      </c>
      <c r="BC195" s="18" t="s">
        <v>95</v>
      </c>
      <c r="BD195" s="18" t="s">
        <v>10807</v>
      </c>
      <c r="BE195" s="18" t="s">
        <v>12368</v>
      </c>
      <c r="BF195" s="18" t="s">
        <v>10809</v>
      </c>
      <c r="BG195" s="18" t="s">
        <v>7030</v>
      </c>
      <c r="BH195" s="18"/>
      <c r="BI195" s="18"/>
      <c r="BJ195" s="18" t="s">
        <v>492</v>
      </c>
      <c r="BK195" s="18" t="s">
        <v>12369</v>
      </c>
      <c r="BL195" s="18" t="s">
        <v>10811</v>
      </c>
      <c r="BM195" s="18" t="s">
        <v>139</v>
      </c>
      <c r="BN195" s="18" t="s">
        <v>85</v>
      </c>
      <c r="BO195" s="18">
        <v>0</v>
      </c>
      <c r="BP195" s="18" t="s">
        <v>10812</v>
      </c>
      <c r="BQ195" s="18" t="str">
        <f>VLOOKUP(Prepago[[#This Row],[NOM_PLAZA]],[1]!Locales[#Data],3,0)</f>
        <v>TIENDA RECREO</v>
      </c>
      <c r="BR195" s="18" t="str">
        <f>VLOOKUP(Prepago[[#This Row],[CODIGO_USUARIO]],[1]!Personal[#Data],6,0)</f>
        <v>CONDO GARCIA NICOLAS MATIAS</v>
      </c>
      <c r="BS195" s="18">
        <f>DAY(Prepago[[#This Row],[FECHA_ALTA]])</f>
        <v>16</v>
      </c>
    </row>
    <row r="196" spans="1:71" x14ac:dyDescent="0.25">
      <c r="A196" s="18" t="s">
        <v>96</v>
      </c>
      <c r="B196" s="18" t="s">
        <v>12370</v>
      </c>
      <c r="C196" s="18" t="s">
        <v>12371</v>
      </c>
      <c r="D196" s="18" t="s">
        <v>12372</v>
      </c>
      <c r="E196" s="22">
        <v>44897</v>
      </c>
      <c r="F196" s="18" t="s">
        <v>67</v>
      </c>
      <c r="G196" s="18" t="s">
        <v>12373</v>
      </c>
      <c r="H196" s="18" t="s">
        <v>12374</v>
      </c>
      <c r="I196" s="18" t="s">
        <v>70</v>
      </c>
      <c r="J196" s="18" t="s">
        <v>8102</v>
      </c>
      <c r="K196" s="18" t="s">
        <v>8103</v>
      </c>
      <c r="L196" s="18" t="s">
        <v>73</v>
      </c>
      <c r="M196" s="18" t="s">
        <v>7029</v>
      </c>
      <c r="N196" s="18" t="s">
        <v>12375</v>
      </c>
      <c r="O196" s="18" t="s">
        <v>75</v>
      </c>
      <c r="P196" s="18" t="s">
        <v>12376</v>
      </c>
      <c r="Q196" s="18" t="s">
        <v>10817</v>
      </c>
      <c r="R196" s="18" t="s">
        <v>78</v>
      </c>
      <c r="S196" s="18" t="s">
        <v>77</v>
      </c>
      <c r="T196" s="22">
        <v>44915</v>
      </c>
      <c r="U196" s="18"/>
      <c r="V196" s="18" t="s">
        <v>81</v>
      </c>
      <c r="W196" s="18" t="s">
        <v>79</v>
      </c>
      <c r="X196" s="18" t="s">
        <v>10803</v>
      </c>
      <c r="Y196" s="18" t="s">
        <v>880</v>
      </c>
      <c r="Z196" s="18" t="s">
        <v>881</v>
      </c>
      <c r="AA196" s="18" t="s">
        <v>7062</v>
      </c>
      <c r="AB196" s="18" t="s">
        <v>95</v>
      </c>
      <c r="AC196" s="18" t="s">
        <v>7984</v>
      </c>
      <c r="AD196" s="18" t="s">
        <v>10804</v>
      </c>
      <c r="AE196" s="18" t="s">
        <v>80</v>
      </c>
      <c r="AF196" s="18" t="s">
        <v>95</v>
      </c>
      <c r="AG196" s="18" t="s">
        <v>81</v>
      </c>
      <c r="AH196" s="18" t="s">
        <v>83</v>
      </c>
      <c r="AI196" s="18" t="s">
        <v>81</v>
      </c>
      <c r="AJ196" s="18" t="s">
        <v>118</v>
      </c>
      <c r="AK196" s="18" t="s">
        <v>95</v>
      </c>
      <c r="AL196" s="18" t="s">
        <v>12377</v>
      </c>
      <c r="AM196" s="18" t="s">
        <v>85</v>
      </c>
      <c r="AN196" s="18" t="s">
        <v>7031</v>
      </c>
      <c r="AO196" s="18" t="s">
        <v>86</v>
      </c>
      <c r="AP196" s="18" t="s">
        <v>90</v>
      </c>
      <c r="AQ196" s="18" t="s">
        <v>8106</v>
      </c>
      <c r="AR196" s="18" t="s">
        <v>91</v>
      </c>
      <c r="AS196" s="18" t="s">
        <v>92</v>
      </c>
      <c r="AT196" s="18" t="s">
        <v>95</v>
      </c>
      <c r="AU196" s="18" t="s">
        <v>95</v>
      </c>
      <c r="AV196" s="18" t="s">
        <v>7029</v>
      </c>
      <c r="AW196" s="18" t="s">
        <v>95</v>
      </c>
      <c r="AX196" s="18" t="s">
        <v>10806</v>
      </c>
      <c r="AY196" s="18" t="s">
        <v>82</v>
      </c>
      <c r="AZ196" s="18" t="s">
        <v>95</v>
      </c>
      <c r="BA196" s="18" t="s">
        <v>95</v>
      </c>
      <c r="BB196" s="18" t="s">
        <v>95</v>
      </c>
      <c r="BC196" s="18" t="s">
        <v>95</v>
      </c>
      <c r="BD196" s="18" t="s">
        <v>10829</v>
      </c>
      <c r="BE196" s="18" t="s">
        <v>12378</v>
      </c>
      <c r="BF196" s="18" t="s">
        <v>7029</v>
      </c>
      <c r="BG196" s="18" t="s">
        <v>7030</v>
      </c>
      <c r="BH196" s="18"/>
      <c r="BI196" s="18"/>
      <c r="BJ196" s="18" t="s">
        <v>880</v>
      </c>
      <c r="BK196" s="18" t="s">
        <v>12379</v>
      </c>
      <c r="BL196" s="18" t="s">
        <v>10811</v>
      </c>
      <c r="BM196" s="18" t="s">
        <v>92</v>
      </c>
      <c r="BN196" s="18" t="s">
        <v>85</v>
      </c>
      <c r="BO196" s="18">
        <v>1</v>
      </c>
      <c r="BP196" s="18" t="s">
        <v>10812</v>
      </c>
      <c r="BQ196" s="18" t="str">
        <f>VLOOKUP(Prepago[[#This Row],[NOM_PLAZA]],[1]!Locales[#Data],3,0)</f>
        <v>TIENDA CUENCA CENTRO</v>
      </c>
      <c r="BR196" s="18" t="str">
        <f>VLOOKUP(Prepago[[#This Row],[CODIGO_USUARIO]],[1]!Personal[#Data],6,0)</f>
        <v>LUNA JACHO ANDREA GABRIELA</v>
      </c>
      <c r="BS196" s="18">
        <f>DAY(Prepago[[#This Row],[FECHA_ALTA]])</f>
        <v>2</v>
      </c>
    </row>
    <row r="197" spans="1:71" x14ac:dyDescent="0.25">
      <c r="A197" s="18" t="s">
        <v>96</v>
      </c>
      <c r="B197" s="18" t="s">
        <v>12380</v>
      </c>
      <c r="C197" s="18" t="s">
        <v>12381</v>
      </c>
      <c r="D197" s="18" t="s">
        <v>12382</v>
      </c>
      <c r="E197" s="22">
        <v>44904</v>
      </c>
      <c r="F197" s="18" t="s">
        <v>67</v>
      </c>
      <c r="G197" s="18" t="s">
        <v>12383</v>
      </c>
      <c r="H197" s="18" t="s">
        <v>12384</v>
      </c>
      <c r="I197" s="18" t="s">
        <v>70</v>
      </c>
      <c r="J197" s="18" t="s">
        <v>8102</v>
      </c>
      <c r="K197" s="18" t="s">
        <v>8103</v>
      </c>
      <c r="L197" s="18" t="s">
        <v>73</v>
      </c>
      <c r="M197" s="18" t="s">
        <v>7029</v>
      </c>
      <c r="N197" s="18" t="s">
        <v>12385</v>
      </c>
      <c r="O197" s="18" t="s">
        <v>75</v>
      </c>
      <c r="P197" s="18" t="s">
        <v>12386</v>
      </c>
      <c r="Q197" s="18" t="s">
        <v>10817</v>
      </c>
      <c r="R197" s="18" t="s">
        <v>78</v>
      </c>
      <c r="S197" s="18" t="s">
        <v>77</v>
      </c>
      <c r="T197" s="22">
        <v>44915</v>
      </c>
      <c r="U197" s="18"/>
      <c r="V197" s="18" t="s">
        <v>81</v>
      </c>
      <c r="W197" s="18" t="s">
        <v>79</v>
      </c>
      <c r="X197" s="18" t="s">
        <v>10803</v>
      </c>
      <c r="Y197" s="18" t="s">
        <v>880</v>
      </c>
      <c r="Z197" s="18" t="s">
        <v>881</v>
      </c>
      <c r="AA197" s="18" t="s">
        <v>880</v>
      </c>
      <c r="AB197" s="18" t="s">
        <v>881</v>
      </c>
      <c r="AC197" s="18" t="s">
        <v>7984</v>
      </c>
      <c r="AD197" s="18" t="s">
        <v>10804</v>
      </c>
      <c r="AE197" s="18" t="s">
        <v>80</v>
      </c>
      <c r="AF197" s="18" t="s">
        <v>95</v>
      </c>
      <c r="AG197" s="18" t="s">
        <v>83</v>
      </c>
      <c r="AH197" s="18" t="s">
        <v>83</v>
      </c>
      <c r="AI197" s="18" t="s">
        <v>81</v>
      </c>
      <c r="AJ197" s="18" t="s">
        <v>118</v>
      </c>
      <c r="AK197" s="18" t="s">
        <v>95</v>
      </c>
      <c r="AL197" s="18" t="s">
        <v>12377</v>
      </c>
      <c r="AM197" s="18" t="s">
        <v>85</v>
      </c>
      <c r="AN197" s="18" t="s">
        <v>7031</v>
      </c>
      <c r="AO197" s="18" t="s">
        <v>86</v>
      </c>
      <c r="AP197" s="18" t="s">
        <v>90</v>
      </c>
      <c r="AQ197" s="18" t="s">
        <v>8106</v>
      </c>
      <c r="AR197" s="18" t="s">
        <v>91</v>
      </c>
      <c r="AS197" s="18" t="s">
        <v>92</v>
      </c>
      <c r="AT197" s="18" t="s">
        <v>95</v>
      </c>
      <c r="AU197" s="18" t="s">
        <v>95</v>
      </c>
      <c r="AV197" s="18" t="s">
        <v>7029</v>
      </c>
      <c r="AW197" s="18" t="s">
        <v>95</v>
      </c>
      <c r="AX197" s="18" t="s">
        <v>10806</v>
      </c>
      <c r="AY197" s="18" t="s">
        <v>95</v>
      </c>
      <c r="AZ197" s="18" t="s">
        <v>95</v>
      </c>
      <c r="BA197" s="18" t="s">
        <v>95</v>
      </c>
      <c r="BB197" s="18" t="s">
        <v>95</v>
      </c>
      <c r="BC197" s="18" t="s">
        <v>95</v>
      </c>
      <c r="BD197" s="18" t="s">
        <v>10829</v>
      </c>
      <c r="BE197" s="18" t="s">
        <v>12387</v>
      </c>
      <c r="BF197" s="18" t="s">
        <v>10809</v>
      </c>
      <c r="BG197" s="18" t="s">
        <v>7030</v>
      </c>
      <c r="BH197" s="18"/>
      <c r="BI197" s="18"/>
      <c r="BJ197" s="18" t="s">
        <v>880</v>
      </c>
      <c r="BK197" s="18" t="s">
        <v>12388</v>
      </c>
      <c r="BL197" s="18" t="s">
        <v>10811</v>
      </c>
      <c r="BM197" s="18" t="s">
        <v>92</v>
      </c>
      <c r="BN197" s="18" t="s">
        <v>85</v>
      </c>
      <c r="BO197" s="18">
        <v>1</v>
      </c>
      <c r="BP197" s="18" t="s">
        <v>10812</v>
      </c>
      <c r="BQ197" s="18" t="str">
        <f>VLOOKUP(Prepago[[#This Row],[NOM_PLAZA]],[1]!Locales[#Data],3,0)</f>
        <v>TIENDA CUENCA CENTRO</v>
      </c>
      <c r="BR197" s="18" t="str">
        <f>VLOOKUP(Prepago[[#This Row],[CODIGO_USUARIO]],[1]!Personal[#Data],6,0)</f>
        <v>LUNA JACHO ANDREA GABRIELA</v>
      </c>
      <c r="BS197" s="18">
        <f>DAY(Prepago[[#This Row],[FECHA_ALTA]])</f>
        <v>9</v>
      </c>
    </row>
    <row r="198" spans="1:71" x14ac:dyDescent="0.25">
      <c r="A198" s="18" t="s">
        <v>96</v>
      </c>
      <c r="B198" s="18" t="s">
        <v>12389</v>
      </c>
      <c r="C198" s="18" t="s">
        <v>12390</v>
      </c>
      <c r="D198" s="18" t="s">
        <v>12391</v>
      </c>
      <c r="E198" s="22">
        <v>44900</v>
      </c>
      <c r="F198" s="18" t="s">
        <v>67</v>
      </c>
      <c r="G198" s="18" t="s">
        <v>12392</v>
      </c>
      <c r="H198" s="18" t="s">
        <v>12393</v>
      </c>
      <c r="I198" s="18" t="s">
        <v>70</v>
      </c>
      <c r="J198" s="18" t="s">
        <v>8102</v>
      </c>
      <c r="K198" s="18" t="s">
        <v>8103</v>
      </c>
      <c r="L198" s="18" t="s">
        <v>73</v>
      </c>
      <c r="M198" s="18" t="s">
        <v>7029</v>
      </c>
      <c r="N198" s="18" t="s">
        <v>12394</v>
      </c>
      <c r="O198" s="18" t="s">
        <v>75</v>
      </c>
      <c r="P198" s="18" t="s">
        <v>12395</v>
      </c>
      <c r="Q198" s="18" t="s">
        <v>10817</v>
      </c>
      <c r="R198" s="18" t="s">
        <v>78</v>
      </c>
      <c r="S198" s="18" t="s">
        <v>77</v>
      </c>
      <c r="T198" s="22">
        <v>44915</v>
      </c>
      <c r="U198" s="18"/>
      <c r="V198" s="18" t="s">
        <v>81</v>
      </c>
      <c r="W198" s="18" t="s">
        <v>79</v>
      </c>
      <c r="X198" s="18" t="s">
        <v>10803</v>
      </c>
      <c r="Y198" s="18" t="s">
        <v>289</v>
      </c>
      <c r="Z198" s="18" t="s">
        <v>290</v>
      </c>
      <c r="AA198" s="18" t="s">
        <v>289</v>
      </c>
      <c r="AB198" s="18" t="s">
        <v>290</v>
      </c>
      <c r="AC198" s="18" t="s">
        <v>7984</v>
      </c>
      <c r="AD198" s="18" t="s">
        <v>10804</v>
      </c>
      <c r="AE198" s="18" t="s">
        <v>80</v>
      </c>
      <c r="AF198" s="18" t="s">
        <v>95</v>
      </c>
      <c r="AG198" s="18" t="s">
        <v>83</v>
      </c>
      <c r="AH198" s="18" t="s">
        <v>83</v>
      </c>
      <c r="AI198" s="18" t="s">
        <v>81</v>
      </c>
      <c r="AJ198" s="18" t="s">
        <v>118</v>
      </c>
      <c r="AK198" s="18" t="s">
        <v>95</v>
      </c>
      <c r="AL198" s="18" t="s">
        <v>12396</v>
      </c>
      <c r="AM198" s="18" t="s">
        <v>85</v>
      </c>
      <c r="AN198" s="18" t="s">
        <v>7031</v>
      </c>
      <c r="AO198" s="18" t="s">
        <v>86</v>
      </c>
      <c r="AP198" s="18" t="s">
        <v>90</v>
      </c>
      <c r="AQ198" s="18" t="s">
        <v>8106</v>
      </c>
      <c r="AR198" s="18" t="s">
        <v>91</v>
      </c>
      <c r="AS198" s="18" t="s">
        <v>92</v>
      </c>
      <c r="AT198" s="18" t="s">
        <v>95</v>
      </c>
      <c r="AU198" s="18" t="s">
        <v>95</v>
      </c>
      <c r="AV198" s="18" t="s">
        <v>7029</v>
      </c>
      <c r="AW198" s="18" t="s">
        <v>95</v>
      </c>
      <c r="AX198" s="18" t="s">
        <v>10806</v>
      </c>
      <c r="AY198" s="18" t="s">
        <v>95</v>
      </c>
      <c r="AZ198" s="18" t="s">
        <v>95</v>
      </c>
      <c r="BA198" s="18" t="s">
        <v>95</v>
      </c>
      <c r="BB198" s="18" t="s">
        <v>95</v>
      </c>
      <c r="BC198" s="18" t="s">
        <v>95</v>
      </c>
      <c r="BD198" s="18" t="s">
        <v>10829</v>
      </c>
      <c r="BE198" s="18" t="s">
        <v>12397</v>
      </c>
      <c r="BF198" s="18" t="s">
        <v>10809</v>
      </c>
      <c r="BG198" s="18" t="s">
        <v>7030</v>
      </c>
      <c r="BH198" s="18"/>
      <c r="BI198" s="18"/>
      <c r="BJ198" s="18" t="s">
        <v>289</v>
      </c>
      <c r="BK198" s="18" t="s">
        <v>12398</v>
      </c>
      <c r="BL198" s="18" t="s">
        <v>10811</v>
      </c>
      <c r="BM198" s="18" t="s">
        <v>92</v>
      </c>
      <c r="BN198" s="18" t="s">
        <v>85</v>
      </c>
      <c r="BO198" s="18">
        <v>0</v>
      </c>
      <c r="BP198" s="18" t="s">
        <v>10812</v>
      </c>
      <c r="BQ198" s="18" t="str">
        <f>VLOOKUP(Prepago[[#This Row],[NOM_PLAZA]],[1]!Locales[#Data],3,0)</f>
        <v>TIENDA CUENCA CENTRO</v>
      </c>
      <c r="BR198" s="18" t="str">
        <f>VLOOKUP(Prepago[[#This Row],[CODIGO_USUARIO]],[1]!Personal[#Data],6,0)</f>
        <v>CALLE CHACA JORGE VINICIO</v>
      </c>
      <c r="BS198" s="18">
        <f>DAY(Prepago[[#This Row],[FECHA_ALTA]])</f>
        <v>5</v>
      </c>
    </row>
    <row r="199" spans="1:71" x14ac:dyDescent="0.25">
      <c r="A199" s="18" t="s">
        <v>96</v>
      </c>
      <c r="B199" s="18" t="s">
        <v>12399</v>
      </c>
      <c r="C199" s="18" t="s">
        <v>12400</v>
      </c>
      <c r="D199" s="18" t="s">
        <v>12401</v>
      </c>
      <c r="E199" s="22">
        <v>44911</v>
      </c>
      <c r="F199" s="18" t="s">
        <v>67</v>
      </c>
      <c r="G199" s="18" t="s">
        <v>12402</v>
      </c>
      <c r="H199" s="18" t="s">
        <v>12403</v>
      </c>
      <c r="I199" s="18" t="s">
        <v>70</v>
      </c>
      <c r="J199" s="18" t="s">
        <v>8102</v>
      </c>
      <c r="K199" s="18" t="s">
        <v>8103</v>
      </c>
      <c r="L199" s="18" t="s">
        <v>95</v>
      </c>
      <c r="M199" s="18" t="s">
        <v>7029</v>
      </c>
      <c r="N199" s="18" t="s">
        <v>12404</v>
      </c>
      <c r="O199" s="18" t="s">
        <v>75</v>
      </c>
      <c r="P199" s="18" t="s">
        <v>12405</v>
      </c>
      <c r="Q199" s="18" t="s">
        <v>4453</v>
      </c>
      <c r="R199" s="18" t="s">
        <v>78</v>
      </c>
      <c r="S199" s="18" t="s">
        <v>77</v>
      </c>
      <c r="T199" s="22">
        <v>44915</v>
      </c>
      <c r="U199" s="18"/>
      <c r="V199" s="18" t="s">
        <v>81</v>
      </c>
      <c r="W199" s="18" t="s">
        <v>79</v>
      </c>
      <c r="X199" s="18" t="s">
        <v>10803</v>
      </c>
      <c r="Y199" s="18" t="s">
        <v>1415</v>
      </c>
      <c r="Z199" s="18" t="s">
        <v>1416</v>
      </c>
      <c r="AA199" s="18" t="s">
        <v>1415</v>
      </c>
      <c r="AB199" s="18" t="s">
        <v>1416</v>
      </c>
      <c r="AC199" s="18" t="s">
        <v>7984</v>
      </c>
      <c r="AD199" s="18" t="s">
        <v>10804</v>
      </c>
      <c r="AE199" s="18" t="s">
        <v>80</v>
      </c>
      <c r="AF199" s="18" t="s">
        <v>95</v>
      </c>
      <c r="AG199" s="18" t="s">
        <v>83</v>
      </c>
      <c r="AH199" s="18" t="s">
        <v>83</v>
      </c>
      <c r="AI199" s="18" t="s">
        <v>81</v>
      </c>
      <c r="AJ199" s="18" t="s">
        <v>118</v>
      </c>
      <c r="AK199" s="18" t="s">
        <v>95</v>
      </c>
      <c r="AL199" s="18" t="s">
        <v>10746</v>
      </c>
      <c r="AM199" s="18" t="s">
        <v>85</v>
      </c>
      <c r="AN199" s="18" t="s">
        <v>7031</v>
      </c>
      <c r="AO199" s="18" t="s">
        <v>86</v>
      </c>
      <c r="AP199" s="18" t="s">
        <v>90</v>
      </c>
      <c r="AQ199" s="18" t="s">
        <v>8106</v>
      </c>
      <c r="AR199" s="18" t="s">
        <v>91</v>
      </c>
      <c r="AS199" s="18" t="s">
        <v>92</v>
      </c>
      <c r="AT199" s="18" t="s">
        <v>95</v>
      </c>
      <c r="AU199" s="18" t="s">
        <v>95</v>
      </c>
      <c r="AV199" s="18" t="s">
        <v>7029</v>
      </c>
      <c r="AW199" s="18" t="s">
        <v>95</v>
      </c>
      <c r="AX199" s="18" t="s">
        <v>10806</v>
      </c>
      <c r="AY199" s="18" t="s">
        <v>95</v>
      </c>
      <c r="AZ199" s="18" t="s">
        <v>95</v>
      </c>
      <c r="BA199" s="18" t="s">
        <v>95</v>
      </c>
      <c r="BB199" s="18" t="s">
        <v>95</v>
      </c>
      <c r="BC199" s="18" t="s">
        <v>95</v>
      </c>
      <c r="BD199" s="18" t="s">
        <v>10807</v>
      </c>
      <c r="BE199" s="18" t="s">
        <v>95</v>
      </c>
      <c r="BF199" s="18" t="s">
        <v>10809</v>
      </c>
      <c r="BG199" s="18" t="s">
        <v>7030</v>
      </c>
      <c r="BH199" s="18"/>
      <c r="BI199" s="18"/>
      <c r="BJ199" s="18" t="s">
        <v>1415</v>
      </c>
      <c r="BK199" s="18" t="s">
        <v>12406</v>
      </c>
      <c r="BL199" s="18" t="s">
        <v>10811</v>
      </c>
      <c r="BM199" s="18" t="s">
        <v>92</v>
      </c>
      <c r="BN199" s="18" t="s">
        <v>85</v>
      </c>
      <c r="BO199" s="18">
        <v>0</v>
      </c>
      <c r="BP199" s="18" t="s">
        <v>10812</v>
      </c>
      <c r="BQ199" s="18" t="str">
        <f>VLOOKUP(Prepago[[#This Row],[NOM_PLAZA]],[1]!Locales[#Data],3,0)</f>
        <v>TIENDA CUENCA CENTRO</v>
      </c>
      <c r="BR199" s="18" t="str">
        <f>VLOOKUP(Prepago[[#This Row],[CODIGO_USUARIO]],[1]!Personal[#Data],6,0)</f>
        <v>PATIÑO URGILES DIANA CATALINA</v>
      </c>
      <c r="BS199" s="18">
        <f>DAY(Prepago[[#This Row],[FECHA_ALTA]])</f>
        <v>16</v>
      </c>
    </row>
    <row r="200" spans="1:71" x14ac:dyDescent="0.25">
      <c r="A200" s="18" t="s">
        <v>96</v>
      </c>
      <c r="B200" s="18" t="s">
        <v>12407</v>
      </c>
      <c r="C200" s="18" t="s">
        <v>12408</v>
      </c>
      <c r="D200" s="18" t="s">
        <v>12409</v>
      </c>
      <c r="E200" s="22">
        <v>44903</v>
      </c>
      <c r="F200" s="18" t="s">
        <v>67</v>
      </c>
      <c r="G200" s="18" t="s">
        <v>12410</v>
      </c>
      <c r="H200" s="18" t="s">
        <v>12411</v>
      </c>
      <c r="I200" s="18" t="s">
        <v>70</v>
      </c>
      <c r="J200" s="18" t="s">
        <v>8102</v>
      </c>
      <c r="K200" s="18" t="s">
        <v>8103</v>
      </c>
      <c r="L200" s="18" t="s">
        <v>73</v>
      </c>
      <c r="M200" s="18" t="s">
        <v>7029</v>
      </c>
      <c r="N200" s="18" t="s">
        <v>12412</v>
      </c>
      <c r="O200" s="18" t="s">
        <v>75</v>
      </c>
      <c r="P200" s="18" t="s">
        <v>12413</v>
      </c>
      <c r="Q200" s="18" t="s">
        <v>1532</v>
      </c>
      <c r="R200" s="18" t="s">
        <v>78</v>
      </c>
      <c r="S200" s="18" t="s">
        <v>77</v>
      </c>
      <c r="T200" s="22">
        <v>44915</v>
      </c>
      <c r="U200" s="18"/>
      <c r="V200" s="18" t="s">
        <v>81</v>
      </c>
      <c r="W200" s="18" t="s">
        <v>79</v>
      </c>
      <c r="X200" s="18" t="s">
        <v>10803</v>
      </c>
      <c r="Y200" s="18" t="s">
        <v>242</v>
      </c>
      <c r="Z200" s="18" t="s">
        <v>243</v>
      </c>
      <c r="AA200" s="18" t="s">
        <v>242</v>
      </c>
      <c r="AB200" s="18" t="s">
        <v>243</v>
      </c>
      <c r="AC200" s="18" t="s">
        <v>7984</v>
      </c>
      <c r="AD200" s="18" t="s">
        <v>10804</v>
      </c>
      <c r="AE200" s="18" t="s">
        <v>80</v>
      </c>
      <c r="AF200" s="18" t="s">
        <v>95</v>
      </c>
      <c r="AG200" s="18" t="s">
        <v>83</v>
      </c>
      <c r="AH200" s="18" t="s">
        <v>83</v>
      </c>
      <c r="AI200" s="18" t="s">
        <v>81</v>
      </c>
      <c r="AJ200" s="18" t="s">
        <v>118</v>
      </c>
      <c r="AK200" s="18" t="s">
        <v>95</v>
      </c>
      <c r="AL200" s="18" t="s">
        <v>12414</v>
      </c>
      <c r="AM200" s="18" t="s">
        <v>85</v>
      </c>
      <c r="AN200" s="18" t="s">
        <v>7031</v>
      </c>
      <c r="AO200" s="18" t="s">
        <v>86</v>
      </c>
      <c r="AP200" s="18" t="s">
        <v>90</v>
      </c>
      <c r="AQ200" s="18" t="s">
        <v>8106</v>
      </c>
      <c r="AR200" s="18" t="s">
        <v>91</v>
      </c>
      <c r="AS200" s="18" t="s">
        <v>92</v>
      </c>
      <c r="AT200" s="18" t="s">
        <v>95</v>
      </c>
      <c r="AU200" s="18" t="s">
        <v>95</v>
      </c>
      <c r="AV200" s="18" t="s">
        <v>7029</v>
      </c>
      <c r="AW200" s="18" t="s">
        <v>95</v>
      </c>
      <c r="AX200" s="18" t="s">
        <v>10806</v>
      </c>
      <c r="AY200" s="18" t="s">
        <v>95</v>
      </c>
      <c r="AZ200" s="18" t="s">
        <v>95</v>
      </c>
      <c r="BA200" s="18" t="s">
        <v>95</v>
      </c>
      <c r="BB200" s="18" t="s">
        <v>95</v>
      </c>
      <c r="BC200" s="18" t="s">
        <v>95</v>
      </c>
      <c r="BD200" s="18" t="s">
        <v>10829</v>
      </c>
      <c r="BE200" s="18" t="s">
        <v>12415</v>
      </c>
      <c r="BF200" s="18" t="s">
        <v>10809</v>
      </c>
      <c r="BG200" s="18" t="s">
        <v>7030</v>
      </c>
      <c r="BH200" s="18"/>
      <c r="BI200" s="18"/>
      <c r="BJ200" s="18" t="s">
        <v>242</v>
      </c>
      <c r="BK200" s="18" t="s">
        <v>12416</v>
      </c>
      <c r="BL200" s="18" t="s">
        <v>10811</v>
      </c>
      <c r="BM200" s="18" t="s">
        <v>92</v>
      </c>
      <c r="BN200" s="18" t="s">
        <v>85</v>
      </c>
      <c r="BO200" s="18">
        <v>1</v>
      </c>
      <c r="BP200" s="18" t="s">
        <v>10812</v>
      </c>
      <c r="BQ200" s="18" t="str">
        <f>VLOOKUP(Prepago[[#This Row],[NOM_PLAZA]],[1]!Locales[#Data],3,0)</f>
        <v>TIENDA CUENCA CENTRO</v>
      </c>
      <c r="BR200" s="18" t="str">
        <f>VLOOKUP(Prepago[[#This Row],[CODIGO_USUARIO]],[1]!Personal[#Data],6,0)</f>
        <v>VALLEJO DELEG ROMAN NICOLAS</v>
      </c>
      <c r="BS200" s="18">
        <f>DAY(Prepago[[#This Row],[FECHA_ALTA]])</f>
        <v>8</v>
      </c>
    </row>
    <row r="201" spans="1:71" x14ac:dyDescent="0.25">
      <c r="A201" s="18" t="s">
        <v>96</v>
      </c>
      <c r="B201" s="18" t="s">
        <v>12417</v>
      </c>
      <c r="C201" s="18" t="s">
        <v>12418</v>
      </c>
      <c r="D201" s="18" t="s">
        <v>12419</v>
      </c>
      <c r="E201" s="22">
        <v>44896</v>
      </c>
      <c r="F201" s="18" t="s">
        <v>67</v>
      </c>
      <c r="G201" s="18" t="s">
        <v>12420</v>
      </c>
      <c r="H201" s="18" t="s">
        <v>12421</v>
      </c>
      <c r="I201" s="18" t="s">
        <v>193</v>
      </c>
      <c r="J201" s="18" t="s">
        <v>8102</v>
      </c>
      <c r="K201" s="18" t="s">
        <v>8103</v>
      </c>
      <c r="L201" s="18" t="s">
        <v>73</v>
      </c>
      <c r="M201" s="18" t="s">
        <v>7029</v>
      </c>
      <c r="N201" s="18" t="s">
        <v>12422</v>
      </c>
      <c r="O201" s="18" t="s">
        <v>75</v>
      </c>
      <c r="P201" s="18" t="s">
        <v>12423</v>
      </c>
      <c r="Q201" s="18" t="s">
        <v>10817</v>
      </c>
      <c r="R201" s="18" t="s">
        <v>78</v>
      </c>
      <c r="S201" s="18" t="s">
        <v>77</v>
      </c>
      <c r="T201" s="22">
        <v>44915</v>
      </c>
      <c r="U201" s="18"/>
      <c r="V201" s="18" t="s">
        <v>81</v>
      </c>
      <c r="W201" s="18" t="s">
        <v>79</v>
      </c>
      <c r="X201" s="18" t="s">
        <v>10803</v>
      </c>
      <c r="Y201" s="18" t="s">
        <v>242</v>
      </c>
      <c r="Z201" s="18" t="s">
        <v>243</v>
      </c>
      <c r="AA201" s="18" t="s">
        <v>242</v>
      </c>
      <c r="AB201" s="18" t="s">
        <v>243</v>
      </c>
      <c r="AC201" s="18" t="s">
        <v>7984</v>
      </c>
      <c r="AD201" s="18" t="s">
        <v>10804</v>
      </c>
      <c r="AE201" s="18" t="s">
        <v>80</v>
      </c>
      <c r="AF201" s="18" t="s">
        <v>95</v>
      </c>
      <c r="AG201" s="18" t="s">
        <v>83</v>
      </c>
      <c r="AH201" s="18" t="s">
        <v>83</v>
      </c>
      <c r="AI201" s="18" t="s">
        <v>81</v>
      </c>
      <c r="AJ201" s="18" t="s">
        <v>118</v>
      </c>
      <c r="AK201" s="18" t="s">
        <v>95</v>
      </c>
      <c r="AL201" s="18" t="s">
        <v>12414</v>
      </c>
      <c r="AM201" s="18" t="s">
        <v>85</v>
      </c>
      <c r="AN201" s="18" t="s">
        <v>7031</v>
      </c>
      <c r="AO201" s="18" t="s">
        <v>86</v>
      </c>
      <c r="AP201" s="18" t="s">
        <v>90</v>
      </c>
      <c r="AQ201" s="18" t="s">
        <v>8106</v>
      </c>
      <c r="AR201" s="18" t="s">
        <v>91</v>
      </c>
      <c r="AS201" s="18" t="s">
        <v>92</v>
      </c>
      <c r="AT201" s="18" t="s">
        <v>95</v>
      </c>
      <c r="AU201" s="18" t="s">
        <v>95</v>
      </c>
      <c r="AV201" s="18" t="s">
        <v>7029</v>
      </c>
      <c r="AW201" s="18" t="s">
        <v>95</v>
      </c>
      <c r="AX201" s="18" t="s">
        <v>10806</v>
      </c>
      <c r="AY201" s="18" t="s">
        <v>95</v>
      </c>
      <c r="AZ201" s="18" t="s">
        <v>95</v>
      </c>
      <c r="BA201" s="18" t="s">
        <v>95</v>
      </c>
      <c r="BB201" s="18" t="s">
        <v>95</v>
      </c>
      <c r="BC201" s="18" t="s">
        <v>95</v>
      </c>
      <c r="BD201" s="18" t="s">
        <v>10829</v>
      </c>
      <c r="BE201" s="18" t="s">
        <v>12424</v>
      </c>
      <c r="BF201" s="18" t="s">
        <v>10809</v>
      </c>
      <c r="BG201" s="18" t="s">
        <v>7030</v>
      </c>
      <c r="BH201" s="18"/>
      <c r="BI201" s="18"/>
      <c r="BJ201" s="18" t="s">
        <v>242</v>
      </c>
      <c r="BK201" s="18" t="s">
        <v>12425</v>
      </c>
      <c r="BL201" s="18" t="s">
        <v>10811</v>
      </c>
      <c r="BM201" s="18" t="s">
        <v>92</v>
      </c>
      <c r="BN201" s="18" t="s">
        <v>85</v>
      </c>
      <c r="BO201" s="18">
        <v>0</v>
      </c>
      <c r="BP201" s="18" t="s">
        <v>10812</v>
      </c>
      <c r="BQ201" s="18" t="str">
        <f>VLOOKUP(Prepago[[#This Row],[NOM_PLAZA]],[1]!Locales[#Data],3,0)</f>
        <v>TIENDA CUENCA CENTRO</v>
      </c>
      <c r="BR201" s="18" t="str">
        <f>VLOOKUP(Prepago[[#This Row],[CODIGO_USUARIO]],[1]!Personal[#Data],6,0)</f>
        <v>VALLEJO DELEG ROMAN NICOLAS</v>
      </c>
      <c r="BS201" s="18">
        <f>DAY(Prepago[[#This Row],[FECHA_ALTA]])</f>
        <v>1</v>
      </c>
    </row>
    <row r="202" spans="1:71" x14ac:dyDescent="0.25">
      <c r="A202" s="18" t="s">
        <v>96</v>
      </c>
      <c r="B202" s="18" t="s">
        <v>12426</v>
      </c>
      <c r="C202" s="18" t="s">
        <v>12427</v>
      </c>
      <c r="D202" s="18" t="s">
        <v>12428</v>
      </c>
      <c r="E202" s="22">
        <v>44903</v>
      </c>
      <c r="F202" s="18" t="s">
        <v>67</v>
      </c>
      <c r="G202" s="18" t="s">
        <v>12429</v>
      </c>
      <c r="H202" s="18" t="s">
        <v>12430</v>
      </c>
      <c r="I202" s="18" t="s">
        <v>70</v>
      </c>
      <c r="J202" s="18" t="s">
        <v>8102</v>
      </c>
      <c r="K202" s="18" t="s">
        <v>8103</v>
      </c>
      <c r="L202" s="18" t="s">
        <v>73</v>
      </c>
      <c r="M202" s="18" t="s">
        <v>7029</v>
      </c>
      <c r="N202" s="18" t="s">
        <v>12431</v>
      </c>
      <c r="O202" s="18" t="s">
        <v>75</v>
      </c>
      <c r="P202" s="18" t="s">
        <v>12432</v>
      </c>
      <c r="Q202" s="18" t="s">
        <v>10817</v>
      </c>
      <c r="R202" s="18" t="s">
        <v>78</v>
      </c>
      <c r="S202" s="18" t="s">
        <v>77</v>
      </c>
      <c r="T202" s="22">
        <v>44915</v>
      </c>
      <c r="U202" s="18"/>
      <c r="V202" s="18" t="s">
        <v>81</v>
      </c>
      <c r="W202" s="18" t="s">
        <v>79</v>
      </c>
      <c r="X202" s="18" t="s">
        <v>10803</v>
      </c>
      <c r="Y202" s="18" t="s">
        <v>289</v>
      </c>
      <c r="Z202" s="18" t="s">
        <v>290</v>
      </c>
      <c r="AA202" s="18" t="s">
        <v>289</v>
      </c>
      <c r="AB202" s="18" t="s">
        <v>290</v>
      </c>
      <c r="AC202" s="18" t="s">
        <v>7984</v>
      </c>
      <c r="AD202" s="18" t="s">
        <v>10804</v>
      </c>
      <c r="AE202" s="18" t="s">
        <v>80</v>
      </c>
      <c r="AF202" s="18" t="s">
        <v>95</v>
      </c>
      <c r="AG202" s="18" t="s">
        <v>83</v>
      </c>
      <c r="AH202" s="18" t="s">
        <v>83</v>
      </c>
      <c r="AI202" s="18" t="s">
        <v>81</v>
      </c>
      <c r="AJ202" s="18" t="s">
        <v>118</v>
      </c>
      <c r="AK202" s="18" t="s">
        <v>95</v>
      </c>
      <c r="AL202" s="18" t="s">
        <v>12396</v>
      </c>
      <c r="AM202" s="18" t="s">
        <v>85</v>
      </c>
      <c r="AN202" s="18" t="s">
        <v>7031</v>
      </c>
      <c r="AO202" s="18" t="s">
        <v>86</v>
      </c>
      <c r="AP202" s="18" t="s">
        <v>90</v>
      </c>
      <c r="AQ202" s="18" t="s">
        <v>8106</v>
      </c>
      <c r="AR202" s="18" t="s">
        <v>91</v>
      </c>
      <c r="AS202" s="18" t="s">
        <v>92</v>
      </c>
      <c r="AT202" s="18" t="s">
        <v>95</v>
      </c>
      <c r="AU202" s="18" t="s">
        <v>95</v>
      </c>
      <c r="AV202" s="18" t="s">
        <v>7029</v>
      </c>
      <c r="AW202" s="18" t="s">
        <v>95</v>
      </c>
      <c r="AX202" s="18" t="s">
        <v>10806</v>
      </c>
      <c r="AY202" s="18" t="s">
        <v>95</v>
      </c>
      <c r="AZ202" s="18" t="s">
        <v>95</v>
      </c>
      <c r="BA202" s="18" t="s">
        <v>95</v>
      </c>
      <c r="BB202" s="18" t="s">
        <v>95</v>
      </c>
      <c r="BC202" s="18" t="s">
        <v>95</v>
      </c>
      <c r="BD202" s="18" t="s">
        <v>10829</v>
      </c>
      <c r="BE202" s="18" t="s">
        <v>12433</v>
      </c>
      <c r="BF202" s="18" t="s">
        <v>10809</v>
      </c>
      <c r="BG202" s="18" t="s">
        <v>7030</v>
      </c>
      <c r="BH202" s="18"/>
      <c r="BI202" s="18"/>
      <c r="BJ202" s="18" t="s">
        <v>289</v>
      </c>
      <c r="BK202" s="18" t="s">
        <v>12434</v>
      </c>
      <c r="BL202" s="18" t="s">
        <v>10811</v>
      </c>
      <c r="BM202" s="18" t="s">
        <v>92</v>
      </c>
      <c r="BN202" s="18" t="s">
        <v>85</v>
      </c>
      <c r="BO202" s="18">
        <v>0</v>
      </c>
      <c r="BP202" s="18" t="s">
        <v>10812</v>
      </c>
      <c r="BQ202" s="18" t="str">
        <f>VLOOKUP(Prepago[[#This Row],[NOM_PLAZA]],[1]!Locales[#Data],3,0)</f>
        <v>TIENDA CUENCA CENTRO</v>
      </c>
      <c r="BR202" s="18" t="str">
        <f>VLOOKUP(Prepago[[#This Row],[CODIGO_USUARIO]],[1]!Personal[#Data],6,0)</f>
        <v>CALLE CHACA JORGE VINICIO</v>
      </c>
      <c r="BS202" s="18">
        <f>DAY(Prepago[[#This Row],[FECHA_ALTA]])</f>
        <v>8</v>
      </c>
    </row>
    <row r="203" spans="1:71" x14ac:dyDescent="0.25">
      <c r="A203" s="18" t="s">
        <v>96</v>
      </c>
      <c r="B203" s="18" t="s">
        <v>12435</v>
      </c>
      <c r="C203" s="18" t="s">
        <v>12436</v>
      </c>
      <c r="D203" s="18" t="s">
        <v>12437</v>
      </c>
      <c r="E203" s="22">
        <v>44911</v>
      </c>
      <c r="F203" s="18" t="s">
        <v>67</v>
      </c>
      <c r="G203" s="18" t="s">
        <v>10255</v>
      </c>
      <c r="H203" s="18" t="s">
        <v>10256</v>
      </c>
      <c r="I203" s="18" t="s">
        <v>70</v>
      </c>
      <c r="J203" s="18" t="s">
        <v>8102</v>
      </c>
      <c r="K203" s="18" t="s">
        <v>8103</v>
      </c>
      <c r="L203" s="18" t="s">
        <v>73</v>
      </c>
      <c r="M203" s="18" t="s">
        <v>7029</v>
      </c>
      <c r="N203" s="18" t="s">
        <v>12438</v>
      </c>
      <c r="O203" s="18" t="s">
        <v>75</v>
      </c>
      <c r="P203" s="18" t="s">
        <v>12439</v>
      </c>
      <c r="Q203" s="18" t="s">
        <v>1532</v>
      </c>
      <c r="R203" s="18" t="s">
        <v>78</v>
      </c>
      <c r="S203" s="18" t="s">
        <v>77</v>
      </c>
      <c r="T203" s="22">
        <v>44915</v>
      </c>
      <c r="U203" s="18"/>
      <c r="V203" s="18" t="s">
        <v>81</v>
      </c>
      <c r="W203" s="18" t="s">
        <v>79</v>
      </c>
      <c r="X203" s="18" t="s">
        <v>10803</v>
      </c>
      <c r="Y203" s="18" t="s">
        <v>289</v>
      </c>
      <c r="Z203" s="18" t="s">
        <v>290</v>
      </c>
      <c r="AA203" s="18" t="s">
        <v>289</v>
      </c>
      <c r="AB203" s="18" t="s">
        <v>290</v>
      </c>
      <c r="AC203" s="18" t="s">
        <v>7984</v>
      </c>
      <c r="AD203" s="18" t="s">
        <v>10804</v>
      </c>
      <c r="AE203" s="18" t="s">
        <v>80</v>
      </c>
      <c r="AF203" s="18" t="s">
        <v>95</v>
      </c>
      <c r="AG203" s="18" t="s">
        <v>83</v>
      </c>
      <c r="AH203" s="18" t="s">
        <v>83</v>
      </c>
      <c r="AI203" s="18" t="s">
        <v>81</v>
      </c>
      <c r="AJ203" s="18" t="s">
        <v>118</v>
      </c>
      <c r="AK203" s="18" t="s">
        <v>95</v>
      </c>
      <c r="AL203" s="18" t="s">
        <v>12396</v>
      </c>
      <c r="AM203" s="18" t="s">
        <v>85</v>
      </c>
      <c r="AN203" s="18" t="s">
        <v>7031</v>
      </c>
      <c r="AO203" s="18" t="s">
        <v>86</v>
      </c>
      <c r="AP203" s="18" t="s">
        <v>90</v>
      </c>
      <c r="AQ203" s="18" t="s">
        <v>8106</v>
      </c>
      <c r="AR203" s="18" t="s">
        <v>91</v>
      </c>
      <c r="AS203" s="18" t="s">
        <v>92</v>
      </c>
      <c r="AT203" s="18" t="s">
        <v>95</v>
      </c>
      <c r="AU203" s="18" t="s">
        <v>95</v>
      </c>
      <c r="AV203" s="18" t="s">
        <v>7029</v>
      </c>
      <c r="AW203" s="18" t="s">
        <v>95</v>
      </c>
      <c r="AX203" s="18" t="s">
        <v>10806</v>
      </c>
      <c r="AY203" s="18" t="s">
        <v>95</v>
      </c>
      <c r="AZ203" s="18" t="s">
        <v>95</v>
      </c>
      <c r="BA203" s="18" t="s">
        <v>95</v>
      </c>
      <c r="BB203" s="18" t="s">
        <v>95</v>
      </c>
      <c r="BC203" s="18" t="s">
        <v>95</v>
      </c>
      <c r="BD203" s="18" t="s">
        <v>10829</v>
      </c>
      <c r="BE203" s="18" t="s">
        <v>12440</v>
      </c>
      <c r="BF203" s="18" t="s">
        <v>10809</v>
      </c>
      <c r="BG203" s="18" t="s">
        <v>7030</v>
      </c>
      <c r="BH203" s="18"/>
      <c r="BI203" s="18"/>
      <c r="BJ203" s="18" t="s">
        <v>289</v>
      </c>
      <c r="BK203" s="18" t="s">
        <v>12441</v>
      </c>
      <c r="BL203" s="18" t="s">
        <v>10811</v>
      </c>
      <c r="BM203" s="18" t="s">
        <v>92</v>
      </c>
      <c r="BN203" s="18" t="s">
        <v>85</v>
      </c>
      <c r="BO203" s="18">
        <v>0</v>
      </c>
      <c r="BP203" s="18" t="s">
        <v>10812</v>
      </c>
      <c r="BQ203" s="18" t="str">
        <f>VLOOKUP(Prepago[[#This Row],[NOM_PLAZA]],[1]!Locales[#Data],3,0)</f>
        <v>TIENDA CUENCA CENTRO</v>
      </c>
      <c r="BR203" s="18" t="str">
        <f>VLOOKUP(Prepago[[#This Row],[CODIGO_USUARIO]],[1]!Personal[#Data],6,0)</f>
        <v>CALLE CHACA JORGE VINICIO</v>
      </c>
      <c r="BS203" s="18">
        <f>DAY(Prepago[[#This Row],[FECHA_ALTA]])</f>
        <v>16</v>
      </c>
    </row>
    <row r="204" spans="1:71" x14ac:dyDescent="0.25">
      <c r="A204" s="18" t="s">
        <v>96</v>
      </c>
      <c r="B204" s="18" t="s">
        <v>12442</v>
      </c>
      <c r="C204" s="18" t="s">
        <v>12443</v>
      </c>
      <c r="D204" s="18" t="s">
        <v>12444</v>
      </c>
      <c r="E204" s="22">
        <v>44909</v>
      </c>
      <c r="F204" s="18" t="s">
        <v>67</v>
      </c>
      <c r="G204" s="18" t="s">
        <v>12445</v>
      </c>
      <c r="H204" s="18" t="s">
        <v>12446</v>
      </c>
      <c r="I204" s="18" t="s">
        <v>70</v>
      </c>
      <c r="J204" s="18" t="s">
        <v>8102</v>
      </c>
      <c r="K204" s="18" t="s">
        <v>8103</v>
      </c>
      <c r="L204" s="18" t="s">
        <v>73</v>
      </c>
      <c r="M204" s="18" t="s">
        <v>7029</v>
      </c>
      <c r="N204" s="18" t="s">
        <v>12447</v>
      </c>
      <c r="O204" s="18" t="s">
        <v>75</v>
      </c>
      <c r="P204" s="18" t="s">
        <v>12448</v>
      </c>
      <c r="Q204" s="18" t="s">
        <v>10817</v>
      </c>
      <c r="R204" s="18" t="s">
        <v>78</v>
      </c>
      <c r="S204" s="18" t="s">
        <v>77</v>
      </c>
      <c r="T204" s="22">
        <v>44915</v>
      </c>
      <c r="U204" s="18"/>
      <c r="V204" s="18" t="s">
        <v>81</v>
      </c>
      <c r="W204" s="18" t="s">
        <v>79</v>
      </c>
      <c r="X204" s="18" t="s">
        <v>10803</v>
      </c>
      <c r="Y204" s="18" t="s">
        <v>242</v>
      </c>
      <c r="Z204" s="18" t="s">
        <v>243</v>
      </c>
      <c r="AA204" s="18" t="s">
        <v>242</v>
      </c>
      <c r="AB204" s="18" t="s">
        <v>243</v>
      </c>
      <c r="AC204" s="18" t="s">
        <v>7984</v>
      </c>
      <c r="AD204" s="18" t="s">
        <v>10804</v>
      </c>
      <c r="AE204" s="18" t="s">
        <v>80</v>
      </c>
      <c r="AF204" s="18" t="s">
        <v>95</v>
      </c>
      <c r="AG204" s="18" t="s">
        <v>83</v>
      </c>
      <c r="AH204" s="18" t="s">
        <v>83</v>
      </c>
      <c r="AI204" s="18" t="s">
        <v>81</v>
      </c>
      <c r="AJ204" s="18" t="s">
        <v>118</v>
      </c>
      <c r="AK204" s="18" t="s">
        <v>95</v>
      </c>
      <c r="AL204" s="18" t="s">
        <v>12414</v>
      </c>
      <c r="AM204" s="18" t="s">
        <v>85</v>
      </c>
      <c r="AN204" s="18" t="s">
        <v>7031</v>
      </c>
      <c r="AO204" s="18" t="s">
        <v>86</v>
      </c>
      <c r="AP204" s="18" t="s">
        <v>90</v>
      </c>
      <c r="AQ204" s="18" t="s">
        <v>8106</v>
      </c>
      <c r="AR204" s="18" t="s">
        <v>91</v>
      </c>
      <c r="AS204" s="18" t="s">
        <v>92</v>
      </c>
      <c r="AT204" s="18" t="s">
        <v>95</v>
      </c>
      <c r="AU204" s="18" t="s">
        <v>95</v>
      </c>
      <c r="AV204" s="18" t="s">
        <v>7029</v>
      </c>
      <c r="AW204" s="18" t="s">
        <v>95</v>
      </c>
      <c r="AX204" s="18" t="s">
        <v>10806</v>
      </c>
      <c r="AY204" s="18" t="s">
        <v>95</v>
      </c>
      <c r="AZ204" s="18" t="s">
        <v>95</v>
      </c>
      <c r="BA204" s="18" t="s">
        <v>95</v>
      </c>
      <c r="BB204" s="18" t="s">
        <v>95</v>
      </c>
      <c r="BC204" s="18" t="s">
        <v>95</v>
      </c>
      <c r="BD204" s="18" t="s">
        <v>10829</v>
      </c>
      <c r="BE204" s="18" t="s">
        <v>12449</v>
      </c>
      <c r="BF204" s="18" t="s">
        <v>10809</v>
      </c>
      <c r="BG204" s="18" t="s">
        <v>7030</v>
      </c>
      <c r="BH204" s="18"/>
      <c r="BI204" s="18"/>
      <c r="BJ204" s="18" t="s">
        <v>242</v>
      </c>
      <c r="BK204" s="18" t="s">
        <v>12450</v>
      </c>
      <c r="BL204" s="18" t="s">
        <v>10811</v>
      </c>
      <c r="BM204" s="18" t="s">
        <v>92</v>
      </c>
      <c r="BN204" s="18" t="s">
        <v>85</v>
      </c>
      <c r="BO204" s="18">
        <v>0</v>
      </c>
      <c r="BP204" s="18" t="s">
        <v>10812</v>
      </c>
      <c r="BQ204" s="18" t="str">
        <f>VLOOKUP(Prepago[[#This Row],[NOM_PLAZA]],[1]!Locales[#Data],3,0)</f>
        <v>TIENDA CUENCA CENTRO</v>
      </c>
      <c r="BR204" s="18" t="str">
        <f>VLOOKUP(Prepago[[#This Row],[CODIGO_USUARIO]],[1]!Personal[#Data],6,0)</f>
        <v>VALLEJO DELEG ROMAN NICOLAS</v>
      </c>
      <c r="BS204" s="18">
        <f>DAY(Prepago[[#This Row],[FECHA_ALTA]])</f>
        <v>14</v>
      </c>
    </row>
    <row r="205" spans="1:71" x14ac:dyDescent="0.25">
      <c r="A205" s="18" t="s">
        <v>96</v>
      </c>
      <c r="B205" s="18" t="s">
        <v>12451</v>
      </c>
      <c r="C205" s="18" t="s">
        <v>12452</v>
      </c>
      <c r="D205" s="18" t="s">
        <v>12453</v>
      </c>
      <c r="E205" s="22">
        <v>44908</v>
      </c>
      <c r="F205" s="18" t="s">
        <v>67</v>
      </c>
      <c r="G205" s="18" t="s">
        <v>12454</v>
      </c>
      <c r="H205" s="18" t="s">
        <v>12455</v>
      </c>
      <c r="I205" s="18" t="s">
        <v>70</v>
      </c>
      <c r="J205" s="18" t="s">
        <v>8102</v>
      </c>
      <c r="K205" s="18" t="s">
        <v>8103</v>
      </c>
      <c r="L205" s="18" t="s">
        <v>95</v>
      </c>
      <c r="M205" s="18" t="s">
        <v>7029</v>
      </c>
      <c r="N205" s="18" t="s">
        <v>12456</v>
      </c>
      <c r="O205" s="18" t="s">
        <v>75</v>
      </c>
      <c r="P205" s="18" t="s">
        <v>12457</v>
      </c>
      <c r="Q205" s="18" t="s">
        <v>4453</v>
      </c>
      <c r="R205" s="18" t="s">
        <v>78</v>
      </c>
      <c r="S205" s="18" t="s">
        <v>77</v>
      </c>
      <c r="T205" s="22">
        <v>44915</v>
      </c>
      <c r="U205" s="18"/>
      <c r="V205" s="18" t="s">
        <v>81</v>
      </c>
      <c r="W205" s="18" t="s">
        <v>79</v>
      </c>
      <c r="X205" s="18" t="s">
        <v>10803</v>
      </c>
      <c r="Y205" s="18" t="s">
        <v>1020</v>
      </c>
      <c r="Z205" s="18" t="s">
        <v>1021</v>
      </c>
      <c r="AA205" s="18" t="s">
        <v>1020</v>
      </c>
      <c r="AB205" s="18" t="s">
        <v>1021</v>
      </c>
      <c r="AC205" s="18" t="s">
        <v>7984</v>
      </c>
      <c r="AD205" s="18" t="s">
        <v>10804</v>
      </c>
      <c r="AE205" s="18" t="s">
        <v>80</v>
      </c>
      <c r="AF205" s="18" t="s">
        <v>95</v>
      </c>
      <c r="AG205" s="18" t="s">
        <v>83</v>
      </c>
      <c r="AH205" s="18" t="s">
        <v>83</v>
      </c>
      <c r="AI205" s="18" t="s">
        <v>81</v>
      </c>
      <c r="AJ205" s="18" t="s">
        <v>118</v>
      </c>
      <c r="AK205" s="18" t="s">
        <v>95</v>
      </c>
      <c r="AL205" s="18" t="s">
        <v>12458</v>
      </c>
      <c r="AM205" s="18" t="s">
        <v>85</v>
      </c>
      <c r="AN205" s="18" t="s">
        <v>7031</v>
      </c>
      <c r="AO205" s="18" t="s">
        <v>86</v>
      </c>
      <c r="AP205" s="18" t="s">
        <v>90</v>
      </c>
      <c r="AQ205" s="18" t="s">
        <v>8106</v>
      </c>
      <c r="AR205" s="18" t="s">
        <v>91</v>
      </c>
      <c r="AS205" s="18" t="s">
        <v>92</v>
      </c>
      <c r="AT205" s="18" t="s">
        <v>95</v>
      </c>
      <c r="AU205" s="18" t="s">
        <v>95</v>
      </c>
      <c r="AV205" s="18" t="s">
        <v>7029</v>
      </c>
      <c r="AW205" s="18" t="s">
        <v>95</v>
      </c>
      <c r="AX205" s="18" t="s">
        <v>10806</v>
      </c>
      <c r="AY205" s="18" t="s">
        <v>95</v>
      </c>
      <c r="AZ205" s="18" t="s">
        <v>95</v>
      </c>
      <c r="BA205" s="18" t="s">
        <v>95</v>
      </c>
      <c r="BB205" s="18" t="s">
        <v>95</v>
      </c>
      <c r="BC205" s="18" t="s">
        <v>95</v>
      </c>
      <c r="BD205" s="18" t="s">
        <v>10829</v>
      </c>
      <c r="BE205" s="18" t="s">
        <v>95</v>
      </c>
      <c r="BF205" s="18" t="s">
        <v>10809</v>
      </c>
      <c r="BG205" s="18" t="s">
        <v>7030</v>
      </c>
      <c r="BH205" s="18"/>
      <c r="BI205" s="18"/>
      <c r="BJ205" s="18" t="s">
        <v>1020</v>
      </c>
      <c r="BK205" s="18" t="s">
        <v>12459</v>
      </c>
      <c r="BL205" s="18" t="s">
        <v>10811</v>
      </c>
      <c r="BM205" s="18" t="s">
        <v>92</v>
      </c>
      <c r="BN205" s="18" t="s">
        <v>85</v>
      </c>
      <c r="BO205" s="18">
        <v>1</v>
      </c>
      <c r="BP205" s="18" t="s">
        <v>10812</v>
      </c>
      <c r="BQ205" s="18" t="str">
        <f>VLOOKUP(Prepago[[#This Row],[NOM_PLAZA]],[1]!Locales[#Data],3,0)</f>
        <v>TIENDA CUENCA CENTRO</v>
      </c>
      <c r="BR205" s="18" t="str">
        <f>VLOOKUP(Prepago[[#This Row],[CODIGO_USUARIO]],[1]!Personal[#Data],6,0)</f>
        <v>GONZALES ALVARRACIN PAOLA YESSENIA</v>
      </c>
      <c r="BS205" s="18">
        <f>DAY(Prepago[[#This Row],[FECHA_ALTA]])</f>
        <v>13</v>
      </c>
    </row>
    <row r="206" spans="1:71" x14ac:dyDescent="0.25">
      <c r="A206" s="18" t="s">
        <v>96</v>
      </c>
      <c r="B206" s="18" t="s">
        <v>9498</v>
      </c>
      <c r="C206" s="18" t="s">
        <v>9502</v>
      </c>
      <c r="D206" s="18" t="s">
        <v>9500</v>
      </c>
      <c r="E206" s="22">
        <v>44907</v>
      </c>
      <c r="F206" s="18" t="s">
        <v>67</v>
      </c>
      <c r="G206" s="18" t="s">
        <v>8916</v>
      </c>
      <c r="H206" s="18" t="s">
        <v>8917</v>
      </c>
      <c r="I206" s="18" t="s">
        <v>70</v>
      </c>
      <c r="J206" s="18" t="s">
        <v>8102</v>
      </c>
      <c r="K206" s="18" t="s">
        <v>8103</v>
      </c>
      <c r="L206" s="18" t="s">
        <v>73</v>
      </c>
      <c r="M206" s="18" t="s">
        <v>7029</v>
      </c>
      <c r="N206" s="18" t="s">
        <v>9501</v>
      </c>
      <c r="O206" s="18" t="s">
        <v>287</v>
      </c>
      <c r="P206" s="18" t="s">
        <v>12460</v>
      </c>
      <c r="Q206" s="18" t="s">
        <v>1532</v>
      </c>
      <c r="R206" s="18" t="s">
        <v>78</v>
      </c>
      <c r="S206" s="18" t="s">
        <v>77</v>
      </c>
      <c r="T206" s="22">
        <v>44915</v>
      </c>
      <c r="U206" s="18"/>
      <c r="V206" s="18" t="s">
        <v>81</v>
      </c>
      <c r="W206" s="18" t="s">
        <v>79</v>
      </c>
      <c r="X206" s="18" t="s">
        <v>10803</v>
      </c>
      <c r="Y206" s="18" t="s">
        <v>880</v>
      </c>
      <c r="Z206" s="18" t="s">
        <v>881</v>
      </c>
      <c r="AA206" s="18" t="s">
        <v>880</v>
      </c>
      <c r="AB206" s="18" t="s">
        <v>881</v>
      </c>
      <c r="AC206" s="18" t="s">
        <v>7984</v>
      </c>
      <c r="AD206" s="18" t="s">
        <v>10804</v>
      </c>
      <c r="AE206" s="18" t="s">
        <v>80</v>
      </c>
      <c r="AF206" s="18" t="s">
        <v>95</v>
      </c>
      <c r="AG206" s="18" t="s">
        <v>83</v>
      </c>
      <c r="AH206" s="18" t="s">
        <v>83</v>
      </c>
      <c r="AI206" s="18" t="s">
        <v>81</v>
      </c>
      <c r="AJ206" s="18" t="s">
        <v>118</v>
      </c>
      <c r="AK206" s="18" t="s">
        <v>95</v>
      </c>
      <c r="AL206" s="18" t="s">
        <v>12377</v>
      </c>
      <c r="AM206" s="18" t="s">
        <v>85</v>
      </c>
      <c r="AN206" s="18" t="s">
        <v>7031</v>
      </c>
      <c r="AO206" s="18" t="s">
        <v>86</v>
      </c>
      <c r="AP206" s="18" t="s">
        <v>90</v>
      </c>
      <c r="AQ206" s="18" t="s">
        <v>8106</v>
      </c>
      <c r="AR206" s="18" t="s">
        <v>91</v>
      </c>
      <c r="AS206" s="18" t="s">
        <v>92</v>
      </c>
      <c r="AT206" s="18" t="s">
        <v>95</v>
      </c>
      <c r="AU206" s="18" t="s">
        <v>95</v>
      </c>
      <c r="AV206" s="18" t="s">
        <v>7029</v>
      </c>
      <c r="AW206" s="18" t="s">
        <v>95</v>
      </c>
      <c r="AX206" s="18" t="s">
        <v>10806</v>
      </c>
      <c r="AY206" s="18" t="s">
        <v>95</v>
      </c>
      <c r="AZ206" s="18" t="s">
        <v>95</v>
      </c>
      <c r="BA206" s="18" t="s">
        <v>95</v>
      </c>
      <c r="BB206" s="18" t="s">
        <v>95</v>
      </c>
      <c r="BC206" s="18" t="s">
        <v>95</v>
      </c>
      <c r="BD206" s="18" t="s">
        <v>10829</v>
      </c>
      <c r="BE206" s="18" t="s">
        <v>12461</v>
      </c>
      <c r="BF206" s="18" t="s">
        <v>10809</v>
      </c>
      <c r="BG206" s="18" t="s">
        <v>7030</v>
      </c>
      <c r="BH206" s="18"/>
      <c r="BI206" s="18"/>
      <c r="BJ206" s="18" t="s">
        <v>880</v>
      </c>
      <c r="BK206" s="18" t="s">
        <v>12462</v>
      </c>
      <c r="BL206" s="18" t="s">
        <v>10811</v>
      </c>
      <c r="BM206" s="18" t="s">
        <v>92</v>
      </c>
      <c r="BN206" s="18" t="s">
        <v>85</v>
      </c>
      <c r="BO206" s="18">
        <v>0</v>
      </c>
      <c r="BP206" s="18" t="s">
        <v>10812</v>
      </c>
      <c r="BQ206" s="18" t="str">
        <f>VLOOKUP(Prepago[[#This Row],[NOM_PLAZA]],[1]!Locales[#Data],3,0)</f>
        <v>TIENDA CUENCA CENTRO</v>
      </c>
      <c r="BR206" s="18" t="str">
        <f>VLOOKUP(Prepago[[#This Row],[CODIGO_USUARIO]],[1]!Personal[#Data],6,0)</f>
        <v>LUNA JACHO ANDREA GABRIELA</v>
      </c>
      <c r="BS206" s="18">
        <f>DAY(Prepago[[#This Row],[FECHA_ALTA]])</f>
        <v>12</v>
      </c>
    </row>
    <row r="207" spans="1:71" x14ac:dyDescent="0.25">
      <c r="A207" s="18" t="s">
        <v>96</v>
      </c>
      <c r="B207" s="18" t="s">
        <v>12463</v>
      </c>
      <c r="C207" s="18" t="s">
        <v>12464</v>
      </c>
      <c r="D207" s="18" t="s">
        <v>12465</v>
      </c>
      <c r="E207" s="22">
        <v>44909</v>
      </c>
      <c r="F207" s="18" t="s">
        <v>67</v>
      </c>
      <c r="G207" s="18" t="s">
        <v>12466</v>
      </c>
      <c r="H207" s="18" t="s">
        <v>12467</v>
      </c>
      <c r="I207" s="18" t="s">
        <v>70</v>
      </c>
      <c r="J207" s="18" t="s">
        <v>8102</v>
      </c>
      <c r="K207" s="18" t="s">
        <v>8103</v>
      </c>
      <c r="L207" s="18" t="s">
        <v>95</v>
      </c>
      <c r="M207" s="18" t="s">
        <v>7029</v>
      </c>
      <c r="N207" s="18" t="s">
        <v>12468</v>
      </c>
      <c r="O207" s="18" t="s">
        <v>75</v>
      </c>
      <c r="P207" s="18" t="s">
        <v>12469</v>
      </c>
      <c r="Q207" s="18" t="s">
        <v>10817</v>
      </c>
      <c r="R207" s="18" t="s">
        <v>78</v>
      </c>
      <c r="S207" s="18" t="s">
        <v>77</v>
      </c>
      <c r="T207" s="22">
        <v>44915</v>
      </c>
      <c r="U207" s="18"/>
      <c r="V207" s="18" t="s">
        <v>81</v>
      </c>
      <c r="W207" s="18" t="s">
        <v>79</v>
      </c>
      <c r="X207" s="18" t="s">
        <v>10803</v>
      </c>
      <c r="Y207" s="18" t="s">
        <v>1020</v>
      </c>
      <c r="Z207" s="18" t="s">
        <v>1021</v>
      </c>
      <c r="AA207" s="18" t="s">
        <v>7512</v>
      </c>
      <c r="AB207" s="18" t="s">
        <v>7513</v>
      </c>
      <c r="AC207" s="18" t="s">
        <v>7984</v>
      </c>
      <c r="AD207" s="18" t="s">
        <v>10804</v>
      </c>
      <c r="AE207" s="18" t="s">
        <v>80</v>
      </c>
      <c r="AF207" s="18" t="s">
        <v>95</v>
      </c>
      <c r="AG207" s="18" t="s">
        <v>83</v>
      </c>
      <c r="AH207" s="18" t="s">
        <v>83</v>
      </c>
      <c r="AI207" s="18" t="s">
        <v>81</v>
      </c>
      <c r="AJ207" s="18" t="s">
        <v>118</v>
      </c>
      <c r="AK207" s="18" t="s">
        <v>95</v>
      </c>
      <c r="AL207" s="18" t="s">
        <v>12458</v>
      </c>
      <c r="AM207" s="18" t="s">
        <v>85</v>
      </c>
      <c r="AN207" s="18" t="s">
        <v>7031</v>
      </c>
      <c r="AO207" s="18" t="s">
        <v>86</v>
      </c>
      <c r="AP207" s="18" t="s">
        <v>90</v>
      </c>
      <c r="AQ207" s="18" t="s">
        <v>8106</v>
      </c>
      <c r="AR207" s="18" t="s">
        <v>91</v>
      </c>
      <c r="AS207" s="18" t="s">
        <v>92</v>
      </c>
      <c r="AT207" s="18" t="s">
        <v>95</v>
      </c>
      <c r="AU207" s="18" t="s">
        <v>95</v>
      </c>
      <c r="AV207" s="18" t="s">
        <v>7029</v>
      </c>
      <c r="AW207" s="18" t="s">
        <v>95</v>
      </c>
      <c r="AX207" s="18" t="s">
        <v>10806</v>
      </c>
      <c r="AY207" s="18" t="s">
        <v>95</v>
      </c>
      <c r="AZ207" s="18" t="s">
        <v>95</v>
      </c>
      <c r="BA207" s="18" t="s">
        <v>95</v>
      </c>
      <c r="BB207" s="18" t="s">
        <v>95</v>
      </c>
      <c r="BC207" s="18" t="s">
        <v>95</v>
      </c>
      <c r="BD207" s="18" t="s">
        <v>10829</v>
      </c>
      <c r="BE207" s="18" t="s">
        <v>12470</v>
      </c>
      <c r="BF207" s="18" t="s">
        <v>10809</v>
      </c>
      <c r="BG207" s="18" t="s">
        <v>7030</v>
      </c>
      <c r="BH207" s="18"/>
      <c r="BI207" s="18"/>
      <c r="BJ207" s="18" t="s">
        <v>1020</v>
      </c>
      <c r="BK207" s="18" t="s">
        <v>12471</v>
      </c>
      <c r="BL207" s="18" t="s">
        <v>10811</v>
      </c>
      <c r="BM207" s="18" t="s">
        <v>92</v>
      </c>
      <c r="BN207" s="18" t="s">
        <v>85</v>
      </c>
      <c r="BO207" s="18">
        <v>0</v>
      </c>
      <c r="BP207" s="18" t="s">
        <v>10812</v>
      </c>
      <c r="BQ207" s="18" t="str">
        <f>VLOOKUP(Prepago[[#This Row],[NOM_PLAZA]],[1]!Locales[#Data],3,0)</f>
        <v>TIENDA CUENCA CENTRO</v>
      </c>
      <c r="BR207" s="18" t="str">
        <f>VLOOKUP(Prepago[[#This Row],[CODIGO_USUARIO]],[1]!Personal[#Data],6,0)</f>
        <v>GONZALES ALVARRACIN PAOLA YESSENIA</v>
      </c>
      <c r="BS207" s="18">
        <f>DAY(Prepago[[#This Row],[FECHA_ALTA]])</f>
        <v>14</v>
      </c>
    </row>
    <row r="208" spans="1:71" x14ac:dyDescent="0.25">
      <c r="A208" s="18" t="s">
        <v>96</v>
      </c>
      <c r="B208" s="18" t="s">
        <v>12472</v>
      </c>
      <c r="C208" s="18" t="s">
        <v>12473</v>
      </c>
      <c r="D208" s="18" t="s">
        <v>12474</v>
      </c>
      <c r="E208" s="22">
        <v>44914</v>
      </c>
      <c r="F208" s="18" t="s">
        <v>67</v>
      </c>
      <c r="G208" s="18" t="s">
        <v>12475</v>
      </c>
      <c r="H208" s="18" t="s">
        <v>12476</v>
      </c>
      <c r="I208" s="18" t="s">
        <v>70</v>
      </c>
      <c r="J208" s="18" t="s">
        <v>8102</v>
      </c>
      <c r="K208" s="18" t="s">
        <v>8103</v>
      </c>
      <c r="L208" s="18" t="s">
        <v>73</v>
      </c>
      <c r="M208" s="18" t="s">
        <v>7029</v>
      </c>
      <c r="N208" s="18" t="s">
        <v>12477</v>
      </c>
      <c r="O208" s="18" t="s">
        <v>75</v>
      </c>
      <c r="P208" s="18" t="s">
        <v>12478</v>
      </c>
      <c r="Q208" s="18" t="s">
        <v>10817</v>
      </c>
      <c r="R208" s="18" t="s">
        <v>78</v>
      </c>
      <c r="S208" s="18" t="s">
        <v>77</v>
      </c>
      <c r="T208" s="22">
        <v>44915</v>
      </c>
      <c r="U208" s="18"/>
      <c r="V208" s="18" t="s">
        <v>81</v>
      </c>
      <c r="W208" s="18" t="s">
        <v>79</v>
      </c>
      <c r="X208" s="18" t="s">
        <v>10803</v>
      </c>
      <c r="Y208" s="18" t="s">
        <v>88</v>
      </c>
      <c r="Z208" s="18" t="s">
        <v>89</v>
      </c>
      <c r="AA208" s="18" t="s">
        <v>88</v>
      </c>
      <c r="AB208" s="18" t="s">
        <v>89</v>
      </c>
      <c r="AC208" s="18" t="s">
        <v>7984</v>
      </c>
      <c r="AD208" s="18" t="s">
        <v>10804</v>
      </c>
      <c r="AE208" s="18" t="s">
        <v>80</v>
      </c>
      <c r="AF208" s="18" t="s">
        <v>95</v>
      </c>
      <c r="AG208" s="18" t="s">
        <v>83</v>
      </c>
      <c r="AH208" s="18" t="s">
        <v>83</v>
      </c>
      <c r="AI208" s="18" t="s">
        <v>81</v>
      </c>
      <c r="AJ208" s="18" t="s">
        <v>118</v>
      </c>
      <c r="AK208" s="18" t="s">
        <v>95</v>
      </c>
      <c r="AL208" s="18" t="s">
        <v>12479</v>
      </c>
      <c r="AM208" s="18" t="s">
        <v>85</v>
      </c>
      <c r="AN208" s="18" t="s">
        <v>7031</v>
      </c>
      <c r="AO208" s="18" t="s">
        <v>86</v>
      </c>
      <c r="AP208" s="18" t="s">
        <v>90</v>
      </c>
      <c r="AQ208" s="18" t="s">
        <v>8106</v>
      </c>
      <c r="AR208" s="18" t="s">
        <v>91</v>
      </c>
      <c r="AS208" s="18" t="s">
        <v>92</v>
      </c>
      <c r="AT208" s="18" t="s">
        <v>95</v>
      </c>
      <c r="AU208" s="18" t="s">
        <v>95</v>
      </c>
      <c r="AV208" s="18" t="s">
        <v>7029</v>
      </c>
      <c r="AW208" s="18" t="s">
        <v>95</v>
      </c>
      <c r="AX208" s="18" t="s">
        <v>10806</v>
      </c>
      <c r="AY208" s="18" t="s">
        <v>95</v>
      </c>
      <c r="AZ208" s="18" t="s">
        <v>95</v>
      </c>
      <c r="BA208" s="18" t="s">
        <v>95</v>
      </c>
      <c r="BB208" s="18" t="s">
        <v>95</v>
      </c>
      <c r="BC208" s="18" t="s">
        <v>95</v>
      </c>
      <c r="BD208" s="18" t="s">
        <v>10829</v>
      </c>
      <c r="BE208" s="18" t="s">
        <v>12480</v>
      </c>
      <c r="BF208" s="18" t="s">
        <v>10809</v>
      </c>
      <c r="BG208" s="18" t="s">
        <v>7030</v>
      </c>
      <c r="BH208" s="18"/>
      <c r="BI208" s="18"/>
      <c r="BJ208" s="18" t="s">
        <v>88</v>
      </c>
      <c r="BK208" s="18" t="s">
        <v>12481</v>
      </c>
      <c r="BL208" s="18" t="s">
        <v>10811</v>
      </c>
      <c r="BM208" s="18" t="s">
        <v>92</v>
      </c>
      <c r="BN208" s="18" t="s">
        <v>85</v>
      </c>
      <c r="BO208" s="18">
        <v>0</v>
      </c>
      <c r="BP208" s="18" t="s">
        <v>10812</v>
      </c>
      <c r="BQ208" s="18" t="str">
        <f>VLOOKUP(Prepago[[#This Row],[NOM_PLAZA]],[1]!Locales[#Data],3,0)</f>
        <v>TIENDA CUENCA CENTRO</v>
      </c>
      <c r="BR208" s="18" t="str">
        <f>VLOOKUP(Prepago[[#This Row],[CODIGO_USUARIO]],[1]!Personal[#Data],6,0)</f>
        <v>ANDRADE CONDO CHRISTIAN EDUARDO</v>
      </c>
      <c r="BS208" s="18">
        <f>DAY(Prepago[[#This Row],[FECHA_ALTA]])</f>
        <v>19</v>
      </c>
    </row>
    <row r="209" spans="1:71" x14ac:dyDescent="0.25">
      <c r="A209" s="18" t="s">
        <v>96</v>
      </c>
      <c r="B209" s="18" t="s">
        <v>12482</v>
      </c>
      <c r="C209" s="18" t="s">
        <v>12483</v>
      </c>
      <c r="D209" s="18" t="s">
        <v>12484</v>
      </c>
      <c r="E209" s="22">
        <v>44904</v>
      </c>
      <c r="F209" s="18" t="s">
        <v>67</v>
      </c>
      <c r="G209" s="18" t="s">
        <v>12485</v>
      </c>
      <c r="H209" s="18" t="s">
        <v>12486</v>
      </c>
      <c r="I209" s="18" t="s">
        <v>193</v>
      </c>
      <c r="J209" s="18" t="s">
        <v>8102</v>
      </c>
      <c r="K209" s="18" t="s">
        <v>8103</v>
      </c>
      <c r="L209" s="18" t="s">
        <v>73</v>
      </c>
      <c r="M209" s="18" t="s">
        <v>7029</v>
      </c>
      <c r="N209" s="18" t="s">
        <v>12487</v>
      </c>
      <c r="O209" s="18" t="s">
        <v>75</v>
      </c>
      <c r="P209" s="18" t="s">
        <v>12488</v>
      </c>
      <c r="Q209" s="18" t="s">
        <v>10817</v>
      </c>
      <c r="R209" s="18" t="s">
        <v>78</v>
      </c>
      <c r="S209" s="18" t="s">
        <v>77</v>
      </c>
      <c r="T209" s="22">
        <v>44915</v>
      </c>
      <c r="U209" s="18"/>
      <c r="V209" s="18" t="s">
        <v>81</v>
      </c>
      <c r="W209" s="18" t="s">
        <v>79</v>
      </c>
      <c r="X209" s="18" t="s">
        <v>10803</v>
      </c>
      <c r="Y209" s="18" t="s">
        <v>289</v>
      </c>
      <c r="Z209" s="18" t="s">
        <v>290</v>
      </c>
      <c r="AA209" s="18" t="s">
        <v>289</v>
      </c>
      <c r="AB209" s="18" t="s">
        <v>290</v>
      </c>
      <c r="AC209" s="18" t="s">
        <v>7984</v>
      </c>
      <c r="AD209" s="18" t="s">
        <v>10804</v>
      </c>
      <c r="AE209" s="18" t="s">
        <v>80</v>
      </c>
      <c r="AF209" s="18" t="s">
        <v>95</v>
      </c>
      <c r="AG209" s="18" t="s">
        <v>83</v>
      </c>
      <c r="AH209" s="18" t="s">
        <v>83</v>
      </c>
      <c r="AI209" s="18" t="s">
        <v>81</v>
      </c>
      <c r="AJ209" s="18" t="s">
        <v>118</v>
      </c>
      <c r="AK209" s="18" t="s">
        <v>95</v>
      </c>
      <c r="AL209" s="18" t="s">
        <v>12396</v>
      </c>
      <c r="AM209" s="18" t="s">
        <v>85</v>
      </c>
      <c r="AN209" s="18" t="s">
        <v>7031</v>
      </c>
      <c r="AO209" s="18" t="s">
        <v>86</v>
      </c>
      <c r="AP209" s="18" t="s">
        <v>90</v>
      </c>
      <c r="AQ209" s="18" t="s">
        <v>8106</v>
      </c>
      <c r="AR209" s="18" t="s">
        <v>91</v>
      </c>
      <c r="AS209" s="18" t="s">
        <v>92</v>
      </c>
      <c r="AT209" s="18" t="s">
        <v>95</v>
      </c>
      <c r="AU209" s="18" t="s">
        <v>95</v>
      </c>
      <c r="AV209" s="18" t="s">
        <v>7029</v>
      </c>
      <c r="AW209" s="18" t="s">
        <v>95</v>
      </c>
      <c r="AX209" s="18" t="s">
        <v>10806</v>
      </c>
      <c r="AY209" s="18" t="s">
        <v>95</v>
      </c>
      <c r="AZ209" s="18" t="s">
        <v>95</v>
      </c>
      <c r="BA209" s="18" t="s">
        <v>95</v>
      </c>
      <c r="BB209" s="18" t="s">
        <v>95</v>
      </c>
      <c r="BC209" s="18" t="s">
        <v>95</v>
      </c>
      <c r="BD209" s="18" t="s">
        <v>10829</v>
      </c>
      <c r="BE209" s="18" t="s">
        <v>12489</v>
      </c>
      <c r="BF209" s="18" t="s">
        <v>12490</v>
      </c>
      <c r="BG209" s="18" t="s">
        <v>7030</v>
      </c>
      <c r="BH209" s="18"/>
      <c r="BI209" s="18"/>
      <c r="BJ209" s="18" t="s">
        <v>289</v>
      </c>
      <c r="BK209" s="18" t="s">
        <v>12491</v>
      </c>
      <c r="BL209" s="18" t="s">
        <v>10811</v>
      </c>
      <c r="BM209" s="18" t="s">
        <v>92</v>
      </c>
      <c r="BN209" s="18" t="s">
        <v>85</v>
      </c>
      <c r="BO209" s="18">
        <v>0</v>
      </c>
      <c r="BP209" s="18" t="s">
        <v>10812</v>
      </c>
      <c r="BQ209" s="18" t="str">
        <f>VLOOKUP(Prepago[[#This Row],[NOM_PLAZA]],[1]!Locales[#Data],3,0)</f>
        <v>TIENDA CUENCA CENTRO</v>
      </c>
      <c r="BR209" s="18" t="str">
        <f>VLOOKUP(Prepago[[#This Row],[CODIGO_USUARIO]],[1]!Personal[#Data],6,0)</f>
        <v>CALLE CHACA JORGE VINICIO</v>
      </c>
      <c r="BS209" s="18">
        <f>DAY(Prepago[[#This Row],[FECHA_ALTA]])</f>
        <v>9</v>
      </c>
    </row>
    <row r="210" spans="1:71" x14ac:dyDescent="0.25">
      <c r="A210" s="18" t="s">
        <v>96</v>
      </c>
      <c r="B210" s="18" t="s">
        <v>12492</v>
      </c>
      <c r="C210" s="18" t="s">
        <v>12493</v>
      </c>
      <c r="D210" s="18" t="s">
        <v>12465</v>
      </c>
      <c r="E210" s="22">
        <v>44898</v>
      </c>
      <c r="F210" s="18" t="s">
        <v>67</v>
      </c>
      <c r="G210" s="18" t="s">
        <v>12466</v>
      </c>
      <c r="H210" s="18" t="s">
        <v>12467</v>
      </c>
      <c r="I210" s="18" t="s">
        <v>70</v>
      </c>
      <c r="J210" s="18" t="s">
        <v>8102</v>
      </c>
      <c r="K210" s="18" t="s">
        <v>8103</v>
      </c>
      <c r="L210" s="18" t="s">
        <v>95</v>
      </c>
      <c r="M210" s="18" t="s">
        <v>7029</v>
      </c>
      <c r="N210" s="18" t="s">
        <v>12494</v>
      </c>
      <c r="O210" s="18" t="s">
        <v>75</v>
      </c>
      <c r="P210" s="18" t="s">
        <v>12495</v>
      </c>
      <c r="Q210" s="18" t="s">
        <v>10817</v>
      </c>
      <c r="R210" s="18" t="s">
        <v>78</v>
      </c>
      <c r="S210" s="18" t="s">
        <v>77</v>
      </c>
      <c r="T210" s="22">
        <v>44915</v>
      </c>
      <c r="U210" s="18"/>
      <c r="V210" s="18" t="s">
        <v>81</v>
      </c>
      <c r="W210" s="18" t="s">
        <v>79</v>
      </c>
      <c r="X210" s="18" t="s">
        <v>10803</v>
      </c>
      <c r="Y210" s="18" t="s">
        <v>1020</v>
      </c>
      <c r="Z210" s="18" t="s">
        <v>1021</v>
      </c>
      <c r="AA210" s="18" t="s">
        <v>1020</v>
      </c>
      <c r="AB210" s="18" t="s">
        <v>1021</v>
      </c>
      <c r="AC210" s="18" t="s">
        <v>7984</v>
      </c>
      <c r="AD210" s="18" t="s">
        <v>10804</v>
      </c>
      <c r="AE210" s="18" t="s">
        <v>80</v>
      </c>
      <c r="AF210" s="18" t="s">
        <v>95</v>
      </c>
      <c r="AG210" s="18" t="s">
        <v>83</v>
      </c>
      <c r="AH210" s="18" t="s">
        <v>83</v>
      </c>
      <c r="AI210" s="18" t="s">
        <v>81</v>
      </c>
      <c r="AJ210" s="18" t="s">
        <v>118</v>
      </c>
      <c r="AK210" s="18" t="s">
        <v>95</v>
      </c>
      <c r="AL210" s="18" t="s">
        <v>12458</v>
      </c>
      <c r="AM210" s="18" t="s">
        <v>85</v>
      </c>
      <c r="AN210" s="18" t="s">
        <v>7031</v>
      </c>
      <c r="AO210" s="18" t="s">
        <v>86</v>
      </c>
      <c r="AP210" s="18" t="s">
        <v>90</v>
      </c>
      <c r="AQ210" s="18" t="s">
        <v>8106</v>
      </c>
      <c r="AR210" s="18" t="s">
        <v>91</v>
      </c>
      <c r="AS210" s="18" t="s">
        <v>92</v>
      </c>
      <c r="AT210" s="18" t="s">
        <v>95</v>
      </c>
      <c r="AU210" s="18" t="s">
        <v>95</v>
      </c>
      <c r="AV210" s="18" t="s">
        <v>7029</v>
      </c>
      <c r="AW210" s="18" t="s">
        <v>95</v>
      </c>
      <c r="AX210" s="18" t="s">
        <v>10806</v>
      </c>
      <c r="AY210" s="18" t="s">
        <v>95</v>
      </c>
      <c r="AZ210" s="18" t="s">
        <v>95</v>
      </c>
      <c r="BA210" s="18" t="s">
        <v>95</v>
      </c>
      <c r="BB210" s="18" t="s">
        <v>95</v>
      </c>
      <c r="BC210" s="18" t="s">
        <v>95</v>
      </c>
      <c r="BD210" s="18" t="s">
        <v>10829</v>
      </c>
      <c r="BE210" s="18" t="s">
        <v>12470</v>
      </c>
      <c r="BF210" s="18" t="s">
        <v>10809</v>
      </c>
      <c r="BG210" s="18" t="s">
        <v>7030</v>
      </c>
      <c r="BH210" s="18"/>
      <c r="BI210" s="18"/>
      <c r="BJ210" s="18" t="s">
        <v>1020</v>
      </c>
      <c r="BK210" s="18" t="s">
        <v>12496</v>
      </c>
      <c r="BL210" s="18" t="s">
        <v>10811</v>
      </c>
      <c r="BM210" s="18" t="s">
        <v>92</v>
      </c>
      <c r="BN210" s="18" t="s">
        <v>85</v>
      </c>
      <c r="BO210" s="18">
        <v>1</v>
      </c>
      <c r="BP210" s="18" t="s">
        <v>10812</v>
      </c>
      <c r="BQ210" s="18" t="str">
        <f>VLOOKUP(Prepago[[#This Row],[NOM_PLAZA]],[1]!Locales[#Data],3,0)</f>
        <v>TIENDA CUENCA CENTRO</v>
      </c>
      <c r="BR210" s="18" t="str">
        <f>VLOOKUP(Prepago[[#This Row],[CODIGO_USUARIO]],[1]!Personal[#Data],6,0)</f>
        <v>GONZALES ALVARRACIN PAOLA YESSENIA</v>
      </c>
      <c r="BS210" s="18">
        <f>DAY(Prepago[[#This Row],[FECHA_ALTA]])</f>
        <v>3</v>
      </c>
    </row>
    <row r="211" spans="1:71" x14ac:dyDescent="0.25">
      <c r="A211" s="18" t="s">
        <v>96</v>
      </c>
      <c r="B211" s="18" t="s">
        <v>12497</v>
      </c>
      <c r="C211" s="18" t="s">
        <v>12498</v>
      </c>
      <c r="D211" s="18" t="s">
        <v>12499</v>
      </c>
      <c r="E211" s="22">
        <v>44896</v>
      </c>
      <c r="F211" s="18" t="s">
        <v>67</v>
      </c>
      <c r="G211" s="18" t="s">
        <v>12500</v>
      </c>
      <c r="H211" s="18" t="s">
        <v>12501</v>
      </c>
      <c r="I211" s="18" t="s">
        <v>70</v>
      </c>
      <c r="J211" s="18" t="s">
        <v>8102</v>
      </c>
      <c r="K211" s="18" t="s">
        <v>8103</v>
      </c>
      <c r="L211" s="18" t="s">
        <v>259</v>
      </c>
      <c r="M211" s="18" t="s">
        <v>7486</v>
      </c>
      <c r="N211" s="18" t="s">
        <v>12502</v>
      </c>
      <c r="O211" s="18" t="s">
        <v>75</v>
      </c>
      <c r="P211" s="18" t="s">
        <v>12503</v>
      </c>
      <c r="Q211" s="18" t="s">
        <v>10817</v>
      </c>
      <c r="R211" s="18" t="s">
        <v>78</v>
      </c>
      <c r="S211" s="18" t="s">
        <v>77</v>
      </c>
      <c r="T211" s="22">
        <v>44915</v>
      </c>
      <c r="U211" s="18"/>
      <c r="V211" s="18" t="s">
        <v>81</v>
      </c>
      <c r="W211" s="18" t="s">
        <v>79</v>
      </c>
      <c r="X211" s="18" t="s">
        <v>10803</v>
      </c>
      <c r="Y211" s="18" t="s">
        <v>242</v>
      </c>
      <c r="Z211" s="18" t="s">
        <v>243</v>
      </c>
      <c r="AA211" s="18" t="s">
        <v>7062</v>
      </c>
      <c r="AB211" s="18" t="s">
        <v>95</v>
      </c>
      <c r="AC211" s="18" t="s">
        <v>7984</v>
      </c>
      <c r="AD211" s="18" t="s">
        <v>10804</v>
      </c>
      <c r="AE211" s="18" t="s">
        <v>80</v>
      </c>
      <c r="AF211" s="18" t="s">
        <v>95</v>
      </c>
      <c r="AG211" s="18" t="s">
        <v>81</v>
      </c>
      <c r="AH211" s="18" t="s">
        <v>83</v>
      </c>
      <c r="AI211" s="18" t="s">
        <v>81</v>
      </c>
      <c r="AJ211" s="18" t="s">
        <v>118</v>
      </c>
      <c r="AK211" s="18" t="s">
        <v>95</v>
      </c>
      <c r="AL211" s="18" t="s">
        <v>12414</v>
      </c>
      <c r="AM211" s="18" t="s">
        <v>85</v>
      </c>
      <c r="AN211" s="18" t="s">
        <v>7031</v>
      </c>
      <c r="AO211" s="18" t="s">
        <v>86</v>
      </c>
      <c r="AP211" s="18" t="s">
        <v>90</v>
      </c>
      <c r="AQ211" s="18" t="s">
        <v>8106</v>
      </c>
      <c r="AR211" s="18" t="s">
        <v>91</v>
      </c>
      <c r="AS211" s="18" t="s">
        <v>92</v>
      </c>
      <c r="AT211" s="18" t="s">
        <v>95</v>
      </c>
      <c r="AU211" s="18" t="s">
        <v>95</v>
      </c>
      <c r="AV211" s="18" t="s">
        <v>7486</v>
      </c>
      <c r="AW211" s="18" t="s">
        <v>95</v>
      </c>
      <c r="AX211" s="18" t="s">
        <v>10806</v>
      </c>
      <c r="AY211" s="18" t="s">
        <v>82</v>
      </c>
      <c r="AZ211" s="18" t="s">
        <v>95</v>
      </c>
      <c r="BA211" s="18" t="s">
        <v>95</v>
      </c>
      <c r="BB211" s="18" t="s">
        <v>95</v>
      </c>
      <c r="BC211" s="18" t="s">
        <v>95</v>
      </c>
      <c r="BD211" s="18" t="s">
        <v>10829</v>
      </c>
      <c r="BE211" s="18" t="s">
        <v>12504</v>
      </c>
      <c r="BF211" s="18" t="s">
        <v>7486</v>
      </c>
      <c r="BG211" s="18" t="s">
        <v>7030</v>
      </c>
      <c r="BH211" s="18"/>
      <c r="BI211" s="18"/>
      <c r="BJ211" s="18" t="s">
        <v>242</v>
      </c>
      <c r="BK211" s="18" t="s">
        <v>12505</v>
      </c>
      <c r="BL211" s="18" t="s">
        <v>10811</v>
      </c>
      <c r="BM211" s="18" t="s">
        <v>92</v>
      </c>
      <c r="BN211" s="18" t="s">
        <v>85</v>
      </c>
      <c r="BO211" s="18">
        <v>1</v>
      </c>
      <c r="BP211" s="18" t="s">
        <v>10812</v>
      </c>
      <c r="BQ211" s="18" t="str">
        <f>VLOOKUP(Prepago[[#This Row],[NOM_PLAZA]],[1]!Locales[#Data],3,0)</f>
        <v>TIENDA CUENCA CENTRO</v>
      </c>
      <c r="BR211" s="18" t="str">
        <f>VLOOKUP(Prepago[[#This Row],[CODIGO_USUARIO]],[1]!Personal[#Data],6,0)</f>
        <v>VALLEJO DELEG ROMAN NICOLAS</v>
      </c>
      <c r="BS211" s="18">
        <f>DAY(Prepago[[#This Row],[FECHA_ALTA]])</f>
        <v>1</v>
      </c>
    </row>
    <row r="212" spans="1:71" x14ac:dyDescent="0.25">
      <c r="A212" s="18" t="s">
        <v>96</v>
      </c>
      <c r="B212" s="18" t="s">
        <v>12506</v>
      </c>
      <c r="C212" s="18" t="s">
        <v>12507</v>
      </c>
      <c r="D212" s="18" t="s">
        <v>12508</v>
      </c>
      <c r="E212" s="22">
        <v>44905</v>
      </c>
      <c r="F212" s="18" t="s">
        <v>67</v>
      </c>
      <c r="G212" s="18" t="s">
        <v>12509</v>
      </c>
      <c r="H212" s="18" t="s">
        <v>12510</v>
      </c>
      <c r="I212" s="18" t="s">
        <v>70</v>
      </c>
      <c r="J212" s="18" t="s">
        <v>8102</v>
      </c>
      <c r="K212" s="18" t="s">
        <v>8103</v>
      </c>
      <c r="L212" s="18" t="s">
        <v>132</v>
      </c>
      <c r="M212" s="18" t="s">
        <v>7029</v>
      </c>
      <c r="N212" s="18" t="s">
        <v>12511</v>
      </c>
      <c r="O212" s="18" t="s">
        <v>75</v>
      </c>
      <c r="P212" s="18" t="s">
        <v>12512</v>
      </c>
      <c r="Q212" s="18" t="s">
        <v>1532</v>
      </c>
      <c r="R212" s="18" t="s">
        <v>78</v>
      </c>
      <c r="S212" s="18" t="s">
        <v>77</v>
      </c>
      <c r="T212" s="22">
        <v>44915</v>
      </c>
      <c r="U212" s="18"/>
      <c r="V212" s="18" t="s">
        <v>81</v>
      </c>
      <c r="W212" s="18" t="s">
        <v>79</v>
      </c>
      <c r="X212" s="18" t="s">
        <v>10803</v>
      </c>
      <c r="Y212" s="18" t="s">
        <v>1020</v>
      </c>
      <c r="Z212" s="18" t="s">
        <v>1021</v>
      </c>
      <c r="AA212" s="18" t="s">
        <v>1020</v>
      </c>
      <c r="AB212" s="18" t="s">
        <v>1021</v>
      </c>
      <c r="AC212" s="18" t="s">
        <v>7984</v>
      </c>
      <c r="AD212" s="18" t="s">
        <v>10804</v>
      </c>
      <c r="AE212" s="18" t="s">
        <v>80</v>
      </c>
      <c r="AF212" s="18" t="s">
        <v>95</v>
      </c>
      <c r="AG212" s="18" t="s">
        <v>83</v>
      </c>
      <c r="AH212" s="18" t="s">
        <v>83</v>
      </c>
      <c r="AI212" s="18" t="s">
        <v>81</v>
      </c>
      <c r="AJ212" s="18" t="s">
        <v>118</v>
      </c>
      <c r="AK212" s="18" t="s">
        <v>95</v>
      </c>
      <c r="AL212" s="18" t="s">
        <v>12458</v>
      </c>
      <c r="AM212" s="18" t="s">
        <v>85</v>
      </c>
      <c r="AN212" s="18" t="s">
        <v>7031</v>
      </c>
      <c r="AO212" s="18" t="s">
        <v>86</v>
      </c>
      <c r="AP212" s="18" t="s">
        <v>90</v>
      </c>
      <c r="AQ212" s="18" t="s">
        <v>8106</v>
      </c>
      <c r="AR212" s="18" t="s">
        <v>91</v>
      </c>
      <c r="AS212" s="18" t="s">
        <v>92</v>
      </c>
      <c r="AT212" s="18" t="s">
        <v>95</v>
      </c>
      <c r="AU212" s="18" t="s">
        <v>95</v>
      </c>
      <c r="AV212" s="18" t="s">
        <v>7029</v>
      </c>
      <c r="AW212" s="18" t="s">
        <v>95</v>
      </c>
      <c r="AX212" s="18" t="s">
        <v>10806</v>
      </c>
      <c r="AY212" s="18" t="s">
        <v>95</v>
      </c>
      <c r="AZ212" s="18" t="s">
        <v>95</v>
      </c>
      <c r="BA212" s="18" t="s">
        <v>95</v>
      </c>
      <c r="BB212" s="18" t="s">
        <v>95</v>
      </c>
      <c r="BC212" s="18" t="s">
        <v>95</v>
      </c>
      <c r="BD212" s="18" t="s">
        <v>10807</v>
      </c>
      <c r="BE212" s="18" t="s">
        <v>10808</v>
      </c>
      <c r="BF212" s="18" t="s">
        <v>10809</v>
      </c>
      <c r="BG212" s="18" t="s">
        <v>7030</v>
      </c>
      <c r="BH212" s="18"/>
      <c r="BI212" s="18"/>
      <c r="BJ212" s="18" t="s">
        <v>1020</v>
      </c>
      <c r="BK212" s="18" t="s">
        <v>12513</v>
      </c>
      <c r="BL212" s="18" t="s">
        <v>10811</v>
      </c>
      <c r="BM212" s="18" t="s">
        <v>92</v>
      </c>
      <c r="BN212" s="18" t="s">
        <v>85</v>
      </c>
      <c r="BO212" s="18">
        <v>0</v>
      </c>
      <c r="BP212" s="18" t="s">
        <v>10812</v>
      </c>
      <c r="BQ212" s="18" t="str">
        <f>VLOOKUP(Prepago[[#This Row],[NOM_PLAZA]],[1]!Locales[#Data],3,0)</f>
        <v>TIENDA CUENCA CENTRO</v>
      </c>
      <c r="BR212" s="18" t="str">
        <f>VLOOKUP(Prepago[[#This Row],[CODIGO_USUARIO]],[1]!Personal[#Data],6,0)</f>
        <v>GONZALES ALVARRACIN PAOLA YESSENIA</v>
      </c>
      <c r="BS212" s="18">
        <f>DAY(Prepago[[#This Row],[FECHA_ALTA]])</f>
        <v>10</v>
      </c>
    </row>
    <row r="213" spans="1:71" x14ac:dyDescent="0.25">
      <c r="A213" s="18" t="s">
        <v>96</v>
      </c>
      <c r="B213" s="18" t="s">
        <v>12514</v>
      </c>
      <c r="C213" s="18" t="s">
        <v>12515</v>
      </c>
      <c r="D213" s="18" t="s">
        <v>12516</v>
      </c>
      <c r="E213" s="22">
        <v>44896</v>
      </c>
      <c r="F213" s="18" t="s">
        <v>67</v>
      </c>
      <c r="G213" s="18" t="s">
        <v>12517</v>
      </c>
      <c r="H213" s="18" t="s">
        <v>12518</v>
      </c>
      <c r="I213" s="18" t="s">
        <v>70</v>
      </c>
      <c r="J213" s="18" t="s">
        <v>8102</v>
      </c>
      <c r="K213" s="18" t="s">
        <v>8103</v>
      </c>
      <c r="L213" s="18" t="s">
        <v>73</v>
      </c>
      <c r="M213" s="18" t="s">
        <v>7029</v>
      </c>
      <c r="N213" s="18" t="s">
        <v>12519</v>
      </c>
      <c r="O213" s="18" t="s">
        <v>75</v>
      </c>
      <c r="P213" s="18" t="s">
        <v>12520</v>
      </c>
      <c r="Q213" s="18" t="s">
        <v>1532</v>
      </c>
      <c r="R213" s="18" t="s">
        <v>78</v>
      </c>
      <c r="S213" s="18" t="s">
        <v>77</v>
      </c>
      <c r="T213" s="22">
        <v>44915</v>
      </c>
      <c r="U213" s="18"/>
      <c r="V213" s="18" t="s">
        <v>81</v>
      </c>
      <c r="W213" s="18" t="s">
        <v>79</v>
      </c>
      <c r="X213" s="18" t="s">
        <v>10803</v>
      </c>
      <c r="Y213" s="18" t="s">
        <v>880</v>
      </c>
      <c r="Z213" s="18" t="s">
        <v>881</v>
      </c>
      <c r="AA213" s="18" t="s">
        <v>880</v>
      </c>
      <c r="AB213" s="18" t="s">
        <v>881</v>
      </c>
      <c r="AC213" s="18" t="s">
        <v>7984</v>
      </c>
      <c r="AD213" s="18" t="s">
        <v>10804</v>
      </c>
      <c r="AE213" s="18" t="s">
        <v>80</v>
      </c>
      <c r="AF213" s="18" t="s">
        <v>95</v>
      </c>
      <c r="AG213" s="18" t="s">
        <v>83</v>
      </c>
      <c r="AH213" s="18" t="s">
        <v>83</v>
      </c>
      <c r="AI213" s="18" t="s">
        <v>81</v>
      </c>
      <c r="AJ213" s="18" t="s">
        <v>118</v>
      </c>
      <c r="AK213" s="18" t="s">
        <v>95</v>
      </c>
      <c r="AL213" s="18" t="s">
        <v>12377</v>
      </c>
      <c r="AM213" s="18" t="s">
        <v>85</v>
      </c>
      <c r="AN213" s="18" t="s">
        <v>7031</v>
      </c>
      <c r="AO213" s="18" t="s">
        <v>86</v>
      </c>
      <c r="AP213" s="18" t="s">
        <v>90</v>
      </c>
      <c r="AQ213" s="18" t="s">
        <v>8106</v>
      </c>
      <c r="AR213" s="18" t="s">
        <v>91</v>
      </c>
      <c r="AS213" s="18" t="s">
        <v>92</v>
      </c>
      <c r="AT213" s="18" t="s">
        <v>95</v>
      </c>
      <c r="AU213" s="18" t="s">
        <v>95</v>
      </c>
      <c r="AV213" s="18" t="s">
        <v>7029</v>
      </c>
      <c r="AW213" s="18" t="s">
        <v>95</v>
      </c>
      <c r="AX213" s="18" t="s">
        <v>10806</v>
      </c>
      <c r="AY213" s="18" t="s">
        <v>95</v>
      </c>
      <c r="AZ213" s="18" t="s">
        <v>95</v>
      </c>
      <c r="BA213" s="18" t="s">
        <v>95</v>
      </c>
      <c r="BB213" s="18" t="s">
        <v>95</v>
      </c>
      <c r="BC213" s="18" t="s">
        <v>95</v>
      </c>
      <c r="BD213" s="18" t="s">
        <v>10829</v>
      </c>
      <c r="BE213" s="18" t="s">
        <v>12521</v>
      </c>
      <c r="BF213" s="18" t="s">
        <v>7029</v>
      </c>
      <c r="BG213" s="18" t="s">
        <v>7030</v>
      </c>
      <c r="BH213" s="18"/>
      <c r="BI213" s="18"/>
      <c r="BJ213" s="18" t="s">
        <v>880</v>
      </c>
      <c r="BK213" s="18" t="s">
        <v>12522</v>
      </c>
      <c r="BL213" s="18" t="s">
        <v>10811</v>
      </c>
      <c r="BM213" s="18" t="s">
        <v>92</v>
      </c>
      <c r="BN213" s="18" t="s">
        <v>85</v>
      </c>
      <c r="BO213" s="18">
        <v>1</v>
      </c>
      <c r="BP213" s="18" t="s">
        <v>10812</v>
      </c>
      <c r="BQ213" s="18" t="str">
        <f>VLOOKUP(Prepago[[#This Row],[NOM_PLAZA]],[1]!Locales[#Data],3,0)</f>
        <v>TIENDA CUENCA CENTRO</v>
      </c>
      <c r="BR213" s="18" t="str">
        <f>VLOOKUP(Prepago[[#This Row],[CODIGO_USUARIO]],[1]!Personal[#Data],6,0)</f>
        <v>LUNA JACHO ANDREA GABRIELA</v>
      </c>
      <c r="BS213" s="18">
        <f>DAY(Prepago[[#This Row],[FECHA_ALTA]])</f>
        <v>1</v>
      </c>
    </row>
    <row r="214" spans="1:71" x14ac:dyDescent="0.25">
      <c r="A214" s="18" t="s">
        <v>96</v>
      </c>
      <c r="B214" s="18" t="s">
        <v>12523</v>
      </c>
      <c r="C214" s="18" t="s">
        <v>12524</v>
      </c>
      <c r="D214" s="18" t="s">
        <v>12525</v>
      </c>
      <c r="E214" s="22">
        <v>44907</v>
      </c>
      <c r="F214" s="18" t="s">
        <v>67</v>
      </c>
      <c r="G214" s="18" t="s">
        <v>12526</v>
      </c>
      <c r="H214" s="18" t="s">
        <v>12527</v>
      </c>
      <c r="I214" s="18" t="s">
        <v>70</v>
      </c>
      <c r="J214" s="18" t="s">
        <v>8102</v>
      </c>
      <c r="K214" s="18" t="s">
        <v>8103</v>
      </c>
      <c r="L214" s="18" t="s">
        <v>73</v>
      </c>
      <c r="M214" s="18" t="s">
        <v>7029</v>
      </c>
      <c r="N214" s="18" t="s">
        <v>12528</v>
      </c>
      <c r="O214" s="18" t="s">
        <v>75</v>
      </c>
      <c r="P214" s="18" t="s">
        <v>12529</v>
      </c>
      <c r="Q214" s="18" t="s">
        <v>10817</v>
      </c>
      <c r="R214" s="18" t="s">
        <v>78</v>
      </c>
      <c r="S214" s="18" t="s">
        <v>77</v>
      </c>
      <c r="T214" s="22">
        <v>44915</v>
      </c>
      <c r="U214" s="18"/>
      <c r="V214" s="18" t="s">
        <v>81</v>
      </c>
      <c r="W214" s="18" t="s">
        <v>79</v>
      </c>
      <c r="X214" s="18" t="s">
        <v>10803</v>
      </c>
      <c r="Y214" s="18" t="s">
        <v>289</v>
      </c>
      <c r="Z214" s="18" t="s">
        <v>290</v>
      </c>
      <c r="AA214" s="18" t="s">
        <v>289</v>
      </c>
      <c r="AB214" s="18" t="s">
        <v>290</v>
      </c>
      <c r="AC214" s="18" t="s">
        <v>7984</v>
      </c>
      <c r="AD214" s="18" t="s">
        <v>10804</v>
      </c>
      <c r="AE214" s="18" t="s">
        <v>80</v>
      </c>
      <c r="AF214" s="18" t="s">
        <v>95</v>
      </c>
      <c r="AG214" s="18" t="s">
        <v>83</v>
      </c>
      <c r="AH214" s="18" t="s">
        <v>83</v>
      </c>
      <c r="AI214" s="18" t="s">
        <v>81</v>
      </c>
      <c r="AJ214" s="18" t="s">
        <v>118</v>
      </c>
      <c r="AK214" s="18" t="s">
        <v>95</v>
      </c>
      <c r="AL214" s="18" t="s">
        <v>12396</v>
      </c>
      <c r="AM214" s="18" t="s">
        <v>85</v>
      </c>
      <c r="AN214" s="18" t="s">
        <v>7031</v>
      </c>
      <c r="AO214" s="18" t="s">
        <v>86</v>
      </c>
      <c r="AP214" s="18" t="s">
        <v>90</v>
      </c>
      <c r="AQ214" s="18" t="s">
        <v>8106</v>
      </c>
      <c r="AR214" s="18" t="s">
        <v>91</v>
      </c>
      <c r="AS214" s="18" t="s">
        <v>92</v>
      </c>
      <c r="AT214" s="18" t="s">
        <v>95</v>
      </c>
      <c r="AU214" s="18" t="s">
        <v>95</v>
      </c>
      <c r="AV214" s="18" t="s">
        <v>7029</v>
      </c>
      <c r="AW214" s="18" t="s">
        <v>95</v>
      </c>
      <c r="AX214" s="18" t="s">
        <v>10806</v>
      </c>
      <c r="AY214" s="18" t="s">
        <v>95</v>
      </c>
      <c r="AZ214" s="18" t="s">
        <v>95</v>
      </c>
      <c r="BA214" s="18" t="s">
        <v>95</v>
      </c>
      <c r="BB214" s="18" t="s">
        <v>95</v>
      </c>
      <c r="BC214" s="18" t="s">
        <v>95</v>
      </c>
      <c r="BD214" s="18" t="s">
        <v>10829</v>
      </c>
      <c r="BE214" s="18" t="s">
        <v>12530</v>
      </c>
      <c r="BF214" s="18" t="s">
        <v>10809</v>
      </c>
      <c r="BG214" s="18" t="s">
        <v>7030</v>
      </c>
      <c r="BH214" s="18"/>
      <c r="BI214" s="18"/>
      <c r="BJ214" s="18" t="s">
        <v>289</v>
      </c>
      <c r="BK214" s="18" t="s">
        <v>12531</v>
      </c>
      <c r="BL214" s="18" t="s">
        <v>10811</v>
      </c>
      <c r="BM214" s="18" t="s">
        <v>92</v>
      </c>
      <c r="BN214" s="18" t="s">
        <v>85</v>
      </c>
      <c r="BO214" s="18">
        <v>0</v>
      </c>
      <c r="BP214" s="18" t="s">
        <v>10812</v>
      </c>
      <c r="BQ214" s="18" t="str">
        <f>VLOOKUP(Prepago[[#This Row],[NOM_PLAZA]],[1]!Locales[#Data],3,0)</f>
        <v>TIENDA CUENCA CENTRO</v>
      </c>
      <c r="BR214" s="18" t="str">
        <f>VLOOKUP(Prepago[[#This Row],[CODIGO_USUARIO]],[1]!Personal[#Data],6,0)</f>
        <v>CALLE CHACA JORGE VINICIO</v>
      </c>
      <c r="BS214" s="18">
        <f>DAY(Prepago[[#This Row],[FECHA_ALTA]])</f>
        <v>12</v>
      </c>
    </row>
    <row r="215" spans="1:71" x14ac:dyDescent="0.25">
      <c r="A215" s="18" t="s">
        <v>96</v>
      </c>
      <c r="B215" s="18" t="s">
        <v>12532</v>
      </c>
      <c r="C215" s="18" t="s">
        <v>12533</v>
      </c>
      <c r="D215" s="18" t="s">
        <v>12534</v>
      </c>
      <c r="E215" s="22">
        <v>44909</v>
      </c>
      <c r="F215" s="18" t="s">
        <v>67</v>
      </c>
      <c r="G215" s="18" t="s">
        <v>12535</v>
      </c>
      <c r="H215" s="18" t="s">
        <v>12536</v>
      </c>
      <c r="I215" s="18" t="s">
        <v>70</v>
      </c>
      <c r="J215" s="18" t="s">
        <v>8102</v>
      </c>
      <c r="K215" s="18" t="s">
        <v>8103</v>
      </c>
      <c r="L215" s="18" t="s">
        <v>73</v>
      </c>
      <c r="M215" s="18" t="s">
        <v>7029</v>
      </c>
      <c r="N215" s="18" t="s">
        <v>12537</v>
      </c>
      <c r="O215" s="18" t="s">
        <v>75</v>
      </c>
      <c r="P215" s="18" t="s">
        <v>12538</v>
      </c>
      <c r="Q215" s="18" t="s">
        <v>10817</v>
      </c>
      <c r="R215" s="18" t="s">
        <v>78</v>
      </c>
      <c r="S215" s="18" t="s">
        <v>77</v>
      </c>
      <c r="T215" s="22">
        <v>44915</v>
      </c>
      <c r="U215" s="18"/>
      <c r="V215" s="18" t="s">
        <v>81</v>
      </c>
      <c r="W215" s="18" t="s">
        <v>79</v>
      </c>
      <c r="X215" s="18" t="s">
        <v>10803</v>
      </c>
      <c r="Y215" s="18" t="s">
        <v>1020</v>
      </c>
      <c r="Z215" s="18" t="s">
        <v>1021</v>
      </c>
      <c r="AA215" s="18" t="s">
        <v>1020</v>
      </c>
      <c r="AB215" s="18" t="s">
        <v>1021</v>
      </c>
      <c r="AC215" s="18" t="s">
        <v>7984</v>
      </c>
      <c r="AD215" s="18" t="s">
        <v>10804</v>
      </c>
      <c r="AE215" s="18" t="s">
        <v>80</v>
      </c>
      <c r="AF215" s="18" t="s">
        <v>95</v>
      </c>
      <c r="AG215" s="18" t="s">
        <v>83</v>
      </c>
      <c r="AH215" s="18" t="s">
        <v>83</v>
      </c>
      <c r="AI215" s="18" t="s">
        <v>81</v>
      </c>
      <c r="AJ215" s="18" t="s">
        <v>118</v>
      </c>
      <c r="AK215" s="18" t="s">
        <v>95</v>
      </c>
      <c r="AL215" s="18" t="s">
        <v>12458</v>
      </c>
      <c r="AM215" s="18" t="s">
        <v>85</v>
      </c>
      <c r="AN215" s="18" t="s">
        <v>7031</v>
      </c>
      <c r="AO215" s="18" t="s">
        <v>86</v>
      </c>
      <c r="AP215" s="18" t="s">
        <v>90</v>
      </c>
      <c r="AQ215" s="18" t="s">
        <v>8106</v>
      </c>
      <c r="AR215" s="18" t="s">
        <v>91</v>
      </c>
      <c r="AS215" s="18" t="s">
        <v>92</v>
      </c>
      <c r="AT215" s="18" t="s">
        <v>95</v>
      </c>
      <c r="AU215" s="18" t="s">
        <v>95</v>
      </c>
      <c r="AV215" s="18" t="s">
        <v>7029</v>
      </c>
      <c r="AW215" s="18" t="s">
        <v>95</v>
      </c>
      <c r="AX215" s="18" t="s">
        <v>10806</v>
      </c>
      <c r="AY215" s="18" t="s">
        <v>95</v>
      </c>
      <c r="AZ215" s="18" t="s">
        <v>95</v>
      </c>
      <c r="BA215" s="18" t="s">
        <v>95</v>
      </c>
      <c r="BB215" s="18" t="s">
        <v>95</v>
      </c>
      <c r="BC215" s="18" t="s">
        <v>95</v>
      </c>
      <c r="BD215" s="18" t="s">
        <v>10829</v>
      </c>
      <c r="BE215" s="18" t="s">
        <v>12539</v>
      </c>
      <c r="BF215" s="18" t="s">
        <v>10809</v>
      </c>
      <c r="BG215" s="18" t="s">
        <v>7030</v>
      </c>
      <c r="BH215" s="18"/>
      <c r="BI215" s="18"/>
      <c r="BJ215" s="18" t="s">
        <v>1020</v>
      </c>
      <c r="BK215" s="18" t="s">
        <v>12540</v>
      </c>
      <c r="BL215" s="18" t="s">
        <v>10811</v>
      </c>
      <c r="BM215" s="18" t="s">
        <v>92</v>
      </c>
      <c r="BN215" s="18" t="s">
        <v>85</v>
      </c>
      <c r="BO215" s="18">
        <v>0</v>
      </c>
      <c r="BP215" s="18" t="s">
        <v>10812</v>
      </c>
      <c r="BQ215" s="18" t="str">
        <f>VLOOKUP(Prepago[[#This Row],[NOM_PLAZA]],[1]!Locales[#Data],3,0)</f>
        <v>TIENDA CUENCA CENTRO</v>
      </c>
      <c r="BR215" s="18" t="str">
        <f>VLOOKUP(Prepago[[#This Row],[CODIGO_USUARIO]],[1]!Personal[#Data],6,0)</f>
        <v>GONZALES ALVARRACIN PAOLA YESSENIA</v>
      </c>
      <c r="BS215" s="18">
        <f>DAY(Prepago[[#This Row],[FECHA_ALTA]])</f>
        <v>14</v>
      </c>
    </row>
    <row r="216" spans="1:71" x14ac:dyDescent="0.25">
      <c r="A216" s="18" t="s">
        <v>96</v>
      </c>
      <c r="B216" s="18" t="s">
        <v>12541</v>
      </c>
      <c r="C216" s="18" t="s">
        <v>12542</v>
      </c>
      <c r="D216" s="18" t="s">
        <v>12543</v>
      </c>
      <c r="E216" s="22">
        <v>44903</v>
      </c>
      <c r="F216" s="18" t="s">
        <v>67</v>
      </c>
      <c r="G216" s="18" t="s">
        <v>12544</v>
      </c>
      <c r="H216" s="18" t="s">
        <v>12545</v>
      </c>
      <c r="I216" s="18" t="s">
        <v>70</v>
      </c>
      <c r="J216" s="18" t="s">
        <v>8102</v>
      </c>
      <c r="K216" s="18" t="s">
        <v>8103</v>
      </c>
      <c r="L216" s="18" t="s">
        <v>73</v>
      </c>
      <c r="M216" s="18" t="s">
        <v>7029</v>
      </c>
      <c r="N216" s="18" t="s">
        <v>12546</v>
      </c>
      <c r="O216" s="18" t="s">
        <v>75</v>
      </c>
      <c r="P216" s="18" t="s">
        <v>12547</v>
      </c>
      <c r="Q216" s="18" t="s">
        <v>10817</v>
      </c>
      <c r="R216" s="18" t="s">
        <v>78</v>
      </c>
      <c r="S216" s="18" t="s">
        <v>77</v>
      </c>
      <c r="T216" s="22">
        <v>44915</v>
      </c>
      <c r="U216" s="18"/>
      <c r="V216" s="18" t="s">
        <v>81</v>
      </c>
      <c r="W216" s="18" t="s">
        <v>79</v>
      </c>
      <c r="X216" s="18" t="s">
        <v>10803</v>
      </c>
      <c r="Y216" s="18" t="s">
        <v>289</v>
      </c>
      <c r="Z216" s="18" t="s">
        <v>290</v>
      </c>
      <c r="AA216" s="18" t="s">
        <v>1020</v>
      </c>
      <c r="AB216" s="18" t="s">
        <v>1021</v>
      </c>
      <c r="AC216" s="18" t="s">
        <v>7984</v>
      </c>
      <c r="AD216" s="18" t="s">
        <v>10804</v>
      </c>
      <c r="AE216" s="18" t="s">
        <v>80</v>
      </c>
      <c r="AF216" s="18" t="s">
        <v>95</v>
      </c>
      <c r="AG216" s="18" t="s">
        <v>83</v>
      </c>
      <c r="AH216" s="18" t="s">
        <v>83</v>
      </c>
      <c r="AI216" s="18" t="s">
        <v>81</v>
      </c>
      <c r="AJ216" s="18" t="s">
        <v>118</v>
      </c>
      <c r="AK216" s="18" t="s">
        <v>95</v>
      </c>
      <c r="AL216" s="18" t="s">
        <v>12396</v>
      </c>
      <c r="AM216" s="18" t="s">
        <v>85</v>
      </c>
      <c r="AN216" s="18" t="s">
        <v>7031</v>
      </c>
      <c r="AO216" s="18" t="s">
        <v>86</v>
      </c>
      <c r="AP216" s="18" t="s">
        <v>90</v>
      </c>
      <c r="AQ216" s="18" t="s">
        <v>8106</v>
      </c>
      <c r="AR216" s="18" t="s">
        <v>91</v>
      </c>
      <c r="AS216" s="18" t="s">
        <v>92</v>
      </c>
      <c r="AT216" s="18" t="s">
        <v>95</v>
      </c>
      <c r="AU216" s="18" t="s">
        <v>95</v>
      </c>
      <c r="AV216" s="18" t="s">
        <v>7029</v>
      </c>
      <c r="AW216" s="18" t="s">
        <v>95</v>
      </c>
      <c r="AX216" s="18" t="s">
        <v>10806</v>
      </c>
      <c r="AY216" s="18" t="s">
        <v>95</v>
      </c>
      <c r="AZ216" s="18" t="s">
        <v>95</v>
      </c>
      <c r="BA216" s="18" t="s">
        <v>95</v>
      </c>
      <c r="BB216" s="18" t="s">
        <v>95</v>
      </c>
      <c r="BC216" s="18" t="s">
        <v>95</v>
      </c>
      <c r="BD216" s="18" t="s">
        <v>10829</v>
      </c>
      <c r="BE216" s="18" t="s">
        <v>12548</v>
      </c>
      <c r="BF216" s="18" t="s">
        <v>10809</v>
      </c>
      <c r="BG216" s="18" t="s">
        <v>7030</v>
      </c>
      <c r="BH216" s="18"/>
      <c r="BI216" s="18"/>
      <c r="BJ216" s="18" t="s">
        <v>289</v>
      </c>
      <c r="BK216" s="18" t="s">
        <v>12549</v>
      </c>
      <c r="BL216" s="18" t="s">
        <v>10811</v>
      </c>
      <c r="BM216" s="18" t="s">
        <v>92</v>
      </c>
      <c r="BN216" s="18" t="s">
        <v>85</v>
      </c>
      <c r="BO216" s="18">
        <v>0</v>
      </c>
      <c r="BP216" s="18" t="s">
        <v>10812</v>
      </c>
      <c r="BQ216" s="18" t="str">
        <f>VLOOKUP(Prepago[[#This Row],[NOM_PLAZA]],[1]!Locales[#Data],3,0)</f>
        <v>TIENDA CUENCA CENTRO</v>
      </c>
      <c r="BR216" s="18" t="str">
        <f>VLOOKUP(Prepago[[#This Row],[CODIGO_USUARIO]],[1]!Personal[#Data],6,0)</f>
        <v>CALLE CHACA JORGE VINICIO</v>
      </c>
      <c r="BS216" s="18">
        <f>DAY(Prepago[[#This Row],[FECHA_ALTA]])</f>
        <v>8</v>
      </c>
    </row>
    <row r="217" spans="1:71" x14ac:dyDescent="0.25">
      <c r="A217" s="18" t="s">
        <v>96</v>
      </c>
      <c r="B217" s="18" t="s">
        <v>12550</v>
      </c>
      <c r="C217" s="18" t="s">
        <v>12551</v>
      </c>
      <c r="D217" s="18" t="s">
        <v>12552</v>
      </c>
      <c r="E217" s="22">
        <v>44897</v>
      </c>
      <c r="F217" s="18" t="s">
        <v>67</v>
      </c>
      <c r="G217" s="18" t="s">
        <v>12553</v>
      </c>
      <c r="H217" s="18" t="s">
        <v>12554</v>
      </c>
      <c r="I217" s="18" t="s">
        <v>70</v>
      </c>
      <c r="J217" s="18" t="s">
        <v>8102</v>
      </c>
      <c r="K217" s="18" t="s">
        <v>8103</v>
      </c>
      <c r="L217" s="18" t="s">
        <v>73</v>
      </c>
      <c r="M217" s="18" t="s">
        <v>7029</v>
      </c>
      <c r="N217" s="18" t="s">
        <v>12555</v>
      </c>
      <c r="O217" s="18" t="s">
        <v>75</v>
      </c>
      <c r="P217" s="18" t="s">
        <v>12556</v>
      </c>
      <c r="Q217" s="18" t="s">
        <v>231</v>
      </c>
      <c r="R217" s="18" t="s">
        <v>78</v>
      </c>
      <c r="S217" s="18" t="s">
        <v>231</v>
      </c>
      <c r="T217" s="22">
        <v>44915</v>
      </c>
      <c r="U217" s="18"/>
      <c r="V217" s="18" t="s">
        <v>81</v>
      </c>
      <c r="W217" s="18" t="s">
        <v>79</v>
      </c>
      <c r="X217" s="18" t="s">
        <v>10803</v>
      </c>
      <c r="Y217" s="18" t="s">
        <v>289</v>
      </c>
      <c r="Z217" s="18" t="s">
        <v>290</v>
      </c>
      <c r="AA217" s="18" t="s">
        <v>289</v>
      </c>
      <c r="AB217" s="18" t="s">
        <v>290</v>
      </c>
      <c r="AC217" s="18" t="s">
        <v>7984</v>
      </c>
      <c r="AD217" s="18" t="s">
        <v>10804</v>
      </c>
      <c r="AE217" s="18" t="s">
        <v>80</v>
      </c>
      <c r="AF217" s="18" t="s">
        <v>95</v>
      </c>
      <c r="AG217" s="18" t="s">
        <v>83</v>
      </c>
      <c r="AH217" s="18" t="s">
        <v>83</v>
      </c>
      <c r="AI217" s="18" t="s">
        <v>81</v>
      </c>
      <c r="AJ217" s="18" t="s">
        <v>118</v>
      </c>
      <c r="AK217" s="18" t="s">
        <v>95</v>
      </c>
      <c r="AL217" s="18" t="s">
        <v>12396</v>
      </c>
      <c r="AM217" s="18" t="s">
        <v>85</v>
      </c>
      <c r="AN217" s="18" t="s">
        <v>7031</v>
      </c>
      <c r="AO217" s="18" t="s">
        <v>86</v>
      </c>
      <c r="AP217" s="18" t="s">
        <v>90</v>
      </c>
      <c r="AQ217" s="18" t="s">
        <v>8106</v>
      </c>
      <c r="AR217" s="18" t="s">
        <v>91</v>
      </c>
      <c r="AS217" s="18" t="s">
        <v>92</v>
      </c>
      <c r="AT217" s="18" t="s">
        <v>95</v>
      </c>
      <c r="AU217" s="18" t="s">
        <v>95</v>
      </c>
      <c r="AV217" s="18" t="s">
        <v>7029</v>
      </c>
      <c r="AW217" s="18" t="s">
        <v>95</v>
      </c>
      <c r="AX217" s="18" t="s">
        <v>10806</v>
      </c>
      <c r="AY217" s="18" t="s">
        <v>95</v>
      </c>
      <c r="AZ217" s="18" t="s">
        <v>95</v>
      </c>
      <c r="BA217" s="18" t="s">
        <v>95</v>
      </c>
      <c r="BB217" s="18" t="s">
        <v>95</v>
      </c>
      <c r="BC217" s="18" t="s">
        <v>95</v>
      </c>
      <c r="BD217" s="18" t="s">
        <v>10829</v>
      </c>
      <c r="BE217" s="18" t="s">
        <v>12557</v>
      </c>
      <c r="BF217" s="18" t="s">
        <v>7029</v>
      </c>
      <c r="BG217" s="18" t="s">
        <v>7030</v>
      </c>
      <c r="BH217" s="18"/>
      <c r="BI217" s="18"/>
      <c r="BJ217" s="18" t="s">
        <v>289</v>
      </c>
      <c r="BK217" s="18" t="s">
        <v>12558</v>
      </c>
      <c r="BL217" s="18" t="s">
        <v>10811</v>
      </c>
      <c r="BM217" s="18" t="s">
        <v>92</v>
      </c>
      <c r="BN217" s="18" t="s">
        <v>85</v>
      </c>
      <c r="BO217" s="18">
        <v>0</v>
      </c>
      <c r="BP217" s="18" t="s">
        <v>10812</v>
      </c>
      <c r="BQ217" s="18" t="str">
        <f>VLOOKUP(Prepago[[#This Row],[NOM_PLAZA]],[1]!Locales[#Data],3,0)</f>
        <v>TIENDA CUENCA CENTRO</v>
      </c>
      <c r="BR217" s="18" t="str">
        <f>VLOOKUP(Prepago[[#This Row],[CODIGO_USUARIO]],[1]!Personal[#Data],6,0)</f>
        <v>CALLE CHACA JORGE VINICIO</v>
      </c>
      <c r="BS217" s="18">
        <f>DAY(Prepago[[#This Row],[FECHA_ALTA]])</f>
        <v>2</v>
      </c>
    </row>
    <row r="218" spans="1:71" x14ac:dyDescent="0.25">
      <c r="A218" s="18" t="s">
        <v>96</v>
      </c>
      <c r="B218" s="18" t="s">
        <v>12559</v>
      </c>
      <c r="C218" s="18" t="s">
        <v>12560</v>
      </c>
      <c r="D218" s="18" t="s">
        <v>12561</v>
      </c>
      <c r="E218" s="22">
        <v>44905</v>
      </c>
      <c r="F218" s="18" t="s">
        <v>67</v>
      </c>
      <c r="G218" s="18" t="s">
        <v>12562</v>
      </c>
      <c r="H218" s="18" t="s">
        <v>12563</v>
      </c>
      <c r="I218" s="18" t="s">
        <v>70</v>
      </c>
      <c r="J218" s="18" t="s">
        <v>8102</v>
      </c>
      <c r="K218" s="18" t="s">
        <v>8103</v>
      </c>
      <c r="L218" s="18" t="s">
        <v>73</v>
      </c>
      <c r="M218" s="18" t="s">
        <v>7029</v>
      </c>
      <c r="N218" s="18" t="s">
        <v>12564</v>
      </c>
      <c r="O218" s="18" t="s">
        <v>75</v>
      </c>
      <c r="P218" s="18" t="s">
        <v>12565</v>
      </c>
      <c r="Q218" s="18" t="s">
        <v>1532</v>
      </c>
      <c r="R218" s="18" t="s">
        <v>78</v>
      </c>
      <c r="S218" s="18" t="s">
        <v>77</v>
      </c>
      <c r="T218" s="22">
        <v>44915</v>
      </c>
      <c r="U218" s="18"/>
      <c r="V218" s="18" t="s">
        <v>81</v>
      </c>
      <c r="W218" s="18" t="s">
        <v>79</v>
      </c>
      <c r="X218" s="18" t="s">
        <v>10803</v>
      </c>
      <c r="Y218" s="18" t="s">
        <v>880</v>
      </c>
      <c r="Z218" s="18" t="s">
        <v>881</v>
      </c>
      <c r="AA218" s="18" t="s">
        <v>880</v>
      </c>
      <c r="AB218" s="18" t="s">
        <v>881</v>
      </c>
      <c r="AC218" s="18" t="s">
        <v>7984</v>
      </c>
      <c r="AD218" s="18" t="s">
        <v>10804</v>
      </c>
      <c r="AE218" s="18" t="s">
        <v>80</v>
      </c>
      <c r="AF218" s="18" t="s">
        <v>95</v>
      </c>
      <c r="AG218" s="18" t="s">
        <v>83</v>
      </c>
      <c r="AH218" s="18" t="s">
        <v>83</v>
      </c>
      <c r="AI218" s="18" t="s">
        <v>81</v>
      </c>
      <c r="AJ218" s="18" t="s">
        <v>118</v>
      </c>
      <c r="AK218" s="18" t="s">
        <v>95</v>
      </c>
      <c r="AL218" s="18" t="s">
        <v>12377</v>
      </c>
      <c r="AM218" s="18" t="s">
        <v>85</v>
      </c>
      <c r="AN218" s="18" t="s">
        <v>7031</v>
      </c>
      <c r="AO218" s="18" t="s">
        <v>86</v>
      </c>
      <c r="AP218" s="18" t="s">
        <v>90</v>
      </c>
      <c r="AQ218" s="18" t="s">
        <v>8106</v>
      </c>
      <c r="AR218" s="18" t="s">
        <v>91</v>
      </c>
      <c r="AS218" s="18" t="s">
        <v>92</v>
      </c>
      <c r="AT218" s="18" t="s">
        <v>95</v>
      </c>
      <c r="AU218" s="18" t="s">
        <v>95</v>
      </c>
      <c r="AV218" s="18" t="s">
        <v>7029</v>
      </c>
      <c r="AW218" s="18" t="s">
        <v>95</v>
      </c>
      <c r="AX218" s="18" t="s">
        <v>10806</v>
      </c>
      <c r="AY218" s="18" t="s">
        <v>95</v>
      </c>
      <c r="AZ218" s="18" t="s">
        <v>95</v>
      </c>
      <c r="BA218" s="18" t="s">
        <v>95</v>
      </c>
      <c r="BB218" s="18" t="s">
        <v>95</v>
      </c>
      <c r="BC218" s="18" t="s">
        <v>95</v>
      </c>
      <c r="BD218" s="18" t="s">
        <v>10807</v>
      </c>
      <c r="BE218" s="18" t="s">
        <v>10808</v>
      </c>
      <c r="BF218" s="18" t="s">
        <v>10809</v>
      </c>
      <c r="BG218" s="18" t="s">
        <v>7030</v>
      </c>
      <c r="BH218" s="18"/>
      <c r="BI218" s="18"/>
      <c r="BJ218" s="18" t="s">
        <v>880</v>
      </c>
      <c r="BK218" s="18" t="s">
        <v>12566</v>
      </c>
      <c r="BL218" s="18" t="s">
        <v>10811</v>
      </c>
      <c r="BM218" s="18" t="s">
        <v>92</v>
      </c>
      <c r="BN218" s="18" t="s">
        <v>85</v>
      </c>
      <c r="BO218" s="18">
        <v>0</v>
      </c>
      <c r="BP218" s="18" t="s">
        <v>10812</v>
      </c>
      <c r="BQ218" s="18" t="str">
        <f>VLOOKUP(Prepago[[#This Row],[NOM_PLAZA]],[1]!Locales[#Data],3,0)</f>
        <v>TIENDA CUENCA CENTRO</v>
      </c>
      <c r="BR218" s="18" t="str">
        <f>VLOOKUP(Prepago[[#This Row],[CODIGO_USUARIO]],[1]!Personal[#Data],6,0)</f>
        <v>LUNA JACHO ANDREA GABRIELA</v>
      </c>
      <c r="BS218" s="18">
        <f>DAY(Prepago[[#This Row],[FECHA_ALTA]])</f>
        <v>10</v>
      </c>
    </row>
    <row r="219" spans="1:71" x14ac:dyDescent="0.25">
      <c r="A219" s="18" t="s">
        <v>96</v>
      </c>
      <c r="B219" s="18" t="s">
        <v>12567</v>
      </c>
      <c r="C219" s="18" t="s">
        <v>12568</v>
      </c>
      <c r="D219" s="18" t="s">
        <v>12569</v>
      </c>
      <c r="E219" s="22">
        <v>44907</v>
      </c>
      <c r="F219" s="18" t="s">
        <v>67</v>
      </c>
      <c r="G219" s="18" t="s">
        <v>12570</v>
      </c>
      <c r="H219" s="18" t="s">
        <v>12571</v>
      </c>
      <c r="I219" s="18" t="s">
        <v>70</v>
      </c>
      <c r="J219" s="18" t="s">
        <v>8102</v>
      </c>
      <c r="K219" s="18" t="s">
        <v>8103</v>
      </c>
      <c r="L219" s="18" t="s">
        <v>73</v>
      </c>
      <c r="M219" s="18" t="s">
        <v>7029</v>
      </c>
      <c r="N219" s="18" t="s">
        <v>12572</v>
      </c>
      <c r="O219" s="18" t="s">
        <v>75</v>
      </c>
      <c r="P219" s="18" t="s">
        <v>12573</v>
      </c>
      <c r="Q219" s="18" t="s">
        <v>10817</v>
      </c>
      <c r="R219" s="18" t="s">
        <v>78</v>
      </c>
      <c r="S219" s="18" t="s">
        <v>77</v>
      </c>
      <c r="T219" s="22">
        <v>44915</v>
      </c>
      <c r="U219" s="18"/>
      <c r="V219" s="18" t="s">
        <v>81</v>
      </c>
      <c r="W219" s="18" t="s">
        <v>79</v>
      </c>
      <c r="X219" s="18" t="s">
        <v>10803</v>
      </c>
      <c r="Y219" s="18" t="s">
        <v>1415</v>
      </c>
      <c r="Z219" s="18" t="s">
        <v>1416</v>
      </c>
      <c r="AA219" s="18" t="s">
        <v>1415</v>
      </c>
      <c r="AB219" s="18" t="s">
        <v>1416</v>
      </c>
      <c r="AC219" s="18" t="s">
        <v>7984</v>
      </c>
      <c r="AD219" s="18" t="s">
        <v>10804</v>
      </c>
      <c r="AE219" s="18" t="s">
        <v>80</v>
      </c>
      <c r="AF219" s="18" t="s">
        <v>95</v>
      </c>
      <c r="AG219" s="18" t="s">
        <v>83</v>
      </c>
      <c r="AH219" s="18" t="s">
        <v>83</v>
      </c>
      <c r="AI219" s="18" t="s">
        <v>81</v>
      </c>
      <c r="AJ219" s="18" t="s">
        <v>118</v>
      </c>
      <c r="AK219" s="18" t="s">
        <v>95</v>
      </c>
      <c r="AL219" s="18" t="s">
        <v>10746</v>
      </c>
      <c r="AM219" s="18" t="s">
        <v>85</v>
      </c>
      <c r="AN219" s="18" t="s">
        <v>7031</v>
      </c>
      <c r="AO219" s="18" t="s">
        <v>86</v>
      </c>
      <c r="AP219" s="18" t="s">
        <v>90</v>
      </c>
      <c r="AQ219" s="18" t="s">
        <v>8106</v>
      </c>
      <c r="AR219" s="18" t="s">
        <v>91</v>
      </c>
      <c r="AS219" s="18" t="s">
        <v>92</v>
      </c>
      <c r="AT219" s="18" t="s">
        <v>95</v>
      </c>
      <c r="AU219" s="18" t="s">
        <v>95</v>
      </c>
      <c r="AV219" s="18" t="s">
        <v>7029</v>
      </c>
      <c r="AW219" s="18" t="s">
        <v>95</v>
      </c>
      <c r="AX219" s="18" t="s">
        <v>10806</v>
      </c>
      <c r="AY219" s="18" t="s">
        <v>95</v>
      </c>
      <c r="AZ219" s="18" t="s">
        <v>95</v>
      </c>
      <c r="BA219" s="18" t="s">
        <v>95</v>
      </c>
      <c r="BB219" s="18" t="s">
        <v>95</v>
      </c>
      <c r="BC219" s="18" t="s">
        <v>95</v>
      </c>
      <c r="BD219" s="18" t="s">
        <v>10829</v>
      </c>
      <c r="BE219" s="18" t="s">
        <v>12574</v>
      </c>
      <c r="BF219" s="18" t="s">
        <v>10809</v>
      </c>
      <c r="BG219" s="18" t="s">
        <v>7030</v>
      </c>
      <c r="BH219" s="18"/>
      <c r="BI219" s="18"/>
      <c r="BJ219" s="18" t="s">
        <v>1415</v>
      </c>
      <c r="BK219" s="18" t="s">
        <v>12575</v>
      </c>
      <c r="BL219" s="18" t="s">
        <v>10811</v>
      </c>
      <c r="BM219" s="18" t="s">
        <v>92</v>
      </c>
      <c r="BN219" s="18" t="s">
        <v>85</v>
      </c>
      <c r="BO219" s="18">
        <v>1</v>
      </c>
      <c r="BP219" s="18" t="s">
        <v>10812</v>
      </c>
      <c r="BQ219" s="18" t="str">
        <f>VLOOKUP(Prepago[[#This Row],[NOM_PLAZA]],[1]!Locales[#Data],3,0)</f>
        <v>TIENDA CUENCA CENTRO</v>
      </c>
      <c r="BR219" s="18" t="str">
        <f>VLOOKUP(Prepago[[#This Row],[CODIGO_USUARIO]],[1]!Personal[#Data],6,0)</f>
        <v>PATIÑO URGILES DIANA CATALINA</v>
      </c>
      <c r="BS219" s="18">
        <f>DAY(Prepago[[#This Row],[FECHA_ALTA]])</f>
        <v>12</v>
      </c>
    </row>
    <row r="220" spans="1:71" x14ac:dyDescent="0.25">
      <c r="A220" s="18" t="s">
        <v>96</v>
      </c>
      <c r="B220" s="18" t="s">
        <v>8794</v>
      </c>
      <c r="C220" s="18" t="s">
        <v>8798</v>
      </c>
      <c r="D220" s="18" t="s">
        <v>8796</v>
      </c>
      <c r="E220" s="22">
        <v>44901</v>
      </c>
      <c r="F220" s="18" t="s">
        <v>67</v>
      </c>
      <c r="G220" s="18" t="s">
        <v>8784</v>
      </c>
      <c r="H220" s="18" t="s">
        <v>8785</v>
      </c>
      <c r="I220" s="18" t="s">
        <v>70</v>
      </c>
      <c r="J220" s="18" t="s">
        <v>8102</v>
      </c>
      <c r="K220" s="18" t="s">
        <v>8103</v>
      </c>
      <c r="L220" s="18" t="s">
        <v>132</v>
      </c>
      <c r="M220" s="18" t="s">
        <v>7029</v>
      </c>
      <c r="N220" s="18" t="s">
        <v>8797</v>
      </c>
      <c r="O220" s="18" t="s">
        <v>287</v>
      </c>
      <c r="P220" s="18" t="s">
        <v>12576</v>
      </c>
      <c r="Q220" s="18" t="s">
        <v>10817</v>
      </c>
      <c r="R220" s="18" t="s">
        <v>78</v>
      </c>
      <c r="S220" s="18" t="s">
        <v>77</v>
      </c>
      <c r="T220" s="22">
        <v>44915</v>
      </c>
      <c r="U220" s="18"/>
      <c r="V220" s="18" t="s">
        <v>81</v>
      </c>
      <c r="W220" s="18" t="s">
        <v>79</v>
      </c>
      <c r="X220" s="18" t="s">
        <v>10803</v>
      </c>
      <c r="Y220" s="18" t="s">
        <v>880</v>
      </c>
      <c r="Z220" s="18" t="s">
        <v>881</v>
      </c>
      <c r="AA220" s="18" t="s">
        <v>880</v>
      </c>
      <c r="AB220" s="18" t="s">
        <v>881</v>
      </c>
      <c r="AC220" s="18" t="s">
        <v>7984</v>
      </c>
      <c r="AD220" s="18" t="s">
        <v>10804</v>
      </c>
      <c r="AE220" s="18" t="s">
        <v>80</v>
      </c>
      <c r="AF220" s="18" t="s">
        <v>95</v>
      </c>
      <c r="AG220" s="18" t="s">
        <v>83</v>
      </c>
      <c r="AH220" s="18" t="s">
        <v>83</v>
      </c>
      <c r="AI220" s="18" t="s">
        <v>81</v>
      </c>
      <c r="AJ220" s="18" t="s">
        <v>118</v>
      </c>
      <c r="AK220" s="18" t="s">
        <v>95</v>
      </c>
      <c r="AL220" s="18" t="s">
        <v>12377</v>
      </c>
      <c r="AM220" s="18" t="s">
        <v>85</v>
      </c>
      <c r="AN220" s="18" t="s">
        <v>7031</v>
      </c>
      <c r="AO220" s="18" t="s">
        <v>86</v>
      </c>
      <c r="AP220" s="18" t="s">
        <v>90</v>
      </c>
      <c r="AQ220" s="18" t="s">
        <v>8106</v>
      </c>
      <c r="AR220" s="18" t="s">
        <v>91</v>
      </c>
      <c r="AS220" s="18" t="s">
        <v>92</v>
      </c>
      <c r="AT220" s="18" t="s">
        <v>95</v>
      </c>
      <c r="AU220" s="18" t="s">
        <v>95</v>
      </c>
      <c r="AV220" s="18" t="s">
        <v>7029</v>
      </c>
      <c r="AW220" s="18" t="s">
        <v>95</v>
      </c>
      <c r="AX220" s="18" t="s">
        <v>10806</v>
      </c>
      <c r="AY220" s="18" t="s">
        <v>95</v>
      </c>
      <c r="AZ220" s="18" t="s">
        <v>95</v>
      </c>
      <c r="BA220" s="18" t="s">
        <v>95</v>
      </c>
      <c r="BB220" s="18" t="s">
        <v>95</v>
      </c>
      <c r="BC220" s="18" t="s">
        <v>95</v>
      </c>
      <c r="BD220" s="18" t="s">
        <v>10829</v>
      </c>
      <c r="BE220" s="18" t="s">
        <v>12577</v>
      </c>
      <c r="BF220" s="18" t="s">
        <v>10809</v>
      </c>
      <c r="BG220" s="18" t="s">
        <v>7030</v>
      </c>
      <c r="BH220" s="18"/>
      <c r="BI220" s="18"/>
      <c r="BJ220" s="18" t="s">
        <v>880</v>
      </c>
      <c r="BK220" s="18" t="s">
        <v>12578</v>
      </c>
      <c r="BL220" s="18" t="s">
        <v>10811</v>
      </c>
      <c r="BM220" s="18" t="s">
        <v>92</v>
      </c>
      <c r="BN220" s="18" t="s">
        <v>85</v>
      </c>
      <c r="BO220" s="18">
        <v>0</v>
      </c>
      <c r="BP220" s="18" t="s">
        <v>10812</v>
      </c>
      <c r="BQ220" s="18" t="str">
        <f>VLOOKUP(Prepago[[#This Row],[NOM_PLAZA]],[1]!Locales[#Data],3,0)</f>
        <v>TIENDA CUENCA CENTRO</v>
      </c>
      <c r="BR220" s="18" t="str">
        <f>VLOOKUP(Prepago[[#This Row],[CODIGO_USUARIO]],[1]!Personal[#Data],6,0)</f>
        <v>LUNA JACHO ANDREA GABRIELA</v>
      </c>
      <c r="BS220" s="18">
        <f>DAY(Prepago[[#This Row],[FECHA_ALTA]])</f>
        <v>6</v>
      </c>
    </row>
    <row r="221" spans="1:71" x14ac:dyDescent="0.25">
      <c r="A221" s="18" t="s">
        <v>96</v>
      </c>
      <c r="B221" s="18" t="s">
        <v>12579</v>
      </c>
      <c r="C221" s="18" t="s">
        <v>12580</v>
      </c>
      <c r="D221" s="18" t="s">
        <v>12581</v>
      </c>
      <c r="E221" s="22">
        <v>44904</v>
      </c>
      <c r="F221" s="18" t="s">
        <v>67</v>
      </c>
      <c r="G221" s="18" t="s">
        <v>10491</v>
      </c>
      <c r="H221" s="18" t="s">
        <v>10492</v>
      </c>
      <c r="I221" s="18" t="s">
        <v>70</v>
      </c>
      <c r="J221" s="18" t="s">
        <v>8102</v>
      </c>
      <c r="K221" s="18" t="s">
        <v>8103</v>
      </c>
      <c r="L221" s="18" t="s">
        <v>73</v>
      </c>
      <c r="M221" s="18" t="s">
        <v>7029</v>
      </c>
      <c r="N221" s="18" t="s">
        <v>12582</v>
      </c>
      <c r="O221" s="18" t="s">
        <v>75</v>
      </c>
      <c r="P221" s="18" t="s">
        <v>12583</v>
      </c>
      <c r="Q221" s="18" t="s">
        <v>1532</v>
      </c>
      <c r="R221" s="18" t="s">
        <v>78</v>
      </c>
      <c r="S221" s="18" t="s">
        <v>77</v>
      </c>
      <c r="T221" s="22">
        <v>44915</v>
      </c>
      <c r="U221" s="18"/>
      <c r="V221" s="18" t="s">
        <v>81</v>
      </c>
      <c r="W221" s="18" t="s">
        <v>79</v>
      </c>
      <c r="X221" s="18" t="s">
        <v>10803</v>
      </c>
      <c r="Y221" s="18" t="s">
        <v>880</v>
      </c>
      <c r="Z221" s="18" t="s">
        <v>881</v>
      </c>
      <c r="AA221" s="18" t="s">
        <v>880</v>
      </c>
      <c r="AB221" s="18" t="s">
        <v>881</v>
      </c>
      <c r="AC221" s="18" t="s">
        <v>7984</v>
      </c>
      <c r="AD221" s="18" t="s">
        <v>10804</v>
      </c>
      <c r="AE221" s="18" t="s">
        <v>80</v>
      </c>
      <c r="AF221" s="18" t="s">
        <v>95</v>
      </c>
      <c r="AG221" s="18" t="s">
        <v>83</v>
      </c>
      <c r="AH221" s="18" t="s">
        <v>83</v>
      </c>
      <c r="AI221" s="18" t="s">
        <v>81</v>
      </c>
      <c r="AJ221" s="18" t="s">
        <v>118</v>
      </c>
      <c r="AK221" s="18" t="s">
        <v>95</v>
      </c>
      <c r="AL221" s="18" t="s">
        <v>12377</v>
      </c>
      <c r="AM221" s="18" t="s">
        <v>85</v>
      </c>
      <c r="AN221" s="18" t="s">
        <v>7031</v>
      </c>
      <c r="AO221" s="18" t="s">
        <v>86</v>
      </c>
      <c r="AP221" s="18" t="s">
        <v>90</v>
      </c>
      <c r="AQ221" s="18" t="s">
        <v>8106</v>
      </c>
      <c r="AR221" s="18" t="s">
        <v>91</v>
      </c>
      <c r="AS221" s="18" t="s">
        <v>92</v>
      </c>
      <c r="AT221" s="18" t="s">
        <v>95</v>
      </c>
      <c r="AU221" s="18" t="s">
        <v>95</v>
      </c>
      <c r="AV221" s="18" t="s">
        <v>7029</v>
      </c>
      <c r="AW221" s="18" t="s">
        <v>95</v>
      </c>
      <c r="AX221" s="18" t="s">
        <v>10806</v>
      </c>
      <c r="AY221" s="18" t="s">
        <v>95</v>
      </c>
      <c r="AZ221" s="18" t="s">
        <v>95</v>
      </c>
      <c r="BA221" s="18" t="s">
        <v>95</v>
      </c>
      <c r="BB221" s="18" t="s">
        <v>95</v>
      </c>
      <c r="BC221" s="18" t="s">
        <v>95</v>
      </c>
      <c r="BD221" s="18" t="s">
        <v>10829</v>
      </c>
      <c r="BE221" s="18" t="s">
        <v>12584</v>
      </c>
      <c r="BF221" s="18" t="s">
        <v>10809</v>
      </c>
      <c r="BG221" s="18" t="s">
        <v>7030</v>
      </c>
      <c r="BH221" s="18"/>
      <c r="BI221" s="18"/>
      <c r="BJ221" s="18" t="s">
        <v>880</v>
      </c>
      <c r="BK221" s="18" t="s">
        <v>12585</v>
      </c>
      <c r="BL221" s="18" t="s">
        <v>10811</v>
      </c>
      <c r="BM221" s="18" t="s">
        <v>92</v>
      </c>
      <c r="BN221" s="18" t="s">
        <v>85</v>
      </c>
      <c r="BO221" s="18">
        <v>0</v>
      </c>
      <c r="BP221" s="18" t="s">
        <v>10812</v>
      </c>
      <c r="BQ221" s="18" t="str">
        <f>VLOOKUP(Prepago[[#This Row],[NOM_PLAZA]],[1]!Locales[#Data],3,0)</f>
        <v>TIENDA CUENCA CENTRO</v>
      </c>
      <c r="BR221" s="18" t="str">
        <f>VLOOKUP(Prepago[[#This Row],[CODIGO_USUARIO]],[1]!Personal[#Data],6,0)</f>
        <v>LUNA JACHO ANDREA GABRIELA</v>
      </c>
      <c r="BS221" s="18">
        <f>DAY(Prepago[[#This Row],[FECHA_ALTA]])</f>
        <v>9</v>
      </c>
    </row>
    <row r="222" spans="1:71" x14ac:dyDescent="0.25">
      <c r="A222" s="18" t="s">
        <v>96</v>
      </c>
      <c r="B222" s="18" t="s">
        <v>12586</v>
      </c>
      <c r="C222" s="18" t="s">
        <v>12587</v>
      </c>
      <c r="D222" s="18" t="s">
        <v>12588</v>
      </c>
      <c r="E222" s="22">
        <v>44908</v>
      </c>
      <c r="F222" s="18" t="s">
        <v>67</v>
      </c>
      <c r="G222" s="18" t="s">
        <v>12589</v>
      </c>
      <c r="H222" s="18" t="s">
        <v>12590</v>
      </c>
      <c r="I222" s="18" t="s">
        <v>70</v>
      </c>
      <c r="J222" s="18" t="s">
        <v>8102</v>
      </c>
      <c r="K222" s="18" t="s">
        <v>8103</v>
      </c>
      <c r="L222" s="18" t="s">
        <v>132</v>
      </c>
      <c r="M222" s="18" t="s">
        <v>7029</v>
      </c>
      <c r="N222" s="18" t="s">
        <v>12591</v>
      </c>
      <c r="O222" s="18" t="s">
        <v>75</v>
      </c>
      <c r="P222" s="18" t="s">
        <v>12592</v>
      </c>
      <c r="Q222" s="18" t="s">
        <v>1532</v>
      </c>
      <c r="R222" s="18" t="s">
        <v>78</v>
      </c>
      <c r="S222" s="18" t="s">
        <v>77</v>
      </c>
      <c r="T222" s="22">
        <v>44915</v>
      </c>
      <c r="U222" s="18"/>
      <c r="V222" s="18" t="s">
        <v>81</v>
      </c>
      <c r="W222" s="18" t="s">
        <v>79</v>
      </c>
      <c r="X222" s="18" t="s">
        <v>10803</v>
      </c>
      <c r="Y222" s="18" t="s">
        <v>1415</v>
      </c>
      <c r="Z222" s="18" t="s">
        <v>1416</v>
      </c>
      <c r="AA222" s="18" t="s">
        <v>1415</v>
      </c>
      <c r="AB222" s="18" t="s">
        <v>1416</v>
      </c>
      <c r="AC222" s="18" t="s">
        <v>7984</v>
      </c>
      <c r="AD222" s="18" t="s">
        <v>10804</v>
      </c>
      <c r="AE222" s="18" t="s">
        <v>80</v>
      </c>
      <c r="AF222" s="18" t="s">
        <v>95</v>
      </c>
      <c r="AG222" s="18" t="s">
        <v>83</v>
      </c>
      <c r="AH222" s="18" t="s">
        <v>83</v>
      </c>
      <c r="AI222" s="18" t="s">
        <v>81</v>
      </c>
      <c r="AJ222" s="18" t="s">
        <v>118</v>
      </c>
      <c r="AK222" s="18" t="s">
        <v>95</v>
      </c>
      <c r="AL222" s="18" t="s">
        <v>10746</v>
      </c>
      <c r="AM222" s="18" t="s">
        <v>85</v>
      </c>
      <c r="AN222" s="18" t="s">
        <v>7031</v>
      </c>
      <c r="AO222" s="18" t="s">
        <v>86</v>
      </c>
      <c r="AP222" s="18" t="s">
        <v>90</v>
      </c>
      <c r="AQ222" s="18" t="s">
        <v>8106</v>
      </c>
      <c r="AR222" s="18" t="s">
        <v>91</v>
      </c>
      <c r="AS222" s="18" t="s">
        <v>92</v>
      </c>
      <c r="AT222" s="18" t="s">
        <v>95</v>
      </c>
      <c r="AU222" s="18" t="s">
        <v>95</v>
      </c>
      <c r="AV222" s="18" t="s">
        <v>7029</v>
      </c>
      <c r="AW222" s="18" t="s">
        <v>95</v>
      </c>
      <c r="AX222" s="18" t="s">
        <v>10806</v>
      </c>
      <c r="AY222" s="18" t="s">
        <v>95</v>
      </c>
      <c r="AZ222" s="18" t="s">
        <v>95</v>
      </c>
      <c r="BA222" s="18" t="s">
        <v>95</v>
      </c>
      <c r="BB222" s="18" t="s">
        <v>95</v>
      </c>
      <c r="BC222" s="18" t="s">
        <v>95</v>
      </c>
      <c r="BD222" s="18" t="s">
        <v>10829</v>
      </c>
      <c r="BE222" s="18" t="s">
        <v>10808</v>
      </c>
      <c r="BF222" s="18" t="s">
        <v>10809</v>
      </c>
      <c r="BG222" s="18" t="s">
        <v>7030</v>
      </c>
      <c r="BH222" s="18"/>
      <c r="BI222" s="18"/>
      <c r="BJ222" s="18" t="s">
        <v>1415</v>
      </c>
      <c r="BK222" s="18" t="s">
        <v>12593</v>
      </c>
      <c r="BL222" s="18" t="s">
        <v>10811</v>
      </c>
      <c r="BM222" s="18" t="s">
        <v>92</v>
      </c>
      <c r="BN222" s="18" t="s">
        <v>85</v>
      </c>
      <c r="BO222" s="18">
        <v>0</v>
      </c>
      <c r="BP222" s="18" t="s">
        <v>10812</v>
      </c>
      <c r="BQ222" s="18" t="str">
        <f>VLOOKUP(Prepago[[#This Row],[NOM_PLAZA]],[1]!Locales[#Data],3,0)</f>
        <v>TIENDA CUENCA CENTRO</v>
      </c>
      <c r="BR222" s="18" t="str">
        <f>VLOOKUP(Prepago[[#This Row],[CODIGO_USUARIO]],[1]!Personal[#Data],6,0)</f>
        <v>PATIÑO URGILES DIANA CATALINA</v>
      </c>
      <c r="BS222" s="18">
        <f>DAY(Prepago[[#This Row],[FECHA_ALTA]])</f>
        <v>13</v>
      </c>
    </row>
    <row r="223" spans="1:71" x14ac:dyDescent="0.25">
      <c r="A223" s="18" t="s">
        <v>96</v>
      </c>
      <c r="B223" s="18" t="s">
        <v>12594</v>
      </c>
      <c r="C223" s="18" t="s">
        <v>12595</v>
      </c>
      <c r="D223" s="18" t="s">
        <v>12596</v>
      </c>
      <c r="E223" s="22">
        <v>44901</v>
      </c>
      <c r="F223" s="18" t="s">
        <v>67</v>
      </c>
      <c r="G223" s="18" t="s">
        <v>12597</v>
      </c>
      <c r="H223" s="18" t="s">
        <v>12598</v>
      </c>
      <c r="I223" s="18" t="s">
        <v>70</v>
      </c>
      <c r="J223" s="18" t="s">
        <v>8102</v>
      </c>
      <c r="K223" s="18" t="s">
        <v>8103</v>
      </c>
      <c r="L223" s="18" t="s">
        <v>73</v>
      </c>
      <c r="M223" s="18" t="s">
        <v>7029</v>
      </c>
      <c r="N223" s="18" t="s">
        <v>12599</v>
      </c>
      <c r="O223" s="18" t="s">
        <v>75</v>
      </c>
      <c r="P223" s="18" t="s">
        <v>12600</v>
      </c>
      <c r="Q223" s="18" t="s">
        <v>10817</v>
      </c>
      <c r="R223" s="18" t="s">
        <v>78</v>
      </c>
      <c r="S223" s="18" t="s">
        <v>77</v>
      </c>
      <c r="T223" s="22">
        <v>44915</v>
      </c>
      <c r="U223" s="18"/>
      <c r="V223" s="18" t="s">
        <v>81</v>
      </c>
      <c r="W223" s="18" t="s">
        <v>79</v>
      </c>
      <c r="X223" s="18" t="s">
        <v>10803</v>
      </c>
      <c r="Y223" s="18" t="s">
        <v>242</v>
      </c>
      <c r="Z223" s="18" t="s">
        <v>243</v>
      </c>
      <c r="AA223" s="18" t="s">
        <v>7062</v>
      </c>
      <c r="AB223" s="18" t="s">
        <v>95</v>
      </c>
      <c r="AC223" s="18" t="s">
        <v>7984</v>
      </c>
      <c r="AD223" s="18" t="s">
        <v>10804</v>
      </c>
      <c r="AE223" s="18" t="s">
        <v>80</v>
      </c>
      <c r="AF223" s="18" t="s">
        <v>95</v>
      </c>
      <c r="AG223" s="18" t="s">
        <v>81</v>
      </c>
      <c r="AH223" s="18" t="s">
        <v>83</v>
      </c>
      <c r="AI223" s="18" t="s">
        <v>81</v>
      </c>
      <c r="AJ223" s="18" t="s">
        <v>118</v>
      </c>
      <c r="AK223" s="18" t="s">
        <v>95</v>
      </c>
      <c r="AL223" s="18" t="s">
        <v>12414</v>
      </c>
      <c r="AM223" s="18" t="s">
        <v>85</v>
      </c>
      <c r="AN223" s="18" t="s">
        <v>7031</v>
      </c>
      <c r="AO223" s="18" t="s">
        <v>86</v>
      </c>
      <c r="AP223" s="18" t="s">
        <v>90</v>
      </c>
      <c r="AQ223" s="18" t="s">
        <v>8106</v>
      </c>
      <c r="AR223" s="18" t="s">
        <v>91</v>
      </c>
      <c r="AS223" s="18" t="s">
        <v>92</v>
      </c>
      <c r="AT223" s="18" t="s">
        <v>95</v>
      </c>
      <c r="AU223" s="18" t="s">
        <v>95</v>
      </c>
      <c r="AV223" s="18" t="s">
        <v>7029</v>
      </c>
      <c r="AW223" s="18" t="s">
        <v>95</v>
      </c>
      <c r="AX223" s="18" t="s">
        <v>10806</v>
      </c>
      <c r="AY223" s="18" t="s">
        <v>82</v>
      </c>
      <c r="AZ223" s="18" t="s">
        <v>95</v>
      </c>
      <c r="BA223" s="18" t="s">
        <v>95</v>
      </c>
      <c r="BB223" s="18" t="s">
        <v>95</v>
      </c>
      <c r="BC223" s="18" t="s">
        <v>95</v>
      </c>
      <c r="BD223" s="18" t="s">
        <v>10829</v>
      </c>
      <c r="BE223" s="18" t="s">
        <v>12601</v>
      </c>
      <c r="BF223" s="18" t="s">
        <v>10809</v>
      </c>
      <c r="BG223" s="18" t="s">
        <v>7030</v>
      </c>
      <c r="BH223" s="18"/>
      <c r="BI223" s="18"/>
      <c r="BJ223" s="18" t="s">
        <v>242</v>
      </c>
      <c r="BK223" s="18" t="s">
        <v>12602</v>
      </c>
      <c r="BL223" s="18" t="s">
        <v>10811</v>
      </c>
      <c r="BM223" s="18" t="s">
        <v>92</v>
      </c>
      <c r="BN223" s="18" t="s">
        <v>85</v>
      </c>
      <c r="BO223" s="18">
        <v>1</v>
      </c>
      <c r="BP223" s="18" t="s">
        <v>10812</v>
      </c>
      <c r="BQ223" s="18" t="str">
        <f>VLOOKUP(Prepago[[#This Row],[NOM_PLAZA]],[1]!Locales[#Data],3,0)</f>
        <v>TIENDA CUENCA CENTRO</v>
      </c>
      <c r="BR223" s="18" t="str">
        <f>VLOOKUP(Prepago[[#This Row],[CODIGO_USUARIO]],[1]!Personal[#Data],6,0)</f>
        <v>VALLEJO DELEG ROMAN NICOLAS</v>
      </c>
      <c r="BS223" s="18">
        <f>DAY(Prepago[[#This Row],[FECHA_ALTA]])</f>
        <v>6</v>
      </c>
    </row>
    <row r="224" spans="1:71" x14ac:dyDescent="0.25">
      <c r="A224" s="18" t="s">
        <v>96</v>
      </c>
      <c r="B224" s="18" t="s">
        <v>12603</v>
      </c>
      <c r="C224" s="18" t="s">
        <v>12604</v>
      </c>
      <c r="D224" s="18" t="s">
        <v>12605</v>
      </c>
      <c r="E224" s="22">
        <v>44901</v>
      </c>
      <c r="F224" s="18" t="s">
        <v>67</v>
      </c>
      <c r="G224" s="18" t="s">
        <v>12606</v>
      </c>
      <c r="H224" s="18" t="s">
        <v>12607</v>
      </c>
      <c r="I224" s="18" t="s">
        <v>70</v>
      </c>
      <c r="J224" s="18" t="s">
        <v>8102</v>
      </c>
      <c r="K224" s="18" t="s">
        <v>8103</v>
      </c>
      <c r="L224" s="18" t="s">
        <v>132</v>
      </c>
      <c r="M224" s="18" t="s">
        <v>7029</v>
      </c>
      <c r="N224" s="18" t="s">
        <v>12608</v>
      </c>
      <c r="O224" s="18" t="s">
        <v>75</v>
      </c>
      <c r="P224" s="18" t="s">
        <v>12609</v>
      </c>
      <c r="Q224" s="18" t="s">
        <v>1532</v>
      </c>
      <c r="R224" s="18" t="s">
        <v>78</v>
      </c>
      <c r="S224" s="18" t="s">
        <v>77</v>
      </c>
      <c r="T224" s="22">
        <v>44915</v>
      </c>
      <c r="U224" s="18"/>
      <c r="V224" s="18" t="s">
        <v>81</v>
      </c>
      <c r="W224" s="18" t="s">
        <v>79</v>
      </c>
      <c r="X224" s="18" t="s">
        <v>10803</v>
      </c>
      <c r="Y224" s="18" t="s">
        <v>1020</v>
      </c>
      <c r="Z224" s="18" t="s">
        <v>1021</v>
      </c>
      <c r="AA224" s="18" t="s">
        <v>7062</v>
      </c>
      <c r="AB224" s="18" t="s">
        <v>95</v>
      </c>
      <c r="AC224" s="18" t="s">
        <v>7984</v>
      </c>
      <c r="AD224" s="18" t="s">
        <v>10804</v>
      </c>
      <c r="AE224" s="18" t="s">
        <v>80</v>
      </c>
      <c r="AF224" s="18" t="s">
        <v>95</v>
      </c>
      <c r="AG224" s="18" t="s">
        <v>81</v>
      </c>
      <c r="AH224" s="18" t="s">
        <v>83</v>
      </c>
      <c r="AI224" s="18" t="s">
        <v>81</v>
      </c>
      <c r="AJ224" s="18" t="s">
        <v>118</v>
      </c>
      <c r="AK224" s="18" t="s">
        <v>95</v>
      </c>
      <c r="AL224" s="18" t="s">
        <v>12458</v>
      </c>
      <c r="AM224" s="18" t="s">
        <v>85</v>
      </c>
      <c r="AN224" s="18" t="s">
        <v>7031</v>
      </c>
      <c r="AO224" s="18" t="s">
        <v>86</v>
      </c>
      <c r="AP224" s="18" t="s">
        <v>90</v>
      </c>
      <c r="AQ224" s="18" t="s">
        <v>8106</v>
      </c>
      <c r="AR224" s="18" t="s">
        <v>91</v>
      </c>
      <c r="AS224" s="18" t="s">
        <v>92</v>
      </c>
      <c r="AT224" s="18" t="s">
        <v>95</v>
      </c>
      <c r="AU224" s="18" t="s">
        <v>95</v>
      </c>
      <c r="AV224" s="18" t="s">
        <v>7029</v>
      </c>
      <c r="AW224" s="18" t="s">
        <v>95</v>
      </c>
      <c r="AX224" s="18" t="s">
        <v>10806</v>
      </c>
      <c r="AY224" s="18" t="s">
        <v>1029</v>
      </c>
      <c r="AZ224" s="18" t="s">
        <v>95</v>
      </c>
      <c r="BA224" s="18" t="s">
        <v>95</v>
      </c>
      <c r="BB224" s="18" t="s">
        <v>95</v>
      </c>
      <c r="BC224" s="18" t="s">
        <v>95</v>
      </c>
      <c r="BD224" s="18" t="s">
        <v>10829</v>
      </c>
      <c r="BE224" s="18" t="s">
        <v>10808</v>
      </c>
      <c r="BF224" s="18" t="s">
        <v>7029</v>
      </c>
      <c r="BG224" s="18" t="s">
        <v>7030</v>
      </c>
      <c r="BH224" s="18"/>
      <c r="BI224" s="18"/>
      <c r="BJ224" s="18" t="s">
        <v>1020</v>
      </c>
      <c r="BK224" s="18" t="s">
        <v>12610</v>
      </c>
      <c r="BL224" s="18" t="s">
        <v>10811</v>
      </c>
      <c r="BM224" s="18" t="s">
        <v>92</v>
      </c>
      <c r="BN224" s="18" t="s">
        <v>85</v>
      </c>
      <c r="BO224" s="18">
        <v>1</v>
      </c>
      <c r="BP224" s="18" t="s">
        <v>10812</v>
      </c>
      <c r="BQ224" s="18" t="str">
        <f>VLOOKUP(Prepago[[#This Row],[NOM_PLAZA]],[1]!Locales[#Data],3,0)</f>
        <v>TIENDA CUENCA CENTRO</v>
      </c>
      <c r="BR224" s="18" t="str">
        <f>VLOOKUP(Prepago[[#This Row],[CODIGO_USUARIO]],[1]!Personal[#Data],6,0)</f>
        <v>GONZALES ALVARRACIN PAOLA YESSENIA</v>
      </c>
      <c r="BS224" s="18">
        <f>DAY(Prepago[[#This Row],[FECHA_ALTA]])</f>
        <v>6</v>
      </c>
    </row>
    <row r="225" spans="1:71" x14ac:dyDescent="0.25">
      <c r="A225" s="18" t="s">
        <v>96</v>
      </c>
      <c r="B225" s="18" t="s">
        <v>12611</v>
      </c>
      <c r="C225" s="18" t="s">
        <v>12612</v>
      </c>
      <c r="D225" s="18" t="s">
        <v>12613</v>
      </c>
      <c r="E225" s="22">
        <v>44898</v>
      </c>
      <c r="F225" s="18" t="s">
        <v>67</v>
      </c>
      <c r="G225" s="18" t="s">
        <v>12614</v>
      </c>
      <c r="H225" s="18" t="s">
        <v>12615</v>
      </c>
      <c r="I225" s="18" t="s">
        <v>70</v>
      </c>
      <c r="J225" s="18" t="s">
        <v>8102</v>
      </c>
      <c r="K225" s="18" t="s">
        <v>8103</v>
      </c>
      <c r="L225" s="18" t="s">
        <v>1727</v>
      </c>
      <c r="M225" s="18" t="s">
        <v>7029</v>
      </c>
      <c r="N225" s="18" t="s">
        <v>12616</v>
      </c>
      <c r="O225" s="18" t="s">
        <v>75</v>
      </c>
      <c r="P225" s="18" t="s">
        <v>12617</v>
      </c>
      <c r="Q225" s="18" t="s">
        <v>10817</v>
      </c>
      <c r="R225" s="18" t="s">
        <v>78</v>
      </c>
      <c r="S225" s="18" t="s">
        <v>77</v>
      </c>
      <c r="T225" s="22">
        <v>44915</v>
      </c>
      <c r="U225" s="18"/>
      <c r="V225" s="18" t="s">
        <v>81</v>
      </c>
      <c r="W225" s="18" t="s">
        <v>79</v>
      </c>
      <c r="X225" s="18" t="s">
        <v>10803</v>
      </c>
      <c r="Y225" s="18" t="s">
        <v>289</v>
      </c>
      <c r="Z225" s="18" t="s">
        <v>290</v>
      </c>
      <c r="AA225" s="18" t="s">
        <v>289</v>
      </c>
      <c r="AB225" s="18" t="s">
        <v>290</v>
      </c>
      <c r="AC225" s="18" t="s">
        <v>7984</v>
      </c>
      <c r="AD225" s="18" t="s">
        <v>10804</v>
      </c>
      <c r="AE225" s="18" t="s">
        <v>80</v>
      </c>
      <c r="AF225" s="18" t="s">
        <v>95</v>
      </c>
      <c r="AG225" s="18" t="s">
        <v>83</v>
      </c>
      <c r="AH225" s="18" t="s">
        <v>83</v>
      </c>
      <c r="AI225" s="18" t="s">
        <v>81</v>
      </c>
      <c r="AJ225" s="18" t="s">
        <v>118</v>
      </c>
      <c r="AK225" s="18" t="s">
        <v>95</v>
      </c>
      <c r="AL225" s="18" t="s">
        <v>12396</v>
      </c>
      <c r="AM225" s="18" t="s">
        <v>85</v>
      </c>
      <c r="AN225" s="18" t="s">
        <v>7031</v>
      </c>
      <c r="AO225" s="18" t="s">
        <v>86</v>
      </c>
      <c r="AP225" s="18" t="s">
        <v>90</v>
      </c>
      <c r="AQ225" s="18" t="s">
        <v>8106</v>
      </c>
      <c r="AR225" s="18" t="s">
        <v>91</v>
      </c>
      <c r="AS225" s="18" t="s">
        <v>92</v>
      </c>
      <c r="AT225" s="18" t="s">
        <v>95</v>
      </c>
      <c r="AU225" s="18" t="s">
        <v>95</v>
      </c>
      <c r="AV225" s="18" t="s">
        <v>7029</v>
      </c>
      <c r="AW225" s="18" t="s">
        <v>95</v>
      </c>
      <c r="AX225" s="18" t="s">
        <v>10806</v>
      </c>
      <c r="AY225" s="18" t="s">
        <v>95</v>
      </c>
      <c r="AZ225" s="18" t="s">
        <v>95</v>
      </c>
      <c r="BA225" s="18" t="s">
        <v>95</v>
      </c>
      <c r="BB225" s="18" t="s">
        <v>95</v>
      </c>
      <c r="BC225" s="18" t="s">
        <v>95</v>
      </c>
      <c r="BD225" s="18" t="s">
        <v>10829</v>
      </c>
      <c r="BE225" s="18" t="s">
        <v>11206</v>
      </c>
      <c r="BF225" s="18" t="s">
        <v>10809</v>
      </c>
      <c r="BG225" s="18" t="s">
        <v>7030</v>
      </c>
      <c r="BH225" s="18"/>
      <c r="BI225" s="18"/>
      <c r="BJ225" s="18" t="s">
        <v>289</v>
      </c>
      <c r="BK225" s="18" t="s">
        <v>12618</v>
      </c>
      <c r="BL225" s="18" t="s">
        <v>10811</v>
      </c>
      <c r="BM225" s="18" t="s">
        <v>92</v>
      </c>
      <c r="BN225" s="18" t="s">
        <v>85</v>
      </c>
      <c r="BO225" s="18">
        <v>0</v>
      </c>
      <c r="BP225" s="18" t="s">
        <v>10812</v>
      </c>
      <c r="BQ225" s="18" t="str">
        <f>VLOOKUP(Prepago[[#This Row],[NOM_PLAZA]],[1]!Locales[#Data],3,0)</f>
        <v>TIENDA CUENCA CENTRO</v>
      </c>
      <c r="BR225" s="18" t="str">
        <f>VLOOKUP(Prepago[[#This Row],[CODIGO_USUARIO]],[1]!Personal[#Data],6,0)</f>
        <v>CALLE CHACA JORGE VINICIO</v>
      </c>
      <c r="BS225" s="18">
        <f>DAY(Prepago[[#This Row],[FECHA_ALTA]])</f>
        <v>3</v>
      </c>
    </row>
    <row r="226" spans="1:71" x14ac:dyDescent="0.25">
      <c r="A226" s="18" t="s">
        <v>96</v>
      </c>
      <c r="B226" s="18" t="s">
        <v>12619</v>
      </c>
      <c r="C226" s="18" t="s">
        <v>12620</v>
      </c>
      <c r="D226" s="18" t="s">
        <v>12499</v>
      </c>
      <c r="E226" s="22">
        <v>44896</v>
      </c>
      <c r="F226" s="18" t="s">
        <v>67</v>
      </c>
      <c r="G226" s="18" t="s">
        <v>12500</v>
      </c>
      <c r="H226" s="18" t="s">
        <v>12501</v>
      </c>
      <c r="I226" s="18" t="s">
        <v>70</v>
      </c>
      <c r="J226" s="18" t="s">
        <v>8102</v>
      </c>
      <c r="K226" s="18" t="s">
        <v>8103</v>
      </c>
      <c r="L226" s="18" t="s">
        <v>259</v>
      </c>
      <c r="M226" s="18" t="s">
        <v>7029</v>
      </c>
      <c r="N226" s="18" t="s">
        <v>12621</v>
      </c>
      <c r="O226" s="18" t="s">
        <v>75</v>
      </c>
      <c r="P226" s="18" t="s">
        <v>12622</v>
      </c>
      <c r="Q226" s="18" t="s">
        <v>10817</v>
      </c>
      <c r="R226" s="18" t="s">
        <v>78</v>
      </c>
      <c r="S226" s="18" t="s">
        <v>77</v>
      </c>
      <c r="T226" s="22">
        <v>44915</v>
      </c>
      <c r="U226" s="18"/>
      <c r="V226" s="18" t="s">
        <v>81</v>
      </c>
      <c r="W226" s="18" t="s">
        <v>79</v>
      </c>
      <c r="X226" s="18" t="s">
        <v>10803</v>
      </c>
      <c r="Y226" s="18" t="s">
        <v>242</v>
      </c>
      <c r="Z226" s="18" t="s">
        <v>243</v>
      </c>
      <c r="AA226" s="18" t="s">
        <v>242</v>
      </c>
      <c r="AB226" s="18" t="s">
        <v>243</v>
      </c>
      <c r="AC226" s="18" t="s">
        <v>7984</v>
      </c>
      <c r="AD226" s="18" t="s">
        <v>10804</v>
      </c>
      <c r="AE226" s="18" t="s">
        <v>80</v>
      </c>
      <c r="AF226" s="18" t="s">
        <v>95</v>
      </c>
      <c r="AG226" s="18" t="s">
        <v>83</v>
      </c>
      <c r="AH226" s="18" t="s">
        <v>83</v>
      </c>
      <c r="AI226" s="18" t="s">
        <v>81</v>
      </c>
      <c r="AJ226" s="18" t="s">
        <v>118</v>
      </c>
      <c r="AK226" s="18" t="s">
        <v>95</v>
      </c>
      <c r="AL226" s="18" t="s">
        <v>12414</v>
      </c>
      <c r="AM226" s="18" t="s">
        <v>85</v>
      </c>
      <c r="AN226" s="18" t="s">
        <v>7031</v>
      </c>
      <c r="AO226" s="18" t="s">
        <v>86</v>
      </c>
      <c r="AP226" s="18" t="s">
        <v>90</v>
      </c>
      <c r="AQ226" s="18" t="s">
        <v>8106</v>
      </c>
      <c r="AR226" s="18" t="s">
        <v>91</v>
      </c>
      <c r="AS226" s="18" t="s">
        <v>92</v>
      </c>
      <c r="AT226" s="18" t="s">
        <v>95</v>
      </c>
      <c r="AU226" s="18" t="s">
        <v>95</v>
      </c>
      <c r="AV226" s="18" t="s">
        <v>7029</v>
      </c>
      <c r="AW226" s="18" t="s">
        <v>95</v>
      </c>
      <c r="AX226" s="18" t="s">
        <v>10806</v>
      </c>
      <c r="AY226" s="18" t="s">
        <v>95</v>
      </c>
      <c r="AZ226" s="18" t="s">
        <v>95</v>
      </c>
      <c r="BA226" s="18" t="s">
        <v>95</v>
      </c>
      <c r="BB226" s="18" t="s">
        <v>95</v>
      </c>
      <c r="BC226" s="18" t="s">
        <v>95</v>
      </c>
      <c r="BD226" s="18" t="s">
        <v>10829</v>
      </c>
      <c r="BE226" s="18" t="s">
        <v>12504</v>
      </c>
      <c r="BF226" s="18" t="s">
        <v>10809</v>
      </c>
      <c r="BG226" s="18" t="s">
        <v>7030</v>
      </c>
      <c r="BH226" s="18"/>
      <c r="BI226" s="18"/>
      <c r="BJ226" s="18" t="s">
        <v>242</v>
      </c>
      <c r="BK226" s="18" t="s">
        <v>12623</v>
      </c>
      <c r="BL226" s="18" t="s">
        <v>10811</v>
      </c>
      <c r="BM226" s="18" t="s">
        <v>92</v>
      </c>
      <c r="BN226" s="18" t="s">
        <v>85</v>
      </c>
      <c r="BO226" s="18">
        <v>0</v>
      </c>
      <c r="BP226" s="18" t="s">
        <v>10812</v>
      </c>
      <c r="BQ226" s="18" t="str">
        <f>VLOOKUP(Prepago[[#This Row],[NOM_PLAZA]],[1]!Locales[#Data],3,0)</f>
        <v>TIENDA CUENCA CENTRO</v>
      </c>
      <c r="BR226" s="18" t="str">
        <f>VLOOKUP(Prepago[[#This Row],[CODIGO_USUARIO]],[1]!Personal[#Data],6,0)</f>
        <v>VALLEJO DELEG ROMAN NICOLAS</v>
      </c>
      <c r="BS226" s="18">
        <f>DAY(Prepago[[#This Row],[FECHA_ALTA]])</f>
        <v>1</v>
      </c>
    </row>
    <row r="227" spans="1:71" x14ac:dyDescent="0.25">
      <c r="A227" s="18" t="s">
        <v>96</v>
      </c>
      <c r="B227" s="18" t="s">
        <v>12624</v>
      </c>
      <c r="C227" s="18" t="s">
        <v>12625</v>
      </c>
      <c r="D227" s="18" t="s">
        <v>12626</v>
      </c>
      <c r="E227" s="22">
        <v>44911</v>
      </c>
      <c r="F227" s="18" t="s">
        <v>67</v>
      </c>
      <c r="G227" s="18" t="s">
        <v>12627</v>
      </c>
      <c r="H227" s="18" t="s">
        <v>12628</v>
      </c>
      <c r="I227" s="18" t="s">
        <v>70</v>
      </c>
      <c r="J227" s="18" t="s">
        <v>8102</v>
      </c>
      <c r="K227" s="18" t="s">
        <v>8103</v>
      </c>
      <c r="L227" s="18" t="s">
        <v>73</v>
      </c>
      <c r="M227" s="18" t="s">
        <v>7029</v>
      </c>
      <c r="N227" s="18" t="s">
        <v>12629</v>
      </c>
      <c r="O227" s="18" t="s">
        <v>75</v>
      </c>
      <c r="P227" s="18" t="s">
        <v>12630</v>
      </c>
      <c r="Q227" s="18" t="s">
        <v>10817</v>
      </c>
      <c r="R227" s="18" t="s">
        <v>78</v>
      </c>
      <c r="S227" s="18" t="s">
        <v>77</v>
      </c>
      <c r="T227" s="22">
        <v>44915</v>
      </c>
      <c r="U227" s="18"/>
      <c r="V227" s="18" t="s">
        <v>81</v>
      </c>
      <c r="W227" s="18" t="s">
        <v>79</v>
      </c>
      <c r="X227" s="18" t="s">
        <v>10803</v>
      </c>
      <c r="Y227" s="18" t="s">
        <v>242</v>
      </c>
      <c r="Z227" s="18" t="s">
        <v>243</v>
      </c>
      <c r="AA227" s="18" t="s">
        <v>242</v>
      </c>
      <c r="AB227" s="18" t="s">
        <v>243</v>
      </c>
      <c r="AC227" s="18" t="s">
        <v>7984</v>
      </c>
      <c r="AD227" s="18" t="s">
        <v>10804</v>
      </c>
      <c r="AE227" s="18" t="s">
        <v>80</v>
      </c>
      <c r="AF227" s="18" t="s">
        <v>95</v>
      </c>
      <c r="AG227" s="18" t="s">
        <v>83</v>
      </c>
      <c r="AH227" s="18" t="s">
        <v>83</v>
      </c>
      <c r="AI227" s="18" t="s">
        <v>81</v>
      </c>
      <c r="AJ227" s="18" t="s">
        <v>118</v>
      </c>
      <c r="AK227" s="18" t="s">
        <v>95</v>
      </c>
      <c r="AL227" s="18" t="s">
        <v>12414</v>
      </c>
      <c r="AM227" s="18" t="s">
        <v>85</v>
      </c>
      <c r="AN227" s="18" t="s">
        <v>7031</v>
      </c>
      <c r="AO227" s="18" t="s">
        <v>86</v>
      </c>
      <c r="AP227" s="18" t="s">
        <v>90</v>
      </c>
      <c r="AQ227" s="18" t="s">
        <v>8106</v>
      </c>
      <c r="AR227" s="18" t="s">
        <v>91</v>
      </c>
      <c r="AS227" s="18" t="s">
        <v>92</v>
      </c>
      <c r="AT227" s="18" t="s">
        <v>95</v>
      </c>
      <c r="AU227" s="18" t="s">
        <v>95</v>
      </c>
      <c r="AV227" s="18" t="s">
        <v>7029</v>
      </c>
      <c r="AW227" s="18" t="s">
        <v>95</v>
      </c>
      <c r="AX227" s="18" t="s">
        <v>10806</v>
      </c>
      <c r="AY227" s="18" t="s">
        <v>95</v>
      </c>
      <c r="AZ227" s="18" t="s">
        <v>95</v>
      </c>
      <c r="BA227" s="18" t="s">
        <v>95</v>
      </c>
      <c r="BB227" s="18" t="s">
        <v>95</v>
      </c>
      <c r="BC227" s="18" t="s">
        <v>95</v>
      </c>
      <c r="BD227" s="18" t="s">
        <v>10829</v>
      </c>
      <c r="BE227" s="18" t="s">
        <v>12631</v>
      </c>
      <c r="BF227" s="18" t="s">
        <v>10809</v>
      </c>
      <c r="BG227" s="18" t="s">
        <v>7030</v>
      </c>
      <c r="BH227" s="18"/>
      <c r="BI227" s="18"/>
      <c r="BJ227" s="18" t="s">
        <v>242</v>
      </c>
      <c r="BK227" s="18" t="s">
        <v>12632</v>
      </c>
      <c r="BL227" s="18" t="s">
        <v>10811</v>
      </c>
      <c r="BM227" s="18" t="s">
        <v>92</v>
      </c>
      <c r="BN227" s="18" t="s">
        <v>85</v>
      </c>
      <c r="BO227" s="18">
        <v>0</v>
      </c>
      <c r="BP227" s="18" t="s">
        <v>10812</v>
      </c>
      <c r="BQ227" s="18" t="str">
        <f>VLOOKUP(Prepago[[#This Row],[NOM_PLAZA]],[1]!Locales[#Data],3,0)</f>
        <v>TIENDA CUENCA CENTRO</v>
      </c>
      <c r="BR227" s="18" t="str">
        <f>VLOOKUP(Prepago[[#This Row],[CODIGO_USUARIO]],[1]!Personal[#Data],6,0)</f>
        <v>VALLEJO DELEG ROMAN NICOLAS</v>
      </c>
      <c r="BS227" s="18">
        <f>DAY(Prepago[[#This Row],[FECHA_ALTA]])</f>
        <v>16</v>
      </c>
    </row>
    <row r="228" spans="1:71" x14ac:dyDescent="0.25">
      <c r="A228" s="18" t="s">
        <v>96</v>
      </c>
      <c r="B228" s="18" t="s">
        <v>12633</v>
      </c>
      <c r="C228" s="18" t="s">
        <v>12634</v>
      </c>
      <c r="D228" s="18" t="s">
        <v>12635</v>
      </c>
      <c r="E228" s="22">
        <v>44905</v>
      </c>
      <c r="F228" s="18" t="s">
        <v>67</v>
      </c>
      <c r="G228" s="18" t="s">
        <v>12636</v>
      </c>
      <c r="H228" s="18" t="s">
        <v>12637</v>
      </c>
      <c r="I228" s="18" t="s">
        <v>70</v>
      </c>
      <c r="J228" s="18" t="s">
        <v>8102</v>
      </c>
      <c r="K228" s="18" t="s">
        <v>8103</v>
      </c>
      <c r="L228" s="18" t="s">
        <v>73</v>
      </c>
      <c r="M228" s="18" t="s">
        <v>7029</v>
      </c>
      <c r="N228" s="18" t="s">
        <v>12638</v>
      </c>
      <c r="O228" s="18" t="s">
        <v>75</v>
      </c>
      <c r="P228" s="18" t="s">
        <v>12639</v>
      </c>
      <c r="Q228" s="18" t="s">
        <v>1532</v>
      </c>
      <c r="R228" s="18" t="s">
        <v>78</v>
      </c>
      <c r="S228" s="18" t="s">
        <v>77</v>
      </c>
      <c r="T228" s="22">
        <v>44915</v>
      </c>
      <c r="U228" s="18"/>
      <c r="V228" s="18" t="s">
        <v>81</v>
      </c>
      <c r="W228" s="18" t="s">
        <v>79</v>
      </c>
      <c r="X228" s="18" t="s">
        <v>10803</v>
      </c>
      <c r="Y228" s="18" t="s">
        <v>242</v>
      </c>
      <c r="Z228" s="18" t="s">
        <v>243</v>
      </c>
      <c r="AA228" s="18" t="s">
        <v>242</v>
      </c>
      <c r="AB228" s="18" t="s">
        <v>243</v>
      </c>
      <c r="AC228" s="18" t="s">
        <v>7984</v>
      </c>
      <c r="AD228" s="18" t="s">
        <v>10804</v>
      </c>
      <c r="AE228" s="18" t="s">
        <v>80</v>
      </c>
      <c r="AF228" s="18" t="s">
        <v>95</v>
      </c>
      <c r="AG228" s="18" t="s">
        <v>83</v>
      </c>
      <c r="AH228" s="18" t="s">
        <v>83</v>
      </c>
      <c r="AI228" s="18" t="s">
        <v>81</v>
      </c>
      <c r="AJ228" s="18" t="s">
        <v>118</v>
      </c>
      <c r="AK228" s="18" t="s">
        <v>95</v>
      </c>
      <c r="AL228" s="18" t="s">
        <v>12414</v>
      </c>
      <c r="AM228" s="18" t="s">
        <v>85</v>
      </c>
      <c r="AN228" s="18" t="s">
        <v>7031</v>
      </c>
      <c r="AO228" s="18" t="s">
        <v>86</v>
      </c>
      <c r="AP228" s="18" t="s">
        <v>90</v>
      </c>
      <c r="AQ228" s="18" t="s">
        <v>8106</v>
      </c>
      <c r="AR228" s="18" t="s">
        <v>91</v>
      </c>
      <c r="AS228" s="18" t="s">
        <v>92</v>
      </c>
      <c r="AT228" s="18" t="s">
        <v>95</v>
      </c>
      <c r="AU228" s="18" t="s">
        <v>95</v>
      </c>
      <c r="AV228" s="18" t="s">
        <v>7029</v>
      </c>
      <c r="AW228" s="18" t="s">
        <v>95</v>
      </c>
      <c r="AX228" s="18" t="s">
        <v>10806</v>
      </c>
      <c r="AY228" s="18" t="s">
        <v>95</v>
      </c>
      <c r="AZ228" s="18" t="s">
        <v>95</v>
      </c>
      <c r="BA228" s="18" t="s">
        <v>95</v>
      </c>
      <c r="BB228" s="18" t="s">
        <v>95</v>
      </c>
      <c r="BC228" s="18" t="s">
        <v>95</v>
      </c>
      <c r="BD228" s="18" t="s">
        <v>10807</v>
      </c>
      <c r="BE228" s="18" t="s">
        <v>11206</v>
      </c>
      <c r="BF228" s="18" t="s">
        <v>10809</v>
      </c>
      <c r="BG228" s="18" t="s">
        <v>7030</v>
      </c>
      <c r="BH228" s="18"/>
      <c r="BI228" s="18"/>
      <c r="BJ228" s="18" t="s">
        <v>242</v>
      </c>
      <c r="BK228" s="18" t="s">
        <v>12640</v>
      </c>
      <c r="BL228" s="18" t="s">
        <v>10811</v>
      </c>
      <c r="BM228" s="18" t="s">
        <v>92</v>
      </c>
      <c r="BN228" s="18" t="s">
        <v>85</v>
      </c>
      <c r="BO228" s="18">
        <v>0</v>
      </c>
      <c r="BP228" s="18" t="s">
        <v>10812</v>
      </c>
      <c r="BQ228" s="18" t="str">
        <f>VLOOKUP(Prepago[[#This Row],[NOM_PLAZA]],[1]!Locales[#Data],3,0)</f>
        <v>TIENDA CUENCA CENTRO</v>
      </c>
      <c r="BR228" s="18" t="str">
        <f>VLOOKUP(Prepago[[#This Row],[CODIGO_USUARIO]],[1]!Personal[#Data],6,0)</f>
        <v>VALLEJO DELEG ROMAN NICOLAS</v>
      </c>
      <c r="BS228" s="18">
        <f>DAY(Prepago[[#This Row],[FECHA_ALTA]])</f>
        <v>10</v>
      </c>
    </row>
    <row r="229" spans="1:71" x14ac:dyDescent="0.25">
      <c r="A229" s="18" t="s">
        <v>96</v>
      </c>
      <c r="B229" s="18" t="s">
        <v>12641</v>
      </c>
      <c r="C229" s="18" t="s">
        <v>12642</v>
      </c>
      <c r="D229" s="18" t="s">
        <v>12643</v>
      </c>
      <c r="E229" s="22">
        <v>44901</v>
      </c>
      <c r="F229" s="18" t="s">
        <v>67</v>
      </c>
      <c r="G229" s="18" t="s">
        <v>12644</v>
      </c>
      <c r="H229" s="18" t="s">
        <v>12645</v>
      </c>
      <c r="I229" s="18" t="s">
        <v>70</v>
      </c>
      <c r="J229" s="18" t="s">
        <v>8102</v>
      </c>
      <c r="K229" s="18" t="s">
        <v>8103</v>
      </c>
      <c r="L229" s="18" t="s">
        <v>73</v>
      </c>
      <c r="M229" s="18" t="s">
        <v>7029</v>
      </c>
      <c r="N229" s="18" t="s">
        <v>12646</v>
      </c>
      <c r="O229" s="18" t="s">
        <v>75</v>
      </c>
      <c r="P229" s="18" t="s">
        <v>12647</v>
      </c>
      <c r="Q229" s="18" t="s">
        <v>4453</v>
      </c>
      <c r="R229" s="18" t="s">
        <v>78</v>
      </c>
      <c r="S229" s="18" t="s">
        <v>77</v>
      </c>
      <c r="T229" s="22">
        <v>44915</v>
      </c>
      <c r="U229" s="18"/>
      <c r="V229" s="18" t="s">
        <v>81</v>
      </c>
      <c r="W229" s="18" t="s">
        <v>79</v>
      </c>
      <c r="X229" s="18" t="s">
        <v>10803</v>
      </c>
      <c r="Y229" s="18" t="s">
        <v>880</v>
      </c>
      <c r="Z229" s="18" t="s">
        <v>881</v>
      </c>
      <c r="AA229" s="18" t="s">
        <v>880</v>
      </c>
      <c r="AB229" s="18" t="s">
        <v>881</v>
      </c>
      <c r="AC229" s="18" t="s">
        <v>7984</v>
      </c>
      <c r="AD229" s="18" t="s">
        <v>10804</v>
      </c>
      <c r="AE229" s="18" t="s">
        <v>80</v>
      </c>
      <c r="AF229" s="18" t="s">
        <v>95</v>
      </c>
      <c r="AG229" s="18" t="s">
        <v>83</v>
      </c>
      <c r="AH229" s="18" t="s">
        <v>83</v>
      </c>
      <c r="AI229" s="18" t="s">
        <v>81</v>
      </c>
      <c r="AJ229" s="18" t="s">
        <v>118</v>
      </c>
      <c r="AK229" s="18" t="s">
        <v>95</v>
      </c>
      <c r="AL229" s="18" t="s">
        <v>12377</v>
      </c>
      <c r="AM229" s="18" t="s">
        <v>85</v>
      </c>
      <c r="AN229" s="18" t="s">
        <v>7031</v>
      </c>
      <c r="AO229" s="18" t="s">
        <v>86</v>
      </c>
      <c r="AP229" s="18" t="s">
        <v>90</v>
      </c>
      <c r="AQ229" s="18" t="s">
        <v>8106</v>
      </c>
      <c r="AR229" s="18" t="s">
        <v>91</v>
      </c>
      <c r="AS229" s="18" t="s">
        <v>92</v>
      </c>
      <c r="AT229" s="18" t="s">
        <v>95</v>
      </c>
      <c r="AU229" s="18" t="s">
        <v>95</v>
      </c>
      <c r="AV229" s="18" t="s">
        <v>7029</v>
      </c>
      <c r="AW229" s="18" t="s">
        <v>95</v>
      </c>
      <c r="AX229" s="18" t="s">
        <v>10806</v>
      </c>
      <c r="AY229" s="18" t="s">
        <v>95</v>
      </c>
      <c r="AZ229" s="18" t="s">
        <v>95</v>
      </c>
      <c r="BA229" s="18" t="s">
        <v>95</v>
      </c>
      <c r="BB229" s="18" t="s">
        <v>95</v>
      </c>
      <c r="BC229" s="18" t="s">
        <v>95</v>
      </c>
      <c r="BD229" s="18" t="s">
        <v>10807</v>
      </c>
      <c r="BE229" s="18" t="s">
        <v>12648</v>
      </c>
      <c r="BF229" s="18" t="s">
        <v>10809</v>
      </c>
      <c r="BG229" s="18" t="s">
        <v>7030</v>
      </c>
      <c r="BH229" s="18"/>
      <c r="BI229" s="18"/>
      <c r="BJ229" s="18" t="s">
        <v>880</v>
      </c>
      <c r="BK229" s="18" t="s">
        <v>12649</v>
      </c>
      <c r="BL229" s="18" t="s">
        <v>10811</v>
      </c>
      <c r="BM229" s="18" t="s">
        <v>92</v>
      </c>
      <c r="BN229" s="18" t="s">
        <v>85</v>
      </c>
      <c r="BO229" s="18">
        <v>0</v>
      </c>
      <c r="BP229" s="18" t="s">
        <v>10812</v>
      </c>
      <c r="BQ229" s="18" t="str">
        <f>VLOOKUP(Prepago[[#This Row],[NOM_PLAZA]],[1]!Locales[#Data],3,0)</f>
        <v>TIENDA CUENCA CENTRO</v>
      </c>
      <c r="BR229" s="18" t="str">
        <f>VLOOKUP(Prepago[[#This Row],[CODIGO_USUARIO]],[1]!Personal[#Data],6,0)</f>
        <v>LUNA JACHO ANDREA GABRIELA</v>
      </c>
      <c r="BS229" s="18">
        <f>DAY(Prepago[[#This Row],[FECHA_ALTA]])</f>
        <v>6</v>
      </c>
    </row>
    <row r="230" spans="1:71" x14ac:dyDescent="0.25">
      <c r="A230" s="18" t="s">
        <v>96</v>
      </c>
      <c r="B230" s="18" t="s">
        <v>12650</v>
      </c>
      <c r="C230" s="18" t="s">
        <v>12651</v>
      </c>
      <c r="D230" s="18" t="s">
        <v>12652</v>
      </c>
      <c r="E230" s="22">
        <v>44896</v>
      </c>
      <c r="F230" s="18" t="s">
        <v>67</v>
      </c>
      <c r="G230" s="18" t="s">
        <v>12653</v>
      </c>
      <c r="H230" s="18" t="s">
        <v>12654</v>
      </c>
      <c r="I230" s="18" t="s">
        <v>70</v>
      </c>
      <c r="J230" s="18" t="s">
        <v>8102</v>
      </c>
      <c r="K230" s="18" t="s">
        <v>8103</v>
      </c>
      <c r="L230" s="18" t="s">
        <v>95</v>
      </c>
      <c r="M230" s="18" t="s">
        <v>7029</v>
      </c>
      <c r="N230" s="18" t="s">
        <v>12655</v>
      </c>
      <c r="O230" s="18" t="s">
        <v>75</v>
      </c>
      <c r="P230" s="18" t="s">
        <v>12656</v>
      </c>
      <c r="Q230" s="18" t="s">
        <v>4453</v>
      </c>
      <c r="R230" s="18" t="s">
        <v>78</v>
      </c>
      <c r="S230" s="18" t="s">
        <v>77</v>
      </c>
      <c r="T230" s="22">
        <v>44915</v>
      </c>
      <c r="U230" s="18"/>
      <c r="V230" s="18" t="s">
        <v>81</v>
      </c>
      <c r="W230" s="18" t="s">
        <v>79</v>
      </c>
      <c r="X230" s="18" t="s">
        <v>10803</v>
      </c>
      <c r="Y230" s="18" t="s">
        <v>880</v>
      </c>
      <c r="Z230" s="18" t="s">
        <v>881</v>
      </c>
      <c r="AA230" s="18" t="s">
        <v>7062</v>
      </c>
      <c r="AB230" s="18" t="s">
        <v>95</v>
      </c>
      <c r="AC230" s="18" t="s">
        <v>7984</v>
      </c>
      <c r="AD230" s="18" t="s">
        <v>10804</v>
      </c>
      <c r="AE230" s="18" t="s">
        <v>80</v>
      </c>
      <c r="AF230" s="18" t="s">
        <v>95</v>
      </c>
      <c r="AG230" s="18" t="s">
        <v>81</v>
      </c>
      <c r="AH230" s="18" t="s">
        <v>83</v>
      </c>
      <c r="AI230" s="18" t="s">
        <v>81</v>
      </c>
      <c r="AJ230" s="18" t="s">
        <v>118</v>
      </c>
      <c r="AK230" s="18" t="s">
        <v>95</v>
      </c>
      <c r="AL230" s="18" t="s">
        <v>12377</v>
      </c>
      <c r="AM230" s="18" t="s">
        <v>85</v>
      </c>
      <c r="AN230" s="18" t="s">
        <v>7031</v>
      </c>
      <c r="AO230" s="18" t="s">
        <v>86</v>
      </c>
      <c r="AP230" s="18" t="s">
        <v>90</v>
      </c>
      <c r="AQ230" s="18" t="s">
        <v>8106</v>
      </c>
      <c r="AR230" s="18" t="s">
        <v>91</v>
      </c>
      <c r="AS230" s="18" t="s">
        <v>92</v>
      </c>
      <c r="AT230" s="18" t="s">
        <v>95</v>
      </c>
      <c r="AU230" s="18" t="s">
        <v>95</v>
      </c>
      <c r="AV230" s="18" t="s">
        <v>7029</v>
      </c>
      <c r="AW230" s="18" t="s">
        <v>95</v>
      </c>
      <c r="AX230" s="18" t="s">
        <v>10806</v>
      </c>
      <c r="AY230" s="18" t="s">
        <v>693</v>
      </c>
      <c r="AZ230" s="18" t="s">
        <v>95</v>
      </c>
      <c r="BA230" s="18" t="s">
        <v>95</v>
      </c>
      <c r="BB230" s="18" t="s">
        <v>95</v>
      </c>
      <c r="BC230" s="18" t="s">
        <v>95</v>
      </c>
      <c r="BD230" s="18" t="s">
        <v>10807</v>
      </c>
      <c r="BE230" s="18" t="s">
        <v>95</v>
      </c>
      <c r="BF230" s="18" t="s">
        <v>7029</v>
      </c>
      <c r="BG230" s="18" t="s">
        <v>7030</v>
      </c>
      <c r="BH230" s="18"/>
      <c r="BI230" s="18"/>
      <c r="BJ230" s="18" t="s">
        <v>880</v>
      </c>
      <c r="BK230" s="18" t="s">
        <v>12657</v>
      </c>
      <c r="BL230" s="18" t="s">
        <v>10811</v>
      </c>
      <c r="BM230" s="18" t="s">
        <v>92</v>
      </c>
      <c r="BN230" s="18" t="s">
        <v>85</v>
      </c>
      <c r="BO230" s="18">
        <v>0</v>
      </c>
      <c r="BP230" s="18" t="s">
        <v>10812</v>
      </c>
      <c r="BQ230" s="18" t="str">
        <f>VLOOKUP(Prepago[[#This Row],[NOM_PLAZA]],[1]!Locales[#Data],3,0)</f>
        <v>TIENDA CUENCA CENTRO</v>
      </c>
      <c r="BR230" s="18" t="str">
        <f>VLOOKUP(Prepago[[#This Row],[CODIGO_USUARIO]],[1]!Personal[#Data],6,0)</f>
        <v>LUNA JACHO ANDREA GABRIELA</v>
      </c>
      <c r="BS230" s="18">
        <f>DAY(Prepago[[#This Row],[FECHA_ALTA]])</f>
        <v>1</v>
      </c>
    </row>
    <row r="231" spans="1:71" x14ac:dyDescent="0.25">
      <c r="A231" s="18" t="s">
        <v>96</v>
      </c>
      <c r="B231" s="18" t="s">
        <v>12658</v>
      </c>
      <c r="C231" s="18" t="s">
        <v>12659</v>
      </c>
      <c r="D231" s="18" t="s">
        <v>12660</v>
      </c>
      <c r="E231" s="22">
        <v>44896</v>
      </c>
      <c r="F231" s="18" t="s">
        <v>67</v>
      </c>
      <c r="G231" s="18" t="s">
        <v>12661</v>
      </c>
      <c r="H231" s="18" t="s">
        <v>12662</v>
      </c>
      <c r="I231" s="18" t="s">
        <v>70</v>
      </c>
      <c r="J231" s="18" t="s">
        <v>8102</v>
      </c>
      <c r="K231" s="18" t="s">
        <v>8103</v>
      </c>
      <c r="L231" s="18" t="s">
        <v>95</v>
      </c>
      <c r="M231" s="18" t="s">
        <v>7029</v>
      </c>
      <c r="N231" s="18" t="s">
        <v>12663</v>
      </c>
      <c r="O231" s="18" t="s">
        <v>75</v>
      </c>
      <c r="P231" s="18" t="s">
        <v>12664</v>
      </c>
      <c r="Q231" s="18" t="s">
        <v>4453</v>
      </c>
      <c r="R231" s="18" t="s">
        <v>78</v>
      </c>
      <c r="S231" s="18" t="s">
        <v>77</v>
      </c>
      <c r="T231" s="22">
        <v>44915</v>
      </c>
      <c r="U231" s="18"/>
      <c r="V231" s="18" t="s">
        <v>81</v>
      </c>
      <c r="W231" s="18" t="s">
        <v>79</v>
      </c>
      <c r="X231" s="18" t="s">
        <v>10803</v>
      </c>
      <c r="Y231" s="18" t="s">
        <v>880</v>
      </c>
      <c r="Z231" s="18" t="s">
        <v>881</v>
      </c>
      <c r="AA231" s="18" t="s">
        <v>7062</v>
      </c>
      <c r="AB231" s="18" t="s">
        <v>95</v>
      </c>
      <c r="AC231" s="18" t="s">
        <v>7984</v>
      </c>
      <c r="AD231" s="18" t="s">
        <v>10804</v>
      </c>
      <c r="AE231" s="18" t="s">
        <v>80</v>
      </c>
      <c r="AF231" s="18" t="s">
        <v>95</v>
      </c>
      <c r="AG231" s="18" t="s">
        <v>81</v>
      </c>
      <c r="AH231" s="18" t="s">
        <v>83</v>
      </c>
      <c r="AI231" s="18" t="s">
        <v>81</v>
      </c>
      <c r="AJ231" s="18" t="s">
        <v>118</v>
      </c>
      <c r="AK231" s="18" t="s">
        <v>95</v>
      </c>
      <c r="AL231" s="18" t="s">
        <v>12377</v>
      </c>
      <c r="AM231" s="18" t="s">
        <v>85</v>
      </c>
      <c r="AN231" s="18" t="s">
        <v>7031</v>
      </c>
      <c r="AO231" s="18" t="s">
        <v>86</v>
      </c>
      <c r="AP231" s="18" t="s">
        <v>90</v>
      </c>
      <c r="AQ231" s="18" t="s">
        <v>8106</v>
      </c>
      <c r="AR231" s="18" t="s">
        <v>91</v>
      </c>
      <c r="AS231" s="18" t="s">
        <v>92</v>
      </c>
      <c r="AT231" s="18" t="s">
        <v>95</v>
      </c>
      <c r="AU231" s="18" t="s">
        <v>95</v>
      </c>
      <c r="AV231" s="18" t="s">
        <v>7029</v>
      </c>
      <c r="AW231" s="18" t="s">
        <v>95</v>
      </c>
      <c r="AX231" s="18" t="s">
        <v>10806</v>
      </c>
      <c r="AY231" s="18" t="s">
        <v>82</v>
      </c>
      <c r="AZ231" s="18" t="s">
        <v>95</v>
      </c>
      <c r="BA231" s="18" t="s">
        <v>95</v>
      </c>
      <c r="BB231" s="18" t="s">
        <v>95</v>
      </c>
      <c r="BC231" s="18" t="s">
        <v>95</v>
      </c>
      <c r="BD231" s="18" t="s">
        <v>10807</v>
      </c>
      <c r="BE231" s="18" t="s">
        <v>95</v>
      </c>
      <c r="BF231" s="18" t="s">
        <v>7414</v>
      </c>
      <c r="BG231" s="18" t="s">
        <v>7030</v>
      </c>
      <c r="BH231" s="18"/>
      <c r="BI231" s="18"/>
      <c r="BJ231" s="18" t="s">
        <v>880</v>
      </c>
      <c r="BK231" s="18" t="s">
        <v>12665</v>
      </c>
      <c r="BL231" s="18" t="s">
        <v>10811</v>
      </c>
      <c r="BM231" s="18" t="s">
        <v>92</v>
      </c>
      <c r="BN231" s="18" t="s">
        <v>85</v>
      </c>
      <c r="BO231" s="18">
        <v>1</v>
      </c>
      <c r="BP231" s="18" t="s">
        <v>10812</v>
      </c>
      <c r="BQ231" s="18" t="str">
        <f>VLOOKUP(Prepago[[#This Row],[NOM_PLAZA]],[1]!Locales[#Data],3,0)</f>
        <v>TIENDA CUENCA CENTRO</v>
      </c>
      <c r="BR231" s="18" t="str">
        <f>VLOOKUP(Prepago[[#This Row],[CODIGO_USUARIO]],[1]!Personal[#Data],6,0)</f>
        <v>LUNA JACHO ANDREA GABRIELA</v>
      </c>
      <c r="BS231" s="18">
        <f>DAY(Prepago[[#This Row],[FECHA_ALTA]])</f>
        <v>1</v>
      </c>
    </row>
    <row r="232" spans="1:71" x14ac:dyDescent="0.25">
      <c r="A232" s="18" t="s">
        <v>96</v>
      </c>
      <c r="B232" s="18" t="s">
        <v>12666</v>
      </c>
      <c r="C232" s="18" t="s">
        <v>12667</v>
      </c>
      <c r="D232" s="18" t="s">
        <v>12499</v>
      </c>
      <c r="E232" s="22">
        <v>44896</v>
      </c>
      <c r="F232" s="18" t="s">
        <v>67</v>
      </c>
      <c r="G232" s="18" t="s">
        <v>12500</v>
      </c>
      <c r="H232" s="18" t="s">
        <v>12501</v>
      </c>
      <c r="I232" s="18" t="s">
        <v>70</v>
      </c>
      <c r="J232" s="18" t="s">
        <v>8102</v>
      </c>
      <c r="K232" s="18" t="s">
        <v>8103</v>
      </c>
      <c r="L232" s="18" t="s">
        <v>259</v>
      </c>
      <c r="M232" s="18" t="s">
        <v>7029</v>
      </c>
      <c r="N232" s="18" t="s">
        <v>12668</v>
      </c>
      <c r="O232" s="18" t="s">
        <v>75</v>
      </c>
      <c r="P232" s="18" t="s">
        <v>12669</v>
      </c>
      <c r="Q232" s="18" t="s">
        <v>10817</v>
      </c>
      <c r="R232" s="18" t="s">
        <v>78</v>
      </c>
      <c r="S232" s="18" t="s">
        <v>77</v>
      </c>
      <c r="T232" s="22">
        <v>44915</v>
      </c>
      <c r="U232" s="18"/>
      <c r="V232" s="18" t="s">
        <v>81</v>
      </c>
      <c r="W232" s="18" t="s">
        <v>79</v>
      </c>
      <c r="X232" s="18" t="s">
        <v>10803</v>
      </c>
      <c r="Y232" s="18" t="s">
        <v>242</v>
      </c>
      <c r="Z232" s="18" t="s">
        <v>243</v>
      </c>
      <c r="AA232" s="18" t="s">
        <v>242</v>
      </c>
      <c r="AB232" s="18" t="s">
        <v>243</v>
      </c>
      <c r="AC232" s="18" t="s">
        <v>7984</v>
      </c>
      <c r="AD232" s="18" t="s">
        <v>10804</v>
      </c>
      <c r="AE232" s="18" t="s">
        <v>80</v>
      </c>
      <c r="AF232" s="18" t="s">
        <v>95</v>
      </c>
      <c r="AG232" s="18" t="s">
        <v>83</v>
      </c>
      <c r="AH232" s="18" t="s">
        <v>83</v>
      </c>
      <c r="AI232" s="18" t="s">
        <v>81</v>
      </c>
      <c r="AJ232" s="18" t="s">
        <v>118</v>
      </c>
      <c r="AK232" s="18" t="s">
        <v>95</v>
      </c>
      <c r="AL232" s="18" t="s">
        <v>12414</v>
      </c>
      <c r="AM232" s="18" t="s">
        <v>85</v>
      </c>
      <c r="AN232" s="18" t="s">
        <v>7031</v>
      </c>
      <c r="AO232" s="18" t="s">
        <v>86</v>
      </c>
      <c r="AP232" s="18" t="s">
        <v>90</v>
      </c>
      <c r="AQ232" s="18" t="s">
        <v>8106</v>
      </c>
      <c r="AR232" s="18" t="s">
        <v>91</v>
      </c>
      <c r="AS232" s="18" t="s">
        <v>92</v>
      </c>
      <c r="AT232" s="18" t="s">
        <v>95</v>
      </c>
      <c r="AU232" s="18" t="s">
        <v>95</v>
      </c>
      <c r="AV232" s="18" t="s">
        <v>7029</v>
      </c>
      <c r="AW232" s="18" t="s">
        <v>95</v>
      </c>
      <c r="AX232" s="18" t="s">
        <v>10806</v>
      </c>
      <c r="AY232" s="18" t="s">
        <v>95</v>
      </c>
      <c r="AZ232" s="18" t="s">
        <v>95</v>
      </c>
      <c r="BA232" s="18" t="s">
        <v>95</v>
      </c>
      <c r="BB232" s="18" t="s">
        <v>95</v>
      </c>
      <c r="BC232" s="18" t="s">
        <v>95</v>
      </c>
      <c r="BD232" s="18" t="s">
        <v>10829</v>
      </c>
      <c r="BE232" s="18" t="s">
        <v>12504</v>
      </c>
      <c r="BF232" s="18" t="s">
        <v>10809</v>
      </c>
      <c r="BG232" s="18" t="s">
        <v>7030</v>
      </c>
      <c r="BH232" s="18"/>
      <c r="BI232" s="18"/>
      <c r="BJ232" s="18" t="s">
        <v>242</v>
      </c>
      <c r="BK232" s="18" t="s">
        <v>12623</v>
      </c>
      <c r="BL232" s="18" t="s">
        <v>10811</v>
      </c>
      <c r="BM232" s="18" t="s">
        <v>92</v>
      </c>
      <c r="BN232" s="18" t="s">
        <v>85</v>
      </c>
      <c r="BO232" s="18">
        <v>1</v>
      </c>
      <c r="BP232" s="18" t="s">
        <v>10812</v>
      </c>
      <c r="BQ232" s="18" t="str">
        <f>VLOOKUP(Prepago[[#This Row],[NOM_PLAZA]],[1]!Locales[#Data],3,0)</f>
        <v>TIENDA CUENCA CENTRO</v>
      </c>
      <c r="BR232" s="18" t="str">
        <f>VLOOKUP(Prepago[[#This Row],[CODIGO_USUARIO]],[1]!Personal[#Data],6,0)</f>
        <v>VALLEJO DELEG ROMAN NICOLAS</v>
      </c>
      <c r="BS232" s="18">
        <f>DAY(Prepago[[#This Row],[FECHA_ALTA]])</f>
        <v>1</v>
      </c>
    </row>
    <row r="233" spans="1:71" x14ac:dyDescent="0.25">
      <c r="A233" s="18" t="s">
        <v>96</v>
      </c>
      <c r="B233" s="18" t="s">
        <v>12670</v>
      </c>
      <c r="C233" s="18" t="s">
        <v>12671</v>
      </c>
      <c r="D233" s="18" t="s">
        <v>12672</v>
      </c>
      <c r="E233" s="22">
        <v>44912</v>
      </c>
      <c r="F233" s="18" t="s">
        <v>67</v>
      </c>
      <c r="G233" s="18" t="s">
        <v>12673</v>
      </c>
      <c r="H233" s="18" t="s">
        <v>12674</v>
      </c>
      <c r="I233" s="18" t="s">
        <v>70</v>
      </c>
      <c r="J233" s="18" t="s">
        <v>8102</v>
      </c>
      <c r="K233" s="18" t="s">
        <v>8103</v>
      </c>
      <c r="L233" s="18" t="s">
        <v>132</v>
      </c>
      <c r="M233" s="18" t="s">
        <v>7029</v>
      </c>
      <c r="N233" s="18" t="s">
        <v>12675</v>
      </c>
      <c r="O233" s="18" t="s">
        <v>75</v>
      </c>
      <c r="P233" s="18" t="s">
        <v>12676</v>
      </c>
      <c r="Q233" s="18" t="s">
        <v>4453</v>
      </c>
      <c r="R233" s="18" t="s">
        <v>78</v>
      </c>
      <c r="S233" s="18" t="s">
        <v>77</v>
      </c>
      <c r="T233" s="22">
        <v>44915</v>
      </c>
      <c r="U233" s="18"/>
      <c r="V233" s="18" t="s">
        <v>81</v>
      </c>
      <c r="W233" s="18" t="s">
        <v>79</v>
      </c>
      <c r="X233" s="18" t="s">
        <v>10803</v>
      </c>
      <c r="Y233" s="18" t="s">
        <v>289</v>
      </c>
      <c r="Z233" s="18" t="s">
        <v>290</v>
      </c>
      <c r="AA233" s="18" t="s">
        <v>289</v>
      </c>
      <c r="AB233" s="18" t="s">
        <v>290</v>
      </c>
      <c r="AC233" s="18" t="s">
        <v>7984</v>
      </c>
      <c r="AD233" s="18" t="s">
        <v>10804</v>
      </c>
      <c r="AE233" s="18" t="s">
        <v>80</v>
      </c>
      <c r="AF233" s="18" t="s">
        <v>95</v>
      </c>
      <c r="AG233" s="18" t="s">
        <v>83</v>
      </c>
      <c r="AH233" s="18" t="s">
        <v>83</v>
      </c>
      <c r="AI233" s="18" t="s">
        <v>81</v>
      </c>
      <c r="AJ233" s="18" t="s">
        <v>118</v>
      </c>
      <c r="AK233" s="18" t="s">
        <v>95</v>
      </c>
      <c r="AL233" s="18" t="s">
        <v>12396</v>
      </c>
      <c r="AM233" s="18" t="s">
        <v>85</v>
      </c>
      <c r="AN233" s="18" t="s">
        <v>7031</v>
      </c>
      <c r="AO233" s="18" t="s">
        <v>86</v>
      </c>
      <c r="AP233" s="18" t="s">
        <v>90</v>
      </c>
      <c r="AQ233" s="18" t="s">
        <v>8106</v>
      </c>
      <c r="AR233" s="18" t="s">
        <v>91</v>
      </c>
      <c r="AS233" s="18" t="s">
        <v>92</v>
      </c>
      <c r="AT233" s="18" t="s">
        <v>95</v>
      </c>
      <c r="AU233" s="18" t="s">
        <v>95</v>
      </c>
      <c r="AV233" s="18" t="s">
        <v>7029</v>
      </c>
      <c r="AW233" s="18" t="s">
        <v>95</v>
      </c>
      <c r="AX233" s="18" t="s">
        <v>10806</v>
      </c>
      <c r="AY233" s="18" t="s">
        <v>95</v>
      </c>
      <c r="AZ233" s="18" t="s">
        <v>95</v>
      </c>
      <c r="BA233" s="18" t="s">
        <v>95</v>
      </c>
      <c r="BB233" s="18" t="s">
        <v>95</v>
      </c>
      <c r="BC233" s="18" t="s">
        <v>95</v>
      </c>
      <c r="BD233" s="18" t="s">
        <v>10829</v>
      </c>
      <c r="BE233" s="18" t="s">
        <v>12677</v>
      </c>
      <c r="BF233" s="18" t="s">
        <v>10809</v>
      </c>
      <c r="BG233" s="18" t="s">
        <v>7030</v>
      </c>
      <c r="BH233" s="18"/>
      <c r="BI233" s="18"/>
      <c r="BJ233" s="18" t="s">
        <v>289</v>
      </c>
      <c r="BK233" s="18" t="s">
        <v>12678</v>
      </c>
      <c r="BL233" s="18" t="s">
        <v>10811</v>
      </c>
      <c r="BM233" s="18" t="s">
        <v>92</v>
      </c>
      <c r="BN233" s="18" t="s">
        <v>85</v>
      </c>
      <c r="BO233" s="18">
        <v>0</v>
      </c>
      <c r="BP233" s="18" t="s">
        <v>10812</v>
      </c>
      <c r="BQ233" s="18" t="str">
        <f>VLOOKUP(Prepago[[#This Row],[NOM_PLAZA]],[1]!Locales[#Data],3,0)</f>
        <v>TIENDA CUENCA CENTRO</v>
      </c>
      <c r="BR233" s="18" t="str">
        <f>VLOOKUP(Prepago[[#This Row],[CODIGO_USUARIO]],[1]!Personal[#Data],6,0)</f>
        <v>CALLE CHACA JORGE VINICIO</v>
      </c>
      <c r="BS233" s="18">
        <f>DAY(Prepago[[#This Row],[FECHA_ALTA]])</f>
        <v>17</v>
      </c>
    </row>
    <row r="234" spans="1:71" x14ac:dyDescent="0.25">
      <c r="A234" s="18" t="s">
        <v>96</v>
      </c>
      <c r="B234" s="18" t="s">
        <v>12679</v>
      </c>
      <c r="C234" s="18" t="s">
        <v>12680</v>
      </c>
      <c r="D234" s="18" t="s">
        <v>12681</v>
      </c>
      <c r="E234" s="22">
        <v>44908</v>
      </c>
      <c r="F234" s="18" t="s">
        <v>67</v>
      </c>
      <c r="G234" s="18" t="s">
        <v>12682</v>
      </c>
      <c r="H234" s="18" t="s">
        <v>12683</v>
      </c>
      <c r="I234" s="18" t="s">
        <v>70</v>
      </c>
      <c r="J234" s="18" t="s">
        <v>8102</v>
      </c>
      <c r="K234" s="18" t="s">
        <v>8103</v>
      </c>
      <c r="L234" s="18" t="s">
        <v>73</v>
      </c>
      <c r="M234" s="18" t="s">
        <v>7029</v>
      </c>
      <c r="N234" s="18" t="s">
        <v>12684</v>
      </c>
      <c r="O234" s="18" t="s">
        <v>75</v>
      </c>
      <c r="P234" s="18" t="s">
        <v>12685</v>
      </c>
      <c r="Q234" s="18" t="s">
        <v>4453</v>
      </c>
      <c r="R234" s="18" t="s">
        <v>78</v>
      </c>
      <c r="S234" s="18" t="s">
        <v>77</v>
      </c>
      <c r="T234" s="22">
        <v>44915</v>
      </c>
      <c r="U234" s="18"/>
      <c r="V234" s="18" t="s">
        <v>81</v>
      </c>
      <c r="W234" s="18" t="s">
        <v>79</v>
      </c>
      <c r="X234" s="18" t="s">
        <v>10803</v>
      </c>
      <c r="Y234" s="18" t="s">
        <v>289</v>
      </c>
      <c r="Z234" s="18" t="s">
        <v>290</v>
      </c>
      <c r="AA234" s="18" t="s">
        <v>289</v>
      </c>
      <c r="AB234" s="18" t="s">
        <v>290</v>
      </c>
      <c r="AC234" s="18" t="s">
        <v>7984</v>
      </c>
      <c r="AD234" s="18" t="s">
        <v>10804</v>
      </c>
      <c r="AE234" s="18" t="s">
        <v>80</v>
      </c>
      <c r="AF234" s="18" t="s">
        <v>95</v>
      </c>
      <c r="AG234" s="18" t="s">
        <v>83</v>
      </c>
      <c r="AH234" s="18" t="s">
        <v>83</v>
      </c>
      <c r="AI234" s="18" t="s">
        <v>81</v>
      </c>
      <c r="AJ234" s="18" t="s">
        <v>118</v>
      </c>
      <c r="AK234" s="18" t="s">
        <v>95</v>
      </c>
      <c r="AL234" s="18" t="s">
        <v>12396</v>
      </c>
      <c r="AM234" s="18" t="s">
        <v>85</v>
      </c>
      <c r="AN234" s="18" t="s">
        <v>7031</v>
      </c>
      <c r="AO234" s="18" t="s">
        <v>86</v>
      </c>
      <c r="AP234" s="18" t="s">
        <v>90</v>
      </c>
      <c r="AQ234" s="18" t="s">
        <v>8106</v>
      </c>
      <c r="AR234" s="18" t="s">
        <v>91</v>
      </c>
      <c r="AS234" s="18" t="s">
        <v>92</v>
      </c>
      <c r="AT234" s="18" t="s">
        <v>95</v>
      </c>
      <c r="AU234" s="18" t="s">
        <v>95</v>
      </c>
      <c r="AV234" s="18" t="s">
        <v>7029</v>
      </c>
      <c r="AW234" s="18" t="s">
        <v>95</v>
      </c>
      <c r="AX234" s="18" t="s">
        <v>10806</v>
      </c>
      <c r="AY234" s="18" t="s">
        <v>95</v>
      </c>
      <c r="AZ234" s="18" t="s">
        <v>95</v>
      </c>
      <c r="BA234" s="18" t="s">
        <v>95</v>
      </c>
      <c r="BB234" s="18" t="s">
        <v>95</v>
      </c>
      <c r="BC234" s="18" t="s">
        <v>95</v>
      </c>
      <c r="BD234" s="18" t="s">
        <v>10829</v>
      </c>
      <c r="BE234" s="18" t="s">
        <v>10808</v>
      </c>
      <c r="BF234" s="18" t="s">
        <v>10809</v>
      </c>
      <c r="BG234" s="18" t="s">
        <v>7030</v>
      </c>
      <c r="BH234" s="18"/>
      <c r="BI234" s="18"/>
      <c r="BJ234" s="18" t="s">
        <v>289</v>
      </c>
      <c r="BK234" s="18" t="s">
        <v>12686</v>
      </c>
      <c r="BL234" s="18" t="s">
        <v>10811</v>
      </c>
      <c r="BM234" s="18" t="s">
        <v>92</v>
      </c>
      <c r="BN234" s="18" t="s">
        <v>85</v>
      </c>
      <c r="BO234" s="18">
        <v>1</v>
      </c>
      <c r="BP234" s="18" t="s">
        <v>10812</v>
      </c>
      <c r="BQ234" s="18" t="str">
        <f>VLOOKUP(Prepago[[#This Row],[NOM_PLAZA]],[1]!Locales[#Data],3,0)</f>
        <v>TIENDA CUENCA CENTRO</v>
      </c>
      <c r="BR234" s="18" t="str">
        <f>VLOOKUP(Prepago[[#This Row],[CODIGO_USUARIO]],[1]!Personal[#Data],6,0)</f>
        <v>CALLE CHACA JORGE VINICIO</v>
      </c>
      <c r="BS234" s="18">
        <f>DAY(Prepago[[#This Row],[FECHA_ALTA]])</f>
        <v>13</v>
      </c>
    </row>
    <row r="235" spans="1:71" x14ac:dyDescent="0.25">
      <c r="A235" s="18" t="s">
        <v>96</v>
      </c>
      <c r="B235" s="18" t="s">
        <v>12687</v>
      </c>
      <c r="C235" s="18" t="s">
        <v>12688</v>
      </c>
      <c r="D235" s="18" t="s">
        <v>12689</v>
      </c>
      <c r="E235" s="22">
        <v>44901</v>
      </c>
      <c r="F235" s="18" t="s">
        <v>67</v>
      </c>
      <c r="G235" s="18" t="s">
        <v>12690</v>
      </c>
      <c r="H235" s="18" t="s">
        <v>12691</v>
      </c>
      <c r="I235" s="18" t="s">
        <v>70</v>
      </c>
      <c r="J235" s="18" t="s">
        <v>8102</v>
      </c>
      <c r="K235" s="18" t="s">
        <v>8103</v>
      </c>
      <c r="L235" s="18" t="s">
        <v>73</v>
      </c>
      <c r="M235" s="18" t="s">
        <v>7029</v>
      </c>
      <c r="N235" s="18" t="s">
        <v>12692</v>
      </c>
      <c r="O235" s="18" t="s">
        <v>75</v>
      </c>
      <c r="P235" s="18" t="s">
        <v>12693</v>
      </c>
      <c r="Q235" s="18" t="s">
        <v>10817</v>
      </c>
      <c r="R235" s="18" t="s">
        <v>78</v>
      </c>
      <c r="S235" s="18" t="s">
        <v>77</v>
      </c>
      <c r="T235" s="22">
        <v>44915</v>
      </c>
      <c r="U235" s="18"/>
      <c r="V235" s="18" t="s">
        <v>81</v>
      </c>
      <c r="W235" s="18" t="s">
        <v>79</v>
      </c>
      <c r="X235" s="18" t="s">
        <v>10803</v>
      </c>
      <c r="Y235" s="18" t="s">
        <v>289</v>
      </c>
      <c r="Z235" s="18" t="s">
        <v>290</v>
      </c>
      <c r="AA235" s="18" t="s">
        <v>289</v>
      </c>
      <c r="AB235" s="18" t="s">
        <v>290</v>
      </c>
      <c r="AC235" s="18" t="s">
        <v>7984</v>
      </c>
      <c r="AD235" s="18" t="s">
        <v>10804</v>
      </c>
      <c r="AE235" s="18" t="s">
        <v>80</v>
      </c>
      <c r="AF235" s="18" t="s">
        <v>95</v>
      </c>
      <c r="AG235" s="18" t="s">
        <v>83</v>
      </c>
      <c r="AH235" s="18" t="s">
        <v>83</v>
      </c>
      <c r="AI235" s="18" t="s">
        <v>81</v>
      </c>
      <c r="AJ235" s="18" t="s">
        <v>118</v>
      </c>
      <c r="AK235" s="18" t="s">
        <v>95</v>
      </c>
      <c r="AL235" s="18" t="s">
        <v>12396</v>
      </c>
      <c r="AM235" s="18" t="s">
        <v>85</v>
      </c>
      <c r="AN235" s="18" t="s">
        <v>7031</v>
      </c>
      <c r="AO235" s="18" t="s">
        <v>86</v>
      </c>
      <c r="AP235" s="18" t="s">
        <v>90</v>
      </c>
      <c r="AQ235" s="18" t="s">
        <v>8106</v>
      </c>
      <c r="AR235" s="18" t="s">
        <v>91</v>
      </c>
      <c r="AS235" s="18" t="s">
        <v>92</v>
      </c>
      <c r="AT235" s="18" t="s">
        <v>95</v>
      </c>
      <c r="AU235" s="18" t="s">
        <v>95</v>
      </c>
      <c r="AV235" s="18" t="s">
        <v>7029</v>
      </c>
      <c r="AW235" s="18" t="s">
        <v>95</v>
      </c>
      <c r="AX235" s="18" t="s">
        <v>10806</v>
      </c>
      <c r="AY235" s="18" t="s">
        <v>95</v>
      </c>
      <c r="AZ235" s="18" t="s">
        <v>95</v>
      </c>
      <c r="BA235" s="18" t="s">
        <v>95</v>
      </c>
      <c r="BB235" s="18" t="s">
        <v>95</v>
      </c>
      <c r="BC235" s="18" t="s">
        <v>95</v>
      </c>
      <c r="BD235" s="18" t="s">
        <v>10829</v>
      </c>
      <c r="BE235" s="18" t="s">
        <v>12694</v>
      </c>
      <c r="BF235" s="18" t="s">
        <v>10809</v>
      </c>
      <c r="BG235" s="18" t="s">
        <v>7030</v>
      </c>
      <c r="BH235" s="18"/>
      <c r="BI235" s="18"/>
      <c r="BJ235" s="18" t="s">
        <v>289</v>
      </c>
      <c r="BK235" s="18" t="s">
        <v>12695</v>
      </c>
      <c r="BL235" s="18" t="s">
        <v>10811</v>
      </c>
      <c r="BM235" s="18" t="s">
        <v>92</v>
      </c>
      <c r="BN235" s="18" t="s">
        <v>85</v>
      </c>
      <c r="BO235" s="18">
        <v>0</v>
      </c>
      <c r="BP235" s="18" t="s">
        <v>10812</v>
      </c>
      <c r="BQ235" s="18" t="str">
        <f>VLOOKUP(Prepago[[#This Row],[NOM_PLAZA]],[1]!Locales[#Data],3,0)</f>
        <v>TIENDA CUENCA CENTRO</v>
      </c>
      <c r="BR235" s="18" t="str">
        <f>VLOOKUP(Prepago[[#This Row],[CODIGO_USUARIO]],[1]!Personal[#Data],6,0)</f>
        <v>CALLE CHACA JORGE VINICIO</v>
      </c>
      <c r="BS235" s="18">
        <f>DAY(Prepago[[#This Row],[FECHA_ALTA]])</f>
        <v>6</v>
      </c>
    </row>
    <row r="236" spans="1:71" x14ac:dyDescent="0.25">
      <c r="A236" s="18" t="s">
        <v>96</v>
      </c>
      <c r="B236" s="18" t="s">
        <v>12696</v>
      </c>
      <c r="C236" s="18" t="s">
        <v>12697</v>
      </c>
      <c r="D236" s="18" t="s">
        <v>12698</v>
      </c>
      <c r="E236" s="22">
        <v>44907</v>
      </c>
      <c r="F236" s="18" t="s">
        <v>67</v>
      </c>
      <c r="G236" s="18" t="s">
        <v>12699</v>
      </c>
      <c r="H236" s="18" t="s">
        <v>12700</v>
      </c>
      <c r="I236" s="18" t="s">
        <v>70</v>
      </c>
      <c r="J236" s="18" t="s">
        <v>8102</v>
      </c>
      <c r="K236" s="18" t="s">
        <v>8103</v>
      </c>
      <c r="L236" s="18" t="s">
        <v>1727</v>
      </c>
      <c r="M236" s="18" t="s">
        <v>7029</v>
      </c>
      <c r="N236" s="18" t="s">
        <v>12701</v>
      </c>
      <c r="O236" s="18" t="s">
        <v>75</v>
      </c>
      <c r="P236" s="18" t="s">
        <v>12702</v>
      </c>
      <c r="Q236" s="18" t="s">
        <v>10817</v>
      </c>
      <c r="R236" s="18" t="s">
        <v>78</v>
      </c>
      <c r="S236" s="18" t="s">
        <v>77</v>
      </c>
      <c r="T236" s="22">
        <v>44915</v>
      </c>
      <c r="U236" s="18"/>
      <c r="V236" s="18" t="s">
        <v>81</v>
      </c>
      <c r="W236" s="18" t="s">
        <v>79</v>
      </c>
      <c r="X236" s="18" t="s">
        <v>10803</v>
      </c>
      <c r="Y236" s="18" t="s">
        <v>880</v>
      </c>
      <c r="Z236" s="18" t="s">
        <v>881</v>
      </c>
      <c r="AA236" s="18" t="s">
        <v>880</v>
      </c>
      <c r="AB236" s="18" t="s">
        <v>881</v>
      </c>
      <c r="AC236" s="18" t="s">
        <v>7984</v>
      </c>
      <c r="AD236" s="18" t="s">
        <v>10804</v>
      </c>
      <c r="AE236" s="18" t="s">
        <v>80</v>
      </c>
      <c r="AF236" s="18" t="s">
        <v>95</v>
      </c>
      <c r="AG236" s="18" t="s">
        <v>83</v>
      </c>
      <c r="AH236" s="18" t="s">
        <v>83</v>
      </c>
      <c r="AI236" s="18" t="s">
        <v>81</v>
      </c>
      <c r="AJ236" s="18" t="s">
        <v>118</v>
      </c>
      <c r="AK236" s="18" t="s">
        <v>95</v>
      </c>
      <c r="AL236" s="18" t="s">
        <v>12377</v>
      </c>
      <c r="AM236" s="18" t="s">
        <v>85</v>
      </c>
      <c r="AN236" s="18" t="s">
        <v>7031</v>
      </c>
      <c r="AO236" s="18" t="s">
        <v>86</v>
      </c>
      <c r="AP236" s="18" t="s">
        <v>90</v>
      </c>
      <c r="AQ236" s="18" t="s">
        <v>8106</v>
      </c>
      <c r="AR236" s="18" t="s">
        <v>91</v>
      </c>
      <c r="AS236" s="18" t="s">
        <v>92</v>
      </c>
      <c r="AT236" s="18" t="s">
        <v>95</v>
      </c>
      <c r="AU236" s="18" t="s">
        <v>95</v>
      </c>
      <c r="AV236" s="18" t="s">
        <v>7029</v>
      </c>
      <c r="AW236" s="18" t="s">
        <v>95</v>
      </c>
      <c r="AX236" s="18" t="s">
        <v>10806</v>
      </c>
      <c r="AY236" s="18" t="s">
        <v>95</v>
      </c>
      <c r="AZ236" s="18" t="s">
        <v>95</v>
      </c>
      <c r="BA236" s="18" t="s">
        <v>95</v>
      </c>
      <c r="BB236" s="18" t="s">
        <v>95</v>
      </c>
      <c r="BC236" s="18" t="s">
        <v>95</v>
      </c>
      <c r="BD236" s="18" t="s">
        <v>10829</v>
      </c>
      <c r="BE236" s="18" t="s">
        <v>12703</v>
      </c>
      <c r="BF236" s="18" t="s">
        <v>10809</v>
      </c>
      <c r="BG236" s="18" t="s">
        <v>7030</v>
      </c>
      <c r="BH236" s="18"/>
      <c r="BI236" s="18"/>
      <c r="BJ236" s="18" t="s">
        <v>880</v>
      </c>
      <c r="BK236" s="18" t="s">
        <v>12704</v>
      </c>
      <c r="BL236" s="18" t="s">
        <v>10811</v>
      </c>
      <c r="BM236" s="18" t="s">
        <v>92</v>
      </c>
      <c r="BN236" s="18" t="s">
        <v>85</v>
      </c>
      <c r="BO236" s="18">
        <v>0</v>
      </c>
      <c r="BP236" s="18" t="s">
        <v>10812</v>
      </c>
      <c r="BQ236" s="18" t="str">
        <f>VLOOKUP(Prepago[[#This Row],[NOM_PLAZA]],[1]!Locales[#Data],3,0)</f>
        <v>TIENDA CUENCA CENTRO</v>
      </c>
      <c r="BR236" s="18" t="str">
        <f>VLOOKUP(Prepago[[#This Row],[CODIGO_USUARIO]],[1]!Personal[#Data],6,0)</f>
        <v>LUNA JACHO ANDREA GABRIELA</v>
      </c>
      <c r="BS236" s="18">
        <f>DAY(Prepago[[#This Row],[FECHA_ALTA]])</f>
        <v>12</v>
      </c>
    </row>
    <row r="237" spans="1:71" x14ac:dyDescent="0.25">
      <c r="A237" s="18" t="s">
        <v>96</v>
      </c>
      <c r="B237" s="18" t="s">
        <v>12705</v>
      </c>
      <c r="C237" s="18" t="s">
        <v>12706</v>
      </c>
      <c r="D237" s="18" t="s">
        <v>12707</v>
      </c>
      <c r="E237" s="22">
        <v>44914</v>
      </c>
      <c r="F237" s="18" t="s">
        <v>67</v>
      </c>
      <c r="G237" s="18" t="s">
        <v>12708</v>
      </c>
      <c r="H237" s="18" t="s">
        <v>12709</v>
      </c>
      <c r="I237" s="18" t="s">
        <v>70</v>
      </c>
      <c r="J237" s="18" t="s">
        <v>8102</v>
      </c>
      <c r="K237" s="18" t="s">
        <v>8103</v>
      </c>
      <c r="L237" s="18" t="s">
        <v>73</v>
      </c>
      <c r="M237" s="18" t="s">
        <v>7029</v>
      </c>
      <c r="N237" s="18" t="s">
        <v>12710</v>
      </c>
      <c r="O237" s="18" t="s">
        <v>75</v>
      </c>
      <c r="P237" s="18" t="s">
        <v>12711</v>
      </c>
      <c r="Q237" s="18" t="s">
        <v>10817</v>
      </c>
      <c r="R237" s="18" t="s">
        <v>78</v>
      </c>
      <c r="S237" s="18" t="s">
        <v>77</v>
      </c>
      <c r="T237" s="22">
        <v>44915</v>
      </c>
      <c r="U237" s="18"/>
      <c r="V237" s="18" t="s">
        <v>81</v>
      </c>
      <c r="W237" s="18" t="s">
        <v>79</v>
      </c>
      <c r="X237" s="18" t="s">
        <v>10803</v>
      </c>
      <c r="Y237" s="18" t="s">
        <v>289</v>
      </c>
      <c r="Z237" s="18" t="s">
        <v>290</v>
      </c>
      <c r="AA237" s="18" t="s">
        <v>289</v>
      </c>
      <c r="AB237" s="18" t="s">
        <v>290</v>
      </c>
      <c r="AC237" s="18" t="s">
        <v>7984</v>
      </c>
      <c r="AD237" s="18" t="s">
        <v>10804</v>
      </c>
      <c r="AE237" s="18" t="s">
        <v>80</v>
      </c>
      <c r="AF237" s="18" t="s">
        <v>95</v>
      </c>
      <c r="AG237" s="18" t="s">
        <v>83</v>
      </c>
      <c r="AH237" s="18" t="s">
        <v>83</v>
      </c>
      <c r="AI237" s="18" t="s">
        <v>81</v>
      </c>
      <c r="AJ237" s="18" t="s">
        <v>118</v>
      </c>
      <c r="AK237" s="18" t="s">
        <v>95</v>
      </c>
      <c r="AL237" s="18" t="s">
        <v>12396</v>
      </c>
      <c r="AM237" s="18" t="s">
        <v>85</v>
      </c>
      <c r="AN237" s="18" t="s">
        <v>7031</v>
      </c>
      <c r="AO237" s="18" t="s">
        <v>86</v>
      </c>
      <c r="AP237" s="18" t="s">
        <v>90</v>
      </c>
      <c r="AQ237" s="18" t="s">
        <v>8106</v>
      </c>
      <c r="AR237" s="18" t="s">
        <v>91</v>
      </c>
      <c r="AS237" s="18" t="s">
        <v>92</v>
      </c>
      <c r="AT237" s="18" t="s">
        <v>95</v>
      </c>
      <c r="AU237" s="18" t="s">
        <v>95</v>
      </c>
      <c r="AV237" s="18" t="s">
        <v>7029</v>
      </c>
      <c r="AW237" s="18" t="s">
        <v>95</v>
      </c>
      <c r="AX237" s="18" t="s">
        <v>10806</v>
      </c>
      <c r="AY237" s="18" t="s">
        <v>95</v>
      </c>
      <c r="AZ237" s="18" t="s">
        <v>95</v>
      </c>
      <c r="BA237" s="18" t="s">
        <v>95</v>
      </c>
      <c r="BB237" s="18" t="s">
        <v>95</v>
      </c>
      <c r="BC237" s="18" t="s">
        <v>95</v>
      </c>
      <c r="BD237" s="18" t="s">
        <v>10829</v>
      </c>
      <c r="BE237" s="18" t="s">
        <v>12712</v>
      </c>
      <c r="BF237" s="18" t="s">
        <v>10809</v>
      </c>
      <c r="BG237" s="18" t="s">
        <v>7030</v>
      </c>
      <c r="BH237" s="18"/>
      <c r="BI237" s="18"/>
      <c r="BJ237" s="18" t="s">
        <v>289</v>
      </c>
      <c r="BK237" s="18" t="s">
        <v>12713</v>
      </c>
      <c r="BL237" s="18" t="s">
        <v>10811</v>
      </c>
      <c r="BM237" s="18" t="s">
        <v>92</v>
      </c>
      <c r="BN237" s="18" t="s">
        <v>85</v>
      </c>
      <c r="BO237" s="18">
        <v>0</v>
      </c>
      <c r="BP237" s="18" t="s">
        <v>10812</v>
      </c>
      <c r="BQ237" s="18" t="str">
        <f>VLOOKUP(Prepago[[#This Row],[NOM_PLAZA]],[1]!Locales[#Data],3,0)</f>
        <v>TIENDA CUENCA CENTRO</v>
      </c>
      <c r="BR237" s="18" t="str">
        <f>VLOOKUP(Prepago[[#This Row],[CODIGO_USUARIO]],[1]!Personal[#Data],6,0)</f>
        <v>CALLE CHACA JORGE VINICIO</v>
      </c>
      <c r="BS237" s="18">
        <f>DAY(Prepago[[#This Row],[FECHA_ALTA]])</f>
        <v>19</v>
      </c>
    </row>
    <row r="238" spans="1:71" x14ac:dyDescent="0.25">
      <c r="A238" s="18" t="s">
        <v>96</v>
      </c>
      <c r="B238" s="18" t="s">
        <v>12714</v>
      </c>
      <c r="C238" s="18" t="s">
        <v>12715</v>
      </c>
      <c r="D238" s="18" t="s">
        <v>12716</v>
      </c>
      <c r="E238" s="22">
        <v>44909</v>
      </c>
      <c r="F238" s="18" t="s">
        <v>67</v>
      </c>
      <c r="G238" s="18" t="s">
        <v>12717</v>
      </c>
      <c r="H238" s="18" t="s">
        <v>12718</v>
      </c>
      <c r="I238" s="18" t="s">
        <v>70</v>
      </c>
      <c r="J238" s="18" t="s">
        <v>8102</v>
      </c>
      <c r="K238" s="18" t="s">
        <v>8103</v>
      </c>
      <c r="L238" s="18" t="s">
        <v>95</v>
      </c>
      <c r="M238" s="18" t="s">
        <v>7029</v>
      </c>
      <c r="N238" s="18" t="s">
        <v>12719</v>
      </c>
      <c r="O238" s="18" t="s">
        <v>75</v>
      </c>
      <c r="P238" s="18" t="s">
        <v>12720</v>
      </c>
      <c r="Q238" s="18" t="s">
        <v>4453</v>
      </c>
      <c r="R238" s="18" t="s">
        <v>78</v>
      </c>
      <c r="S238" s="18" t="s">
        <v>77</v>
      </c>
      <c r="T238" s="22">
        <v>44915</v>
      </c>
      <c r="U238" s="18"/>
      <c r="V238" s="18" t="s">
        <v>81</v>
      </c>
      <c r="W238" s="18" t="s">
        <v>79</v>
      </c>
      <c r="X238" s="18" t="s">
        <v>10803</v>
      </c>
      <c r="Y238" s="18" t="s">
        <v>242</v>
      </c>
      <c r="Z238" s="18" t="s">
        <v>243</v>
      </c>
      <c r="AA238" s="18" t="s">
        <v>242</v>
      </c>
      <c r="AB238" s="18" t="s">
        <v>243</v>
      </c>
      <c r="AC238" s="18" t="s">
        <v>7984</v>
      </c>
      <c r="AD238" s="18" t="s">
        <v>10804</v>
      </c>
      <c r="AE238" s="18" t="s">
        <v>80</v>
      </c>
      <c r="AF238" s="18" t="s">
        <v>95</v>
      </c>
      <c r="AG238" s="18" t="s">
        <v>83</v>
      </c>
      <c r="AH238" s="18" t="s">
        <v>83</v>
      </c>
      <c r="AI238" s="18" t="s">
        <v>81</v>
      </c>
      <c r="AJ238" s="18" t="s">
        <v>118</v>
      </c>
      <c r="AK238" s="18" t="s">
        <v>95</v>
      </c>
      <c r="AL238" s="18" t="s">
        <v>12414</v>
      </c>
      <c r="AM238" s="18" t="s">
        <v>85</v>
      </c>
      <c r="AN238" s="18" t="s">
        <v>7031</v>
      </c>
      <c r="AO238" s="18" t="s">
        <v>86</v>
      </c>
      <c r="AP238" s="18" t="s">
        <v>90</v>
      </c>
      <c r="AQ238" s="18" t="s">
        <v>8106</v>
      </c>
      <c r="AR238" s="18" t="s">
        <v>91</v>
      </c>
      <c r="AS238" s="18" t="s">
        <v>92</v>
      </c>
      <c r="AT238" s="18" t="s">
        <v>95</v>
      </c>
      <c r="AU238" s="18" t="s">
        <v>95</v>
      </c>
      <c r="AV238" s="18" t="s">
        <v>7029</v>
      </c>
      <c r="AW238" s="18" t="s">
        <v>95</v>
      </c>
      <c r="AX238" s="18" t="s">
        <v>10806</v>
      </c>
      <c r="AY238" s="18" t="s">
        <v>95</v>
      </c>
      <c r="AZ238" s="18" t="s">
        <v>95</v>
      </c>
      <c r="BA238" s="18" t="s">
        <v>95</v>
      </c>
      <c r="BB238" s="18" t="s">
        <v>95</v>
      </c>
      <c r="BC238" s="18" t="s">
        <v>95</v>
      </c>
      <c r="BD238" s="18" t="s">
        <v>10807</v>
      </c>
      <c r="BE238" s="18" t="s">
        <v>95</v>
      </c>
      <c r="BF238" s="18" t="s">
        <v>10809</v>
      </c>
      <c r="BG238" s="18" t="s">
        <v>7030</v>
      </c>
      <c r="BH238" s="18"/>
      <c r="BI238" s="18"/>
      <c r="BJ238" s="18" t="s">
        <v>242</v>
      </c>
      <c r="BK238" s="18" t="s">
        <v>12721</v>
      </c>
      <c r="BL238" s="18" t="s">
        <v>10811</v>
      </c>
      <c r="BM238" s="18" t="s">
        <v>92</v>
      </c>
      <c r="BN238" s="18" t="s">
        <v>85</v>
      </c>
      <c r="BO238" s="18">
        <v>0</v>
      </c>
      <c r="BP238" s="18" t="s">
        <v>10812</v>
      </c>
      <c r="BQ238" s="18" t="str">
        <f>VLOOKUP(Prepago[[#This Row],[NOM_PLAZA]],[1]!Locales[#Data],3,0)</f>
        <v>TIENDA CUENCA CENTRO</v>
      </c>
      <c r="BR238" s="18" t="str">
        <f>VLOOKUP(Prepago[[#This Row],[CODIGO_USUARIO]],[1]!Personal[#Data],6,0)</f>
        <v>VALLEJO DELEG ROMAN NICOLAS</v>
      </c>
      <c r="BS238" s="18">
        <f>DAY(Prepago[[#This Row],[FECHA_ALTA]])</f>
        <v>14</v>
      </c>
    </row>
    <row r="239" spans="1:71" x14ac:dyDescent="0.25">
      <c r="A239" s="18" t="s">
        <v>96</v>
      </c>
      <c r="B239" s="18" t="s">
        <v>12722</v>
      </c>
      <c r="C239" s="18" t="s">
        <v>12723</v>
      </c>
      <c r="D239" s="18" t="s">
        <v>12724</v>
      </c>
      <c r="E239" s="22">
        <v>44908</v>
      </c>
      <c r="F239" s="18" t="s">
        <v>67</v>
      </c>
      <c r="G239" s="18" t="s">
        <v>12725</v>
      </c>
      <c r="H239" s="18" t="s">
        <v>12726</v>
      </c>
      <c r="I239" s="18" t="s">
        <v>70</v>
      </c>
      <c r="J239" s="18" t="s">
        <v>8102</v>
      </c>
      <c r="K239" s="18" t="s">
        <v>8103</v>
      </c>
      <c r="L239" s="18" t="s">
        <v>73</v>
      </c>
      <c r="M239" s="18" t="s">
        <v>7029</v>
      </c>
      <c r="N239" s="18" t="s">
        <v>12727</v>
      </c>
      <c r="O239" s="18" t="s">
        <v>75</v>
      </c>
      <c r="P239" s="18" t="s">
        <v>12728</v>
      </c>
      <c r="Q239" s="18" t="s">
        <v>10817</v>
      </c>
      <c r="R239" s="18" t="s">
        <v>78</v>
      </c>
      <c r="S239" s="18" t="s">
        <v>77</v>
      </c>
      <c r="T239" s="22">
        <v>44915</v>
      </c>
      <c r="U239" s="18"/>
      <c r="V239" s="18" t="s">
        <v>81</v>
      </c>
      <c r="W239" s="18" t="s">
        <v>79</v>
      </c>
      <c r="X239" s="18" t="s">
        <v>10803</v>
      </c>
      <c r="Y239" s="18" t="s">
        <v>1020</v>
      </c>
      <c r="Z239" s="18" t="s">
        <v>1021</v>
      </c>
      <c r="AA239" s="18" t="s">
        <v>1020</v>
      </c>
      <c r="AB239" s="18" t="s">
        <v>1021</v>
      </c>
      <c r="AC239" s="18" t="s">
        <v>7984</v>
      </c>
      <c r="AD239" s="18" t="s">
        <v>10804</v>
      </c>
      <c r="AE239" s="18" t="s">
        <v>80</v>
      </c>
      <c r="AF239" s="18" t="s">
        <v>95</v>
      </c>
      <c r="AG239" s="18" t="s">
        <v>83</v>
      </c>
      <c r="AH239" s="18" t="s">
        <v>83</v>
      </c>
      <c r="AI239" s="18" t="s">
        <v>81</v>
      </c>
      <c r="AJ239" s="18" t="s">
        <v>118</v>
      </c>
      <c r="AK239" s="18" t="s">
        <v>95</v>
      </c>
      <c r="AL239" s="18" t="s">
        <v>12458</v>
      </c>
      <c r="AM239" s="18" t="s">
        <v>85</v>
      </c>
      <c r="AN239" s="18" t="s">
        <v>7031</v>
      </c>
      <c r="AO239" s="18" t="s">
        <v>86</v>
      </c>
      <c r="AP239" s="18" t="s">
        <v>90</v>
      </c>
      <c r="AQ239" s="18" t="s">
        <v>8106</v>
      </c>
      <c r="AR239" s="18" t="s">
        <v>91</v>
      </c>
      <c r="AS239" s="18" t="s">
        <v>92</v>
      </c>
      <c r="AT239" s="18" t="s">
        <v>95</v>
      </c>
      <c r="AU239" s="18" t="s">
        <v>95</v>
      </c>
      <c r="AV239" s="18" t="s">
        <v>7029</v>
      </c>
      <c r="AW239" s="18" t="s">
        <v>95</v>
      </c>
      <c r="AX239" s="18" t="s">
        <v>10806</v>
      </c>
      <c r="AY239" s="18" t="s">
        <v>95</v>
      </c>
      <c r="AZ239" s="18" t="s">
        <v>95</v>
      </c>
      <c r="BA239" s="18" t="s">
        <v>95</v>
      </c>
      <c r="BB239" s="18" t="s">
        <v>95</v>
      </c>
      <c r="BC239" s="18" t="s">
        <v>95</v>
      </c>
      <c r="BD239" s="18" t="s">
        <v>10807</v>
      </c>
      <c r="BE239" s="18" t="s">
        <v>12729</v>
      </c>
      <c r="BF239" s="18" t="s">
        <v>10809</v>
      </c>
      <c r="BG239" s="18" t="s">
        <v>7030</v>
      </c>
      <c r="BH239" s="18"/>
      <c r="BI239" s="18"/>
      <c r="BJ239" s="18" t="s">
        <v>1020</v>
      </c>
      <c r="BK239" s="18" t="s">
        <v>12730</v>
      </c>
      <c r="BL239" s="18" t="s">
        <v>10811</v>
      </c>
      <c r="BM239" s="18" t="s">
        <v>92</v>
      </c>
      <c r="BN239" s="18" t="s">
        <v>85</v>
      </c>
      <c r="BO239" s="18">
        <v>0</v>
      </c>
      <c r="BP239" s="18" t="s">
        <v>10812</v>
      </c>
      <c r="BQ239" s="18" t="str">
        <f>VLOOKUP(Prepago[[#This Row],[NOM_PLAZA]],[1]!Locales[#Data],3,0)</f>
        <v>TIENDA CUENCA CENTRO</v>
      </c>
      <c r="BR239" s="18" t="str">
        <f>VLOOKUP(Prepago[[#This Row],[CODIGO_USUARIO]],[1]!Personal[#Data],6,0)</f>
        <v>GONZALES ALVARRACIN PAOLA YESSENIA</v>
      </c>
      <c r="BS239" s="18">
        <f>DAY(Prepago[[#This Row],[FECHA_ALTA]])</f>
        <v>13</v>
      </c>
    </row>
    <row r="240" spans="1:71" x14ac:dyDescent="0.25">
      <c r="A240" s="18" t="s">
        <v>96</v>
      </c>
      <c r="B240" s="18" t="s">
        <v>12731</v>
      </c>
      <c r="C240" s="18" t="s">
        <v>12732</v>
      </c>
      <c r="D240" s="18" t="s">
        <v>12733</v>
      </c>
      <c r="E240" s="22">
        <v>44910</v>
      </c>
      <c r="F240" s="18" t="s">
        <v>67</v>
      </c>
      <c r="G240" s="18" t="s">
        <v>12734</v>
      </c>
      <c r="H240" s="18" t="s">
        <v>12735</v>
      </c>
      <c r="I240" s="18" t="s">
        <v>514</v>
      </c>
      <c r="J240" s="18" t="s">
        <v>8102</v>
      </c>
      <c r="K240" s="18" t="s">
        <v>8103</v>
      </c>
      <c r="L240" s="18" t="s">
        <v>349</v>
      </c>
      <c r="M240" s="18" t="s">
        <v>7029</v>
      </c>
      <c r="N240" s="18" t="s">
        <v>12736</v>
      </c>
      <c r="O240" s="18" t="s">
        <v>75</v>
      </c>
      <c r="P240" s="18" t="s">
        <v>12737</v>
      </c>
      <c r="Q240" s="18" t="s">
        <v>10817</v>
      </c>
      <c r="R240" s="18" t="s">
        <v>78</v>
      </c>
      <c r="S240" s="18" t="s">
        <v>77</v>
      </c>
      <c r="T240" s="22">
        <v>44915</v>
      </c>
      <c r="U240" s="18"/>
      <c r="V240" s="18" t="s">
        <v>81</v>
      </c>
      <c r="W240" s="18" t="s">
        <v>79</v>
      </c>
      <c r="X240" s="18" t="s">
        <v>10803</v>
      </c>
      <c r="Y240" s="18" t="s">
        <v>289</v>
      </c>
      <c r="Z240" s="18" t="s">
        <v>290</v>
      </c>
      <c r="AA240" s="18" t="s">
        <v>289</v>
      </c>
      <c r="AB240" s="18" t="s">
        <v>290</v>
      </c>
      <c r="AC240" s="18" t="s">
        <v>7984</v>
      </c>
      <c r="AD240" s="18" t="s">
        <v>10804</v>
      </c>
      <c r="AE240" s="18" t="s">
        <v>80</v>
      </c>
      <c r="AF240" s="18" t="s">
        <v>95</v>
      </c>
      <c r="AG240" s="18" t="s">
        <v>83</v>
      </c>
      <c r="AH240" s="18" t="s">
        <v>83</v>
      </c>
      <c r="AI240" s="18" t="s">
        <v>81</v>
      </c>
      <c r="AJ240" s="18" t="s">
        <v>118</v>
      </c>
      <c r="AK240" s="18" t="s">
        <v>95</v>
      </c>
      <c r="AL240" s="18" t="s">
        <v>12396</v>
      </c>
      <c r="AM240" s="18" t="s">
        <v>85</v>
      </c>
      <c r="AN240" s="18" t="s">
        <v>7031</v>
      </c>
      <c r="AO240" s="18" t="s">
        <v>86</v>
      </c>
      <c r="AP240" s="18" t="s">
        <v>90</v>
      </c>
      <c r="AQ240" s="18" t="s">
        <v>8106</v>
      </c>
      <c r="AR240" s="18" t="s">
        <v>91</v>
      </c>
      <c r="AS240" s="18" t="s">
        <v>92</v>
      </c>
      <c r="AT240" s="18" t="s">
        <v>95</v>
      </c>
      <c r="AU240" s="18" t="s">
        <v>95</v>
      </c>
      <c r="AV240" s="18" t="s">
        <v>7029</v>
      </c>
      <c r="AW240" s="18" t="s">
        <v>95</v>
      </c>
      <c r="AX240" s="18" t="s">
        <v>10806</v>
      </c>
      <c r="AY240" s="18" t="s">
        <v>95</v>
      </c>
      <c r="AZ240" s="18" t="s">
        <v>95</v>
      </c>
      <c r="BA240" s="18" t="s">
        <v>95</v>
      </c>
      <c r="BB240" s="18" t="s">
        <v>95</v>
      </c>
      <c r="BC240" s="18" t="s">
        <v>95</v>
      </c>
      <c r="BD240" s="18" t="s">
        <v>10829</v>
      </c>
      <c r="BE240" s="18" t="s">
        <v>12738</v>
      </c>
      <c r="BF240" s="18" t="s">
        <v>7414</v>
      </c>
      <c r="BG240" s="18" t="s">
        <v>7030</v>
      </c>
      <c r="BH240" s="18"/>
      <c r="BI240" s="18"/>
      <c r="BJ240" s="18" t="s">
        <v>289</v>
      </c>
      <c r="BK240" s="18" t="s">
        <v>12739</v>
      </c>
      <c r="BL240" s="18" t="s">
        <v>10811</v>
      </c>
      <c r="BM240" s="18" t="s">
        <v>92</v>
      </c>
      <c r="BN240" s="18" t="s">
        <v>85</v>
      </c>
      <c r="BO240" s="18">
        <v>0</v>
      </c>
      <c r="BP240" s="18" t="s">
        <v>10812</v>
      </c>
      <c r="BQ240" s="18" t="str">
        <f>VLOOKUP(Prepago[[#This Row],[NOM_PLAZA]],[1]!Locales[#Data],3,0)</f>
        <v>TIENDA CUENCA CENTRO</v>
      </c>
      <c r="BR240" s="18" t="str">
        <f>VLOOKUP(Prepago[[#This Row],[CODIGO_USUARIO]],[1]!Personal[#Data],6,0)</f>
        <v>CALLE CHACA JORGE VINICIO</v>
      </c>
      <c r="BS240" s="18">
        <f>DAY(Prepago[[#This Row],[FECHA_ALTA]])</f>
        <v>15</v>
      </c>
    </row>
    <row r="241" spans="1:71" x14ac:dyDescent="0.25">
      <c r="A241" s="18" t="s">
        <v>96</v>
      </c>
      <c r="B241" s="18" t="s">
        <v>12740</v>
      </c>
      <c r="C241" s="18" t="s">
        <v>12741</v>
      </c>
      <c r="D241" s="18" t="s">
        <v>12742</v>
      </c>
      <c r="E241" s="22">
        <v>44910</v>
      </c>
      <c r="F241" s="18" t="s">
        <v>67</v>
      </c>
      <c r="G241" s="18" t="s">
        <v>12743</v>
      </c>
      <c r="H241" s="18" t="s">
        <v>12744</v>
      </c>
      <c r="I241" s="18" t="s">
        <v>70</v>
      </c>
      <c r="J241" s="18" t="s">
        <v>8102</v>
      </c>
      <c r="K241" s="18" t="s">
        <v>8103</v>
      </c>
      <c r="L241" s="18" t="s">
        <v>95</v>
      </c>
      <c r="M241" s="18" t="s">
        <v>7029</v>
      </c>
      <c r="N241" s="18" t="s">
        <v>12745</v>
      </c>
      <c r="O241" s="18" t="s">
        <v>75</v>
      </c>
      <c r="P241" s="18" t="s">
        <v>12746</v>
      </c>
      <c r="Q241" s="18" t="s">
        <v>4453</v>
      </c>
      <c r="R241" s="18" t="s">
        <v>78</v>
      </c>
      <c r="S241" s="18" t="s">
        <v>77</v>
      </c>
      <c r="T241" s="22">
        <v>44915</v>
      </c>
      <c r="U241" s="18"/>
      <c r="V241" s="18" t="s">
        <v>81</v>
      </c>
      <c r="W241" s="18" t="s">
        <v>79</v>
      </c>
      <c r="X241" s="18" t="s">
        <v>10803</v>
      </c>
      <c r="Y241" s="18" t="s">
        <v>1415</v>
      </c>
      <c r="Z241" s="18" t="s">
        <v>1416</v>
      </c>
      <c r="AA241" s="18" t="s">
        <v>1415</v>
      </c>
      <c r="AB241" s="18" t="s">
        <v>1416</v>
      </c>
      <c r="AC241" s="18" t="s">
        <v>7984</v>
      </c>
      <c r="AD241" s="18" t="s">
        <v>10804</v>
      </c>
      <c r="AE241" s="18" t="s">
        <v>80</v>
      </c>
      <c r="AF241" s="18" t="s">
        <v>95</v>
      </c>
      <c r="AG241" s="18" t="s">
        <v>83</v>
      </c>
      <c r="AH241" s="18" t="s">
        <v>83</v>
      </c>
      <c r="AI241" s="18" t="s">
        <v>81</v>
      </c>
      <c r="AJ241" s="18" t="s">
        <v>118</v>
      </c>
      <c r="AK241" s="18" t="s">
        <v>95</v>
      </c>
      <c r="AL241" s="18" t="s">
        <v>10746</v>
      </c>
      <c r="AM241" s="18" t="s">
        <v>85</v>
      </c>
      <c r="AN241" s="18" t="s">
        <v>7031</v>
      </c>
      <c r="AO241" s="18" t="s">
        <v>86</v>
      </c>
      <c r="AP241" s="18" t="s">
        <v>90</v>
      </c>
      <c r="AQ241" s="18" t="s">
        <v>8106</v>
      </c>
      <c r="AR241" s="18" t="s">
        <v>91</v>
      </c>
      <c r="AS241" s="18" t="s">
        <v>92</v>
      </c>
      <c r="AT241" s="18" t="s">
        <v>95</v>
      </c>
      <c r="AU241" s="18" t="s">
        <v>95</v>
      </c>
      <c r="AV241" s="18" t="s">
        <v>7029</v>
      </c>
      <c r="AW241" s="18" t="s">
        <v>95</v>
      </c>
      <c r="AX241" s="18" t="s">
        <v>10806</v>
      </c>
      <c r="AY241" s="18" t="s">
        <v>95</v>
      </c>
      <c r="AZ241" s="18" t="s">
        <v>95</v>
      </c>
      <c r="BA241" s="18" t="s">
        <v>95</v>
      </c>
      <c r="BB241" s="18" t="s">
        <v>95</v>
      </c>
      <c r="BC241" s="18" t="s">
        <v>95</v>
      </c>
      <c r="BD241" s="18" t="s">
        <v>10807</v>
      </c>
      <c r="BE241" s="18" t="s">
        <v>95</v>
      </c>
      <c r="BF241" s="18" t="s">
        <v>10809</v>
      </c>
      <c r="BG241" s="18" t="s">
        <v>7030</v>
      </c>
      <c r="BH241" s="18"/>
      <c r="BI241" s="18"/>
      <c r="BJ241" s="18" t="s">
        <v>1415</v>
      </c>
      <c r="BK241" s="18" t="s">
        <v>12747</v>
      </c>
      <c r="BL241" s="18" t="s">
        <v>10811</v>
      </c>
      <c r="BM241" s="18" t="s">
        <v>92</v>
      </c>
      <c r="BN241" s="18" t="s">
        <v>85</v>
      </c>
      <c r="BO241" s="18">
        <v>0</v>
      </c>
      <c r="BP241" s="18" t="s">
        <v>10812</v>
      </c>
      <c r="BQ241" s="18" t="str">
        <f>VLOOKUP(Prepago[[#This Row],[NOM_PLAZA]],[1]!Locales[#Data],3,0)</f>
        <v>TIENDA CUENCA CENTRO</v>
      </c>
      <c r="BR241" s="18" t="str">
        <f>VLOOKUP(Prepago[[#This Row],[CODIGO_USUARIO]],[1]!Personal[#Data],6,0)</f>
        <v>PATIÑO URGILES DIANA CATALINA</v>
      </c>
      <c r="BS241" s="18">
        <f>DAY(Prepago[[#This Row],[FECHA_ALTA]])</f>
        <v>15</v>
      </c>
    </row>
    <row r="242" spans="1:71" x14ac:dyDescent="0.25">
      <c r="A242" s="18" t="s">
        <v>96</v>
      </c>
      <c r="B242" s="18" t="s">
        <v>12748</v>
      </c>
      <c r="C242" s="18" t="s">
        <v>12749</v>
      </c>
      <c r="D242" s="18" t="s">
        <v>12750</v>
      </c>
      <c r="E242" s="22">
        <v>44900</v>
      </c>
      <c r="F242" s="18" t="s">
        <v>67</v>
      </c>
      <c r="G242" s="18" t="s">
        <v>12751</v>
      </c>
      <c r="H242" s="18" t="s">
        <v>12752</v>
      </c>
      <c r="I242" s="18" t="s">
        <v>70</v>
      </c>
      <c r="J242" s="18" t="s">
        <v>8102</v>
      </c>
      <c r="K242" s="18" t="s">
        <v>8103</v>
      </c>
      <c r="L242" s="18" t="s">
        <v>1727</v>
      </c>
      <c r="M242" s="18" t="s">
        <v>7029</v>
      </c>
      <c r="N242" s="18" t="s">
        <v>12753</v>
      </c>
      <c r="O242" s="18" t="s">
        <v>75</v>
      </c>
      <c r="P242" s="18" t="s">
        <v>12754</v>
      </c>
      <c r="Q242" s="18" t="s">
        <v>10817</v>
      </c>
      <c r="R242" s="18" t="s">
        <v>78</v>
      </c>
      <c r="S242" s="18" t="s">
        <v>77</v>
      </c>
      <c r="T242" s="22">
        <v>44915</v>
      </c>
      <c r="U242" s="18"/>
      <c r="V242" s="18" t="s">
        <v>81</v>
      </c>
      <c r="W242" s="18" t="s">
        <v>79</v>
      </c>
      <c r="X242" s="18" t="s">
        <v>10803</v>
      </c>
      <c r="Y242" s="18" t="s">
        <v>880</v>
      </c>
      <c r="Z242" s="18" t="s">
        <v>881</v>
      </c>
      <c r="AA242" s="18" t="s">
        <v>880</v>
      </c>
      <c r="AB242" s="18" t="s">
        <v>881</v>
      </c>
      <c r="AC242" s="18" t="s">
        <v>7984</v>
      </c>
      <c r="AD242" s="18" t="s">
        <v>10804</v>
      </c>
      <c r="AE242" s="18" t="s">
        <v>80</v>
      </c>
      <c r="AF242" s="18" t="s">
        <v>95</v>
      </c>
      <c r="AG242" s="18" t="s">
        <v>83</v>
      </c>
      <c r="AH242" s="18" t="s">
        <v>83</v>
      </c>
      <c r="AI242" s="18" t="s">
        <v>81</v>
      </c>
      <c r="AJ242" s="18" t="s">
        <v>118</v>
      </c>
      <c r="AK242" s="18" t="s">
        <v>95</v>
      </c>
      <c r="AL242" s="18" t="s">
        <v>12377</v>
      </c>
      <c r="AM242" s="18" t="s">
        <v>85</v>
      </c>
      <c r="AN242" s="18" t="s">
        <v>7031</v>
      </c>
      <c r="AO242" s="18" t="s">
        <v>86</v>
      </c>
      <c r="AP242" s="18" t="s">
        <v>90</v>
      </c>
      <c r="AQ242" s="18" t="s">
        <v>8106</v>
      </c>
      <c r="AR242" s="18" t="s">
        <v>91</v>
      </c>
      <c r="AS242" s="18" t="s">
        <v>92</v>
      </c>
      <c r="AT242" s="18" t="s">
        <v>95</v>
      </c>
      <c r="AU242" s="18" t="s">
        <v>95</v>
      </c>
      <c r="AV242" s="18" t="s">
        <v>7029</v>
      </c>
      <c r="AW242" s="18" t="s">
        <v>95</v>
      </c>
      <c r="AX242" s="18" t="s">
        <v>10806</v>
      </c>
      <c r="AY242" s="18" t="s">
        <v>95</v>
      </c>
      <c r="AZ242" s="18" t="s">
        <v>95</v>
      </c>
      <c r="BA242" s="18" t="s">
        <v>95</v>
      </c>
      <c r="BB242" s="18" t="s">
        <v>95</v>
      </c>
      <c r="BC242" s="18" t="s">
        <v>95</v>
      </c>
      <c r="BD242" s="18" t="s">
        <v>10829</v>
      </c>
      <c r="BE242" s="18" t="s">
        <v>12755</v>
      </c>
      <c r="BF242" s="18" t="s">
        <v>10809</v>
      </c>
      <c r="BG242" s="18" t="s">
        <v>7030</v>
      </c>
      <c r="BH242" s="18"/>
      <c r="BI242" s="18"/>
      <c r="BJ242" s="18" t="s">
        <v>880</v>
      </c>
      <c r="BK242" s="18" t="s">
        <v>12756</v>
      </c>
      <c r="BL242" s="18" t="s">
        <v>10811</v>
      </c>
      <c r="BM242" s="18" t="s">
        <v>92</v>
      </c>
      <c r="BN242" s="18" t="s">
        <v>85</v>
      </c>
      <c r="BO242" s="18">
        <v>1</v>
      </c>
      <c r="BP242" s="18" t="s">
        <v>10812</v>
      </c>
      <c r="BQ242" s="18" t="str">
        <f>VLOOKUP(Prepago[[#This Row],[NOM_PLAZA]],[1]!Locales[#Data],3,0)</f>
        <v>TIENDA CUENCA CENTRO</v>
      </c>
      <c r="BR242" s="18" t="str">
        <f>VLOOKUP(Prepago[[#This Row],[CODIGO_USUARIO]],[1]!Personal[#Data],6,0)</f>
        <v>LUNA JACHO ANDREA GABRIELA</v>
      </c>
      <c r="BS242" s="18">
        <f>DAY(Prepago[[#This Row],[FECHA_ALTA]])</f>
        <v>5</v>
      </c>
    </row>
    <row r="243" spans="1:71" x14ac:dyDescent="0.25">
      <c r="A243" s="18" t="s">
        <v>96</v>
      </c>
      <c r="B243" s="18" t="s">
        <v>12757</v>
      </c>
      <c r="C243" s="18" t="s">
        <v>12758</v>
      </c>
      <c r="D243" s="18" t="s">
        <v>12759</v>
      </c>
      <c r="E243" s="22">
        <v>44903</v>
      </c>
      <c r="F243" s="18" t="s">
        <v>67</v>
      </c>
      <c r="G243" s="18" t="s">
        <v>12760</v>
      </c>
      <c r="H243" s="18" t="s">
        <v>12761</v>
      </c>
      <c r="I243" s="18" t="s">
        <v>70</v>
      </c>
      <c r="J243" s="18" t="s">
        <v>8102</v>
      </c>
      <c r="K243" s="18" t="s">
        <v>8103</v>
      </c>
      <c r="L243" s="18" t="s">
        <v>95</v>
      </c>
      <c r="M243" s="18" t="s">
        <v>7029</v>
      </c>
      <c r="N243" s="18" t="s">
        <v>12762</v>
      </c>
      <c r="O243" s="18" t="s">
        <v>75</v>
      </c>
      <c r="P243" s="18" t="s">
        <v>12763</v>
      </c>
      <c r="Q243" s="18" t="s">
        <v>10817</v>
      </c>
      <c r="R243" s="18" t="s">
        <v>78</v>
      </c>
      <c r="S243" s="18" t="s">
        <v>77</v>
      </c>
      <c r="T243" s="22">
        <v>44915</v>
      </c>
      <c r="U243" s="18"/>
      <c r="V243" s="18" t="s">
        <v>81</v>
      </c>
      <c r="W243" s="18" t="s">
        <v>79</v>
      </c>
      <c r="X243" s="18" t="s">
        <v>10803</v>
      </c>
      <c r="Y243" s="18" t="s">
        <v>242</v>
      </c>
      <c r="Z243" s="18" t="s">
        <v>243</v>
      </c>
      <c r="AA243" s="18" t="s">
        <v>242</v>
      </c>
      <c r="AB243" s="18" t="s">
        <v>243</v>
      </c>
      <c r="AC243" s="18" t="s">
        <v>7984</v>
      </c>
      <c r="AD243" s="18" t="s">
        <v>10804</v>
      </c>
      <c r="AE243" s="18" t="s">
        <v>80</v>
      </c>
      <c r="AF243" s="18" t="s">
        <v>95</v>
      </c>
      <c r="AG243" s="18" t="s">
        <v>83</v>
      </c>
      <c r="AH243" s="18" t="s">
        <v>83</v>
      </c>
      <c r="AI243" s="18" t="s">
        <v>81</v>
      </c>
      <c r="AJ243" s="18" t="s">
        <v>118</v>
      </c>
      <c r="AK243" s="18" t="s">
        <v>95</v>
      </c>
      <c r="AL243" s="18" t="s">
        <v>12414</v>
      </c>
      <c r="AM243" s="18" t="s">
        <v>85</v>
      </c>
      <c r="AN243" s="18" t="s">
        <v>7031</v>
      </c>
      <c r="AO243" s="18" t="s">
        <v>86</v>
      </c>
      <c r="AP243" s="18" t="s">
        <v>90</v>
      </c>
      <c r="AQ243" s="18" t="s">
        <v>8106</v>
      </c>
      <c r="AR243" s="18" t="s">
        <v>91</v>
      </c>
      <c r="AS243" s="18" t="s">
        <v>92</v>
      </c>
      <c r="AT243" s="18" t="s">
        <v>95</v>
      </c>
      <c r="AU243" s="18" t="s">
        <v>95</v>
      </c>
      <c r="AV243" s="18" t="s">
        <v>7029</v>
      </c>
      <c r="AW243" s="18" t="s">
        <v>95</v>
      </c>
      <c r="AX243" s="18" t="s">
        <v>10806</v>
      </c>
      <c r="AY243" s="18" t="s">
        <v>95</v>
      </c>
      <c r="AZ243" s="18" t="s">
        <v>95</v>
      </c>
      <c r="BA243" s="18" t="s">
        <v>95</v>
      </c>
      <c r="BB243" s="18" t="s">
        <v>95</v>
      </c>
      <c r="BC243" s="18" t="s">
        <v>95</v>
      </c>
      <c r="BD243" s="18" t="s">
        <v>10829</v>
      </c>
      <c r="BE243" s="18" t="s">
        <v>12764</v>
      </c>
      <c r="BF243" s="18" t="s">
        <v>10809</v>
      </c>
      <c r="BG243" s="18" t="s">
        <v>7030</v>
      </c>
      <c r="BH243" s="18"/>
      <c r="BI243" s="18"/>
      <c r="BJ243" s="18" t="s">
        <v>242</v>
      </c>
      <c r="BK243" s="18" t="s">
        <v>12765</v>
      </c>
      <c r="BL243" s="18" t="s">
        <v>10811</v>
      </c>
      <c r="BM243" s="18" t="s">
        <v>92</v>
      </c>
      <c r="BN243" s="18" t="s">
        <v>85</v>
      </c>
      <c r="BO243" s="18">
        <v>0</v>
      </c>
      <c r="BP243" s="18" t="s">
        <v>10812</v>
      </c>
      <c r="BQ243" s="18" t="str">
        <f>VLOOKUP(Prepago[[#This Row],[NOM_PLAZA]],[1]!Locales[#Data],3,0)</f>
        <v>TIENDA CUENCA CENTRO</v>
      </c>
      <c r="BR243" s="18" t="str">
        <f>VLOOKUP(Prepago[[#This Row],[CODIGO_USUARIO]],[1]!Personal[#Data],6,0)</f>
        <v>VALLEJO DELEG ROMAN NICOLAS</v>
      </c>
      <c r="BS243" s="18">
        <f>DAY(Prepago[[#This Row],[FECHA_ALTA]])</f>
        <v>8</v>
      </c>
    </row>
    <row r="244" spans="1:71" x14ac:dyDescent="0.25">
      <c r="A244" s="18" t="s">
        <v>96</v>
      </c>
      <c r="B244" s="18" t="s">
        <v>12766</v>
      </c>
      <c r="C244" s="18" t="s">
        <v>12767</v>
      </c>
      <c r="D244" s="18" t="s">
        <v>12768</v>
      </c>
      <c r="E244" s="22">
        <v>44908</v>
      </c>
      <c r="F244" s="18" t="s">
        <v>67</v>
      </c>
      <c r="G244" s="18" t="s">
        <v>12769</v>
      </c>
      <c r="H244" s="18" t="s">
        <v>12770</v>
      </c>
      <c r="I244" s="18" t="s">
        <v>70</v>
      </c>
      <c r="J244" s="18" t="s">
        <v>8102</v>
      </c>
      <c r="K244" s="18" t="s">
        <v>8103</v>
      </c>
      <c r="L244" s="18" t="s">
        <v>132</v>
      </c>
      <c r="M244" s="18" t="s">
        <v>7029</v>
      </c>
      <c r="N244" s="18" t="s">
        <v>12771</v>
      </c>
      <c r="O244" s="18" t="s">
        <v>75</v>
      </c>
      <c r="P244" s="18" t="s">
        <v>12772</v>
      </c>
      <c r="Q244" s="18" t="s">
        <v>10817</v>
      </c>
      <c r="R244" s="18" t="s">
        <v>78</v>
      </c>
      <c r="S244" s="18" t="s">
        <v>77</v>
      </c>
      <c r="T244" s="22">
        <v>44915</v>
      </c>
      <c r="U244" s="18"/>
      <c r="V244" s="18" t="s">
        <v>81</v>
      </c>
      <c r="W244" s="18" t="s">
        <v>79</v>
      </c>
      <c r="X244" s="18" t="s">
        <v>10803</v>
      </c>
      <c r="Y244" s="18" t="s">
        <v>1020</v>
      </c>
      <c r="Z244" s="18" t="s">
        <v>1021</v>
      </c>
      <c r="AA244" s="18" t="s">
        <v>1020</v>
      </c>
      <c r="AB244" s="18" t="s">
        <v>1021</v>
      </c>
      <c r="AC244" s="18" t="s">
        <v>7984</v>
      </c>
      <c r="AD244" s="18" t="s">
        <v>10804</v>
      </c>
      <c r="AE244" s="18" t="s">
        <v>80</v>
      </c>
      <c r="AF244" s="18" t="s">
        <v>95</v>
      </c>
      <c r="AG244" s="18" t="s">
        <v>83</v>
      </c>
      <c r="AH244" s="18" t="s">
        <v>83</v>
      </c>
      <c r="AI244" s="18" t="s">
        <v>81</v>
      </c>
      <c r="AJ244" s="18" t="s">
        <v>118</v>
      </c>
      <c r="AK244" s="18" t="s">
        <v>95</v>
      </c>
      <c r="AL244" s="18" t="s">
        <v>12458</v>
      </c>
      <c r="AM244" s="18" t="s">
        <v>85</v>
      </c>
      <c r="AN244" s="18" t="s">
        <v>7031</v>
      </c>
      <c r="AO244" s="18" t="s">
        <v>86</v>
      </c>
      <c r="AP244" s="18" t="s">
        <v>90</v>
      </c>
      <c r="AQ244" s="18" t="s">
        <v>8106</v>
      </c>
      <c r="AR244" s="18" t="s">
        <v>91</v>
      </c>
      <c r="AS244" s="18" t="s">
        <v>92</v>
      </c>
      <c r="AT244" s="18" t="s">
        <v>95</v>
      </c>
      <c r="AU244" s="18" t="s">
        <v>95</v>
      </c>
      <c r="AV244" s="18" t="s">
        <v>7029</v>
      </c>
      <c r="AW244" s="18" t="s">
        <v>95</v>
      </c>
      <c r="AX244" s="18" t="s">
        <v>10806</v>
      </c>
      <c r="AY244" s="18" t="s">
        <v>95</v>
      </c>
      <c r="AZ244" s="18" t="s">
        <v>95</v>
      </c>
      <c r="BA244" s="18" t="s">
        <v>95</v>
      </c>
      <c r="BB244" s="18" t="s">
        <v>95</v>
      </c>
      <c r="BC244" s="18" t="s">
        <v>95</v>
      </c>
      <c r="BD244" s="18" t="s">
        <v>10829</v>
      </c>
      <c r="BE244" s="18" t="s">
        <v>10808</v>
      </c>
      <c r="BF244" s="18" t="s">
        <v>10809</v>
      </c>
      <c r="BG244" s="18" t="s">
        <v>7030</v>
      </c>
      <c r="BH244" s="18"/>
      <c r="BI244" s="18"/>
      <c r="BJ244" s="18" t="s">
        <v>1020</v>
      </c>
      <c r="BK244" s="18" t="s">
        <v>12773</v>
      </c>
      <c r="BL244" s="18" t="s">
        <v>10811</v>
      </c>
      <c r="BM244" s="18" t="s">
        <v>92</v>
      </c>
      <c r="BN244" s="18" t="s">
        <v>85</v>
      </c>
      <c r="BO244" s="18">
        <v>0</v>
      </c>
      <c r="BP244" s="18" t="s">
        <v>10812</v>
      </c>
      <c r="BQ244" s="18" t="str">
        <f>VLOOKUP(Prepago[[#This Row],[NOM_PLAZA]],[1]!Locales[#Data],3,0)</f>
        <v>TIENDA CUENCA CENTRO</v>
      </c>
      <c r="BR244" s="18" t="str">
        <f>VLOOKUP(Prepago[[#This Row],[CODIGO_USUARIO]],[1]!Personal[#Data],6,0)</f>
        <v>GONZALES ALVARRACIN PAOLA YESSENIA</v>
      </c>
      <c r="BS244" s="18">
        <f>DAY(Prepago[[#This Row],[FECHA_ALTA]])</f>
        <v>13</v>
      </c>
    </row>
    <row r="245" spans="1:71" x14ac:dyDescent="0.25">
      <c r="A245" s="18" t="s">
        <v>96</v>
      </c>
      <c r="B245" s="18" t="s">
        <v>12774</v>
      </c>
      <c r="C245" s="18" t="s">
        <v>12775</v>
      </c>
      <c r="D245" s="18" t="s">
        <v>12776</v>
      </c>
      <c r="E245" s="22">
        <v>44907</v>
      </c>
      <c r="F245" s="18" t="s">
        <v>67</v>
      </c>
      <c r="G245" s="18" t="s">
        <v>12777</v>
      </c>
      <c r="H245" s="18" t="s">
        <v>12778</v>
      </c>
      <c r="I245" s="18" t="s">
        <v>70</v>
      </c>
      <c r="J245" s="18" t="s">
        <v>8102</v>
      </c>
      <c r="K245" s="18" t="s">
        <v>8103</v>
      </c>
      <c r="L245" s="18" t="s">
        <v>95</v>
      </c>
      <c r="M245" s="18" t="s">
        <v>7029</v>
      </c>
      <c r="N245" s="18" t="s">
        <v>12779</v>
      </c>
      <c r="O245" s="18" t="s">
        <v>75</v>
      </c>
      <c r="P245" s="18" t="s">
        <v>12780</v>
      </c>
      <c r="Q245" s="18" t="s">
        <v>4453</v>
      </c>
      <c r="R245" s="18" t="s">
        <v>78</v>
      </c>
      <c r="S245" s="18" t="s">
        <v>77</v>
      </c>
      <c r="T245" s="22">
        <v>44915</v>
      </c>
      <c r="U245" s="18"/>
      <c r="V245" s="18" t="s">
        <v>81</v>
      </c>
      <c r="W245" s="18" t="s">
        <v>79</v>
      </c>
      <c r="X245" s="18" t="s">
        <v>10803</v>
      </c>
      <c r="Y245" s="18" t="s">
        <v>88</v>
      </c>
      <c r="Z245" s="18" t="s">
        <v>89</v>
      </c>
      <c r="AA245" s="18" t="s">
        <v>88</v>
      </c>
      <c r="AB245" s="18" t="s">
        <v>89</v>
      </c>
      <c r="AC245" s="18" t="s">
        <v>7984</v>
      </c>
      <c r="AD245" s="18" t="s">
        <v>10804</v>
      </c>
      <c r="AE245" s="18" t="s">
        <v>80</v>
      </c>
      <c r="AF245" s="18" t="s">
        <v>95</v>
      </c>
      <c r="AG245" s="18" t="s">
        <v>83</v>
      </c>
      <c r="AH245" s="18" t="s">
        <v>83</v>
      </c>
      <c r="AI245" s="18" t="s">
        <v>81</v>
      </c>
      <c r="AJ245" s="18" t="s">
        <v>118</v>
      </c>
      <c r="AK245" s="18" t="s">
        <v>95</v>
      </c>
      <c r="AL245" s="18" t="s">
        <v>12479</v>
      </c>
      <c r="AM245" s="18" t="s">
        <v>85</v>
      </c>
      <c r="AN245" s="18" t="s">
        <v>7031</v>
      </c>
      <c r="AO245" s="18" t="s">
        <v>86</v>
      </c>
      <c r="AP245" s="18" t="s">
        <v>90</v>
      </c>
      <c r="AQ245" s="18" t="s">
        <v>8106</v>
      </c>
      <c r="AR245" s="18" t="s">
        <v>91</v>
      </c>
      <c r="AS245" s="18" t="s">
        <v>92</v>
      </c>
      <c r="AT245" s="18" t="s">
        <v>95</v>
      </c>
      <c r="AU245" s="18" t="s">
        <v>95</v>
      </c>
      <c r="AV245" s="18" t="s">
        <v>7029</v>
      </c>
      <c r="AW245" s="18" t="s">
        <v>95</v>
      </c>
      <c r="AX245" s="18" t="s">
        <v>10806</v>
      </c>
      <c r="AY245" s="18" t="s">
        <v>95</v>
      </c>
      <c r="AZ245" s="18" t="s">
        <v>95</v>
      </c>
      <c r="BA245" s="18" t="s">
        <v>95</v>
      </c>
      <c r="BB245" s="18" t="s">
        <v>95</v>
      </c>
      <c r="BC245" s="18" t="s">
        <v>95</v>
      </c>
      <c r="BD245" s="18" t="s">
        <v>10829</v>
      </c>
      <c r="BE245" s="18" t="s">
        <v>95</v>
      </c>
      <c r="BF245" s="18" t="s">
        <v>10809</v>
      </c>
      <c r="BG245" s="18" t="s">
        <v>7030</v>
      </c>
      <c r="BH245" s="18"/>
      <c r="BI245" s="18"/>
      <c r="BJ245" s="18" t="s">
        <v>88</v>
      </c>
      <c r="BK245" s="18" t="s">
        <v>12781</v>
      </c>
      <c r="BL245" s="18" t="s">
        <v>10811</v>
      </c>
      <c r="BM245" s="18" t="s">
        <v>92</v>
      </c>
      <c r="BN245" s="18" t="s">
        <v>85</v>
      </c>
      <c r="BO245" s="18">
        <v>0</v>
      </c>
      <c r="BP245" s="18" t="s">
        <v>10812</v>
      </c>
      <c r="BQ245" s="18" t="str">
        <f>VLOOKUP(Prepago[[#This Row],[NOM_PLAZA]],[1]!Locales[#Data],3,0)</f>
        <v>TIENDA CUENCA CENTRO</v>
      </c>
      <c r="BR245" s="18" t="str">
        <f>VLOOKUP(Prepago[[#This Row],[CODIGO_USUARIO]],[1]!Personal[#Data],6,0)</f>
        <v>ANDRADE CONDO CHRISTIAN EDUARDO</v>
      </c>
      <c r="BS245" s="18">
        <f>DAY(Prepago[[#This Row],[FECHA_ALTA]])</f>
        <v>12</v>
      </c>
    </row>
    <row r="246" spans="1:71" x14ac:dyDescent="0.25">
      <c r="A246" s="18" t="s">
        <v>96</v>
      </c>
      <c r="B246" s="18" t="s">
        <v>12782</v>
      </c>
      <c r="C246" s="18" t="s">
        <v>12783</v>
      </c>
      <c r="D246" s="18" t="s">
        <v>12784</v>
      </c>
      <c r="E246" s="22">
        <v>44900</v>
      </c>
      <c r="F246" s="18" t="s">
        <v>67</v>
      </c>
      <c r="G246" s="18" t="s">
        <v>12785</v>
      </c>
      <c r="H246" s="18" t="s">
        <v>12786</v>
      </c>
      <c r="I246" s="18" t="s">
        <v>70</v>
      </c>
      <c r="J246" s="18" t="s">
        <v>8102</v>
      </c>
      <c r="K246" s="18" t="s">
        <v>8103</v>
      </c>
      <c r="L246" s="18" t="s">
        <v>507</v>
      </c>
      <c r="M246" s="18" t="s">
        <v>7029</v>
      </c>
      <c r="N246" s="18" t="s">
        <v>12787</v>
      </c>
      <c r="O246" s="18" t="s">
        <v>75</v>
      </c>
      <c r="P246" s="18" t="s">
        <v>12788</v>
      </c>
      <c r="Q246" s="18" t="s">
        <v>4453</v>
      </c>
      <c r="R246" s="18" t="s">
        <v>78</v>
      </c>
      <c r="S246" s="18" t="s">
        <v>77</v>
      </c>
      <c r="T246" s="22">
        <v>44915</v>
      </c>
      <c r="U246" s="18"/>
      <c r="V246" s="18" t="s">
        <v>81</v>
      </c>
      <c r="W246" s="18" t="s">
        <v>79</v>
      </c>
      <c r="X246" s="18" t="s">
        <v>10803</v>
      </c>
      <c r="Y246" s="18" t="s">
        <v>242</v>
      </c>
      <c r="Z246" s="18" t="s">
        <v>243</v>
      </c>
      <c r="AA246" s="18" t="s">
        <v>242</v>
      </c>
      <c r="AB246" s="18" t="s">
        <v>243</v>
      </c>
      <c r="AC246" s="18" t="s">
        <v>7984</v>
      </c>
      <c r="AD246" s="18" t="s">
        <v>10804</v>
      </c>
      <c r="AE246" s="18" t="s">
        <v>80</v>
      </c>
      <c r="AF246" s="18" t="s">
        <v>95</v>
      </c>
      <c r="AG246" s="18" t="s">
        <v>83</v>
      </c>
      <c r="AH246" s="18" t="s">
        <v>83</v>
      </c>
      <c r="AI246" s="18" t="s">
        <v>81</v>
      </c>
      <c r="AJ246" s="18" t="s">
        <v>118</v>
      </c>
      <c r="AK246" s="18" t="s">
        <v>95</v>
      </c>
      <c r="AL246" s="18" t="s">
        <v>12414</v>
      </c>
      <c r="AM246" s="18" t="s">
        <v>85</v>
      </c>
      <c r="AN246" s="18" t="s">
        <v>7031</v>
      </c>
      <c r="AO246" s="18" t="s">
        <v>86</v>
      </c>
      <c r="AP246" s="18" t="s">
        <v>90</v>
      </c>
      <c r="AQ246" s="18" t="s">
        <v>8106</v>
      </c>
      <c r="AR246" s="18" t="s">
        <v>91</v>
      </c>
      <c r="AS246" s="18" t="s">
        <v>92</v>
      </c>
      <c r="AT246" s="18" t="s">
        <v>95</v>
      </c>
      <c r="AU246" s="18" t="s">
        <v>95</v>
      </c>
      <c r="AV246" s="18" t="s">
        <v>7029</v>
      </c>
      <c r="AW246" s="18" t="s">
        <v>95</v>
      </c>
      <c r="AX246" s="18" t="s">
        <v>10806</v>
      </c>
      <c r="AY246" s="18" t="s">
        <v>95</v>
      </c>
      <c r="AZ246" s="18" t="s">
        <v>95</v>
      </c>
      <c r="BA246" s="18" t="s">
        <v>95</v>
      </c>
      <c r="BB246" s="18" t="s">
        <v>95</v>
      </c>
      <c r="BC246" s="18" t="s">
        <v>95</v>
      </c>
      <c r="BD246" s="18" t="s">
        <v>10829</v>
      </c>
      <c r="BE246" s="18" t="s">
        <v>12789</v>
      </c>
      <c r="BF246" s="18" t="s">
        <v>10809</v>
      </c>
      <c r="BG246" s="18" t="s">
        <v>7030</v>
      </c>
      <c r="BH246" s="18"/>
      <c r="BI246" s="18"/>
      <c r="BJ246" s="18" t="s">
        <v>242</v>
      </c>
      <c r="BK246" s="18" t="s">
        <v>12790</v>
      </c>
      <c r="BL246" s="18" t="s">
        <v>10811</v>
      </c>
      <c r="BM246" s="18" t="s">
        <v>92</v>
      </c>
      <c r="BN246" s="18" t="s">
        <v>85</v>
      </c>
      <c r="BO246" s="18">
        <v>0</v>
      </c>
      <c r="BP246" s="18" t="s">
        <v>10812</v>
      </c>
      <c r="BQ246" s="18" t="str">
        <f>VLOOKUP(Prepago[[#This Row],[NOM_PLAZA]],[1]!Locales[#Data],3,0)</f>
        <v>TIENDA CUENCA CENTRO</v>
      </c>
      <c r="BR246" s="18" t="str">
        <f>VLOOKUP(Prepago[[#This Row],[CODIGO_USUARIO]],[1]!Personal[#Data],6,0)</f>
        <v>VALLEJO DELEG ROMAN NICOLAS</v>
      </c>
      <c r="BS246" s="18">
        <f>DAY(Prepago[[#This Row],[FECHA_ALTA]])</f>
        <v>5</v>
      </c>
    </row>
    <row r="247" spans="1:71" x14ac:dyDescent="0.25">
      <c r="A247" s="18" t="s">
        <v>96</v>
      </c>
      <c r="B247" s="18" t="s">
        <v>12791</v>
      </c>
      <c r="C247" s="18" t="s">
        <v>12792</v>
      </c>
      <c r="D247" s="18" t="s">
        <v>12793</v>
      </c>
      <c r="E247" s="22">
        <v>44901</v>
      </c>
      <c r="F247" s="18" t="s">
        <v>67</v>
      </c>
      <c r="G247" s="18" t="s">
        <v>12794</v>
      </c>
      <c r="H247" s="18" t="s">
        <v>12795</v>
      </c>
      <c r="I247" s="18" t="s">
        <v>70</v>
      </c>
      <c r="J247" s="18" t="s">
        <v>8102</v>
      </c>
      <c r="K247" s="18" t="s">
        <v>8103</v>
      </c>
      <c r="L247" s="18" t="s">
        <v>1727</v>
      </c>
      <c r="M247" s="18" t="s">
        <v>7029</v>
      </c>
      <c r="N247" s="18" t="s">
        <v>12796</v>
      </c>
      <c r="O247" s="18" t="s">
        <v>75</v>
      </c>
      <c r="P247" s="18" t="s">
        <v>12797</v>
      </c>
      <c r="Q247" s="18" t="s">
        <v>10817</v>
      </c>
      <c r="R247" s="18" t="s">
        <v>78</v>
      </c>
      <c r="S247" s="18" t="s">
        <v>77</v>
      </c>
      <c r="T247" s="22">
        <v>44915</v>
      </c>
      <c r="U247" s="18"/>
      <c r="V247" s="18" t="s">
        <v>81</v>
      </c>
      <c r="W247" s="18" t="s">
        <v>79</v>
      </c>
      <c r="X247" s="18" t="s">
        <v>10803</v>
      </c>
      <c r="Y247" s="18" t="s">
        <v>880</v>
      </c>
      <c r="Z247" s="18" t="s">
        <v>881</v>
      </c>
      <c r="AA247" s="18" t="s">
        <v>7062</v>
      </c>
      <c r="AB247" s="18" t="s">
        <v>95</v>
      </c>
      <c r="AC247" s="18" t="s">
        <v>7984</v>
      </c>
      <c r="AD247" s="18" t="s">
        <v>10804</v>
      </c>
      <c r="AE247" s="18" t="s">
        <v>80</v>
      </c>
      <c r="AF247" s="18" t="s">
        <v>95</v>
      </c>
      <c r="AG247" s="18" t="s">
        <v>81</v>
      </c>
      <c r="AH247" s="18" t="s">
        <v>83</v>
      </c>
      <c r="AI247" s="18" t="s">
        <v>81</v>
      </c>
      <c r="AJ247" s="18" t="s">
        <v>118</v>
      </c>
      <c r="AK247" s="18" t="s">
        <v>95</v>
      </c>
      <c r="AL247" s="18" t="s">
        <v>12377</v>
      </c>
      <c r="AM247" s="18" t="s">
        <v>85</v>
      </c>
      <c r="AN247" s="18" t="s">
        <v>7031</v>
      </c>
      <c r="AO247" s="18" t="s">
        <v>86</v>
      </c>
      <c r="AP247" s="18" t="s">
        <v>90</v>
      </c>
      <c r="AQ247" s="18" t="s">
        <v>8106</v>
      </c>
      <c r="AR247" s="18" t="s">
        <v>91</v>
      </c>
      <c r="AS247" s="18" t="s">
        <v>92</v>
      </c>
      <c r="AT247" s="18" t="s">
        <v>95</v>
      </c>
      <c r="AU247" s="18" t="s">
        <v>95</v>
      </c>
      <c r="AV247" s="18" t="s">
        <v>7029</v>
      </c>
      <c r="AW247" s="18" t="s">
        <v>95</v>
      </c>
      <c r="AX247" s="18" t="s">
        <v>10806</v>
      </c>
      <c r="AY247" s="18" t="s">
        <v>82</v>
      </c>
      <c r="AZ247" s="18" t="s">
        <v>95</v>
      </c>
      <c r="BA247" s="18" t="s">
        <v>95</v>
      </c>
      <c r="BB247" s="18" t="s">
        <v>95</v>
      </c>
      <c r="BC247" s="18" t="s">
        <v>95</v>
      </c>
      <c r="BD247" s="18" t="s">
        <v>10829</v>
      </c>
      <c r="BE247" s="18" t="s">
        <v>12798</v>
      </c>
      <c r="BF247" s="18" t="s">
        <v>10809</v>
      </c>
      <c r="BG247" s="18" t="s">
        <v>7030</v>
      </c>
      <c r="BH247" s="18"/>
      <c r="BI247" s="18"/>
      <c r="BJ247" s="18" t="s">
        <v>880</v>
      </c>
      <c r="BK247" s="18" t="s">
        <v>12799</v>
      </c>
      <c r="BL247" s="18" t="s">
        <v>10811</v>
      </c>
      <c r="BM247" s="18" t="s">
        <v>92</v>
      </c>
      <c r="BN247" s="18" t="s">
        <v>85</v>
      </c>
      <c r="BO247" s="18">
        <v>1</v>
      </c>
      <c r="BP247" s="18" t="s">
        <v>10812</v>
      </c>
      <c r="BQ247" s="18" t="str">
        <f>VLOOKUP(Prepago[[#This Row],[NOM_PLAZA]],[1]!Locales[#Data],3,0)</f>
        <v>TIENDA CUENCA CENTRO</v>
      </c>
      <c r="BR247" s="18" t="str">
        <f>VLOOKUP(Prepago[[#This Row],[CODIGO_USUARIO]],[1]!Personal[#Data],6,0)</f>
        <v>LUNA JACHO ANDREA GABRIELA</v>
      </c>
      <c r="BS247" s="18">
        <f>DAY(Prepago[[#This Row],[FECHA_ALTA]])</f>
        <v>6</v>
      </c>
    </row>
    <row r="248" spans="1:71" x14ac:dyDescent="0.25">
      <c r="A248" s="18" t="s">
        <v>96</v>
      </c>
      <c r="B248" s="18" t="s">
        <v>12800</v>
      </c>
      <c r="C248" s="18" t="s">
        <v>12801</v>
      </c>
      <c r="D248" s="18" t="s">
        <v>12802</v>
      </c>
      <c r="E248" s="22">
        <v>44900</v>
      </c>
      <c r="F248" s="18" t="s">
        <v>67</v>
      </c>
      <c r="G248" s="18" t="s">
        <v>12803</v>
      </c>
      <c r="H248" s="18" t="s">
        <v>12804</v>
      </c>
      <c r="I248" s="18" t="s">
        <v>70</v>
      </c>
      <c r="J248" s="18" t="s">
        <v>8102</v>
      </c>
      <c r="K248" s="18" t="s">
        <v>8103</v>
      </c>
      <c r="L248" s="18" t="s">
        <v>73</v>
      </c>
      <c r="M248" s="18" t="s">
        <v>7029</v>
      </c>
      <c r="N248" s="18" t="s">
        <v>12805</v>
      </c>
      <c r="O248" s="18" t="s">
        <v>75</v>
      </c>
      <c r="P248" s="18" t="s">
        <v>12806</v>
      </c>
      <c r="Q248" s="18" t="s">
        <v>1532</v>
      </c>
      <c r="R248" s="18" t="s">
        <v>78</v>
      </c>
      <c r="S248" s="18" t="s">
        <v>77</v>
      </c>
      <c r="T248" s="22">
        <v>44915</v>
      </c>
      <c r="U248" s="18"/>
      <c r="V248" s="18" t="s">
        <v>81</v>
      </c>
      <c r="W248" s="18" t="s">
        <v>79</v>
      </c>
      <c r="X248" s="18" t="s">
        <v>10803</v>
      </c>
      <c r="Y248" s="18" t="s">
        <v>289</v>
      </c>
      <c r="Z248" s="18" t="s">
        <v>290</v>
      </c>
      <c r="AA248" s="18" t="s">
        <v>289</v>
      </c>
      <c r="AB248" s="18" t="s">
        <v>290</v>
      </c>
      <c r="AC248" s="18" t="s">
        <v>7984</v>
      </c>
      <c r="AD248" s="18" t="s">
        <v>10804</v>
      </c>
      <c r="AE248" s="18" t="s">
        <v>80</v>
      </c>
      <c r="AF248" s="18" t="s">
        <v>95</v>
      </c>
      <c r="AG248" s="18" t="s">
        <v>83</v>
      </c>
      <c r="AH248" s="18" t="s">
        <v>83</v>
      </c>
      <c r="AI248" s="18" t="s">
        <v>81</v>
      </c>
      <c r="AJ248" s="18" t="s">
        <v>118</v>
      </c>
      <c r="AK248" s="18" t="s">
        <v>95</v>
      </c>
      <c r="AL248" s="18" t="s">
        <v>12396</v>
      </c>
      <c r="AM248" s="18" t="s">
        <v>85</v>
      </c>
      <c r="AN248" s="18" t="s">
        <v>7031</v>
      </c>
      <c r="AO248" s="18" t="s">
        <v>86</v>
      </c>
      <c r="AP248" s="18" t="s">
        <v>90</v>
      </c>
      <c r="AQ248" s="18" t="s">
        <v>8106</v>
      </c>
      <c r="AR248" s="18" t="s">
        <v>91</v>
      </c>
      <c r="AS248" s="18" t="s">
        <v>92</v>
      </c>
      <c r="AT248" s="18" t="s">
        <v>95</v>
      </c>
      <c r="AU248" s="18" t="s">
        <v>95</v>
      </c>
      <c r="AV248" s="18" t="s">
        <v>7029</v>
      </c>
      <c r="AW248" s="18" t="s">
        <v>95</v>
      </c>
      <c r="AX248" s="18" t="s">
        <v>10806</v>
      </c>
      <c r="AY248" s="18" t="s">
        <v>95</v>
      </c>
      <c r="AZ248" s="18" t="s">
        <v>95</v>
      </c>
      <c r="BA248" s="18" t="s">
        <v>95</v>
      </c>
      <c r="BB248" s="18" t="s">
        <v>95</v>
      </c>
      <c r="BC248" s="18" t="s">
        <v>95</v>
      </c>
      <c r="BD248" s="18" t="s">
        <v>10829</v>
      </c>
      <c r="BE248" s="18" t="s">
        <v>10808</v>
      </c>
      <c r="BF248" s="18" t="s">
        <v>10809</v>
      </c>
      <c r="BG248" s="18" t="s">
        <v>7030</v>
      </c>
      <c r="BH248" s="18"/>
      <c r="BI248" s="18"/>
      <c r="BJ248" s="18" t="s">
        <v>289</v>
      </c>
      <c r="BK248" s="18" t="s">
        <v>12807</v>
      </c>
      <c r="BL248" s="18" t="s">
        <v>10811</v>
      </c>
      <c r="BM248" s="18" t="s">
        <v>92</v>
      </c>
      <c r="BN248" s="18" t="s">
        <v>85</v>
      </c>
      <c r="BO248" s="18">
        <v>0</v>
      </c>
      <c r="BP248" s="18" t="s">
        <v>10812</v>
      </c>
      <c r="BQ248" s="18" t="str">
        <f>VLOOKUP(Prepago[[#This Row],[NOM_PLAZA]],[1]!Locales[#Data],3,0)</f>
        <v>TIENDA CUENCA CENTRO</v>
      </c>
      <c r="BR248" s="18" t="str">
        <f>VLOOKUP(Prepago[[#This Row],[CODIGO_USUARIO]],[1]!Personal[#Data],6,0)</f>
        <v>CALLE CHACA JORGE VINICIO</v>
      </c>
      <c r="BS248" s="18">
        <f>DAY(Prepago[[#This Row],[FECHA_ALTA]])</f>
        <v>5</v>
      </c>
    </row>
    <row r="249" spans="1:71" x14ac:dyDescent="0.25">
      <c r="A249" s="18" t="s">
        <v>96</v>
      </c>
      <c r="B249" s="18" t="s">
        <v>12808</v>
      </c>
      <c r="C249" s="18" t="s">
        <v>12809</v>
      </c>
      <c r="D249" s="18" t="s">
        <v>12810</v>
      </c>
      <c r="E249" s="22">
        <v>44914</v>
      </c>
      <c r="F249" s="18" t="s">
        <v>67</v>
      </c>
      <c r="G249" s="18" t="s">
        <v>12811</v>
      </c>
      <c r="H249" s="18" t="s">
        <v>12812</v>
      </c>
      <c r="I249" s="18" t="s">
        <v>70</v>
      </c>
      <c r="J249" s="18" t="s">
        <v>8102</v>
      </c>
      <c r="K249" s="18" t="s">
        <v>8103</v>
      </c>
      <c r="L249" s="18" t="s">
        <v>73</v>
      </c>
      <c r="M249" s="18" t="s">
        <v>7029</v>
      </c>
      <c r="N249" s="18" t="s">
        <v>12813</v>
      </c>
      <c r="O249" s="18" t="s">
        <v>75</v>
      </c>
      <c r="P249" s="18" t="s">
        <v>12814</v>
      </c>
      <c r="Q249" s="18" t="s">
        <v>10817</v>
      </c>
      <c r="R249" s="18" t="s">
        <v>78</v>
      </c>
      <c r="S249" s="18" t="s">
        <v>77</v>
      </c>
      <c r="T249" s="22">
        <v>44915</v>
      </c>
      <c r="U249" s="18"/>
      <c r="V249" s="18" t="s">
        <v>81</v>
      </c>
      <c r="W249" s="18" t="s">
        <v>79</v>
      </c>
      <c r="X249" s="18" t="s">
        <v>10803</v>
      </c>
      <c r="Y249" s="18" t="s">
        <v>289</v>
      </c>
      <c r="Z249" s="18" t="s">
        <v>290</v>
      </c>
      <c r="AA249" s="18" t="s">
        <v>289</v>
      </c>
      <c r="AB249" s="18" t="s">
        <v>290</v>
      </c>
      <c r="AC249" s="18" t="s">
        <v>7984</v>
      </c>
      <c r="AD249" s="18" t="s">
        <v>10804</v>
      </c>
      <c r="AE249" s="18" t="s">
        <v>80</v>
      </c>
      <c r="AF249" s="18" t="s">
        <v>95</v>
      </c>
      <c r="AG249" s="18" t="s">
        <v>83</v>
      </c>
      <c r="AH249" s="18" t="s">
        <v>83</v>
      </c>
      <c r="AI249" s="18" t="s">
        <v>81</v>
      </c>
      <c r="AJ249" s="18" t="s">
        <v>118</v>
      </c>
      <c r="AK249" s="18" t="s">
        <v>95</v>
      </c>
      <c r="AL249" s="18" t="s">
        <v>12396</v>
      </c>
      <c r="AM249" s="18" t="s">
        <v>85</v>
      </c>
      <c r="AN249" s="18" t="s">
        <v>7031</v>
      </c>
      <c r="AO249" s="18" t="s">
        <v>86</v>
      </c>
      <c r="AP249" s="18" t="s">
        <v>90</v>
      </c>
      <c r="AQ249" s="18" t="s">
        <v>8106</v>
      </c>
      <c r="AR249" s="18" t="s">
        <v>91</v>
      </c>
      <c r="AS249" s="18" t="s">
        <v>92</v>
      </c>
      <c r="AT249" s="18" t="s">
        <v>95</v>
      </c>
      <c r="AU249" s="18" t="s">
        <v>95</v>
      </c>
      <c r="AV249" s="18" t="s">
        <v>7029</v>
      </c>
      <c r="AW249" s="18" t="s">
        <v>95</v>
      </c>
      <c r="AX249" s="18" t="s">
        <v>10806</v>
      </c>
      <c r="AY249" s="18" t="s">
        <v>95</v>
      </c>
      <c r="AZ249" s="18" t="s">
        <v>95</v>
      </c>
      <c r="BA249" s="18" t="s">
        <v>95</v>
      </c>
      <c r="BB249" s="18" t="s">
        <v>95</v>
      </c>
      <c r="BC249" s="18" t="s">
        <v>95</v>
      </c>
      <c r="BD249" s="18" t="s">
        <v>10829</v>
      </c>
      <c r="BE249" s="18" t="s">
        <v>12815</v>
      </c>
      <c r="BF249" s="18" t="s">
        <v>10809</v>
      </c>
      <c r="BG249" s="18" t="s">
        <v>7030</v>
      </c>
      <c r="BH249" s="18"/>
      <c r="BI249" s="18"/>
      <c r="BJ249" s="18" t="s">
        <v>289</v>
      </c>
      <c r="BK249" s="18" t="s">
        <v>12816</v>
      </c>
      <c r="BL249" s="18" t="s">
        <v>10811</v>
      </c>
      <c r="BM249" s="18" t="s">
        <v>92</v>
      </c>
      <c r="BN249" s="18" t="s">
        <v>85</v>
      </c>
      <c r="BO249" s="18">
        <v>0</v>
      </c>
      <c r="BP249" s="18" t="s">
        <v>10812</v>
      </c>
      <c r="BQ249" s="18" t="str">
        <f>VLOOKUP(Prepago[[#This Row],[NOM_PLAZA]],[1]!Locales[#Data],3,0)</f>
        <v>TIENDA CUENCA CENTRO</v>
      </c>
      <c r="BR249" s="18" t="str">
        <f>VLOOKUP(Prepago[[#This Row],[CODIGO_USUARIO]],[1]!Personal[#Data],6,0)</f>
        <v>CALLE CHACA JORGE VINICIO</v>
      </c>
      <c r="BS249" s="18">
        <f>DAY(Prepago[[#This Row],[FECHA_ALTA]])</f>
        <v>19</v>
      </c>
    </row>
    <row r="250" spans="1:71" x14ac:dyDescent="0.25">
      <c r="A250" s="18" t="s">
        <v>96</v>
      </c>
      <c r="B250" s="18" t="s">
        <v>12817</v>
      </c>
      <c r="C250" s="18" t="s">
        <v>12818</v>
      </c>
      <c r="D250" s="18" t="s">
        <v>12819</v>
      </c>
      <c r="E250" s="22">
        <v>44912</v>
      </c>
      <c r="F250" s="18" t="s">
        <v>67</v>
      </c>
      <c r="G250" s="18" t="s">
        <v>12820</v>
      </c>
      <c r="H250" s="18" t="s">
        <v>12821</v>
      </c>
      <c r="I250" s="18" t="s">
        <v>193</v>
      </c>
      <c r="J250" s="18" t="s">
        <v>8102</v>
      </c>
      <c r="K250" s="18" t="s">
        <v>8103</v>
      </c>
      <c r="L250" s="18" t="s">
        <v>12822</v>
      </c>
      <c r="M250" s="18" t="s">
        <v>7029</v>
      </c>
      <c r="N250" s="18" t="s">
        <v>12823</v>
      </c>
      <c r="O250" s="18" t="s">
        <v>75</v>
      </c>
      <c r="P250" s="18" t="s">
        <v>12824</v>
      </c>
      <c r="Q250" s="18" t="s">
        <v>10817</v>
      </c>
      <c r="R250" s="18" t="s">
        <v>78</v>
      </c>
      <c r="S250" s="18" t="s">
        <v>77</v>
      </c>
      <c r="T250" s="22">
        <v>44915</v>
      </c>
      <c r="U250" s="18"/>
      <c r="V250" s="18" t="s">
        <v>81</v>
      </c>
      <c r="W250" s="18" t="s">
        <v>79</v>
      </c>
      <c r="X250" s="18" t="s">
        <v>10803</v>
      </c>
      <c r="Y250" s="18" t="s">
        <v>1020</v>
      </c>
      <c r="Z250" s="18" t="s">
        <v>1021</v>
      </c>
      <c r="AA250" s="18" t="s">
        <v>1020</v>
      </c>
      <c r="AB250" s="18" t="s">
        <v>1021</v>
      </c>
      <c r="AC250" s="18" t="s">
        <v>7984</v>
      </c>
      <c r="AD250" s="18" t="s">
        <v>10804</v>
      </c>
      <c r="AE250" s="18" t="s">
        <v>80</v>
      </c>
      <c r="AF250" s="18" t="s">
        <v>95</v>
      </c>
      <c r="AG250" s="18" t="s">
        <v>83</v>
      </c>
      <c r="AH250" s="18" t="s">
        <v>83</v>
      </c>
      <c r="AI250" s="18" t="s">
        <v>81</v>
      </c>
      <c r="AJ250" s="18" t="s">
        <v>118</v>
      </c>
      <c r="AK250" s="18" t="s">
        <v>95</v>
      </c>
      <c r="AL250" s="18" t="s">
        <v>12458</v>
      </c>
      <c r="AM250" s="18" t="s">
        <v>85</v>
      </c>
      <c r="AN250" s="18" t="s">
        <v>7031</v>
      </c>
      <c r="AO250" s="18" t="s">
        <v>86</v>
      </c>
      <c r="AP250" s="18" t="s">
        <v>90</v>
      </c>
      <c r="AQ250" s="18" t="s">
        <v>8106</v>
      </c>
      <c r="AR250" s="18" t="s">
        <v>91</v>
      </c>
      <c r="AS250" s="18" t="s">
        <v>92</v>
      </c>
      <c r="AT250" s="18" t="s">
        <v>95</v>
      </c>
      <c r="AU250" s="18" t="s">
        <v>95</v>
      </c>
      <c r="AV250" s="18" t="s">
        <v>7029</v>
      </c>
      <c r="AW250" s="18" t="s">
        <v>95</v>
      </c>
      <c r="AX250" s="18" t="s">
        <v>10806</v>
      </c>
      <c r="AY250" s="18" t="s">
        <v>95</v>
      </c>
      <c r="AZ250" s="18" t="s">
        <v>95</v>
      </c>
      <c r="BA250" s="18" t="s">
        <v>95</v>
      </c>
      <c r="BB250" s="18" t="s">
        <v>95</v>
      </c>
      <c r="BC250" s="18" t="s">
        <v>95</v>
      </c>
      <c r="BD250" s="18" t="s">
        <v>10829</v>
      </c>
      <c r="BE250" s="18" t="s">
        <v>12825</v>
      </c>
      <c r="BF250" s="18" t="s">
        <v>10809</v>
      </c>
      <c r="BG250" s="18" t="s">
        <v>7030</v>
      </c>
      <c r="BH250" s="18"/>
      <c r="BI250" s="18"/>
      <c r="BJ250" s="18" t="s">
        <v>1020</v>
      </c>
      <c r="BK250" s="18" t="s">
        <v>12826</v>
      </c>
      <c r="BL250" s="18" t="s">
        <v>10811</v>
      </c>
      <c r="BM250" s="18" t="s">
        <v>92</v>
      </c>
      <c r="BN250" s="18" t="s">
        <v>85</v>
      </c>
      <c r="BO250" s="18">
        <v>0</v>
      </c>
      <c r="BP250" s="18" t="s">
        <v>10812</v>
      </c>
      <c r="BQ250" s="18" t="str">
        <f>VLOOKUP(Prepago[[#This Row],[NOM_PLAZA]],[1]!Locales[#Data],3,0)</f>
        <v>TIENDA CUENCA CENTRO</v>
      </c>
      <c r="BR250" s="18" t="str">
        <f>VLOOKUP(Prepago[[#This Row],[CODIGO_USUARIO]],[1]!Personal[#Data],6,0)</f>
        <v>GONZALES ALVARRACIN PAOLA YESSENIA</v>
      </c>
      <c r="BS250" s="18">
        <f>DAY(Prepago[[#This Row],[FECHA_ALTA]])</f>
        <v>17</v>
      </c>
    </row>
    <row r="251" spans="1:71" x14ac:dyDescent="0.25">
      <c r="A251" s="18" t="s">
        <v>96</v>
      </c>
      <c r="B251" s="18" t="s">
        <v>12827</v>
      </c>
      <c r="C251" s="18" t="s">
        <v>12828</v>
      </c>
      <c r="D251" s="18" t="s">
        <v>12829</v>
      </c>
      <c r="E251" s="22">
        <v>44905</v>
      </c>
      <c r="F251" s="18" t="s">
        <v>67</v>
      </c>
      <c r="G251" s="18" t="s">
        <v>12830</v>
      </c>
      <c r="H251" s="18" t="s">
        <v>12831</v>
      </c>
      <c r="I251" s="18" t="s">
        <v>70</v>
      </c>
      <c r="J251" s="18" t="s">
        <v>8102</v>
      </c>
      <c r="K251" s="18" t="s">
        <v>8103</v>
      </c>
      <c r="L251" s="18" t="s">
        <v>73</v>
      </c>
      <c r="M251" s="18" t="s">
        <v>7029</v>
      </c>
      <c r="N251" s="18" t="s">
        <v>12832</v>
      </c>
      <c r="O251" s="18" t="s">
        <v>75</v>
      </c>
      <c r="P251" s="18" t="s">
        <v>12833</v>
      </c>
      <c r="Q251" s="18" t="s">
        <v>1532</v>
      </c>
      <c r="R251" s="18" t="s">
        <v>78</v>
      </c>
      <c r="S251" s="18" t="s">
        <v>77</v>
      </c>
      <c r="T251" s="22">
        <v>44915</v>
      </c>
      <c r="U251" s="18"/>
      <c r="V251" s="18" t="s">
        <v>81</v>
      </c>
      <c r="W251" s="18" t="s">
        <v>79</v>
      </c>
      <c r="X251" s="18" t="s">
        <v>10803</v>
      </c>
      <c r="Y251" s="18" t="s">
        <v>289</v>
      </c>
      <c r="Z251" s="18" t="s">
        <v>290</v>
      </c>
      <c r="AA251" s="18" t="s">
        <v>289</v>
      </c>
      <c r="AB251" s="18" t="s">
        <v>290</v>
      </c>
      <c r="AC251" s="18" t="s">
        <v>7984</v>
      </c>
      <c r="AD251" s="18" t="s">
        <v>10804</v>
      </c>
      <c r="AE251" s="18" t="s">
        <v>80</v>
      </c>
      <c r="AF251" s="18" t="s">
        <v>95</v>
      </c>
      <c r="AG251" s="18" t="s">
        <v>83</v>
      </c>
      <c r="AH251" s="18" t="s">
        <v>83</v>
      </c>
      <c r="AI251" s="18" t="s">
        <v>81</v>
      </c>
      <c r="AJ251" s="18" t="s">
        <v>118</v>
      </c>
      <c r="AK251" s="18" t="s">
        <v>95</v>
      </c>
      <c r="AL251" s="18" t="s">
        <v>12396</v>
      </c>
      <c r="AM251" s="18" t="s">
        <v>85</v>
      </c>
      <c r="AN251" s="18" t="s">
        <v>7031</v>
      </c>
      <c r="AO251" s="18" t="s">
        <v>86</v>
      </c>
      <c r="AP251" s="18" t="s">
        <v>90</v>
      </c>
      <c r="AQ251" s="18" t="s">
        <v>8106</v>
      </c>
      <c r="AR251" s="18" t="s">
        <v>91</v>
      </c>
      <c r="AS251" s="18" t="s">
        <v>92</v>
      </c>
      <c r="AT251" s="18" t="s">
        <v>95</v>
      </c>
      <c r="AU251" s="18" t="s">
        <v>95</v>
      </c>
      <c r="AV251" s="18" t="s">
        <v>7029</v>
      </c>
      <c r="AW251" s="18" t="s">
        <v>95</v>
      </c>
      <c r="AX251" s="18" t="s">
        <v>10806</v>
      </c>
      <c r="AY251" s="18" t="s">
        <v>95</v>
      </c>
      <c r="AZ251" s="18" t="s">
        <v>95</v>
      </c>
      <c r="BA251" s="18" t="s">
        <v>95</v>
      </c>
      <c r="BB251" s="18" t="s">
        <v>95</v>
      </c>
      <c r="BC251" s="18" t="s">
        <v>95</v>
      </c>
      <c r="BD251" s="18" t="s">
        <v>10807</v>
      </c>
      <c r="BE251" s="18" t="s">
        <v>12834</v>
      </c>
      <c r="BF251" s="18" t="s">
        <v>10809</v>
      </c>
      <c r="BG251" s="18" t="s">
        <v>7030</v>
      </c>
      <c r="BH251" s="18"/>
      <c r="BI251" s="18"/>
      <c r="BJ251" s="18" t="s">
        <v>289</v>
      </c>
      <c r="BK251" s="18" t="s">
        <v>12835</v>
      </c>
      <c r="BL251" s="18" t="s">
        <v>10811</v>
      </c>
      <c r="BM251" s="18" t="s">
        <v>92</v>
      </c>
      <c r="BN251" s="18" t="s">
        <v>85</v>
      </c>
      <c r="BO251" s="18">
        <v>1</v>
      </c>
      <c r="BP251" s="18" t="s">
        <v>10812</v>
      </c>
      <c r="BQ251" s="18" t="str">
        <f>VLOOKUP(Prepago[[#This Row],[NOM_PLAZA]],[1]!Locales[#Data],3,0)</f>
        <v>TIENDA CUENCA CENTRO</v>
      </c>
      <c r="BR251" s="18" t="str">
        <f>VLOOKUP(Prepago[[#This Row],[CODIGO_USUARIO]],[1]!Personal[#Data],6,0)</f>
        <v>CALLE CHACA JORGE VINICIO</v>
      </c>
      <c r="BS251" s="18">
        <f>DAY(Prepago[[#This Row],[FECHA_ALTA]])</f>
        <v>10</v>
      </c>
    </row>
    <row r="252" spans="1:71" x14ac:dyDescent="0.25">
      <c r="A252" s="18" t="s">
        <v>96</v>
      </c>
      <c r="B252" s="18" t="s">
        <v>12836</v>
      </c>
      <c r="C252" s="18" t="s">
        <v>12837</v>
      </c>
      <c r="D252" s="18" t="s">
        <v>12596</v>
      </c>
      <c r="E252" s="22">
        <v>44897</v>
      </c>
      <c r="F252" s="18" t="s">
        <v>67</v>
      </c>
      <c r="G252" s="18" t="s">
        <v>12597</v>
      </c>
      <c r="H252" s="18" t="s">
        <v>12598</v>
      </c>
      <c r="I252" s="18" t="s">
        <v>70</v>
      </c>
      <c r="J252" s="18" t="s">
        <v>8102</v>
      </c>
      <c r="K252" s="18" t="s">
        <v>8103</v>
      </c>
      <c r="L252" s="18" t="s">
        <v>73</v>
      </c>
      <c r="M252" s="18" t="s">
        <v>7029</v>
      </c>
      <c r="N252" s="18" t="s">
        <v>12838</v>
      </c>
      <c r="O252" s="18" t="s">
        <v>75</v>
      </c>
      <c r="P252" s="18" t="s">
        <v>12839</v>
      </c>
      <c r="Q252" s="18" t="s">
        <v>10817</v>
      </c>
      <c r="R252" s="18" t="s">
        <v>78</v>
      </c>
      <c r="S252" s="18" t="s">
        <v>77</v>
      </c>
      <c r="T252" s="22">
        <v>44915</v>
      </c>
      <c r="U252" s="18"/>
      <c r="V252" s="18" t="s">
        <v>81</v>
      </c>
      <c r="W252" s="18" t="s">
        <v>79</v>
      </c>
      <c r="X252" s="18" t="s">
        <v>10803</v>
      </c>
      <c r="Y252" s="18" t="s">
        <v>242</v>
      </c>
      <c r="Z252" s="18" t="s">
        <v>243</v>
      </c>
      <c r="AA252" s="18" t="s">
        <v>242</v>
      </c>
      <c r="AB252" s="18" t="s">
        <v>243</v>
      </c>
      <c r="AC252" s="18" t="s">
        <v>7984</v>
      </c>
      <c r="AD252" s="18" t="s">
        <v>10804</v>
      </c>
      <c r="AE252" s="18" t="s">
        <v>80</v>
      </c>
      <c r="AF252" s="18" t="s">
        <v>95</v>
      </c>
      <c r="AG252" s="18" t="s">
        <v>83</v>
      </c>
      <c r="AH252" s="18" t="s">
        <v>83</v>
      </c>
      <c r="AI252" s="18" t="s">
        <v>81</v>
      </c>
      <c r="AJ252" s="18" t="s">
        <v>118</v>
      </c>
      <c r="AK252" s="18" t="s">
        <v>95</v>
      </c>
      <c r="AL252" s="18" t="s">
        <v>12414</v>
      </c>
      <c r="AM252" s="18" t="s">
        <v>85</v>
      </c>
      <c r="AN252" s="18" t="s">
        <v>7031</v>
      </c>
      <c r="AO252" s="18" t="s">
        <v>86</v>
      </c>
      <c r="AP252" s="18" t="s">
        <v>90</v>
      </c>
      <c r="AQ252" s="18" t="s">
        <v>8106</v>
      </c>
      <c r="AR252" s="18" t="s">
        <v>91</v>
      </c>
      <c r="AS252" s="18" t="s">
        <v>92</v>
      </c>
      <c r="AT252" s="18" t="s">
        <v>95</v>
      </c>
      <c r="AU252" s="18" t="s">
        <v>95</v>
      </c>
      <c r="AV252" s="18" t="s">
        <v>7029</v>
      </c>
      <c r="AW252" s="18" t="s">
        <v>95</v>
      </c>
      <c r="AX252" s="18" t="s">
        <v>10806</v>
      </c>
      <c r="AY252" s="18" t="s">
        <v>95</v>
      </c>
      <c r="AZ252" s="18" t="s">
        <v>95</v>
      </c>
      <c r="BA252" s="18" t="s">
        <v>95</v>
      </c>
      <c r="BB252" s="18" t="s">
        <v>95</v>
      </c>
      <c r="BC252" s="18" t="s">
        <v>95</v>
      </c>
      <c r="BD252" s="18" t="s">
        <v>10829</v>
      </c>
      <c r="BE252" s="18" t="s">
        <v>12601</v>
      </c>
      <c r="BF252" s="18" t="s">
        <v>10809</v>
      </c>
      <c r="BG252" s="18" t="s">
        <v>7030</v>
      </c>
      <c r="BH252" s="18"/>
      <c r="BI252" s="18"/>
      <c r="BJ252" s="18" t="s">
        <v>242</v>
      </c>
      <c r="BK252" s="18" t="s">
        <v>12840</v>
      </c>
      <c r="BL252" s="18" t="s">
        <v>10811</v>
      </c>
      <c r="BM252" s="18" t="s">
        <v>92</v>
      </c>
      <c r="BN252" s="18" t="s">
        <v>85</v>
      </c>
      <c r="BO252" s="18">
        <v>0</v>
      </c>
      <c r="BP252" s="18" t="s">
        <v>10812</v>
      </c>
      <c r="BQ252" s="18" t="str">
        <f>VLOOKUP(Prepago[[#This Row],[NOM_PLAZA]],[1]!Locales[#Data],3,0)</f>
        <v>TIENDA CUENCA CENTRO</v>
      </c>
      <c r="BR252" s="18" t="str">
        <f>VLOOKUP(Prepago[[#This Row],[CODIGO_USUARIO]],[1]!Personal[#Data],6,0)</f>
        <v>VALLEJO DELEG ROMAN NICOLAS</v>
      </c>
      <c r="BS252" s="18">
        <f>DAY(Prepago[[#This Row],[FECHA_ALTA]])</f>
        <v>2</v>
      </c>
    </row>
    <row r="253" spans="1:71" x14ac:dyDescent="0.25">
      <c r="A253" s="18" t="s">
        <v>96</v>
      </c>
      <c r="B253" s="18" t="s">
        <v>12841</v>
      </c>
      <c r="C253" s="18" t="s">
        <v>12842</v>
      </c>
      <c r="D253" s="18" t="s">
        <v>12843</v>
      </c>
      <c r="E253" s="22">
        <v>44910</v>
      </c>
      <c r="F253" s="18" t="s">
        <v>67</v>
      </c>
      <c r="G253" s="18" t="s">
        <v>12844</v>
      </c>
      <c r="H253" s="18" t="s">
        <v>12845</v>
      </c>
      <c r="I253" s="18" t="s">
        <v>70</v>
      </c>
      <c r="J253" s="18" t="s">
        <v>8102</v>
      </c>
      <c r="K253" s="18" t="s">
        <v>8103</v>
      </c>
      <c r="L253" s="18" t="s">
        <v>73</v>
      </c>
      <c r="M253" s="18" t="s">
        <v>7029</v>
      </c>
      <c r="N253" s="18" t="s">
        <v>12846</v>
      </c>
      <c r="O253" s="18" t="s">
        <v>75</v>
      </c>
      <c r="P253" s="18" t="s">
        <v>12847</v>
      </c>
      <c r="Q253" s="18" t="s">
        <v>231</v>
      </c>
      <c r="R253" s="18" t="s">
        <v>78</v>
      </c>
      <c r="S253" s="18" t="s">
        <v>231</v>
      </c>
      <c r="T253" s="22">
        <v>44915</v>
      </c>
      <c r="U253" s="18"/>
      <c r="V253" s="18" t="s">
        <v>81</v>
      </c>
      <c r="W253" s="18" t="s">
        <v>79</v>
      </c>
      <c r="X253" s="18" t="s">
        <v>10803</v>
      </c>
      <c r="Y253" s="18" t="s">
        <v>1415</v>
      </c>
      <c r="Z253" s="18" t="s">
        <v>1416</v>
      </c>
      <c r="AA253" s="18" t="s">
        <v>1415</v>
      </c>
      <c r="AB253" s="18" t="s">
        <v>1416</v>
      </c>
      <c r="AC253" s="18" t="s">
        <v>7984</v>
      </c>
      <c r="AD253" s="18" t="s">
        <v>10804</v>
      </c>
      <c r="AE253" s="18" t="s">
        <v>80</v>
      </c>
      <c r="AF253" s="18" t="s">
        <v>95</v>
      </c>
      <c r="AG253" s="18" t="s">
        <v>83</v>
      </c>
      <c r="AH253" s="18" t="s">
        <v>83</v>
      </c>
      <c r="AI253" s="18" t="s">
        <v>81</v>
      </c>
      <c r="AJ253" s="18" t="s">
        <v>118</v>
      </c>
      <c r="AK253" s="18" t="s">
        <v>95</v>
      </c>
      <c r="AL253" s="18" t="s">
        <v>10746</v>
      </c>
      <c r="AM253" s="18" t="s">
        <v>85</v>
      </c>
      <c r="AN253" s="18" t="s">
        <v>7031</v>
      </c>
      <c r="AO253" s="18" t="s">
        <v>86</v>
      </c>
      <c r="AP253" s="18" t="s">
        <v>90</v>
      </c>
      <c r="AQ253" s="18" t="s">
        <v>8106</v>
      </c>
      <c r="AR253" s="18" t="s">
        <v>91</v>
      </c>
      <c r="AS253" s="18" t="s">
        <v>92</v>
      </c>
      <c r="AT253" s="18" t="s">
        <v>95</v>
      </c>
      <c r="AU253" s="18" t="s">
        <v>95</v>
      </c>
      <c r="AV253" s="18" t="s">
        <v>7029</v>
      </c>
      <c r="AW253" s="18" t="s">
        <v>95</v>
      </c>
      <c r="AX253" s="18" t="s">
        <v>10806</v>
      </c>
      <c r="AY253" s="18" t="s">
        <v>95</v>
      </c>
      <c r="AZ253" s="18" t="s">
        <v>95</v>
      </c>
      <c r="BA253" s="18" t="s">
        <v>95</v>
      </c>
      <c r="BB253" s="18" t="s">
        <v>95</v>
      </c>
      <c r="BC253" s="18" t="s">
        <v>95</v>
      </c>
      <c r="BD253" s="18" t="s">
        <v>10807</v>
      </c>
      <c r="BE253" s="18" t="s">
        <v>12848</v>
      </c>
      <c r="BF253" s="18" t="s">
        <v>10809</v>
      </c>
      <c r="BG253" s="18" t="s">
        <v>7030</v>
      </c>
      <c r="BH253" s="18"/>
      <c r="BI253" s="18"/>
      <c r="BJ253" s="18" t="s">
        <v>1415</v>
      </c>
      <c r="BK253" s="18" t="s">
        <v>12849</v>
      </c>
      <c r="BL253" s="18" t="s">
        <v>10811</v>
      </c>
      <c r="BM253" s="18" t="s">
        <v>92</v>
      </c>
      <c r="BN253" s="18" t="s">
        <v>85</v>
      </c>
      <c r="BO253" s="18">
        <v>0</v>
      </c>
      <c r="BP253" s="18" t="s">
        <v>10812</v>
      </c>
      <c r="BQ253" s="18" t="str">
        <f>VLOOKUP(Prepago[[#This Row],[NOM_PLAZA]],[1]!Locales[#Data],3,0)</f>
        <v>TIENDA CUENCA CENTRO</v>
      </c>
      <c r="BR253" s="18" t="str">
        <f>VLOOKUP(Prepago[[#This Row],[CODIGO_USUARIO]],[1]!Personal[#Data],6,0)</f>
        <v>PATIÑO URGILES DIANA CATALINA</v>
      </c>
      <c r="BS253" s="18">
        <f>DAY(Prepago[[#This Row],[FECHA_ALTA]])</f>
        <v>15</v>
      </c>
    </row>
    <row r="254" spans="1:71" x14ac:dyDescent="0.25">
      <c r="A254" s="18" t="s">
        <v>96</v>
      </c>
      <c r="B254" s="18" t="s">
        <v>12850</v>
      </c>
      <c r="C254" s="18" t="s">
        <v>12851</v>
      </c>
      <c r="D254" s="18" t="s">
        <v>12852</v>
      </c>
      <c r="E254" s="22">
        <v>44903</v>
      </c>
      <c r="F254" s="18" t="s">
        <v>67</v>
      </c>
      <c r="G254" s="18" t="s">
        <v>12853</v>
      </c>
      <c r="H254" s="18" t="s">
        <v>12854</v>
      </c>
      <c r="I254" s="18" t="s">
        <v>193</v>
      </c>
      <c r="J254" s="18" t="s">
        <v>8102</v>
      </c>
      <c r="K254" s="18" t="s">
        <v>8103</v>
      </c>
      <c r="L254" s="18" t="s">
        <v>73</v>
      </c>
      <c r="M254" s="18" t="s">
        <v>7029</v>
      </c>
      <c r="N254" s="18" t="s">
        <v>12855</v>
      </c>
      <c r="O254" s="18" t="s">
        <v>75</v>
      </c>
      <c r="P254" s="18" t="s">
        <v>12856</v>
      </c>
      <c r="Q254" s="18" t="s">
        <v>10817</v>
      </c>
      <c r="R254" s="18" t="s">
        <v>78</v>
      </c>
      <c r="S254" s="18" t="s">
        <v>77</v>
      </c>
      <c r="T254" s="22">
        <v>44915</v>
      </c>
      <c r="U254" s="18"/>
      <c r="V254" s="18" t="s">
        <v>81</v>
      </c>
      <c r="W254" s="18" t="s">
        <v>79</v>
      </c>
      <c r="X254" s="18" t="s">
        <v>10803</v>
      </c>
      <c r="Y254" s="18" t="s">
        <v>242</v>
      </c>
      <c r="Z254" s="18" t="s">
        <v>243</v>
      </c>
      <c r="AA254" s="18" t="s">
        <v>242</v>
      </c>
      <c r="AB254" s="18" t="s">
        <v>243</v>
      </c>
      <c r="AC254" s="18" t="s">
        <v>7984</v>
      </c>
      <c r="AD254" s="18" t="s">
        <v>10804</v>
      </c>
      <c r="AE254" s="18" t="s">
        <v>80</v>
      </c>
      <c r="AF254" s="18" t="s">
        <v>95</v>
      </c>
      <c r="AG254" s="18" t="s">
        <v>83</v>
      </c>
      <c r="AH254" s="18" t="s">
        <v>83</v>
      </c>
      <c r="AI254" s="18" t="s">
        <v>81</v>
      </c>
      <c r="AJ254" s="18" t="s">
        <v>118</v>
      </c>
      <c r="AK254" s="18" t="s">
        <v>95</v>
      </c>
      <c r="AL254" s="18" t="s">
        <v>12414</v>
      </c>
      <c r="AM254" s="18" t="s">
        <v>85</v>
      </c>
      <c r="AN254" s="18" t="s">
        <v>7031</v>
      </c>
      <c r="AO254" s="18" t="s">
        <v>86</v>
      </c>
      <c r="AP254" s="18" t="s">
        <v>90</v>
      </c>
      <c r="AQ254" s="18" t="s">
        <v>8106</v>
      </c>
      <c r="AR254" s="18" t="s">
        <v>91</v>
      </c>
      <c r="AS254" s="18" t="s">
        <v>92</v>
      </c>
      <c r="AT254" s="18" t="s">
        <v>95</v>
      </c>
      <c r="AU254" s="18" t="s">
        <v>95</v>
      </c>
      <c r="AV254" s="18" t="s">
        <v>7029</v>
      </c>
      <c r="AW254" s="18" t="s">
        <v>95</v>
      </c>
      <c r="AX254" s="18" t="s">
        <v>10806</v>
      </c>
      <c r="AY254" s="18" t="s">
        <v>95</v>
      </c>
      <c r="AZ254" s="18" t="s">
        <v>95</v>
      </c>
      <c r="BA254" s="18" t="s">
        <v>95</v>
      </c>
      <c r="BB254" s="18" t="s">
        <v>95</v>
      </c>
      <c r="BC254" s="18" t="s">
        <v>95</v>
      </c>
      <c r="BD254" s="18" t="s">
        <v>10829</v>
      </c>
      <c r="BE254" s="18" t="s">
        <v>12857</v>
      </c>
      <c r="BF254" s="18" t="s">
        <v>10809</v>
      </c>
      <c r="BG254" s="18" t="s">
        <v>7030</v>
      </c>
      <c r="BH254" s="18"/>
      <c r="BI254" s="18"/>
      <c r="BJ254" s="18" t="s">
        <v>242</v>
      </c>
      <c r="BK254" s="18" t="s">
        <v>12858</v>
      </c>
      <c r="BL254" s="18" t="s">
        <v>10811</v>
      </c>
      <c r="BM254" s="18" t="s">
        <v>92</v>
      </c>
      <c r="BN254" s="18" t="s">
        <v>85</v>
      </c>
      <c r="BO254" s="18">
        <v>0</v>
      </c>
      <c r="BP254" s="18" t="s">
        <v>10812</v>
      </c>
      <c r="BQ254" s="18" t="str">
        <f>VLOOKUP(Prepago[[#This Row],[NOM_PLAZA]],[1]!Locales[#Data],3,0)</f>
        <v>TIENDA CUENCA CENTRO</v>
      </c>
      <c r="BR254" s="18" t="str">
        <f>VLOOKUP(Prepago[[#This Row],[CODIGO_USUARIO]],[1]!Personal[#Data],6,0)</f>
        <v>VALLEJO DELEG ROMAN NICOLAS</v>
      </c>
      <c r="BS254" s="18">
        <f>DAY(Prepago[[#This Row],[FECHA_ALTA]])</f>
        <v>8</v>
      </c>
    </row>
    <row r="255" spans="1:71" x14ac:dyDescent="0.25">
      <c r="A255" s="18" t="s">
        <v>96</v>
      </c>
      <c r="B255" s="18" t="s">
        <v>12859</v>
      </c>
      <c r="C255" s="18" t="s">
        <v>12860</v>
      </c>
      <c r="D255" s="18" t="s">
        <v>12861</v>
      </c>
      <c r="E255" s="22">
        <v>44911</v>
      </c>
      <c r="F255" s="18" t="s">
        <v>67</v>
      </c>
      <c r="G255" s="18" t="s">
        <v>12862</v>
      </c>
      <c r="H255" s="18" t="s">
        <v>12863</v>
      </c>
      <c r="I255" s="18" t="s">
        <v>70</v>
      </c>
      <c r="J255" s="18" t="s">
        <v>8102</v>
      </c>
      <c r="K255" s="18" t="s">
        <v>8103</v>
      </c>
      <c r="L255" s="18" t="s">
        <v>95</v>
      </c>
      <c r="M255" s="18" t="s">
        <v>7029</v>
      </c>
      <c r="N255" s="18" t="s">
        <v>12864</v>
      </c>
      <c r="O255" s="18" t="s">
        <v>75</v>
      </c>
      <c r="P255" s="18" t="s">
        <v>12865</v>
      </c>
      <c r="Q255" s="18" t="s">
        <v>4453</v>
      </c>
      <c r="R255" s="18" t="s">
        <v>78</v>
      </c>
      <c r="S255" s="18" t="s">
        <v>77</v>
      </c>
      <c r="T255" s="22">
        <v>44915</v>
      </c>
      <c r="U255" s="18"/>
      <c r="V255" s="18" t="s">
        <v>81</v>
      </c>
      <c r="W255" s="18" t="s">
        <v>79</v>
      </c>
      <c r="X255" s="18" t="s">
        <v>10803</v>
      </c>
      <c r="Y255" s="18" t="s">
        <v>880</v>
      </c>
      <c r="Z255" s="18" t="s">
        <v>881</v>
      </c>
      <c r="AA255" s="18" t="s">
        <v>7299</v>
      </c>
      <c r="AB255" s="18" t="s">
        <v>7300</v>
      </c>
      <c r="AC255" s="18" t="s">
        <v>7984</v>
      </c>
      <c r="AD255" s="18" t="s">
        <v>10804</v>
      </c>
      <c r="AE255" s="18" t="s">
        <v>80</v>
      </c>
      <c r="AF255" s="18" t="s">
        <v>95</v>
      </c>
      <c r="AG255" s="18" t="s">
        <v>83</v>
      </c>
      <c r="AH255" s="18" t="s">
        <v>83</v>
      </c>
      <c r="AI255" s="18" t="s">
        <v>81</v>
      </c>
      <c r="AJ255" s="18" t="s">
        <v>118</v>
      </c>
      <c r="AK255" s="18" t="s">
        <v>95</v>
      </c>
      <c r="AL255" s="18" t="s">
        <v>12377</v>
      </c>
      <c r="AM255" s="18" t="s">
        <v>85</v>
      </c>
      <c r="AN255" s="18" t="s">
        <v>7031</v>
      </c>
      <c r="AO255" s="18" t="s">
        <v>86</v>
      </c>
      <c r="AP255" s="18" t="s">
        <v>90</v>
      </c>
      <c r="AQ255" s="18" t="s">
        <v>8106</v>
      </c>
      <c r="AR255" s="18" t="s">
        <v>91</v>
      </c>
      <c r="AS255" s="18" t="s">
        <v>92</v>
      </c>
      <c r="AT255" s="18" t="s">
        <v>95</v>
      </c>
      <c r="AU255" s="18" t="s">
        <v>95</v>
      </c>
      <c r="AV255" s="18" t="s">
        <v>7029</v>
      </c>
      <c r="AW255" s="18" t="s">
        <v>95</v>
      </c>
      <c r="AX255" s="18" t="s">
        <v>10806</v>
      </c>
      <c r="AY255" s="18" t="s">
        <v>95</v>
      </c>
      <c r="AZ255" s="18" t="s">
        <v>95</v>
      </c>
      <c r="BA255" s="18" t="s">
        <v>95</v>
      </c>
      <c r="BB255" s="18" t="s">
        <v>95</v>
      </c>
      <c r="BC255" s="18" t="s">
        <v>95</v>
      </c>
      <c r="BD255" s="18" t="s">
        <v>10807</v>
      </c>
      <c r="BE255" s="18" t="s">
        <v>95</v>
      </c>
      <c r="BF255" s="18" t="s">
        <v>10809</v>
      </c>
      <c r="BG255" s="18" t="s">
        <v>7030</v>
      </c>
      <c r="BH255" s="18"/>
      <c r="BI255" s="18"/>
      <c r="BJ255" s="18" t="s">
        <v>880</v>
      </c>
      <c r="BK255" s="18" t="s">
        <v>12866</v>
      </c>
      <c r="BL255" s="18" t="s">
        <v>10811</v>
      </c>
      <c r="BM255" s="18" t="s">
        <v>92</v>
      </c>
      <c r="BN255" s="18" t="s">
        <v>85</v>
      </c>
      <c r="BO255" s="18">
        <v>0</v>
      </c>
      <c r="BP255" s="18" t="s">
        <v>10812</v>
      </c>
      <c r="BQ255" s="18" t="str">
        <f>VLOOKUP(Prepago[[#This Row],[NOM_PLAZA]],[1]!Locales[#Data],3,0)</f>
        <v>TIENDA CUENCA CENTRO</v>
      </c>
      <c r="BR255" s="18" t="str">
        <f>VLOOKUP(Prepago[[#This Row],[CODIGO_USUARIO]],[1]!Personal[#Data],6,0)</f>
        <v>LUNA JACHO ANDREA GABRIELA</v>
      </c>
      <c r="BS255" s="18">
        <f>DAY(Prepago[[#This Row],[FECHA_ALTA]])</f>
        <v>16</v>
      </c>
    </row>
    <row r="256" spans="1:71" x14ac:dyDescent="0.25">
      <c r="A256" s="18" t="s">
        <v>96</v>
      </c>
      <c r="B256" s="18" t="s">
        <v>12867</v>
      </c>
      <c r="C256" s="18" t="s">
        <v>12868</v>
      </c>
      <c r="D256" s="18" t="s">
        <v>12626</v>
      </c>
      <c r="E256" s="22">
        <v>44911</v>
      </c>
      <c r="F256" s="18" t="s">
        <v>67</v>
      </c>
      <c r="G256" s="18" t="s">
        <v>12627</v>
      </c>
      <c r="H256" s="18" t="s">
        <v>12628</v>
      </c>
      <c r="I256" s="18" t="s">
        <v>70</v>
      </c>
      <c r="J256" s="18" t="s">
        <v>8102</v>
      </c>
      <c r="K256" s="18" t="s">
        <v>8103</v>
      </c>
      <c r="L256" s="18" t="s">
        <v>73</v>
      </c>
      <c r="M256" s="18" t="s">
        <v>7029</v>
      </c>
      <c r="N256" s="18" t="s">
        <v>12869</v>
      </c>
      <c r="O256" s="18" t="s">
        <v>75</v>
      </c>
      <c r="P256" s="18" t="s">
        <v>12870</v>
      </c>
      <c r="Q256" s="18" t="s">
        <v>10817</v>
      </c>
      <c r="R256" s="18" t="s">
        <v>78</v>
      </c>
      <c r="S256" s="18" t="s">
        <v>77</v>
      </c>
      <c r="T256" s="22">
        <v>44915</v>
      </c>
      <c r="U256" s="18"/>
      <c r="V256" s="18" t="s">
        <v>81</v>
      </c>
      <c r="W256" s="18" t="s">
        <v>79</v>
      </c>
      <c r="X256" s="18" t="s">
        <v>10803</v>
      </c>
      <c r="Y256" s="18" t="s">
        <v>242</v>
      </c>
      <c r="Z256" s="18" t="s">
        <v>243</v>
      </c>
      <c r="AA256" s="18" t="s">
        <v>242</v>
      </c>
      <c r="AB256" s="18" t="s">
        <v>243</v>
      </c>
      <c r="AC256" s="18" t="s">
        <v>7984</v>
      </c>
      <c r="AD256" s="18" t="s">
        <v>10804</v>
      </c>
      <c r="AE256" s="18" t="s">
        <v>80</v>
      </c>
      <c r="AF256" s="18" t="s">
        <v>95</v>
      </c>
      <c r="AG256" s="18" t="s">
        <v>83</v>
      </c>
      <c r="AH256" s="18" t="s">
        <v>83</v>
      </c>
      <c r="AI256" s="18" t="s">
        <v>81</v>
      </c>
      <c r="AJ256" s="18" t="s">
        <v>118</v>
      </c>
      <c r="AK256" s="18" t="s">
        <v>95</v>
      </c>
      <c r="AL256" s="18" t="s">
        <v>12414</v>
      </c>
      <c r="AM256" s="18" t="s">
        <v>85</v>
      </c>
      <c r="AN256" s="18" t="s">
        <v>7031</v>
      </c>
      <c r="AO256" s="18" t="s">
        <v>86</v>
      </c>
      <c r="AP256" s="18" t="s">
        <v>90</v>
      </c>
      <c r="AQ256" s="18" t="s">
        <v>8106</v>
      </c>
      <c r="AR256" s="18" t="s">
        <v>91</v>
      </c>
      <c r="AS256" s="18" t="s">
        <v>92</v>
      </c>
      <c r="AT256" s="18" t="s">
        <v>95</v>
      </c>
      <c r="AU256" s="18" t="s">
        <v>95</v>
      </c>
      <c r="AV256" s="18" t="s">
        <v>7029</v>
      </c>
      <c r="AW256" s="18" t="s">
        <v>95</v>
      </c>
      <c r="AX256" s="18" t="s">
        <v>10806</v>
      </c>
      <c r="AY256" s="18" t="s">
        <v>95</v>
      </c>
      <c r="AZ256" s="18" t="s">
        <v>95</v>
      </c>
      <c r="BA256" s="18" t="s">
        <v>95</v>
      </c>
      <c r="BB256" s="18" t="s">
        <v>95</v>
      </c>
      <c r="BC256" s="18" t="s">
        <v>95</v>
      </c>
      <c r="BD256" s="18" t="s">
        <v>10829</v>
      </c>
      <c r="BE256" s="18" t="s">
        <v>12631</v>
      </c>
      <c r="BF256" s="18" t="s">
        <v>10809</v>
      </c>
      <c r="BG256" s="18" t="s">
        <v>7030</v>
      </c>
      <c r="BH256" s="18"/>
      <c r="BI256" s="18"/>
      <c r="BJ256" s="18" t="s">
        <v>242</v>
      </c>
      <c r="BK256" s="18" t="s">
        <v>12632</v>
      </c>
      <c r="BL256" s="18" t="s">
        <v>10811</v>
      </c>
      <c r="BM256" s="18" t="s">
        <v>92</v>
      </c>
      <c r="BN256" s="18" t="s">
        <v>85</v>
      </c>
      <c r="BO256" s="18">
        <v>0</v>
      </c>
      <c r="BP256" s="18" t="s">
        <v>10812</v>
      </c>
      <c r="BQ256" s="18" t="str">
        <f>VLOOKUP(Prepago[[#This Row],[NOM_PLAZA]],[1]!Locales[#Data],3,0)</f>
        <v>TIENDA CUENCA CENTRO</v>
      </c>
      <c r="BR256" s="18" t="str">
        <f>VLOOKUP(Prepago[[#This Row],[CODIGO_USUARIO]],[1]!Personal[#Data],6,0)</f>
        <v>VALLEJO DELEG ROMAN NICOLAS</v>
      </c>
      <c r="BS256" s="18">
        <f>DAY(Prepago[[#This Row],[FECHA_ALTA]])</f>
        <v>16</v>
      </c>
    </row>
    <row r="257" spans="1:71" x14ac:dyDescent="0.25">
      <c r="A257" s="18" t="s">
        <v>96</v>
      </c>
      <c r="B257" s="18" t="s">
        <v>12871</v>
      </c>
      <c r="C257" s="18" t="s">
        <v>12872</v>
      </c>
      <c r="D257" s="18" t="s">
        <v>12873</v>
      </c>
      <c r="E257" s="22">
        <v>44905</v>
      </c>
      <c r="F257" s="18" t="s">
        <v>67</v>
      </c>
      <c r="G257" s="18" t="s">
        <v>12874</v>
      </c>
      <c r="H257" s="18" t="s">
        <v>12875</v>
      </c>
      <c r="I257" s="18" t="s">
        <v>70</v>
      </c>
      <c r="J257" s="18" t="s">
        <v>8102</v>
      </c>
      <c r="K257" s="18" t="s">
        <v>8103</v>
      </c>
      <c r="L257" s="18" t="s">
        <v>1727</v>
      </c>
      <c r="M257" s="18" t="s">
        <v>7029</v>
      </c>
      <c r="N257" s="18" t="s">
        <v>12876</v>
      </c>
      <c r="O257" s="18" t="s">
        <v>75</v>
      </c>
      <c r="P257" s="18" t="s">
        <v>12877</v>
      </c>
      <c r="Q257" s="18" t="s">
        <v>10817</v>
      </c>
      <c r="R257" s="18" t="s">
        <v>78</v>
      </c>
      <c r="S257" s="18" t="s">
        <v>77</v>
      </c>
      <c r="T257" s="22">
        <v>44915</v>
      </c>
      <c r="U257" s="18"/>
      <c r="V257" s="18" t="s">
        <v>81</v>
      </c>
      <c r="W257" s="18" t="s">
        <v>79</v>
      </c>
      <c r="X257" s="18" t="s">
        <v>10803</v>
      </c>
      <c r="Y257" s="18" t="s">
        <v>880</v>
      </c>
      <c r="Z257" s="18" t="s">
        <v>881</v>
      </c>
      <c r="AA257" s="18" t="s">
        <v>880</v>
      </c>
      <c r="AB257" s="18" t="s">
        <v>881</v>
      </c>
      <c r="AC257" s="18" t="s">
        <v>7984</v>
      </c>
      <c r="AD257" s="18" t="s">
        <v>10804</v>
      </c>
      <c r="AE257" s="18" t="s">
        <v>80</v>
      </c>
      <c r="AF257" s="18" t="s">
        <v>95</v>
      </c>
      <c r="AG257" s="18" t="s">
        <v>83</v>
      </c>
      <c r="AH257" s="18" t="s">
        <v>83</v>
      </c>
      <c r="AI257" s="18" t="s">
        <v>81</v>
      </c>
      <c r="AJ257" s="18" t="s">
        <v>118</v>
      </c>
      <c r="AK257" s="18" t="s">
        <v>95</v>
      </c>
      <c r="AL257" s="18" t="s">
        <v>12377</v>
      </c>
      <c r="AM257" s="18" t="s">
        <v>85</v>
      </c>
      <c r="AN257" s="18" t="s">
        <v>7031</v>
      </c>
      <c r="AO257" s="18" t="s">
        <v>86</v>
      </c>
      <c r="AP257" s="18" t="s">
        <v>90</v>
      </c>
      <c r="AQ257" s="18" t="s">
        <v>8106</v>
      </c>
      <c r="AR257" s="18" t="s">
        <v>91</v>
      </c>
      <c r="AS257" s="18" t="s">
        <v>92</v>
      </c>
      <c r="AT257" s="18" t="s">
        <v>95</v>
      </c>
      <c r="AU257" s="18" t="s">
        <v>95</v>
      </c>
      <c r="AV257" s="18" t="s">
        <v>7029</v>
      </c>
      <c r="AW257" s="18" t="s">
        <v>95</v>
      </c>
      <c r="AX257" s="18" t="s">
        <v>10806</v>
      </c>
      <c r="AY257" s="18" t="s">
        <v>95</v>
      </c>
      <c r="AZ257" s="18" t="s">
        <v>95</v>
      </c>
      <c r="BA257" s="18" t="s">
        <v>95</v>
      </c>
      <c r="BB257" s="18" t="s">
        <v>95</v>
      </c>
      <c r="BC257" s="18" t="s">
        <v>95</v>
      </c>
      <c r="BD257" s="18" t="s">
        <v>10829</v>
      </c>
      <c r="BE257" s="18" t="s">
        <v>12878</v>
      </c>
      <c r="BF257" s="18" t="s">
        <v>10809</v>
      </c>
      <c r="BG257" s="18" t="s">
        <v>7030</v>
      </c>
      <c r="BH257" s="18"/>
      <c r="BI257" s="18"/>
      <c r="BJ257" s="18" t="s">
        <v>880</v>
      </c>
      <c r="BK257" s="18" t="s">
        <v>12879</v>
      </c>
      <c r="BL257" s="18" t="s">
        <v>10811</v>
      </c>
      <c r="BM257" s="18" t="s">
        <v>92</v>
      </c>
      <c r="BN257" s="18" t="s">
        <v>85</v>
      </c>
      <c r="BO257" s="18">
        <v>0</v>
      </c>
      <c r="BP257" s="18" t="s">
        <v>10812</v>
      </c>
      <c r="BQ257" s="18" t="str">
        <f>VLOOKUP(Prepago[[#This Row],[NOM_PLAZA]],[1]!Locales[#Data],3,0)</f>
        <v>TIENDA CUENCA CENTRO</v>
      </c>
      <c r="BR257" s="18" t="str">
        <f>VLOOKUP(Prepago[[#This Row],[CODIGO_USUARIO]],[1]!Personal[#Data],6,0)</f>
        <v>LUNA JACHO ANDREA GABRIELA</v>
      </c>
      <c r="BS257" s="18">
        <f>DAY(Prepago[[#This Row],[FECHA_ALTA]])</f>
        <v>10</v>
      </c>
    </row>
    <row r="258" spans="1:71" x14ac:dyDescent="0.25">
      <c r="A258" s="18" t="s">
        <v>96</v>
      </c>
      <c r="B258" s="18" t="s">
        <v>12880</v>
      </c>
      <c r="C258" s="18" t="s">
        <v>12881</v>
      </c>
      <c r="D258" s="18" t="s">
        <v>12882</v>
      </c>
      <c r="E258" s="22">
        <v>44908</v>
      </c>
      <c r="F258" s="18" t="s">
        <v>67</v>
      </c>
      <c r="G258" s="18" t="s">
        <v>12883</v>
      </c>
      <c r="H258" s="18" t="s">
        <v>12884</v>
      </c>
      <c r="I258" s="18" t="s">
        <v>70</v>
      </c>
      <c r="J258" s="18" t="s">
        <v>8102</v>
      </c>
      <c r="K258" s="18" t="s">
        <v>8103</v>
      </c>
      <c r="L258" s="18" t="s">
        <v>73</v>
      </c>
      <c r="M258" s="18" t="s">
        <v>7029</v>
      </c>
      <c r="N258" s="18" t="s">
        <v>12885</v>
      </c>
      <c r="O258" s="18" t="s">
        <v>75</v>
      </c>
      <c r="P258" s="18" t="s">
        <v>12886</v>
      </c>
      <c r="Q258" s="18" t="s">
        <v>4453</v>
      </c>
      <c r="R258" s="18" t="s">
        <v>78</v>
      </c>
      <c r="S258" s="18" t="s">
        <v>77</v>
      </c>
      <c r="T258" s="22">
        <v>44915</v>
      </c>
      <c r="U258" s="18"/>
      <c r="V258" s="18" t="s">
        <v>81</v>
      </c>
      <c r="W258" s="18" t="s">
        <v>79</v>
      </c>
      <c r="X258" s="18" t="s">
        <v>10803</v>
      </c>
      <c r="Y258" s="18" t="s">
        <v>242</v>
      </c>
      <c r="Z258" s="18" t="s">
        <v>243</v>
      </c>
      <c r="AA258" s="18" t="s">
        <v>242</v>
      </c>
      <c r="AB258" s="18" t="s">
        <v>243</v>
      </c>
      <c r="AC258" s="18" t="s">
        <v>7984</v>
      </c>
      <c r="AD258" s="18" t="s">
        <v>10804</v>
      </c>
      <c r="AE258" s="18" t="s">
        <v>80</v>
      </c>
      <c r="AF258" s="18" t="s">
        <v>95</v>
      </c>
      <c r="AG258" s="18" t="s">
        <v>83</v>
      </c>
      <c r="AH258" s="18" t="s">
        <v>83</v>
      </c>
      <c r="AI258" s="18" t="s">
        <v>81</v>
      </c>
      <c r="AJ258" s="18" t="s">
        <v>118</v>
      </c>
      <c r="AK258" s="18" t="s">
        <v>95</v>
      </c>
      <c r="AL258" s="18" t="s">
        <v>12414</v>
      </c>
      <c r="AM258" s="18" t="s">
        <v>85</v>
      </c>
      <c r="AN258" s="18" t="s">
        <v>7031</v>
      </c>
      <c r="AO258" s="18" t="s">
        <v>86</v>
      </c>
      <c r="AP258" s="18" t="s">
        <v>90</v>
      </c>
      <c r="AQ258" s="18" t="s">
        <v>8106</v>
      </c>
      <c r="AR258" s="18" t="s">
        <v>91</v>
      </c>
      <c r="AS258" s="18" t="s">
        <v>92</v>
      </c>
      <c r="AT258" s="18" t="s">
        <v>95</v>
      </c>
      <c r="AU258" s="18" t="s">
        <v>95</v>
      </c>
      <c r="AV258" s="18" t="s">
        <v>7029</v>
      </c>
      <c r="AW258" s="18" t="s">
        <v>95</v>
      </c>
      <c r="AX258" s="18" t="s">
        <v>10806</v>
      </c>
      <c r="AY258" s="18" t="s">
        <v>95</v>
      </c>
      <c r="AZ258" s="18" t="s">
        <v>95</v>
      </c>
      <c r="BA258" s="18" t="s">
        <v>95</v>
      </c>
      <c r="BB258" s="18" t="s">
        <v>95</v>
      </c>
      <c r="BC258" s="18" t="s">
        <v>95</v>
      </c>
      <c r="BD258" s="18" t="s">
        <v>10829</v>
      </c>
      <c r="BE258" s="18" t="s">
        <v>10808</v>
      </c>
      <c r="BF258" s="18" t="s">
        <v>10809</v>
      </c>
      <c r="BG258" s="18" t="s">
        <v>7030</v>
      </c>
      <c r="BH258" s="18"/>
      <c r="BI258" s="18"/>
      <c r="BJ258" s="18" t="s">
        <v>242</v>
      </c>
      <c r="BK258" s="18" t="s">
        <v>12887</v>
      </c>
      <c r="BL258" s="18" t="s">
        <v>10811</v>
      </c>
      <c r="BM258" s="18" t="s">
        <v>92</v>
      </c>
      <c r="BN258" s="18" t="s">
        <v>85</v>
      </c>
      <c r="BO258" s="18">
        <v>0</v>
      </c>
      <c r="BP258" s="18" t="s">
        <v>10812</v>
      </c>
      <c r="BQ258" s="18" t="str">
        <f>VLOOKUP(Prepago[[#This Row],[NOM_PLAZA]],[1]!Locales[#Data],3,0)</f>
        <v>TIENDA CUENCA CENTRO</v>
      </c>
      <c r="BR258" s="18" t="str">
        <f>VLOOKUP(Prepago[[#This Row],[CODIGO_USUARIO]],[1]!Personal[#Data],6,0)</f>
        <v>VALLEJO DELEG ROMAN NICOLAS</v>
      </c>
      <c r="BS258" s="18">
        <f>DAY(Prepago[[#This Row],[FECHA_ALTA]])</f>
        <v>13</v>
      </c>
    </row>
    <row r="259" spans="1:71" x14ac:dyDescent="0.25">
      <c r="A259" s="18" t="s">
        <v>96</v>
      </c>
      <c r="B259" s="18" t="s">
        <v>12888</v>
      </c>
      <c r="C259" s="18" t="s">
        <v>12889</v>
      </c>
      <c r="D259" s="18" t="s">
        <v>12890</v>
      </c>
      <c r="E259" s="22">
        <v>44901</v>
      </c>
      <c r="F259" s="18" t="s">
        <v>67</v>
      </c>
      <c r="G259" s="18" t="s">
        <v>12891</v>
      </c>
      <c r="H259" s="18" t="s">
        <v>12892</v>
      </c>
      <c r="I259" s="18" t="s">
        <v>70</v>
      </c>
      <c r="J259" s="18" t="s">
        <v>8102</v>
      </c>
      <c r="K259" s="18" t="s">
        <v>8103</v>
      </c>
      <c r="L259" s="18" t="s">
        <v>73</v>
      </c>
      <c r="M259" s="18" t="s">
        <v>7029</v>
      </c>
      <c r="N259" s="18" t="s">
        <v>12893</v>
      </c>
      <c r="O259" s="18" t="s">
        <v>75</v>
      </c>
      <c r="P259" s="18" t="s">
        <v>12894</v>
      </c>
      <c r="Q259" s="18" t="s">
        <v>10817</v>
      </c>
      <c r="R259" s="18" t="s">
        <v>78</v>
      </c>
      <c r="S259" s="18" t="s">
        <v>77</v>
      </c>
      <c r="T259" s="22">
        <v>44915</v>
      </c>
      <c r="U259" s="18"/>
      <c r="V259" s="18" t="s">
        <v>81</v>
      </c>
      <c r="W259" s="18" t="s">
        <v>79</v>
      </c>
      <c r="X259" s="18" t="s">
        <v>10803</v>
      </c>
      <c r="Y259" s="18" t="s">
        <v>610</v>
      </c>
      <c r="Z259" s="18" t="s">
        <v>611</v>
      </c>
      <c r="AA259" s="18" t="s">
        <v>7062</v>
      </c>
      <c r="AB259" s="18" t="s">
        <v>95</v>
      </c>
      <c r="AC259" s="18" t="s">
        <v>7984</v>
      </c>
      <c r="AD259" s="18" t="s">
        <v>10804</v>
      </c>
      <c r="AE259" s="18" t="s">
        <v>148</v>
      </c>
      <c r="AF259" s="18" t="s">
        <v>95</v>
      </c>
      <c r="AG259" s="18" t="s">
        <v>83</v>
      </c>
      <c r="AH259" s="18" t="s">
        <v>83</v>
      </c>
      <c r="AI259" s="18" t="s">
        <v>81</v>
      </c>
      <c r="AJ259" s="18" t="s">
        <v>118</v>
      </c>
      <c r="AK259" s="18" t="s">
        <v>95</v>
      </c>
      <c r="AL259" s="18" t="s">
        <v>12895</v>
      </c>
      <c r="AM259" s="18" t="s">
        <v>85</v>
      </c>
      <c r="AN259" s="18" t="s">
        <v>7031</v>
      </c>
      <c r="AO259" s="18" t="s">
        <v>86</v>
      </c>
      <c r="AP259" s="18" t="s">
        <v>90</v>
      </c>
      <c r="AQ259" s="18" t="s">
        <v>8141</v>
      </c>
      <c r="AR259" s="18" t="s">
        <v>151</v>
      </c>
      <c r="AS259" s="18" t="s">
        <v>92</v>
      </c>
      <c r="AT259" s="18" t="s">
        <v>95</v>
      </c>
      <c r="AU259" s="18" t="s">
        <v>95</v>
      </c>
      <c r="AV259" s="18" t="s">
        <v>7029</v>
      </c>
      <c r="AW259" s="18" t="s">
        <v>95</v>
      </c>
      <c r="AX259" s="18" t="s">
        <v>10806</v>
      </c>
      <c r="AY259" s="18" t="s">
        <v>95</v>
      </c>
      <c r="AZ259" s="18" t="s">
        <v>95</v>
      </c>
      <c r="BA259" s="18" t="s">
        <v>95</v>
      </c>
      <c r="BB259" s="18" t="s">
        <v>95</v>
      </c>
      <c r="BC259" s="18" t="s">
        <v>95</v>
      </c>
      <c r="BD259" s="18" t="s">
        <v>10807</v>
      </c>
      <c r="BE259" s="18" t="s">
        <v>12896</v>
      </c>
      <c r="BF259" s="18" t="s">
        <v>10809</v>
      </c>
      <c r="BG259" s="18" t="s">
        <v>7030</v>
      </c>
      <c r="BH259" s="18"/>
      <c r="BI259" s="18"/>
      <c r="BJ259" s="18" t="s">
        <v>610</v>
      </c>
      <c r="BK259" s="18" t="s">
        <v>12897</v>
      </c>
      <c r="BL259" s="18" t="s">
        <v>10811</v>
      </c>
      <c r="BM259" s="18" t="s">
        <v>92</v>
      </c>
      <c r="BN259" s="18" t="s">
        <v>85</v>
      </c>
      <c r="BO259" s="18">
        <v>0</v>
      </c>
      <c r="BP259" s="18" t="s">
        <v>10812</v>
      </c>
      <c r="BQ259" s="18" t="str">
        <f>VLOOKUP(Prepago[[#This Row],[NOM_PLAZA]],[1]!Locales[#Data],3,0)</f>
        <v>TIENDA CUENCA REMIGIO</v>
      </c>
      <c r="BR259" s="18" t="str">
        <f>VLOOKUP(Prepago[[#This Row],[CODIGO_USUARIO]],[1]!Personal[#Data],6,0)</f>
        <v>PATIÑO TAPIA ANDRES SANTIAGO</v>
      </c>
      <c r="BS259" s="18">
        <f>DAY(Prepago[[#This Row],[FECHA_ALTA]])</f>
        <v>6</v>
      </c>
    </row>
    <row r="260" spans="1:71" x14ac:dyDescent="0.25">
      <c r="A260" s="18" t="s">
        <v>96</v>
      </c>
      <c r="B260" s="18" t="s">
        <v>12898</v>
      </c>
      <c r="C260" s="18" t="s">
        <v>12899</v>
      </c>
      <c r="D260" s="18" t="s">
        <v>12900</v>
      </c>
      <c r="E260" s="22">
        <v>44903</v>
      </c>
      <c r="F260" s="18" t="s">
        <v>67</v>
      </c>
      <c r="G260" s="18" t="s">
        <v>12901</v>
      </c>
      <c r="H260" s="18" t="s">
        <v>12902</v>
      </c>
      <c r="I260" s="18" t="s">
        <v>70</v>
      </c>
      <c r="J260" s="18" t="s">
        <v>8102</v>
      </c>
      <c r="K260" s="18" t="s">
        <v>8103</v>
      </c>
      <c r="L260" s="18" t="s">
        <v>73</v>
      </c>
      <c r="M260" s="18" t="s">
        <v>7029</v>
      </c>
      <c r="N260" s="18" t="s">
        <v>12903</v>
      </c>
      <c r="O260" s="18" t="s">
        <v>75</v>
      </c>
      <c r="P260" s="18" t="s">
        <v>12904</v>
      </c>
      <c r="Q260" s="18" t="s">
        <v>1532</v>
      </c>
      <c r="R260" s="18" t="s">
        <v>78</v>
      </c>
      <c r="S260" s="18" t="s">
        <v>77</v>
      </c>
      <c r="T260" s="22">
        <v>44915</v>
      </c>
      <c r="U260" s="18"/>
      <c r="V260" s="18" t="s">
        <v>81</v>
      </c>
      <c r="W260" s="18" t="s">
        <v>79</v>
      </c>
      <c r="X260" s="18" t="s">
        <v>10803</v>
      </c>
      <c r="Y260" s="18" t="s">
        <v>420</v>
      </c>
      <c r="Z260" s="18" t="s">
        <v>421</v>
      </c>
      <c r="AA260" s="18" t="s">
        <v>7062</v>
      </c>
      <c r="AB260" s="18" t="s">
        <v>95</v>
      </c>
      <c r="AC260" s="18" t="s">
        <v>7984</v>
      </c>
      <c r="AD260" s="18" t="s">
        <v>10804</v>
      </c>
      <c r="AE260" s="18" t="s">
        <v>148</v>
      </c>
      <c r="AF260" s="18" t="s">
        <v>95</v>
      </c>
      <c r="AG260" s="18" t="s">
        <v>83</v>
      </c>
      <c r="AH260" s="18" t="s">
        <v>83</v>
      </c>
      <c r="AI260" s="18" t="s">
        <v>81</v>
      </c>
      <c r="AJ260" s="18" t="s">
        <v>118</v>
      </c>
      <c r="AK260" s="18" t="s">
        <v>95</v>
      </c>
      <c r="AL260" s="18" t="s">
        <v>12905</v>
      </c>
      <c r="AM260" s="18" t="s">
        <v>85</v>
      </c>
      <c r="AN260" s="18" t="s">
        <v>7031</v>
      </c>
      <c r="AO260" s="18" t="s">
        <v>86</v>
      </c>
      <c r="AP260" s="18" t="s">
        <v>90</v>
      </c>
      <c r="AQ260" s="18" t="s">
        <v>8141</v>
      </c>
      <c r="AR260" s="18" t="s">
        <v>151</v>
      </c>
      <c r="AS260" s="18" t="s">
        <v>92</v>
      </c>
      <c r="AT260" s="18" t="s">
        <v>95</v>
      </c>
      <c r="AU260" s="18" t="s">
        <v>95</v>
      </c>
      <c r="AV260" s="18" t="s">
        <v>7029</v>
      </c>
      <c r="AW260" s="18" t="s">
        <v>95</v>
      </c>
      <c r="AX260" s="18" t="s">
        <v>10806</v>
      </c>
      <c r="AY260" s="18" t="s">
        <v>95</v>
      </c>
      <c r="AZ260" s="18" t="s">
        <v>95</v>
      </c>
      <c r="BA260" s="18" t="s">
        <v>95</v>
      </c>
      <c r="BB260" s="18" t="s">
        <v>95</v>
      </c>
      <c r="BC260" s="18" t="s">
        <v>95</v>
      </c>
      <c r="BD260" s="18" t="s">
        <v>10807</v>
      </c>
      <c r="BE260" s="18" t="s">
        <v>12906</v>
      </c>
      <c r="BF260" s="18" t="s">
        <v>10809</v>
      </c>
      <c r="BG260" s="18" t="s">
        <v>7030</v>
      </c>
      <c r="BH260" s="18"/>
      <c r="BI260" s="18"/>
      <c r="BJ260" s="18" t="s">
        <v>420</v>
      </c>
      <c r="BK260" s="18" t="s">
        <v>12907</v>
      </c>
      <c r="BL260" s="18" t="s">
        <v>10811</v>
      </c>
      <c r="BM260" s="18" t="s">
        <v>92</v>
      </c>
      <c r="BN260" s="18" t="s">
        <v>85</v>
      </c>
      <c r="BO260" s="18">
        <v>0</v>
      </c>
      <c r="BP260" s="18" t="s">
        <v>10812</v>
      </c>
      <c r="BQ260" s="18" t="str">
        <f>VLOOKUP(Prepago[[#This Row],[NOM_PLAZA]],[1]!Locales[#Data],3,0)</f>
        <v>TIENDA CUENCA REMIGIO</v>
      </c>
      <c r="BR260" s="18" t="str">
        <f>VLOOKUP(Prepago[[#This Row],[CODIGO_USUARIO]],[1]!Personal[#Data],6,0)</f>
        <v>YEPEZ PALOMEQUE DIANA PATRICIA</v>
      </c>
      <c r="BS260" s="18">
        <f>DAY(Prepago[[#This Row],[FECHA_ALTA]])</f>
        <v>8</v>
      </c>
    </row>
    <row r="261" spans="1:71" x14ac:dyDescent="0.25">
      <c r="A261" s="18" t="s">
        <v>96</v>
      </c>
      <c r="B261" s="18" t="s">
        <v>12908</v>
      </c>
      <c r="C261" s="18" t="s">
        <v>12909</v>
      </c>
      <c r="D261" s="18" t="s">
        <v>12910</v>
      </c>
      <c r="E261" s="22">
        <v>44901</v>
      </c>
      <c r="F261" s="18" t="s">
        <v>67</v>
      </c>
      <c r="G261" s="18" t="s">
        <v>12911</v>
      </c>
      <c r="H261" s="18" t="s">
        <v>12912</v>
      </c>
      <c r="I261" s="18" t="s">
        <v>193</v>
      </c>
      <c r="J261" s="18" t="s">
        <v>8102</v>
      </c>
      <c r="K261" s="18" t="s">
        <v>8103</v>
      </c>
      <c r="L261" s="18" t="s">
        <v>95</v>
      </c>
      <c r="M261" s="18" t="s">
        <v>7029</v>
      </c>
      <c r="N261" s="18" t="s">
        <v>12913</v>
      </c>
      <c r="O261" s="18" t="s">
        <v>75</v>
      </c>
      <c r="P261" s="18" t="s">
        <v>12914</v>
      </c>
      <c r="Q261" s="18" t="s">
        <v>10817</v>
      </c>
      <c r="R261" s="18" t="s">
        <v>78</v>
      </c>
      <c r="S261" s="18" t="s">
        <v>77</v>
      </c>
      <c r="T261" s="22">
        <v>44915</v>
      </c>
      <c r="U261" s="18"/>
      <c r="V261" s="18" t="s">
        <v>81</v>
      </c>
      <c r="W261" s="18" t="s">
        <v>79</v>
      </c>
      <c r="X261" s="18" t="s">
        <v>10803</v>
      </c>
      <c r="Y261" s="18" t="s">
        <v>385</v>
      </c>
      <c r="Z261" s="18" t="s">
        <v>386</v>
      </c>
      <c r="AA261" s="18" t="s">
        <v>7062</v>
      </c>
      <c r="AB261" s="18" t="s">
        <v>95</v>
      </c>
      <c r="AC261" s="18" t="s">
        <v>7984</v>
      </c>
      <c r="AD261" s="18" t="s">
        <v>10804</v>
      </c>
      <c r="AE261" s="18" t="s">
        <v>148</v>
      </c>
      <c r="AF261" s="18" t="s">
        <v>95</v>
      </c>
      <c r="AG261" s="18" t="s">
        <v>83</v>
      </c>
      <c r="AH261" s="18" t="s">
        <v>83</v>
      </c>
      <c r="AI261" s="18" t="s">
        <v>81</v>
      </c>
      <c r="AJ261" s="18" t="s">
        <v>118</v>
      </c>
      <c r="AK261" s="18" t="s">
        <v>95</v>
      </c>
      <c r="AL261" s="18" t="s">
        <v>12915</v>
      </c>
      <c r="AM261" s="18" t="s">
        <v>85</v>
      </c>
      <c r="AN261" s="18" t="s">
        <v>7031</v>
      </c>
      <c r="AO261" s="18" t="s">
        <v>86</v>
      </c>
      <c r="AP261" s="18" t="s">
        <v>90</v>
      </c>
      <c r="AQ261" s="18" t="s">
        <v>8141</v>
      </c>
      <c r="AR261" s="18" t="s">
        <v>151</v>
      </c>
      <c r="AS261" s="18" t="s">
        <v>92</v>
      </c>
      <c r="AT261" s="18" t="s">
        <v>95</v>
      </c>
      <c r="AU261" s="18" t="s">
        <v>95</v>
      </c>
      <c r="AV261" s="18" t="s">
        <v>7029</v>
      </c>
      <c r="AW261" s="18" t="s">
        <v>95</v>
      </c>
      <c r="AX261" s="18" t="s">
        <v>10806</v>
      </c>
      <c r="AY261" s="18" t="s">
        <v>95</v>
      </c>
      <c r="AZ261" s="18" t="s">
        <v>95</v>
      </c>
      <c r="BA261" s="18" t="s">
        <v>95</v>
      </c>
      <c r="BB261" s="18" t="s">
        <v>95</v>
      </c>
      <c r="BC261" s="18" t="s">
        <v>95</v>
      </c>
      <c r="BD261" s="18" t="s">
        <v>10807</v>
      </c>
      <c r="BE261" s="18" t="s">
        <v>12916</v>
      </c>
      <c r="BF261" s="18" t="s">
        <v>10809</v>
      </c>
      <c r="BG261" s="18" t="s">
        <v>7030</v>
      </c>
      <c r="BH261" s="18"/>
      <c r="BI261" s="18"/>
      <c r="BJ261" s="18" t="s">
        <v>385</v>
      </c>
      <c r="BK261" s="18" t="s">
        <v>12917</v>
      </c>
      <c r="BL261" s="18" t="s">
        <v>10811</v>
      </c>
      <c r="BM261" s="18" t="s">
        <v>92</v>
      </c>
      <c r="BN261" s="18" t="s">
        <v>85</v>
      </c>
      <c r="BO261" s="18">
        <v>0</v>
      </c>
      <c r="BP261" s="18" t="s">
        <v>10812</v>
      </c>
      <c r="BQ261" s="18" t="str">
        <f>VLOOKUP(Prepago[[#This Row],[NOM_PLAZA]],[1]!Locales[#Data],3,0)</f>
        <v>TIENDA CUENCA REMIGIO</v>
      </c>
      <c r="BR261" s="18" t="str">
        <f>VLOOKUP(Prepago[[#This Row],[CODIGO_USUARIO]],[1]!Personal[#Data],6,0)</f>
        <v>RAMIREZ RUBIO NELLY LILIANA</v>
      </c>
      <c r="BS261" s="18">
        <f>DAY(Prepago[[#This Row],[FECHA_ALTA]])</f>
        <v>6</v>
      </c>
    </row>
    <row r="262" spans="1:71" x14ac:dyDescent="0.25">
      <c r="A262" s="18" t="s">
        <v>96</v>
      </c>
      <c r="B262" s="18" t="s">
        <v>8599</v>
      </c>
      <c r="C262" s="18" t="s">
        <v>8605</v>
      </c>
      <c r="D262" s="18" t="s">
        <v>8601</v>
      </c>
      <c r="E262" s="22">
        <v>44900</v>
      </c>
      <c r="F262" s="18" t="s">
        <v>67</v>
      </c>
      <c r="G262" s="18" t="s">
        <v>8602</v>
      </c>
      <c r="H262" s="18" t="s">
        <v>8603</v>
      </c>
      <c r="I262" s="18" t="s">
        <v>70</v>
      </c>
      <c r="J262" s="18" t="s">
        <v>8102</v>
      </c>
      <c r="K262" s="18" t="s">
        <v>8103</v>
      </c>
      <c r="L262" s="18" t="s">
        <v>12918</v>
      </c>
      <c r="M262" s="18" t="s">
        <v>7029</v>
      </c>
      <c r="N262" s="18" t="s">
        <v>8604</v>
      </c>
      <c r="O262" s="18" t="s">
        <v>287</v>
      </c>
      <c r="P262" s="18" t="s">
        <v>12919</v>
      </c>
      <c r="Q262" s="18" t="s">
        <v>10817</v>
      </c>
      <c r="R262" s="18" t="s">
        <v>78</v>
      </c>
      <c r="S262" s="18" t="s">
        <v>77</v>
      </c>
      <c r="T262" s="22">
        <v>44915</v>
      </c>
      <c r="U262" s="18"/>
      <c r="V262" s="18" t="s">
        <v>81</v>
      </c>
      <c r="W262" s="18" t="s">
        <v>79</v>
      </c>
      <c r="X262" s="18" t="s">
        <v>10803</v>
      </c>
      <c r="Y262" s="18" t="s">
        <v>149</v>
      </c>
      <c r="Z262" s="18" t="s">
        <v>150</v>
      </c>
      <c r="AA262" s="18" t="s">
        <v>7062</v>
      </c>
      <c r="AB262" s="18" t="s">
        <v>95</v>
      </c>
      <c r="AC262" s="18" t="s">
        <v>7984</v>
      </c>
      <c r="AD262" s="18" t="s">
        <v>10804</v>
      </c>
      <c r="AE262" s="18" t="s">
        <v>148</v>
      </c>
      <c r="AF262" s="18" t="s">
        <v>95</v>
      </c>
      <c r="AG262" s="18" t="s">
        <v>83</v>
      </c>
      <c r="AH262" s="18" t="s">
        <v>83</v>
      </c>
      <c r="AI262" s="18" t="s">
        <v>81</v>
      </c>
      <c r="AJ262" s="18" t="s">
        <v>118</v>
      </c>
      <c r="AK262" s="18" t="s">
        <v>95</v>
      </c>
      <c r="AL262" s="18" t="s">
        <v>12920</v>
      </c>
      <c r="AM262" s="18" t="s">
        <v>85</v>
      </c>
      <c r="AN262" s="18" t="s">
        <v>7031</v>
      </c>
      <c r="AO262" s="18" t="s">
        <v>86</v>
      </c>
      <c r="AP262" s="18" t="s">
        <v>90</v>
      </c>
      <c r="AQ262" s="18" t="s">
        <v>8141</v>
      </c>
      <c r="AR262" s="18" t="s">
        <v>151</v>
      </c>
      <c r="AS262" s="18" t="s">
        <v>92</v>
      </c>
      <c r="AT262" s="18" t="s">
        <v>95</v>
      </c>
      <c r="AU262" s="18" t="s">
        <v>95</v>
      </c>
      <c r="AV262" s="18" t="s">
        <v>7029</v>
      </c>
      <c r="AW262" s="18" t="s">
        <v>95</v>
      </c>
      <c r="AX262" s="18" t="s">
        <v>10806</v>
      </c>
      <c r="AY262" s="18" t="s">
        <v>95</v>
      </c>
      <c r="AZ262" s="18" t="s">
        <v>95</v>
      </c>
      <c r="BA262" s="18" t="s">
        <v>95</v>
      </c>
      <c r="BB262" s="18" t="s">
        <v>95</v>
      </c>
      <c r="BC262" s="18" t="s">
        <v>95</v>
      </c>
      <c r="BD262" s="18" t="s">
        <v>10807</v>
      </c>
      <c r="BE262" s="18" t="s">
        <v>12921</v>
      </c>
      <c r="BF262" s="18" t="s">
        <v>10809</v>
      </c>
      <c r="BG262" s="18" t="s">
        <v>7030</v>
      </c>
      <c r="BH262" s="18"/>
      <c r="BI262" s="18"/>
      <c r="BJ262" s="18" t="s">
        <v>149</v>
      </c>
      <c r="BK262" s="18" t="s">
        <v>12922</v>
      </c>
      <c r="BL262" s="18" t="s">
        <v>10811</v>
      </c>
      <c r="BM262" s="18" t="s">
        <v>92</v>
      </c>
      <c r="BN262" s="18" t="s">
        <v>85</v>
      </c>
      <c r="BO262" s="18">
        <v>0</v>
      </c>
      <c r="BP262" s="18" t="s">
        <v>10812</v>
      </c>
      <c r="BQ262" s="18" t="str">
        <f>VLOOKUP(Prepago[[#This Row],[NOM_PLAZA]],[1]!Locales[#Data],3,0)</f>
        <v>TIENDA CUENCA REMIGIO</v>
      </c>
      <c r="BR262" s="18" t="str">
        <f>VLOOKUP(Prepago[[#This Row],[CODIGO_USUARIO]],[1]!Personal[#Data],6,0)</f>
        <v>OSORIO TEJADA ANA ESTEFANIA</v>
      </c>
      <c r="BS262" s="18">
        <f>DAY(Prepago[[#This Row],[FECHA_ALTA]])</f>
        <v>5</v>
      </c>
    </row>
    <row r="263" spans="1:71" x14ac:dyDescent="0.25">
      <c r="A263" s="18" t="s">
        <v>96</v>
      </c>
      <c r="B263" s="18" t="s">
        <v>12923</v>
      </c>
      <c r="C263" s="18" t="s">
        <v>12924</v>
      </c>
      <c r="D263" s="18" t="s">
        <v>12925</v>
      </c>
      <c r="E263" s="22">
        <v>44902</v>
      </c>
      <c r="F263" s="18" t="s">
        <v>67</v>
      </c>
      <c r="G263" s="18" t="s">
        <v>12926</v>
      </c>
      <c r="H263" s="18" t="s">
        <v>12927</v>
      </c>
      <c r="I263" s="18" t="s">
        <v>70</v>
      </c>
      <c r="J263" s="18" t="s">
        <v>8102</v>
      </c>
      <c r="K263" s="18" t="s">
        <v>8103</v>
      </c>
      <c r="L263" s="18" t="s">
        <v>73</v>
      </c>
      <c r="M263" s="18" t="s">
        <v>7029</v>
      </c>
      <c r="N263" s="18" t="s">
        <v>12928</v>
      </c>
      <c r="O263" s="18" t="s">
        <v>75</v>
      </c>
      <c r="P263" s="18" t="s">
        <v>12929</v>
      </c>
      <c r="Q263" s="18" t="s">
        <v>10817</v>
      </c>
      <c r="R263" s="18" t="s">
        <v>78</v>
      </c>
      <c r="S263" s="18" t="s">
        <v>77</v>
      </c>
      <c r="T263" s="22">
        <v>44915</v>
      </c>
      <c r="U263" s="18"/>
      <c r="V263" s="18" t="s">
        <v>81</v>
      </c>
      <c r="W263" s="18" t="s">
        <v>79</v>
      </c>
      <c r="X263" s="18" t="s">
        <v>10803</v>
      </c>
      <c r="Y263" s="18" t="s">
        <v>610</v>
      </c>
      <c r="Z263" s="18" t="s">
        <v>611</v>
      </c>
      <c r="AA263" s="18" t="s">
        <v>12930</v>
      </c>
      <c r="AB263" s="18" t="s">
        <v>12931</v>
      </c>
      <c r="AC263" s="18" t="s">
        <v>7984</v>
      </c>
      <c r="AD263" s="18" t="s">
        <v>10804</v>
      </c>
      <c r="AE263" s="18" t="s">
        <v>148</v>
      </c>
      <c r="AF263" s="18" t="s">
        <v>95</v>
      </c>
      <c r="AG263" s="18" t="s">
        <v>83</v>
      </c>
      <c r="AH263" s="18" t="s">
        <v>83</v>
      </c>
      <c r="AI263" s="18" t="s">
        <v>81</v>
      </c>
      <c r="AJ263" s="18" t="s">
        <v>118</v>
      </c>
      <c r="AK263" s="18" t="s">
        <v>95</v>
      </c>
      <c r="AL263" s="18" t="s">
        <v>12895</v>
      </c>
      <c r="AM263" s="18" t="s">
        <v>85</v>
      </c>
      <c r="AN263" s="18" t="s">
        <v>7031</v>
      </c>
      <c r="AO263" s="18" t="s">
        <v>86</v>
      </c>
      <c r="AP263" s="18" t="s">
        <v>90</v>
      </c>
      <c r="AQ263" s="18" t="s">
        <v>8141</v>
      </c>
      <c r="AR263" s="18" t="s">
        <v>151</v>
      </c>
      <c r="AS263" s="18" t="s">
        <v>92</v>
      </c>
      <c r="AT263" s="18" t="s">
        <v>95</v>
      </c>
      <c r="AU263" s="18" t="s">
        <v>95</v>
      </c>
      <c r="AV263" s="18" t="s">
        <v>7029</v>
      </c>
      <c r="AW263" s="18" t="s">
        <v>95</v>
      </c>
      <c r="AX263" s="18" t="s">
        <v>10806</v>
      </c>
      <c r="AY263" s="18" t="s">
        <v>95</v>
      </c>
      <c r="AZ263" s="18" t="s">
        <v>95</v>
      </c>
      <c r="BA263" s="18" t="s">
        <v>95</v>
      </c>
      <c r="BB263" s="18" t="s">
        <v>95</v>
      </c>
      <c r="BC263" s="18" t="s">
        <v>95</v>
      </c>
      <c r="BD263" s="18" t="s">
        <v>10829</v>
      </c>
      <c r="BE263" s="18" t="s">
        <v>12932</v>
      </c>
      <c r="BF263" s="18" t="s">
        <v>10809</v>
      </c>
      <c r="BG263" s="18" t="s">
        <v>7030</v>
      </c>
      <c r="BH263" s="18"/>
      <c r="BI263" s="18"/>
      <c r="BJ263" s="18" t="s">
        <v>610</v>
      </c>
      <c r="BK263" s="18" t="s">
        <v>12933</v>
      </c>
      <c r="BL263" s="18" t="s">
        <v>10811</v>
      </c>
      <c r="BM263" s="18" t="s">
        <v>92</v>
      </c>
      <c r="BN263" s="18" t="s">
        <v>85</v>
      </c>
      <c r="BO263" s="18">
        <v>0</v>
      </c>
      <c r="BP263" s="18" t="s">
        <v>10812</v>
      </c>
      <c r="BQ263" s="18" t="str">
        <f>VLOOKUP(Prepago[[#This Row],[NOM_PLAZA]],[1]!Locales[#Data],3,0)</f>
        <v>TIENDA CUENCA REMIGIO</v>
      </c>
      <c r="BR263" s="18" t="str">
        <f>VLOOKUP(Prepago[[#This Row],[CODIGO_USUARIO]],[1]!Personal[#Data],6,0)</f>
        <v>PATIÑO TAPIA ANDRES SANTIAGO</v>
      </c>
      <c r="BS263" s="18">
        <f>DAY(Prepago[[#This Row],[FECHA_ALTA]])</f>
        <v>7</v>
      </c>
    </row>
    <row r="264" spans="1:71" x14ac:dyDescent="0.25">
      <c r="A264" s="18" t="s">
        <v>96</v>
      </c>
      <c r="B264" s="18" t="s">
        <v>12934</v>
      </c>
      <c r="C264" s="18" t="s">
        <v>12935</v>
      </c>
      <c r="D264" s="18" t="s">
        <v>12936</v>
      </c>
      <c r="E264" s="22">
        <v>44900</v>
      </c>
      <c r="F264" s="18" t="s">
        <v>67</v>
      </c>
      <c r="G264" s="18" t="s">
        <v>12937</v>
      </c>
      <c r="H264" s="18" t="s">
        <v>12938</v>
      </c>
      <c r="I264" s="18" t="s">
        <v>193</v>
      </c>
      <c r="J264" s="18" t="s">
        <v>8102</v>
      </c>
      <c r="K264" s="18" t="s">
        <v>8103</v>
      </c>
      <c r="L264" s="18" t="s">
        <v>73</v>
      </c>
      <c r="M264" s="18" t="s">
        <v>7029</v>
      </c>
      <c r="N264" s="18" t="s">
        <v>12939</v>
      </c>
      <c r="O264" s="18" t="s">
        <v>75</v>
      </c>
      <c r="P264" s="18" t="s">
        <v>12940</v>
      </c>
      <c r="Q264" s="18" t="s">
        <v>10817</v>
      </c>
      <c r="R264" s="18" t="s">
        <v>78</v>
      </c>
      <c r="S264" s="18" t="s">
        <v>77</v>
      </c>
      <c r="T264" s="22">
        <v>44915</v>
      </c>
      <c r="U264" s="18"/>
      <c r="V264" s="18" t="s">
        <v>81</v>
      </c>
      <c r="W264" s="18" t="s">
        <v>79</v>
      </c>
      <c r="X264" s="18" t="s">
        <v>10803</v>
      </c>
      <c r="Y264" s="18" t="s">
        <v>385</v>
      </c>
      <c r="Z264" s="18" t="s">
        <v>386</v>
      </c>
      <c r="AA264" s="18" t="s">
        <v>7062</v>
      </c>
      <c r="AB264" s="18" t="s">
        <v>95</v>
      </c>
      <c r="AC264" s="18" t="s">
        <v>7984</v>
      </c>
      <c r="AD264" s="18" t="s">
        <v>10804</v>
      </c>
      <c r="AE264" s="18" t="s">
        <v>148</v>
      </c>
      <c r="AF264" s="18" t="s">
        <v>95</v>
      </c>
      <c r="AG264" s="18" t="s">
        <v>83</v>
      </c>
      <c r="AH264" s="18" t="s">
        <v>83</v>
      </c>
      <c r="AI264" s="18" t="s">
        <v>81</v>
      </c>
      <c r="AJ264" s="18" t="s">
        <v>118</v>
      </c>
      <c r="AK264" s="18" t="s">
        <v>95</v>
      </c>
      <c r="AL264" s="18" t="s">
        <v>12915</v>
      </c>
      <c r="AM264" s="18" t="s">
        <v>85</v>
      </c>
      <c r="AN264" s="18" t="s">
        <v>7031</v>
      </c>
      <c r="AO264" s="18" t="s">
        <v>86</v>
      </c>
      <c r="AP264" s="18" t="s">
        <v>90</v>
      </c>
      <c r="AQ264" s="18" t="s">
        <v>8141</v>
      </c>
      <c r="AR264" s="18" t="s">
        <v>151</v>
      </c>
      <c r="AS264" s="18" t="s">
        <v>92</v>
      </c>
      <c r="AT264" s="18" t="s">
        <v>95</v>
      </c>
      <c r="AU264" s="18" t="s">
        <v>95</v>
      </c>
      <c r="AV264" s="18" t="s">
        <v>7029</v>
      </c>
      <c r="AW264" s="18" t="s">
        <v>95</v>
      </c>
      <c r="AX264" s="18" t="s">
        <v>10806</v>
      </c>
      <c r="AY264" s="18" t="s">
        <v>95</v>
      </c>
      <c r="AZ264" s="18" t="s">
        <v>95</v>
      </c>
      <c r="BA264" s="18" t="s">
        <v>95</v>
      </c>
      <c r="BB264" s="18" t="s">
        <v>95</v>
      </c>
      <c r="BC264" s="18" t="s">
        <v>95</v>
      </c>
      <c r="BD264" s="18" t="s">
        <v>10829</v>
      </c>
      <c r="BE264" s="18" t="s">
        <v>12941</v>
      </c>
      <c r="BF264" s="18" t="s">
        <v>10809</v>
      </c>
      <c r="BG264" s="18" t="s">
        <v>7030</v>
      </c>
      <c r="BH264" s="18"/>
      <c r="BI264" s="18"/>
      <c r="BJ264" s="18" t="s">
        <v>385</v>
      </c>
      <c r="BK264" s="18" t="s">
        <v>12942</v>
      </c>
      <c r="BL264" s="18" t="s">
        <v>10811</v>
      </c>
      <c r="BM264" s="18" t="s">
        <v>92</v>
      </c>
      <c r="BN264" s="18" t="s">
        <v>85</v>
      </c>
      <c r="BO264" s="18">
        <v>1</v>
      </c>
      <c r="BP264" s="18" t="s">
        <v>10812</v>
      </c>
      <c r="BQ264" s="18" t="str">
        <f>VLOOKUP(Prepago[[#This Row],[NOM_PLAZA]],[1]!Locales[#Data],3,0)</f>
        <v>TIENDA CUENCA REMIGIO</v>
      </c>
      <c r="BR264" s="18" t="str">
        <f>VLOOKUP(Prepago[[#This Row],[CODIGO_USUARIO]],[1]!Personal[#Data],6,0)</f>
        <v>RAMIREZ RUBIO NELLY LILIANA</v>
      </c>
      <c r="BS264" s="18">
        <f>DAY(Prepago[[#This Row],[FECHA_ALTA]])</f>
        <v>5</v>
      </c>
    </row>
    <row r="265" spans="1:71" x14ac:dyDescent="0.25">
      <c r="A265" s="18" t="s">
        <v>96</v>
      </c>
      <c r="B265" s="18" t="s">
        <v>12943</v>
      </c>
      <c r="C265" s="18" t="s">
        <v>12944</v>
      </c>
      <c r="D265" s="18" t="s">
        <v>12945</v>
      </c>
      <c r="E265" s="22">
        <v>44904</v>
      </c>
      <c r="F265" s="18" t="s">
        <v>67</v>
      </c>
      <c r="G265" s="18" t="s">
        <v>12946</v>
      </c>
      <c r="H265" s="18" t="s">
        <v>12947</v>
      </c>
      <c r="I265" s="18" t="s">
        <v>70</v>
      </c>
      <c r="J265" s="18" t="s">
        <v>8102</v>
      </c>
      <c r="K265" s="18" t="s">
        <v>8103</v>
      </c>
      <c r="L265" s="18" t="s">
        <v>73</v>
      </c>
      <c r="M265" s="18" t="s">
        <v>7029</v>
      </c>
      <c r="N265" s="18" t="s">
        <v>12948</v>
      </c>
      <c r="O265" s="18" t="s">
        <v>75</v>
      </c>
      <c r="P265" s="18" t="s">
        <v>12949</v>
      </c>
      <c r="Q265" s="18" t="s">
        <v>10817</v>
      </c>
      <c r="R265" s="18" t="s">
        <v>78</v>
      </c>
      <c r="S265" s="18" t="s">
        <v>77</v>
      </c>
      <c r="T265" s="22">
        <v>44915</v>
      </c>
      <c r="U265" s="18"/>
      <c r="V265" s="18" t="s">
        <v>81</v>
      </c>
      <c r="W265" s="18" t="s">
        <v>79</v>
      </c>
      <c r="X265" s="18" t="s">
        <v>10803</v>
      </c>
      <c r="Y265" s="18" t="s">
        <v>385</v>
      </c>
      <c r="Z265" s="18" t="s">
        <v>386</v>
      </c>
      <c r="AA265" s="18" t="s">
        <v>7062</v>
      </c>
      <c r="AB265" s="18" t="s">
        <v>95</v>
      </c>
      <c r="AC265" s="18" t="s">
        <v>7984</v>
      </c>
      <c r="AD265" s="18" t="s">
        <v>10804</v>
      </c>
      <c r="AE265" s="18" t="s">
        <v>148</v>
      </c>
      <c r="AF265" s="18" t="s">
        <v>95</v>
      </c>
      <c r="AG265" s="18" t="s">
        <v>83</v>
      </c>
      <c r="AH265" s="18" t="s">
        <v>83</v>
      </c>
      <c r="AI265" s="18" t="s">
        <v>81</v>
      </c>
      <c r="AJ265" s="18" t="s">
        <v>118</v>
      </c>
      <c r="AK265" s="18" t="s">
        <v>95</v>
      </c>
      <c r="AL265" s="18" t="s">
        <v>12915</v>
      </c>
      <c r="AM265" s="18" t="s">
        <v>85</v>
      </c>
      <c r="AN265" s="18" t="s">
        <v>7031</v>
      </c>
      <c r="AO265" s="18" t="s">
        <v>86</v>
      </c>
      <c r="AP265" s="18" t="s">
        <v>90</v>
      </c>
      <c r="AQ265" s="18" t="s">
        <v>8141</v>
      </c>
      <c r="AR265" s="18" t="s">
        <v>151</v>
      </c>
      <c r="AS265" s="18" t="s">
        <v>92</v>
      </c>
      <c r="AT265" s="18" t="s">
        <v>95</v>
      </c>
      <c r="AU265" s="18" t="s">
        <v>95</v>
      </c>
      <c r="AV265" s="18" t="s">
        <v>7029</v>
      </c>
      <c r="AW265" s="18" t="s">
        <v>95</v>
      </c>
      <c r="AX265" s="18" t="s">
        <v>10806</v>
      </c>
      <c r="AY265" s="18" t="s">
        <v>95</v>
      </c>
      <c r="AZ265" s="18" t="s">
        <v>95</v>
      </c>
      <c r="BA265" s="18" t="s">
        <v>95</v>
      </c>
      <c r="BB265" s="18" t="s">
        <v>95</v>
      </c>
      <c r="BC265" s="18" t="s">
        <v>95</v>
      </c>
      <c r="BD265" s="18" t="s">
        <v>10829</v>
      </c>
      <c r="BE265" s="18" t="s">
        <v>12950</v>
      </c>
      <c r="BF265" s="18" t="s">
        <v>10809</v>
      </c>
      <c r="BG265" s="18" t="s">
        <v>7030</v>
      </c>
      <c r="BH265" s="18"/>
      <c r="BI265" s="18"/>
      <c r="BJ265" s="18" t="s">
        <v>385</v>
      </c>
      <c r="BK265" s="18" t="s">
        <v>12951</v>
      </c>
      <c r="BL265" s="18" t="s">
        <v>10811</v>
      </c>
      <c r="BM265" s="18" t="s">
        <v>92</v>
      </c>
      <c r="BN265" s="18" t="s">
        <v>85</v>
      </c>
      <c r="BO265" s="18">
        <v>1</v>
      </c>
      <c r="BP265" s="18" t="s">
        <v>10812</v>
      </c>
      <c r="BQ265" s="18" t="str">
        <f>VLOOKUP(Prepago[[#This Row],[NOM_PLAZA]],[1]!Locales[#Data],3,0)</f>
        <v>TIENDA CUENCA REMIGIO</v>
      </c>
      <c r="BR265" s="18" t="str">
        <f>VLOOKUP(Prepago[[#This Row],[CODIGO_USUARIO]],[1]!Personal[#Data],6,0)</f>
        <v>RAMIREZ RUBIO NELLY LILIANA</v>
      </c>
      <c r="BS265" s="18">
        <f>DAY(Prepago[[#This Row],[FECHA_ALTA]])</f>
        <v>9</v>
      </c>
    </row>
    <row r="266" spans="1:71" x14ac:dyDescent="0.25">
      <c r="A266" s="18" t="s">
        <v>96</v>
      </c>
      <c r="B266" s="18" t="s">
        <v>12952</v>
      </c>
      <c r="C266" s="18" t="s">
        <v>12953</v>
      </c>
      <c r="D266" s="18" t="s">
        <v>12954</v>
      </c>
      <c r="E266" s="22">
        <v>44902</v>
      </c>
      <c r="F266" s="18" t="s">
        <v>67</v>
      </c>
      <c r="G266" s="18" t="s">
        <v>12955</v>
      </c>
      <c r="H266" s="18" t="s">
        <v>12956</v>
      </c>
      <c r="I266" s="18" t="s">
        <v>70</v>
      </c>
      <c r="J266" s="18" t="s">
        <v>8102</v>
      </c>
      <c r="K266" s="18" t="s">
        <v>8103</v>
      </c>
      <c r="L266" s="18" t="s">
        <v>132</v>
      </c>
      <c r="M266" s="18" t="s">
        <v>7029</v>
      </c>
      <c r="N266" s="18" t="s">
        <v>12957</v>
      </c>
      <c r="O266" s="18" t="s">
        <v>75</v>
      </c>
      <c r="P266" s="18" t="s">
        <v>12958</v>
      </c>
      <c r="Q266" s="18" t="s">
        <v>4453</v>
      </c>
      <c r="R266" s="18" t="s">
        <v>78</v>
      </c>
      <c r="S266" s="18" t="s">
        <v>77</v>
      </c>
      <c r="T266" s="22">
        <v>44915</v>
      </c>
      <c r="U266" s="18"/>
      <c r="V266" s="18" t="s">
        <v>81</v>
      </c>
      <c r="W266" s="18" t="s">
        <v>79</v>
      </c>
      <c r="X266" s="18" t="s">
        <v>10803</v>
      </c>
      <c r="Y266" s="18" t="s">
        <v>149</v>
      </c>
      <c r="Z266" s="18" t="s">
        <v>150</v>
      </c>
      <c r="AA266" s="18" t="s">
        <v>7062</v>
      </c>
      <c r="AB266" s="18" t="s">
        <v>95</v>
      </c>
      <c r="AC266" s="18" t="s">
        <v>7984</v>
      </c>
      <c r="AD266" s="18" t="s">
        <v>10804</v>
      </c>
      <c r="AE266" s="18" t="s">
        <v>148</v>
      </c>
      <c r="AF266" s="18" t="s">
        <v>95</v>
      </c>
      <c r="AG266" s="18" t="s">
        <v>83</v>
      </c>
      <c r="AH266" s="18" t="s">
        <v>83</v>
      </c>
      <c r="AI266" s="18" t="s">
        <v>81</v>
      </c>
      <c r="AJ266" s="18" t="s">
        <v>118</v>
      </c>
      <c r="AK266" s="18" t="s">
        <v>95</v>
      </c>
      <c r="AL266" s="18" t="s">
        <v>12920</v>
      </c>
      <c r="AM266" s="18" t="s">
        <v>85</v>
      </c>
      <c r="AN266" s="18" t="s">
        <v>7031</v>
      </c>
      <c r="AO266" s="18" t="s">
        <v>86</v>
      </c>
      <c r="AP266" s="18" t="s">
        <v>90</v>
      </c>
      <c r="AQ266" s="18" t="s">
        <v>8141</v>
      </c>
      <c r="AR266" s="18" t="s">
        <v>151</v>
      </c>
      <c r="AS266" s="18" t="s">
        <v>92</v>
      </c>
      <c r="AT266" s="18" t="s">
        <v>95</v>
      </c>
      <c r="AU266" s="18" t="s">
        <v>95</v>
      </c>
      <c r="AV266" s="18" t="s">
        <v>7029</v>
      </c>
      <c r="AW266" s="18" t="s">
        <v>95</v>
      </c>
      <c r="AX266" s="18" t="s">
        <v>10806</v>
      </c>
      <c r="AY266" s="18" t="s">
        <v>95</v>
      </c>
      <c r="AZ266" s="18" t="s">
        <v>95</v>
      </c>
      <c r="BA266" s="18" t="s">
        <v>95</v>
      </c>
      <c r="BB266" s="18" t="s">
        <v>95</v>
      </c>
      <c r="BC266" s="18" t="s">
        <v>95</v>
      </c>
      <c r="BD266" s="18" t="s">
        <v>10807</v>
      </c>
      <c r="BE266" s="18" t="s">
        <v>12959</v>
      </c>
      <c r="BF266" s="18" t="s">
        <v>10809</v>
      </c>
      <c r="BG266" s="18" t="s">
        <v>7030</v>
      </c>
      <c r="BH266" s="18"/>
      <c r="BI266" s="18"/>
      <c r="BJ266" s="18" t="s">
        <v>149</v>
      </c>
      <c r="BK266" s="18" t="s">
        <v>12960</v>
      </c>
      <c r="BL266" s="18" t="s">
        <v>10811</v>
      </c>
      <c r="BM266" s="18" t="s">
        <v>92</v>
      </c>
      <c r="BN266" s="18" t="s">
        <v>85</v>
      </c>
      <c r="BO266" s="18">
        <v>0</v>
      </c>
      <c r="BP266" s="18" t="s">
        <v>10812</v>
      </c>
      <c r="BQ266" s="18" t="str">
        <f>VLOOKUP(Prepago[[#This Row],[NOM_PLAZA]],[1]!Locales[#Data],3,0)</f>
        <v>TIENDA CUENCA REMIGIO</v>
      </c>
      <c r="BR266" s="18" t="str">
        <f>VLOOKUP(Prepago[[#This Row],[CODIGO_USUARIO]],[1]!Personal[#Data],6,0)</f>
        <v>OSORIO TEJADA ANA ESTEFANIA</v>
      </c>
      <c r="BS266" s="18">
        <f>DAY(Prepago[[#This Row],[FECHA_ALTA]])</f>
        <v>7</v>
      </c>
    </row>
    <row r="267" spans="1:71" x14ac:dyDescent="0.25">
      <c r="A267" s="18" t="s">
        <v>96</v>
      </c>
      <c r="B267" s="18" t="s">
        <v>12961</v>
      </c>
      <c r="C267" s="18" t="s">
        <v>12962</v>
      </c>
      <c r="D267" s="18" t="s">
        <v>12963</v>
      </c>
      <c r="E267" s="22">
        <v>44908</v>
      </c>
      <c r="F267" s="18" t="s">
        <v>67</v>
      </c>
      <c r="G267" s="18" t="s">
        <v>2690</v>
      </c>
      <c r="H267" s="18" t="s">
        <v>2691</v>
      </c>
      <c r="I267" s="18" t="s">
        <v>70</v>
      </c>
      <c r="J267" s="18" t="s">
        <v>8102</v>
      </c>
      <c r="K267" s="18" t="s">
        <v>8103</v>
      </c>
      <c r="L267" s="18" t="s">
        <v>73</v>
      </c>
      <c r="M267" s="18" t="s">
        <v>7029</v>
      </c>
      <c r="N267" s="18" t="s">
        <v>12964</v>
      </c>
      <c r="O267" s="18" t="s">
        <v>75</v>
      </c>
      <c r="P267" s="18" t="s">
        <v>12965</v>
      </c>
      <c r="Q267" s="18" t="s">
        <v>1532</v>
      </c>
      <c r="R267" s="18" t="s">
        <v>78</v>
      </c>
      <c r="S267" s="18" t="s">
        <v>77</v>
      </c>
      <c r="T267" s="22">
        <v>44915</v>
      </c>
      <c r="U267" s="18"/>
      <c r="V267" s="18" t="s">
        <v>81</v>
      </c>
      <c r="W267" s="18" t="s">
        <v>79</v>
      </c>
      <c r="X267" s="18" t="s">
        <v>10803</v>
      </c>
      <c r="Y267" s="18" t="s">
        <v>318</v>
      </c>
      <c r="Z267" s="18" t="s">
        <v>319</v>
      </c>
      <c r="AA267" s="18" t="s">
        <v>7062</v>
      </c>
      <c r="AB267" s="18" t="s">
        <v>95</v>
      </c>
      <c r="AC267" s="18" t="s">
        <v>7984</v>
      </c>
      <c r="AD267" s="18" t="s">
        <v>10804</v>
      </c>
      <c r="AE267" s="18" t="s">
        <v>148</v>
      </c>
      <c r="AF267" s="18" t="s">
        <v>95</v>
      </c>
      <c r="AG267" s="18" t="s">
        <v>83</v>
      </c>
      <c r="AH267" s="18" t="s">
        <v>83</v>
      </c>
      <c r="AI267" s="18" t="s">
        <v>81</v>
      </c>
      <c r="AJ267" s="18" t="s">
        <v>118</v>
      </c>
      <c r="AK267" s="18" t="s">
        <v>95</v>
      </c>
      <c r="AL267" s="18" t="s">
        <v>10743</v>
      </c>
      <c r="AM267" s="18" t="s">
        <v>85</v>
      </c>
      <c r="AN267" s="18" t="s">
        <v>7031</v>
      </c>
      <c r="AO267" s="18" t="s">
        <v>86</v>
      </c>
      <c r="AP267" s="18" t="s">
        <v>90</v>
      </c>
      <c r="AQ267" s="18" t="s">
        <v>8141</v>
      </c>
      <c r="AR267" s="18" t="s">
        <v>151</v>
      </c>
      <c r="AS267" s="18" t="s">
        <v>92</v>
      </c>
      <c r="AT267" s="18" t="s">
        <v>95</v>
      </c>
      <c r="AU267" s="18" t="s">
        <v>95</v>
      </c>
      <c r="AV267" s="18" t="s">
        <v>7029</v>
      </c>
      <c r="AW267" s="18" t="s">
        <v>95</v>
      </c>
      <c r="AX267" s="18" t="s">
        <v>10806</v>
      </c>
      <c r="AY267" s="18" t="s">
        <v>95</v>
      </c>
      <c r="AZ267" s="18" t="s">
        <v>95</v>
      </c>
      <c r="BA267" s="18" t="s">
        <v>95</v>
      </c>
      <c r="BB267" s="18" t="s">
        <v>95</v>
      </c>
      <c r="BC267" s="18" t="s">
        <v>95</v>
      </c>
      <c r="BD267" s="18" t="s">
        <v>10829</v>
      </c>
      <c r="BE267" s="18" t="s">
        <v>95</v>
      </c>
      <c r="BF267" s="18" t="s">
        <v>10809</v>
      </c>
      <c r="BG267" s="18" t="s">
        <v>7030</v>
      </c>
      <c r="BH267" s="18"/>
      <c r="BI267" s="18"/>
      <c r="BJ267" s="18" t="s">
        <v>318</v>
      </c>
      <c r="BK267" s="18" t="s">
        <v>12966</v>
      </c>
      <c r="BL267" s="18" t="s">
        <v>10811</v>
      </c>
      <c r="BM267" s="18" t="s">
        <v>92</v>
      </c>
      <c r="BN267" s="18" t="s">
        <v>85</v>
      </c>
      <c r="BO267" s="18">
        <v>0</v>
      </c>
      <c r="BP267" s="18" t="s">
        <v>10812</v>
      </c>
      <c r="BQ267" s="18" t="str">
        <f>VLOOKUP(Prepago[[#This Row],[NOM_PLAZA]],[1]!Locales[#Data],3,0)</f>
        <v>TIENDA CUENCA REMIGIO</v>
      </c>
      <c r="BR267" s="18" t="str">
        <f>VLOOKUP(Prepago[[#This Row],[CODIGO_USUARIO]],[1]!Personal[#Data],6,0)</f>
        <v>RODRIGUEZ QUITO JESSICA GABRIELA</v>
      </c>
      <c r="BS267" s="18">
        <f>DAY(Prepago[[#This Row],[FECHA_ALTA]])</f>
        <v>13</v>
      </c>
    </row>
    <row r="268" spans="1:71" x14ac:dyDescent="0.25">
      <c r="A268" s="18" t="s">
        <v>96</v>
      </c>
      <c r="B268" s="18" t="s">
        <v>12967</v>
      </c>
      <c r="C268" s="18" t="s">
        <v>12968</v>
      </c>
      <c r="D268" s="18" t="s">
        <v>12969</v>
      </c>
      <c r="E268" s="22">
        <v>44903</v>
      </c>
      <c r="F268" s="18" t="s">
        <v>67</v>
      </c>
      <c r="G268" s="18" t="s">
        <v>12970</v>
      </c>
      <c r="H268" s="18" t="s">
        <v>12971</v>
      </c>
      <c r="I268" s="18" t="s">
        <v>70</v>
      </c>
      <c r="J268" s="18" t="s">
        <v>8102</v>
      </c>
      <c r="K268" s="18" t="s">
        <v>8103</v>
      </c>
      <c r="L268" s="18" t="s">
        <v>95</v>
      </c>
      <c r="M268" s="18" t="s">
        <v>7029</v>
      </c>
      <c r="N268" s="18" t="s">
        <v>12972</v>
      </c>
      <c r="O268" s="18" t="s">
        <v>75</v>
      </c>
      <c r="P268" s="18" t="s">
        <v>12973</v>
      </c>
      <c r="Q268" s="18" t="s">
        <v>4453</v>
      </c>
      <c r="R268" s="18" t="s">
        <v>78</v>
      </c>
      <c r="S268" s="18" t="s">
        <v>77</v>
      </c>
      <c r="T268" s="22">
        <v>44915</v>
      </c>
      <c r="U268" s="18"/>
      <c r="V268" s="18" t="s">
        <v>81</v>
      </c>
      <c r="W268" s="18" t="s">
        <v>79</v>
      </c>
      <c r="X268" s="18" t="s">
        <v>10803</v>
      </c>
      <c r="Y268" s="18" t="s">
        <v>610</v>
      </c>
      <c r="Z268" s="18" t="s">
        <v>611</v>
      </c>
      <c r="AA268" s="18" t="s">
        <v>12930</v>
      </c>
      <c r="AB268" s="18" t="s">
        <v>12931</v>
      </c>
      <c r="AC268" s="18" t="s">
        <v>7984</v>
      </c>
      <c r="AD268" s="18" t="s">
        <v>10804</v>
      </c>
      <c r="AE268" s="18" t="s">
        <v>148</v>
      </c>
      <c r="AF268" s="18" t="s">
        <v>95</v>
      </c>
      <c r="AG268" s="18" t="s">
        <v>83</v>
      </c>
      <c r="AH268" s="18" t="s">
        <v>83</v>
      </c>
      <c r="AI268" s="18" t="s">
        <v>81</v>
      </c>
      <c r="AJ268" s="18" t="s">
        <v>118</v>
      </c>
      <c r="AK268" s="18" t="s">
        <v>95</v>
      </c>
      <c r="AL268" s="18" t="s">
        <v>12895</v>
      </c>
      <c r="AM268" s="18" t="s">
        <v>85</v>
      </c>
      <c r="AN268" s="18" t="s">
        <v>7031</v>
      </c>
      <c r="AO268" s="18" t="s">
        <v>86</v>
      </c>
      <c r="AP268" s="18" t="s">
        <v>90</v>
      </c>
      <c r="AQ268" s="18" t="s">
        <v>8141</v>
      </c>
      <c r="AR268" s="18" t="s">
        <v>151</v>
      </c>
      <c r="AS268" s="18" t="s">
        <v>92</v>
      </c>
      <c r="AT268" s="18" t="s">
        <v>95</v>
      </c>
      <c r="AU268" s="18" t="s">
        <v>95</v>
      </c>
      <c r="AV268" s="18" t="s">
        <v>7029</v>
      </c>
      <c r="AW268" s="18" t="s">
        <v>95</v>
      </c>
      <c r="AX268" s="18" t="s">
        <v>10806</v>
      </c>
      <c r="AY268" s="18" t="s">
        <v>95</v>
      </c>
      <c r="AZ268" s="18" t="s">
        <v>95</v>
      </c>
      <c r="BA268" s="18" t="s">
        <v>95</v>
      </c>
      <c r="BB268" s="18" t="s">
        <v>95</v>
      </c>
      <c r="BC268" s="18" t="s">
        <v>95</v>
      </c>
      <c r="BD268" s="18" t="s">
        <v>10829</v>
      </c>
      <c r="BE268" s="18" t="s">
        <v>12974</v>
      </c>
      <c r="BF268" s="18" t="s">
        <v>10809</v>
      </c>
      <c r="BG268" s="18" t="s">
        <v>7030</v>
      </c>
      <c r="BH268" s="18"/>
      <c r="BI268" s="18"/>
      <c r="BJ268" s="18" t="s">
        <v>610</v>
      </c>
      <c r="BK268" s="18" t="s">
        <v>12975</v>
      </c>
      <c r="BL268" s="18" t="s">
        <v>10811</v>
      </c>
      <c r="BM268" s="18" t="s">
        <v>92</v>
      </c>
      <c r="BN268" s="18" t="s">
        <v>85</v>
      </c>
      <c r="BO268" s="18">
        <v>0</v>
      </c>
      <c r="BP268" s="18" t="s">
        <v>10812</v>
      </c>
      <c r="BQ268" s="18" t="str">
        <f>VLOOKUP(Prepago[[#This Row],[NOM_PLAZA]],[1]!Locales[#Data],3,0)</f>
        <v>TIENDA CUENCA REMIGIO</v>
      </c>
      <c r="BR268" s="18" t="str">
        <f>VLOOKUP(Prepago[[#This Row],[CODIGO_USUARIO]],[1]!Personal[#Data],6,0)</f>
        <v>PATIÑO TAPIA ANDRES SANTIAGO</v>
      </c>
      <c r="BS268" s="18">
        <f>DAY(Prepago[[#This Row],[FECHA_ALTA]])</f>
        <v>8</v>
      </c>
    </row>
    <row r="269" spans="1:71" x14ac:dyDescent="0.25">
      <c r="A269" s="18" t="s">
        <v>96</v>
      </c>
      <c r="B269" s="18" t="s">
        <v>12976</v>
      </c>
      <c r="C269" s="18" t="s">
        <v>12977</v>
      </c>
      <c r="D269" s="18" t="s">
        <v>12978</v>
      </c>
      <c r="E269" s="22">
        <v>44911</v>
      </c>
      <c r="F269" s="18" t="s">
        <v>67</v>
      </c>
      <c r="G269" s="18" t="s">
        <v>12979</v>
      </c>
      <c r="H269" s="18" t="s">
        <v>12980</v>
      </c>
      <c r="I269" s="18" t="s">
        <v>70</v>
      </c>
      <c r="J269" s="18" t="s">
        <v>8102</v>
      </c>
      <c r="K269" s="18" t="s">
        <v>8103</v>
      </c>
      <c r="L269" s="18" t="s">
        <v>73</v>
      </c>
      <c r="M269" s="18" t="s">
        <v>7029</v>
      </c>
      <c r="N269" s="18" t="s">
        <v>12981</v>
      </c>
      <c r="O269" s="18" t="s">
        <v>75</v>
      </c>
      <c r="P269" s="18" t="s">
        <v>12982</v>
      </c>
      <c r="Q269" s="18" t="s">
        <v>10817</v>
      </c>
      <c r="R269" s="18" t="s">
        <v>78</v>
      </c>
      <c r="S269" s="18" t="s">
        <v>77</v>
      </c>
      <c r="T269" s="22">
        <v>44915</v>
      </c>
      <c r="U269" s="18"/>
      <c r="V269" s="18" t="s">
        <v>81</v>
      </c>
      <c r="W269" s="18" t="s">
        <v>79</v>
      </c>
      <c r="X269" s="18" t="s">
        <v>10803</v>
      </c>
      <c r="Y269" s="18" t="s">
        <v>385</v>
      </c>
      <c r="Z269" s="18" t="s">
        <v>386</v>
      </c>
      <c r="AA269" s="18" t="s">
        <v>7062</v>
      </c>
      <c r="AB269" s="18" t="s">
        <v>95</v>
      </c>
      <c r="AC269" s="18" t="s">
        <v>7984</v>
      </c>
      <c r="AD269" s="18" t="s">
        <v>10804</v>
      </c>
      <c r="AE269" s="18" t="s">
        <v>148</v>
      </c>
      <c r="AF269" s="18" t="s">
        <v>95</v>
      </c>
      <c r="AG269" s="18" t="s">
        <v>83</v>
      </c>
      <c r="AH269" s="18" t="s">
        <v>83</v>
      </c>
      <c r="AI269" s="18" t="s">
        <v>81</v>
      </c>
      <c r="AJ269" s="18" t="s">
        <v>118</v>
      </c>
      <c r="AK269" s="18" t="s">
        <v>95</v>
      </c>
      <c r="AL269" s="18" t="s">
        <v>12915</v>
      </c>
      <c r="AM269" s="18" t="s">
        <v>85</v>
      </c>
      <c r="AN269" s="18" t="s">
        <v>7031</v>
      </c>
      <c r="AO269" s="18" t="s">
        <v>86</v>
      </c>
      <c r="AP269" s="18" t="s">
        <v>90</v>
      </c>
      <c r="AQ269" s="18" t="s">
        <v>8141</v>
      </c>
      <c r="AR269" s="18" t="s">
        <v>151</v>
      </c>
      <c r="AS269" s="18" t="s">
        <v>92</v>
      </c>
      <c r="AT269" s="18" t="s">
        <v>95</v>
      </c>
      <c r="AU269" s="18" t="s">
        <v>95</v>
      </c>
      <c r="AV269" s="18" t="s">
        <v>7029</v>
      </c>
      <c r="AW269" s="18" t="s">
        <v>95</v>
      </c>
      <c r="AX269" s="18" t="s">
        <v>10806</v>
      </c>
      <c r="AY269" s="18" t="s">
        <v>95</v>
      </c>
      <c r="AZ269" s="18" t="s">
        <v>95</v>
      </c>
      <c r="BA269" s="18" t="s">
        <v>95</v>
      </c>
      <c r="BB269" s="18" t="s">
        <v>95</v>
      </c>
      <c r="BC269" s="18" t="s">
        <v>95</v>
      </c>
      <c r="BD269" s="18" t="s">
        <v>10829</v>
      </c>
      <c r="BE269" s="18" t="s">
        <v>12983</v>
      </c>
      <c r="BF269" s="18" t="s">
        <v>10809</v>
      </c>
      <c r="BG269" s="18" t="s">
        <v>7030</v>
      </c>
      <c r="BH269" s="18"/>
      <c r="BI269" s="18"/>
      <c r="BJ269" s="18" t="s">
        <v>385</v>
      </c>
      <c r="BK269" s="18" t="s">
        <v>12984</v>
      </c>
      <c r="BL269" s="18" t="s">
        <v>10811</v>
      </c>
      <c r="BM269" s="18" t="s">
        <v>92</v>
      </c>
      <c r="BN269" s="18" t="s">
        <v>85</v>
      </c>
      <c r="BO269" s="18">
        <v>0</v>
      </c>
      <c r="BP269" s="18" t="s">
        <v>10812</v>
      </c>
      <c r="BQ269" s="18" t="str">
        <f>VLOOKUP(Prepago[[#This Row],[NOM_PLAZA]],[1]!Locales[#Data],3,0)</f>
        <v>TIENDA CUENCA REMIGIO</v>
      </c>
      <c r="BR269" s="18" t="str">
        <f>VLOOKUP(Prepago[[#This Row],[CODIGO_USUARIO]],[1]!Personal[#Data],6,0)</f>
        <v>RAMIREZ RUBIO NELLY LILIANA</v>
      </c>
      <c r="BS269" s="18">
        <f>DAY(Prepago[[#This Row],[FECHA_ALTA]])</f>
        <v>16</v>
      </c>
    </row>
    <row r="270" spans="1:71" x14ac:dyDescent="0.25">
      <c r="A270" s="18" t="s">
        <v>96</v>
      </c>
      <c r="B270" s="18" t="s">
        <v>12985</v>
      </c>
      <c r="C270" s="18" t="s">
        <v>12986</v>
      </c>
      <c r="D270" s="18" t="s">
        <v>12987</v>
      </c>
      <c r="E270" s="22">
        <v>44912</v>
      </c>
      <c r="F270" s="18" t="s">
        <v>67</v>
      </c>
      <c r="G270" s="18" t="s">
        <v>12988</v>
      </c>
      <c r="H270" s="18" t="s">
        <v>12989</v>
      </c>
      <c r="I270" s="18" t="s">
        <v>70</v>
      </c>
      <c r="J270" s="18" t="s">
        <v>8102</v>
      </c>
      <c r="K270" s="18" t="s">
        <v>8103</v>
      </c>
      <c r="L270" s="18" t="s">
        <v>73</v>
      </c>
      <c r="M270" s="18" t="s">
        <v>7029</v>
      </c>
      <c r="N270" s="18" t="s">
        <v>12990</v>
      </c>
      <c r="O270" s="18" t="s">
        <v>75</v>
      </c>
      <c r="P270" s="18" t="s">
        <v>12991</v>
      </c>
      <c r="Q270" s="18" t="s">
        <v>4453</v>
      </c>
      <c r="R270" s="18" t="s">
        <v>78</v>
      </c>
      <c r="S270" s="18" t="s">
        <v>77</v>
      </c>
      <c r="T270" s="22">
        <v>44915</v>
      </c>
      <c r="U270" s="18"/>
      <c r="V270" s="18" t="s">
        <v>81</v>
      </c>
      <c r="W270" s="18" t="s">
        <v>79</v>
      </c>
      <c r="X270" s="18" t="s">
        <v>10803</v>
      </c>
      <c r="Y270" s="18" t="s">
        <v>149</v>
      </c>
      <c r="Z270" s="18" t="s">
        <v>150</v>
      </c>
      <c r="AA270" s="18" t="s">
        <v>149</v>
      </c>
      <c r="AB270" s="18" t="s">
        <v>150</v>
      </c>
      <c r="AC270" s="18" t="s">
        <v>7984</v>
      </c>
      <c r="AD270" s="18" t="s">
        <v>10804</v>
      </c>
      <c r="AE270" s="18" t="s">
        <v>148</v>
      </c>
      <c r="AF270" s="18" t="s">
        <v>95</v>
      </c>
      <c r="AG270" s="18" t="s">
        <v>83</v>
      </c>
      <c r="AH270" s="18" t="s">
        <v>83</v>
      </c>
      <c r="AI270" s="18" t="s">
        <v>81</v>
      </c>
      <c r="AJ270" s="18" t="s">
        <v>118</v>
      </c>
      <c r="AK270" s="18" t="s">
        <v>95</v>
      </c>
      <c r="AL270" s="18" t="s">
        <v>12920</v>
      </c>
      <c r="AM270" s="18" t="s">
        <v>85</v>
      </c>
      <c r="AN270" s="18" t="s">
        <v>7031</v>
      </c>
      <c r="AO270" s="18" t="s">
        <v>86</v>
      </c>
      <c r="AP270" s="18" t="s">
        <v>90</v>
      </c>
      <c r="AQ270" s="18" t="s">
        <v>8141</v>
      </c>
      <c r="AR270" s="18" t="s">
        <v>151</v>
      </c>
      <c r="AS270" s="18" t="s">
        <v>92</v>
      </c>
      <c r="AT270" s="18" t="s">
        <v>95</v>
      </c>
      <c r="AU270" s="18" t="s">
        <v>95</v>
      </c>
      <c r="AV270" s="18" t="s">
        <v>7029</v>
      </c>
      <c r="AW270" s="18" t="s">
        <v>95</v>
      </c>
      <c r="AX270" s="18" t="s">
        <v>10806</v>
      </c>
      <c r="AY270" s="18" t="s">
        <v>95</v>
      </c>
      <c r="AZ270" s="18" t="s">
        <v>95</v>
      </c>
      <c r="BA270" s="18" t="s">
        <v>95</v>
      </c>
      <c r="BB270" s="18" t="s">
        <v>95</v>
      </c>
      <c r="BC270" s="18" t="s">
        <v>95</v>
      </c>
      <c r="BD270" s="18" t="s">
        <v>10829</v>
      </c>
      <c r="BE270" s="18" t="s">
        <v>12992</v>
      </c>
      <c r="BF270" s="18" t="s">
        <v>10809</v>
      </c>
      <c r="BG270" s="18" t="s">
        <v>7030</v>
      </c>
      <c r="BH270" s="18"/>
      <c r="BI270" s="18"/>
      <c r="BJ270" s="18" t="s">
        <v>149</v>
      </c>
      <c r="BK270" s="18" t="s">
        <v>12993</v>
      </c>
      <c r="BL270" s="18" t="s">
        <v>10811</v>
      </c>
      <c r="BM270" s="18" t="s">
        <v>92</v>
      </c>
      <c r="BN270" s="18" t="s">
        <v>85</v>
      </c>
      <c r="BO270" s="18">
        <v>0</v>
      </c>
      <c r="BP270" s="18" t="s">
        <v>10812</v>
      </c>
      <c r="BQ270" s="18" t="str">
        <f>VLOOKUP(Prepago[[#This Row],[NOM_PLAZA]],[1]!Locales[#Data],3,0)</f>
        <v>TIENDA CUENCA REMIGIO</v>
      </c>
      <c r="BR270" s="18" t="str">
        <f>VLOOKUP(Prepago[[#This Row],[CODIGO_USUARIO]],[1]!Personal[#Data],6,0)</f>
        <v>OSORIO TEJADA ANA ESTEFANIA</v>
      </c>
      <c r="BS270" s="18">
        <f>DAY(Prepago[[#This Row],[FECHA_ALTA]])</f>
        <v>17</v>
      </c>
    </row>
    <row r="271" spans="1:71" x14ac:dyDescent="0.25">
      <c r="A271" s="18" t="s">
        <v>96</v>
      </c>
      <c r="B271" s="18" t="s">
        <v>12994</v>
      </c>
      <c r="C271" s="18" t="s">
        <v>12995</v>
      </c>
      <c r="D271" s="18" t="s">
        <v>12996</v>
      </c>
      <c r="E271" s="22">
        <v>44914</v>
      </c>
      <c r="F271" s="18" t="s">
        <v>67</v>
      </c>
      <c r="G271" s="18" t="s">
        <v>12997</v>
      </c>
      <c r="H271" s="18" t="s">
        <v>12998</v>
      </c>
      <c r="I271" s="18" t="s">
        <v>70</v>
      </c>
      <c r="J271" s="18" t="s">
        <v>8102</v>
      </c>
      <c r="K271" s="18" t="s">
        <v>8103</v>
      </c>
      <c r="L271" s="18" t="s">
        <v>73</v>
      </c>
      <c r="M271" s="18" t="s">
        <v>7029</v>
      </c>
      <c r="N271" s="18" t="s">
        <v>12999</v>
      </c>
      <c r="O271" s="18" t="s">
        <v>75</v>
      </c>
      <c r="P271" s="18" t="s">
        <v>13000</v>
      </c>
      <c r="Q271" s="18" t="s">
        <v>4453</v>
      </c>
      <c r="R271" s="18" t="s">
        <v>78</v>
      </c>
      <c r="S271" s="18" t="s">
        <v>77</v>
      </c>
      <c r="T271" s="22">
        <v>44915</v>
      </c>
      <c r="U271" s="18"/>
      <c r="V271" s="18" t="s">
        <v>81</v>
      </c>
      <c r="W271" s="18" t="s">
        <v>79</v>
      </c>
      <c r="X271" s="18" t="s">
        <v>10803</v>
      </c>
      <c r="Y271" s="18" t="s">
        <v>385</v>
      </c>
      <c r="Z271" s="18" t="s">
        <v>386</v>
      </c>
      <c r="AA271" s="18" t="s">
        <v>7062</v>
      </c>
      <c r="AB271" s="18" t="s">
        <v>95</v>
      </c>
      <c r="AC271" s="18" t="s">
        <v>7984</v>
      </c>
      <c r="AD271" s="18" t="s">
        <v>10804</v>
      </c>
      <c r="AE271" s="18" t="s">
        <v>148</v>
      </c>
      <c r="AF271" s="18" t="s">
        <v>95</v>
      </c>
      <c r="AG271" s="18" t="s">
        <v>83</v>
      </c>
      <c r="AH271" s="18" t="s">
        <v>83</v>
      </c>
      <c r="AI271" s="18" t="s">
        <v>81</v>
      </c>
      <c r="AJ271" s="18" t="s">
        <v>118</v>
      </c>
      <c r="AK271" s="18" t="s">
        <v>95</v>
      </c>
      <c r="AL271" s="18" t="s">
        <v>12915</v>
      </c>
      <c r="AM271" s="18" t="s">
        <v>85</v>
      </c>
      <c r="AN271" s="18" t="s">
        <v>7031</v>
      </c>
      <c r="AO271" s="18" t="s">
        <v>86</v>
      </c>
      <c r="AP271" s="18" t="s">
        <v>90</v>
      </c>
      <c r="AQ271" s="18" t="s">
        <v>8141</v>
      </c>
      <c r="AR271" s="18" t="s">
        <v>151</v>
      </c>
      <c r="AS271" s="18" t="s">
        <v>92</v>
      </c>
      <c r="AT271" s="18" t="s">
        <v>95</v>
      </c>
      <c r="AU271" s="18" t="s">
        <v>95</v>
      </c>
      <c r="AV271" s="18" t="s">
        <v>7029</v>
      </c>
      <c r="AW271" s="18" t="s">
        <v>95</v>
      </c>
      <c r="AX271" s="18" t="s">
        <v>10806</v>
      </c>
      <c r="AY271" s="18" t="s">
        <v>95</v>
      </c>
      <c r="AZ271" s="18" t="s">
        <v>95</v>
      </c>
      <c r="BA271" s="18" t="s">
        <v>95</v>
      </c>
      <c r="BB271" s="18" t="s">
        <v>95</v>
      </c>
      <c r="BC271" s="18" t="s">
        <v>95</v>
      </c>
      <c r="BD271" s="18" t="s">
        <v>10807</v>
      </c>
      <c r="BE271" s="18" t="s">
        <v>11617</v>
      </c>
      <c r="BF271" s="18" t="s">
        <v>10809</v>
      </c>
      <c r="BG271" s="18" t="s">
        <v>7030</v>
      </c>
      <c r="BH271" s="18"/>
      <c r="BI271" s="18"/>
      <c r="BJ271" s="18" t="s">
        <v>385</v>
      </c>
      <c r="BK271" s="18" t="s">
        <v>13001</v>
      </c>
      <c r="BL271" s="18" t="s">
        <v>10811</v>
      </c>
      <c r="BM271" s="18" t="s">
        <v>92</v>
      </c>
      <c r="BN271" s="18" t="s">
        <v>85</v>
      </c>
      <c r="BO271" s="18">
        <v>0</v>
      </c>
      <c r="BP271" s="18" t="s">
        <v>10812</v>
      </c>
      <c r="BQ271" s="18" t="str">
        <f>VLOOKUP(Prepago[[#This Row],[NOM_PLAZA]],[1]!Locales[#Data],3,0)</f>
        <v>TIENDA CUENCA REMIGIO</v>
      </c>
      <c r="BR271" s="18" t="str">
        <f>VLOOKUP(Prepago[[#This Row],[CODIGO_USUARIO]],[1]!Personal[#Data],6,0)</f>
        <v>RAMIREZ RUBIO NELLY LILIANA</v>
      </c>
      <c r="BS271" s="18">
        <f>DAY(Prepago[[#This Row],[FECHA_ALTA]])</f>
        <v>19</v>
      </c>
    </row>
    <row r="272" spans="1:71" x14ac:dyDescent="0.25">
      <c r="A272" s="18" t="s">
        <v>96</v>
      </c>
      <c r="B272" s="18" t="s">
        <v>13002</v>
      </c>
      <c r="C272" s="18" t="s">
        <v>13003</v>
      </c>
      <c r="D272" s="18" t="s">
        <v>12945</v>
      </c>
      <c r="E272" s="22">
        <v>44904</v>
      </c>
      <c r="F272" s="18" t="s">
        <v>67</v>
      </c>
      <c r="G272" s="18" t="s">
        <v>12946</v>
      </c>
      <c r="H272" s="18" t="s">
        <v>12947</v>
      </c>
      <c r="I272" s="18" t="s">
        <v>70</v>
      </c>
      <c r="J272" s="18" t="s">
        <v>8102</v>
      </c>
      <c r="K272" s="18" t="s">
        <v>8103</v>
      </c>
      <c r="L272" s="18" t="s">
        <v>73</v>
      </c>
      <c r="M272" s="18" t="s">
        <v>7066</v>
      </c>
      <c r="N272" s="18" t="s">
        <v>13004</v>
      </c>
      <c r="O272" s="18" t="s">
        <v>75</v>
      </c>
      <c r="P272" s="18" t="s">
        <v>13005</v>
      </c>
      <c r="Q272" s="18" t="s">
        <v>10817</v>
      </c>
      <c r="R272" s="18" t="s">
        <v>78</v>
      </c>
      <c r="S272" s="18" t="s">
        <v>77</v>
      </c>
      <c r="T272" s="22">
        <v>44915</v>
      </c>
      <c r="U272" s="18"/>
      <c r="V272" s="18" t="s">
        <v>81</v>
      </c>
      <c r="W272" s="18" t="s">
        <v>79</v>
      </c>
      <c r="X272" s="18" t="s">
        <v>10803</v>
      </c>
      <c r="Y272" s="18" t="s">
        <v>385</v>
      </c>
      <c r="Z272" s="18" t="s">
        <v>386</v>
      </c>
      <c r="AA272" s="18" t="s">
        <v>7062</v>
      </c>
      <c r="AB272" s="18" t="s">
        <v>95</v>
      </c>
      <c r="AC272" s="18" t="s">
        <v>7984</v>
      </c>
      <c r="AD272" s="18" t="s">
        <v>10804</v>
      </c>
      <c r="AE272" s="18" t="s">
        <v>148</v>
      </c>
      <c r="AF272" s="18" t="s">
        <v>95</v>
      </c>
      <c r="AG272" s="18" t="s">
        <v>83</v>
      </c>
      <c r="AH272" s="18" t="s">
        <v>83</v>
      </c>
      <c r="AI272" s="18" t="s">
        <v>81</v>
      </c>
      <c r="AJ272" s="18" t="s">
        <v>118</v>
      </c>
      <c r="AK272" s="18" t="s">
        <v>95</v>
      </c>
      <c r="AL272" s="18" t="s">
        <v>12915</v>
      </c>
      <c r="AM272" s="18" t="s">
        <v>85</v>
      </c>
      <c r="AN272" s="18" t="s">
        <v>7031</v>
      </c>
      <c r="AO272" s="18" t="s">
        <v>86</v>
      </c>
      <c r="AP272" s="18" t="s">
        <v>90</v>
      </c>
      <c r="AQ272" s="18" t="s">
        <v>8141</v>
      </c>
      <c r="AR272" s="18" t="s">
        <v>151</v>
      </c>
      <c r="AS272" s="18" t="s">
        <v>92</v>
      </c>
      <c r="AT272" s="18" t="s">
        <v>95</v>
      </c>
      <c r="AU272" s="18" t="s">
        <v>95</v>
      </c>
      <c r="AV272" s="18" t="s">
        <v>7066</v>
      </c>
      <c r="AW272" s="18" t="s">
        <v>95</v>
      </c>
      <c r="AX272" s="18" t="s">
        <v>10806</v>
      </c>
      <c r="AY272" s="18" t="s">
        <v>95</v>
      </c>
      <c r="AZ272" s="18" t="s">
        <v>95</v>
      </c>
      <c r="BA272" s="18" t="s">
        <v>95</v>
      </c>
      <c r="BB272" s="18" t="s">
        <v>95</v>
      </c>
      <c r="BC272" s="18" t="s">
        <v>95</v>
      </c>
      <c r="BD272" s="18" t="s">
        <v>10829</v>
      </c>
      <c r="BE272" s="18" t="s">
        <v>12950</v>
      </c>
      <c r="BF272" s="18" t="s">
        <v>10809</v>
      </c>
      <c r="BG272" s="18" t="s">
        <v>7030</v>
      </c>
      <c r="BH272" s="18"/>
      <c r="BI272" s="18"/>
      <c r="BJ272" s="18" t="s">
        <v>385</v>
      </c>
      <c r="BK272" s="18" t="s">
        <v>12951</v>
      </c>
      <c r="BL272" s="18" t="s">
        <v>10811</v>
      </c>
      <c r="BM272" s="18" t="s">
        <v>8121</v>
      </c>
      <c r="BN272" s="18" t="s">
        <v>85</v>
      </c>
      <c r="BO272" s="18">
        <v>0</v>
      </c>
      <c r="BP272" s="18" t="s">
        <v>10812</v>
      </c>
      <c r="BQ272" s="18" t="str">
        <f>VLOOKUP(Prepago[[#This Row],[NOM_PLAZA]],[1]!Locales[#Data],3,0)</f>
        <v>TIENDA CUENCA REMIGIO</v>
      </c>
      <c r="BR272" s="18" t="str">
        <f>VLOOKUP(Prepago[[#This Row],[CODIGO_USUARIO]],[1]!Personal[#Data],6,0)</f>
        <v>RAMIREZ RUBIO NELLY LILIANA</v>
      </c>
      <c r="BS272" s="18">
        <f>DAY(Prepago[[#This Row],[FECHA_ALTA]])</f>
        <v>9</v>
      </c>
    </row>
    <row r="273" spans="1:71" x14ac:dyDescent="0.25">
      <c r="A273" s="18" t="s">
        <v>96</v>
      </c>
      <c r="B273" s="18" t="s">
        <v>13006</v>
      </c>
      <c r="C273" s="18" t="s">
        <v>13007</v>
      </c>
      <c r="D273" s="18" t="s">
        <v>13008</v>
      </c>
      <c r="E273" s="22">
        <v>44903</v>
      </c>
      <c r="F273" s="18" t="s">
        <v>67</v>
      </c>
      <c r="G273" s="18" t="s">
        <v>13009</v>
      </c>
      <c r="H273" s="18" t="s">
        <v>13010</v>
      </c>
      <c r="I273" s="18" t="s">
        <v>70</v>
      </c>
      <c r="J273" s="18" t="s">
        <v>8102</v>
      </c>
      <c r="K273" s="18" t="s">
        <v>8103</v>
      </c>
      <c r="L273" s="18" t="s">
        <v>132</v>
      </c>
      <c r="M273" s="18" t="s">
        <v>7029</v>
      </c>
      <c r="N273" s="18" t="s">
        <v>13011</v>
      </c>
      <c r="O273" s="18" t="s">
        <v>75</v>
      </c>
      <c r="P273" s="18" t="s">
        <v>13012</v>
      </c>
      <c r="Q273" s="18" t="s">
        <v>10817</v>
      </c>
      <c r="R273" s="18" t="s">
        <v>78</v>
      </c>
      <c r="S273" s="18" t="s">
        <v>77</v>
      </c>
      <c r="T273" s="22">
        <v>44915</v>
      </c>
      <c r="U273" s="18"/>
      <c r="V273" s="18" t="s">
        <v>81</v>
      </c>
      <c r="W273" s="18" t="s">
        <v>79</v>
      </c>
      <c r="X273" s="18" t="s">
        <v>10803</v>
      </c>
      <c r="Y273" s="18" t="s">
        <v>149</v>
      </c>
      <c r="Z273" s="18" t="s">
        <v>150</v>
      </c>
      <c r="AA273" s="18" t="s">
        <v>7062</v>
      </c>
      <c r="AB273" s="18" t="s">
        <v>95</v>
      </c>
      <c r="AC273" s="18" t="s">
        <v>7984</v>
      </c>
      <c r="AD273" s="18" t="s">
        <v>10804</v>
      </c>
      <c r="AE273" s="18" t="s">
        <v>148</v>
      </c>
      <c r="AF273" s="18" t="s">
        <v>95</v>
      </c>
      <c r="AG273" s="18" t="s">
        <v>83</v>
      </c>
      <c r="AH273" s="18" t="s">
        <v>83</v>
      </c>
      <c r="AI273" s="18" t="s">
        <v>81</v>
      </c>
      <c r="AJ273" s="18" t="s">
        <v>118</v>
      </c>
      <c r="AK273" s="18" t="s">
        <v>95</v>
      </c>
      <c r="AL273" s="18" t="s">
        <v>12920</v>
      </c>
      <c r="AM273" s="18" t="s">
        <v>85</v>
      </c>
      <c r="AN273" s="18" t="s">
        <v>7031</v>
      </c>
      <c r="AO273" s="18" t="s">
        <v>86</v>
      </c>
      <c r="AP273" s="18" t="s">
        <v>90</v>
      </c>
      <c r="AQ273" s="18" t="s">
        <v>8141</v>
      </c>
      <c r="AR273" s="18" t="s">
        <v>151</v>
      </c>
      <c r="AS273" s="18" t="s">
        <v>92</v>
      </c>
      <c r="AT273" s="18" t="s">
        <v>95</v>
      </c>
      <c r="AU273" s="18" t="s">
        <v>95</v>
      </c>
      <c r="AV273" s="18" t="s">
        <v>7029</v>
      </c>
      <c r="AW273" s="18" t="s">
        <v>95</v>
      </c>
      <c r="AX273" s="18" t="s">
        <v>10806</v>
      </c>
      <c r="AY273" s="18" t="s">
        <v>95</v>
      </c>
      <c r="AZ273" s="18" t="s">
        <v>95</v>
      </c>
      <c r="BA273" s="18" t="s">
        <v>95</v>
      </c>
      <c r="BB273" s="18" t="s">
        <v>95</v>
      </c>
      <c r="BC273" s="18" t="s">
        <v>95</v>
      </c>
      <c r="BD273" s="18" t="s">
        <v>10829</v>
      </c>
      <c r="BE273" s="18" t="s">
        <v>95</v>
      </c>
      <c r="BF273" s="18" t="s">
        <v>10809</v>
      </c>
      <c r="BG273" s="18" t="s">
        <v>7030</v>
      </c>
      <c r="BH273" s="18"/>
      <c r="BI273" s="18"/>
      <c r="BJ273" s="18" t="s">
        <v>149</v>
      </c>
      <c r="BK273" s="18" t="s">
        <v>13013</v>
      </c>
      <c r="BL273" s="18" t="s">
        <v>10811</v>
      </c>
      <c r="BM273" s="18" t="s">
        <v>92</v>
      </c>
      <c r="BN273" s="18" t="s">
        <v>85</v>
      </c>
      <c r="BO273" s="18">
        <v>1</v>
      </c>
      <c r="BP273" s="18" t="s">
        <v>10812</v>
      </c>
      <c r="BQ273" s="18" t="str">
        <f>VLOOKUP(Prepago[[#This Row],[NOM_PLAZA]],[1]!Locales[#Data],3,0)</f>
        <v>TIENDA CUENCA REMIGIO</v>
      </c>
      <c r="BR273" s="18" t="str">
        <f>VLOOKUP(Prepago[[#This Row],[CODIGO_USUARIO]],[1]!Personal[#Data],6,0)</f>
        <v>OSORIO TEJADA ANA ESTEFANIA</v>
      </c>
      <c r="BS273" s="18">
        <f>DAY(Prepago[[#This Row],[FECHA_ALTA]])</f>
        <v>8</v>
      </c>
    </row>
    <row r="274" spans="1:71" x14ac:dyDescent="0.25">
      <c r="A274" s="18" t="s">
        <v>96</v>
      </c>
      <c r="B274" s="18" t="s">
        <v>13014</v>
      </c>
      <c r="C274" s="18" t="s">
        <v>13015</v>
      </c>
      <c r="D274" s="18" t="s">
        <v>13016</v>
      </c>
      <c r="E274" s="22">
        <v>44897</v>
      </c>
      <c r="F274" s="18" t="s">
        <v>67</v>
      </c>
      <c r="G274" s="18" t="s">
        <v>13017</v>
      </c>
      <c r="H274" s="18" t="s">
        <v>13018</v>
      </c>
      <c r="I274" s="18" t="s">
        <v>70</v>
      </c>
      <c r="J274" s="18" t="s">
        <v>8102</v>
      </c>
      <c r="K274" s="18" t="s">
        <v>8103</v>
      </c>
      <c r="L274" s="18" t="s">
        <v>73</v>
      </c>
      <c r="M274" s="18" t="s">
        <v>7029</v>
      </c>
      <c r="N274" s="18" t="s">
        <v>13019</v>
      </c>
      <c r="O274" s="18" t="s">
        <v>75</v>
      </c>
      <c r="P274" s="18" t="s">
        <v>13020</v>
      </c>
      <c r="Q274" s="18" t="s">
        <v>10817</v>
      </c>
      <c r="R274" s="18" t="s">
        <v>78</v>
      </c>
      <c r="S274" s="18" t="s">
        <v>77</v>
      </c>
      <c r="T274" s="22">
        <v>44915</v>
      </c>
      <c r="U274" s="18"/>
      <c r="V274" s="18" t="s">
        <v>81</v>
      </c>
      <c r="W274" s="18" t="s">
        <v>79</v>
      </c>
      <c r="X274" s="18" t="s">
        <v>10803</v>
      </c>
      <c r="Y274" s="18" t="s">
        <v>149</v>
      </c>
      <c r="Z274" s="18" t="s">
        <v>150</v>
      </c>
      <c r="AA274" s="18" t="s">
        <v>7062</v>
      </c>
      <c r="AB274" s="18" t="s">
        <v>95</v>
      </c>
      <c r="AC274" s="18" t="s">
        <v>7984</v>
      </c>
      <c r="AD274" s="18" t="s">
        <v>10804</v>
      </c>
      <c r="AE274" s="18" t="s">
        <v>148</v>
      </c>
      <c r="AF274" s="18" t="s">
        <v>95</v>
      </c>
      <c r="AG274" s="18" t="s">
        <v>83</v>
      </c>
      <c r="AH274" s="18" t="s">
        <v>83</v>
      </c>
      <c r="AI274" s="18" t="s">
        <v>81</v>
      </c>
      <c r="AJ274" s="18" t="s">
        <v>118</v>
      </c>
      <c r="AK274" s="18" t="s">
        <v>95</v>
      </c>
      <c r="AL274" s="18" t="s">
        <v>12920</v>
      </c>
      <c r="AM274" s="18" t="s">
        <v>85</v>
      </c>
      <c r="AN274" s="18" t="s">
        <v>7031</v>
      </c>
      <c r="AO274" s="18" t="s">
        <v>86</v>
      </c>
      <c r="AP274" s="18" t="s">
        <v>90</v>
      </c>
      <c r="AQ274" s="18" t="s">
        <v>8141</v>
      </c>
      <c r="AR274" s="18" t="s">
        <v>151</v>
      </c>
      <c r="AS274" s="18" t="s">
        <v>92</v>
      </c>
      <c r="AT274" s="18" t="s">
        <v>95</v>
      </c>
      <c r="AU274" s="18" t="s">
        <v>95</v>
      </c>
      <c r="AV274" s="18" t="s">
        <v>7029</v>
      </c>
      <c r="AW274" s="18" t="s">
        <v>95</v>
      </c>
      <c r="AX274" s="18" t="s">
        <v>10806</v>
      </c>
      <c r="AY274" s="18" t="s">
        <v>95</v>
      </c>
      <c r="AZ274" s="18" t="s">
        <v>95</v>
      </c>
      <c r="BA274" s="18" t="s">
        <v>95</v>
      </c>
      <c r="BB274" s="18" t="s">
        <v>95</v>
      </c>
      <c r="BC274" s="18" t="s">
        <v>95</v>
      </c>
      <c r="BD274" s="18" t="s">
        <v>10829</v>
      </c>
      <c r="BE274" s="18" t="s">
        <v>13021</v>
      </c>
      <c r="BF274" s="18" t="s">
        <v>10809</v>
      </c>
      <c r="BG274" s="18" t="s">
        <v>7030</v>
      </c>
      <c r="BH274" s="18"/>
      <c r="BI274" s="18"/>
      <c r="BJ274" s="18" t="s">
        <v>149</v>
      </c>
      <c r="BK274" s="18" t="s">
        <v>13022</v>
      </c>
      <c r="BL274" s="18" t="s">
        <v>10811</v>
      </c>
      <c r="BM274" s="18" t="s">
        <v>92</v>
      </c>
      <c r="BN274" s="18" t="s">
        <v>85</v>
      </c>
      <c r="BO274" s="18">
        <v>0</v>
      </c>
      <c r="BP274" s="18" t="s">
        <v>10812</v>
      </c>
      <c r="BQ274" s="18" t="str">
        <f>VLOOKUP(Prepago[[#This Row],[NOM_PLAZA]],[1]!Locales[#Data],3,0)</f>
        <v>TIENDA CUENCA REMIGIO</v>
      </c>
      <c r="BR274" s="18" t="str">
        <f>VLOOKUP(Prepago[[#This Row],[CODIGO_USUARIO]],[1]!Personal[#Data],6,0)</f>
        <v>OSORIO TEJADA ANA ESTEFANIA</v>
      </c>
      <c r="BS274" s="18">
        <f>DAY(Prepago[[#This Row],[FECHA_ALTA]])</f>
        <v>2</v>
      </c>
    </row>
    <row r="275" spans="1:71" x14ac:dyDescent="0.25">
      <c r="A275" s="18" t="s">
        <v>96</v>
      </c>
      <c r="B275" s="18" t="s">
        <v>13023</v>
      </c>
      <c r="C275" s="18" t="s">
        <v>13024</v>
      </c>
      <c r="D275" s="18" t="s">
        <v>13025</v>
      </c>
      <c r="E275" s="22">
        <v>44907</v>
      </c>
      <c r="F275" s="18" t="s">
        <v>67</v>
      </c>
      <c r="G275" s="18" t="s">
        <v>13026</v>
      </c>
      <c r="H275" s="18" t="s">
        <v>13027</v>
      </c>
      <c r="I275" s="18" t="s">
        <v>70</v>
      </c>
      <c r="J275" s="18" t="s">
        <v>8102</v>
      </c>
      <c r="K275" s="18" t="s">
        <v>8103</v>
      </c>
      <c r="L275" s="18" t="s">
        <v>73</v>
      </c>
      <c r="M275" s="18" t="s">
        <v>7029</v>
      </c>
      <c r="N275" s="18" t="s">
        <v>13028</v>
      </c>
      <c r="O275" s="18" t="s">
        <v>75</v>
      </c>
      <c r="P275" s="18" t="s">
        <v>13029</v>
      </c>
      <c r="Q275" s="18" t="s">
        <v>10817</v>
      </c>
      <c r="R275" s="18" t="s">
        <v>78</v>
      </c>
      <c r="S275" s="18" t="s">
        <v>77</v>
      </c>
      <c r="T275" s="22">
        <v>44915</v>
      </c>
      <c r="U275" s="18"/>
      <c r="V275" s="18" t="s">
        <v>81</v>
      </c>
      <c r="W275" s="18" t="s">
        <v>79</v>
      </c>
      <c r="X275" s="18" t="s">
        <v>10803</v>
      </c>
      <c r="Y275" s="18" t="s">
        <v>318</v>
      </c>
      <c r="Z275" s="18" t="s">
        <v>319</v>
      </c>
      <c r="AA275" s="18" t="s">
        <v>7062</v>
      </c>
      <c r="AB275" s="18" t="s">
        <v>95</v>
      </c>
      <c r="AC275" s="18" t="s">
        <v>7984</v>
      </c>
      <c r="AD275" s="18" t="s">
        <v>10804</v>
      </c>
      <c r="AE275" s="18" t="s">
        <v>148</v>
      </c>
      <c r="AF275" s="18" t="s">
        <v>95</v>
      </c>
      <c r="AG275" s="18" t="s">
        <v>83</v>
      </c>
      <c r="AH275" s="18" t="s">
        <v>83</v>
      </c>
      <c r="AI275" s="18" t="s">
        <v>81</v>
      </c>
      <c r="AJ275" s="18" t="s">
        <v>118</v>
      </c>
      <c r="AK275" s="18" t="s">
        <v>95</v>
      </c>
      <c r="AL275" s="18" t="s">
        <v>10743</v>
      </c>
      <c r="AM275" s="18" t="s">
        <v>85</v>
      </c>
      <c r="AN275" s="18" t="s">
        <v>7031</v>
      </c>
      <c r="AO275" s="18" t="s">
        <v>86</v>
      </c>
      <c r="AP275" s="18" t="s">
        <v>90</v>
      </c>
      <c r="AQ275" s="18" t="s">
        <v>8141</v>
      </c>
      <c r="AR275" s="18" t="s">
        <v>151</v>
      </c>
      <c r="AS275" s="18" t="s">
        <v>92</v>
      </c>
      <c r="AT275" s="18" t="s">
        <v>95</v>
      </c>
      <c r="AU275" s="18" t="s">
        <v>95</v>
      </c>
      <c r="AV275" s="18" t="s">
        <v>7029</v>
      </c>
      <c r="AW275" s="18" t="s">
        <v>95</v>
      </c>
      <c r="AX275" s="18" t="s">
        <v>10806</v>
      </c>
      <c r="AY275" s="18" t="s">
        <v>95</v>
      </c>
      <c r="AZ275" s="18" t="s">
        <v>95</v>
      </c>
      <c r="BA275" s="18" t="s">
        <v>95</v>
      </c>
      <c r="BB275" s="18" t="s">
        <v>95</v>
      </c>
      <c r="BC275" s="18" t="s">
        <v>95</v>
      </c>
      <c r="BD275" s="18" t="s">
        <v>10829</v>
      </c>
      <c r="BE275" s="18" t="s">
        <v>13030</v>
      </c>
      <c r="BF275" s="18" t="s">
        <v>10809</v>
      </c>
      <c r="BG275" s="18" t="s">
        <v>7030</v>
      </c>
      <c r="BH275" s="18"/>
      <c r="BI275" s="18"/>
      <c r="BJ275" s="18" t="s">
        <v>318</v>
      </c>
      <c r="BK275" s="18" t="s">
        <v>13031</v>
      </c>
      <c r="BL275" s="18" t="s">
        <v>10811</v>
      </c>
      <c r="BM275" s="18" t="s">
        <v>92</v>
      </c>
      <c r="BN275" s="18" t="s">
        <v>85</v>
      </c>
      <c r="BO275" s="18">
        <v>0</v>
      </c>
      <c r="BP275" s="18" t="s">
        <v>10812</v>
      </c>
      <c r="BQ275" s="18" t="str">
        <f>VLOOKUP(Prepago[[#This Row],[NOM_PLAZA]],[1]!Locales[#Data],3,0)</f>
        <v>TIENDA CUENCA REMIGIO</v>
      </c>
      <c r="BR275" s="18" t="str">
        <f>VLOOKUP(Prepago[[#This Row],[CODIGO_USUARIO]],[1]!Personal[#Data],6,0)</f>
        <v>RODRIGUEZ QUITO JESSICA GABRIELA</v>
      </c>
      <c r="BS275" s="18">
        <f>DAY(Prepago[[#This Row],[FECHA_ALTA]])</f>
        <v>12</v>
      </c>
    </row>
    <row r="276" spans="1:71" x14ac:dyDescent="0.25">
      <c r="A276" s="18" t="s">
        <v>96</v>
      </c>
      <c r="B276" s="18" t="s">
        <v>13032</v>
      </c>
      <c r="C276" s="18" t="s">
        <v>13033</v>
      </c>
      <c r="D276" s="18" t="s">
        <v>13034</v>
      </c>
      <c r="E276" s="22">
        <v>44896</v>
      </c>
      <c r="F276" s="18" t="s">
        <v>67</v>
      </c>
      <c r="G276" s="18" t="s">
        <v>13035</v>
      </c>
      <c r="H276" s="18" t="s">
        <v>13036</v>
      </c>
      <c r="I276" s="18" t="s">
        <v>70</v>
      </c>
      <c r="J276" s="18" t="s">
        <v>8102</v>
      </c>
      <c r="K276" s="18" t="s">
        <v>8103</v>
      </c>
      <c r="L276" s="18" t="s">
        <v>73</v>
      </c>
      <c r="M276" s="18" t="s">
        <v>7029</v>
      </c>
      <c r="N276" s="18" t="s">
        <v>13037</v>
      </c>
      <c r="O276" s="18" t="s">
        <v>75</v>
      </c>
      <c r="P276" s="18" t="s">
        <v>13038</v>
      </c>
      <c r="Q276" s="18" t="s">
        <v>10817</v>
      </c>
      <c r="R276" s="18" t="s">
        <v>78</v>
      </c>
      <c r="S276" s="18" t="s">
        <v>77</v>
      </c>
      <c r="T276" s="22">
        <v>44915</v>
      </c>
      <c r="U276" s="18"/>
      <c r="V276" s="18" t="s">
        <v>81</v>
      </c>
      <c r="W276" s="18" t="s">
        <v>79</v>
      </c>
      <c r="X276" s="18" t="s">
        <v>10803</v>
      </c>
      <c r="Y276" s="18" t="s">
        <v>149</v>
      </c>
      <c r="Z276" s="18" t="s">
        <v>150</v>
      </c>
      <c r="AA276" s="18" t="s">
        <v>12930</v>
      </c>
      <c r="AB276" s="18" t="s">
        <v>12931</v>
      </c>
      <c r="AC276" s="18" t="s">
        <v>7984</v>
      </c>
      <c r="AD276" s="18" t="s">
        <v>10804</v>
      </c>
      <c r="AE276" s="18" t="s">
        <v>148</v>
      </c>
      <c r="AF276" s="18" t="s">
        <v>95</v>
      </c>
      <c r="AG276" s="18" t="s">
        <v>83</v>
      </c>
      <c r="AH276" s="18" t="s">
        <v>83</v>
      </c>
      <c r="AI276" s="18" t="s">
        <v>81</v>
      </c>
      <c r="AJ276" s="18" t="s">
        <v>118</v>
      </c>
      <c r="AK276" s="18" t="s">
        <v>95</v>
      </c>
      <c r="AL276" s="18" t="s">
        <v>12920</v>
      </c>
      <c r="AM276" s="18" t="s">
        <v>85</v>
      </c>
      <c r="AN276" s="18" t="s">
        <v>7031</v>
      </c>
      <c r="AO276" s="18" t="s">
        <v>86</v>
      </c>
      <c r="AP276" s="18" t="s">
        <v>90</v>
      </c>
      <c r="AQ276" s="18" t="s">
        <v>8141</v>
      </c>
      <c r="AR276" s="18" t="s">
        <v>151</v>
      </c>
      <c r="AS276" s="18" t="s">
        <v>92</v>
      </c>
      <c r="AT276" s="18" t="s">
        <v>95</v>
      </c>
      <c r="AU276" s="18" t="s">
        <v>95</v>
      </c>
      <c r="AV276" s="18" t="s">
        <v>7029</v>
      </c>
      <c r="AW276" s="18" t="s">
        <v>95</v>
      </c>
      <c r="AX276" s="18" t="s">
        <v>10806</v>
      </c>
      <c r="AY276" s="18" t="s">
        <v>95</v>
      </c>
      <c r="AZ276" s="18" t="s">
        <v>95</v>
      </c>
      <c r="BA276" s="18" t="s">
        <v>95</v>
      </c>
      <c r="BB276" s="18" t="s">
        <v>95</v>
      </c>
      <c r="BC276" s="18" t="s">
        <v>95</v>
      </c>
      <c r="BD276" s="18" t="s">
        <v>10829</v>
      </c>
      <c r="BE276" s="18" t="s">
        <v>13039</v>
      </c>
      <c r="BF276" s="18" t="s">
        <v>10809</v>
      </c>
      <c r="BG276" s="18" t="s">
        <v>7030</v>
      </c>
      <c r="BH276" s="18"/>
      <c r="BI276" s="18"/>
      <c r="BJ276" s="18" t="s">
        <v>149</v>
      </c>
      <c r="BK276" s="18" t="s">
        <v>13040</v>
      </c>
      <c r="BL276" s="18" t="s">
        <v>10811</v>
      </c>
      <c r="BM276" s="18" t="s">
        <v>92</v>
      </c>
      <c r="BN276" s="18" t="s">
        <v>85</v>
      </c>
      <c r="BO276" s="18">
        <v>0</v>
      </c>
      <c r="BP276" s="18" t="s">
        <v>10812</v>
      </c>
      <c r="BQ276" s="18" t="str">
        <f>VLOOKUP(Prepago[[#This Row],[NOM_PLAZA]],[1]!Locales[#Data],3,0)</f>
        <v>TIENDA CUENCA REMIGIO</v>
      </c>
      <c r="BR276" s="18" t="str">
        <f>VLOOKUP(Prepago[[#This Row],[CODIGO_USUARIO]],[1]!Personal[#Data],6,0)</f>
        <v>OSORIO TEJADA ANA ESTEFANIA</v>
      </c>
      <c r="BS276" s="18">
        <f>DAY(Prepago[[#This Row],[FECHA_ALTA]])</f>
        <v>1</v>
      </c>
    </row>
    <row r="277" spans="1:71" x14ac:dyDescent="0.25">
      <c r="A277" s="18" t="s">
        <v>96</v>
      </c>
      <c r="B277" s="18" t="s">
        <v>9481</v>
      </c>
      <c r="C277" s="18" t="s">
        <v>9487</v>
      </c>
      <c r="D277" s="18" t="s">
        <v>9483</v>
      </c>
      <c r="E277" s="22">
        <v>44907</v>
      </c>
      <c r="F277" s="18" t="s">
        <v>67</v>
      </c>
      <c r="G277" s="18" t="s">
        <v>9484</v>
      </c>
      <c r="H277" s="18" t="s">
        <v>9485</v>
      </c>
      <c r="I277" s="18" t="s">
        <v>70</v>
      </c>
      <c r="J277" s="18" t="s">
        <v>8102</v>
      </c>
      <c r="K277" s="18" t="s">
        <v>8103</v>
      </c>
      <c r="L277" s="18" t="s">
        <v>73</v>
      </c>
      <c r="M277" s="18" t="s">
        <v>7029</v>
      </c>
      <c r="N277" s="18" t="s">
        <v>9486</v>
      </c>
      <c r="O277" s="18" t="s">
        <v>287</v>
      </c>
      <c r="P277" s="18" t="s">
        <v>13041</v>
      </c>
      <c r="Q277" s="18" t="s">
        <v>10817</v>
      </c>
      <c r="R277" s="18" t="s">
        <v>78</v>
      </c>
      <c r="S277" s="18" t="s">
        <v>77</v>
      </c>
      <c r="T277" s="22">
        <v>44915</v>
      </c>
      <c r="U277" s="18"/>
      <c r="V277" s="18" t="s">
        <v>81</v>
      </c>
      <c r="W277" s="18" t="s">
        <v>79</v>
      </c>
      <c r="X277" s="18" t="s">
        <v>10803</v>
      </c>
      <c r="Y277" s="18" t="s">
        <v>318</v>
      </c>
      <c r="Z277" s="18" t="s">
        <v>319</v>
      </c>
      <c r="AA277" s="18" t="s">
        <v>7062</v>
      </c>
      <c r="AB277" s="18" t="s">
        <v>95</v>
      </c>
      <c r="AC277" s="18" t="s">
        <v>7984</v>
      </c>
      <c r="AD277" s="18" t="s">
        <v>10804</v>
      </c>
      <c r="AE277" s="18" t="s">
        <v>148</v>
      </c>
      <c r="AF277" s="18" t="s">
        <v>95</v>
      </c>
      <c r="AG277" s="18" t="s">
        <v>83</v>
      </c>
      <c r="AH277" s="18" t="s">
        <v>83</v>
      </c>
      <c r="AI277" s="18" t="s">
        <v>81</v>
      </c>
      <c r="AJ277" s="18" t="s">
        <v>118</v>
      </c>
      <c r="AK277" s="18" t="s">
        <v>95</v>
      </c>
      <c r="AL277" s="18" t="s">
        <v>10743</v>
      </c>
      <c r="AM277" s="18" t="s">
        <v>85</v>
      </c>
      <c r="AN277" s="18" t="s">
        <v>7031</v>
      </c>
      <c r="AO277" s="18" t="s">
        <v>86</v>
      </c>
      <c r="AP277" s="18" t="s">
        <v>90</v>
      </c>
      <c r="AQ277" s="18" t="s">
        <v>8141</v>
      </c>
      <c r="AR277" s="18" t="s">
        <v>151</v>
      </c>
      <c r="AS277" s="18" t="s">
        <v>92</v>
      </c>
      <c r="AT277" s="18" t="s">
        <v>95</v>
      </c>
      <c r="AU277" s="18" t="s">
        <v>95</v>
      </c>
      <c r="AV277" s="18" t="s">
        <v>7029</v>
      </c>
      <c r="AW277" s="18" t="s">
        <v>95</v>
      </c>
      <c r="AX277" s="18" t="s">
        <v>10806</v>
      </c>
      <c r="AY277" s="18" t="s">
        <v>95</v>
      </c>
      <c r="AZ277" s="18" t="s">
        <v>95</v>
      </c>
      <c r="BA277" s="18" t="s">
        <v>95</v>
      </c>
      <c r="BB277" s="18" t="s">
        <v>95</v>
      </c>
      <c r="BC277" s="18" t="s">
        <v>95</v>
      </c>
      <c r="BD277" s="18" t="s">
        <v>10829</v>
      </c>
      <c r="BE277" s="18" t="s">
        <v>13042</v>
      </c>
      <c r="BF277" s="18" t="s">
        <v>10809</v>
      </c>
      <c r="BG277" s="18" t="s">
        <v>7030</v>
      </c>
      <c r="BH277" s="18"/>
      <c r="BI277" s="18"/>
      <c r="BJ277" s="18" t="s">
        <v>318</v>
      </c>
      <c r="BK277" s="18" t="s">
        <v>13043</v>
      </c>
      <c r="BL277" s="18" t="s">
        <v>10811</v>
      </c>
      <c r="BM277" s="18" t="s">
        <v>92</v>
      </c>
      <c r="BN277" s="18" t="s">
        <v>85</v>
      </c>
      <c r="BO277" s="18">
        <v>0</v>
      </c>
      <c r="BP277" s="18" t="s">
        <v>10812</v>
      </c>
      <c r="BQ277" s="18" t="str">
        <f>VLOOKUP(Prepago[[#This Row],[NOM_PLAZA]],[1]!Locales[#Data],3,0)</f>
        <v>TIENDA CUENCA REMIGIO</v>
      </c>
      <c r="BR277" s="18" t="str">
        <f>VLOOKUP(Prepago[[#This Row],[CODIGO_USUARIO]],[1]!Personal[#Data],6,0)</f>
        <v>RODRIGUEZ QUITO JESSICA GABRIELA</v>
      </c>
      <c r="BS277" s="18">
        <f>DAY(Prepago[[#This Row],[FECHA_ALTA]])</f>
        <v>12</v>
      </c>
    </row>
    <row r="278" spans="1:71" x14ac:dyDescent="0.25">
      <c r="A278" s="18" t="s">
        <v>96</v>
      </c>
      <c r="B278" s="18" t="s">
        <v>13044</v>
      </c>
      <c r="C278" s="18" t="s">
        <v>13045</v>
      </c>
      <c r="D278" s="18" t="s">
        <v>13046</v>
      </c>
      <c r="E278" s="22">
        <v>44897</v>
      </c>
      <c r="F278" s="18" t="s">
        <v>67</v>
      </c>
      <c r="G278" s="18" t="s">
        <v>13047</v>
      </c>
      <c r="H278" s="18" t="s">
        <v>13048</v>
      </c>
      <c r="I278" s="18" t="s">
        <v>70</v>
      </c>
      <c r="J278" s="18" t="s">
        <v>8102</v>
      </c>
      <c r="K278" s="18" t="s">
        <v>8103</v>
      </c>
      <c r="L278" s="18" t="s">
        <v>73</v>
      </c>
      <c r="M278" s="18" t="s">
        <v>7029</v>
      </c>
      <c r="N278" s="18" t="s">
        <v>13049</v>
      </c>
      <c r="O278" s="18" t="s">
        <v>75</v>
      </c>
      <c r="P278" s="18" t="s">
        <v>13050</v>
      </c>
      <c r="Q278" s="18" t="s">
        <v>10817</v>
      </c>
      <c r="R278" s="18" t="s">
        <v>78</v>
      </c>
      <c r="S278" s="18" t="s">
        <v>77</v>
      </c>
      <c r="T278" s="22">
        <v>44915</v>
      </c>
      <c r="U278" s="18"/>
      <c r="V278" s="18" t="s">
        <v>81</v>
      </c>
      <c r="W278" s="18" t="s">
        <v>79</v>
      </c>
      <c r="X278" s="18" t="s">
        <v>10803</v>
      </c>
      <c r="Y278" s="18" t="s">
        <v>149</v>
      </c>
      <c r="Z278" s="18" t="s">
        <v>150</v>
      </c>
      <c r="AA278" s="18" t="s">
        <v>7062</v>
      </c>
      <c r="AB278" s="18" t="s">
        <v>95</v>
      </c>
      <c r="AC278" s="18" t="s">
        <v>7984</v>
      </c>
      <c r="AD278" s="18" t="s">
        <v>10804</v>
      </c>
      <c r="AE278" s="18" t="s">
        <v>148</v>
      </c>
      <c r="AF278" s="18" t="s">
        <v>95</v>
      </c>
      <c r="AG278" s="18" t="s">
        <v>83</v>
      </c>
      <c r="AH278" s="18" t="s">
        <v>83</v>
      </c>
      <c r="AI278" s="18" t="s">
        <v>81</v>
      </c>
      <c r="AJ278" s="18" t="s">
        <v>118</v>
      </c>
      <c r="AK278" s="18" t="s">
        <v>95</v>
      </c>
      <c r="AL278" s="18" t="s">
        <v>12920</v>
      </c>
      <c r="AM278" s="18" t="s">
        <v>85</v>
      </c>
      <c r="AN278" s="18" t="s">
        <v>7031</v>
      </c>
      <c r="AO278" s="18" t="s">
        <v>86</v>
      </c>
      <c r="AP278" s="18" t="s">
        <v>90</v>
      </c>
      <c r="AQ278" s="18" t="s">
        <v>8141</v>
      </c>
      <c r="AR278" s="18" t="s">
        <v>151</v>
      </c>
      <c r="AS278" s="18" t="s">
        <v>92</v>
      </c>
      <c r="AT278" s="18" t="s">
        <v>95</v>
      </c>
      <c r="AU278" s="18" t="s">
        <v>95</v>
      </c>
      <c r="AV278" s="18" t="s">
        <v>7029</v>
      </c>
      <c r="AW278" s="18" t="s">
        <v>95</v>
      </c>
      <c r="AX278" s="18" t="s">
        <v>10806</v>
      </c>
      <c r="AY278" s="18" t="s">
        <v>95</v>
      </c>
      <c r="AZ278" s="18" t="s">
        <v>95</v>
      </c>
      <c r="BA278" s="18" t="s">
        <v>95</v>
      </c>
      <c r="BB278" s="18" t="s">
        <v>95</v>
      </c>
      <c r="BC278" s="18" t="s">
        <v>95</v>
      </c>
      <c r="BD278" s="18" t="s">
        <v>10829</v>
      </c>
      <c r="BE278" s="18" t="s">
        <v>13051</v>
      </c>
      <c r="BF278" s="18" t="s">
        <v>10809</v>
      </c>
      <c r="BG278" s="18" t="s">
        <v>7030</v>
      </c>
      <c r="BH278" s="18"/>
      <c r="BI278" s="18"/>
      <c r="BJ278" s="18" t="s">
        <v>149</v>
      </c>
      <c r="BK278" s="18" t="s">
        <v>13052</v>
      </c>
      <c r="BL278" s="18" t="s">
        <v>10811</v>
      </c>
      <c r="BM278" s="18" t="s">
        <v>92</v>
      </c>
      <c r="BN278" s="18" t="s">
        <v>85</v>
      </c>
      <c r="BO278" s="18">
        <v>0</v>
      </c>
      <c r="BP278" s="18" t="s">
        <v>10812</v>
      </c>
      <c r="BQ278" s="18" t="str">
        <f>VLOOKUP(Prepago[[#This Row],[NOM_PLAZA]],[1]!Locales[#Data],3,0)</f>
        <v>TIENDA CUENCA REMIGIO</v>
      </c>
      <c r="BR278" s="18" t="str">
        <f>VLOOKUP(Prepago[[#This Row],[CODIGO_USUARIO]],[1]!Personal[#Data],6,0)</f>
        <v>OSORIO TEJADA ANA ESTEFANIA</v>
      </c>
      <c r="BS278" s="18">
        <f>DAY(Prepago[[#This Row],[FECHA_ALTA]])</f>
        <v>2</v>
      </c>
    </row>
    <row r="279" spans="1:71" x14ac:dyDescent="0.25">
      <c r="A279" s="18" t="s">
        <v>96</v>
      </c>
      <c r="B279" s="18" t="s">
        <v>13053</v>
      </c>
      <c r="C279" s="18" t="s">
        <v>13054</v>
      </c>
      <c r="D279" s="18" t="s">
        <v>13055</v>
      </c>
      <c r="E279" s="22">
        <v>44896</v>
      </c>
      <c r="F279" s="18" t="s">
        <v>67</v>
      </c>
      <c r="G279" s="18" t="s">
        <v>13056</v>
      </c>
      <c r="H279" s="18" t="s">
        <v>13057</v>
      </c>
      <c r="I279" s="18" t="s">
        <v>70</v>
      </c>
      <c r="J279" s="18" t="s">
        <v>8102</v>
      </c>
      <c r="K279" s="18" t="s">
        <v>8103</v>
      </c>
      <c r="L279" s="18" t="s">
        <v>73</v>
      </c>
      <c r="M279" s="18" t="s">
        <v>7029</v>
      </c>
      <c r="N279" s="18" t="s">
        <v>13058</v>
      </c>
      <c r="O279" s="18" t="s">
        <v>75</v>
      </c>
      <c r="P279" s="18" t="s">
        <v>13059</v>
      </c>
      <c r="Q279" s="18" t="s">
        <v>10817</v>
      </c>
      <c r="R279" s="18" t="s">
        <v>78</v>
      </c>
      <c r="S279" s="18" t="s">
        <v>77</v>
      </c>
      <c r="T279" s="22">
        <v>44915</v>
      </c>
      <c r="U279" s="18"/>
      <c r="V279" s="18" t="s">
        <v>81</v>
      </c>
      <c r="W279" s="18" t="s">
        <v>79</v>
      </c>
      <c r="X279" s="18" t="s">
        <v>10803</v>
      </c>
      <c r="Y279" s="18" t="s">
        <v>318</v>
      </c>
      <c r="Z279" s="18" t="s">
        <v>319</v>
      </c>
      <c r="AA279" s="18" t="s">
        <v>7062</v>
      </c>
      <c r="AB279" s="18" t="s">
        <v>95</v>
      </c>
      <c r="AC279" s="18" t="s">
        <v>7984</v>
      </c>
      <c r="AD279" s="18" t="s">
        <v>10804</v>
      </c>
      <c r="AE279" s="18" t="s">
        <v>148</v>
      </c>
      <c r="AF279" s="18" t="s">
        <v>95</v>
      </c>
      <c r="AG279" s="18" t="s">
        <v>83</v>
      </c>
      <c r="AH279" s="18" t="s">
        <v>83</v>
      </c>
      <c r="AI279" s="18" t="s">
        <v>81</v>
      </c>
      <c r="AJ279" s="18" t="s">
        <v>118</v>
      </c>
      <c r="AK279" s="18" t="s">
        <v>95</v>
      </c>
      <c r="AL279" s="18" t="s">
        <v>10743</v>
      </c>
      <c r="AM279" s="18" t="s">
        <v>85</v>
      </c>
      <c r="AN279" s="18" t="s">
        <v>7031</v>
      </c>
      <c r="AO279" s="18" t="s">
        <v>86</v>
      </c>
      <c r="AP279" s="18" t="s">
        <v>90</v>
      </c>
      <c r="AQ279" s="18" t="s">
        <v>8141</v>
      </c>
      <c r="AR279" s="18" t="s">
        <v>151</v>
      </c>
      <c r="AS279" s="18" t="s">
        <v>92</v>
      </c>
      <c r="AT279" s="18" t="s">
        <v>95</v>
      </c>
      <c r="AU279" s="18" t="s">
        <v>95</v>
      </c>
      <c r="AV279" s="18" t="s">
        <v>7029</v>
      </c>
      <c r="AW279" s="18" t="s">
        <v>95</v>
      </c>
      <c r="AX279" s="18" t="s">
        <v>10806</v>
      </c>
      <c r="AY279" s="18" t="s">
        <v>95</v>
      </c>
      <c r="AZ279" s="18" t="s">
        <v>95</v>
      </c>
      <c r="BA279" s="18" t="s">
        <v>95</v>
      </c>
      <c r="BB279" s="18" t="s">
        <v>95</v>
      </c>
      <c r="BC279" s="18" t="s">
        <v>95</v>
      </c>
      <c r="BD279" s="18" t="s">
        <v>10807</v>
      </c>
      <c r="BE279" s="18" t="s">
        <v>11206</v>
      </c>
      <c r="BF279" s="18" t="s">
        <v>7029</v>
      </c>
      <c r="BG279" s="18" t="s">
        <v>7030</v>
      </c>
      <c r="BH279" s="18"/>
      <c r="BI279" s="18"/>
      <c r="BJ279" s="18" t="s">
        <v>318</v>
      </c>
      <c r="BK279" s="18" t="s">
        <v>13060</v>
      </c>
      <c r="BL279" s="18" t="s">
        <v>10811</v>
      </c>
      <c r="BM279" s="18" t="s">
        <v>92</v>
      </c>
      <c r="BN279" s="18" t="s">
        <v>85</v>
      </c>
      <c r="BO279" s="18">
        <v>1</v>
      </c>
      <c r="BP279" s="18" t="s">
        <v>10812</v>
      </c>
      <c r="BQ279" s="18" t="str">
        <f>VLOOKUP(Prepago[[#This Row],[NOM_PLAZA]],[1]!Locales[#Data],3,0)</f>
        <v>TIENDA CUENCA REMIGIO</v>
      </c>
      <c r="BR279" s="18" t="str">
        <f>VLOOKUP(Prepago[[#This Row],[CODIGO_USUARIO]],[1]!Personal[#Data],6,0)</f>
        <v>RODRIGUEZ QUITO JESSICA GABRIELA</v>
      </c>
      <c r="BS279" s="18">
        <f>DAY(Prepago[[#This Row],[FECHA_ALTA]])</f>
        <v>1</v>
      </c>
    </row>
    <row r="280" spans="1:71" x14ac:dyDescent="0.25">
      <c r="A280" s="18" t="s">
        <v>96</v>
      </c>
      <c r="B280" s="18" t="s">
        <v>13061</v>
      </c>
      <c r="C280" s="18" t="s">
        <v>13062</v>
      </c>
      <c r="D280" s="18" t="s">
        <v>13063</v>
      </c>
      <c r="E280" s="22">
        <v>44910</v>
      </c>
      <c r="F280" s="18" t="s">
        <v>67</v>
      </c>
      <c r="G280" s="18" t="s">
        <v>13064</v>
      </c>
      <c r="H280" s="18" t="s">
        <v>13065</v>
      </c>
      <c r="I280" s="18" t="s">
        <v>70</v>
      </c>
      <c r="J280" s="18" t="s">
        <v>8102</v>
      </c>
      <c r="K280" s="18" t="s">
        <v>8103</v>
      </c>
      <c r="L280" s="18" t="s">
        <v>73</v>
      </c>
      <c r="M280" s="18" t="s">
        <v>7029</v>
      </c>
      <c r="N280" s="18" t="s">
        <v>13066</v>
      </c>
      <c r="O280" s="18" t="s">
        <v>75</v>
      </c>
      <c r="P280" s="18" t="s">
        <v>13067</v>
      </c>
      <c r="Q280" s="18" t="s">
        <v>4453</v>
      </c>
      <c r="R280" s="18" t="s">
        <v>78</v>
      </c>
      <c r="S280" s="18" t="s">
        <v>77</v>
      </c>
      <c r="T280" s="22">
        <v>44915</v>
      </c>
      <c r="U280" s="18"/>
      <c r="V280" s="18" t="s">
        <v>81</v>
      </c>
      <c r="W280" s="18" t="s">
        <v>79</v>
      </c>
      <c r="X280" s="18" t="s">
        <v>10803</v>
      </c>
      <c r="Y280" s="18" t="s">
        <v>610</v>
      </c>
      <c r="Z280" s="18" t="s">
        <v>611</v>
      </c>
      <c r="AA280" s="18" t="s">
        <v>610</v>
      </c>
      <c r="AB280" s="18" t="s">
        <v>611</v>
      </c>
      <c r="AC280" s="18" t="s">
        <v>7984</v>
      </c>
      <c r="AD280" s="18" t="s">
        <v>10804</v>
      </c>
      <c r="AE280" s="18" t="s">
        <v>148</v>
      </c>
      <c r="AF280" s="18" t="s">
        <v>95</v>
      </c>
      <c r="AG280" s="18" t="s">
        <v>83</v>
      </c>
      <c r="AH280" s="18" t="s">
        <v>83</v>
      </c>
      <c r="AI280" s="18" t="s">
        <v>81</v>
      </c>
      <c r="AJ280" s="18" t="s">
        <v>118</v>
      </c>
      <c r="AK280" s="18" t="s">
        <v>95</v>
      </c>
      <c r="AL280" s="18" t="s">
        <v>12895</v>
      </c>
      <c r="AM280" s="18" t="s">
        <v>85</v>
      </c>
      <c r="AN280" s="18" t="s">
        <v>7031</v>
      </c>
      <c r="AO280" s="18" t="s">
        <v>86</v>
      </c>
      <c r="AP280" s="18" t="s">
        <v>90</v>
      </c>
      <c r="AQ280" s="18" t="s">
        <v>8141</v>
      </c>
      <c r="AR280" s="18" t="s">
        <v>151</v>
      </c>
      <c r="AS280" s="18" t="s">
        <v>92</v>
      </c>
      <c r="AT280" s="18" t="s">
        <v>95</v>
      </c>
      <c r="AU280" s="18" t="s">
        <v>95</v>
      </c>
      <c r="AV280" s="18" t="s">
        <v>7029</v>
      </c>
      <c r="AW280" s="18" t="s">
        <v>95</v>
      </c>
      <c r="AX280" s="18" t="s">
        <v>10806</v>
      </c>
      <c r="AY280" s="18" t="s">
        <v>95</v>
      </c>
      <c r="AZ280" s="18" t="s">
        <v>95</v>
      </c>
      <c r="BA280" s="18" t="s">
        <v>95</v>
      </c>
      <c r="BB280" s="18" t="s">
        <v>95</v>
      </c>
      <c r="BC280" s="18" t="s">
        <v>95</v>
      </c>
      <c r="BD280" s="18" t="s">
        <v>10807</v>
      </c>
      <c r="BE280" s="18" t="s">
        <v>13068</v>
      </c>
      <c r="BF280" s="18" t="s">
        <v>10809</v>
      </c>
      <c r="BG280" s="18" t="s">
        <v>7030</v>
      </c>
      <c r="BH280" s="18"/>
      <c r="BI280" s="18"/>
      <c r="BJ280" s="18" t="s">
        <v>610</v>
      </c>
      <c r="BK280" s="18" t="s">
        <v>13069</v>
      </c>
      <c r="BL280" s="18" t="s">
        <v>10811</v>
      </c>
      <c r="BM280" s="18" t="s">
        <v>92</v>
      </c>
      <c r="BN280" s="18" t="s">
        <v>85</v>
      </c>
      <c r="BO280" s="18">
        <v>1</v>
      </c>
      <c r="BP280" s="18" t="s">
        <v>10812</v>
      </c>
      <c r="BQ280" s="18" t="str">
        <f>VLOOKUP(Prepago[[#This Row],[NOM_PLAZA]],[1]!Locales[#Data],3,0)</f>
        <v>TIENDA CUENCA REMIGIO</v>
      </c>
      <c r="BR280" s="18" t="str">
        <f>VLOOKUP(Prepago[[#This Row],[CODIGO_USUARIO]],[1]!Personal[#Data],6,0)</f>
        <v>PATIÑO TAPIA ANDRES SANTIAGO</v>
      </c>
      <c r="BS280" s="18">
        <f>DAY(Prepago[[#This Row],[FECHA_ALTA]])</f>
        <v>15</v>
      </c>
    </row>
    <row r="281" spans="1:71" x14ac:dyDescent="0.25">
      <c r="A281" s="18" t="s">
        <v>96</v>
      </c>
      <c r="B281" s="18" t="s">
        <v>13070</v>
      </c>
      <c r="C281" s="18" t="s">
        <v>13071</v>
      </c>
      <c r="D281" s="18" t="s">
        <v>13034</v>
      </c>
      <c r="E281" s="22">
        <v>44900</v>
      </c>
      <c r="F281" s="18" t="s">
        <v>67</v>
      </c>
      <c r="G281" s="18" t="s">
        <v>13035</v>
      </c>
      <c r="H281" s="18" t="s">
        <v>13036</v>
      </c>
      <c r="I281" s="18" t="s">
        <v>70</v>
      </c>
      <c r="J281" s="18" t="s">
        <v>8102</v>
      </c>
      <c r="K281" s="18" t="s">
        <v>8103</v>
      </c>
      <c r="L281" s="18" t="s">
        <v>73</v>
      </c>
      <c r="M281" s="18" t="s">
        <v>3903</v>
      </c>
      <c r="N281" s="18" t="s">
        <v>13072</v>
      </c>
      <c r="O281" s="18" t="s">
        <v>75</v>
      </c>
      <c r="P281" s="18" t="s">
        <v>13073</v>
      </c>
      <c r="Q281" s="18" t="s">
        <v>10817</v>
      </c>
      <c r="R281" s="18" t="s">
        <v>78</v>
      </c>
      <c r="S281" s="18" t="s">
        <v>77</v>
      </c>
      <c r="T281" s="22">
        <v>44915</v>
      </c>
      <c r="U281" s="18"/>
      <c r="V281" s="18" t="s">
        <v>81</v>
      </c>
      <c r="W281" s="18" t="s">
        <v>79</v>
      </c>
      <c r="X281" s="18" t="s">
        <v>10803</v>
      </c>
      <c r="Y281" s="18" t="s">
        <v>149</v>
      </c>
      <c r="Z281" s="18" t="s">
        <v>150</v>
      </c>
      <c r="AA281" s="18" t="s">
        <v>7062</v>
      </c>
      <c r="AB281" s="18" t="s">
        <v>95</v>
      </c>
      <c r="AC281" s="18" t="s">
        <v>7984</v>
      </c>
      <c r="AD281" s="18" t="s">
        <v>10804</v>
      </c>
      <c r="AE281" s="18" t="s">
        <v>148</v>
      </c>
      <c r="AF281" s="18" t="s">
        <v>95</v>
      </c>
      <c r="AG281" s="18" t="s">
        <v>81</v>
      </c>
      <c r="AH281" s="18" t="s">
        <v>83</v>
      </c>
      <c r="AI281" s="18" t="s">
        <v>81</v>
      </c>
      <c r="AJ281" s="18" t="s">
        <v>118</v>
      </c>
      <c r="AK281" s="18" t="s">
        <v>95</v>
      </c>
      <c r="AL281" s="18" t="s">
        <v>12920</v>
      </c>
      <c r="AM281" s="18" t="s">
        <v>85</v>
      </c>
      <c r="AN281" s="18" t="s">
        <v>7031</v>
      </c>
      <c r="AO281" s="18" t="s">
        <v>86</v>
      </c>
      <c r="AP281" s="18" t="s">
        <v>90</v>
      </c>
      <c r="AQ281" s="18" t="s">
        <v>8141</v>
      </c>
      <c r="AR281" s="18" t="s">
        <v>151</v>
      </c>
      <c r="AS281" s="18" t="s">
        <v>92</v>
      </c>
      <c r="AT281" s="18" t="s">
        <v>95</v>
      </c>
      <c r="AU281" s="18" t="s">
        <v>95</v>
      </c>
      <c r="AV281" s="18" t="s">
        <v>3903</v>
      </c>
      <c r="AW281" s="18" t="s">
        <v>95</v>
      </c>
      <c r="AX281" s="18" t="s">
        <v>10806</v>
      </c>
      <c r="AY281" s="18" t="s">
        <v>82</v>
      </c>
      <c r="AZ281" s="18" t="s">
        <v>95</v>
      </c>
      <c r="BA281" s="18" t="s">
        <v>95</v>
      </c>
      <c r="BB281" s="18" t="s">
        <v>95</v>
      </c>
      <c r="BC281" s="18" t="s">
        <v>95</v>
      </c>
      <c r="BD281" s="18" t="s">
        <v>10829</v>
      </c>
      <c r="BE281" s="18" t="s">
        <v>13039</v>
      </c>
      <c r="BF281" s="18" t="s">
        <v>10809</v>
      </c>
      <c r="BG281" s="18" t="s">
        <v>7030</v>
      </c>
      <c r="BH281" s="18"/>
      <c r="BI281" s="18"/>
      <c r="BJ281" s="18" t="s">
        <v>149</v>
      </c>
      <c r="BK281" s="18" t="s">
        <v>13074</v>
      </c>
      <c r="BL281" s="18" t="s">
        <v>10811</v>
      </c>
      <c r="BM281" s="18" t="s">
        <v>92</v>
      </c>
      <c r="BN281" s="18" t="s">
        <v>85</v>
      </c>
      <c r="BO281" s="18">
        <v>0</v>
      </c>
      <c r="BP281" s="18" t="s">
        <v>10812</v>
      </c>
      <c r="BQ281" s="18" t="str">
        <f>VLOOKUP(Prepago[[#This Row],[NOM_PLAZA]],[1]!Locales[#Data],3,0)</f>
        <v>TIENDA CUENCA REMIGIO</v>
      </c>
      <c r="BR281" s="18" t="str">
        <f>VLOOKUP(Prepago[[#This Row],[CODIGO_USUARIO]],[1]!Personal[#Data],6,0)</f>
        <v>OSORIO TEJADA ANA ESTEFANIA</v>
      </c>
      <c r="BS281" s="18">
        <f>DAY(Prepago[[#This Row],[FECHA_ALTA]])</f>
        <v>5</v>
      </c>
    </row>
    <row r="282" spans="1:71" x14ac:dyDescent="0.25">
      <c r="A282" s="18" t="s">
        <v>96</v>
      </c>
      <c r="B282" s="18" t="s">
        <v>13075</v>
      </c>
      <c r="C282" s="18" t="s">
        <v>13076</v>
      </c>
      <c r="D282" s="18" t="s">
        <v>13077</v>
      </c>
      <c r="E282" s="22">
        <v>44897</v>
      </c>
      <c r="F282" s="18" t="s">
        <v>67</v>
      </c>
      <c r="G282" s="18" t="s">
        <v>13078</v>
      </c>
      <c r="H282" s="18" t="s">
        <v>13079</v>
      </c>
      <c r="I282" s="18" t="s">
        <v>70</v>
      </c>
      <c r="J282" s="18" t="s">
        <v>8102</v>
      </c>
      <c r="K282" s="18" t="s">
        <v>8103</v>
      </c>
      <c r="L282" s="18" t="s">
        <v>73</v>
      </c>
      <c r="M282" s="18" t="s">
        <v>7029</v>
      </c>
      <c r="N282" s="18" t="s">
        <v>13080</v>
      </c>
      <c r="O282" s="18" t="s">
        <v>75</v>
      </c>
      <c r="P282" s="18" t="s">
        <v>13081</v>
      </c>
      <c r="Q282" s="18" t="s">
        <v>10817</v>
      </c>
      <c r="R282" s="18" t="s">
        <v>78</v>
      </c>
      <c r="S282" s="18" t="s">
        <v>77</v>
      </c>
      <c r="T282" s="22">
        <v>44915</v>
      </c>
      <c r="U282" s="18"/>
      <c r="V282" s="18" t="s">
        <v>81</v>
      </c>
      <c r="W282" s="18" t="s">
        <v>79</v>
      </c>
      <c r="X282" s="18" t="s">
        <v>10803</v>
      </c>
      <c r="Y282" s="18" t="s">
        <v>420</v>
      </c>
      <c r="Z282" s="18" t="s">
        <v>421</v>
      </c>
      <c r="AA282" s="18" t="s">
        <v>7062</v>
      </c>
      <c r="AB282" s="18" t="s">
        <v>95</v>
      </c>
      <c r="AC282" s="18" t="s">
        <v>7984</v>
      </c>
      <c r="AD282" s="18" t="s">
        <v>10804</v>
      </c>
      <c r="AE282" s="18" t="s">
        <v>148</v>
      </c>
      <c r="AF282" s="18" t="s">
        <v>95</v>
      </c>
      <c r="AG282" s="18" t="s">
        <v>83</v>
      </c>
      <c r="AH282" s="18" t="s">
        <v>83</v>
      </c>
      <c r="AI282" s="18" t="s">
        <v>81</v>
      </c>
      <c r="AJ282" s="18" t="s">
        <v>118</v>
      </c>
      <c r="AK282" s="18" t="s">
        <v>95</v>
      </c>
      <c r="AL282" s="18" t="s">
        <v>12905</v>
      </c>
      <c r="AM282" s="18" t="s">
        <v>85</v>
      </c>
      <c r="AN282" s="18" t="s">
        <v>7031</v>
      </c>
      <c r="AO282" s="18" t="s">
        <v>86</v>
      </c>
      <c r="AP282" s="18" t="s">
        <v>90</v>
      </c>
      <c r="AQ282" s="18" t="s">
        <v>8141</v>
      </c>
      <c r="AR282" s="18" t="s">
        <v>151</v>
      </c>
      <c r="AS282" s="18" t="s">
        <v>92</v>
      </c>
      <c r="AT282" s="18" t="s">
        <v>95</v>
      </c>
      <c r="AU282" s="18" t="s">
        <v>95</v>
      </c>
      <c r="AV282" s="18" t="s">
        <v>7029</v>
      </c>
      <c r="AW282" s="18" t="s">
        <v>95</v>
      </c>
      <c r="AX282" s="18" t="s">
        <v>10806</v>
      </c>
      <c r="AY282" s="18" t="s">
        <v>95</v>
      </c>
      <c r="AZ282" s="18" t="s">
        <v>95</v>
      </c>
      <c r="BA282" s="18" t="s">
        <v>95</v>
      </c>
      <c r="BB282" s="18" t="s">
        <v>95</v>
      </c>
      <c r="BC282" s="18" t="s">
        <v>95</v>
      </c>
      <c r="BD282" s="18" t="s">
        <v>10829</v>
      </c>
      <c r="BE282" s="18" t="s">
        <v>13082</v>
      </c>
      <c r="BF282" s="18" t="s">
        <v>7029</v>
      </c>
      <c r="BG282" s="18" t="s">
        <v>7030</v>
      </c>
      <c r="BH282" s="18"/>
      <c r="BI282" s="18"/>
      <c r="BJ282" s="18" t="s">
        <v>420</v>
      </c>
      <c r="BK282" s="18" t="s">
        <v>13083</v>
      </c>
      <c r="BL282" s="18" t="s">
        <v>10811</v>
      </c>
      <c r="BM282" s="18" t="s">
        <v>92</v>
      </c>
      <c r="BN282" s="18" t="s">
        <v>85</v>
      </c>
      <c r="BO282" s="18">
        <v>1</v>
      </c>
      <c r="BP282" s="18" t="s">
        <v>10812</v>
      </c>
      <c r="BQ282" s="18" t="str">
        <f>VLOOKUP(Prepago[[#This Row],[NOM_PLAZA]],[1]!Locales[#Data],3,0)</f>
        <v>TIENDA CUENCA REMIGIO</v>
      </c>
      <c r="BR282" s="18" t="str">
        <f>VLOOKUP(Prepago[[#This Row],[CODIGO_USUARIO]],[1]!Personal[#Data],6,0)</f>
        <v>YEPEZ PALOMEQUE DIANA PATRICIA</v>
      </c>
      <c r="BS282" s="18">
        <f>DAY(Prepago[[#This Row],[FECHA_ALTA]])</f>
        <v>2</v>
      </c>
    </row>
    <row r="283" spans="1:71" x14ac:dyDescent="0.25">
      <c r="A283" s="18" t="s">
        <v>96</v>
      </c>
      <c r="B283" s="18" t="s">
        <v>9672</v>
      </c>
      <c r="C283" s="18" t="s">
        <v>9678</v>
      </c>
      <c r="D283" s="18" t="s">
        <v>9674</v>
      </c>
      <c r="E283" s="22">
        <v>44908</v>
      </c>
      <c r="F283" s="18" t="s">
        <v>67</v>
      </c>
      <c r="G283" s="18" t="s">
        <v>9675</v>
      </c>
      <c r="H283" s="18" t="s">
        <v>9676</v>
      </c>
      <c r="I283" s="18" t="s">
        <v>70</v>
      </c>
      <c r="J283" s="18" t="s">
        <v>8102</v>
      </c>
      <c r="K283" s="18" t="s">
        <v>8103</v>
      </c>
      <c r="L283" s="18" t="s">
        <v>73</v>
      </c>
      <c r="M283" s="18" t="s">
        <v>7029</v>
      </c>
      <c r="N283" s="18" t="s">
        <v>9677</v>
      </c>
      <c r="O283" s="18" t="s">
        <v>287</v>
      </c>
      <c r="P283" s="18" t="s">
        <v>13084</v>
      </c>
      <c r="Q283" s="18" t="s">
        <v>10817</v>
      </c>
      <c r="R283" s="18" t="s">
        <v>78</v>
      </c>
      <c r="S283" s="18" t="s">
        <v>77</v>
      </c>
      <c r="T283" s="22">
        <v>44915</v>
      </c>
      <c r="U283" s="18"/>
      <c r="V283" s="18" t="s">
        <v>81</v>
      </c>
      <c r="W283" s="18" t="s">
        <v>79</v>
      </c>
      <c r="X283" s="18" t="s">
        <v>10803</v>
      </c>
      <c r="Y283" s="18" t="s">
        <v>318</v>
      </c>
      <c r="Z283" s="18" t="s">
        <v>319</v>
      </c>
      <c r="AA283" s="18" t="s">
        <v>7062</v>
      </c>
      <c r="AB283" s="18" t="s">
        <v>95</v>
      </c>
      <c r="AC283" s="18" t="s">
        <v>7984</v>
      </c>
      <c r="AD283" s="18" t="s">
        <v>10804</v>
      </c>
      <c r="AE283" s="18" t="s">
        <v>148</v>
      </c>
      <c r="AF283" s="18" t="s">
        <v>95</v>
      </c>
      <c r="AG283" s="18" t="s">
        <v>83</v>
      </c>
      <c r="AH283" s="18" t="s">
        <v>83</v>
      </c>
      <c r="AI283" s="18" t="s">
        <v>81</v>
      </c>
      <c r="AJ283" s="18" t="s">
        <v>118</v>
      </c>
      <c r="AK283" s="18" t="s">
        <v>95</v>
      </c>
      <c r="AL283" s="18" t="s">
        <v>10743</v>
      </c>
      <c r="AM283" s="18" t="s">
        <v>85</v>
      </c>
      <c r="AN283" s="18" t="s">
        <v>7031</v>
      </c>
      <c r="AO283" s="18" t="s">
        <v>86</v>
      </c>
      <c r="AP283" s="18" t="s">
        <v>90</v>
      </c>
      <c r="AQ283" s="18" t="s">
        <v>8141</v>
      </c>
      <c r="AR283" s="18" t="s">
        <v>151</v>
      </c>
      <c r="AS283" s="18" t="s">
        <v>92</v>
      </c>
      <c r="AT283" s="18" t="s">
        <v>95</v>
      </c>
      <c r="AU283" s="18" t="s">
        <v>95</v>
      </c>
      <c r="AV283" s="18" t="s">
        <v>7029</v>
      </c>
      <c r="AW283" s="18" t="s">
        <v>95</v>
      </c>
      <c r="AX283" s="18" t="s">
        <v>10806</v>
      </c>
      <c r="AY283" s="18" t="s">
        <v>95</v>
      </c>
      <c r="AZ283" s="18" t="s">
        <v>95</v>
      </c>
      <c r="BA283" s="18" t="s">
        <v>95</v>
      </c>
      <c r="BB283" s="18" t="s">
        <v>95</v>
      </c>
      <c r="BC283" s="18" t="s">
        <v>95</v>
      </c>
      <c r="BD283" s="18" t="s">
        <v>10829</v>
      </c>
      <c r="BE283" s="18" t="s">
        <v>13085</v>
      </c>
      <c r="BF283" s="18" t="s">
        <v>10809</v>
      </c>
      <c r="BG283" s="18" t="s">
        <v>7030</v>
      </c>
      <c r="BH283" s="18"/>
      <c r="BI283" s="18"/>
      <c r="BJ283" s="18" t="s">
        <v>318</v>
      </c>
      <c r="BK283" s="18" t="s">
        <v>13086</v>
      </c>
      <c r="BL283" s="18" t="s">
        <v>10811</v>
      </c>
      <c r="BM283" s="18" t="s">
        <v>92</v>
      </c>
      <c r="BN283" s="18" t="s">
        <v>85</v>
      </c>
      <c r="BO283" s="18">
        <v>0</v>
      </c>
      <c r="BP283" s="18" t="s">
        <v>10812</v>
      </c>
      <c r="BQ283" s="18" t="str">
        <f>VLOOKUP(Prepago[[#This Row],[NOM_PLAZA]],[1]!Locales[#Data],3,0)</f>
        <v>TIENDA CUENCA REMIGIO</v>
      </c>
      <c r="BR283" s="18" t="str">
        <f>VLOOKUP(Prepago[[#This Row],[CODIGO_USUARIO]],[1]!Personal[#Data],6,0)</f>
        <v>RODRIGUEZ QUITO JESSICA GABRIELA</v>
      </c>
      <c r="BS283" s="18">
        <f>DAY(Prepago[[#This Row],[FECHA_ALTA]])</f>
        <v>13</v>
      </c>
    </row>
    <row r="284" spans="1:71" x14ac:dyDescent="0.25">
      <c r="A284" s="18" t="s">
        <v>96</v>
      </c>
      <c r="B284" s="18" t="s">
        <v>13087</v>
      </c>
      <c r="C284" s="18" t="s">
        <v>13088</v>
      </c>
      <c r="D284" s="18" t="s">
        <v>13089</v>
      </c>
      <c r="E284" s="22">
        <v>44914</v>
      </c>
      <c r="F284" s="18" t="s">
        <v>67</v>
      </c>
      <c r="G284" s="18" t="s">
        <v>13090</v>
      </c>
      <c r="H284" s="18" t="s">
        <v>13091</v>
      </c>
      <c r="I284" s="18" t="s">
        <v>70</v>
      </c>
      <c r="J284" s="18" t="s">
        <v>8102</v>
      </c>
      <c r="K284" s="18" t="s">
        <v>8103</v>
      </c>
      <c r="L284" s="18" t="s">
        <v>73</v>
      </c>
      <c r="M284" s="18" t="s">
        <v>7029</v>
      </c>
      <c r="N284" s="18" t="s">
        <v>13092</v>
      </c>
      <c r="O284" s="18" t="s">
        <v>75</v>
      </c>
      <c r="P284" s="18" t="s">
        <v>13093</v>
      </c>
      <c r="Q284" s="18" t="s">
        <v>1532</v>
      </c>
      <c r="R284" s="18" t="s">
        <v>78</v>
      </c>
      <c r="S284" s="18" t="s">
        <v>77</v>
      </c>
      <c r="T284" s="22">
        <v>44915</v>
      </c>
      <c r="U284" s="18"/>
      <c r="V284" s="18" t="s">
        <v>81</v>
      </c>
      <c r="W284" s="18" t="s">
        <v>79</v>
      </c>
      <c r="X284" s="18" t="s">
        <v>10803</v>
      </c>
      <c r="Y284" s="18" t="s">
        <v>420</v>
      </c>
      <c r="Z284" s="18" t="s">
        <v>421</v>
      </c>
      <c r="AA284" s="18" t="s">
        <v>7062</v>
      </c>
      <c r="AB284" s="18" t="s">
        <v>95</v>
      </c>
      <c r="AC284" s="18" t="s">
        <v>7984</v>
      </c>
      <c r="AD284" s="18" t="s">
        <v>10804</v>
      </c>
      <c r="AE284" s="18" t="s">
        <v>148</v>
      </c>
      <c r="AF284" s="18" t="s">
        <v>95</v>
      </c>
      <c r="AG284" s="18" t="s">
        <v>83</v>
      </c>
      <c r="AH284" s="18" t="s">
        <v>83</v>
      </c>
      <c r="AI284" s="18" t="s">
        <v>81</v>
      </c>
      <c r="AJ284" s="18" t="s">
        <v>118</v>
      </c>
      <c r="AK284" s="18" t="s">
        <v>95</v>
      </c>
      <c r="AL284" s="18" t="s">
        <v>12905</v>
      </c>
      <c r="AM284" s="18" t="s">
        <v>85</v>
      </c>
      <c r="AN284" s="18" t="s">
        <v>7031</v>
      </c>
      <c r="AO284" s="18" t="s">
        <v>86</v>
      </c>
      <c r="AP284" s="18" t="s">
        <v>90</v>
      </c>
      <c r="AQ284" s="18" t="s">
        <v>8141</v>
      </c>
      <c r="AR284" s="18" t="s">
        <v>151</v>
      </c>
      <c r="AS284" s="18" t="s">
        <v>92</v>
      </c>
      <c r="AT284" s="18" t="s">
        <v>95</v>
      </c>
      <c r="AU284" s="18" t="s">
        <v>95</v>
      </c>
      <c r="AV284" s="18" t="s">
        <v>7029</v>
      </c>
      <c r="AW284" s="18" t="s">
        <v>95</v>
      </c>
      <c r="AX284" s="18" t="s">
        <v>10806</v>
      </c>
      <c r="AY284" s="18" t="s">
        <v>95</v>
      </c>
      <c r="AZ284" s="18" t="s">
        <v>95</v>
      </c>
      <c r="BA284" s="18" t="s">
        <v>95</v>
      </c>
      <c r="BB284" s="18" t="s">
        <v>95</v>
      </c>
      <c r="BC284" s="18" t="s">
        <v>95</v>
      </c>
      <c r="BD284" s="18" t="s">
        <v>10829</v>
      </c>
      <c r="BE284" s="18" t="s">
        <v>13094</v>
      </c>
      <c r="BF284" s="18" t="s">
        <v>10809</v>
      </c>
      <c r="BG284" s="18" t="s">
        <v>7030</v>
      </c>
      <c r="BH284" s="18"/>
      <c r="BI284" s="18"/>
      <c r="BJ284" s="18" t="s">
        <v>420</v>
      </c>
      <c r="BK284" s="18" t="s">
        <v>13095</v>
      </c>
      <c r="BL284" s="18" t="s">
        <v>10811</v>
      </c>
      <c r="BM284" s="18" t="s">
        <v>92</v>
      </c>
      <c r="BN284" s="18" t="s">
        <v>85</v>
      </c>
      <c r="BO284" s="18">
        <v>0</v>
      </c>
      <c r="BP284" s="18" t="s">
        <v>10812</v>
      </c>
      <c r="BQ284" s="18" t="str">
        <f>VLOOKUP(Prepago[[#This Row],[NOM_PLAZA]],[1]!Locales[#Data],3,0)</f>
        <v>TIENDA CUENCA REMIGIO</v>
      </c>
      <c r="BR284" s="18" t="str">
        <f>VLOOKUP(Prepago[[#This Row],[CODIGO_USUARIO]],[1]!Personal[#Data],6,0)</f>
        <v>YEPEZ PALOMEQUE DIANA PATRICIA</v>
      </c>
      <c r="BS284" s="18">
        <f>DAY(Prepago[[#This Row],[FECHA_ALTA]])</f>
        <v>19</v>
      </c>
    </row>
    <row r="285" spans="1:71" x14ac:dyDescent="0.25">
      <c r="A285" s="18" t="s">
        <v>96</v>
      </c>
      <c r="B285" s="18" t="s">
        <v>13096</v>
      </c>
      <c r="C285" s="18" t="s">
        <v>13097</v>
      </c>
      <c r="D285" s="18" t="s">
        <v>13098</v>
      </c>
      <c r="E285" s="22">
        <v>44911</v>
      </c>
      <c r="F285" s="18" t="s">
        <v>67</v>
      </c>
      <c r="G285" s="18" t="s">
        <v>1069</v>
      </c>
      <c r="H285" s="18" t="s">
        <v>1070</v>
      </c>
      <c r="I285" s="18" t="s">
        <v>70</v>
      </c>
      <c r="J285" s="18" t="s">
        <v>8102</v>
      </c>
      <c r="K285" s="18" t="s">
        <v>8103</v>
      </c>
      <c r="L285" s="18" t="s">
        <v>132</v>
      </c>
      <c r="M285" s="18" t="s">
        <v>7029</v>
      </c>
      <c r="N285" s="18" t="s">
        <v>13099</v>
      </c>
      <c r="O285" s="18" t="s">
        <v>75</v>
      </c>
      <c r="P285" s="18" t="s">
        <v>13100</v>
      </c>
      <c r="Q285" s="18" t="s">
        <v>10817</v>
      </c>
      <c r="R285" s="18" t="s">
        <v>78</v>
      </c>
      <c r="S285" s="18" t="s">
        <v>77</v>
      </c>
      <c r="T285" s="22">
        <v>44915</v>
      </c>
      <c r="U285" s="18"/>
      <c r="V285" s="18" t="s">
        <v>81</v>
      </c>
      <c r="W285" s="18" t="s">
        <v>79</v>
      </c>
      <c r="X285" s="18" t="s">
        <v>10803</v>
      </c>
      <c r="Y285" s="18" t="s">
        <v>610</v>
      </c>
      <c r="Z285" s="18" t="s">
        <v>611</v>
      </c>
      <c r="AA285" s="18" t="s">
        <v>7062</v>
      </c>
      <c r="AB285" s="18" t="s">
        <v>95</v>
      </c>
      <c r="AC285" s="18" t="s">
        <v>7984</v>
      </c>
      <c r="AD285" s="18" t="s">
        <v>10804</v>
      </c>
      <c r="AE285" s="18" t="s">
        <v>148</v>
      </c>
      <c r="AF285" s="18" t="s">
        <v>95</v>
      </c>
      <c r="AG285" s="18" t="s">
        <v>83</v>
      </c>
      <c r="AH285" s="18" t="s">
        <v>83</v>
      </c>
      <c r="AI285" s="18" t="s">
        <v>81</v>
      </c>
      <c r="AJ285" s="18" t="s">
        <v>118</v>
      </c>
      <c r="AK285" s="18" t="s">
        <v>95</v>
      </c>
      <c r="AL285" s="18" t="s">
        <v>12895</v>
      </c>
      <c r="AM285" s="18" t="s">
        <v>85</v>
      </c>
      <c r="AN285" s="18" t="s">
        <v>7031</v>
      </c>
      <c r="AO285" s="18" t="s">
        <v>86</v>
      </c>
      <c r="AP285" s="18" t="s">
        <v>90</v>
      </c>
      <c r="AQ285" s="18" t="s">
        <v>8141</v>
      </c>
      <c r="AR285" s="18" t="s">
        <v>151</v>
      </c>
      <c r="AS285" s="18" t="s">
        <v>92</v>
      </c>
      <c r="AT285" s="18" t="s">
        <v>95</v>
      </c>
      <c r="AU285" s="18" t="s">
        <v>95</v>
      </c>
      <c r="AV285" s="18" t="s">
        <v>7029</v>
      </c>
      <c r="AW285" s="18" t="s">
        <v>95</v>
      </c>
      <c r="AX285" s="18" t="s">
        <v>10806</v>
      </c>
      <c r="AY285" s="18" t="s">
        <v>95</v>
      </c>
      <c r="AZ285" s="18" t="s">
        <v>95</v>
      </c>
      <c r="BA285" s="18" t="s">
        <v>95</v>
      </c>
      <c r="BB285" s="18" t="s">
        <v>95</v>
      </c>
      <c r="BC285" s="18" t="s">
        <v>95</v>
      </c>
      <c r="BD285" s="18" t="s">
        <v>10807</v>
      </c>
      <c r="BE285" s="18" t="s">
        <v>13101</v>
      </c>
      <c r="BF285" s="18" t="s">
        <v>10809</v>
      </c>
      <c r="BG285" s="18" t="s">
        <v>7030</v>
      </c>
      <c r="BH285" s="18"/>
      <c r="BI285" s="18"/>
      <c r="BJ285" s="18" t="s">
        <v>610</v>
      </c>
      <c r="BK285" s="18" t="s">
        <v>13102</v>
      </c>
      <c r="BL285" s="18" t="s">
        <v>10811</v>
      </c>
      <c r="BM285" s="18" t="s">
        <v>92</v>
      </c>
      <c r="BN285" s="18" t="s">
        <v>85</v>
      </c>
      <c r="BO285" s="18">
        <v>0</v>
      </c>
      <c r="BP285" s="18" t="s">
        <v>10812</v>
      </c>
      <c r="BQ285" s="18" t="str">
        <f>VLOOKUP(Prepago[[#This Row],[NOM_PLAZA]],[1]!Locales[#Data],3,0)</f>
        <v>TIENDA CUENCA REMIGIO</v>
      </c>
      <c r="BR285" s="18" t="str">
        <f>VLOOKUP(Prepago[[#This Row],[CODIGO_USUARIO]],[1]!Personal[#Data],6,0)</f>
        <v>PATIÑO TAPIA ANDRES SANTIAGO</v>
      </c>
      <c r="BS285" s="18">
        <f>DAY(Prepago[[#This Row],[FECHA_ALTA]])</f>
        <v>16</v>
      </c>
    </row>
    <row r="286" spans="1:71" x14ac:dyDescent="0.25">
      <c r="A286" s="18" t="s">
        <v>96</v>
      </c>
      <c r="B286" s="18" t="s">
        <v>13103</v>
      </c>
      <c r="C286" s="18" t="s">
        <v>13104</v>
      </c>
      <c r="D286" s="18" t="s">
        <v>13105</v>
      </c>
      <c r="E286" s="22">
        <v>44912</v>
      </c>
      <c r="F286" s="18" t="s">
        <v>67</v>
      </c>
      <c r="G286" s="18" t="s">
        <v>13106</v>
      </c>
      <c r="H286" s="18" t="s">
        <v>13107</v>
      </c>
      <c r="I286" s="18" t="s">
        <v>70</v>
      </c>
      <c r="J286" s="18" t="s">
        <v>8102</v>
      </c>
      <c r="K286" s="18" t="s">
        <v>8103</v>
      </c>
      <c r="L286" s="18" t="s">
        <v>73</v>
      </c>
      <c r="M286" s="18" t="s">
        <v>7029</v>
      </c>
      <c r="N286" s="18" t="s">
        <v>13108</v>
      </c>
      <c r="O286" s="18" t="s">
        <v>75</v>
      </c>
      <c r="P286" s="18" t="s">
        <v>13109</v>
      </c>
      <c r="Q286" s="18" t="s">
        <v>10817</v>
      </c>
      <c r="R286" s="18" t="s">
        <v>78</v>
      </c>
      <c r="S286" s="18" t="s">
        <v>77</v>
      </c>
      <c r="T286" s="22">
        <v>44915</v>
      </c>
      <c r="U286" s="18"/>
      <c r="V286" s="18" t="s">
        <v>81</v>
      </c>
      <c r="W286" s="18" t="s">
        <v>79</v>
      </c>
      <c r="X286" s="18" t="s">
        <v>10803</v>
      </c>
      <c r="Y286" s="18" t="s">
        <v>149</v>
      </c>
      <c r="Z286" s="18" t="s">
        <v>150</v>
      </c>
      <c r="AA286" s="18" t="s">
        <v>12930</v>
      </c>
      <c r="AB286" s="18" t="s">
        <v>12931</v>
      </c>
      <c r="AC286" s="18" t="s">
        <v>7984</v>
      </c>
      <c r="AD286" s="18" t="s">
        <v>10804</v>
      </c>
      <c r="AE286" s="18" t="s">
        <v>148</v>
      </c>
      <c r="AF286" s="18" t="s">
        <v>95</v>
      </c>
      <c r="AG286" s="18" t="s">
        <v>83</v>
      </c>
      <c r="AH286" s="18" t="s">
        <v>83</v>
      </c>
      <c r="AI286" s="18" t="s">
        <v>81</v>
      </c>
      <c r="AJ286" s="18" t="s">
        <v>118</v>
      </c>
      <c r="AK286" s="18" t="s">
        <v>95</v>
      </c>
      <c r="AL286" s="18" t="s">
        <v>12920</v>
      </c>
      <c r="AM286" s="18" t="s">
        <v>85</v>
      </c>
      <c r="AN286" s="18" t="s">
        <v>7031</v>
      </c>
      <c r="AO286" s="18" t="s">
        <v>86</v>
      </c>
      <c r="AP286" s="18" t="s">
        <v>90</v>
      </c>
      <c r="AQ286" s="18" t="s">
        <v>8141</v>
      </c>
      <c r="AR286" s="18" t="s">
        <v>151</v>
      </c>
      <c r="AS286" s="18" t="s">
        <v>92</v>
      </c>
      <c r="AT286" s="18" t="s">
        <v>95</v>
      </c>
      <c r="AU286" s="18" t="s">
        <v>95</v>
      </c>
      <c r="AV286" s="18" t="s">
        <v>7029</v>
      </c>
      <c r="AW286" s="18" t="s">
        <v>95</v>
      </c>
      <c r="AX286" s="18" t="s">
        <v>10806</v>
      </c>
      <c r="AY286" s="18" t="s">
        <v>95</v>
      </c>
      <c r="AZ286" s="18" t="s">
        <v>95</v>
      </c>
      <c r="BA286" s="18" t="s">
        <v>95</v>
      </c>
      <c r="BB286" s="18" t="s">
        <v>95</v>
      </c>
      <c r="BC286" s="18" t="s">
        <v>95</v>
      </c>
      <c r="BD286" s="18" t="s">
        <v>10829</v>
      </c>
      <c r="BE286" s="18" t="s">
        <v>13110</v>
      </c>
      <c r="BF286" s="18" t="s">
        <v>10809</v>
      </c>
      <c r="BG286" s="18" t="s">
        <v>7030</v>
      </c>
      <c r="BH286" s="18"/>
      <c r="BI286" s="18"/>
      <c r="BJ286" s="18" t="s">
        <v>149</v>
      </c>
      <c r="BK286" s="18" t="s">
        <v>13111</v>
      </c>
      <c r="BL286" s="18" t="s">
        <v>10811</v>
      </c>
      <c r="BM286" s="18" t="s">
        <v>92</v>
      </c>
      <c r="BN286" s="18" t="s">
        <v>85</v>
      </c>
      <c r="BO286" s="18">
        <v>0</v>
      </c>
      <c r="BP286" s="18" t="s">
        <v>10812</v>
      </c>
      <c r="BQ286" s="18" t="str">
        <f>VLOOKUP(Prepago[[#This Row],[NOM_PLAZA]],[1]!Locales[#Data],3,0)</f>
        <v>TIENDA CUENCA REMIGIO</v>
      </c>
      <c r="BR286" s="18" t="str">
        <f>VLOOKUP(Prepago[[#This Row],[CODIGO_USUARIO]],[1]!Personal[#Data],6,0)</f>
        <v>OSORIO TEJADA ANA ESTEFANIA</v>
      </c>
      <c r="BS286" s="18">
        <f>DAY(Prepago[[#This Row],[FECHA_ALTA]])</f>
        <v>17</v>
      </c>
    </row>
    <row r="287" spans="1:71" x14ac:dyDescent="0.25">
      <c r="A287" s="18" t="s">
        <v>96</v>
      </c>
      <c r="B287" s="18" t="s">
        <v>13112</v>
      </c>
      <c r="C287" s="18" t="s">
        <v>13113</v>
      </c>
      <c r="D287" s="18" t="s">
        <v>13114</v>
      </c>
      <c r="E287" s="22">
        <v>44904</v>
      </c>
      <c r="F287" s="18" t="s">
        <v>67</v>
      </c>
      <c r="G287" s="18" t="s">
        <v>13115</v>
      </c>
      <c r="H287" s="18" t="s">
        <v>13116</v>
      </c>
      <c r="I287" s="18" t="s">
        <v>70</v>
      </c>
      <c r="J287" s="18" t="s">
        <v>8102</v>
      </c>
      <c r="K287" s="18" t="s">
        <v>8103</v>
      </c>
      <c r="L287" s="18" t="s">
        <v>132</v>
      </c>
      <c r="M287" s="18" t="s">
        <v>7029</v>
      </c>
      <c r="N287" s="18" t="s">
        <v>13117</v>
      </c>
      <c r="O287" s="18" t="s">
        <v>75</v>
      </c>
      <c r="P287" s="18" t="s">
        <v>13118</v>
      </c>
      <c r="Q287" s="18" t="s">
        <v>10817</v>
      </c>
      <c r="R287" s="18" t="s">
        <v>78</v>
      </c>
      <c r="S287" s="18" t="s">
        <v>77</v>
      </c>
      <c r="T287" s="22">
        <v>44915</v>
      </c>
      <c r="U287" s="18"/>
      <c r="V287" s="18" t="s">
        <v>81</v>
      </c>
      <c r="W287" s="18" t="s">
        <v>79</v>
      </c>
      <c r="X287" s="18" t="s">
        <v>10803</v>
      </c>
      <c r="Y287" s="18" t="s">
        <v>420</v>
      </c>
      <c r="Z287" s="18" t="s">
        <v>421</v>
      </c>
      <c r="AA287" s="18" t="s">
        <v>7062</v>
      </c>
      <c r="AB287" s="18" t="s">
        <v>95</v>
      </c>
      <c r="AC287" s="18" t="s">
        <v>7984</v>
      </c>
      <c r="AD287" s="18" t="s">
        <v>10804</v>
      </c>
      <c r="AE287" s="18" t="s">
        <v>148</v>
      </c>
      <c r="AF287" s="18" t="s">
        <v>95</v>
      </c>
      <c r="AG287" s="18" t="s">
        <v>81</v>
      </c>
      <c r="AH287" s="18" t="s">
        <v>83</v>
      </c>
      <c r="AI287" s="18" t="s">
        <v>81</v>
      </c>
      <c r="AJ287" s="18" t="s">
        <v>118</v>
      </c>
      <c r="AK287" s="18" t="s">
        <v>95</v>
      </c>
      <c r="AL287" s="18" t="s">
        <v>12905</v>
      </c>
      <c r="AM287" s="18" t="s">
        <v>85</v>
      </c>
      <c r="AN287" s="18" t="s">
        <v>7031</v>
      </c>
      <c r="AO287" s="18" t="s">
        <v>86</v>
      </c>
      <c r="AP287" s="18" t="s">
        <v>90</v>
      </c>
      <c r="AQ287" s="18" t="s">
        <v>8141</v>
      </c>
      <c r="AR287" s="18" t="s">
        <v>151</v>
      </c>
      <c r="AS287" s="18" t="s">
        <v>92</v>
      </c>
      <c r="AT287" s="18" t="s">
        <v>95</v>
      </c>
      <c r="AU287" s="18" t="s">
        <v>95</v>
      </c>
      <c r="AV287" s="18" t="s">
        <v>7029</v>
      </c>
      <c r="AW287" s="18" t="s">
        <v>95</v>
      </c>
      <c r="AX287" s="18" t="s">
        <v>10806</v>
      </c>
      <c r="AY287" s="18" t="s">
        <v>82</v>
      </c>
      <c r="AZ287" s="18" t="s">
        <v>95</v>
      </c>
      <c r="BA287" s="18" t="s">
        <v>95</v>
      </c>
      <c r="BB287" s="18" t="s">
        <v>95</v>
      </c>
      <c r="BC287" s="18" t="s">
        <v>95</v>
      </c>
      <c r="BD287" s="18" t="s">
        <v>10829</v>
      </c>
      <c r="BE287" s="18" t="s">
        <v>13119</v>
      </c>
      <c r="BF287" s="18" t="s">
        <v>10809</v>
      </c>
      <c r="BG287" s="18" t="s">
        <v>7030</v>
      </c>
      <c r="BH287" s="18"/>
      <c r="BI287" s="18"/>
      <c r="BJ287" s="18" t="s">
        <v>420</v>
      </c>
      <c r="BK287" s="18" t="s">
        <v>13120</v>
      </c>
      <c r="BL287" s="18" t="s">
        <v>10811</v>
      </c>
      <c r="BM287" s="18" t="s">
        <v>92</v>
      </c>
      <c r="BN287" s="18" t="s">
        <v>85</v>
      </c>
      <c r="BO287" s="18">
        <v>1</v>
      </c>
      <c r="BP287" s="18" t="s">
        <v>10812</v>
      </c>
      <c r="BQ287" s="18" t="str">
        <f>VLOOKUP(Prepago[[#This Row],[NOM_PLAZA]],[1]!Locales[#Data],3,0)</f>
        <v>TIENDA CUENCA REMIGIO</v>
      </c>
      <c r="BR287" s="18" t="str">
        <f>VLOOKUP(Prepago[[#This Row],[CODIGO_USUARIO]],[1]!Personal[#Data],6,0)</f>
        <v>YEPEZ PALOMEQUE DIANA PATRICIA</v>
      </c>
      <c r="BS287" s="18">
        <f>DAY(Prepago[[#This Row],[FECHA_ALTA]])</f>
        <v>9</v>
      </c>
    </row>
    <row r="288" spans="1:71" x14ac:dyDescent="0.25">
      <c r="A288" s="18" t="s">
        <v>96</v>
      </c>
      <c r="B288" s="18" t="s">
        <v>13121</v>
      </c>
      <c r="C288" s="18" t="s">
        <v>13122</v>
      </c>
      <c r="D288" s="18" t="s">
        <v>13123</v>
      </c>
      <c r="E288" s="22">
        <v>44907</v>
      </c>
      <c r="F288" s="18" t="s">
        <v>67</v>
      </c>
      <c r="G288" s="18" t="s">
        <v>13124</v>
      </c>
      <c r="H288" s="18" t="s">
        <v>13125</v>
      </c>
      <c r="I288" s="18" t="s">
        <v>70</v>
      </c>
      <c r="J288" s="18" t="s">
        <v>8102</v>
      </c>
      <c r="K288" s="18" t="s">
        <v>8103</v>
      </c>
      <c r="L288" s="18" t="s">
        <v>95</v>
      </c>
      <c r="M288" s="18" t="s">
        <v>7029</v>
      </c>
      <c r="N288" s="18" t="s">
        <v>13126</v>
      </c>
      <c r="O288" s="18" t="s">
        <v>75</v>
      </c>
      <c r="P288" s="18" t="s">
        <v>13127</v>
      </c>
      <c r="Q288" s="18" t="s">
        <v>4453</v>
      </c>
      <c r="R288" s="18" t="s">
        <v>78</v>
      </c>
      <c r="S288" s="18" t="s">
        <v>77</v>
      </c>
      <c r="T288" s="22">
        <v>44915</v>
      </c>
      <c r="U288" s="18"/>
      <c r="V288" s="18" t="s">
        <v>81</v>
      </c>
      <c r="W288" s="18" t="s">
        <v>79</v>
      </c>
      <c r="X288" s="18" t="s">
        <v>10803</v>
      </c>
      <c r="Y288" s="18" t="s">
        <v>420</v>
      </c>
      <c r="Z288" s="18" t="s">
        <v>421</v>
      </c>
      <c r="AA288" s="18" t="s">
        <v>7062</v>
      </c>
      <c r="AB288" s="18" t="s">
        <v>95</v>
      </c>
      <c r="AC288" s="18" t="s">
        <v>7984</v>
      </c>
      <c r="AD288" s="18" t="s">
        <v>10804</v>
      </c>
      <c r="AE288" s="18" t="s">
        <v>148</v>
      </c>
      <c r="AF288" s="18" t="s">
        <v>95</v>
      </c>
      <c r="AG288" s="18" t="s">
        <v>81</v>
      </c>
      <c r="AH288" s="18" t="s">
        <v>83</v>
      </c>
      <c r="AI288" s="18" t="s">
        <v>81</v>
      </c>
      <c r="AJ288" s="18" t="s">
        <v>118</v>
      </c>
      <c r="AK288" s="18" t="s">
        <v>95</v>
      </c>
      <c r="AL288" s="18" t="s">
        <v>12905</v>
      </c>
      <c r="AM288" s="18" t="s">
        <v>85</v>
      </c>
      <c r="AN288" s="18" t="s">
        <v>7031</v>
      </c>
      <c r="AO288" s="18" t="s">
        <v>86</v>
      </c>
      <c r="AP288" s="18" t="s">
        <v>90</v>
      </c>
      <c r="AQ288" s="18" t="s">
        <v>8141</v>
      </c>
      <c r="AR288" s="18" t="s">
        <v>151</v>
      </c>
      <c r="AS288" s="18" t="s">
        <v>92</v>
      </c>
      <c r="AT288" s="18" t="s">
        <v>95</v>
      </c>
      <c r="AU288" s="18" t="s">
        <v>95</v>
      </c>
      <c r="AV288" s="18" t="s">
        <v>7029</v>
      </c>
      <c r="AW288" s="18" t="s">
        <v>95</v>
      </c>
      <c r="AX288" s="18" t="s">
        <v>10806</v>
      </c>
      <c r="AY288" s="18" t="s">
        <v>82</v>
      </c>
      <c r="AZ288" s="18" t="s">
        <v>95</v>
      </c>
      <c r="BA288" s="18" t="s">
        <v>95</v>
      </c>
      <c r="BB288" s="18" t="s">
        <v>95</v>
      </c>
      <c r="BC288" s="18" t="s">
        <v>95</v>
      </c>
      <c r="BD288" s="18" t="s">
        <v>10807</v>
      </c>
      <c r="BE288" s="18" t="s">
        <v>13128</v>
      </c>
      <c r="BF288" s="18" t="s">
        <v>10809</v>
      </c>
      <c r="BG288" s="18" t="s">
        <v>7030</v>
      </c>
      <c r="BH288" s="18"/>
      <c r="BI288" s="18"/>
      <c r="BJ288" s="18" t="s">
        <v>420</v>
      </c>
      <c r="BK288" s="18" t="s">
        <v>13129</v>
      </c>
      <c r="BL288" s="18" t="s">
        <v>10811</v>
      </c>
      <c r="BM288" s="18" t="s">
        <v>92</v>
      </c>
      <c r="BN288" s="18" t="s">
        <v>85</v>
      </c>
      <c r="BO288" s="18">
        <v>1</v>
      </c>
      <c r="BP288" s="18" t="s">
        <v>10812</v>
      </c>
      <c r="BQ288" s="18" t="str">
        <f>VLOOKUP(Prepago[[#This Row],[NOM_PLAZA]],[1]!Locales[#Data],3,0)</f>
        <v>TIENDA CUENCA REMIGIO</v>
      </c>
      <c r="BR288" s="18" t="str">
        <f>VLOOKUP(Prepago[[#This Row],[CODIGO_USUARIO]],[1]!Personal[#Data],6,0)</f>
        <v>YEPEZ PALOMEQUE DIANA PATRICIA</v>
      </c>
      <c r="BS288" s="18">
        <f>DAY(Prepago[[#This Row],[FECHA_ALTA]])</f>
        <v>12</v>
      </c>
    </row>
    <row r="289" spans="1:71" x14ac:dyDescent="0.25">
      <c r="A289" s="18" t="s">
        <v>96</v>
      </c>
      <c r="B289" s="18" t="s">
        <v>13130</v>
      </c>
      <c r="C289" s="18" t="s">
        <v>13131</v>
      </c>
      <c r="D289" s="18" t="s">
        <v>13132</v>
      </c>
      <c r="E289" s="22">
        <v>44896</v>
      </c>
      <c r="F289" s="18" t="s">
        <v>67</v>
      </c>
      <c r="G289" s="18" t="s">
        <v>13133</v>
      </c>
      <c r="H289" s="18" t="s">
        <v>13134</v>
      </c>
      <c r="I289" s="18" t="s">
        <v>70</v>
      </c>
      <c r="J289" s="18" t="s">
        <v>8102</v>
      </c>
      <c r="K289" s="18" t="s">
        <v>8103</v>
      </c>
      <c r="L289" s="18" t="s">
        <v>259</v>
      </c>
      <c r="M289" s="18" t="s">
        <v>7029</v>
      </c>
      <c r="N289" s="18" t="s">
        <v>13135</v>
      </c>
      <c r="O289" s="18" t="s">
        <v>75</v>
      </c>
      <c r="P289" s="18" t="s">
        <v>13136</v>
      </c>
      <c r="Q289" s="18" t="s">
        <v>4453</v>
      </c>
      <c r="R289" s="18" t="s">
        <v>78</v>
      </c>
      <c r="S289" s="18" t="s">
        <v>77</v>
      </c>
      <c r="T289" s="22">
        <v>44915</v>
      </c>
      <c r="U289" s="18"/>
      <c r="V289" s="18" t="s">
        <v>81</v>
      </c>
      <c r="W289" s="18" t="s">
        <v>79</v>
      </c>
      <c r="X289" s="18" t="s">
        <v>10803</v>
      </c>
      <c r="Y289" s="18" t="s">
        <v>318</v>
      </c>
      <c r="Z289" s="18" t="s">
        <v>319</v>
      </c>
      <c r="AA289" s="18" t="s">
        <v>7062</v>
      </c>
      <c r="AB289" s="18" t="s">
        <v>95</v>
      </c>
      <c r="AC289" s="18" t="s">
        <v>7984</v>
      </c>
      <c r="AD289" s="18" t="s">
        <v>10804</v>
      </c>
      <c r="AE289" s="18" t="s">
        <v>148</v>
      </c>
      <c r="AF289" s="18" t="s">
        <v>95</v>
      </c>
      <c r="AG289" s="18" t="s">
        <v>83</v>
      </c>
      <c r="AH289" s="18" t="s">
        <v>83</v>
      </c>
      <c r="AI289" s="18" t="s">
        <v>81</v>
      </c>
      <c r="AJ289" s="18" t="s">
        <v>118</v>
      </c>
      <c r="AK289" s="18" t="s">
        <v>95</v>
      </c>
      <c r="AL289" s="18" t="s">
        <v>10743</v>
      </c>
      <c r="AM289" s="18" t="s">
        <v>85</v>
      </c>
      <c r="AN289" s="18" t="s">
        <v>7031</v>
      </c>
      <c r="AO289" s="18" t="s">
        <v>86</v>
      </c>
      <c r="AP289" s="18" t="s">
        <v>90</v>
      </c>
      <c r="AQ289" s="18" t="s">
        <v>8141</v>
      </c>
      <c r="AR289" s="18" t="s">
        <v>151</v>
      </c>
      <c r="AS289" s="18" t="s">
        <v>92</v>
      </c>
      <c r="AT289" s="18" t="s">
        <v>95</v>
      </c>
      <c r="AU289" s="18" t="s">
        <v>95</v>
      </c>
      <c r="AV289" s="18" t="s">
        <v>7029</v>
      </c>
      <c r="AW289" s="18" t="s">
        <v>95</v>
      </c>
      <c r="AX289" s="18" t="s">
        <v>10806</v>
      </c>
      <c r="AY289" s="18" t="s">
        <v>95</v>
      </c>
      <c r="AZ289" s="18" t="s">
        <v>95</v>
      </c>
      <c r="BA289" s="18" t="s">
        <v>95</v>
      </c>
      <c r="BB289" s="18" t="s">
        <v>95</v>
      </c>
      <c r="BC289" s="18" t="s">
        <v>95</v>
      </c>
      <c r="BD289" s="18" t="s">
        <v>10829</v>
      </c>
      <c r="BE289" s="18" t="s">
        <v>13137</v>
      </c>
      <c r="BF289" s="18" t="s">
        <v>7029</v>
      </c>
      <c r="BG289" s="18" t="s">
        <v>7030</v>
      </c>
      <c r="BH289" s="18"/>
      <c r="BI289" s="18"/>
      <c r="BJ289" s="18" t="s">
        <v>318</v>
      </c>
      <c r="BK289" s="18" t="s">
        <v>13138</v>
      </c>
      <c r="BL289" s="18" t="s">
        <v>10811</v>
      </c>
      <c r="BM289" s="18" t="s">
        <v>92</v>
      </c>
      <c r="BN289" s="18" t="s">
        <v>85</v>
      </c>
      <c r="BO289" s="18">
        <v>0</v>
      </c>
      <c r="BP289" s="18" t="s">
        <v>10812</v>
      </c>
      <c r="BQ289" s="18" t="str">
        <f>VLOOKUP(Prepago[[#This Row],[NOM_PLAZA]],[1]!Locales[#Data],3,0)</f>
        <v>TIENDA CUENCA REMIGIO</v>
      </c>
      <c r="BR289" s="18" t="str">
        <f>VLOOKUP(Prepago[[#This Row],[CODIGO_USUARIO]],[1]!Personal[#Data],6,0)</f>
        <v>RODRIGUEZ QUITO JESSICA GABRIELA</v>
      </c>
      <c r="BS289" s="18">
        <f>DAY(Prepago[[#This Row],[FECHA_ALTA]])</f>
        <v>1</v>
      </c>
    </row>
    <row r="290" spans="1:71" x14ac:dyDescent="0.25">
      <c r="A290" s="18" t="s">
        <v>96</v>
      </c>
      <c r="B290" s="18" t="s">
        <v>13139</v>
      </c>
      <c r="C290" s="18" t="s">
        <v>13140</v>
      </c>
      <c r="D290" s="18" t="s">
        <v>12987</v>
      </c>
      <c r="E290" s="22">
        <v>44912</v>
      </c>
      <c r="F290" s="18" t="s">
        <v>67</v>
      </c>
      <c r="G290" s="18" t="s">
        <v>12988</v>
      </c>
      <c r="H290" s="18" t="s">
        <v>12989</v>
      </c>
      <c r="I290" s="18" t="s">
        <v>70</v>
      </c>
      <c r="J290" s="18" t="s">
        <v>8102</v>
      </c>
      <c r="K290" s="18" t="s">
        <v>8103</v>
      </c>
      <c r="L290" s="18" t="s">
        <v>73</v>
      </c>
      <c r="M290" s="18" t="s">
        <v>7029</v>
      </c>
      <c r="N290" s="18" t="s">
        <v>13141</v>
      </c>
      <c r="O290" s="18" t="s">
        <v>75</v>
      </c>
      <c r="P290" s="18" t="s">
        <v>13142</v>
      </c>
      <c r="Q290" s="18" t="s">
        <v>4453</v>
      </c>
      <c r="R290" s="18" t="s">
        <v>78</v>
      </c>
      <c r="S290" s="18" t="s">
        <v>77</v>
      </c>
      <c r="T290" s="22">
        <v>44915</v>
      </c>
      <c r="U290" s="18"/>
      <c r="V290" s="18" t="s">
        <v>81</v>
      </c>
      <c r="W290" s="18" t="s">
        <v>79</v>
      </c>
      <c r="X290" s="18" t="s">
        <v>10803</v>
      </c>
      <c r="Y290" s="18" t="s">
        <v>149</v>
      </c>
      <c r="Z290" s="18" t="s">
        <v>150</v>
      </c>
      <c r="AA290" s="18" t="s">
        <v>149</v>
      </c>
      <c r="AB290" s="18" t="s">
        <v>150</v>
      </c>
      <c r="AC290" s="18" t="s">
        <v>7984</v>
      </c>
      <c r="AD290" s="18" t="s">
        <v>10804</v>
      </c>
      <c r="AE290" s="18" t="s">
        <v>148</v>
      </c>
      <c r="AF290" s="18" t="s">
        <v>95</v>
      </c>
      <c r="AG290" s="18" t="s">
        <v>83</v>
      </c>
      <c r="AH290" s="18" t="s">
        <v>83</v>
      </c>
      <c r="AI290" s="18" t="s">
        <v>81</v>
      </c>
      <c r="AJ290" s="18" t="s">
        <v>118</v>
      </c>
      <c r="AK290" s="18" t="s">
        <v>95</v>
      </c>
      <c r="AL290" s="18" t="s">
        <v>12920</v>
      </c>
      <c r="AM290" s="18" t="s">
        <v>85</v>
      </c>
      <c r="AN290" s="18" t="s">
        <v>7031</v>
      </c>
      <c r="AO290" s="18" t="s">
        <v>86</v>
      </c>
      <c r="AP290" s="18" t="s">
        <v>90</v>
      </c>
      <c r="AQ290" s="18" t="s">
        <v>8141</v>
      </c>
      <c r="AR290" s="18" t="s">
        <v>151</v>
      </c>
      <c r="AS290" s="18" t="s">
        <v>92</v>
      </c>
      <c r="AT290" s="18" t="s">
        <v>95</v>
      </c>
      <c r="AU290" s="18" t="s">
        <v>95</v>
      </c>
      <c r="AV290" s="18" t="s">
        <v>7029</v>
      </c>
      <c r="AW290" s="18" t="s">
        <v>95</v>
      </c>
      <c r="AX290" s="18" t="s">
        <v>10806</v>
      </c>
      <c r="AY290" s="18" t="s">
        <v>95</v>
      </c>
      <c r="AZ290" s="18" t="s">
        <v>95</v>
      </c>
      <c r="BA290" s="18" t="s">
        <v>95</v>
      </c>
      <c r="BB290" s="18" t="s">
        <v>95</v>
      </c>
      <c r="BC290" s="18" t="s">
        <v>95</v>
      </c>
      <c r="BD290" s="18" t="s">
        <v>10829</v>
      </c>
      <c r="BE290" s="18" t="s">
        <v>12992</v>
      </c>
      <c r="BF290" s="18" t="s">
        <v>10809</v>
      </c>
      <c r="BG290" s="18" t="s">
        <v>7030</v>
      </c>
      <c r="BH290" s="18"/>
      <c r="BI290" s="18"/>
      <c r="BJ290" s="18" t="s">
        <v>149</v>
      </c>
      <c r="BK290" s="18" t="s">
        <v>12993</v>
      </c>
      <c r="BL290" s="18" t="s">
        <v>10811</v>
      </c>
      <c r="BM290" s="18" t="s">
        <v>92</v>
      </c>
      <c r="BN290" s="18" t="s">
        <v>85</v>
      </c>
      <c r="BO290" s="18">
        <v>0</v>
      </c>
      <c r="BP290" s="18" t="s">
        <v>10812</v>
      </c>
      <c r="BQ290" s="18" t="str">
        <f>VLOOKUP(Prepago[[#This Row],[NOM_PLAZA]],[1]!Locales[#Data],3,0)</f>
        <v>TIENDA CUENCA REMIGIO</v>
      </c>
      <c r="BR290" s="18" t="str">
        <f>VLOOKUP(Prepago[[#This Row],[CODIGO_USUARIO]],[1]!Personal[#Data],6,0)</f>
        <v>OSORIO TEJADA ANA ESTEFANIA</v>
      </c>
      <c r="BS290" s="18">
        <f>DAY(Prepago[[#This Row],[FECHA_ALTA]])</f>
        <v>17</v>
      </c>
    </row>
    <row r="291" spans="1:71" x14ac:dyDescent="0.25">
      <c r="A291" s="18" t="s">
        <v>96</v>
      </c>
      <c r="B291" s="18" t="s">
        <v>13143</v>
      </c>
      <c r="C291" s="18" t="s">
        <v>13144</v>
      </c>
      <c r="D291" s="18" t="s">
        <v>13145</v>
      </c>
      <c r="E291" s="22">
        <v>44896</v>
      </c>
      <c r="F291" s="18" t="s">
        <v>67</v>
      </c>
      <c r="G291" s="18" t="s">
        <v>13146</v>
      </c>
      <c r="H291" s="18" t="s">
        <v>13147</v>
      </c>
      <c r="I291" s="18" t="s">
        <v>70</v>
      </c>
      <c r="J291" s="18" t="s">
        <v>8102</v>
      </c>
      <c r="K291" s="18" t="s">
        <v>8103</v>
      </c>
      <c r="L291" s="18" t="s">
        <v>73</v>
      </c>
      <c r="M291" s="18" t="s">
        <v>7029</v>
      </c>
      <c r="N291" s="18" t="s">
        <v>13148</v>
      </c>
      <c r="O291" s="18" t="s">
        <v>75</v>
      </c>
      <c r="P291" s="18" t="s">
        <v>13149</v>
      </c>
      <c r="Q291" s="18" t="s">
        <v>10817</v>
      </c>
      <c r="R291" s="18" t="s">
        <v>78</v>
      </c>
      <c r="S291" s="18" t="s">
        <v>77</v>
      </c>
      <c r="T291" s="22">
        <v>44915</v>
      </c>
      <c r="U291" s="18"/>
      <c r="V291" s="18" t="s">
        <v>81</v>
      </c>
      <c r="W291" s="18" t="s">
        <v>79</v>
      </c>
      <c r="X291" s="18" t="s">
        <v>10803</v>
      </c>
      <c r="Y291" s="18" t="s">
        <v>385</v>
      </c>
      <c r="Z291" s="18" t="s">
        <v>386</v>
      </c>
      <c r="AA291" s="18" t="s">
        <v>7062</v>
      </c>
      <c r="AB291" s="18" t="s">
        <v>95</v>
      </c>
      <c r="AC291" s="18" t="s">
        <v>7984</v>
      </c>
      <c r="AD291" s="18" t="s">
        <v>10804</v>
      </c>
      <c r="AE291" s="18" t="s">
        <v>148</v>
      </c>
      <c r="AF291" s="18" t="s">
        <v>95</v>
      </c>
      <c r="AG291" s="18" t="s">
        <v>83</v>
      </c>
      <c r="AH291" s="18" t="s">
        <v>83</v>
      </c>
      <c r="AI291" s="18" t="s">
        <v>81</v>
      </c>
      <c r="AJ291" s="18" t="s">
        <v>118</v>
      </c>
      <c r="AK291" s="18" t="s">
        <v>95</v>
      </c>
      <c r="AL291" s="18" t="s">
        <v>12915</v>
      </c>
      <c r="AM291" s="18" t="s">
        <v>85</v>
      </c>
      <c r="AN291" s="18" t="s">
        <v>7031</v>
      </c>
      <c r="AO291" s="18" t="s">
        <v>86</v>
      </c>
      <c r="AP291" s="18" t="s">
        <v>90</v>
      </c>
      <c r="AQ291" s="18" t="s">
        <v>8141</v>
      </c>
      <c r="AR291" s="18" t="s">
        <v>151</v>
      </c>
      <c r="AS291" s="18" t="s">
        <v>92</v>
      </c>
      <c r="AT291" s="18" t="s">
        <v>95</v>
      </c>
      <c r="AU291" s="18" t="s">
        <v>95</v>
      </c>
      <c r="AV291" s="18" t="s">
        <v>7029</v>
      </c>
      <c r="AW291" s="18" t="s">
        <v>95</v>
      </c>
      <c r="AX291" s="18" t="s">
        <v>10806</v>
      </c>
      <c r="AY291" s="18" t="s">
        <v>95</v>
      </c>
      <c r="AZ291" s="18" t="s">
        <v>95</v>
      </c>
      <c r="BA291" s="18" t="s">
        <v>95</v>
      </c>
      <c r="BB291" s="18" t="s">
        <v>95</v>
      </c>
      <c r="BC291" s="18" t="s">
        <v>95</v>
      </c>
      <c r="BD291" s="18" t="s">
        <v>10829</v>
      </c>
      <c r="BE291" s="18" t="s">
        <v>13150</v>
      </c>
      <c r="BF291" s="18" t="s">
        <v>7029</v>
      </c>
      <c r="BG291" s="18" t="s">
        <v>7030</v>
      </c>
      <c r="BH291" s="18"/>
      <c r="BI291" s="18"/>
      <c r="BJ291" s="18" t="s">
        <v>385</v>
      </c>
      <c r="BK291" s="18" t="s">
        <v>13151</v>
      </c>
      <c r="BL291" s="18" t="s">
        <v>10811</v>
      </c>
      <c r="BM291" s="18" t="s">
        <v>92</v>
      </c>
      <c r="BN291" s="18" t="s">
        <v>85</v>
      </c>
      <c r="BO291" s="18">
        <v>1</v>
      </c>
      <c r="BP291" s="18" t="s">
        <v>10812</v>
      </c>
      <c r="BQ291" s="18" t="str">
        <f>VLOOKUP(Prepago[[#This Row],[NOM_PLAZA]],[1]!Locales[#Data],3,0)</f>
        <v>TIENDA CUENCA REMIGIO</v>
      </c>
      <c r="BR291" s="18" t="str">
        <f>VLOOKUP(Prepago[[#This Row],[CODIGO_USUARIO]],[1]!Personal[#Data],6,0)</f>
        <v>RAMIREZ RUBIO NELLY LILIANA</v>
      </c>
      <c r="BS291" s="18">
        <f>DAY(Prepago[[#This Row],[FECHA_ALTA]])</f>
        <v>1</v>
      </c>
    </row>
    <row r="292" spans="1:71" x14ac:dyDescent="0.25">
      <c r="A292" s="18" t="s">
        <v>96</v>
      </c>
      <c r="B292" s="18" t="s">
        <v>13152</v>
      </c>
      <c r="C292" s="18" t="s">
        <v>13153</v>
      </c>
      <c r="D292" s="18" t="s">
        <v>13114</v>
      </c>
      <c r="E292" s="22">
        <v>44896</v>
      </c>
      <c r="F292" s="18" t="s">
        <v>67</v>
      </c>
      <c r="G292" s="18" t="s">
        <v>13115</v>
      </c>
      <c r="H292" s="18" t="s">
        <v>13116</v>
      </c>
      <c r="I292" s="18" t="s">
        <v>70</v>
      </c>
      <c r="J292" s="18" t="s">
        <v>8102</v>
      </c>
      <c r="K292" s="18" t="s">
        <v>8103</v>
      </c>
      <c r="L292" s="18" t="s">
        <v>132</v>
      </c>
      <c r="M292" s="18" t="s">
        <v>7037</v>
      </c>
      <c r="N292" s="18" t="s">
        <v>13154</v>
      </c>
      <c r="O292" s="18" t="s">
        <v>75</v>
      </c>
      <c r="P292" s="18" t="s">
        <v>13155</v>
      </c>
      <c r="Q292" s="18" t="s">
        <v>10817</v>
      </c>
      <c r="R292" s="18" t="s">
        <v>78</v>
      </c>
      <c r="S292" s="18" t="s">
        <v>77</v>
      </c>
      <c r="T292" s="22">
        <v>44915</v>
      </c>
      <c r="U292" s="18"/>
      <c r="V292" s="18" t="s">
        <v>81</v>
      </c>
      <c r="W292" s="18" t="s">
        <v>79</v>
      </c>
      <c r="X292" s="18" t="s">
        <v>10803</v>
      </c>
      <c r="Y292" s="18" t="s">
        <v>420</v>
      </c>
      <c r="Z292" s="18" t="s">
        <v>421</v>
      </c>
      <c r="AA292" s="18" t="s">
        <v>7062</v>
      </c>
      <c r="AB292" s="18" t="s">
        <v>95</v>
      </c>
      <c r="AC292" s="18" t="s">
        <v>7984</v>
      </c>
      <c r="AD292" s="18" t="s">
        <v>10804</v>
      </c>
      <c r="AE292" s="18" t="s">
        <v>148</v>
      </c>
      <c r="AF292" s="18" t="s">
        <v>95</v>
      </c>
      <c r="AG292" s="18" t="s">
        <v>83</v>
      </c>
      <c r="AH292" s="18" t="s">
        <v>83</v>
      </c>
      <c r="AI292" s="18" t="s">
        <v>81</v>
      </c>
      <c r="AJ292" s="18" t="s">
        <v>118</v>
      </c>
      <c r="AK292" s="18" t="s">
        <v>95</v>
      </c>
      <c r="AL292" s="18" t="s">
        <v>12905</v>
      </c>
      <c r="AM292" s="18" t="s">
        <v>85</v>
      </c>
      <c r="AN292" s="18" t="s">
        <v>7031</v>
      </c>
      <c r="AO292" s="18" t="s">
        <v>86</v>
      </c>
      <c r="AP292" s="18" t="s">
        <v>90</v>
      </c>
      <c r="AQ292" s="18" t="s">
        <v>8141</v>
      </c>
      <c r="AR292" s="18" t="s">
        <v>151</v>
      </c>
      <c r="AS292" s="18" t="s">
        <v>92</v>
      </c>
      <c r="AT292" s="18" t="s">
        <v>95</v>
      </c>
      <c r="AU292" s="18" t="s">
        <v>95</v>
      </c>
      <c r="AV292" s="18" t="s">
        <v>7037</v>
      </c>
      <c r="AW292" s="18" t="s">
        <v>95</v>
      </c>
      <c r="AX292" s="18" t="s">
        <v>10806</v>
      </c>
      <c r="AY292" s="18" t="s">
        <v>95</v>
      </c>
      <c r="AZ292" s="18" t="s">
        <v>95</v>
      </c>
      <c r="BA292" s="18" t="s">
        <v>95</v>
      </c>
      <c r="BB292" s="18" t="s">
        <v>95</v>
      </c>
      <c r="BC292" s="18" t="s">
        <v>95</v>
      </c>
      <c r="BD292" s="18" t="s">
        <v>10829</v>
      </c>
      <c r="BE292" s="18" t="s">
        <v>13119</v>
      </c>
      <c r="BF292" s="18" t="s">
        <v>10809</v>
      </c>
      <c r="BG292" s="18" t="s">
        <v>7030</v>
      </c>
      <c r="BH292" s="18"/>
      <c r="BI292" s="18"/>
      <c r="BJ292" s="18" t="s">
        <v>420</v>
      </c>
      <c r="BK292" s="18" t="s">
        <v>13156</v>
      </c>
      <c r="BL292" s="18" t="s">
        <v>10811</v>
      </c>
      <c r="BM292" s="18" t="s">
        <v>139</v>
      </c>
      <c r="BN292" s="18" t="s">
        <v>85</v>
      </c>
      <c r="BO292" s="18">
        <v>0</v>
      </c>
      <c r="BP292" s="18" t="s">
        <v>10812</v>
      </c>
      <c r="BQ292" s="18" t="str">
        <f>VLOOKUP(Prepago[[#This Row],[NOM_PLAZA]],[1]!Locales[#Data],3,0)</f>
        <v>TIENDA CUENCA REMIGIO</v>
      </c>
      <c r="BR292" s="18" t="str">
        <f>VLOOKUP(Prepago[[#This Row],[CODIGO_USUARIO]],[1]!Personal[#Data],6,0)</f>
        <v>YEPEZ PALOMEQUE DIANA PATRICIA</v>
      </c>
      <c r="BS292" s="18">
        <f>DAY(Prepago[[#This Row],[FECHA_ALTA]])</f>
        <v>1</v>
      </c>
    </row>
    <row r="293" spans="1:71" x14ac:dyDescent="0.25">
      <c r="A293" s="18" t="s">
        <v>96</v>
      </c>
      <c r="B293" s="18" t="s">
        <v>13157</v>
      </c>
      <c r="C293" s="18" t="s">
        <v>13158</v>
      </c>
      <c r="D293" s="18" t="s">
        <v>13159</v>
      </c>
      <c r="E293" s="22">
        <v>44896</v>
      </c>
      <c r="F293" s="18" t="s">
        <v>67</v>
      </c>
      <c r="G293" s="18" t="s">
        <v>13160</v>
      </c>
      <c r="H293" s="18" t="s">
        <v>13161</v>
      </c>
      <c r="I293" s="18" t="s">
        <v>70</v>
      </c>
      <c r="J293" s="18" t="s">
        <v>8102</v>
      </c>
      <c r="K293" s="18" t="s">
        <v>8103</v>
      </c>
      <c r="L293" s="18" t="s">
        <v>73</v>
      </c>
      <c r="M293" s="18" t="s">
        <v>7029</v>
      </c>
      <c r="N293" s="18" t="s">
        <v>13162</v>
      </c>
      <c r="O293" s="18" t="s">
        <v>75</v>
      </c>
      <c r="P293" s="18" t="s">
        <v>13163</v>
      </c>
      <c r="Q293" s="18" t="s">
        <v>4453</v>
      </c>
      <c r="R293" s="18" t="s">
        <v>78</v>
      </c>
      <c r="S293" s="18" t="s">
        <v>77</v>
      </c>
      <c r="T293" s="22">
        <v>44915</v>
      </c>
      <c r="U293" s="18"/>
      <c r="V293" s="18" t="s">
        <v>81</v>
      </c>
      <c r="W293" s="18" t="s">
        <v>79</v>
      </c>
      <c r="X293" s="18" t="s">
        <v>10803</v>
      </c>
      <c r="Y293" s="18" t="s">
        <v>385</v>
      </c>
      <c r="Z293" s="18" t="s">
        <v>386</v>
      </c>
      <c r="AA293" s="18" t="s">
        <v>385</v>
      </c>
      <c r="AB293" s="18" t="s">
        <v>386</v>
      </c>
      <c r="AC293" s="18" t="s">
        <v>7984</v>
      </c>
      <c r="AD293" s="18" t="s">
        <v>10804</v>
      </c>
      <c r="AE293" s="18" t="s">
        <v>148</v>
      </c>
      <c r="AF293" s="18" t="s">
        <v>95</v>
      </c>
      <c r="AG293" s="18" t="s">
        <v>83</v>
      </c>
      <c r="AH293" s="18" t="s">
        <v>83</v>
      </c>
      <c r="AI293" s="18" t="s">
        <v>81</v>
      </c>
      <c r="AJ293" s="18" t="s">
        <v>118</v>
      </c>
      <c r="AK293" s="18" t="s">
        <v>95</v>
      </c>
      <c r="AL293" s="18" t="s">
        <v>12915</v>
      </c>
      <c r="AM293" s="18" t="s">
        <v>85</v>
      </c>
      <c r="AN293" s="18" t="s">
        <v>7031</v>
      </c>
      <c r="AO293" s="18" t="s">
        <v>86</v>
      </c>
      <c r="AP293" s="18" t="s">
        <v>90</v>
      </c>
      <c r="AQ293" s="18" t="s">
        <v>8141</v>
      </c>
      <c r="AR293" s="18" t="s">
        <v>151</v>
      </c>
      <c r="AS293" s="18" t="s">
        <v>92</v>
      </c>
      <c r="AT293" s="18" t="s">
        <v>95</v>
      </c>
      <c r="AU293" s="18" t="s">
        <v>95</v>
      </c>
      <c r="AV293" s="18" t="s">
        <v>7029</v>
      </c>
      <c r="AW293" s="18" t="s">
        <v>95</v>
      </c>
      <c r="AX293" s="18" t="s">
        <v>10806</v>
      </c>
      <c r="AY293" s="18" t="s">
        <v>95</v>
      </c>
      <c r="AZ293" s="18" t="s">
        <v>95</v>
      </c>
      <c r="BA293" s="18" t="s">
        <v>95</v>
      </c>
      <c r="BB293" s="18" t="s">
        <v>95</v>
      </c>
      <c r="BC293" s="18" t="s">
        <v>95</v>
      </c>
      <c r="BD293" s="18" t="s">
        <v>10829</v>
      </c>
      <c r="BE293" s="18" t="s">
        <v>13164</v>
      </c>
      <c r="BF293" s="18" t="s">
        <v>7029</v>
      </c>
      <c r="BG293" s="18" t="s">
        <v>7030</v>
      </c>
      <c r="BH293" s="18"/>
      <c r="BI293" s="18"/>
      <c r="BJ293" s="18" t="s">
        <v>385</v>
      </c>
      <c r="BK293" s="18" t="s">
        <v>13165</v>
      </c>
      <c r="BL293" s="18" t="s">
        <v>10811</v>
      </c>
      <c r="BM293" s="18" t="s">
        <v>92</v>
      </c>
      <c r="BN293" s="18" t="s">
        <v>85</v>
      </c>
      <c r="BO293" s="18">
        <v>0</v>
      </c>
      <c r="BP293" s="18" t="s">
        <v>10812</v>
      </c>
      <c r="BQ293" s="18" t="str">
        <f>VLOOKUP(Prepago[[#This Row],[NOM_PLAZA]],[1]!Locales[#Data],3,0)</f>
        <v>TIENDA CUENCA REMIGIO</v>
      </c>
      <c r="BR293" s="18" t="str">
        <f>VLOOKUP(Prepago[[#This Row],[CODIGO_USUARIO]],[1]!Personal[#Data],6,0)</f>
        <v>RAMIREZ RUBIO NELLY LILIANA</v>
      </c>
      <c r="BS293" s="18">
        <f>DAY(Prepago[[#This Row],[FECHA_ALTA]])</f>
        <v>1</v>
      </c>
    </row>
    <row r="294" spans="1:71" x14ac:dyDescent="0.25">
      <c r="A294" s="18" t="s">
        <v>96</v>
      </c>
      <c r="B294" s="18" t="s">
        <v>13166</v>
      </c>
      <c r="C294" s="18" t="s">
        <v>13167</v>
      </c>
      <c r="D294" s="18" t="s">
        <v>12936</v>
      </c>
      <c r="E294" s="22">
        <v>44900</v>
      </c>
      <c r="F294" s="18" t="s">
        <v>67</v>
      </c>
      <c r="G294" s="18" t="s">
        <v>12937</v>
      </c>
      <c r="H294" s="18" t="s">
        <v>12938</v>
      </c>
      <c r="I294" s="18" t="s">
        <v>193</v>
      </c>
      <c r="J294" s="18" t="s">
        <v>8102</v>
      </c>
      <c r="K294" s="18" t="s">
        <v>8103</v>
      </c>
      <c r="L294" s="18" t="s">
        <v>73</v>
      </c>
      <c r="M294" s="18" t="s">
        <v>7029</v>
      </c>
      <c r="N294" s="18" t="s">
        <v>13168</v>
      </c>
      <c r="O294" s="18" t="s">
        <v>75</v>
      </c>
      <c r="P294" s="18" t="s">
        <v>13169</v>
      </c>
      <c r="Q294" s="18" t="s">
        <v>10817</v>
      </c>
      <c r="R294" s="18" t="s">
        <v>78</v>
      </c>
      <c r="S294" s="18" t="s">
        <v>77</v>
      </c>
      <c r="T294" s="22">
        <v>44915</v>
      </c>
      <c r="U294" s="18"/>
      <c r="V294" s="18" t="s">
        <v>81</v>
      </c>
      <c r="W294" s="18" t="s">
        <v>79</v>
      </c>
      <c r="X294" s="18" t="s">
        <v>10803</v>
      </c>
      <c r="Y294" s="18" t="s">
        <v>385</v>
      </c>
      <c r="Z294" s="18" t="s">
        <v>386</v>
      </c>
      <c r="AA294" s="18" t="s">
        <v>7062</v>
      </c>
      <c r="AB294" s="18" t="s">
        <v>95</v>
      </c>
      <c r="AC294" s="18" t="s">
        <v>7984</v>
      </c>
      <c r="AD294" s="18" t="s">
        <v>10804</v>
      </c>
      <c r="AE294" s="18" t="s">
        <v>148</v>
      </c>
      <c r="AF294" s="18" t="s">
        <v>95</v>
      </c>
      <c r="AG294" s="18" t="s">
        <v>83</v>
      </c>
      <c r="AH294" s="18" t="s">
        <v>83</v>
      </c>
      <c r="AI294" s="18" t="s">
        <v>81</v>
      </c>
      <c r="AJ294" s="18" t="s">
        <v>118</v>
      </c>
      <c r="AK294" s="18" t="s">
        <v>95</v>
      </c>
      <c r="AL294" s="18" t="s">
        <v>12915</v>
      </c>
      <c r="AM294" s="18" t="s">
        <v>85</v>
      </c>
      <c r="AN294" s="18" t="s">
        <v>7031</v>
      </c>
      <c r="AO294" s="18" t="s">
        <v>86</v>
      </c>
      <c r="AP294" s="18" t="s">
        <v>90</v>
      </c>
      <c r="AQ294" s="18" t="s">
        <v>8141</v>
      </c>
      <c r="AR294" s="18" t="s">
        <v>151</v>
      </c>
      <c r="AS294" s="18" t="s">
        <v>92</v>
      </c>
      <c r="AT294" s="18" t="s">
        <v>95</v>
      </c>
      <c r="AU294" s="18" t="s">
        <v>95</v>
      </c>
      <c r="AV294" s="18" t="s">
        <v>7029</v>
      </c>
      <c r="AW294" s="18" t="s">
        <v>95</v>
      </c>
      <c r="AX294" s="18" t="s">
        <v>10806</v>
      </c>
      <c r="AY294" s="18" t="s">
        <v>95</v>
      </c>
      <c r="AZ294" s="18" t="s">
        <v>95</v>
      </c>
      <c r="BA294" s="18" t="s">
        <v>95</v>
      </c>
      <c r="BB294" s="18" t="s">
        <v>95</v>
      </c>
      <c r="BC294" s="18" t="s">
        <v>95</v>
      </c>
      <c r="BD294" s="18" t="s">
        <v>10829</v>
      </c>
      <c r="BE294" s="18" t="s">
        <v>12941</v>
      </c>
      <c r="BF294" s="18" t="s">
        <v>10809</v>
      </c>
      <c r="BG294" s="18" t="s">
        <v>7030</v>
      </c>
      <c r="BH294" s="18"/>
      <c r="BI294" s="18"/>
      <c r="BJ294" s="18" t="s">
        <v>385</v>
      </c>
      <c r="BK294" s="18" t="s">
        <v>12942</v>
      </c>
      <c r="BL294" s="18" t="s">
        <v>10811</v>
      </c>
      <c r="BM294" s="18" t="s">
        <v>92</v>
      </c>
      <c r="BN294" s="18" t="s">
        <v>85</v>
      </c>
      <c r="BO294" s="18">
        <v>0</v>
      </c>
      <c r="BP294" s="18" t="s">
        <v>10812</v>
      </c>
      <c r="BQ294" s="18" t="str">
        <f>VLOOKUP(Prepago[[#This Row],[NOM_PLAZA]],[1]!Locales[#Data],3,0)</f>
        <v>TIENDA CUENCA REMIGIO</v>
      </c>
      <c r="BR294" s="18" t="str">
        <f>VLOOKUP(Prepago[[#This Row],[CODIGO_USUARIO]],[1]!Personal[#Data],6,0)</f>
        <v>RAMIREZ RUBIO NELLY LILIANA</v>
      </c>
      <c r="BS294" s="18">
        <f>DAY(Prepago[[#This Row],[FECHA_ALTA]])</f>
        <v>5</v>
      </c>
    </row>
    <row r="295" spans="1:71" x14ac:dyDescent="0.25">
      <c r="A295" s="18" t="s">
        <v>96</v>
      </c>
      <c r="B295" s="18" t="s">
        <v>13170</v>
      </c>
      <c r="C295" s="18" t="s">
        <v>13171</v>
      </c>
      <c r="D295" s="18" t="s">
        <v>13172</v>
      </c>
      <c r="E295" s="22">
        <v>44907</v>
      </c>
      <c r="F295" s="18" t="s">
        <v>67</v>
      </c>
      <c r="G295" s="18" t="s">
        <v>13173</v>
      </c>
      <c r="H295" s="18" t="s">
        <v>13174</v>
      </c>
      <c r="I295" s="18" t="s">
        <v>70</v>
      </c>
      <c r="J295" s="18" t="s">
        <v>8102</v>
      </c>
      <c r="K295" s="18" t="s">
        <v>8103</v>
      </c>
      <c r="L295" s="18" t="s">
        <v>73</v>
      </c>
      <c r="M295" s="18" t="s">
        <v>7029</v>
      </c>
      <c r="N295" s="18" t="s">
        <v>13175</v>
      </c>
      <c r="O295" s="18" t="s">
        <v>75</v>
      </c>
      <c r="P295" s="18" t="s">
        <v>13176</v>
      </c>
      <c r="Q295" s="18" t="s">
        <v>1532</v>
      </c>
      <c r="R295" s="18" t="s">
        <v>78</v>
      </c>
      <c r="S295" s="18" t="s">
        <v>77</v>
      </c>
      <c r="T295" s="22">
        <v>44915</v>
      </c>
      <c r="U295" s="18"/>
      <c r="V295" s="18" t="s">
        <v>81</v>
      </c>
      <c r="W295" s="18" t="s">
        <v>79</v>
      </c>
      <c r="X295" s="18" t="s">
        <v>10803</v>
      </c>
      <c r="Y295" s="18" t="s">
        <v>385</v>
      </c>
      <c r="Z295" s="18" t="s">
        <v>386</v>
      </c>
      <c r="AA295" s="18" t="s">
        <v>7062</v>
      </c>
      <c r="AB295" s="18" t="s">
        <v>95</v>
      </c>
      <c r="AC295" s="18" t="s">
        <v>7984</v>
      </c>
      <c r="AD295" s="18" t="s">
        <v>10804</v>
      </c>
      <c r="AE295" s="18" t="s">
        <v>148</v>
      </c>
      <c r="AF295" s="18" t="s">
        <v>95</v>
      </c>
      <c r="AG295" s="18" t="s">
        <v>83</v>
      </c>
      <c r="AH295" s="18" t="s">
        <v>83</v>
      </c>
      <c r="AI295" s="18" t="s">
        <v>81</v>
      </c>
      <c r="AJ295" s="18" t="s">
        <v>118</v>
      </c>
      <c r="AK295" s="18" t="s">
        <v>95</v>
      </c>
      <c r="AL295" s="18" t="s">
        <v>12915</v>
      </c>
      <c r="AM295" s="18" t="s">
        <v>85</v>
      </c>
      <c r="AN295" s="18" t="s">
        <v>7031</v>
      </c>
      <c r="AO295" s="18" t="s">
        <v>86</v>
      </c>
      <c r="AP295" s="18" t="s">
        <v>90</v>
      </c>
      <c r="AQ295" s="18" t="s">
        <v>8141</v>
      </c>
      <c r="AR295" s="18" t="s">
        <v>151</v>
      </c>
      <c r="AS295" s="18" t="s">
        <v>92</v>
      </c>
      <c r="AT295" s="18" t="s">
        <v>95</v>
      </c>
      <c r="AU295" s="18" t="s">
        <v>95</v>
      </c>
      <c r="AV295" s="18" t="s">
        <v>7029</v>
      </c>
      <c r="AW295" s="18" t="s">
        <v>95</v>
      </c>
      <c r="AX295" s="18" t="s">
        <v>10806</v>
      </c>
      <c r="AY295" s="18" t="s">
        <v>95</v>
      </c>
      <c r="AZ295" s="18" t="s">
        <v>95</v>
      </c>
      <c r="BA295" s="18" t="s">
        <v>95</v>
      </c>
      <c r="BB295" s="18" t="s">
        <v>95</v>
      </c>
      <c r="BC295" s="18" t="s">
        <v>95</v>
      </c>
      <c r="BD295" s="18" t="s">
        <v>10829</v>
      </c>
      <c r="BE295" s="18" t="s">
        <v>10808</v>
      </c>
      <c r="BF295" s="18" t="s">
        <v>10809</v>
      </c>
      <c r="BG295" s="18" t="s">
        <v>7030</v>
      </c>
      <c r="BH295" s="18"/>
      <c r="BI295" s="18"/>
      <c r="BJ295" s="18" t="s">
        <v>385</v>
      </c>
      <c r="BK295" s="18" t="s">
        <v>13177</v>
      </c>
      <c r="BL295" s="18" t="s">
        <v>10811</v>
      </c>
      <c r="BM295" s="18" t="s">
        <v>92</v>
      </c>
      <c r="BN295" s="18" t="s">
        <v>85</v>
      </c>
      <c r="BO295" s="18">
        <v>1</v>
      </c>
      <c r="BP295" s="18" t="s">
        <v>10812</v>
      </c>
      <c r="BQ295" s="18" t="str">
        <f>VLOOKUP(Prepago[[#This Row],[NOM_PLAZA]],[1]!Locales[#Data],3,0)</f>
        <v>TIENDA CUENCA REMIGIO</v>
      </c>
      <c r="BR295" s="18" t="str">
        <f>VLOOKUP(Prepago[[#This Row],[CODIGO_USUARIO]],[1]!Personal[#Data],6,0)</f>
        <v>RAMIREZ RUBIO NELLY LILIANA</v>
      </c>
      <c r="BS295" s="18">
        <f>DAY(Prepago[[#This Row],[FECHA_ALTA]])</f>
        <v>12</v>
      </c>
    </row>
    <row r="296" spans="1:71" x14ac:dyDescent="0.25">
      <c r="A296" s="18" t="s">
        <v>96</v>
      </c>
      <c r="B296" s="18" t="s">
        <v>10053</v>
      </c>
      <c r="C296" s="18" t="s">
        <v>10059</v>
      </c>
      <c r="D296" s="18" t="s">
        <v>10055</v>
      </c>
      <c r="E296" s="22">
        <v>44910</v>
      </c>
      <c r="F296" s="18" t="s">
        <v>67</v>
      </c>
      <c r="G296" s="18" t="s">
        <v>10056</v>
      </c>
      <c r="H296" s="18" t="s">
        <v>10057</v>
      </c>
      <c r="I296" s="18" t="s">
        <v>3971</v>
      </c>
      <c r="J296" s="18" t="s">
        <v>8102</v>
      </c>
      <c r="K296" s="18" t="s">
        <v>8103</v>
      </c>
      <c r="L296" s="18" t="s">
        <v>73</v>
      </c>
      <c r="M296" s="18" t="s">
        <v>7029</v>
      </c>
      <c r="N296" s="18" t="s">
        <v>10058</v>
      </c>
      <c r="O296" s="18" t="s">
        <v>287</v>
      </c>
      <c r="P296" s="18" t="s">
        <v>13178</v>
      </c>
      <c r="Q296" s="18" t="s">
        <v>8731</v>
      </c>
      <c r="R296" s="18" t="s">
        <v>521</v>
      </c>
      <c r="S296" s="18" t="s">
        <v>520</v>
      </c>
      <c r="T296" s="22">
        <v>44915</v>
      </c>
      <c r="U296" s="18"/>
      <c r="V296" s="18" t="s">
        <v>81</v>
      </c>
      <c r="W296" s="18" t="s">
        <v>79</v>
      </c>
      <c r="X296" s="18" t="s">
        <v>10803</v>
      </c>
      <c r="Y296" s="18" t="s">
        <v>318</v>
      </c>
      <c r="Z296" s="18" t="s">
        <v>319</v>
      </c>
      <c r="AA296" s="18" t="s">
        <v>7062</v>
      </c>
      <c r="AB296" s="18" t="s">
        <v>95</v>
      </c>
      <c r="AC296" s="18" t="s">
        <v>7984</v>
      </c>
      <c r="AD296" s="18" t="s">
        <v>10804</v>
      </c>
      <c r="AE296" s="18" t="s">
        <v>148</v>
      </c>
      <c r="AF296" s="18" t="s">
        <v>95</v>
      </c>
      <c r="AG296" s="18" t="s">
        <v>83</v>
      </c>
      <c r="AH296" s="18" t="s">
        <v>83</v>
      </c>
      <c r="AI296" s="18" t="s">
        <v>81</v>
      </c>
      <c r="AJ296" s="18" t="s">
        <v>118</v>
      </c>
      <c r="AK296" s="18" t="s">
        <v>95</v>
      </c>
      <c r="AL296" s="18" t="s">
        <v>10743</v>
      </c>
      <c r="AM296" s="18" t="s">
        <v>85</v>
      </c>
      <c r="AN296" s="18" t="s">
        <v>7031</v>
      </c>
      <c r="AO296" s="18" t="s">
        <v>86</v>
      </c>
      <c r="AP296" s="18" t="s">
        <v>90</v>
      </c>
      <c r="AQ296" s="18" t="s">
        <v>8141</v>
      </c>
      <c r="AR296" s="18" t="s">
        <v>151</v>
      </c>
      <c r="AS296" s="18" t="s">
        <v>92</v>
      </c>
      <c r="AT296" s="18" t="s">
        <v>95</v>
      </c>
      <c r="AU296" s="18" t="s">
        <v>95</v>
      </c>
      <c r="AV296" s="18" t="s">
        <v>7029</v>
      </c>
      <c r="AW296" s="18" t="s">
        <v>95</v>
      </c>
      <c r="AX296" s="18" t="s">
        <v>10806</v>
      </c>
      <c r="AY296" s="18" t="s">
        <v>95</v>
      </c>
      <c r="AZ296" s="18" t="s">
        <v>13179</v>
      </c>
      <c r="BA296" s="18" t="s">
        <v>13180</v>
      </c>
      <c r="BB296" s="18" t="s">
        <v>13181</v>
      </c>
      <c r="BC296" s="18" t="s">
        <v>13182</v>
      </c>
      <c r="BD296" s="18" t="s">
        <v>10807</v>
      </c>
      <c r="BE296" s="18" t="s">
        <v>13183</v>
      </c>
      <c r="BF296" s="18" t="s">
        <v>10809</v>
      </c>
      <c r="BG296" s="18" t="s">
        <v>7030</v>
      </c>
      <c r="BH296" s="18"/>
      <c r="BI296" s="18"/>
      <c r="BJ296" s="18" t="s">
        <v>318</v>
      </c>
      <c r="BK296" s="18" t="s">
        <v>13184</v>
      </c>
      <c r="BL296" s="18" t="s">
        <v>10811</v>
      </c>
      <c r="BM296" s="18" t="s">
        <v>92</v>
      </c>
      <c r="BN296" s="18" t="s">
        <v>85</v>
      </c>
      <c r="BO296" s="18">
        <v>0</v>
      </c>
      <c r="BP296" s="18" t="s">
        <v>10812</v>
      </c>
      <c r="BQ296" s="18" t="str">
        <f>VLOOKUP(Prepago[[#This Row],[NOM_PLAZA]],[1]!Locales[#Data],3,0)</f>
        <v>TIENDA CUENCA REMIGIO</v>
      </c>
      <c r="BR296" s="18" t="str">
        <f>VLOOKUP(Prepago[[#This Row],[CODIGO_USUARIO]],[1]!Personal[#Data],6,0)</f>
        <v>RODRIGUEZ QUITO JESSICA GABRIELA</v>
      </c>
      <c r="BS296" s="18">
        <f>DAY(Prepago[[#This Row],[FECHA_ALTA]])</f>
        <v>15</v>
      </c>
    </row>
    <row r="297" spans="1:71" x14ac:dyDescent="0.25">
      <c r="A297" s="18" t="s">
        <v>96</v>
      </c>
      <c r="B297" s="18" t="s">
        <v>13185</v>
      </c>
      <c r="C297" s="18" t="s">
        <v>13186</v>
      </c>
      <c r="D297" s="18" t="s">
        <v>13187</v>
      </c>
      <c r="E297" s="22">
        <v>44914</v>
      </c>
      <c r="F297" s="18" t="s">
        <v>67</v>
      </c>
      <c r="G297" s="18" t="s">
        <v>13188</v>
      </c>
      <c r="H297" s="18" t="s">
        <v>13189</v>
      </c>
      <c r="I297" s="18" t="s">
        <v>70</v>
      </c>
      <c r="J297" s="18" t="s">
        <v>8102</v>
      </c>
      <c r="K297" s="18" t="s">
        <v>8103</v>
      </c>
      <c r="L297" s="18" t="s">
        <v>95</v>
      </c>
      <c r="M297" s="18" t="s">
        <v>7029</v>
      </c>
      <c r="N297" s="18" t="s">
        <v>13190</v>
      </c>
      <c r="O297" s="18" t="s">
        <v>75</v>
      </c>
      <c r="P297" s="18" t="s">
        <v>13191</v>
      </c>
      <c r="Q297" s="18" t="s">
        <v>10817</v>
      </c>
      <c r="R297" s="18" t="s">
        <v>78</v>
      </c>
      <c r="S297" s="18" t="s">
        <v>77</v>
      </c>
      <c r="T297" s="22">
        <v>44915</v>
      </c>
      <c r="U297" s="18"/>
      <c r="V297" s="18" t="s">
        <v>81</v>
      </c>
      <c r="W297" s="18" t="s">
        <v>79</v>
      </c>
      <c r="X297" s="18" t="s">
        <v>10803</v>
      </c>
      <c r="Y297" s="18" t="s">
        <v>318</v>
      </c>
      <c r="Z297" s="18" t="s">
        <v>319</v>
      </c>
      <c r="AA297" s="18" t="s">
        <v>12930</v>
      </c>
      <c r="AB297" s="18" t="s">
        <v>12931</v>
      </c>
      <c r="AC297" s="18" t="s">
        <v>7984</v>
      </c>
      <c r="AD297" s="18" t="s">
        <v>10804</v>
      </c>
      <c r="AE297" s="18" t="s">
        <v>148</v>
      </c>
      <c r="AF297" s="18" t="s">
        <v>95</v>
      </c>
      <c r="AG297" s="18" t="s">
        <v>83</v>
      </c>
      <c r="AH297" s="18" t="s">
        <v>83</v>
      </c>
      <c r="AI297" s="18" t="s">
        <v>81</v>
      </c>
      <c r="AJ297" s="18" t="s">
        <v>118</v>
      </c>
      <c r="AK297" s="18" t="s">
        <v>95</v>
      </c>
      <c r="AL297" s="18" t="s">
        <v>10743</v>
      </c>
      <c r="AM297" s="18" t="s">
        <v>85</v>
      </c>
      <c r="AN297" s="18" t="s">
        <v>7031</v>
      </c>
      <c r="AO297" s="18" t="s">
        <v>86</v>
      </c>
      <c r="AP297" s="18" t="s">
        <v>90</v>
      </c>
      <c r="AQ297" s="18" t="s">
        <v>8141</v>
      </c>
      <c r="AR297" s="18" t="s">
        <v>151</v>
      </c>
      <c r="AS297" s="18" t="s">
        <v>92</v>
      </c>
      <c r="AT297" s="18" t="s">
        <v>95</v>
      </c>
      <c r="AU297" s="18" t="s">
        <v>95</v>
      </c>
      <c r="AV297" s="18" t="s">
        <v>7029</v>
      </c>
      <c r="AW297" s="18" t="s">
        <v>95</v>
      </c>
      <c r="AX297" s="18" t="s">
        <v>10806</v>
      </c>
      <c r="AY297" s="18" t="s">
        <v>95</v>
      </c>
      <c r="AZ297" s="18" t="s">
        <v>95</v>
      </c>
      <c r="BA297" s="18" t="s">
        <v>95</v>
      </c>
      <c r="BB297" s="18" t="s">
        <v>95</v>
      </c>
      <c r="BC297" s="18" t="s">
        <v>95</v>
      </c>
      <c r="BD297" s="18" t="s">
        <v>10829</v>
      </c>
      <c r="BE297" s="18" t="s">
        <v>13192</v>
      </c>
      <c r="BF297" s="18" t="s">
        <v>10809</v>
      </c>
      <c r="BG297" s="18" t="s">
        <v>7030</v>
      </c>
      <c r="BH297" s="18"/>
      <c r="BI297" s="18"/>
      <c r="BJ297" s="18" t="s">
        <v>318</v>
      </c>
      <c r="BK297" s="18" t="s">
        <v>13193</v>
      </c>
      <c r="BL297" s="18" t="s">
        <v>10811</v>
      </c>
      <c r="BM297" s="18" t="s">
        <v>92</v>
      </c>
      <c r="BN297" s="18" t="s">
        <v>85</v>
      </c>
      <c r="BO297" s="18">
        <v>0</v>
      </c>
      <c r="BP297" s="18" t="s">
        <v>10812</v>
      </c>
      <c r="BQ297" s="18" t="str">
        <f>VLOOKUP(Prepago[[#This Row],[NOM_PLAZA]],[1]!Locales[#Data],3,0)</f>
        <v>TIENDA CUENCA REMIGIO</v>
      </c>
      <c r="BR297" s="18" t="str">
        <f>VLOOKUP(Prepago[[#This Row],[CODIGO_USUARIO]],[1]!Personal[#Data],6,0)</f>
        <v>RODRIGUEZ QUITO JESSICA GABRIELA</v>
      </c>
      <c r="BS297" s="18">
        <f>DAY(Prepago[[#This Row],[FECHA_ALTA]])</f>
        <v>19</v>
      </c>
    </row>
    <row r="298" spans="1:71" x14ac:dyDescent="0.25">
      <c r="A298" s="18" t="s">
        <v>96</v>
      </c>
      <c r="B298" s="18" t="s">
        <v>13194</v>
      </c>
      <c r="C298" s="18" t="s">
        <v>13195</v>
      </c>
      <c r="D298" s="18" t="s">
        <v>13196</v>
      </c>
      <c r="E298" s="22">
        <v>44910</v>
      </c>
      <c r="F298" s="18" t="s">
        <v>67</v>
      </c>
      <c r="G298" s="18" t="s">
        <v>13197</v>
      </c>
      <c r="H298" s="18" t="s">
        <v>13198</v>
      </c>
      <c r="I298" s="18" t="s">
        <v>70</v>
      </c>
      <c r="J298" s="18" t="s">
        <v>8102</v>
      </c>
      <c r="K298" s="18" t="s">
        <v>8103</v>
      </c>
      <c r="L298" s="18" t="s">
        <v>73</v>
      </c>
      <c r="M298" s="18" t="s">
        <v>7029</v>
      </c>
      <c r="N298" s="18" t="s">
        <v>13199</v>
      </c>
      <c r="O298" s="18" t="s">
        <v>75</v>
      </c>
      <c r="P298" s="18" t="s">
        <v>13200</v>
      </c>
      <c r="Q298" s="18" t="s">
        <v>10817</v>
      </c>
      <c r="R298" s="18" t="s">
        <v>78</v>
      </c>
      <c r="S298" s="18" t="s">
        <v>77</v>
      </c>
      <c r="T298" s="22">
        <v>44915</v>
      </c>
      <c r="U298" s="18"/>
      <c r="V298" s="18" t="s">
        <v>81</v>
      </c>
      <c r="W298" s="18" t="s">
        <v>79</v>
      </c>
      <c r="X298" s="18" t="s">
        <v>10803</v>
      </c>
      <c r="Y298" s="18" t="s">
        <v>420</v>
      </c>
      <c r="Z298" s="18" t="s">
        <v>421</v>
      </c>
      <c r="AA298" s="18" t="s">
        <v>12930</v>
      </c>
      <c r="AB298" s="18" t="s">
        <v>12931</v>
      </c>
      <c r="AC298" s="18" t="s">
        <v>7984</v>
      </c>
      <c r="AD298" s="18" t="s">
        <v>10804</v>
      </c>
      <c r="AE298" s="18" t="s">
        <v>148</v>
      </c>
      <c r="AF298" s="18" t="s">
        <v>95</v>
      </c>
      <c r="AG298" s="18" t="s">
        <v>83</v>
      </c>
      <c r="AH298" s="18" t="s">
        <v>83</v>
      </c>
      <c r="AI298" s="18" t="s">
        <v>81</v>
      </c>
      <c r="AJ298" s="18" t="s">
        <v>118</v>
      </c>
      <c r="AK298" s="18" t="s">
        <v>95</v>
      </c>
      <c r="AL298" s="18" t="s">
        <v>12905</v>
      </c>
      <c r="AM298" s="18" t="s">
        <v>85</v>
      </c>
      <c r="AN298" s="18" t="s">
        <v>7031</v>
      </c>
      <c r="AO298" s="18" t="s">
        <v>86</v>
      </c>
      <c r="AP298" s="18" t="s">
        <v>90</v>
      </c>
      <c r="AQ298" s="18" t="s">
        <v>8141</v>
      </c>
      <c r="AR298" s="18" t="s">
        <v>151</v>
      </c>
      <c r="AS298" s="18" t="s">
        <v>92</v>
      </c>
      <c r="AT298" s="18" t="s">
        <v>95</v>
      </c>
      <c r="AU298" s="18" t="s">
        <v>95</v>
      </c>
      <c r="AV298" s="18" t="s">
        <v>7029</v>
      </c>
      <c r="AW298" s="18" t="s">
        <v>95</v>
      </c>
      <c r="AX298" s="18" t="s">
        <v>10806</v>
      </c>
      <c r="AY298" s="18" t="s">
        <v>95</v>
      </c>
      <c r="AZ298" s="18" t="s">
        <v>95</v>
      </c>
      <c r="BA298" s="18" t="s">
        <v>95</v>
      </c>
      <c r="BB298" s="18" t="s">
        <v>95</v>
      </c>
      <c r="BC298" s="18" t="s">
        <v>95</v>
      </c>
      <c r="BD298" s="18" t="s">
        <v>10829</v>
      </c>
      <c r="BE298" s="18" t="s">
        <v>13201</v>
      </c>
      <c r="BF298" s="18" t="s">
        <v>10809</v>
      </c>
      <c r="BG298" s="18" t="s">
        <v>7030</v>
      </c>
      <c r="BH298" s="18"/>
      <c r="BI298" s="18"/>
      <c r="BJ298" s="18" t="s">
        <v>420</v>
      </c>
      <c r="BK298" s="18" t="s">
        <v>13202</v>
      </c>
      <c r="BL298" s="18" t="s">
        <v>10811</v>
      </c>
      <c r="BM298" s="18" t="s">
        <v>92</v>
      </c>
      <c r="BN298" s="18" t="s">
        <v>85</v>
      </c>
      <c r="BO298" s="18">
        <v>0</v>
      </c>
      <c r="BP298" s="18" t="s">
        <v>10812</v>
      </c>
      <c r="BQ298" s="18" t="str">
        <f>VLOOKUP(Prepago[[#This Row],[NOM_PLAZA]],[1]!Locales[#Data],3,0)</f>
        <v>TIENDA CUENCA REMIGIO</v>
      </c>
      <c r="BR298" s="18" t="str">
        <f>VLOOKUP(Prepago[[#This Row],[CODIGO_USUARIO]],[1]!Personal[#Data],6,0)</f>
        <v>YEPEZ PALOMEQUE DIANA PATRICIA</v>
      </c>
      <c r="BS298" s="18">
        <f>DAY(Prepago[[#This Row],[FECHA_ALTA]])</f>
        <v>15</v>
      </c>
    </row>
    <row r="299" spans="1:71" x14ac:dyDescent="0.25">
      <c r="A299" s="18" t="s">
        <v>96</v>
      </c>
      <c r="B299" s="18" t="s">
        <v>13203</v>
      </c>
      <c r="C299" s="18" t="s">
        <v>13204</v>
      </c>
      <c r="D299" s="18" t="s">
        <v>13105</v>
      </c>
      <c r="E299" s="22">
        <v>44912</v>
      </c>
      <c r="F299" s="18" t="s">
        <v>67</v>
      </c>
      <c r="G299" s="18" t="s">
        <v>13106</v>
      </c>
      <c r="H299" s="18" t="s">
        <v>13107</v>
      </c>
      <c r="I299" s="18" t="s">
        <v>70</v>
      </c>
      <c r="J299" s="18" t="s">
        <v>8102</v>
      </c>
      <c r="K299" s="18" t="s">
        <v>8103</v>
      </c>
      <c r="L299" s="18" t="s">
        <v>73</v>
      </c>
      <c r="M299" s="18" t="s">
        <v>7029</v>
      </c>
      <c r="N299" s="18" t="s">
        <v>13205</v>
      </c>
      <c r="O299" s="18" t="s">
        <v>75</v>
      </c>
      <c r="P299" s="18" t="s">
        <v>13206</v>
      </c>
      <c r="Q299" s="18" t="s">
        <v>10817</v>
      </c>
      <c r="R299" s="18" t="s">
        <v>78</v>
      </c>
      <c r="S299" s="18" t="s">
        <v>77</v>
      </c>
      <c r="T299" s="22">
        <v>44915</v>
      </c>
      <c r="U299" s="18"/>
      <c r="V299" s="18" t="s">
        <v>81</v>
      </c>
      <c r="W299" s="18" t="s">
        <v>79</v>
      </c>
      <c r="X299" s="18" t="s">
        <v>10803</v>
      </c>
      <c r="Y299" s="18" t="s">
        <v>149</v>
      </c>
      <c r="Z299" s="18" t="s">
        <v>150</v>
      </c>
      <c r="AA299" s="18" t="s">
        <v>12930</v>
      </c>
      <c r="AB299" s="18" t="s">
        <v>12931</v>
      </c>
      <c r="AC299" s="18" t="s">
        <v>7984</v>
      </c>
      <c r="AD299" s="18" t="s">
        <v>10804</v>
      </c>
      <c r="AE299" s="18" t="s">
        <v>148</v>
      </c>
      <c r="AF299" s="18" t="s">
        <v>95</v>
      </c>
      <c r="AG299" s="18" t="s">
        <v>83</v>
      </c>
      <c r="AH299" s="18" t="s">
        <v>83</v>
      </c>
      <c r="AI299" s="18" t="s">
        <v>81</v>
      </c>
      <c r="AJ299" s="18" t="s">
        <v>118</v>
      </c>
      <c r="AK299" s="18" t="s">
        <v>95</v>
      </c>
      <c r="AL299" s="18" t="s">
        <v>12920</v>
      </c>
      <c r="AM299" s="18" t="s">
        <v>85</v>
      </c>
      <c r="AN299" s="18" t="s">
        <v>7031</v>
      </c>
      <c r="AO299" s="18" t="s">
        <v>86</v>
      </c>
      <c r="AP299" s="18" t="s">
        <v>90</v>
      </c>
      <c r="AQ299" s="18" t="s">
        <v>8141</v>
      </c>
      <c r="AR299" s="18" t="s">
        <v>151</v>
      </c>
      <c r="AS299" s="18" t="s">
        <v>92</v>
      </c>
      <c r="AT299" s="18" t="s">
        <v>95</v>
      </c>
      <c r="AU299" s="18" t="s">
        <v>95</v>
      </c>
      <c r="AV299" s="18" t="s">
        <v>7029</v>
      </c>
      <c r="AW299" s="18" t="s">
        <v>95</v>
      </c>
      <c r="AX299" s="18" t="s">
        <v>10806</v>
      </c>
      <c r="AY299" s="18" t="s">
        <v>95</v>
      </c>
      <c r="AZ299" s="18" t="s">
        <v>95</v>
      </c>
      <c r="BA299" s="18" t="s">
        <v>95</v>
      </c>
      <c r="BB299" s="18" t="s">
        <v>95</v>
      </c>
      <c r="BC299" s="18" t="s">
        <v>95</v>
      </c>
      <c r="BD299" s="18" t="s">
        <v>10829</v>
      </c>
      <c r="BE299" s="18" t="s">
        <v>13110</v>
      </c>
      <c r="BF299" s="18" t="s">
        <v>10809</v>
      </c>
      <c r="BG299" s="18" t="s">
        <v>7030</v>
      </c>
      <c r="BH299" s="18"/>
      <c r="BI299" s="18"/>
      <c r="BJ299" s="18" t="s">
        <v>149</v>
      </c>
      <c r="BK299" s="18" t="s">
        <v>13111</v>
      </c>
      <c r="BL299" s="18" t="s">
        <v>10811</v>
      </c>
      <c r="BM299" s="18" t="s">
        <v>92</v>
      </c>
      <c r="BN299" s="18" t="s">
        <v>85</v>
      </c>
      <c r="BO299" s="18">
        <v>0</v>
      </c>
      <c r="BP299" s="18" t="s">
        <v>10812</v>
      </c>
      <c r="BQ299" s="18" t="str">
        <f>VLOOKUP(Prepago[[#This Row],[NOM_PLAZA]],[1]!Locales[#Data],3,0)</f>
        <v>TIENDA CUENCA REMIGIO</v>
      </c>
      <c r="BR299" s="18" t="str">
        <f>VLOOKUP(Prepago[[#This Row],[CODIGO_USUARIO]],[1]!Personal[#Data],6,0)</f>
        <v>OSORIO TEJADA ANA ESTEFANIA</v>
      </c>
      <c r="BS299" s="18">
        <f>DAY(Prepago[[#This Row],[FECHA_ALTA]])</f>
        <v>17</v>
      </c>
    </row>
    <row r="300" spans="1:71" x14ac:dyDescent="0.25">
      <c r="A300" s="18" t="s">
        <v>96</v>
      </c>
      <c r="B300" s="18" t="s">
        <v>13207</v>
      </c>
      <c r="C300" s="18" t="s">
        <v>13208</v>
      </c>
      <c r="D300" s="18" t="s">
        <v>13034</v>
      </c>
      <c r="E300" s="22">
        <v>44896</v>
      </c>
      <c r="F300" s="18" t="s">
        <v>67</v>
      </c>
      <c r="G300" s="18" t="s">
        <v>13035</v>
      </c>
      <c r="H300" s="18" t="s">
        <v>13036</v>
      </c>
      <c r="I300" s="18" t="s">
        <v>70</v>
      </c>
      <c r="J300" s="18" t="s">
        <v>8102</v>
      </c>
      <c r="K300" s="18" t="s">
        <v>8103</v>
      </c>
      <c r="L300" s="18" t="s">
        <v>73</v>
      </c>
      <c r="M300" s="18" t="s">
        <v>7029</v>
      </c>
      <c r="N300" s="18" t="s">
        <v>13209</v>
      </c>
      <c r="O300" s="18" t="s">
        <v>75</v>
      </c>
      <c r="P300" s="18" t="s">
        <v>13210</v>
      </c>
      <c r="Q300" s="18" t="s">
        <v>10817</v>
      </c>
      <c r="R300" s="18" t="s">
        <v>78</v>
      </c>
      <c r="S300" s="18" t="s">
        <v>77</v>
      </c>
      <c r="T300" s="22">
        <v>44915</v>
      </c>
      <c r="U300" s="18"/>
      <c r="V300" s="18" t="s">
        <v>81</v>
      </c>
      <c r="W300" s="18" t="s">
        <v>79</v>
      </c>
      <c r="X300" s="18" t="s">
        <v>10803</v>
      </c>
      <c r="Y300" s="18" t="s">
        <v>149</v>
      </c>
      <c r="Z300" s="18" t="s">
        <v>150</v>
      </c>
      <c r="AA300" s="18" t="s">
        <v>12930</v>
      </c>
      <c r="AB300" s="18" t="s">
        <v>12931</v>
      </c>
      <c r="AC300" s="18" t="s">
        <v>7984</v>
      </c>
      <c r="AD300" s="18" t="s">
        <v>10804</v>
      </c>
      <c r="AE300" s="18" t="s">
        <v>148</v>
      </c>
      <c r="AF300" s="18" t="s">
        <v>95</v>
      </c>
      <c r="AG300" s="18" t="s">
        <v>83</v>
      </c>
      <c r="AH300" s="18" t="s">
        <v>83</v>
      </c>
      <c r="AI300" s="18" t="s">
        <v>81</v>
      </c>
      <c r="AJ300" s="18" t="s">
        <v>118</v>
      </c>
      <c r="AK300" s="18" t="s">
        <v>95</v>
      </c>
      <c r="AL300" s="18" t="s">
        <v>12920</v>
      </c>
      <c r="AM300" s="18" t="s">
        <v>85</v>
      </c>
      <c r="AN300" s="18" t="s">
        <v>7031</v>
      </c>
      <c r="AO300" s="18" t="s">
        <v>86</v>
      </c>
      <c r="AP300" s="18" t="s">
        <v>90</v>
      </c>
      <c r="AQ300" s="18" t="s">
        <v>8141</v>
      </c>
      <c r="AR300" s="18" t="s">
        <v>151</v>
      </c>
      <c r="AS300" s="18" t="s">
        <v>92</v>
      </c>
      <c r="AT300" s="18" t="s">
        <v>95</v>
      </c>
      <c r="AU300" s="18" t="s">
        <v>95</v>
      </c>
      <c r="AV300" s="18" t="s">
        <v>7029</v>
      </c>
      <c r="AW300" s="18" t="s">
        <v>95</v>
      </c>
      <c r="AX300" s="18" t="s">
        <v>10806</v>
      </c>
      <c r="AY300" s="18" t="s">
        <v>95</v>
      </c>
      <c r="AZ300" s="18" t="s">
        <v>95</v>
      </c>
      <c r="BA300" s="18" t="s">
        <v>95</v>
      </c>
      <c r="BB300" s="18" t="s">
        <v>95</v>
      </c>
      <c r="BC300" s="18" t="s">
        <v>95</v>
      </c>
      <c r="BD300" s="18" t="s">
        <v>10829</v>
      </c>
      <c r="BE300" s="18" t="s">
        <v>13039</v>
      </c>
      <c r="BF300" s="18" t="s">
        <v>10809</v>
      </c>
      <c r="BG300" s="18" t="s">
        <v>7030</v>
      </c>
      <c r="BH300" s="18"/>
      <c r="BI300" s="18"/>
      <c r="BJ300" s="18" t="s">
        <v>149</v>
      </c>
      <c r="BK300" s="18" t="s">
        <v>13040</v>
      </c>
      <c r="BL300" s="18" t="s">
        <v>10811</v>
      </c>
      <c r="BM300" s="18" t="s">
        <v>92</v>
      </c>
      <c r="BN300" s="18" t="s">
        <v>85</v>
      </c>
      <c r="BO300" s="18">
        <v>0</v>
      </c>
      <c r="BP300" s="18" t="s">
        <v>10812</v>
      </c>
      <c r="BQ300" s="18" t="str">
        <f>VLOOKUP(Prepago[[#This Row],[NOM_PLAZA]],[1]!Locales[#Data],3,0)</f>
        <v>TIENDA CUENCA REMIGIO</v>
      </c>
      <c r="BR300" s="18" t="str">
        <f>VLOOKUP(Prepago[[#This Row],[CODIGO_USUARIO]],[1]!Personal[#Data],6,0)</f>
        <v>OSORIO TEJADA ANA ESTEFANIA</v>
      </c>
      <c r="BS300" s="18">
        <f>DAY(Prepago[[#This Row],[FECHA_ALTA]])</f>
        <v>1</v>
      </c>
    </row>
    <row r="301" spans="1:71" x14ac:dyDescent="0.25">
      <c r="A301" s="18" t="s">
        <v>96</v>
      </c>
      <c r="B301" s="18" t="s">
        <v>13211</v>
      </c>
      <c r="C301" s="18" t="s">
        <v>13212</v>
      </c>
      <c r="D301" s="18" t="s">
        <v>13213</v>
      </c>
      <c r="E301" s="22">
        <v>44912</v>
      </c>
      <c r="F301" s="18" t="s">
        <v>67</v>
      </c>
      <c r="G301" s="18" t="s">
        <v>13214</v>
      </c>
      <c r="H301" s="18" t="s">
        <v>13215</v>
      </c>
      <c r="I301" s="18" t="s">
        <v>70</v>
      </c>
      <c r="J301" s="18" t="s">
        <v>8102</v>
      </c>
      <c r="K301" s="18" t="s">
        <v>8103</v>
      </c>
      <c r="L301" s="18" t="s">
        <v>73</v>
      </c>
      <c r="M301" s="18" t="s">
        <v>7029</v>
      </c>
      <c r="N301" s="18" t="s">
        <v>13216</v>
      </c>
      <c r="O301" s="18" t="s">
        <v>75</v>
      </c>
      <c r="P301" s="18" t="s">
        <v>13217</v>
      </c>
      <c r="Q301" s="18" t="s">
        <v>10817</v>
      </c>
      <c r="R301" s="18" t="s">
        <v>78</v>
      </c>
      <c r="S301" s="18" t="s">
        <v>77</v>
      </c>
      <c r="T301" s="22">
        <v>44915</v>
      </c>
      <c r="U301" s="18"/>
      <c r="V301" s="18" t="s">
        <v>81</v>
      </c>
      <c r="W301" s="18" t="s">
        <v>79</v>
      </c>
      <c r="X301" s="18" t="s">
        <v>10803</v>
      </c>
      <c r="Y301" s="18" t="s">
        <v>385</v>
      </c>
      <c r="Z301" s="18" t="s">
        <v>386</v>
      </c>
      <c r="AA301" s="18" t="s">
        <v>385</v>
      </c>
      <c r="AB301" s="18" t="s">
        <v>386</v>
      </c>
      <c r="AC301" s="18" t="s">
        <v>7984</v>
      </c>
      <c r="AD301" s="18" t="s">
        <v>10804</v>
      </c>
      <c r="AE301" s="18" t="s">
        <v>148</v>
      </c>
      <c r="AF301" s="18" t="s">
        <v>95</v>
      </c>
      <c r="AG301" s="18" t="s">
        <v>83</v>
      </c>
      <c r="AH301" s="18" t="s">
        <v>83</v>
      </c>
      <c r="AI301" s="18" t="s">
        <v>81</v>
      </c>
      <c r="AJ301" s="18" t="s">
        <v>118</v>
      </c>
      <c r="AK301" s="18" t="s">
        <v>95</v>
      </c>
      <c r="AL301" s="18" t="s">
        <v>12915</v>
      </c>
      <c r="AM301" s="18" t="s">
        <v>85</v>
      </c>
      <c r="AN301" s="18" t="s">
        <v>7031</v>
      </c>
      <c r="AO301" s="18" t="s">
        <v>86</v>
      </c>
      <c r="AP301" s="18" t="s">
        <v>90</v>
      </c>
      <c r="AQ301" s="18" t="s">
        <v>8141</v>
      </c>
      <c r="AR301" s="18" t="s">
        <v>151</v>
      </c>
      <c r="AS301" s="18" t="s">
        <v>92</v>
      </c>
      <c r="AT301" s="18" t="s">
        <v>95</v>
      </c>
      <c r="AU301" s="18" t="s">
        <v>95</v>
      </c>
      <c r="AV301" s="18" t="s">
        <v>7029</v>
      </c>
      <c r="AW301" s="18" t="s">
        <v>95</v>
      </c>
      <c r="AX301" s="18" t="s">
        <v>10806</v>
      </c>
      <c r="AY301" s="18" t="s">
        <v>95</v>
      </c>
      <c r="AZ301" s="18" t="s">
        <v>95</v>
      </c>
      <c r="BA301" s="18" t="s">
        <v>95</v>
      </c>
      <c r="BB301" s="18" t="s">
        <v>95</v>
      </c>
      <c r="BC301" s="18" t="s">
        <v>95</v>
      </c>
      <c r="BD301" s="18" t="s">
        <v>10829</v>
      </c>
      <c r="BE301" s="18" t="s">
        <v>13218</v>
      </c>
      <c r="BF301" s="18" t="s">
        <v>10809</v>
      </c>
      <c r="BG301" s="18" t="s">
        <v>7030</v>
      </c>
      <c r="BH301" s="18"/>
      <c r="BI301" s="18"/>
      <c r="BJ301" s="18" t="s">
        <v>385</v>
      </c>
      <c r="BK301" s="18" t="s">
        <v>13219</v>
      </c>
      <c r="BL301" s="18" t="s">
        <v>10811</v>
      </c>
      <c r="BM301" s="18" t="s">
        <v>92</v>
      </c>
      <c r="BN301" s="18" t="s">
        <v>85</v>
      </c>
      <c r="BO301" s="18">
        <v>0</v>
      </c>
      <c r="BP301" s="18" t="s">
        <v>10812</v>
      </c>
      <c r="BQ301" s="18" t="str">
        <f>VLOOKUP(Prepago[[#This Row],[NOM_PLAZA]],[1]!Locales[#Data],3,0)</f>
        <v>TIENDA CUENCA REMIGIO</v>
      </c>
      <c r="BR301" s="18" t="str">
        <f>VLOOKUP(Prepago[[#This Row],[CODIGO_USUARIO]],[1]!Personal[#Data],6,0)</f>
        <v>RAMIREZ RUBIO NELLY LILIANA</v>
      </c>
      <c r="BS301" s="18">
        <f>DAY(Prepago[[#This Row],[FECHA_ALTA]])</f>
        <v>17</v>
      </c>
    </row>
    <row r="302" spans="1:71" x14ac:dyDescent="0.25">
      <c r="A302" s="18" t="s">
        <v>96</v>
      </c>
      <c r="B302" s="18" t="s">
        <v>13220</v>
      </c>
      <c r="C302" s="18" t="s">
        <v>13221</v>
      </c>
      <c r="D302" s="18" t="s">
        <v>13098</v>
      </c>
      <c r="E302" s="22">
        <v>44911</v>
      </c>
      <c r="F302" s="18" t="s">
        <v>67</v>
      </c>
      <c r="G302" s="18" t="s">
        <v>1069</v>
      </c>
      <c r="H302" s="18" t="s">
        <v>1070</v>
      </c>
      <c r="I302" s="18" t="s">
        <v>70</v>
      </c>
      <c r="J302" s="18" t="s">
        <v>8102</v>
      </c>
      <c r="K302" s="18" t="s">
        <v>8103</v>
      </c>
      <c r="L302" s="18" t="s">
        <v>132</v>
      </c>
      <c r="M302" s="18" t="s">
        <v>7037</v>
      </c>
      <c r="N302" s="18" t="s">
        <v>13222</v>
      </c>
      <c r="O302" s="18" t="s">
        <v>75</v>
      </c>
      <c r="P302" s="18" t="s">
        <v>13223</v>
      </c>
      <c r="Q302" s="18" t="s">
        <v>10817</v>
      </c>
      <c r="R302" s="18" t="s">
        <v>78</v>
      </c>
      <c r="S302" s="18" t="s">
        <v>77</v>
      </c>
      <c r="T302" s="22">
        <v>44915</v>
      </c>
      <c r="U302" s="18"/>
      <c r="V302" s="18" t="s">
        <v>81</v>
      </c>
      <c r="W302" s="18" t="s">
        <v>79</v>
      </c>
      <c r="X302" s="18" t="s">
        <v>10803</v>
      </c>
      <c r="Y302" s="18" t="s">
        <v>610</v>
      </c>
      <c r="Z302" s="18" t="s">
        <v>611</v>
      </c>
      <c r="AA302" s="18" t="s">
        <v>7062</v>
      </c>
      <c r="AB302" s="18" t="s">
        <v>95</v>
      </c>
      <c r="AC302" s="18" t="s">
        <v>7984</v>
      </c>
      <c r="AD302" s="18" t="s">
        <v>10804</v>
      </c>
      <c r="AE302" s="18" t="s">
        <v>148</v>
      </c>
      <c r="AF302" s="18" t="s">
        <v>95</v>
      </c>
      <c r="AG302" s="18" t="s">
        <v>83</v>
      </c>
      <c r="AH302" s="18" t="s">
        <v>83</v>
      </c>
      <c r="AI302" s="18" t="s">
        <v>81</v>
      </c>
      <c r="AJ302" s="18" t="s">
        <v>118</v>
      </c>
      <c r="AK302" s="18" t="s">
        <v>95</v>
      </c>
      <c r="AL302" s="18" t="s">
        <v>12895</v>
      </c>
      <c r="AM302" s="18" t="s">
        <v>85</v>
      </c>
      <c r="AN302" s="18" t="s">
        <v>7031</v>
      </c>
      <c r="AO302" s="18" t="s">
        <v>86</v>
      </c>
      <c r="AP302" s="18" t="s">
        <v>90</v>
      </c>
      <c r="AQ302" s="18" t="s">
        <v>8141</v>
      </c>
      <c r="AR302" s="18" t="s">
        <v>151</v>
      </c>
      <c r="AS302" s="18" t="s">
        <v>92</v>
      </c>
      <c r="AT302" s="18" t="s">
        <v>95</v>
      </c>
      <c r="AU302" s="18" t="s">
        <v>95</v>
      </c>
      <c r="AV302" s="18" t="s">
        <v>7037</v>
      </c>
      <c r="AW302" s="18" t="s">
        <v>95</v>
      </c>
      <c r="AX302" s="18" t="s">
        <v>10806</v>
      </c>
      <c r="AY302" s="18" t="s">
        <v>95</v>
      </c>
      <c r="AZ302" s="18" t="s">
        <v>95</v>
      </c>
      <c r="BA302" s="18" t="s">
        <v>95</v>
      </c>
      <c r="BB302" s="18" t="s">
        <v>95</v>
      </c>
      <c r="BC302" s="18" t="s">
        <v>95</v>
      </c>
      <c r="BD302" s="18" t="s">
        <v>10807</v>
      </c>
      <c r="BE302" s="18" t="s">
        <v>13101</v>
      </c>
      <c r="BF302" s="18" t="s">
        <v>10809</v>
      </c>
      <c r="BG302" s="18" t="s">
        <v>7030</v>
      </c>
      <c r="BH302" s="18"/>
      <c r="BI302" s="18"/>
      <c r="BJ302" s="18" t="s">
        <v>610</v>
      </c>
      <c r="BK302" s="18" t="s">
        <v>13102</v>
      </c>
      <c r="BL302" s="18" t="s">
        <v>10811</v>
      </c>
      <c r="BM302" s="18" t="s">
        <v>139</v>
      </c>
      <c r="BN302" s="18" t="s">
        <v>85</v>
      </c>
      <c r="BO302" s="18">
        <v>0</v>
      </c>
      <c r="BP302" s="18" t="s">
        <v>10812</v>
      </c>
      <c r="BQ302" s="18" t="str">
        <f>VLOOKUP(Prepago[[#This Row],[NOM_PLAZA]],[1]!Locales[#Data],3,0)</f>
        <v>TIENDA CUENCA REMIGIO</v>
      </c>
      <c r="BR302" s="18" t="str">
        <f>VLOOKUP(Prepago[[#This Row],[CODIGO_USUARIO]],[1]!Personal[#Data],6,0)</f>
        <v>PATIÑO TAPIA ANDRES SANTIAGO</v>
      </c>
      <c r="BS302" s="18">
        <f>DAY(Prepago[[#This Row],[FECHA_ALTA]])</f>
        <v>16</v>
      </c>
    </row>
    <row r="303" spans="1:71" x14ac:dyDescent="0.25">
      <c r="A303" s="18" t="s">
        <v>96</v>
      </c>
      <c r="B303" s="18" t="s">
        <v>13224</v>
      </c>
      <c r="C303" s="18" t="s">
        <v>13225</v>
      </c>
      <c r="D303" s="18" t="s">
        <v>13196</v>
      </c>
      <c r="E303" s="22">
        <v>44910</v>
      </c>
      <c r="F303" s="18" t="s">
        <v>67</v>
      </c>
      <c r="G303" s="18" t="s">
        <v>13197</v>
      </c>
      <c r="H303" s="18" t="s">
        <v>13198</v>
      </c>
      <c r="I303" s="18" t="s">
        <v>70</v>
      </c>
      <c r="J303" s="18" t="s">
        <v>8102</v>
      </c>
      <c r="K303" s="18" t="s">
        <v>8103</v>
      </c>
      <c r="L303" s="18" t="s">
        <v>73</v>
      </c>
      <c r="M303" s="18" t="s">
        <v>7029</v>
      </c>
      <c r="N303" s="18" t="s">
        <v>13226</v>
      </c>
      <c r="O303" s="18" t="s">
        <v>75</v>
      </c>
      <c r="P303" s="18" t="s">
        <v>13227</v>
      </c>
      <c r="Q303" s="18" t="s">
        <v>10817</v>
      </c>
      <c r="R303" s="18" t="s">
        <v>78</v>
      </c>
      <c r="S303" s="18" t="s">
        <v>77</v>
      </c>
      <c r="T303" s="22">
        <v>44915</v>
      </c>
      <c r="U303" s="18"/>
      <c r="V303" s="18" t="s">
        <v>81</v>
      </c>
      <c r="W303" s="18" t="s">
        <v>79</v>
      </c>
      <c r="X303" s="18" t="s">
        <v>10803</v>
      </c>
      <c r="Y303" s="18" t="s">
        <v>420</v>
      </c>
      <c r="Z303" s="18" t="s">
        <v>421</v>
      </c>
      <c r="AA303" s="18" t="s">
        <v>12930</v>
      </c>
      <c r="AB303" s="18" t="s">
        <v>12931</v>
      </c>
      <c r="AC303" s="18" t="s">
        <v>7984</v>
      </c>
      <c r="AD303" s="18" t="s">
        <v>10804</v>
      </c>
      <c r="AE303" s="18" t="s">
        <v>148</v>
      </c>
      <c r="AF303" s="18" t="s">
        <v>95</v>
      </c>
      <c r="AG303" s="18" t="s">
        <v>83</v>
      </c>
      <c r="AH303" s="18" t="s">
        <v>83</v>
      </c>
      <c r="AI303" s="18" t="s">
        <v>81</v>
      </c>
      <c r="AJ303" s="18" t="s">
        <v>118</v>
      </c>
      <c r="AK303" s="18" t="s">
        <v>95</v>
      </c>
      <c r="AL303" s="18" t="s">
        <v>12905</v>
      </c>
      <c r="AM303" s="18" t="s">
        <v>85</v>
      </c>
      <c r="AN303" s="18" t="s">
        <v>7031</v>
      </c>
      <c r="AO303" s="18" t="s">
        <v>86</v>
      </c>
      <c r="AP303" s="18" t="s">
        <v>90</v>
      </c>
      <c r="AQ303" s="18" t="s">
        <v>8141</v>
      </c>
      <c r="AR303" s="18" t="s">
        <v>151</v>
      </c>
      <c r="AS303" s="18" t="s">
        <v>92</v>
      </c>
      <c r="AT303" s="18" t="s">
        <v>95</v>
      </c>
      <c r="AU303" s="18" t="s">
        <v>95</v>
      </c>
      <c r="AV303" s="18" t="s">
        <v>7029</v>
      </c>
      <c r="AW303" s="18" t="s">
        <v>95</v>
      </c>
      <c r="AX303" s="18" t="s">
        <v>10806</v>
      </c>
      <c r="AY303" s="18" t="s">
        <v>95</v>
      </c>
      <c r="AZ303" s="18" t="s">
        <v>95</v>
      </c>
      <c r="BA303" s="18" t="s">
        <v>95</v>
      </c>
      <c r="BB303" s="18" t="s">
        <v>95</v>
      </c>
      <c r="BC303" s="18" t="s">
        <v>95</v>
      </c>
      <c r="BD303" s="18" t="s">
        <v>10829</v>
      </c>
      <c r="BE303" s="18" t="s">
        <v>13201</v>
      </c>
      <c r="BF303" s="18" t="s">
        <v>10809</v>
      </c>
      <c r="BG303" s="18" t="s">
        <v>7030</v>
      </c>
      <c r="BH303" s="18"/>
      <c r="BI303" s="18"/>
      <c r="BJ303" s="18" t="s">
        <v>420</v>
      </c>
      <c r="BK303" s="18" t="s">
        <v>13202</v>
      </c>
      <c r="BL303" s="18" t="s">
        <v>10811</v>
      </c>
      <c r="BM303" s="18" t="s">
        <v>92</v>
      </c>
      <c r="BN303" s="18" t="s">
        <v>85</v>
      </c>
      <c r="BO303" s="18">
        <v>0</v>
      </c>
      <c r="BP303" s="18" t="s">
        <v>10812</v>
      </c>
      <c r="BQ303" s="18" t="str">
        <f>VLOOKUP(Prepago[[#This Row],[NOM_PLAZA]],[1]!Locales[#Data],3,0)</f>
        <v>TIENDA CUENCA REMIGIO</v>
      </c>
      <c r="BR303" s="18" t="str">
        <f>VLOOKUP(Prepago[[#This Row],[CODIGO_USUARIO]],[1]!Personal[#Data],6,0)</f>
        <v>YEPEZ PALOMEQUE DIANA PATRICIA</v>
      </c>
      <c r="BS303" s="18">
        <f>DAY(Prepago[[#This Row],[FECHA_ALTA]])</f>
        <v>15</v>
      </c>
    </row>
    <row r="304" spans="1:71" x14ac:dyDescent="0.25">
      <c r="A304" s="18" t="s">
        <v>96</v>
      </c>
      <c r="B304" s="18" t="s">
        <v>9115</v>
      </c>
      <c r="C304" s="18" t="s">
        <v>9121</v>
      </c>
      <c r="D304" s="18" t="s">
        <v>9117</v>
      </c>
      <c r="E304" s="22">
        <v>44904</v>
      </c>
      <c r="F304" s="18" t="s">
        <v>67</v>
      </c>
      <c r="G304" s="18" t="s">
        <v>9118</v>
      </c>
      <c r="H304" s="18" t="s">
        <v>9119</v>
      </c>
      <c r="I304" s="18" t="s">
        <v>70</v>
      </c>
      <c r="J304" s="18" t="s">
        <v>8102</v>
      </c>
      <c r="K304" s="18" t="s">
        <v>8103</v>
      </c>
      <c r="L304" s="18" t="s">
        <v>73</v>
      </c>
      <c r="M304" s="18" t="s">
        <v>7029</v>
      </c>
      <c r="N304" s="18" t="s">
        <v>9120</v>
      </c>
      <c r="O304" s="18" t="s">
        <v>287</v>
      </c>
      <c r="P304" s="18" t="s">
        <v>13228</v>
      </c>
      <c r="Q304" s="18" t="s">
        <v>10817</v>
      </c>
      <c r="R304" s="18" t="s">
        <v>78</v>
      </c>
      <c r="S304" s="18" t="s">
        <v>77</v>
      </c>
      <c r="T304" s="22">
        <v>44915</v>
      </c>
      <c r="U304" s="18"/>
      <c r="V304" s="18" t="s">
        <v>81</v>
      </c>
      <c r="W304" s="18" t="s">
        <v>79</v>
      </c>
      <c r="X304" s="18" t="s">
        <v>10803</v>
      </c>
      <c r="Y304" s="18" t="s">
        <v>610</v>
      </c>
      <c r="Z304" s="18" t="s">
        <v>611</v>
      </c>
      <c r="AA304" s="18" t="s">
        <v>7062</v>
      </c>
      <c r="AB304" s="18" t="s">
        <v>95</v>
      </c>
      <c r="AC304" s="18" t="s">
        <v>7984</v>
      </c>
      <c r="AD304" s="18" t="s">
        <v>10804</v>
      </c>
      <c r="AE304" s="18" t="s">
        <v>148</v>
      </c>
      <c r="AF304" s="18" t="s">
        <v>95</v>
      </c>
      <c r="AG304" s="18" t="s">
        <v>83</v>
      </c>
      <c r="AH304" s="18" t="s">
        <v>83</v>
      </c>
      <c r="AI304" s="18" t="s">
        <v>81</v>
      </c>
      <c r="AJ304" s="18" t="s">
        <v>118</v>
      </c>
      <c r="AK304" s="18" t="s">
        <v>95</v>
      </c>
      <c r="AL304" s="18" t="s">
        <v>12895</v>
      </c>
      <c r="AM304" s="18" t="s">
        <v>85</v>
      </c>
      <c r="AN304" s="18" t="s">
        <v>7031</v>
      </c>
      <c r="AO304" s="18" t="s">
        <v>86</v>
      </c>
      <c r="AP304" s="18" t="s">
        <v>90</v>
      </c>
      <c r="AQ304" s="18" t="s">
        <v>8141</v>
      </c>
      <c r="AR304" s="18" t="s">
        <v>151</v>
      </c>
      <c r="AS304" s="18" t="s">
        <v>92</v>
      </c>
      <c r="AT304" s="18" t="s">
        <v>95</v>
      </c>
      <c r="AU304" s="18" t="s">
        <v>95</v>
      </c>
      <c r="AV304" s="18" t="s">
        <v>7029</v>
      </c>
      <c r="AW304" s="18" t="s">
        <v>95</v>
      </c>
      <c r="AX304" s="18" t="s">
        <v>10806</v>
      </c>
      <c r="AY304" s="18" t="s">
        <v>95</v>
      </c>
      <c r="AZ304" s="18" t="s">
        <v>95</v>
      </c>
      <c r="BA304" s="18" t="s">
        <v>95</v>
      </c>
      <c r="BB304" s="18" t="s">
        <v>95</v>
      </c>
      <c r="BC304" s="18" t="s">
        <v>95</v>
      </c>
      <c r="BD304" s="18" t="s">
        <v>10829</v>
      </c>
      <c r="BE304" s="18" t="s">
        <v>13229</v>
      </c>
      <c r="BF304" s="18" t="s">
        <v>10809</v>
      </c>
      <c r="BG304" s="18" t="s">
        <v>7030</v>
      </c>
      <c r="BH304" s="18"/>
      <c r="BI304" s="18"/>
      <c r="BJ304" s="18" t="s">
        <v>610</v>
      </c>
      <c r="BK304" s="18" t="s">
        <v>13230</v>
      </c>
      <c r="BL304" s="18" t="s">
        <v>10811</v>
      </c>
      <c r="BM304" s="18" t="s">
        <v>92</v>
      </c>
      <c r="BN304" s="18" t="s">
        <v>85</v>
      </c>
      <c r="BO304" s="18">
        <v>0</v>
      </c>
      <c r="BP304" s="18" t="s">
        <v>10812</v>
      </c>
      <c r="BQ304" s="18" t="str">
        <f>VLOOKUP(Prepago[[#This Row],[NOM_PLAZA]],[1]!Locales[#Data],3,0)</f>
        <v>TIENDA CUENCA REMIGIO</v>
      </c>
      <c r="BR304" s="18" t="str">
        <f>VLOOKUP(Prepago[[#This Row],[CODIGO_USUARIO]],[1]!Personal[#Data],6,0)</f>
        <v>PATIÑO TAPIA ANDRES SANTIAGO</v>
      </c>
      <c r="BS304" s="18">
        <f>DAY(Prepago[[#This Row],[FECHA_ALTA]])</f>
        <v>9</v>
      </c>
    </row>
    <row r="305" spans="1:71" x14ac:dyDescent="0.25">
      <c r="A305" s="18" t="s">
        <v>96</v>
      </c>
      <c r="B305" s="18" t="s">
        <v>13231</v>
      </c>
      <c r="C305" s="18" t="s">
        <v>13232</v>
      </c>
      <c r="D305" s="18" t="s">
        <v>13233</v>
      </c>
      <c r="E305" s="22">
        <v>44896</v>
      </c>
      <c r="F305" s="18" t="s">
        <v>67</v>
      </c>
      <c r="G305" s="18" t="s">
        <v>13234</v>
      </c>
      <c r="H305" s="18" t="s">
        <v>13235</v>
      </c>
      <c r="I305" s="18" t="s">
        <v>70</v>
      </c>
      <c r="J305" s="18" t="s">
        <v>8102</v>
      </c>
      <c r="K305" s="18" t="s">
        <v>8103</v>
      </c>
      <c r="L305" s="18" t="s">
        <v>95</v>
      </c>
      <c r="M305" s="18" t="s">
        <v>7029</v>
      </c>
      <c r="N305" s="18" t="s">
        <v>13236</v>
      </c>
      <c r="O305" s="18" t="s">
        <v>75</v>
      </c>
      <c r="P305" s="18" t="s">
        <v>13237</v>
      </c>
      <c r="Q305" s="18" t="s">
        <v>4453</v>
      </c>
      <c r="R305" s="18" t="s">
        <v>78</v>
      </c>
      <c r="S305" s="18" t="s">
        <v>77</v>
      </c>
      <c r="T305" s="22">
        <v>44915</v>
      </c>
      <c r="U305" s="18"/>
      <c r="V305" s="18" t="s">
        <v>81</v>
      </c>
      <c r="W305" s="18" t="s">
        <v>79</v>
      </c>
      <c r="X305" s="18" t="s">
        <v>10803</v>
      </c>
      <c r="Y305" s="18" t="s">
        <v>610</v>
      </c>
      <c r="Z305" s="18" t="s">
        <v>611</v>
      </c>
      <c r="AA305" s="18" t="s">
        <v>7062</v>
      </c>
      <c r="AB305" s="18" t="s">
        <v>95</v>
      </c>
      <c r="AC305" s="18" t="s">
        <v>7984</v>
      </c>
      <c r="AD305" s="18" t="s">
        <v>10804</v>
      </c>
      <c r="AE305" s="18" t="s">
        <v>148</v>
      </c>
      <c r="AF305" s="18" t="s">
        <v>95</v>
      </c>
      <c r="AG305" s="18" t="s">
        <v>83</v>
      </c>
      <c r="AH305" s="18" t="s">
        <v>83</v>
      </c>
      <c r="AI305" s="18" t="s">
        <v>81</v>
      </c>
      <c r="AJ305" s="18" t="s">
        <v>118</v>
      </c>
      <c r="AK305" s="18" t="s">
        <v>95</v>
      </c>
      <c r="AL305" s="18" t="s">
        <v>12895</v>
      </c>
      <c r="AM305" s="18" t="s">
        <v>85</v>
      </c>
      <c r="AN305" s="18" t="s">
        <v>7031</v>
      </c>
      <c r="AO305" s="18" t="s">
        <v>86</v>
      </c>
      <c r="AP305" s="18" t="s">
        <v>90</v>
      </c>
      <c r="AQ305" s="18" t="s">
        <v>8141</v>
      </c>
      <c r="AR305" s="18" t="s">
        <v>151</v>
      </c>
      <c r="AS305" s="18" t="s">
        <v>92</v>
      </c>
      <c r="AT305" s="18" t="s">
        <v>95</v>
      </c>
      <c r="AU305" s="18" t="s">
        <v>95</v>
      </c>
      <c r="AV305" s="18" t="s">
        <v>7029</v>
      </c>
      <c r="AW305" s="18" t="s">
        <v>95</v>
      </c>
      <c r="AX305" s="18" t="s">
        <v>10806</v>
      </c>
      <c r="AY305" s="18" t="s">
        <v>95</v>
      </c>
      <c r="AZ305" s="18" t="s">
        <v>95</v>
      </c>
      <c r="BA305" s="18" t="s">
        <v>95</v>
      </c>
      <c r="BB305" s="18" t="s">
        <v>95</v>
      </c>
      <c r="BC305" s="18" t="s">
        <v>95</v>
      </c>
      <c r="BD305" s="18" t="s">
        <v>10829</v>
      </c>
      <c r="BE305" s="18" t="s">
        <v>13238</v>
      </c>
      <c r="BF305" s="18" t="s">
        <v>10809</v>
      </c>
      <c r="BG305" s="18" t="s">
        <v>7030</v>
      </c>
      <c r="BH305" s="18"/>
      <c r="BI305" s="18"/>
      <c r="BJ305" s="18" t="s">
        <v>610</v>
      </c>
      <c r="BK305" s="18" t="s">
        <v>13239</v>
      </c>
      <c r="BL305" s="18" t="s">
        <v>10811</v>
      </c>
      <c r="BM305" s="18" t="s">
        <v>92</v>
      </c>
      <c r="BN305" s="18" t="s">
        <v>85</v>
      </c>
      <c r="BO305" s="18">
        <v>1</v>
      </c>
      <c r="BP305" s="18" t="s">
        <v>10812</v>
      </c>
      <c r="BQ305" s="18" t="str">
        <f>VLOOKUP(Prepago[[#This Row],[NOM_PLAZA]],[1]!Locales[#Data],3,0)</f>
        <v>TIENDA CUENCA REMIGIO</v>
      </c>
      <c r="BR305" s="18" t="str">
        <f>VLOOKUP(Prepago[[#This Row],[CODIGO_USUARIO]],[1]!Personal[#Data],6,0)</f>
        <v>PATIÑO TAPIA ANDRES SANTIAGO</v>
      </c>
      <c r="BS305" s="18">
        <f>DAY(Prepago[[#This Row],[FECHA_ALTA]])</f>
        <v>1</v>
      </c>
    </row>
    <row r="306" spans="1:71" x14ac:dyDescent="0.25">
      <c r="A306" s="18" t="s">
        <v>96</v>
      </c>
      <c r="B306" s="18" t="s">
        <v>13240</v>
      </c>
      <c r="C306" s="18" t="s">
        <v>13241</v>
      </c>
      <c r="D306" s="18" t="s">
        <v>13242</v>
      </c>
      <c r="E306" s="22">
        <v>44907</v>
      </c>
      <c r="F306" s="18" t="s">
        <v>67</v>
      </c>
      <c r="G306" s="18" t="s">
        <v>13243</v>
      </c>
      <c r="H306" s="18" t="s">
        <v>13244</v>
      </c>
      <c r="I306" s="18" t="s">
        <v>70</v>
      </c>
      <c r="J306" s="18" t="s">
        <v>8102</v>
      </c>
      <c r="K306" s="18" t="s">
        <v>8103</v>
      </c>
      <c r="L306" s="18" t="s">
        <v>73</v>
      </c>
      <c r="M306" s="18" t="s">
        <v>7029</v>
      </c>
      <c r="N306" s="18" t="s">
        <v>13245</v>
      </c>
      <c r="O306" s="18" t="s">
        <v>75</v>
      </c>
      <c r="P306" s="18" t="s">
        <v>13246</v>
      </c>
      <c r="Q306" s="18" t="s">
        <v>10817</v>
      </c>
      <c r="R306" s="18" t="s">
        <v>78</v>
      </c>
      <c r="S306" s="18" t="s">
        <v>77</v>
      </c>
      <c r="T306" s="22">
        <v>44915</v>
      </c>
      <c r="U306" s="18"/>
      <c r="V306" s="18" t="s">
        <v>81</v>
      </c>
      <c r="W306" s="18" t="s">
        <v>79</v>
      </c>
      <c r="X306" s="18" t="s">
        <v>10803</v>
      </c>
      <c r="Y306" s="18" t="s">
        <v>149</v>
      </c>
      <c r="Z306" s="18" t="s">
        <v>150</v>
      </c>
      <c r="AA306" s="18" t="s">
        <v>7062</v>
      </c>
      <c r="AB306" s="18" t="s">
        <v>95</v>
      </c>
      <c r="AC306" s="18" t="s">
        <v>7984</v>
      </c>
      <c r="AD306" s="18" t="s">
        <v>10804</v>
      </c>
      <c r="AE306" s="18" t="s">
        <v>148</v>
      </c>
      <c r="AF306" s="18" t="s">
        <v>95</v>
      </c>
      <c r="AG306" s="18" t="s">
        <v>83</v>
      </c>
      <c r="AH306" s="18" t="s">
        <v>83</v>
      </c>
      <c r="AI306" s="18" t="s">
        <v>81</v>
      </c>
      <c r="AJ306" s="18" t="s">
        <v>118</v>
      </c>
      <c r="AK306" s="18" t="s">
        <v>95</v>
      </c>
      <c r="AL306" s="18" t="s">
        <v>12920</v>
      </c>
      <c r="AM306" s="18" t="s">
        <v>85</v>
      </c>
      <c r="AN306" s="18" t="s">
        <v>7031</v>
      </c>
      <c r="AO306" s="18" t="s">
        <v>86</v>
      </c>
      <c r="AP306" s="18" t="s">
        <v>90</v>
      </c>
      <c r="AQ306" s="18" t="s">
        <v>8141</v>
      </c>
      <c r="AR306" s="18" t="s">
        <v>151</v>
      </c>
      <c r="AS306" s="18" t="s">
        <v>92</v>
      </c>
      <c r="AT306" s="18" t="s">
        <v>95</v>
      </c>
      <c r="AU306" s="18" t="s">
        <v>95</v>
      </c>
      <c r="AV306" s="18" t="s">
        <v>7029</v>
      </c>
      <c r="AW306" s="18" t="s">
        <v>95</v>
      </c>
      <c r="AX306" s="18" t="s">
        <v>10806</v>
      </c>
      <c r="AY306" s="18" t="s">
        <v>95</v>
      </c>
      <c r="AZ306" s="18" t="s">
        <v>95</v>
      </c>
      <c r="BA306" s="18" t="s">
        <v>95</v>
      </c>
      <c r="BB306" s="18" t="s">
        <v>95</v>
      </c>
      <c r="BC306" s="18" t="s">
        <v>95</v>
      </c>
      <c r="BD306" s="18" t="s">
        <v>10829</v>
      </c>
      <c r="BE306" s="18" t="s">
        <v>13247</v>
      </c>
      <c r="BF306" s="18" t="s">
        <v>10809</v>
      </c>
      <c r="BG306" s="18" t="s">
        <v>7030</v>
      </c>
      <c r="BH306" s="18"/>
      <c r="BI306" s="18"/>
      <c r="BJ306" s="18" t="s">
        <v>149</v>
      </c>
      <c r="BK306" s="18" t="s">
        <v>13248</v>
      </c>
      <c r="BL306" s="18" t="s">
        <v>10811</v>
      </c>
      <c r="BM306" s="18" t="s">
        <v>92</v>
      </c>
      <c r="BN306" s="18" t="s">
        <v>85</v>
      </c>
      <c r="BO306" s="18">
        <v>0</v>
      </c>
      <c r="BP306" s="18" t="s">
        <v>10812</v>
      </c>
      <c r="BQ306" s="18" t="str">
        <f>VLOOKUP(Prepago[[#This Row],[NOM_PLAZA]],[1]!Locales[#Data],3,0)</f>
        <v>TIENDA CUENCA REMIGIO</v>
      </c>
      <c r="BR306" s="18" t="str">
        <f>VLOOKUP(Prepago[[#This Row],[CODIGO_USUARIO]],[1]!Personal[#Data],6,0)</f>
        <v>OSORIO TEJADA ANA ESTEFANIA</v>
      </c>
      <c r="BS306" s="18">
        <f>DAY(Prepago[[#This Row],[FECHA_ALTA]])</f>
        <v>12</v>
      </c>
    </row>
    <row r="307" spans="1:71" x14ac:dyDescent="0.25">
      <c r="A307" s="18" t="s">
        <v>96</v>
      </c>
      <c r="B307" s="18" t="s">
        <v>13249</v>
      </c>
      <c r="C307" s="18" t="s">
        <v>13250</v>
      </c>
      <c r="D307" s="18" t="s">
        <v>12969</v>
      </c>
      <c r="E307" s="22">
        <v>44907</v>
      </c>
      <c r="F307" s="18" t="s">
        <v>67</v>
      </c>
      <c r="G307" s="18" t="s">
        <v>12970</v>
      </c>
      <c r="H307" s="18" t="s">
        <v>12971</v>
      </c>
      <c r="I307" s="18" t="s">
        <v>70</v>
      </c>
      <c r="J307" s="18" t="s">
        <v>8102</v>
      </c>
      <c r="K307" s="18" t="s">
        <v>8103</v>
      </c>
      <c r="L307" s="18" t="s">
        <v>95</v>
      </c>
      <c r="M307" s="18" t="s">
        <v>7029</v>
      </c>
      <c r="N307" s="18" t="s">
        <v>13251</v>
      </c>
      <c r="O307" s="18" t="s">
        <v>75</v>
      </c>
      <c r="P307" s="18" t="s">
        <v>13252</v>
      </c>
      <c r="Q307" s="18" t="s">
        <v>4453</v>
      </c>
      <c r="R307" s="18" t="s">
        <v>78</v>
      </c>
      <c r="S307" s="18" t="s">
        <v>77</v>
      </c>
      <c r="T307" s="22">
        <v>44915</v>
      </c>
      <c r="U307" s="18"/>
      <c r="V307" s="18" t="s">
        <v>81</v>
      </c>
      <c r="W307" s="18" t="s">
        <v>79</v>
      </c>
      <c r="X307" s="18" t="s">
        <v>10803</v>
      </c>
      <c r="Y307" s="18" t="s">
        <v>610</v>
      </c>
      <c r="Z307" s="18" t="s">
        <v>611</v>
      </c>
      <c r="AA307" s="18" t="s">
        <v>7062</v>
      </c>
      <c r="AB307" s="18" t="s">
        <v>95</v>
      </c>
      <c r="AC307" s="18" t="s">
        <v>7984</v>
      </c>
      <c r="AD307" s="18" t="s">
        <v>10804</v>
      </c>
      <c r="AE307" s="18" t="s">
        <v>148</v>
      </c>
      <c r="AF307" s="18" t="s">
        <v>95</v>
      </c>
      <c r="AG307" s="18" t="s">
        <v>81</v>
      </c>
      <c r="AH307" s="18" t="s">
        <v>83</v>
      </c>
      <c r="AI307" s="18" t="s">
        <v>81</v>
      </c>
      <c r="AJ307" s="18" t="s">
        <v>118</v>
      </c>
      <c r="AK307" s="18" t="s">
        <v>95</v>
      </c>
      <c r="AL307" s="18" t="s">
        <v>12895</v>
      </c>
      <c r="AM307" s="18" t="s">
        <v>85</v>
      </c>
      <c r="AN307" s="18" t="s">
        <v>7031</v>
      </c>
      <c r="AO307" s="18" t="s">
        <v>86</v>
      </c>
      <c r="AP307" s="18" t="s">
        <v>90</v>
      </c>
      <c r="AQ307" s="18" t="s">
        <v>8141</v>
      </c>
      <c r="AR307" s="18" t="s">
        <v>151</v>
      </c>
      <c r="AS307" s="18" t="s">
        <v>92</v>
      </c>
      <c r="AT307" s="18" t="s">
        <v>95</v>
      </c>
      <c r="AU307" s="18" t="s">
        <v>95</v>
      </c>
      <c r="AV307" s="18" t="s">
        <v>7029</v>
      </c>
      <c r="AW307" s="18" t="s">
        <v>95</v>
      </c>
      <c r="AX307" s="18" t="s">
        <v>10806</v>
      </c>
      <c r="AY307" s="18" t="s">
        <v>1029</v>
      </c>
      <c r="AZ307" s="18" t="s">
        <v>95</v>
      </c>
      <c r="BA307" s="18" t="s">
        <v>95</v>
      </c>
      <c r="BB307" s="18" t="s">
        <v>95</v>
      </c>
      <c r="BC307" s="18" t="s">
        <v>95</v>
      </c>
      <c r="BD307" s="18" t="s">
        <v>10829</v>
      </c>
      <c r="BE307" s="18" t="s">
        <v>12974</v>
      </c>
      <c r="BF307" s="18" t="s">
        <v>7029</v>
      </c>
      <c r="BG307" s="18" t="s">
        <v>7030</v>
      </c>
      <c r="BH307" s="18"/>
      <c r="BI307" s="18"/>
      <c r="BJ307" s="18" t="s">
        <v>610</v>
      </c>
      <c r="BK307" s="18" t="s">
        <v>13253</v>
      </c>
      <c r="BL307" s="18" t="s">
        <v>10811</v>
      </c>
      <c r="BM307" s="18" t="s">
        <v>92</v>
      </c>
      <c r="BN307" s="18" t="s">
        <v>85</v>
      </c>
      <c r="BO307" s="18">
        <v>0</v>
      </c>
      <c r="BP307" s="18" t="s">
        <v>10812</v>
      </c>
      <c r="BQ307" s="18" t="str">
        <f>VLOOKUP(Prepago[[#This Row],[NOM_PLAZA]],[1]!Locales[#Data],3,0)</f>
        <v>TIENDA CUENCA REMIGIO</v>
      </c>
      <c r="BR307" s="18" t="str">
        <f>VLOOKUP(Prepago[[#This Row],[CODIGO_USUARIO]],[1]!Personal[#Data],6,0)</f>
        <v>PATIÑO TAPIA ANDRES SANTIAGO</v>
      </c>
      <c r="BS307" s="18">
        <f>DAY(Prepago[[#This Row],[FECHA_ALTA]])</f>
        <v>12</v>
      </c>
    </row>
    <row r="308" spans="1:71" x14ac:dyDescent="0.25">
      <c r="A308" s="18" t="s">
        <v>96</v>
      </c>
      <c r="B308" s="18" t="s">
        <v>9508</v>
      </c>
      <c r="C308" s="18" t="s">
        <v>9514</v>
      </c>
      <c r="D308" s="18" t="s">
        <v>9510</v>
      </c>
      <c r="E308" s="22">
        <v>44907</v>
      </c>
      <c r="F308" s="18" t="s">
        <v>67</v>
      </c>
      <c r="G308" s="18" t="s">
        <v>9511</v>
      </c>
      <c r="H308" s="18" t="s">
        <v>9512</v>
      </c>
      <c r="I308" s="18" t="s">
        <v>70</v>
      </c>
      <c r="J308" s="18" t="s">
        <v>8102</v>
      </c>
      <c r="K308" s="18" t="s">
        <v>8103</v>
      </c>
      <c r="L308" s="18" t="s">
        <v>132</v>
      </c>
      <c r="M308" s="18" t="s">
        <v>7037</v>
      </c>
      <c r="N308" s="18" t="s">
        <v>9513</v>
      </c>
      <c r="O308" s="18" t="s">
        <v>287</v>
      </c>
      <c r="P308" s="18" t="s">
        <v>13254</v>
      </c>
      <c r="Q308" s="18" t="s">
        <v>10817</v>
      </c>
      <c r="R308" s="18" t="s">
        <v>78</v>
      </c>
      <c r="S308" s="18" t="s">
        <v>77</v>
      </c>
      <c r="T308" s="22">
        <v>44915</v>
      </c>
      <c r="U308" s="18"/>
      <c r="V308" s="18" t="s">
        <v>81</v>
      </c>
      <c r="W308" s="18" t="s">
        <v>79</v>
      </c>
      <c r="X308" s="18" t="s">
        <v>10803</v>
      </c>
      <c r="Y308" s="18" t="s">
        <v>420</v>
      </c>
      <c r="Z308" s="18" t="s">
        <v>421</v>
      </c>
      <c r="AA308" s="18" t="s">
        <v>12930</v>
      </c>
      <c r="AB308" s="18" t="s">
        <v>12931</v>
      </c>
      <c r="AC308" s="18" t="s">
        <v>7984</v>
      </c>
      <c r="AD308" s="18" t="s">
        <v>10804</v>
      </c>
      <c r="AE308" s="18" t="s">
        <v>148</v>
      </c>
      <c r="AF308" s="18" t="s">
        <v>95</v>
      </c>
      <c r="AG308" s="18" t="s">
        <v>83</v>
      </c>
      <c r="AH308" s="18" t="s">
        <v>83</v>
      </c>
      <c r="AI308" s="18" t="s">
        <v>81</v>
      </c>
      <c r="AJ308" s="18" t="s">
        <v>118</v>
      </c>
      <c r="AK308" s="18" t="s">
        <v>95</v>
      </c>
      <c r="AL308" s="18" t="s">
        <v>12905</v>
      </c>
      <c r="AM308" s="18" t="s">
        <v>85</v>
      </c>
      <c r="AN308" s="18" t="s">
        <v>7031</v>
      </c>
      <c r="AO308" s="18" t="s">
        <v>86</v>
      </c>
      <c r="AP308" s="18" t="s">
        <v>90</v>
      </c>
      <c r="AQ308" s="18" t="s">
        <v>8141</v>
      </c>
      <c r="AR308" s="18" t="s">
        <v>151</v>
      </c>
      <c r="AS308" s="18" t="s">
        <v>92</v>
      </c>
      <c r="AT308" s="18" t="s">
        <v>95</v>
      </c>
      <c r="AU308" s="18" t="s">
        <v>95</v>
      </c>
      <c r="AV308" s="18" t="s">
        <v>7037</v>
      </c>
      <c r="AW308" s="18" t="s">
        <v>95</v>
      </c>
      <c r="AX308" s="18" t="s">
        <v>10806</v>
      </c>
      <c r="AY308" s="18" t="s">
        <v>95</v>
      </c>
      <c r="AZ308" s="18" t="s">
        <v>95</v>
      </c>
      <c r="BA308" s="18" t="s">
        <v>95</v>
      </c>
      <c r="BB308" s="18" t="s">
        <v>95</v>
      </c>
      <c r="BC308" s="18" t="s">
        <v>95</v>
      </c>
      <c r="BD308" s="18" t="s">
        <v>10829</v>
      </c>
      <c r="BE308" s="18" t="s">
        <v>95</v>
      </c>
      <c r="BF308" s="18" t="s">
        <v>10809</v>
      </c>
      <c r="BG308" s="18" t="s">
        <v>7030</v>
      </c>
      <c r="BH308" s="18"/>
      <c r="BI308" s="18"/>
      <c r="BJ308" s="18" t="s">
        <v>420</v>
      </c>
      <c r="BK308" s="18" t="s">
        <v>13255</v>
      </c>
      <c r="BL308" s="18" t="s">
        <v>10811</v>
      </c>
      <c r="BM308" s="18" t="s">
        <v>139</v>
      </c>
      <c r="BN308" s="18" t="s">
        <v>85</v>
      </c>
      <c r="BO308" s="18">
        <v>0</v>
      </c>
      <c r="BP308" s="18" t="s">
        <v>10812</v>
      </c>
      <c r="BQ308" s="18" t="str">
        <f>VLOOKUP(Prepago[[#This Row],[NOM_PLAZA]],[1]!Locales[#Data],3,0)</f>
        <v>TIENDA CUENCA REMIGIO</v>
      </c>
      <c r="BR308" s="18" t="str">
        <f>VLOOKUP(Prepago[[#This Row],[CODIGO_USUARIO]],[1]!Personal[#Data],6,0)</f>
        <v>YEPEZ PALOMEQUE DIANA PATRICIA</v>
      </c>
      <c r="BS308" s="18">
        <f>DAY(Prepago[[#This Row],[FECHA_ALTA]])</f>
        <v>12</v>
      </c>
    </row>
    <row r="309" spans="1:71" x14ac:dyDescent="0.25">
      <c r="A309" s="18" t="s">
        <v>96</v>
      </c>
      <c r="B309" s="18" t="s">
        <v>13256</v>
      </c>
      <c r="C309" s="18" t="s">
        <v>13257</v>
      </c>
      <c r="D309" s="18" t="s">
        <v>13258</v>
      </c>
      <c r="E309" s="22">
        <v>44907</v>
      </c>
      <c r="F309" s="18" t="s">
        <v>67</v>
      </c>
      <c r="G309" s="18" t="s">
        <v>13259</v>
      </c>
      <c r="H309" s="18" t="s">
        <v>13260</v>
      </c>
      <c r="I309" s="18" t="s">
        <v>70</v>
      </c>
      <c r="J309" s="18" t="s">
        <v>8102</v>
      </c>
      <c r="K309" s="18" t="s">
        <v>8103</v>
      </c>
      <c r="L309" s="18" t="s">
        <v>95</v>
      </c>
      <c r="M309" s="18" t="s">
        <v>7029</v>
      </c>
      <c r="N309" s="18" t="s">
        <v>13261</v>
      </c>
      <c r="O309" s="18" t="s">
        <v>75</v>
      </c>
      <c r="P309" s="18" t="s">
        <v>13262</v>
      </c>
      <c r="Q309" s="18" t="s">
        <v>4453</v>
      </c>
      <c r="R309" s="18" t="s">
        <v>78</v>
      </c>
      <c r="S309" s="18" t="s">
        <v>77</v>
      </c>
      <c r="T309" s="22">
        <v>44915</v>
      </c>
      <c r="U309" s="18"/>
      <c r="V309" s="18" t="s">
        <v>81</v>
      </c>
      <c r="W309" s="18" t="s">
        <v>79</v>
      </c>
      <c r="X309" s="18" t="s">
        <v>10803</v>
      </c>
      <c r="Y309" s="18" t="s">
        <v>385</v>
      </c>
      <c r="Z309" s="18" t="s">
        <v>386</v>
      </c>
      <c r="AA309" s="18" t="s">
        <v>7062</v>
      </c>
      <c r="AB309" s="18" t="s">
        <v>95</v>
      </c>
      <c r="AC309" s="18" t="s">
        <v>7984</v>
      </c>
      <c r="AD309" s="18" t="s">
        <v>10804</v>
      </c>
      <c r="AE309" s="18" t="s">
        <v>148</v>
      </c>
      <c r="AF309" s="18" t="s">
        <v>95</v>
      </c>
      <c r="AG309" s="18" t="s">
        <v>83</v>
      </c>
      <c r="AH309" s="18" t="s">
        <v>83</v>
      </c>
      <c r="AI309" s="18" t="s">
        <v>81</v>
      </c>
      <c r="AJ309" s="18" t="s">
        <v>118</v>
      </c>
      <c r="AK309" s="18" t="s">
        <v>95</v>
      </c>
      <c r="AL309" s="18" t="s">
        <v>12915</v>
      </c>
      <c r="AM309" s="18" t="s">
        <v>85</v>
      </c>
      <c r="AN309" s="18" t="s">
        <v>7031</v>
      </c>
      <c r="AO309" s="18" t="s">
        <v>86</v>
      </c>
      <c r="AP309" s="18" t="s">
        <v>90</v>
      </c>
      <c r="AQ309" s="18" t="s">
        <v>8141</v>
      </c>
      <c r="AR309" s="18" t="s">
        <v>151</v>
      </c>
      <c r="AS309" s="18" t="s">
        <v>92</v>
      </c>
      <c r="AT309" s="18" t="s">
        <v>95</v>
      </c>
      <c r="AU309" s="18" t="s">
        <v>95</v>
      </c>
      <c r="AV309" s="18" t="s">
        <v>7029</v>
      </c>
      <c r="AW309" s="18" t="s">
        <v>95</v>
      </c>
      <c r="AX309" s="18" t="s">
        <v>10806</v>
      </c>
      <c r="AY309" s="18" t="s">
        <v>95</v>
      </c>
      <c r="AZ309" s="18" t="s">
        <v>95</v>
      </c>
      <c r="BA309" s="18" t="s">
        <v>95</v>
      </c>
      <c r="BB309" s="18" t="s">
        <v>95</v>
      </c>
      <c r="BC309" s="18" t="s">
        <v>95</v>
      </c>
      <c r="BD309" s="18" t="s">
        <v>10829</v>
      </c>
      <c r="BE309" s="18" t="s">
        <v>13263</v>
      </c>
      <c r="BF309" s="18" t="s">
        <v>10809</v>
      </c>
      <c r="BG309" s="18" t="s">
        <v>7030</v>
      </c>
      <c r="BH309" s="18"/>
      <c r="BI309" s="18"/>
      <c r="BJ309" s="18" t="s">
        <v>385</v>
      </c>
      <c r="BK309" s="18" t="s">
        <v>13264</v>
      </c>
      <c r="BL309" s="18" t="s">
        <v>10811</v>
      </c>
      <c r="BM309" s="18" t="s">
        <v>92</v>
      </c>
      <c r="BN309" s="18" t="s">
        <v>85</v>
      </c>
      <c r="BO309" s="18">
        <v>0</v>
      </c>
      <c r="BP309" s="18" t="s">
        <v>10812</v>
      </c>
      <c r="BQ309" s="18" t="str">
        <f>VLOOKUP(Prepago[[#This Row],[NOM_PLAZA]],[1]!Locales[#Data],3,0)</f>
        <v>TIENDA CUENCA REMIGIO</v>
      </c>
      <c r="BR309" s="18" t="str">
        <f>VLOOKUP(Prepago[[#This Row],[CODIGO_USUARIO]],[1]!Personal[#Data],6,0)</f>
        <v>RAMIREZ RUBIO NELLY LILIANA</v>
      </c>
      <c r="BS309" s="18">
        <f>DAY(Prepago[[#This Row],[FECHA_ALTA]])</f>
        <v>12</v>
      </c>
    </row>
    <row r="310" spans="1:71" x14ac:dyDescent="0.25">
      <c r="A310" s="18" t="s">
        <v>96</v>
      </c>
      <c r="B310" s="18" t="s">
        <v>13265</v>
      </c>
      <c r="C310" s="18" t="s">
        <v>13266</v>
      </c>
      <c r="D310" s="18" t="s">
        <v>13267</v>
      </c>
      <c r="E310" s="22">
        <v>44907</v>
      </c>
      <c r="F310" s="18" t="s">
        <v>67</v>
      </c>
      <c r="G310" s="18" t="s">
        <v>13268</v>
      </c>
      <c r="H310" s="18" t="s">
        <v>13269</v>
      </c>
      <c r="I310" s="18" t="s">
        <v>70</v>
      </c>
      <c r="J310" s="18" t="s">
        <v>8102</v>
      </c>
      <c r="K310" s="18" t="s">
        <v>8103</v>
      </c>
      <c r="L310" s="18" t="s">
        <v>132</v>
      </c>
      <c r="M310" s="18" t="s">
        <v>7029</v>
      </c>
      <c r="N310" s="18" t="s">
        <v>13270</v>
      </c>
      <c r="O310" s="18" t="s">
        <v>75</v>
      </c>
      <c r="P310" s="18" t="s">
        <v>13271</v>
      </c>
      <c r="Q310" s="18" t="s">
        <v>1532</v>
      </c>
      <c r="R310" s="18" t="s">
        <v>78</v>
      </c>
      <c r="S310" s="18" t="s">
        <v>77</v>
      </c>
      <c r="T310" s="22">
        <v>44915</v>
      </c>
      <c r="U310" s="18"/>
      <c r="V310" s="18" t="s">
        <v>81</v>
      </c>
      <c r="W310" s="18" t="s">
        <v>79</v>
      </c>
      <c r="X310" s="18" t="s">
        <v>10803</v>
      </c>
      <c r="Y310" s="18" t="s">
        <v>610</v>
      </c>
      <c r="Z310" s="18" t="s">
        <v>611</v>
      </c>
      <c r="AA310" s="18" t="s">
        <v>7062</v>
      </c>
      <c r="AB310" s="18" t="s">
        <v>95</v>
      </c>
      <c r="AC310" s="18" t="s">
        <v>7984</v>
      </c>
      <c r="AD310" s="18" t="s">
        <v>10804</v>
      </c>
      <c r="AE310" s="18" t="s">
        <v>148</v>
      </c>
      <c r="AF310" s="18" t="s">
        <v>95</v>
      </c>
      <c r="AG310" s="18" t="s">
        <v>83</v>
      </c>
      <c r="AH310" s="18" t="s">
        <v>83</v>
      </c>
      <c r="AI310" s="18" t="s">
        <v>81</v>
      </c>
      <c r="AJ310" s="18" t="s">
        <v>118</v>
      </c>
      <c r="AK310" s="18" t="s">
        <v>95</v>
      </c>
      <c r="AL310" s="18" t="s">
        <v>12895</v>
      </c>
      <c r="AM310" s="18" t="s">
        <v>85</v>
      </c>
      <c r="AN310" s="18" t="s">
        <v>7031</v>
      </c>
      <c r="AO310" s="18" t="s">
        <v>86</v>
      </c>
      <c r="AP310" s="18" t="s">
        <v>90</v>
      </c>
      <c r="AQ310" s="18" t="s">
        <v>8141</v>
      </c>
      <c r="AR310" s="18" t="s">
        <v>151</v>
      </c>
      <c r="AS310" s="18" t="s">
        <v>92</v>
      </c>
      <c r="AT310" s="18" t="s">
        <v>95</v>
      </c>
      <c r="AU310" s="18" t="s">
        <v>95</v>
      </c>
      <c r="AV310" s="18" t="s">
        <v>7029</v>
      </c>
      <c r="AW310" s="18" t="s">
        <v>95</v>
      </c>
      <c r="AX310" s="18" t="s">
        <v>10806</v>
      </c>
      <c r="AY310" s="18" t="s">
        <v>95</v>
      </c>
      <c r="AZ310" s="18" t="s">
        <v>95</v>
      </c>
      <c r="BA310" s="18" t="s">
        <v>95</v>
      </c>
      <c r="BB310" s="18" t="s">
        <v>95</v>
      </c>
      <c r="BC310" s="18" t="s">
        <v>95</v>
      </c>
      <c r="BD310" s="18" t="s">
        <v>10829</v>
      </c>
      <c r="BE310" s="18" t="s">
        <v>10808</v>
      </c>
      <c r="BF310" s="18" t="s">
        <v>10809</v>
      </c>
      <c r="BG310" s="18" t="s">
        <v>7030</v>
      </c>
      <c r="BH310" s="18"/>
      <c r="BI310" s="18"/>
      <c r="BJ310" s="18" t="s">
        <v>610</v>
      </c>
      <c r="BK310" s="18" t="s">
        <v>13272</v>
      </c>
      <c r="BL310" s="18" t="s">
        <v>10811</v>
      </c>
      <c r="BM310" s="18" t="s">
        <v>92</v>
      </c>
      <c r="BN310" s="18" t="s">
        <v>85</v>
      </c>
      <c r="BO310" s="18">
        <v>0</v>
      </c>
      <c r="BP310" s="18" t="s">
        <v>10812</v>
      </c>
      <c r="BQ310" s="18" t="str">
        <f>VLOOKUP(Prepago[[#This Row],[NOM_PLAZA]],[1]!Locales[#Data],3,0)</f>
        <v>TIENDA CUENCA REMIGIO</v>
      </c>
      <c r="BR310" s="18" t="str">
        <f>VLOOKUP(Prepago[[#This Row],[CODIGO_USUARIO]],[1]!Personal[#Data],6,0)</f>
        <v>PATIÑO TAPIA ANDRES SANTIAGO</v>
      </c>
      <c r="BS310" s="18">
        <f>DAY(Prepago[[#This Row],[FECHA_ALTA]])</f>
        <v>12</v>
      </c>
    </row>
    <row r="311" spans="1:71" x14ac:dyDescent="0.25">
      <c r="A311" s="18" t="s">
        <v>96</v>
      </c>
      <c r="B311" s="18" t="s">
        <v>13273</v>
      </c>
      <c r="C311" s="18" t="s">
        <v>13274</v>
      </c>
      <c r="D311" s="18" t="s">
        <v>13145</v>
      </c>
      <c r="E311" s="22">
        <v>44896</v>
      </c>
      <c r="F311" s="18" t="s">
        <v>67</v>
      </c>
      <c r="G311" s="18" t="s">
        <v>13146</v>
      </c>
      <c r="H311" s="18" t="s">
        <v>13147</v>
      </c>
      <c r="I311" s="18" t="s">
        <v>70</v>
      </c>
      <c r="J311" s="18" t="s">
        <v>8102</v>
      </c>
      <c r="K311" s="18" t="s">
        <v>8103</v>
      </c>
      <c r="L311" s="18" t="s">
        <v>73</v>
      </c>
      <c r="M311" s="18" t="s">
        <v>7029</v>
      </c>
      <c r="N311" s="18" t="s">
        <v>13275</v>
      </c>
      <c r="O311" s="18" t="s">
        <v>75</v>
      </c>
      <c r="P311" s="18" t="s">
        <v>13276</v>
      </c>
      <c r="Q311" s="18" t="s">
        <v>10817</v>
      </c>
      <c r="R311" s="18" t="s">
        <v>78</v>
      </c>
      <c r="S311" s="18" t="s">
        <v>77</v>
      </c>
      <c r="T311" s="22">
        <v>44915</v>
      </c>
      <c r="U311" s="18"/>
      <c r="V311" s="18" t="s">
        <v>81</v>
      </c>
      <c r="W311" s="18" t="s">
        <v>79</v>
      </c>
      <c r="X311" s="18" t="s">
        <v>10803</v>
      </c>
      <c r="Y311" s="18" t="s">
        <v>385</v>
      </c>
      <c r="Z311" s="18" t="s">
        <v>386</v>
      </c>
      <c r="AA311" s="18" t="s">
        <v>7062</v>
      </c>
      <c r="AB311" s="18" t="s">
        <v>95</v>
      </c>
      <c r="AC311" s="18" t="s">
        <v>7984</v>
      </c>
      <c r="AD311" s="18" t="s">
        <v>10804</v>
      </c>
      <c r="AE311" s="18" t="s">
        <v>148</v>
      </c>
      <c r="AF311" s="18" t="s">
        <v>95</v>
      </c>
      <c r="AG311" s="18" t="s">
        <v>83</v>
      </c>
      <c r="AH311" s="18" t="s">
        <v>83</v>
      </c>
      <c r="AI311" s="18" t="s">
        <v>81</v>
      </c>
      <c r="AJ311" s="18" t="s">
        <v>118</v>
      </c>
      <c r="AK311" s="18" t="s">
        <v>95</v>
      </c>
      <c r="AL311" s="18" t="s">
        <v>12915</v>
      </c>
      <c r="AM311" s="18" t="s">
        <v>85</v>
      </c>
      <c r="AN311" s="18" t="s">
        <v>7031</v>
      </c>
      <c r="AO311" s="18" t="s">
        <v>86</v>
      </c>
      <c r="AP311" s="18" t="s">
        <v>90</v>
      </c>
      <c r="AQ311" s="18" t="s">
        <v>8141</v>
      </c>
      <c r="AR311" s="18" t="s">
        <v>151</v>
      </c>
      <c r="AS311" s="18" t="s">
        <v>92</v>
      </c>
      <c r="AT311" s="18" t="s">
        <v>95</v>
      </c>
      <c r="AU311" s="18" t="s">
        <v>95</v>
      </c>
      <c r="AV311" s="18" t="s">
        <v>7029</v>
      </c>
      <c r="AW311" s="18" t="s">
        <v>95</v>
      </c>
      <c r="AX311" s="18" t="s">
        <v>10806</v>
      </c>
      <c r="AY311" s="18" t="s">
        <v>95</v>
      </c>
      <c r="AZ311" s="18" t="s">
        <v>95</v>
      </c>
      <c r="BA311" s="18" t="s">
        <v>95</v>
      </c>
      <c r="BB311" s="18" t="s">
        <v>95</v>
      </c>
      <c r="BC311" s="18" t="s">
        <v>95</v>
      </c>
      <c r="BD311" s="18" t="s">
        <v>10829</v>
      </c>
      <c r="BE311" s="18" t="s">
        <v>13150</v>
      </c>
      <c r="BF311" s="18" t="s">
        <v>10809</v>
      </c>
      <c r="BG311" s="18" t="s">
        <v>7030</v>
      </c>
      <c r="BH311" s="18"/>
      <c r="BI311" s="18"/>
      <c r="BJ311" s="18" t="s">
        <v>385</v>
      </c>
      <c r="BK311" s="18" t="s">
        <v>13151</v>
      </c>
      <c r="BL311" s="18" t="s">
        <v>10811</v>
      </c>
      <c r="BM311" s="18" t="s">
        <v>92</v>
      </c>
      <c r="BN311" s="18" t="s">
        <v>85</v>
      </c>
      <c r="BO311" s="18">
        <v>0</v>
      </c>
      <c r="BP311" s="18" t="s">
        <v>10812</v>
      </c>
      <c r="BQ311" s="18" t="str">
        <f>VLOOKUP(Prepago[[#This Row],[NOM_PLAZA]],[1]!Locales[#Data],3,0)</f>
        <v>TIENDA CUENCA REMIGIO</v>
      </c>
      <c r="BR311" s="18" t="str">
        <f>VLOOKUP(Prepago[[#This Row],[CODIGO_USUARIO]],[1]!Personal[#Data],6,0)</f>
        <v>RAMIREZ RUBIO NELLY LILIANA</v>
      </c>
      <c r="BS311" s="18">
        <f>DAY(Prepago[[#This Row],[FECHA_ALTA]])</f>
        <v>1</v>
      </c>
    </row>
    <row r="312" spans="1:71" x14ac:dyDescent="0.25">
      <c r="A312" s="18" t="s">
        <v>96</v>
      </c>
      <c r="B312" s="18" t="s">
        <v>13277</v>
      </c>
      <c r="C312" s="18" t="s">
        <v>13278</v>
      </c>
      <c r="D312" s="18" t="s">
        <v>13279</v>
      </c>
      <c r="E312" s="22">
        <v>44905</v>
      </c>
      <c r="F312" s="18" t="s">
        <v>67</v>
      </c>
      <c r="G312" s="18" t="s">
        <v>13280</v>
      </c>
      <c r="H312" s="18" t="s">
        <v>13281</v>
      </c>
      <c r="I312" s="18" t="s">
        <v>70</v>
      </c>
      <c r="J312" s="18" t="s">
        <v>8102</v>
      </c>
      <c r="K312" s="18" t="s">
        <v>8103</v>
      </c>
      <c r="L312" s="18" t="s">
        <v>95</v>
      </c>
      <c r="M312" s="18" t="s">
        <v>7029</v>
      </c>
      <c r="N312" s="18" t="s">
        <v>13282</v>
      </c>
      <c r="O312" s="18" t="s">
        <v>75</v>
      </c>
      <c r="P312" s="18" t="s">
        <v>13283</v>
      </c>
      <c r="Q312" s="18" t="s">
        <v>4453</v>
      </c>
      <c r="R312" s="18" t="s">
        <v>78</v>
      </c>
      <c r="S312" s="18" t="s">
        <v>77</v>
      </c>
      <c r="T312" s="22">
        <v>44915</v>
      </c>
      <c r="U312" s="18"/>
      <c r="V312" s="18" t="s">
        <v>81</v>
      </c>
      <c r="W312" s="18" t="s">
        <v>79</v>
      </c>
      <c r="X312" s="18" t="s">
        <v>10803</v>
      </c>
      <c r="Y312" s="18" t="s">
        <v>318</v>
      </c>
      <c r="Z312" s="18" t="s">
        <v>319</v>
      </c>
      <c r="AA312" s="18" t="s">
        <v>7062</v>
      </c>
      <c r="AB312" s="18" t="s">
        <v>95</v>
      </c>
      <c r="AC312" s="18" t="s">
        <v>7984</v>
      </c>
      <c r="AD312" s="18" t="s">
        <v>10804</v>
      </c>
      <c r="AE312" s="18" t="s">
        <v>148</v>
      </c>
      <c r="AF312" s="18" t="s">
        <v>95</v>
      </c>
      <c r="AG312" s="18" t="s">
        <v>83</v>
      </c>
      <c r="AH312" s="18" t="s">
        <v>83</v>
      </c>
      <c r="AI312" s="18" t="s">
        <v>81</v>
      </c>
      <c r="AJ312" s="18" t="s">
        <v>118</v>
      </c>
      <c r="AK312" s="18" t="s">
        <v>95</v>
      </c>
      <c r="AL312" s="18" t="s">
        <v>10743</v>
      </c>
      <c r="AM312" s="18" t="s">
        <v>85</v>
      </c>
      <c r="AN312" s="18" t="s">
        <v>7031</v>
      </c>
      <c r="AO312" s="18" t="s">
        <v>86</v>
      </c>
      <c r="AP312" s="18" t="s">
        <v>90</v>
      </c>
      <c r="AQ312" s="18" t="s">
        <v>8141</v>
      </c>
      <c r="AR312" s="18" t="s">
        <v>151</v>
      </c>
      <c r="AS312" s="18" t="s">
        <v>92</v>
      </c>
      <c r="AT312" s="18" t="s">
        <v>95</v>
      </c>
      <c r="AU312" s="18" t="s">
        <v>95</v>
      </c>
      <c r="AV312" s="18" t="s">
        <v>7029</v>
      </c>
      <c r="AW312" s="18" t="s">
        <v>95</v>
      </c>
      <c r="AX312" s="18" t="s">
        <v>10806</v>
      </c>
      <c r="AY312" s="18" t="s">
        <v>95</v>
      </c>
      <c r="AZ312" s="18" t="s">
        <v>95</v>
      </c>
      <c r="BA312" s="18" t="s">
        <v>95</v>
      </c>
      <c r="BB312" s="18" t="s">
        <v>95</v>
      </c>
      <c r="BC312" s="18" t="s">
        <v>95</v>
      </c>
      <c r="BD312" s="18" t="s">
        <v>10807</v>
      </c>
      <c r="BE312" s="18" t="s">
        <v>95</v>
      </c>
      <c r="BF312" s="18" t="s">
        <v>10809</v>
      </c>
      <c r="BG312" s="18" t="s">
        <v>7030</v>
      </c>
      <c r="BH312" s="18"/>
      <c r="BI312" s="18"/>
      <c r="BJ312" s="18" t="s">
        <v>318</v>
      </c>
      <c r="BK312" s="18" t="s">
        <v>13284</v>
      </c>
      <c r="BL312" s="18" t="s">
        <v>10811</v>
      </c>
      <c r="BM312" s="18" t="s">
        <v>92</v>
      </c>
      <c r="BN312" s="18" t="s">
        <v>85</v>
      </c>
      <c r="BO312" s="18">
        <v>0</v>
      </c>
      <c r="BP312" s="18" t="s">
        <v>10812</v>
      </c>
      <c r="BQ312" s="18" t="str">
        <f>VLOOKUP(Prepago[[#This Row],[NOM_PLAZA]],[1]!Locales[#Data],3,0)</f>
        <v>TIENDA CUENCA REMIGIO</v>
      </c>
      <c r="BR312" s="18" t="str">
        <f>VLOOKUP(Prepago[[#This Row],[CODIGO_USUARIO]],[1]!Personal[#Data],6,0)</f>
        <v>RODRIGUEZ QUITO JESSICA GABRIELA</v>
      </c>
      <c r="BS312" s="18">
        <f>DAY(Prepago[[#This Row],[FECHA_ALTA]])</f>
        <v>10</v>
      </c>
    </row>
    <row r="313" spans="1:71" x14ac:dyDescent="0.25">
      <c r="A313" s="18" t="s">
        <v>96</v>
      </c>
      <c r="B313" s="18" t="s">
        <v>13285</v>
      </c>
      <c r="C313" s="18" t="s">
        <v>13286</v>
      </c>
      <c r="D313" s="18" t="s">
        <v>13287</v>
      </c>
      <c r="E313" s="22">
        <v>44909</v>
      </c>
      <c r="F313" s="18" t="s">
        <v>67</v>
      </c>
      <c r="G313" s="18" t="s">
        <v>13288</v>
      </c>
      <c r="H313" s="18" t="s">
        <v>13289</v>
      </c>
      <c r="I313" s="18" t="s">
        <v>70</v>
      </c>
      <c r="J313" s="18" t="s">
        <v>8102</v>
      </c>
      <c r="K313" s="18" t="s">
        <v>8103</v>
      </c>
      <c r="L313" s="18" t="s">
        <v>73</v>
      </c>
      <c r="M313" s="18" t="s">
        <v>7029</v>
      </c>
      <c r="N313" s="18" t="s">
        <v>13290</v>
      </c>
      <c r="O313" s="18" t="s">
        <v>75</v>
      </c>
      <c r="P313" s="18" t="s">
        <v>13291</v>
      </c>
      <c r="Q313" s="18" t="s">
        <v>10817</v>
      </c>
      <c r="R313" s="18" t="s">
        <v>78</v>
      </c>
      <c r="S313" s="18" t="s">
        <v>77</v>
      </c>
      <c r="T313" s="22">
        <v>44915</v>
      </c>
      <c r="U313" s="18"/>
      <c r="V313" s="18" t="s">
        <v>81</v>
      </c>
      <c r="W313" s="18" t="s">
        <v>79</v>
      </c>
      <c r="X313" s="18" t="s">
        <v>10803</v>
      </c>
      <c r="Y313" s="18" t="s">
        <v>318</v>
      </c>
      <c r="Z313" s="18" t="s">
        <v>319</v>
      </c>
      <c r="AA313" s="18" t="s">
        <v>7062</v>
      </c>
      <c r="AB313" s="18" t="s">
        <v>95</v>
      </c>
      <c r="AC313" s="18" t="s">
        <v>7984</v>
      </c>
      <c r="AD313" s="18" t="s">
        <v>10804</v>
      </c>
      <c r="AE313" s="18" t="s">
        <v>148</v>
      </c>
      <c r="AF313" s="18" t="s">
        <v>95</v>
      </c>
      <c r="AG313" s="18" t="s">
        <v>83</v>
      </c>
      <c r="AH313" s="18" t="s">
        <v>83</v>
      </c>
      <c r="AI313" s="18" t="s">
        <v>81</v>
      </c>
      <c r="AJ313" s="18" t="s">
        <v>118</v>
      </c>
      <c r="AK313" s="18" t="s">
        <v>95</v>
      </c>
      <c r="AL313" s="18" t="s">
        <v>10743</v>
      </c>
      <c r="AM313" s="18" t="s">
        <v>85</v>
      </c>
      <c r="AN313" s="18" t="s">
        <v>7031</v>
      </c>
      <c r="AO313" s="18" t="s">
        <v>86</v>
      </c>
      <c r="AP313" s="18" t="s">
        <v>90</v>
      </c>
      <c r="AQ313" s="18" t="s">
        <v>8141</v>
      </c>
      <c r="AR313" s="18" t="s">
        <v>151</v>
      </c>
      <c r="AS313" s="18" t="s">
        <v>92</v>
      </c>
      <c r="AT313" s="18" t="s">
        <v>95</v>
      </c>
      <c r="AU313" s="18" t="s">
        <v>95</v>
      </c>
      <c r="AV313" s="18" t="s">
        <v>7029</v>
      </c>
      <c r="AW313" s="18" t="s">
        <v>95</v>
      </c>
      <c r="AX313" s="18" t="s">
        <v>10806</v>
      </c>
      <c r="AY313" s="18" t="s">
        <v>95</v>
      </c>
      <c r="AZ313" s="18" t="s">
        <v>95</v>
      </c>
      <c r="BA313" s="18" t="s">
        <v>95</v>
      </c>
      <c r="BB313" s="18" t="s">
        <v>95</v>
      </c>
      <c r="BC313" s="18" t="s">
        <v>95</v>
      </c>
      <c r="BD313" s="18" t="s">
        <v>10829</v>
      </c>
      <c r="BE313" s="18" t="s">
        <v>13292</v>
      </c>
      <c r="BF313" s="18" t="s">
        <v>10809</v>
      </c>
      <c r="BG313" s="18" t="s">
        <v>7030</v>
      </c>
      <c r="BH313" s="18"/>
      <c r="BI313" s="18"/>
      <c r="BJ313" s="18" t="s">
        <v>318</v>
      </c>
      <c r="BK313" s="18" t="s">
        <v>13293</v>
      </c>
      <c r="BL313" s="18" t="s">
        <v>10811</v>
      </c>
      <c r="BM313" s="18" t="s">
        <v>92</v>
      </c>
      <c r="BN313" s="18" t="s">
        <v>85</v>
      </c>
      <c r="BO313" s="18">
        <v>0</v>
      </c>
      <c r="BP313" s="18" t="s">
        <v>10812</v>
      </c>
      <c r="BQ313" s="18" t="str">
        <f>VLOOKUP(Prepago[[#This Row],[NOM_PLAZA]],[1]!Locales[#Data],3,0)</f>
        <v>TIENDA CUENCA REMIGIO</v>
      </c>
      <c r="BR313" s="18" t="str">
        <f>VLOOKUP(Prepago[[#This Row],[CODIGO_USUARIO]],[1]!Personal[#Data],6,0)</f>
        <v>RODRIGUEZ QUITO JESSICA GABRIELA</v>
      </c>
      <c r="BS313" s="18">
        <f>DAY(Prepago[[#This Row],[FECHA_ALTA]])</f>
        <v>14</v>
      </c>
    </row>
    <row r="314" spans="1:71" x14ac:dyDescent="0.25">
      <c r="A314" s="18" t="s">
        <v>96</v>
      </c>
      <c r="B314" s="18" t="s">
        <v>13294</v>
      </c>
      <c r="C314" s="18" t="s">
        <v>13295</v>
      </c>
      <c r="D314" s="18" t="s">
        <v>13089</v>
      </c>
      <c r="E314" s="22">
        <v>44914</v>
      </c>
      <c r="F314" s="18" t="s">
        <v>67</v>
      </c>
      <c r="G314" s="18" t="s">
        <v>13090</v>
      </c>
      <c r="H314" s="18" t="s">
        <v>13091</v>
      </c>
      <c r="I314" s="18" t="s">
        <v>70</v>
      </c>
      <c r="J314" s="18" t="s">
        <v>8102</v>
      </c>
      <c r="K314" s="18" t="s">
        <v>8103</v>
      </c>
      <c r="L314" s="18" t="s">
        <v>73</v>
      </c>
      <c r="M314" s="18" t="s">
        <v>7029</v>
      </c>
      <c r="N314" s="18" t="s">
        <v>13296</v>
      </c>
      <c r="O314" s="18" t="s">
        <v>75</v>
      </c>
      <c r="P314" s="18" t="s">
        <v>13297</v>
      </c>
      <c r="Q314" s="18" t="s">
        <v>1532</v>
      </c>
      <c r="R314" s="18" t="s">
        <v>78</v>
      </c>
      <c r="S314" s="18" t="s">
        <v>77</v>
      </c>
      <c r="T314" s="22">
        <v>44915</v>
      </c>
      <c r="U314" s="18"/>
      <c r="V314" s="18" t="s">
        <v>81</v>
      </c>
      <c r="W314" s="18" t="s">
        <v>79</v>
      </c>
      <c r="X314" s="18" t="s">
        <v>10803</v>
      </c>
      <c r="Y314" s="18" t="s">
        <v>420</v>
      </c>
      <c r="Z314" s="18" t="s">
        <v>421</v>
      </c>
      <c r="AA314" s="18" t="s">
        <v>7062</v>
      </c>
      <c r="AB314" s="18" t="s">
        <v>95</v>
      </c>
      <c r="AC314" s="18" t="s">
        <v>7984</v>
      </c>
      <c r="AD314" s="18" t="s">
        <v>10804</v>
      </c>
      <c r="AE314" s="18" t="s">
        <v>148</v>
      </c>
      <c r="AF314" s="18" t="s">
        <v>95</v>
      </c>
      <c r="AG314" s="18" t="s">
        <v>83</v>
      </c>
      <c r="AH314" s="18" t="s">
        <v>83</v>
      </c>
      <c r="AI314" s="18" t="s">
        <v>81</v>
      </c>
      <c r="AJ314" s="18" t="s">
        <v>118</v>
      </c>
      <c r="AK314" s="18" t="s">
        <v>95</v>
      </c>
      <c r="AL314" s="18" t="s">
        <v>12905</v>
      </c>
      <c r="AM314" s="18" t="s">
        <v>85</v>
      </c>
      <c r="AN314" s="18" t="s">
        <v>7031</v>
      </c>
      <c r="AO314" s="18" t="s">
        <v>86</v>
      </c>
      <c r="AP314" s="18" t="s">
        <v>90</v>
      </c>
      <c r="AQ314" s="18" t="s">
        <v>8141</v>
      </c>
      <c r="AR314" s="18" t="s">
        <v>151</v>
      </c>
      <c r="AS314" s="18" t="s">
        <v>92</v>
      </c>
      <c r="AT314" s="18" t="s">
        <v>95</v>
      </c>
      <c r="AU314" s="18" t="s">
        <v>95</v>
      </c>
      <c r="AV314" s="18" t="s">
        <v>7029</v>
      </c>
      <c r="AW314" s="18" t="s">
        <v>95</v>
      </c>
      <c r="AX314" s="18" t="s">
        <v>10806</v>
      </c>
      <c r="AY314" s="18" t="s">
        <v>95</v>
      </c>
      <c r="AZ314" s="18" t="s">
        <v>95</v>
      </c>
      <c r="BA314" s="18" t="s">
        <v>95</v>
      </c>
      <c r="BB314" s="18" t="s">
        <v>95</v>
      </c>
      <c r="BC314" s="18" t="s">
        <v>95</v>
      </c>
      <c r="BD314" s="18" t="s">
        <v>10829</v>
      </c>
      <c r="BE314" s="18" t="s">
        <v>13094</v>
      </c>
      <c r="BF314" s="18" t="s">
        <v>10809</v>
      </c>
      <c r="BG314" s="18" t="s">
        <v>7030</v>
      </c>
      <c r="BH314" s="18"/>
      <c r="BI314" s="18"/>
      <c r="BJ314" s="18" t="s">
        <v>420</v>
      </c>
      <c r="BK314" s="18" t="s">
        <v>13095</v>
      </c>
      <c r="BL314" s="18" t="s">
        <v>10811</v>
      </c>
      <c r="BM314" s="18" t="s">
        <v>92</v>
      </c>
      <c r="BN314" s="18" t="s">
        <v>85</v>
      </c>
      <c r="BO314" s="18">
        <v>0</v>
      </c>
      <c r="BP314" s="18" t="s">
        <v>10812</v>
      </c>
      <c r="BQ314" s="18" t="str">
        <f>VLOOKUP(Prepago[[#This Row],[NOM_PLAZA]],[1]!Locales[#Data],3,0)</f>
        <v>TIENDA CUENCA REMIGIO</v>
      </c>
      <c r="BR314" s="18" t="str">
        <f>VLOOKUP(Prepago[[#This Row],[CODIGO_USUARIO]],[1]!Personal[#Data],6,0)</f>
        <v>YEPEZ PALOMEQUE DIANA PATRICIA</v>
      </c>
      <c r="BS314" s="18">
        <f>DAY(Prepago[[#This Row],[FECHA_ALTA]])</f>
        <v>19</v>
      </c>
    </row>
    <row r="315" spans="1:71" x14ac:dyDescent="0.25">
      <c r="A315" s="18" t="s">
        <v>96</v>
      </c>
      <c r="B315" s="18" t="s">
        <v>13298</v>
      </c>
      <c r="C315" s="18" t="s">
        <v>13299</v>
      </c>
      <c r="D315" s="18" t="s">
        <v>13300</v>
      </c>
      <c r="E315" s="22">
        <v>44897</v>
      </c>
      <c r="F315" s="18" t="s">
        <v>67</v>
      </c>
      <c r="G315" s="18" t="s">
        <v>13301</v>
      </c>
      <c r="H315" s="18" t="s">
        <v>13302</v>
      </c>
      <c r="I315" s="18" t="s">
        <v>70</v>
      </c>
      <c r="J315" s="18" t="s">
        <v>8102</v>
      </c>
      <c r="K315" s="18" t="s">
        <v>8103</v>
      </c>
      <c r="L315" s="18" t="s">
        <v>95</v>
      </c>
      <c r="M315" s="18" t="s">
        <v>7029</v>
      </c>
      <c r="N315" s="18" t="s">
        <v>13303</v>
      </c>
      <c r="O315" s="18" t="s">
        <v>75</v>
      </c>
      <c r="P315" s="18" t="s">
        <v>13304</v>
      </c>
      <c r="Q315" s="18" t="s">
        <v>10817</v>
      </c>
      <c r="R315" s="18" t="s">
        <v>78</v>
      </c>
      <c r="S315" s="18" t="s">
        <v>77</v>
      </c>
      <c r="T315" s="22">
        <v>44915</v>
      </c>
      <c r="U315" s="18"/>
      <c r="V315" s="18" t="s">
        <v>81</v>
      </c>
      <c r="W315" s="18" t="s">
        <v>79</v>
      </c>
      <c r="X315" s="18" t="s">
        <v>10803</v>
      </c>
      <c r="Y315" s="18" t="s">
        <v>420</v>
      </c>
      <c r="Z315" s="18" t="s">
        <v>421</v>
      </c>
      <c r="AA315" s="18" t="s">
        <v>7062</v>
      </c>
      <c r="AB315" s="18" t="s">
        <v>95</v>
      </c>
      <c r="AC315" s="18" t="s">
        <v>7984</v>
      </c>
      <c r="AD315" s="18" t="s">
        <v>10804</v>
      </c>
      <c r="AE315" s="18" t="s">
        <v>148</v>
      </c>
      <c r="AF315" s="18" t="s">
        <v>95</v>
      </c>
      <c r="AG315" s="18" t="s">
        <v>83</v>
      </c>
      <c r="AH315" s="18" t="s">
        <v>83</v>
      </c>
      <c r="AI315" s="18" t="s">
        <v>81</v>
      </c>
      <c r="AJ315" s="18" t="s">
        <v>118</v>
      </c>
      <c r="AK315" s="18" t="s">
        <v>95</v>
      </c>
      <c r="AL315" s="18" t="s">
        <v>12905</v>
      </c>
      <c r="AM315" s="18" t="s">
        <v>85</v>
      </c>
      <c r="AN315" s="18" t="s">
        <v>7031</v>
      </c>
      <c r="AO315" s="18" t="s">
        <v>86</v>
      </c>
      <c r="AP315" s="18" t="s">
        <v>90</v>
      </c>
      <c r="AQ315" s="18" t="s">
        <v>8141</v>
      </c>
      <c r="AR315" s="18" t="s">
        <v>151</v>
      </c>
      <c r="AS315" s="18" t="s">
        <v>92</v>
      </c>
      <c r="AT315" s="18" t="s">
        <v>95</v>
      </c>
      <c r="AU315" s="18" t="s">
        <v>95</v>
      </c>
      <c r="AV315" s="18" t="s">
        <v>7029</v>
      </c>
      <c r="AW315" s="18" t="s">
        <v>95</v>
      </c>
      <c r="AX315" s="18" t="s">
        <v>10806</v>
      </c>
      <c r="AY315" s="18" t="s">
        <v>95</v>
      </c>
      <c r="AZ315" s="18" t="s">
        <v>95</v>
      </c>
      <c r="BA315" s="18" t="s">
        <v>95</v>
      </c>
      <c r="BB315" s="18" t="s">
        <v>95</v>
      </c>
      <c r="BC315" s="18" t="s">
        <v>95</v>
      </c>
      <c r="BD315" s="18" t="s">
        <v>10807</v>
      </c>
      <c r="BE315" s="18" t="s">
        <v>13305</v>
      </c>
      <c r="BF315" s="18" t="s">
        <v>7029</v>
      </c>
      <c r="BG315" s="18" t="s">
        <v>7030</v>
      </c>
      <c r="BH315" s="18"/>
      <c r="BI315" s="18"/>
      <c r="BJ315" s="18" t="s">
        <v>420</v>
      </c>
      <c r="BK315" s="18" t="s">
        <v>13306</v>
      </c>
      <c r="BL315" s="18" t="s">
        <v>10811</v>
      </c>
      <c r="BM315" s="18" t="s">
        <v>92</v>
      </c>
      <c r="BN315" s="18" t="s">
        <v>85</v>
      </c>
      <c r="BO315" s="18">
        <v>1</v>
      </c>
      <c r="BP315" s="18" t="s">
        <v>10812</v>
      </c>
      <c r="BQ315" s="18" t="str">
        <f>VLOOKUP(Prepago[[#This Row],[NOM_PLAZA]],[1]!Locales[#Data],3,0)</f>
        <v>TIENDA CUENCA REMIGIO</v>
      </c>
      <c r="BR315" s="18" t="str">
        <f>VLOOKUP(Prepago[[#This Row],[CODIGO_USUARIO]],[1]!Personal[#Data],6,0)</f>
        <v>YEPEZ PALOMEQUE DIANA PATRICIA</v>
      </c>
      <c r="BS315" s="18">
        <f>DAY(Prepago[[#This Row],[FECHA_ALTA]])</f>
        <v>2</v>
      </c>
    </row>
    <row r="316" spans="1:71" x14ac:dyDescent="0.25">
      <c r="A316" s="18" t="s">
        <v>96</v>
      </c>
      <c r="B316" s="18" t="s">
        <v>13307</v>
      </c>
      <c r="C316" s="18" t="s">
        <v>13308</v>
      </c>
      <c r="D316" s="18" t="s">
        <v>13309</v>
      </c>
      <c r="E316" s="22">
        <v>44896</v>
      </c>
      <c r="F316" s="18" t="s">
        <v>67</v>
      </c>
      <c r="G316" s="18" t="s">
        <v>13310</v>
      </c>
      <c r="H316" s="18" t="s">
        <v>13311</v>
      </c>
      <c r="I316" s="18" t="s">
        <v>70</v>
      </c>
      <c r="J316" s="18" t="s">
        <v>8102</v>
      </c>
      <c r="K316" s="18" t="s">
        <v>8103</v>
      </c>
      <c r="L316" s="18" t="s">
        <v>73</v>
      </c>
      <c r="M316" s="18" t="s">
        <v>7029</v>
      </c>
      <c r="N316" s="18" t="s">
        <v>13312</v>
      </c>
      <c r="O316" s="18" t="s">
        <v>75</v>
      </c>
      <c r="P316" s="18" t="s">
        <v>13313</v>
      </c>
      <c r="Q316" s="18" t="s">
        <v>10817</v>
      </c>
      <c r="R316" s="18" t="s">
        <v>78</v>
      </c>
      <c r="S316" s="18" t="s">
        <v>77</v>
      </c>
      <c r="T316" s="22">
        <v>44915</v>
      </c>
      <c r="U316" s="18"/>
      <c r="V316" s="18" t="s">
        <v>81</v>
      </c>
      <c r="W316" s="18" t="s">
        <v>79</v>
      </c>
      <c r="X316" s="18" t="s">
        <v>10803</v>
      </c>
      <c r="Y316" s="18" t="s">
        <v>420</v>
      </c>
      <c r="Z316" s="18" t="s">
        <v>421</v>
      </c>
      <c r="AA316" s="18" t="s">
        <v>7062</v>
      </c>
      <c r="AB316" s="18" t="s">
        <v>95</v>
      </c>
      <c r="AC316" s="18" t="s">
        <v>7984</v>
      </c>
      <c r="AD316" s="18" t="s">
        <v>10804</v>
      </c>
      <c r="AE316" s="18" t="s">
        <v>148</v>
      </c>
      <c r="AF316" s="18" t="s">
        <v>95</v>
      </c>
      <c r="AG316" s="18" t="s">
        <v>83</v>
      </c>
      <c r="AH316" s="18" t="s">
        <v>83</v>
      </c>
      <c r="AI316" s="18" t="s">
        <v>81</v>
      </c>
      <c r="AJ316" s="18" t="s">
        <v>118</v>
      </c>
      <c r="AK316" s="18" t="s">
        <v>95</v>
      </c>
      <c r="AL316" s="18" t="s">
        <v>12905</v>
      </c>
      <c r="AM316" s="18" t="s">
        <v>85</v>
      </c>
      <c r="AN316" s="18" t="s">
        <v>7031</v>
      </c>
      <c r="AO316" s="18" t="s">
        <v>86</v>
      </c>
      <c r="AP316" s="18" t="s">
        <v>90</v>
      </c>
      <c r="AQ316" s="18" t="s">
        <v>8141</v>
      </c>
      <c r="AR316" s="18" t="s">
        <v>151</v>
      </c>
      <c r="AS316" s="18" t="s">
        <v>92</v>
      </c>
      <c r="AT316" s="18" t="s">
        <v>95</v>
      </c>
      <c r="AU316" s="18" t="s">
        <v>95</v>
      </c>
      <c r="AV316" s="18" t="s">
        <v>7029</v>
      </c>
      <c r="AW316" s="18" t="s">
        <v>95</v>
      </c>
      <c r="AX316" s="18" t="s">
        <v>10806</v>
      </c>
      <c r="AY316" s="18" t="s">
        <v>95</v>
      </c>
      <c r="AZ316" s="18" t="s">
        <v>95</v>
      </c>
      <c r="BA316" s="18" t="s">
        <v>95</v>
      </c>
      <c r="BB316" s="18" t="s">
        <v>95</v>
      </c>
      <c r="BC316" s="18" t="s">
        <v>95</v>
      </c>
      <c r="BD316" s="18" t="s">
        <v>10829</v>
      </c>
      <c r="BE316" s="18" t="s">
        <v>13314</v>
      </c>
      <c r="BF316" s="18" t="s">
        <v>7029</v>
      </c>
      <c r="BG316" s="18" t="s">
        <v>7030</v>
      </c>
      <c r="BH316" s="18"/>
      <c r="BI316" s="18"/>
      <c r="BJ316" s="18" t="s">
        <v>420</v>
      </c>
      <c r="BK316" s="18" t="s">
        <v>13315</v>
      </c>
      <c r="BL316" s="18" t="s">
        <v>10811</v>
      </c>
      <c r="BM316" s="18" t="s">
        <v>92</v>
      </c>
      <c r="BN316" s="18" t="s">
        <v>85</v>
      </c>
      <c r="BO316" s="18">
        <v>0</v>
      </c>
      <c r="BP316" s="18" t="s">
        <v>10812</v>
      </c>
      <c r="BQ316" s="18" t="str">
        <f>VLOOKUP(Prepago[[#This Row],[NOM_PLAZA]],[1]!Locales[#Data],3,0)</f>
        <v>TIENDA CUENCA REMIGIO</v>
      </c>
      <c r="BR316" s="18" t="str">
        <f>VLOOKUP(Prepago[[#This Row],[CODIGO_USUARIO]],[1]!Personal[#Data],6,0)</f>
        <v>YEPEZ PALOMEQUE DIANA PATRICIA</v>
      </c>
      <c r="BS316" s="18">
        <f>DAY(Prepago[[#This Row],[FECHA_ALTA]])</f>
        <v>1</v>
      </c>
    </row>
    <row r="317" spans="1:71" x14ac:dyDescent="0.25">
      <c r="A317" s="18" t="s">
        <v>96</v>
      </c>
      <c r="B317" s="18" t="s">
        <v>13316</v>
      </c>
      <c r="C317" s="18" t="s">
        <v>13317</v>
      </c>
      <c r="D317" s="18" t="s">
        <v>13318</v>
      </c>
      <c r="E317" s="22">
        <v>44900</v>
      </c>
      <c r="F317" s="18" t="s">
        <v>67</v>
      </c>
      <c r="G317" s="18" t="s">
        <v>13319</v>
      </c>
      <c r="H317" s="18" t="s">
        <v>13320</v>
      </c>
      <c r="I317" s="18" t="s">
        <v>70</v>
      </c>
      <c r="J317" s="18" t="s">
        <v>8102</v>
      </c>
      <c r="K317" s="18" t="s">
        <v>8103</v>
      </c>
      <c r="L317" s="18" t="s">
        <v>132</v>
      </c>
      <c r="M317" s="18" t="s">
        <v>7486</v>
      </c>
      <c r="N317" s="18" t="s">
        <v>13321</v>
      </c>
      <c r="O317" s="18" t="s">
        <v>75</v>
      </c>
      <c r="P317" s="18" t="s">
        <v>13322</v>
      </c>
      <c r="Q317" s="18" t="s">
        <v>1532</v>
      </c>
      <c r="R317" s="18" t="s">
        <v>78</v>
      </c>
      <c r="S317" s="18" t="s">
        <v>77</v>
      </c>
      <c r="T317" s="22">
        <v>44915</v>
      </c>
      <c r="U317" s="18"/>
      <c r="V317" s="18" t="s">
        <v>81</v>
      </c>
      <c r="W317" s="18" t="s">
        <v>79</v>
      </c>
      <c r="X317" s="18" t="s">
        <v>10803</v>
      </c>
      <c r="Y317" s="18" t="s">
        <v>385</v>
      </c>
      <c r="Z317" s="18" t="s">
        <v>386</v>
      </c>
      <c r="AA317" s="18" t="s">
        <v>7062</v>
      </c>
      <c r="AB317" s="18" t="s">
        <v>95</v>
      </c>
      <c r="AC317" s="18" t="s">
        <v>7984</v>
      </c>
      <c r="AD317" s="18" t="s">
        <v>10804</v>
      </c>
      <c r="AE317" s="18" t="s">
        <v>148</v>
      </c>
      <c r="AF317" s="18" t="s">
        <v>95</v>
      </c>
      <c r="AG317" s="18" t="s">
        <v>83</v>
      </c>
      <c r="AH317" s="18" t="s">
        <v>83</v>
      </c>
      <c r="AI317" s="18" t="s">
        <v>81</v>
      </c>
      <c r="AJ317" s="18" t="s">
        <v>118</v>
      </c>
      <c r="AK317" s="18" t="s">
        <v>95</v>
      </c>
      <c r="AL317" s="18" t="s">
        <v>12915</v>
      </c>
      <c r="AM317" s="18" t="s">
        <v>85</v>
      </c>
      <c r="AN317" s="18" t="s">
        <v>7031</v>
      </c>
      <c r="AO317" s="18" t="s">
        <v>86</v>
      </c>
      <c r="AP317" s="18" t="s">
        <v>90</v>
      </c>
      <c r="AQ317" s="18" t="s">
        <v>8141</v>
      </c>
      <c r="AR317" s="18" t="s">
        <v>151</v>
      </c>
      <c r="AS317" s="18" t="s">
        <v>92</v>
      </c>
      <c r="AT317" s="18" t="s">
        <v>95</v>
      </c>
      <c r="AU317" s="18" t="s">
        <v>95</v>
      </c>
      <c r="AV317" s="18" t="s">
        <v>7486</v>
      </c>
      <c r="AW317" s="18" t="s">
        <v>95</v>
      </c>
      <c r="AX317" s="18" t="s">
        <v>10806</v>
      </c>
      <c r="AY317" s="18" t="s">
        <v>95</v>
      </c>
      <c r="AZ317" s="18" t="s">
        <v>95</v>
      </c>
      <c r="BA317" s="18" t="s">
        <v>95</v>
      </c>
      <c r="BB317" s="18" t="s">
        <v>95</v>
      </c>
      <c r="BC317" s="18" t="s">
        <v>95</v>
      </c>
      <c r="BD317" s="18" t="s">
        <v>10829</v>
      </c>
      <c r="BE317" s="18" t="s">
        <v>10808</v>
      </c>
      <c r="BF317" s="18" t="s">
        <v>10809</v>
      </c>
      <c r="BG317" s="18" t="s">
        <v>7030</v>
      </c>
      <c r="BH317" s="18"/>
      <c r="BI317" s="18"/>
      <c r="BJ317" s="18" t="s">
        <v>385</v>
      </c>
      <c r="BK317" s="18" t="s">
        <v>13323</v>
      </c>
      <c r="BL317" s="18" t="s">
        <v>10811</v>
      </c>
      <c r="BM317" s="18" t="s">
        <v>92</v>
      </c>
      <c r="BN317" s="18" t="s">
        <v>85</v>
      </c>
      <c r="BO317" s="18">
        <v>0</v>
      </c>
      <c r="BP317" s="18" t="s">
        <v>10812</v>
      </c>
      <c r="BQ317" s="18" t="str">
        <f>VLOOKUP(Prepago[[#This Row],[NOM_PLAZA]],[1]!Locales[#Data],3,0)</f>
        <v>TIENDA CUENCA REMIGIO</v>
      </c>
      <c r="BR317" s="18" t="str">
        <f>VLOOKUP(Prepago[[#This Row],[CODIGO_USUARIO]],[1]!Personal[#Data],6,0)</f>
        <v>RAMIREZ RUBIO NELLY LILIANA</v>
      </c>
      <c r="BS317" s="18">
        <f>DAY(Prepago[[#This Row],[FECHA_ALTA]])</f>
        <v>5</v>
      </c>
    </row>
    <row r="318" spans="1:71" x14ac:dyDescent="0.25">
      <c r="A318" s="18" t="s">
        <v>96</v>
      </c>
      <c r="B318" s="18" t="s">
        <v>9488</v>
      </c>
      <c r="C318" s="18" t="s">
        <v>9490</v>
      </c>
      <c r="D318" s="18" t="s">
        <v>9483</v>
      </c>
      <c r="E318" s="22">
        <v>44907</v>
      </c>
      <c r="F318" s="18" t="s">
        <v>67</v>
      </c>
      <c r="G318" s="18" t="s">
        <v>9484</v>
      </c>
      <c r="H318" s="18" t="s">
        <v>9485</v>
      </c>
      <c r="I318" s="18" t="s">
        <v>70</v>
      </c>
      <c r="J318" s="18" t="s">
        <v>8102</v>
      </c>
      <c r="K318" s="18" t="s">
        <v>8103</v>
      </c>
      <c r="L318" s="18" t="s">
        <v>73</v>
      </c>
      <c r="M318" s="18" t="s">
        <v>7029</v>
      </c>
      <c r="N318" s="18" t="s">
        <v>9489</v>
      </c>
      <c r="O318" s="18" t="s">
        <v>287</v>
      </c>
      <c r="P318" s="18" t="s">
        <v>13324</v>
      </c>
      <c r="Q318" s="18" t="s">
        <v>10817</v>
      </c>
      <c r="R318" s="18" t="s">
        <v>78</v>
      </c>
      <c r="S318" s="18" t="s">
        <v>77</v>
      </c>
      <c r="T318" s="22">
        <v>44915</v>
      </c>
      <c r="U318" s="18"/>
      <c r="V318" s="18" t="s">
        <v>81</v>
      </c>
      <c r="W318" s="18" t="s">
        <v>79</v>
      </c>
      <c r="X318" s="18" t="s">
        <v>10803</v>
      </c>
      <c r="Y318" s="18" t="s">
        <v>318</v>
      </c>
      <c r="Z318" s="18" t="s">
        <v>319</v>
      </c>
      <c r="AA318" s="18" t="s">
        <v>7062</v>
      </c>
      <c r="AB318" s="18" t="s">
        <v>95</v>
      </c>
      <c r="AC318" s="18" t="s">
        <v>7984</v>
      </c>
      <c r="AD318" s="18" t="s">
        <v>10804</v>
      </c>
      <c r="AE318" s="18" t="s">
        <v>148</v>
      </c>
      <c r="AF318" s="18" t="s">
        <v>95</v>
      </c>
      <c r="AG318" s="18" t="s">
        <v>83</v>
      </c>
      <c r="AH318" s="18" t="s">
        <v>83</v>
      </c>
      <c r="AI318" s="18" t="s">
        <v>81</v>
      </c>
      <c r="AJ318" s="18" t="s">
        <v>118</v>
      </c>
      <c r="AK318" s="18" t="s">
        <v>95</v>
      </c>
      <c r="AL318" s="18" t="s">
        <v>10743</v>
      </c>
      <c r="AM318" s="18" t="s">
        <v>85</v>
      </c>
      <c r="AN318" s="18" t="s">
        <v>7031</v>
      </c>
      <c r="AO318" s="18" t="s">
        <v>86</v>
      </c>
      <c r="AP318" s="18" t="s">
        <v>90</v>
      </c>
      <c r="AQ318" s="18" t="s">
        <v>8141</v>
      </c>
      <c r="AR318" s="18" t="s">
        <v>151</v>
      </c>
      <c r="AS318" s="18" t="s">
        <v>92</v>
      </c>
      <c r="AT318" s="18" t="s">
        <v>95</v>
      </c>
      <c r="AU318" s="18" t="s">
        <v>95</v>
      </c>
      <c r="AV318" s="18" t="s">
        <v>7029</v>
      </c>
      <c r="AW318" s="18" t="s">
        <v>95</v>
      </c>
      <c r="AX318" s="18" t="s">
        <v>10806</v>
      </c>
      <c r="AY318" s="18" t="s">
        <v>95</v>
      </c>
      <c r="AZ318" s="18" t="s">
        <v>95</v>
      </c>
      <c r="BA318" s="18" t="s">
        <v>95</v>
      </c>
      <c r="BB318" s="18" t="s">
        <v>95</v>
      </c>
      <c r="BC318" s="18" t="s">
        <v>95</v>
      </c>
      <c r="BD318" s="18" t="s">
        <v>10829</v>
      </c>
      <c r="BE318" s="18" t="s">
        <v>13042</v>
      </c>
      <c r="BF318" s="18" t="s">
        <v>10809</v>
      </c>
      <c r="BG318" s="18" t="s">
        <v>7030</v>
      </c>
      <c r="BH318" s="18"/>
      <c r="BI318" s="18"/>
      <c r="BJ318" s="18" t="s">
        <v>318</v>
      </c>
      <c r="BK318" s="18" t="s">
        <v>13043</v>
      </c>
      <c r="BL318" s="18" t="s">
        <v>10811</v>
      </c>
      <c r="BM318" s="18" t="s">
        <v>92</v>
      </c>
      <c r="BN318" s="18" t="s">
        <v>85</v>
      </c>
      <c r="BO318" s="18">
        <v>0</v>
      </c>
      <c r="BP318" s="18" t="s">
        <v>10812</v>
      </c>
      <c r="BQ318" s="18" t="str">
        <f>VLOOKUP(Prepago[[#This Row],[NOM_PLAZA]],[1]!Locales[#Data],3,0)</f>
        <v>TIENDA CUENCA REMIGIO</v>
      </c>
      <c r="BR318" s="18" t="str">
        <f>VLOOKUP(Prepago[[#This Row],[CODIGO_USUARIO]],[1]!Personal[#Data],6,0)</f>
        <v>RODRIGUEZ QUITO JESSICA GABRIELA</v>
      </c>
      <c r="BS318" s="18">
        <f>DAY(Prepago[[#This Row],[FECHA_ALTA]])</f>
        <v>12</v>
      </c>
    </row>
    <row r="319" spans="1:71" x14ac:dyDescent="0.25">
      <c r="A319" s="18" t="s">
        <v>96</v>
      </c>
      <c r="B319" s="18" t="s">
        <v>9692</v>
      </c>
      <c r="C319" s="18" t="s">
        <v>9698</v>
      </c>
      <c r="D319" s="18" t="s">
        <v>9694</v>
      </c>
      <c r="E319" s="22">
        <v>44908</v>
      </c>
      <c r="F319" s="18" t="s">
        <v>67</v>
      </c>
      <c r="G319" s="18" t="s">
        <v>9695</v>
      </c>
      <c r="H319" s="18" t="s">
        <v>9696</v>
      </c>
      <c r="I319" s="18" t="s">
        <v>70</v>
      </c>
      <c r="J319" s="18" t="s">
        <v>8102</v>
      </c>
      <c r="K319" s="18" t="s">
        <v>8103</v>
      </c>
      <c r="L319" s="18" t="s">
        <v>73</v>
      </c>
      <c r="M319" s="18" t="s">
        <v>7029</v>
      </c>
      <c r="N319" s="18" t="s">
        <v>9697</v>
      </c>
      <c r="O319" s="18" t="s">
        <v>287</v>
      </c>
      <c r="P319" s="18" t="s">
        <v>13325</v>
      </c>
      <c r="Q319" s="18" t="s">
        <v>231</v>
      </c>
      <c r="R319" s="18" t="s">
        <v>78</v>
      </c>
      <c r="S319" s="18" t="s">
        <v>231</v>
      </c>
      <c r="T319" s="22">
        <v>44915</v>
      </c>
      <c r="U319" s="18"/>
      <c r="V319" s="18" t="s">
        <v>81</v>
      </c>
      <c r="W319" s="18" t="s">
        <v>79</v>
      </c>
      <c r="X319" s="18" t="s">
        <v>10803</v>
      </c>
      <c r="Y319" s="18" t="s">
        <v>318</v>
      </c>
      <c r="Z319" s="18" t="s">
        <v>319</v>
      </c>
      <c r="AA319" s="18" t="s">
        <v>7062</v>
      </c>
      <c r="AB319" s="18" t="s">
        <v>95</v>
      </c>
      <c r="AC319" s="18" t="s">
        <v>7984</v>
      </c>
      <c r="AD319" s="18" t="s">
        <v>10804</v>
      </c>
      <c r="AE319" s="18" t="s">
        <v>148</v>
      </c>
      <c r="AF319" s="18" t="s">
        <v>95</v>
      </c>
      <c r="AG319" s="18" t="s">
        <v>83</v>
      </c>
      <c r="AH319" s="18" t="s">
        <v>83</v>
      </c>
      <c r="AI319" s="18" t="s">
        <v>81</v>
      </c>
      <c r="AJ319" s="18" t="s">
        <v>118</v>
      </c>
      <c r="AK319" s="18" t="s">
        <v>95</v>
      </c>
      <c r="AL319" s="18" t="s">
        <v>10743</v>
      </c>
      <c r="AM319" s="18" t="s">
        <v>85</v>
      </c>
      <c r="AN319" s="18" t="s">
        <v>7031</v>
      </c>
      <c r="AO319" s="18" t="s">
        <v>86</v>
      </c>
      <c r="AP319" s="18" t="s">
        <v>90</v>
      </c>
      <c r="AQ319" s="18" t="s">
        <v>8141</v>
      </c>
      <c r="AR319" s="18" t="s">
        <v>151</v>
      </c>
      <c r="AS319" s="18" t="s">
        <v>92</v>
      </c>
      <c r="AT319" s="18" t="s">
        <v>95</v>
      </c>
      <c r="AU319" s="18" t="s">
        <v>95</v>
      </c>
      <c r="AV319" s="18" t="s">
        <v>7029</v>
      </c>
      <c r="AW319" s="18" t="s">
        <v>95</v>
      </c>
      <c r="AX319" s="18" t="s">
        <v>10806</v>
      </c>
      <c r="AY319" s="18" t="s">
        <v>95</v>
      </c>
      <c r="AZ319" s="18" t="s">
        <v>95</v>
      </c>
      <c r="BA319" s="18" t="s">
        <v>95</v>
      </c>
      <c r="BB319" s="18" t="s">
        <v>95</v>
      </c>
      <c r="BC319" s="18" t="s">
        <v>95</v>
      </c>
      <c r="BD319" s="18" t="s">
        <v>10829</v>
      </c>
      <c r="BE319" s="18" t="s">
        <v>13326</v>
      </c>
      <c r="BF319" s="18" t="s">
        <v>10809</v>
      </c>
      <c r="BG319" s="18" t="s">
        <v>7030</v>
      </c>
      <c r="BH319" s="18"/>
      <c r="BI319" s="18"/>
      <c r="BJ319" s="18" t="s">
        <v>318</v>
      </c>
      <c r="BK319" s="18" t="s">
        <v>13327</v>
      </c>
      <c r="BL319" s="18" t="s">
        <v>10811</v>
      </c>
      <c r="BM319" s="18" t="s">
        <v>92</v>
      </c>
      <c r="BN319" s="18" t="s">
        <v>85</v>
      </c>
      <c r="BO319" s="18">
        <v>0</v>
      </c>
      <c r="BP319" s="18" t="s">
        <v>10812</v>
      </c>
      <c r="BQ319" s="18" t="str">
        <f>VLOOKUP(Prepago[[#This Row],[NOM_PLAZA]],[1]!Locales[#Data],3,0)</f>
        <v>TIENDA CUENCA REMIGIO</v>
      </c>
      <c r="BR319" s="18" t="str">
        <f>VLOOKUP(Prepago[[#This Row],[CODIGO_USUARIO]],[1]!Personal[#Data],6,0)</f>
        <v>RODRIGUEZ QUITO JESSICA GABRIELA</v>
      </c>
      <c r="BS319" s="18">
        <f>DAY(Prepago[[#This Row],[FECHA_ALTA]])</f>
        <v>13</v>
      </c>
    </row>
    <row r="320" spans="1:71" x14ac:dyDescent="0.25">
      <c r="A320" s="18" t="s">
        <v>96</v>
      </c>
      <c r="B320" s="18" t="s">
        <v>13328</v>
      </c>
      <c r="C320" s="18" t="s">
        <v>13329</v>
      </c>
      <c r="D320" s="18" t="s">
        <v>13330</v>
      </c>
      <c r="E320" s="22">
        <v>44901</v>
      </c>
      <c r="F320" s="18" t="s">
        <v>67</v>
      </c>
      <c r="G320" s="18" t="s">
        <v>13331</v>
      </c>
      <c r="H320" s="18" t="s">
        <v>13332</v>
      </c>
      <c r="I320" s="18" t="s">
        <v>70</v>
      </c>
      <c r="J320" s="18" t="s">
        <v>8102</v>
      </c>
      <c r="K320" s="18" t="s">
        <v>8103</v>
      </c>
      <c r="L320" s="18" t="s">
        <v>73</v>
      </c>
      <c r="M320" s="18" t="s">
        <v>7029</v>
      </c>
      <c r="N320" s="18" t="s">
        <v>13333</v>
      </c>
      <c r="O320" s="18" t="s">
        <v>75</v>
      </c>
      <c r="P320" s="18" t="s">
        <v>13334</v>
      </c>
      <c r="Q320" s="18" t="s">
        <v>10817</v>
      </c>
      <c r="R320" s="18" t="s">
        <v>78</v>
      </c>
      <c r="S320" s="18" t="s">
        <v>77</v>
      </c>
      <c r="T320" s="22">
        <v>44915</v>
      </c>
      <c r="U320" s="18"/>
      <c r="V320" s="18" t="s">
        <v>81</v>
      </c>
      <c r="W320" s="18" t="s">
        <v>79</v>
      </c>
      <c r="X320" s="18" t="s">
        <v>10803</v>
      </c>
      <c r="Y320" s="18" t="s">
        <v>610</v>
      </c>
      <c r="Z320" s="18" t="s">
        <v>611</v>
      </c>
      <c r="AA320" s="18" t="s">
        <v>7062</v>
      </c>
      <c r="AB320" s="18" t="s">
        <v>95</v>
      </c>
      <c r="AC320" s="18" t="s">
        <v>7984</v>
      </c>
      <c r="AD320" s="18" t="s">
        <v>10804</v>
      </c>
      <c r="AE320" s="18" t="s">
        <v>148</v>
      </c>
      <c r="AF320" s="18" t="s">
        <v>95</v>
      </c>
      <c r="AG320" s="18" t="s">
        <v>83</v>
      </c>
      <c r="AH320" s="18" t="s">
        <v>83</v>
      </c>
      <c r="AI320" s="18" t="s">
        <v>81</v>
      </c>
      <c r="AJ320" s="18" t="s">
        <v>118</v>
      </c>
      <c r="AK320" s="18" t="s">
        <v>95</v>
      </c>
      <c r="AL320" s="18" t="s">
        <v>12895</v>
      </c>
      <c r="AM320" s="18" t="s">
        <v>85</v>
      </c>
      <c r="AN320" s="18" t="s">
        <v>7031</v>
      </c>
      <c r="AO320" s="18" t="s">
        <v>86</v>
      </c>
      <c r="AP320" s="18" t="s">
        <v>90</v>
      </c>
      <c r="AQ320" s="18" t="s">
        <v>8141</v>
      </c>
      <c r="AR320" s="18" t="s">
        <v>151</v>
      </c>
      <c r="AS320" s="18" t="s">
        <v>92</v>
      </c>
      <c r="AT320" s="18" t="s">
        <v>95</v>
      </c>
      <c r="AU320" s="18" t="s">
        <v>95</v>
      </c>
      <c r="AV320" s="18" t="s">
        <v>7029</v>
      </c>
      <c r="AW320" s="18" t="s">
        <v>95</v>
      </c>
      <c r="AX320" s="18" t="s">
        <v>10806</v>
      </c>
      <c r="AY320" s="18" t="s">
        <v>95</v>
      </c>
      <c r="AZ320" s="18" t="s">
        <v>95</v>
      </c>
      <c r="BA320" s="18" t="s">
        <v>95</v>
      </c>
      <c r="BB320" s="18" t="s">
        <v>95</v>
      </c>
      <c r="BC320" s="18" t="s">
        <v>95</v>
      </c>
      <c r="BD320" s="18" t="s">
        <v>10829</v>
      </c>
      <c r="BE320" s="18" t="s">
        <v>13335</v>
      </c>
      <c r="BF320" s="18" t="s">
        <v>10809</v>
      </c>
      <c r="BG320" s="18" t="s">
        <v>7030</v>
      </c>
      <c r="BH320" s="18"/>
      <c r="BI320" s="18"/>
      <c r="BJ320" s="18" t="s">
        <v>610</v>
      </c>
      <c r="BK320" s="18" t="s">
        <v>13336</v>
      </c>
      <c r="BL320" s="18" t="s">
        <v>10811</v>
      </c>
      <c r="BM320" s="18" t="s">
        <v>92</v>
      </c>
      <c r="BN320" s="18" t="s">
        <v>85</v>
      </c>
      <c r="BO320" s="18">
        <v>0</v>
      </c>
      <c r="BP320" s="18" t="s">
        <v>10812</v>
      </c>
      <c r="BQ320" s="18" t="str">
        <f>VLOOKUP(Prepago[[#This Row],[NOM_PLAZA]],[1]!Locales[#Data],3,0)</f>
        <v>TIENDA CUENCA REMIGIO</v>
      </c>
      <c r="BR320" s="18" t="str">
        <f>VLOOKUP(Prepago[[#This Row],[CODIGO_USUARIO]],[1]!Personal[#Data],6,0)</f>
        <v>PATIÑO TAPIA ANDRES SANTIAGO</v>
      </c>
      <c r="BS320" s="18">
        <f>DAY(Prepago[[#This Row],[FECHA_ALTA]])</f>
        <v>6</v>
      </c>
    </row>
    <row r="321" spans="1:71" x14ac:dyDescent="0.25">
      <c r="A321" s="18" t="s">
        <v>96</v>
      </c>
      <c r="B321" s="18" t="s">
        <v>13337</v>
      </c>
      <c r="C321" s="18" t="s">
        <v>13338</v>
      </c>
      <c r="D321" s="18" t="s">
        <v>8706</v>
      </c>
      <c r="E321" s="22">
        <v>44901</v>
      </c>
      <c r="F321" s="18" t="s">
        <v>67</v>
      </c>
      <c r="G321" s="18" t="s">
        <v>8707</v>
      </c>
      <c r="H321" s="18" t="s">
        <v>8708</v>
      </c>
      <c r="I321" s="18" t="s">
        <v>70</v>
      </c>
      <c r="J321" s="18" t="s">
        <v>8102</v>
      </c>
      <c r="K321" s="18" t="s">
        <v>8103</v>
      </c>
      <c r="L321" s="18" t="s">
        <v>73</v>
      </c>
      <c r="M321" s="18" t="s">
        <v>7029</v>
      </c>
      <c r="N321" s="18" t="s">
        <v>13339</v>
      </c>
      <c r="O321" s="18" t="s">
        <v>75</v>
      </c>
      <c r="P321" s="18" t="s">
        <v>13340</v>
      </c>
      <c r="Q321" s="18" t="s">
        <v>231</v>
      </c>
      <c r="R321" s="18" t="s">
        <v>78</v>
      </c>
      <c r="S321" s="18" t="s">
        <v>231</v>
      </c>
      <c r="T321" s="22">
        <v>44915</v>
      </c>
      <c r="U321" s="18"/>
      <c r="V321" s="18" t="s">
        <v>81</v>
      </c>
      <c r="W321" s="18" t="s">
        <v>79</v>
      </c>
      <c r="X321" s="18" t="s">
        <v>10803</v>
      </c>
      <c r="Y321" s="18" t="s">
        <v>385</v>
      </c>
      <c r="Z321" s="18" t="s">
        <v>386</v>
      </c>
      <c r="AA321" s="18" t="s">
        <v>7062</v>
      </c>
      <c r="AB321" s="18" t="s">
        <v>95</v>
      </c>
      <c r="AC321" s="18" t="s">
        <v>7984</v>
      </c>
      <c r="AD321" s="18" t="s">
        <v>10804</v>
      </c>
      <c r="AE321" s="18" t="s">
        <v>148</v>
      </c>
      <c r="AF321" s="18" t="s">
        <v>95</v>
      </c>
      <c r="AG321" s="18" t="s">
        <v>83</v>
      </c>
      <c r="AH321" s="18" t="s">
        <v>83</v>
      </c>
      <c r="AI321" s="18" t="s">
        <v>81</v>
      </c>
      <c r="AJ321" s="18" t="s">
        <v>118</v>
      </c>
      <c r="AK321" s="18" t="s">
        <v>95</v>
      </c>
      <c r="AL321" s="18" t="s">
        <v>12915</v>
      </c>
      <c r="AM321" s="18" t="s">
        <v>85</v>
      </c>
      <c r="AN321" s="18" t="s">
        <v>7031</v>
      </c>
      <c r="AO321" s="18" t="s">
        <v>86</v>
      </c>
      <c r="AP321" s="18" t="s">
        <v>90</v>
      </c>
      <c r="AQ321" s="18" t="s">
        <v>8141</v>
      </c>
      <c r="AR321" s="18" t="s">
        <v>151</v>
      </c>
      <c r="AS321" s="18" t="s">
        <v>92</v>
      </c>
      <c r="AT321" s="18" t="s">
        <v>95</v>
      </c>
      <c r="AU321" s="18" t="s">
        <v>95</v>
      </c>
      <c r="AV321" s="18" t="s">
        <v>7029</v>
      </c>
      <c r="AW321" s="18" t="s">
        <v>95</v>
      </c>
      <c r="AX321" s="18" t="s">
        <v>10806</v>
      </c>
      <c r="AY321" s="18" t="s">
        <v>95</v>
      </c>
      <c r="AZ321" s="18" t="s">
        <v>95</v>
      </c>
      <c r="BA321" s="18" t="s">
        <v>95</v>
      </c>
      <c r="BB321" s="18" t="s">
        <v>95</v>
      </c>
      <c r="BC321" s="18" t="s">
        <v>95</v>
      </c>
      <c r="BD321" s="18" t="s">
        <v>10829</v>
      </c>
      <c r="BE321" s="18" t="s">
        <v>10808</v>
      </c>
      <c r="BF321" s="18" t="s">
        <v>10809</v>
      </c>
      <c r="BG321" s="18" t="s">
        <v>7030</v>
      </c>
      <c r="BH321" s="18"/>
      <c r="BI321" s="18"/>
      <c r="BJ321" s="18" t="s">
        <v>385</v>
      </c>
      <c r="BK321" s="18" t="s">
        <v>13341</v>
      </c>
      <c r="BL321" s="18" t="s">
        <v>10811</v>
      </c>
      <c r="BM321" s="18" t="s">
        <v>92</v>
      </c>
      <c r="BN321" s="18" t="s">
        <v>85</v>
      </c>
      <c r="BO321" s="18">
        <v>1</v>
      </c>
      <c r="BP321" s="18" t="s">
        <v>10812</v>
      </c>
      <c r="BQ321" s="18" t="str">
        <f>VLOOKUP(Prepago[[#This Row],[NOM_PLAZA]],[1]!Locales[#Data],3,0)</f>
        <v>TIENDA CUENCA REMIGIO</v>
      </c>
      <c r="BR321" s="18" t="str">
        <f>VLOOKUP(Prepago[[#This Row],[CODIGO_USUARIO]],[1]!Personal[#Data],6,0)</f>
        <v>RAMIREZ RUBIO NELLY LILIANA</v>
      </c>
      <c r="BS321" s="18">
        <f>DAY(Prepago[[#This Row],[FECHA_ALTA]])</f>
        <v>6</v>
      </c>
    </row>
    <row r="322" spans="1:71" x14ac:dyDescent="0.25">
      <c r="A322" s="18" t="s">
        <v>96</v>
      </c>
      <c r="B322" s="18" t="s">
        <v>13342</v>
      </c>
      <c r="C322" s="18" t="s">
        <v>13343</v>
      </c>
      <c r="D322" s="18" t="s">
        <v>13344</v>
      </c>
      <c r="E322" s="22">
        <v>44897</v>
      </c>
      <c r="F322" s="18" t="s">
        <v>67</v>
      </c>
      <c r="G322" s="18" t="s">
        <v>13345</v>
      </c>
      <c r="H322" s="18" t="s">
        <v>13346</v>
      </c>
      <c r="I322" s="18" t="s">
        <v>70</v>
      </c>
      <c r="J322" s="18" t="s">
        <v>8102</v>
      </c>
      <c r="K322" s="18" t="s">
        <v>8103</v>
      </c>
      <c r="L322" s="18" t="s">
        <v>73</v>
      </c>
      <c r="M322" s="18" t="s">
        <v>7029</v>
      </c>
      <c r="N322" s="18" t="s">
        <v>13347</v>
      </c>
      <c r="O322" s="18" t="s">
        <v>75</v>
      </c>
      <c r="P322" s="18" t="s">
        <v>13348</v>
      </c>
      <c r="Q322" s="18" t="s">
        <v>1532</v>
      </c>
      <c r="R322" s="18" t="s">
        <v>78</v>
      </c>
      <c r="S322" s="18" t="s">
        <v>77</v>
      </c>
      <c r="T322" s="22">
        <v>44915</v>
      </c>
      <c r="U322" s="18"/>
      <c r="V322" s="18" t="s">
        <v>81</v>
      </c>
      <c r="W322" s="18" t="s">
        <v>79</v>
      </c>
      <c r="X322" s="18" t="s">
        <v>10803</v>
      </c>
      <c r="Y322" s="18" t="s">
        <v>385</v>
      </c>
      <c r="Z322" s="18" t="s">
        <v>386</v>
      </c>
      <c r="AA322" s="18" t="s">
        <v>7062</v>
      </c>
      <c r="AB322" s="18" t="s">
        <v>95</v>
      </c>
      <c r="AC322" s="18" t="s">
        <v>7984</v>
      </c>
      <c r="AD322" s="18" t="s">
        <v>10804</v>
      </c>
      <c r="AE322" s="18" t="s">
        <v>148</v>
      </c>
      <c r="AF322" s="18" t="s">
        <v>95</v>
      </c>
      <c r="AG322" s="18" t="s">
        <v>81</v>
      </c>
      <c r="AH322" s="18" t="s">
        <v>83</v>
      </c>
      <c r="AI322" s="18" t="s">
        <v>81</v>
      </c>
      <c r="AJ322" s="18" t="s">
        <v>118</v>
      </c>
      <c r="AK322" s="18" t="s">
        <v>95</v>
      </c>
      <c r="AL322" s="18" t="s">
        <v>12915</v>
      </c>
      <c r="AM322" s="18" t="s">
        <v>85</v>
      </c>
      <c r="AN322" s="18" t="s">
        <v>7031</v>
      </c>
      <c r="AO322" s="18" t="s">
        <v>86</v>
      </c>
      <c r="AP322" s="18" t="s">
        <v>90</v>
      </c>
      <c r="AQ322" s="18" t="s">
        <v>8141</v>
      </c>
      <c r="AR322" s="18" t="s">
        <v>151</v>
      </c>
      <c r="AS322" s="18" t="s">
        <v>92</v>
      </c>
      <c r="AT322" s="18" t="s">
        <v>95</v>
      </c>
      <c r="AU322" s="18" t="s">
        <v>95</v>
      </c>
      <c r="AV322" s="18" t="s">
        <v>7029</v>
      </c>
      <c r="AW322" s="18" t="s">
        <v>95</v>
      </c>
      <c r="AX322" s="18" t="s">
        <v>10806</v>
      </c>
      <c r="AY322" s="18" t="s">
        <v>1029</v>
      </c>
      <c r="AZ322" s="18" t="s">
        <v>95</v>
      </c>
      <c r="BA322" s="18" t="s">
        <v>95</v>
      </c>
      <c r="BB322" s="18" t="s">
        <v>95</v>
      </c>
      <c r="BC322" s="18" t="s">
        <v>95</v>
      </c>
      <c r="BD322" s="18" t="s">
        <v>10807</v>
      </c>
      <c r="BE322" s="18" t="s">
        <v>13349</v>
      </c>
      <c r="BF322" s="18" t="s">
        <v>7029</v>
      </c>
      <c r="BG322" s="18" t="s">
        <v>7030</v>
      </c>
      <c r="BH322" s="18"/>
      <c r="BI322" s="18"/>
      <c r="BJ322" s="18" t="s">
        <v>385</v>
      </c>
      <c r="BK322" s="18" t="s">
        <v>13350</v>
      </c>
      <c r="BL322" s="18" t="s">
        <v>10811</v>
      </c>
      <c r="BM322" s="18" t="s">
        <v>92</v>
      </c>
      <c r="BN322" s="18" t="s">
        <v>85</v>
      </c>
      <c r="BO322" s="18">
        <v>0</v>
      </c>
      <c r="BP322" s="18" t="s">
        <v>10812</v>
      </c>
      <c r="BQ322" s="18" t="str">
        <f>VLOOKUP(Prepago[[#This Row],[NOM_PLAZA]],[1]!Locales[#Data],3,0)</f>
        <v>TIENDA CUENCA REMIGIO</v>
      </c>
      <c r="BR322" s="18" t="str">
        <f>VLOOKUP(Prepago[[#This Row],[CODIGO_USUARIO]],[1]!Personal[#Data],6,0)</f>
        <v>RAMIREZ RUBIO NELLY LILIANA</v>
      </c>
      <c r="BS322" s="18">
        <f>DAY(Prepago[[#This Row],[FECHA_ALTA]])</f>
        <v>2</v>
      </c>
    </row>
    <row r="323" spans="1:71" x14ac:dyDescent="0.25">
      <c r="A323" s="18" t="s">
        <v>96</v>
      </c>
      <c r="B323" s="18" t="s">
        <v>13351</v>
      </c>
      <c r="C323" s="18" t="s">
        <v>13352</v>
      </c>
      <c r="D323" s="18" t="s">
        <v>13123</v>
      </c>
      <c r="E323" s="22">
        <v>44896</v>
      </c>
      <c r="F323" s="18" t="s">
        <v>67</v>
      </c>
      <c r="G323" s="18" t="s">
        <v>13124</v>
      </c>
      <c r="H323" s="18" t="s">
        <v>13125</v>
      </c>
      <c r="I323" s="18" t="s">
        <v>70</v>
      </c>
      <c r="J323" s="18" t="s">
        <v>8102</v>
      </c>
      <c r="K323" s="18" t="s">
        <v>8103</v>
      </c>
      <c r="L323" s="18" t="s">
        <v>95</v>
      </c>
      <c r="M323" s="18" t="s">
        <v>7029</v>
      </c>
      <c r="N323" s="18" t="s">
        <v>13353</v>
      </c>
      <c r="O323" s="18" t="s">
        <v>75</v>
      </c>
      <c r="P323" s="18" t="s">
        <v>13354</v>
      </c>
      <c r="Q323" s="18" t="s">
        <v>4453</v>
      </c>
      <c r="R323" s="18" t="s">
        <v>78</v>
      </c>
      <c r="S323" s="18" t="s">
        <v>77</v>
      </c>
      <c r="T323" s="22">
        <v>44915</v>
      </c>
      <c r="U323" s="18"/>
      <c r="V323" s="18" t="s">
        <v>81</v>
      </c>
      <c r="W323" s="18" t="s">
        <v>79</v>
      </c>
      <c r="X323" s="18" t="s">
        <v>10803</v>
      </c>
      <c r="Y323" s="18" t="s">
        <v>420</v>
      </c>
      <c r="Z323" s="18" t="s">
        <v>421</v>
      </c>
      <c r="AA323" s="18" t="s">
        <v>420</v>
      </c>
      <c r="AB323" s="18" t="s">
        <v>421</v>
      </c>
      <c r="AC323" s="18" t="s">
        <v>7984</v>
      </c>
      <c r="AD323" s="18" t="s">
        <v>10804</v>
      </c>
      <c r="AE323" s="18" t="s">
        <v>148</v>
      </c>
      <c r="AF323" s="18" t="s">
        <v>95</v>
      </c>
      <c r="AG323" s="18" t="s">
        <v>83</v>
      </c>
      <c r="AH323" s="18" t="s">
        <v>83</v>
      </c>
      <c r="AI323" s="18" t="s">
        <v>81</v>
      </c>
      <c r="AJ323" s="18" t="s">
        <v>118</v>
      </c>
      <c r="AK323" s="18" t="s">
        <v>95</v>
      </c>
      <c r="AL323" s="18" t="s">
        <v>12905</v>
      </c>
      <c r="AM323" s="18" t="s">
        <v>85</v>
      </c>
      <c r="AN323" s="18" t="s">
        <v>7031</v>
      </c>
      <c r="AO323" s="18" t="s">
        <v>86</v>
      </c>
      <c r="AP323" s="18" t="s">
        <v>90</v>
      </c>
      <c r="AQ323" s="18" t="s">
        <v>8141</v>
      </c>
      <c r="AR323" s="18" t="s">
        <v>151</v>
      </c>
      <c r="AS323" s="18" t="s">
        <v>92</v>
      </c>
      <c r="AT323" s="18" t="s">
        <v>95</v>
      </c>
      <c r="AU323" s="18" t="s">
        <v>95</v>
      </c>
      <c r="AV323" s="18" t="s">
        <v>7029</v>
      </c>
      <c r="AW323" s="18" t="s">
        <v>95</v>
      </c>
      <c r="AX323" s="18" t="s">
        <v>10806</v>
      </c>
      <c r="AY323" s="18" t="s">
        <v>95</v>
      </c>
      <c r="AZ323" s="18" t="s">
        <v>95</v>
      </c>
      <c r="BA323" s="18" t="s">
        <v>95</v>
      </c>
      <c r="BB323" s="18" t="s">
        <v>95</v>
      </c>
      <c r="BC323" s="18" t="s">
        <v>95</v>
      </c>
      <c r="BD323" s="18" t="s">
        <v>10807</v>
      </c>
      <c r="BE323" s="18" t="s">
        <v>13128</v>
      </c>
      <c r="BF323" s="18" t="s">
        <v>10809</v>
      </c>
      <c r="BG323" s="18" t="s">
        <v>7030</v>
      </c>
      <c r="BH323" s="18"/>
      <c r="BI323" s="18"/>
      <c r="BJ323" s="18" t="s">
        <v>420</v>
      </c>
      <c r="BK323" s="18" t="s">
        <v>13355</v>
      </c>
      <c r="BL323" s="18" t="s">
        <v>10811</v>
      </c>
      <c r="BM323" s="18" t="s">
        <v>92</v>
      </c>
      <c r="BN323" s="18" t="s">
        <v>85</v>
      </c>
      <c r="BO323" s="18">
        <v>0</v>
      </c>
      <c r="BP323" s="18" t="s">
        <v>10812</v>
      </c>
      <c r="BQ323" s="18" t="str">
        <f>VLOOKUP(Prepago[[#This Row],[NOM_PLAZA]],[1]!Locales[#Data],3,0)</f>
        <v>TIENDA CUENCA REMIGIO</v>
      </c>
      <c r="BR323" s="18" t="str">
        <f>VLOOKUP(Prepago[[#This Row],[CODIGO_USUARIO]],[1]!Personal[#Data],6,0)</f>
        <v>YEPEZ PALOMEQUE DIANA PATRICIA</v>
      </c>
      <c r="BS323" s="18">
        <f>DAY(Prepago[[#This Row],[FECHA_ALTA]])</f>
        <v>1</v>
      </c>
    </row>
    <row r="324" spans="1:71" x14ac:dyDescent="0.25">
      <c r="A324" s="18" t="s">
        <v>96</v>
      </c>
      <c r="B324" s="18" t="s">
        <v>13356</v>
      </c>
      <c r="C324" s="18" t="s">
        <v>13357</v>
      </c>
      <c r="D324" s="18" t="s">
        <v>13358</v>
      </c>
      <c r="E324" s="22">
        <v>44905</v>
      </c>
      <c r="F324" s="18" t="s">
        <v>67</v>
      </c>
      <c r="G324" s="18" t="s">
        <v>13359</v>
      </c>
      <c r="H324" s="18" t="s">
        <v>13360</v>
      </c>
      <c r="I324" s="18" t="s">
        <v>70</v>
      </c>
      <c r="J324" s="18" t="s">
        <v>8102</v>
      </c>
      <c r="K324" s="18" t="s">
        <v>8103</v>
      </c>
      <c r="L324" s="18" t="s">
        <v>73</v>
      </c>
      <c r="M324" s="18" t="s">
        <v>7029</v>
      </c>
      <c r="N324" s="18" t="s">
        <v>13361</v>
      </c>
      <c r="O324" s="18" t="s">
        <v>75</v>
      </c>
      <c r="P324" s="18" t="s">
        <v>13362</v>
      </c>
      <c r="Q324" s="18" t="s">
        <v>231</v>
      </c>
      <c r="R324" s="18" t="s">
        <v>78</v>
      </c>
      <c r="S324" s="18" t="s">
        <v>231</v>
      </c>
      <c r="T324" s="22">
        <v>44915</v>
      </c>
      <c r="U324" s="18"/>
      <c r="V324" s="18" t="s">
        <v>81</v>
      </c>
      <c r="W324" s="18" t="s">
        <v>79</v>
      </c>
      <c r="X324" s="18" t="s">
        <v>10803</v>
      </c>
      <c r="Y324" s="18" t="s">
        <v>420</v>
      </c>
      <c r="Z324" s="18" t="s">
        <v>421</v>
      </c>
      <c r="AA324" s="18" t="s">
        <v>7062</v>
      </c>
      <c r="AB324" s="18" t="s">
        <v>95</v>
      </c>
      <c r="AC324" s="18" t="s">
        <v>7984</v>
      </c>
      <c r="AD324" s="18" t="s">
        <v>10804</v>
      </c>
      <c r="AE324" s="18" t="s">
        <v>148</v>
      </c>
      <c r="AF324" s="18" t="s">
        <v>95</v>
      </c>
      <c r="AG324" s="18" t="s">
        <v>83</v>
      </c>
      <c r="AH324" s="18" t="s">
        <v>83</v>
      </c>
      <c r="AI324" s="18" t="s">
        <v>81</v>
      </c>
      <c r="AJ324" s="18" t="s">
        <v>118</v>
      </c>
      <c r="AK324" s="18" t="s">
        <v>95</v>
      </c>
      <c r="AL324" s="18" t="s">
        <v>12905</v>
      </c>
      <c r="AM324" s="18" t="s">
        <v>85</v>
      </c>
      <c r="AN324" s="18" t="s">
        <v>7031</v>
      </c>
      <c r="AO324" s="18" t="s">
        <v>86</v>
      </c>
      <c r="AP324" s="18" t="s">
        <v>90</v>
      </c>
      <c r="AQ324" s="18" t="s">
        <v>8141</v>
      </c>
      <c r="AR324" s="18" t="s">
        <v>151</v>
      </c>
      <c r="AS324" s="18" t="s">
        <v>92</v>
      </c>
      <c r="AT324" s="18" t="s">
        <v>95</v>
      </c>
      <c r="AU324" s="18" t="s">
        <v>95</v>
      </c>
      <c r="AV324" s="18" t="s">
        <v>7029</v>
      </c>
      <c r="AW324" s="18" t="s">
        <v>95</v>
      </c>
      <c r="AX324" s="18" t="s">
        <v>10806</v>
      </c>
      <c r="AY324" s="18" t="s">
        <v>95</v>
      </c>
      <c r="AZ324" s="18" t="s">
        <v>95</v>
      </c>
      <c r="BA324" s="18" t="s">
        <v>95</v>
      </c>
      <c r="BB324" s="18" t="s">
        <v>95</v>
      </c>
      <c r="BC324" s="18" t="s">
        <v>95</v>
      </c>
      <c r="BD324" s="18" t="s">
        <v>10829</v>
      </c>
      <c r="BE324" s="18" t="s">
        <v>13363</v>
      </c>
      <c r="BF324" s="18" t="s">
        <v>10809</v>
      </c>
      <c r="BG324" s="18" t="s">
        <v>7030</v>
      </c>
      <c r="BH324" s="18"/>
      <c r="BI324" s="18"/>
      <c r="BJ324" s="18" t="s">
        <v>420</v>
      </c>
      <c r="BK324" s="18" t="s">
        <v>13364</v>
      </c>
      <c r="BL324" s="18" t="s">
        <v>10811</v>
      </c>
      <c r="BM324" s="18" t="s">
        <v>92</v>
      </c>
      <c r="BN324" s="18" t="s">
        <v>85</v>
      </c>
      <c r="BO324" s="18">
        <v>1</v>
      </c>
      <c r="BP324" s="18" t="s">
        <v>10812</v>
      </c>
      <c r="BQ324" s="18" t="str">
        <f>VLOOKUP(Prepago[[#This Row],[NOM_PLAZA]],[1]!Locales[#Data],3,0)</f>
        <v>TIENDA CUENCA REMIGIO</v>
      </c>
      <c r="BR324" s="18" t="str">
        <f>VLOOKUP(Prepago[[#This Row],[CODIGO_USUARIO]],[1]!Personal[#Data],6,0)</f>
        <v>YEPEZ PALOMEQUE DIANA PATRICIA</v>
      </c>
      <c r="BS324" s="18">
        <f>DAY(Prepago[[#This Row],[FECHA_ALTA]])</f>
        <v>10</v>
      </c>
    </row>
    <row r="325" spans="1:71" x14ac:dyDescent="0.25">
      <c r="A325" s="18" t="s">
        <v>96</v>
      </c>
      <c r="B325" s="18" t="s">
        <v>13365</v>
      </c>
      <c r="C325" s="18" t="s">
        <v>13366</v>
      </c>
      <c r="D325" s="18" t="s">
        <v>13367</v>
      </c>
      <c r="E325" s="22">
        <v>44914</v>
      </c>
      <c r="F325" s="18" t="s">
        <v>67</v>
      </c>
      <c r="G325" s="18" t="s">
        <v>13368</v>
      </c>
      <c r="H325" s="18" t="s">
        <v>13369</v>
      </c>
      <c r="I325" s="18" t="s">
        <v>70</v>
      </c>
      <c r="J325" s="18" t="s">
        <v>8102</v>
      </c>
      <c r="K325" s="18" t="s">
        <v>8103</v>
      </c>
      <c r="L325" s="18" t="s">
        <v>95</v>
      </c>
      <c r="M325" s="18" t="s">
        <v>7037</v>
      </c>
      <c r="N325" s="18" t="s">
        <v>13370</v>
      </c>
      <c r="O325" s="18" t="s">
        <v>75</v>
      </c>
      <c r="P325" s="18" t="s">
        <v>13371</v>
      </c>
      <c r="Q325" s="18" t="s">
        <v>10817</v>
      </c>
      <c r="R325" s="18" t="s">
        <v>78</v>
      </c>
      <c r="S325" s="18" t="s">
        <v>77</v>
      </c>
      <c r="T325" s="22">
        <v>44915</v>
      </c>
      <c r="U325" s="18"/>
      <c r="V325" s="18" t="s">
        <v>81</v>
      </c>
      <c r="W325" s="18" t="s">
        <v>79</v>
      </c>
      <c r="X325" s="18" t="s">
        <v>10803</v>
      </c>
      <c r="Y325" s="18" t="s">
        <v>541</v>
      </c>
      <c r="Z325" s="18" t="s">
        <v>542</v>
      </c>
      <c r="AA325" s="18" t="s">
        <v>7062</v>
      </c>
      <c r="AB325" s="18" t="s">
        <v>95</v>
      </c>
      <c r="AC325" s="18" t="s">
        <v>7984</v>
      </c>
      <c r="AD325" s="18" t="s">
        <v>10804</v>
      </c>
      <c r="AE325" s="18" t="s">
        <v>135</v>
      </c>
      <c r="AF325" s="18" t="s">
        <v>95</v>
      </c>
      <c r="AG325" s="18" t="s">
        <v>83</v>
      </c>
      <c r="AH325" s="18" t="s">
        <v>83</v>
      </c>
      <c r="AI325" s="18" t="s">
        <v>81</v>
      </c>
      <c r="AJ325" s="18" t="s">
        <v>118</v>
      </c>
      <c r="AK325" s="18" t="s">
        <v>95</v>
      </c>
      <c r="AL325" s="18" t="s">
        <v>13372</v>
      </c>
      <c r="AM325" s="18" t="s">
        <v>85</v>
      </c>
      <c r="AN325" s="18" t="s">
        <v>7031</v>
      </c>
      <c r="AO325" s="18" t="s">
        <v>86</v>
      </c>
      <c r="AP325" s="18" t="s">
        <v>90</v>
      </c>
      <c r="AQ325" s="18" t="s">
        <v>7987</v>
      </c>
      <c r="AR325" s="18" t="s">
        <v>138</v>
      </c>
      <c r="AS325" s="18" t="s">
        <v>139</v>
      </c>
      <c r="AT325" s="18" t="s">
        <v>95</v>
      </c>
      <c r="AU325" s="18" t="s">
        <v>95</v>
      </c>
      <c r="AV325" s="18" t="s">
        <v>7037</v>
      </c>
      <c r="AW325" s="18" t="s">
        <v>95</v>
      </c>
      <c r="AX325" s="18" t="s">
        <v>10806</v>
      </c>
      <c r="AY325" s="18" t="s">
        <v>95</v>
      </c>
      <c r="AZ325" s="18" t="s">
        <v>95</v>
      </c>
      <c r="BA325" s="18" t="s">
        <v>95</v>
      </c>
      <c r="BB325" s="18" t="s">
        <v>95</v>
      </c>
      <c r="BC325" s="18" t="s">
        <v>95</v>
      </c>
      <c r="BD325" s="18" t="s">
        <v>10829</v>
      </c>
      <c r="BE325" s="18" t="s">
        <v>13373</v>
      </c>
      <c r="BF325" s="18" t="s">
        <v>10809</v>
      </c>
      <c r="BG325" s="18" t="s">
        <v>7030</v>
      </c>
      <c r="BH325" s="18"/>
      <c r="BI325" s="18"/>
      <c r="BJ325" s="18" t="s">
        <v>541</v>
      </c>
      <c r="BK325" s="18" t="s">
        <v>13374</v>
      </c>
      <c r="BL325" s="18" t="s">
        <v>10811</v>
      </c>
      <c r="BM325" s="18" t="s">
        <v>139</v>
      </c>
      <c r="BN325" s="18" t="s">
        <v>85</v>
      </c>
      <c r="BO325" s="18">
        <v>0</v>
      </c>
      <c r="BP325" s="18" t="s">
        <v>10812</v>
      </c>
      <c r="BQ325" s="18" t="str">
        <f>VLOOKUP(Prepago[[#This Row],[NOM_PLAZA]],[1]!Locales[#Data],3,0)</f>
        <v>TIENDA AMERICA</v>
      </c>
      <c r="BR325" s="18" t="str">
        <f>VLOOKUP(Prepago[[#This Row],[CODIGO_USUARIO]],[1]!Personal[#Data],6,0)</f>
        <v>CEVALLOS PONCE DIANA CAROLINA</v>
      </c>
      <c r="BS325" s="18">
        <f>DAY(Prepago[[#This Row],[FECHA_ALTA]])</f>
        <v>19</v>
      </c>
    </row>
    <row r="326" spans="1:71" x14ac:dyDescent="0.25">
      <c r="A326" s="18" t="s">
        <v>96</v>
      </c>
      <c r="B326" s="18" t="s">
        <v>13375</v>
      </c>
      <c r="C326" s="18" t="s">
        <v>13376</v>
      </c>
      <c r="D326" s="18" t="s">
        <v>13377</v>
      </c>
      <c r="E326" s="22">
        <v>44912</v>
      </c>
      <c r="F326" s="18" t="s">
        <v>67</v>
      </c>
      <c r="G326" s="18" t="s">
        <v>10310</v>
      </c>
      <c r="H326" s="18" t="s">
        <v>7131</v>
      </c>
      <c r="I326" s="18" t="s">
        <v>70</v>
      </c>
      <c r="J326" s="18" t="s">
        <v>8102</v>
      </c>
      <c r="K326" s="18" t="s">
        <v>8103</v>
      </c>
      <c r="L326" s="18" t="s">
        <v>132</v>
      </c>
      <c r="M326" s="18" t="s">
        <v>7122</v>
      </c>
      <c r="N326" s="18" t="s">
        <v>13378</v>
      </c>
      <c r="O326" s="18" t="s">
        <v>75</v>
      </c>
      <c r="P326" s="18" t="s">
        <v>13379</v>
      </c>
      <c r="Q326" s="18" t="s">
        <v>1532</v>
      </c>
      <c r="R326" s="18" t="s">
        <v>78</v>
      </c>
      <c r="S326" s="18" t="s">
        <v>77</v>
      </c>
      <c r="T326" s="22">
        <v>44915</v>
      </c>
      <c r="U326" s="18"/>
      <c r="V326" s="18" t="s">
        <v>81</v>
      </c>
      <c r="W326" s="18" t="s">
        <v>79</v>
      </c>
      <c r="X326" s="18" t="s">
        <v>10803</v>
      </c>
      <c r="Y326" s="18" t="s">
        <v>136</v>
      </c>
      <c r="Z326" s="18" t="s">
        <v>137</v>
      </c>
      <c r="AA326" s="18" t="s">
        <v>136</v>
      </c>
      <c r="AB326" s="18" t="s">
        <v>137</v>
      </c>
      <c r="AC326" s="18" t="s">
        <v>7984</v>
      </c>
      <c r="AD326" s="18" t="s">
        <v>10804</v>
      </c>
      <c r="AE326" s="18" t="s">
        <v>135</v>
      </c>
      <c r="AF326" s="18" t="s">
        <v>95</v>
      </c>
      <c r="AG326" s="18" t="s">
        <v>83</v>
      </c>
      <c r="AH326" s="18" t="s">
        <v>83</v>
      </c>
      <c r="AI326" s="18" t="s">
        <v>81</v>
      </c>
      <c r="AJ326" s="18" t="s">
        <v>118</v>
      </c>
      <c r="AK326" s="18" t="s">
        <v>95</v>
      </c>
      <c r="AL326" s="18" t="s">
        <v>10740</v>
      </c>
      <c r="AM326" s="18" t="s">
        <v>85</v>
      </c>
      <c r="AN326" s="18" t="s">
        <v>7031</v>
      </c>
      <c r="AO326" s="18" t="s">
        <v>86</v>
      </c>
      <c r="AP326" s="18" t="s">
        <v>90</v>
      </c>
      <c r="AQ326" s="18" t="s">
        <v>7987</v>
      </c>
      <c r="AR326" s="18" t="s">
        <v>138</v>
      </c>
      <c r="AS326" s="18" t="s">
        <v>139</v>
      </c>
      <c r="AT326" s="18" t="s">
        <v>95</v>
      </c>
      <c r="AU326" s="18" t="s">
        <v>95</v>
      </c>
      <c r="AV326" s="18" t="s">
        <v>7122</v>
      </c>
      <c r="AW326" s="18" t="s">
        <v>95</v>
      </c>
      <c r="AX326" s="18" t="s">
        <v>10806</v>
      </c>
      <c r="AY326" s="18" t="s">
        <v>95</v>
      </c>
      <c r="AZ326" s="18" t="s">
        <v>95</v>
      </c>
      <c r="BA326" s="18" t="s">
        <v>95</v>
      </c>
      <c r="BB326" s="18" t="s">
        <v>95</v>
      </c>
      <c r="BC326" s="18" t="s">
        <v>95</v>
      </c>
      <c r="BD326" s="18" t="s">
        <v>10807</v>
      </c>
      <c r="BE326" s="18" t="s">
        <v>13380</v>
      </c>
      <c r="BF326" s="18" t="s">
        <v>10809</v>
      </c>
      <c r="BG326" s="18" t="s">
        <v>7030</v>
      </c>
      <c r="BH326" s="18"/>
      <c r="BI326" s="18"/>
      <c r="BJ326" s="18" t="s">
        <v>136</v>
      </c>
      <c r="BK326" s="18" t="s">
        <v>13381</v>
      </c>
      <c r="BL326" s="18" t="s">
        <v>10811</v>
      </c>
      <c r="BM326" s="18" t="s">
        <v>139</v>
      </c>
      <c r="BN326" s="18" t="s">
        <v>85</v>
      </c>
      <c r="BO326" s="18">
        <v>0</v>
      </c>
      <c r="BP326" s="18" t="s">
        <v>10812</v>
      </c>
      <c r="BQ326" s="18" t="str">
        <f>VLOOKUP(Prepago[[#This Row],[NOM_PLAZA]],[1]!Locales[#Data],3,0)</f>
        <v>TIENDA AMERICA</v>
      </c>
      <c r="BR326" s="18" t="str">
        <f>VLOOKUP(Prepago[[#This Row],[CODIGO_USUARIO]],[1]!Personal[#Data],6,0)</f>
        <v>SALVATIERRA GUERRA JULIAN ENRIQUE</v>
      </c>
      <c r="BS326" s="18">
        <f>DAY(Prepago[[#This Row],[FECHA_ALTA]])</f>
        <v>17</v>
      </c>
    </row>
    <row r="327" spans="1:71" x14ac:dyDescent="0.25">
      <c r="A327" s="18" t="s">
        <v>96</v>
      </c>
      <c r="B327" s="18" t="s">
        <v>13382</v>
      </c>
      <c r="C327" s="18" t="s">
        <v>13383</v>
      </c>
      <c r="D327" s="18" t="s">
        <v>13384</v>
      </c>
      <c r="E327" s="22">
        <v>44909</v>
      </c>
      <c r="F327" s="18" t="s">
        <v>67</v>
      </c>
      <c r="G327" s="18" t="s">
        <v>6301</v>
      </c>
      <c r="H327" s="18" t="s">
        <v>6302</v>
      </c>
      <c r="I327" s="18" t="s">
        <v>70</v>
      </c>
      <c r="J327" s="18" t="s">
        <v>8102</v>
      </c>
      <c r="K327" s="18" t="s">
        <v>8103</v>
      </c>
      <c r="L327" s="18" t="s">
        <v>95</v>
      </c>
      <c r="M327" s="18" t="s">
        <v>7037</v>
      </c>
      <c r="N327" s="18" t="s">
        <v>13385</v>
      </c>
      <c r="O327" s="18" t="s">
        <v>75</v>
      </c>
      <c r="P327" s="18" t="s">
        <v>13386</v>
      </c>
      <c r="Q327" s="18" t="s">
        <v>4453</v>
      </c>
      <c r="R327" s="18" t="s">
        <v>78</v>
      </c>
      <c r="S327" s="18" t="s">
        <v>77</v>
      </c>
      <c r="T327" s="22">
        <v>44915</v>
      </c>
      <c r="U327" s="18"/>
      <c r="V327" s="18" t="s">
        <v>81</v>
      </c>
      <c r="W327" s="18" t="s">
        <v>79</v>
      </c>
      <c r="X327" s="18" t="s">
        <v>10803</v>
      </c>
      <c r="Y327" s="18" t="s">
        <v>665</v>
      </c>
      <c r="Z327" s="18" t="s">
        <v>666</v>
      </c>
      <c r="AA327" s="18" t="s">
        <v>7062</v>
      </c>
      <c r="AB327" s="18" t="s">
        <v>95</v>
      </c>
      <c r="AC327" s="18" t="s">
        <v>7984</v>
      </c>
      <c r="AD327" s="18" t="s">
        <v>10804</v>
      </c>
      <c r="AE327" s="18" t="s">
        <v>135</v>
      </c>
      <c r="AF327" s="18" t="s">
        <v>95</v>
      </c>
      <c r="AG327" s="18" t="s">
        <v>83</v>
      </c>
      <c r="AH327" s="18" t="s">
        <v>83</v>
      </c>
      <c r="AI327" s="18" t="s">
        <v>81</v>
      </c>
      <c r="AJ327" s="18" t="s">
        <v>118</v>
      </c>
      <c r="AK327" s="18" t="s">
        <v>95</v>
      </c>
      <c r="AL327" s="18" t="s">
        <v>10737</v>
      </c>
      <c r="AM327" s="18" t="s">
        <v>85</v>
      </c>
      <c r="AN327" s="18" t="s">
        <v>7031</v>
      </c>
      <c r="AO327" s="18" t="s">
        <v>86</v>
      </c>
      <c r="AP327" s="18" t="s">
        <v>90</v>
      </c>
      <c r="AQ327" s="18" t="s">
        <v>7987</v>
      </c>
      <c r="AR327" s="18" t="s">
        <v>138</v>
      </c>
      <c r="AS327" s="18" t="s">
        <v>139</v>
      </c>
      <c r="AT327" s="18" t="s">
        <v>95</v>
      </c>
      <c r="AU327" s="18" t="s">
        <v>95</v>
      </c>
      <c r="AV327" s="18" t="s">
        <v>7037</v>
      </c>
      <c r="AW327" s="18" t="s">
        <v>95</v>
      </c>
      <c r="AX327" s="18" t="s">
        <v>10806</v>
      </c>
      <c r="AY327" s="18" t="s">
        <v>95</v>
      </c>
      <c r="AZ327" s="18" t="s">
        <v>95</v>
      </c>
      <c r="BA327" s="18" t="s">
        <v>95</v>
      </c>
      <c r="BB327" s="18" t="s">
        <v>95</v>
      </c>
      <c r="BC327" s="18" t="s">
        <v>95</v>
      </c>
      <c r="BD327" s="18" t="s">
        <v>10807</v>
      </c>
      <c r="BE327" s="18" t="s">
        <v>13387</v>
      </c>
      <c r="BF327" s="18" t="s">
        <v>7037</v>
      </c>
      <c r="BG327" s="18" t="s">
        <v>7030</v>
      </c>
      <c r="BH327" s="18"/>
      <c r="BI327" s="18"/>
      <c r="BJ327" s="18" t="s">
        <v>665</v>
      </c>
      <c r="BK327" s="18" t="s">
        <v>13388</v>
      </c>
      <c r="BL327" s="18" t="s">
        <v>10811</v>
      </c>
      <c r="BM327" s="18" t="s">
        <v>139</v>
      </c>
      <c r="BN327" s="18" t="s">
        <v>85</v>
      </c>
      <c r="BO327" s="18">
        <v>0</v>
      </c>
      <c r="BP327" s="18" t="s">
        <v>10812</v>
      </c>
      <c r="BQ327" s="18" t="str">
        <f>VLOOKUP(Prepago[[#This Row],[NOM_PLAZA]],[1]!Locales[#Data],3,0)</f>
        <v>TIENDA AMERICA</v>
      </c>
      <c r="BR327" s="18" t="str">
        <f>VLOOKUP(Prepago[[#This Row],[CODIGO_USUARIO]],[1]!Personal[#Data],6,0)</f>
        <v>ROSERO CAICEDO JAIRO STEFANO</v>
      </c>
      <c r="BS327" s="18">
        <f>DAY(Prepago[[#This Row],[FECHA_ALTA]])</f>
        <v>14</v>
      </c>
    </row>
    <row r="328" spans="1:71" x14ac:dyDescent="0.25">
      <c r="A328" s="18" t="s">
        <v>96</v>
      </c>
      <c r="B328" s="18" t="s">
        <v>13389</v>
      </c>
      <c r="C328" s="18" t="s">
        <v>13390</v>
      </c>
      <c r="D328" s="18" t="s">
        <v>13391</v>
      </c>
      <c r="E328" s="22">
        <v>44914</v>
      </c>
      <c r="F328" s="18" t="s">
        <v>67</v>
      </c>
      <c r="G328" s="18" t="s">
        <v>13392</v>
      </c>
      <c r="H328" s="18" t="s">
        <v>13393</v>
      </c>
      <c r="I328" s="18" t="s">
        <v>70</v>
      </c>
      <c r="J328" s="18" t="s">
        <v>8102</v>
      </c>
      <c r="K328" s="18" t="s">
        <v>8103</v>
      </c>
      <c r="L328" s="18" t="s">
        <v>132</v>
      </c>
      <c r="M328" s="18" t="s">
        <v>7037</v>
      </c>
      <c r="N328" s="18" t="s">
        <v>13394</v>
      </c>
      <c r="O328" s="18" t="s">
        <v>75</v>
      </c>
      <c r="P328" s="18" t="s">
        <v>13395</v>
      </c>
      <c r="Q328" s="18" t="s">
        <v>1532</v>
      </c>
      <c r="R328" s="18" t="s">
        <v>78</v>
      </c>
      <c r="S328" s="18" t="s">
        <v>77</v>
      </c>
      <c r="T328" s="22">
        <v>44915</v>
      </c>
      <c r="U328" s="18"/>
      <c r="V328" s="18" t="s">
        <v>81</v>
      </c>
      <c r="W328" s="18" t="s">
        <v>79</v>
      </c>
      <c r="X328" s="18" t="s">
        <v>10803</v>
      </c>
      <c r="Y328" s="18" t="s">
        <v>665</v>
      </c>
      <c r="Z328" s="18" t="s">
        <v>666</v>
      </c>
      <c r="AA328" s="18" t="s">
        <v>7062</v>
      </c>
      <c r="AB328" s="18" t="s">
        <v>95</v>
      </c>
      <c r="AC328" s="18" t="s">
        <v>7984</v>
      </c>
      <c r="AD328" s="18" t="s">
        <v>10804</v>
      </c>
      <c r="AE328" s="18" t="s">
        <v>135</v>
      </c>
      <c r="AF328" s="18" t="s">
        <v>95</v>
      </c>
      <c r="AG328" s="18" t="s">
        <v>83</v>
      </c>
      <c r="AH328" s="18" t="s">
        <v>83</v>
      </c>
      <c r="AI328" s="18" t="s">
        <v>81</v>
      </c>
      <c r="AJ328" s="18" t="s">
        <v>118</v>
      </c>
      <c r="AK328" s="18" t="s">
        <v>95</v>
      </c>
      <c r="AL328" s="18" t="s">
        <v>10737</v>
      </c>
      <c r="AM328" s="18" t="s">
        <v>85</v>
      </c>
      <c r="AN328" s="18" t="s">
        <v>7031</v>
      </c>
      <c r="AO328" s="18" t="s">
        <v>86</v>
      </c>
      <c r="AP328" s="18" t="s">
        <v>90</v>
      </c>
      <c r="AQ328" s="18" t="s">
        <v>7987</v>
      </c>
      <c r="AR328" s="18" t="s">
        <v>138</v>
      </c>
      <c r="AS328" s="18" t="s">
        <v>139</v>
      </c>
      <c r="AT328" s="18" t="s">
        <v>95</v>
      </c>
      <c r="AU328" s="18" t="s">
        <v>95</v>
      </c>
      <c r="AV328" s="18" t="s">
        <v>7037</v>
      </c>
      <c r="AW328" s="18" t="s">
        <v>95</v>
      </c>
      <c r="AX328" s="18" t="s">
        <v>10806</v>
      </c>
      <c r="AY328" s="18" t="s">
        <v>95</v>
      </c>
      <c r="AZ328" s="18" t="s">
        <v>95</v>
      </c>
      <c r="BA328" s="18" t="s">
        <v>95</v>
      </c>
      <c r="BB328" s="18" t="s">
        <v>95</v>
      </c>
      <c r="BC328" s="18" t="s">
        <v>95</v>
      </c>
      <c r="BD328" s="18" t="s">
        <v>10829</v>
      </c>
      <c r="BE328" s="18" t="s">
        <v>13396</v>
      </c>
      <c r="BF328" s="18" t="s">
        <v>10809</v>
      </c>
      <c r="BG328" s="18" t="s">
        <v>7030</v>
      </c>
      <c r="BH328" s="18"/>
      <c r="BI328" s="18"/>
      <c r="BJ328" s="18" t="s">
        <v>665</v>
      </c>
      <c r="BK328" s="18" t="s">
        <v>13397</v>
      </c>
      <c r="BL328" s="18" t="s">
        <v>10811</v>
      </c>
      <c r="BM328" s="18" t="s">
        <v>139</v>
      </c>
      <c r="BN328" s="18" t="s">
        <v>85</v>
      </c>
      <c r="BO328" s="18">
        <v>0</v>
      </c>
      <c r="BP328" s="18" t="s">
        <v>10812</v>
      </c>
      <c r="BQ328" s="18" t="str">
        <f>VLOOKUP(Prepago[[#This Row],[NOM_PLAZA]],[1]!Locales[#Data],3,0)</f>
        <v>TIENDA AMERICA</v>
      </c>
      <c r="BR328" s="18" t="str">
        <f>VLOOKUP(Prepago[[#This Row],[CODIGO_USUARIO]],[1]!Personal[#Data],6,0)</f>
        <v>ROSERO CAICEDO JAIRO STEFANO</v>
      </c>
      <c r="BS328" s="18">
        <f>DAY(Prepago[[#This Row],[FECHA_ALTA]])</f>
        <v>19</v>
      </c>
    </row>
    <row r="329" spans="1:71" x14ac:dyDescent="0.25">
      <c r="A329" s="18" t="s">
        <v>96</v>
      </c>
      <c r="B329" s="18" t="s">
        <v>9013</v>
      </c>
      <c r="C329" s="18" t="s">
        <v>9019</v>
      </c>
      <c r="D329" s="18" t="s">
        <v>9015</v>
      </c>
      <c r="E329" s="22">
        <v>44903</v>
      </c>
      <c r="F329" s="18" t="s">
        <v>67</v>
      </c>
      <c r="G329" s="18" t="s">
        <v>13398</v>
      </c>
      <c r="H329" s="18" t="s">
        <v>9017</v>
      </c>
      <c r="I329" s="18" t="s">
        <v>3971</v>
      </c>
      <c r="J329" s="18" t="s">
        <v>8102</v>
      </c>
      <c r="K329" s="18" t="s">
        <v>8103</v>
      </c>
      <c r="L329" s="18" t="s">
        <v>132</v>
      </c>
      <c r="M329" s="18" t="s">
        <v>7037</v>
      </c>
      <c r="N329" s="18" t="s">
        <v>9018</v>
      </c>
      <c r="O329" s="18" t="s">
        <v>287</v>
      </c>
      <c r="P329" s="18" t="s">
        <v>13399</v>
      </c>
      <c r="Q329" s="18" t="s">
        <v>10817</v>
      </c>
      <c r="R329" s="18" t="s">
        <v>78</v>
      </c>
      <c r="S329" s="18" t="s">
        <v>77</v>
      </c>
      <c r="T329" s="22">
        <v>44915</v>
      </c>
      <c r="U329" s="18"/>
      <c r="V329" s="18" t="s">
        <v>81</v>
      </c>
      <c r="W329" s="18" t="s">
        <v>79</v>
      </c>
      <c r="X329" s="18" t="s">
        <v>10803</v>
      </c>
      <c r="Y329" s="18" t="s">
        <v>136</v>
      </c>
      <c r="Z329" s="18" t="s">
        <v>137</v>
      </c>
      <c r="AA329" s="18" t="s">
        <v>7062</v>
      </c>
      <c r="AB329" s="18" t="s">
        <v>95</v>
      </c>
      <c r="AC329" s="18" t="s">
        <v>7984</v>
      </c>
      <c r="AD329" s="18" t="s">
        <v>10804</v>
      </c>
      <c r="AE329" s="18" t="s">
        <v>135</v>
      </c>
      <c r="AF329" s="18" t="s">
        <v>95</v>
      </c>
      <c r="AG329" s="18" t="s">
        <v>83</v>
      </c>
      <c r="AH329" s="18" t="s">
        <v>83</v>
      </c>
      <c r="AI329" s="18" t="s">
        <v>81</v>
      </c>
      <c r="AJ329" s="18" t="s">
        <v>118</v>
      </c>
      <c r="AK329" s="18" t="s">
        <v>95</v>
      </c>
      <c r="AL329" s="18" t="s">
        <v>10740</v>
      </c>
      <c r="AM329" s="18" t="s">
        <v>85</v>
      </c>
      <c r="AN329" s="18" t="s">
        <v>7031</v>
      </c>
      <c r="AO329" s="18" t="s">
        <v>86</v>
      </c>
      <c r="AP329" s="18" t="s">
        <v>90</v>
      </c>
      <c r="AQ329" s="18" t="s">
        <v>7987</v>
      </c>
      <c r="AR329" s="18" t="s">
        <v>138</v>
      </c>
      <c r="AS329" s="18" t="s">
        <v>139</v>
      </c>
      <c r="AT329" s="18" t="s">
        <v>95</v>
      </c>
      <c r="AU329" s="18" t="s">
        <v>95</v>
      </c>
      <c r="AV329" s="18" t="s">
        <v>7037</v>
      </c>
      <c r="AW329" s="18" t="s">
        <v>95</v>
      </c>
      <c r="AX329" s="18" t="s">
        <v>10806</v>
      </c>
      <c r="AY329" s="18" t="s">
        <v>95</v>
      </c>
      <c r="AZ329" s="18" t="s">
        <v>95</v>
      </c>
      <c r="BA329" s="18" t="s">
        <v>95</v>
      </c>
      <c r="BB329" s="18" t="s">
        <v>95</v>
      </c>
      <c r="BC329" s="18" t="s">
        <v>95</v>
      </c>
      <c r="BD329" s="18" t="s">
        <v>10829</v>
      </c>
      <c r="BE329" s="18" t="s">
        <v>13400</v>
      </c>
      <c r="BF329" s="18" t="s">
        <v>10809</v>
      </c>
      <c r="BG329" s="18" t="s">
        <v>7030</v>
      </c>
      <c r="BH329" s="18"/>
      <c r="BI329" s="18"/>
      <c r="BJ329" s="18" t="s">
        <v>136</v>
      </c>
      <c r="BK329" s="18" t="s">
        <v>13401</v>
      </c>
      <c r="BL329" s="18" t="s">
        <v>10811</v>
      </c>
      <c r="BM329" s="18" t="s">
        <v>139</v>
      </c>
      <c r="BN329" s="18" t="s">
        <v>85</v>
      </c>
      <c r="BO329" s="18">
        <v>0</v>
      </c>
      <c r="BP329" s="18" t="s">
        <v>10812</v>
      </c>
      <c r="BQ329" s="18" t="str">
        <f>VLOOKUP(Prepago[[#This Row],[NOM_PLAZA]],[1]!Locales[#Data],3,0)</f>
        <v>TIENDA AMERICA</v>
      </c>
      <c r="BR329" s="18" t="str">
        <f>VLOOKUP(Prepago[[#This Row],[CODIGO_USUARIO]],[1]!Personal[#Data],6,0)</f>
        <v>SALVATIERRA GUERRA JULIAN ENRIQUE</v>
      </c>
      <c r="BS329" s="18">
        <f>DAY(Prepago[[#This Row],[FECHA_ALTA]])</f>
        <v>8</v>
      </c>
    </row>
    <row r="330" spans="1:71" x14ac:dyDescent="0.25">
      <c r="A330" s="18" t="s">
        <v>96</v>
      </c>
      <c r="B330" s="18" t="s">
        <v>8271</v>
      </c>
      <c r="C330" s="18" t="s">
        <v>8277</v>
      </c>
      <c r="D330" s="18" t="s">
        <v>8273</v>
      </c>
      <c r="E330" s="22">
        <v>44898</v>
      </c>
      <c r="F330" s="18" t="s">
        <v>67</v>
      </c>
      <c r="G330" s="18" t="s">
        <v>8274</v>
      </c>
      <c r="H330" s="18" t="s">
        <v>8275</v>
      </c>
      <c r="I330" s="18" t="s">
        <v>70</v>
      </c>
      <c r="J330" s="18" t="s">
        <v>8102</v>
      </c>
      <c r="K330" s="18" t="s">
        <v>8103</v>
      </c>
      <c r="L330" s="18" t="s">
        <v>132</v>
      </c>
      <c r="M330" s="18" t="s">
        <v>7037</v>
      </c>
      <c r="N330" s="18" t="s">
        <v>8276</v>
      </c>
      <c r="O330" s="18" t="s">
        <v>287</v>
      </c>
      <c r="P330" s="18" t="s">
        <v>13402</v>
      </c>
      <c r="Q330" s="18" t="s">
        <v>10817</v>
      </c>
      <c r="R330" s="18" t="s">
        <v>78</v>
      </c>
      <c r="S330" s="18" t="s">
        <v>77</v>
      </c>
      <c r="T330" s="22">
        <v>44915</v>
      </c>
      <c r="U330" s="18"/>
      <c r="V330" s="18" t="s">
        <v>81</v>
      </c>
      <c r="W330" s="18" t="s">
        <v>79</v>
      </c>
      <c r="X330" s="18" t="s">
        <v>10803</v>
      </c>
      <c r="Y330" s="18" t="s">
        <v>136</v>
      </c>
      <c r="Z330" s="18" t="s">
        <v>137</v>
      </c>
      <c r="AA330" s="18" t="s">
        <v>7062</v>
      </c>
      <c r="AB330" s="18" t="s">
        <v>95</v>
      </c>
      <c r="AC330" s="18" t="s">
        <v>7984</v>
      </c>
      <c r="AD330" s="18" t="s">
        <v>10804</v>
      </c>
      <c r="AE330" s="18" t="s">
        <v>135</v>
      </c>
      <c r="AF330" s="18" t="s">
        <v>95</v>
      </c>
      <c r="AG330" s="18" t="s">
        <v>83</v>
      </c>
      <c r="AH330" s="18" t="s">
        <v>83</v>
      </c>
      <c r="AI330" s="18" t="s">
        <v>81</v>
      </c>
      <c r="AJ330" s="18" t="s">
        <v>118</v>
      </c>
      <c r="AK330" s="18" t="s">
        <v>95</v>
      </c>
      <c r="AL330" s="18" t="s">
        <v>10740</v>
      </c>
      <c r="AM330" s="18" t="s">
        <v>85</v>
      </c>
      <c r="AN330" s="18" t="s">
        <v>7031</v>
      </c>
      <c r="AO330" s="18" t="s">
        <v>86</v>
      </c>
      <c r="AP330" s="18" t="s">
        <v>90</v>
      </c>
      <c r="AQ330" s="18" t="s">
        <v>7987</v>
      </c>
      <c r="AR330" s="18" t="s">
        <v>138</v>
      </c>
      <c r="AS330" s="18" t="s">
        <v>139</v>
      </c>
      <c r="AT330" s="18" t="s">
        <v>95</v>
      </c>
      <c r="AU330" s="18" t="s">
        <v>95</v>
      </c>
      <c r="AV330" s="18" t="s">
        <v>7037</v>
      </c>
      <c r="AW330" s="18" t="s">
        <v>95</v>
      </c>
      <c r="AX330" s="18" t="s">
        <v>10806</v>
      </c>
      <c r="AY330" s="18" t="s">
        <v>95</v>
      </c>
      <c r="AZ330" s="18" t="s">
        <v>95</v>
      </c>
      <c r="BA330" s="18" t="s">
        <v>95</v>
      </c>
      <c r="BB330" s="18" t="s">
        <v>95</v>
      </c>
      <c r="BC330" s="18" t="s">
        <v>95</v>
      </c>
      <c r="BD330" s="18" t="s">
        <v>10829</v>
      </c>
      <c r="BE330" s="18" t="s">
        <v>95</v>
      </c>
      <c r="BF330" s="18" t="s">
        <v>10809</v>
      </c>
      <c r="BG330" s="18" t="s">
        <v>7030</v>
      </c>
      <c r="BH330" s="18"/>
      <c r="BI330" s="18"/>
      <c r="BJ330" s="18" t="s">
        <v>136</v>
      </c>
      <c r="BK330" s="18" t="s">
        <v>13403</v>
      </c>
      <c r="BL330" s="18" t="s">
        <v>10811</v>
      </c>
      <c r="BM330" s="18" t="s">
        <v>139</v>
      </c>
      <c r="BN330" s="18" t="s">
        <v>85</v>
      </c>
      <c r="BO330" s="18">
        <v>0</v>
      </c>
      <c r="BP330" s="18" t="s">
        <v>10812</v>
      </c>
      <c r="BQ330" s="18" t="str">
        <f>VLOOKUP(Prepago[[#This Row],[NOM_PLAZA]],[1]!Locales[#Data],3,0)</f>
        <v>TIENDA AMERICA</v>
      </c>
      <c r="BR330" s="18" t="str">
        <f>VLOOKUP(Prepago[[#This Row],[CODIGO_USUARIO]],[1]!Personal[#Data],6,0)</f>
        <v>SALVATIERRA GUERRA JULIAN ENRIQUE</v>
      </c>
      <c r="BS330" s="18">
        <f>DAY(Prepago[[#This Row],[FECHA_ALTA]])</f>
        <v>3</v>
      </c>
    </row>
    <row r="331" spans="1:71" x14ac:dyDescent="0.25">
      <c r="A331" s="18" t="s">
        <v>96</v>
      </c>
      <c r="B331" s="18" t="s">
        <v>9810</v>
      </c>
      <c r="C331" s="18" t="s">
        <v>9814</v>
      </c>
      <c r="D331" s="18" t="s">
        <v>9812</v>
      </c>
      <c r="E331" s="22">
        <v>44909</v>
      </c>
      <c r="F331" s="18" t="s">
        <v>67</v>
      </c>
      <c r="G331" s="18" t="s">
        <v>499</v>
      </c>
      <c r="H331" s="18" t="s">
        <v>500</v>
      </c>
      <c r="I331" s="18" t="s">
        <v>70</v>
      </c>
      <c r="J331" s="18" t="s">
        <v>8102</v>
      </c>
      <c r="K331" s="18" t="s">
        <v>8103</v>
      </c>
      <c r="L331" s="18" t="s">
        <v>132</v>
      </c>
      <c r="M331" s="18" t="s">
        <v>7037</v>
      </c>
      <c r="N331" s="18" t="s">
        <v>9813</v>
      </c>
      <c r="O331" s="18" t="s">
        <v>287</v>
      </c>
      <c r="P331" s="18" t="s">
        <v>13404</v>
      </c>
      <c r="Q331" s="18" t="s">
        <v>10817</v>
      </c>
      <c r="R331" s="18" t="s">
        <v>78</v>
      </c>
      <c r="S331" s="18" t="s">
        <v>77</v>
      </c>
      <c r="T331" s="22">
        <v>44915</v>
      </c>
      <c r="U331" s="18"/>
      <c r="V331" s="18" t="s">
        <v>81</v>
      </c>
      <c r="W331" s="18" t="s">
        <v>79</v>
      </c>
      <c r="X331" s="18" t="s">
        <v>10803</v>
      </c>
      <c r="Y331" s="18" t="s">
        <v>136</v>
      </c>
      <c r="Z331" s="18" t="s">
        <v>137</v>
      </c>
      <c r="AA331" s="18" t="s">
        <v>7062</v>
      </c>
      <c r="AB331" s="18" t="s">
        <v>95</v>
      </c>
      <c r="AC331" s="18" t="s">
        <v>7984</v>
      </c>
      <c r="AD331" s="18" t="s">
        <v>10804</v>
      </c>
      <c r="AE331" s="18" t="s">
        <v>135</v>
      </c>
      <c r="AF331" s="18" t="s">
        <v>95</v>
      </c>
      <c r="AG331" s="18" t="s">
        <v>83</v>
      </c>
      <c r="AH331" s="18" t="s">
        <v>83</v>
      </c>
      <c r="AI331" s="18" t="s">
        <v>81</v>
      </c>
      <c r="AJ331" s="18" t="s">
        <v>118</v>
      </c>
      <c r="AK331" s="18" t="s">
        <v>95</v>
      </c>
      <c r="AL331" s="18" t="s">
        <v>10740</v>
      </c>
      <c r="AM331" s="18" t="s">
        <v>85</v>
      </c>
      <c r="AN331" s="18" t="s">
        <v>7031</v>
      </c>
      <c r="AO331" s="18" t="s">
        <v>86</v>
      </c>
      <c r="AP331" s="18" t="s">
        <v>90</v>
      </c>
      <c r="AQ331" s="18" t="s">
        <v>7987</v>
      </c>
      <c r="AR331" s="18" t="s">
        <v>138</v>
      </c>
      <c r="AS331" s="18" t="s">
        <v>139</v>
      </c>
      <c r="AT331" s="18" t="s">
        <v>95</v>
      </c>
      <c r="AU331" s="18" t="s">
        <v>95</v>
      </c>
      <c r="AV331" s="18" t="s">
        <v>7037</v>
      </c>
      <c r="AW331" s="18" t="s">
        <v>95</v>
      </c>
      <c r="AX331" s="18" t="s">
        <v>10806</v>
      </c>
      <c r="AY331" s="18" t="s">
        <v>95</v>
      </c>
      <c r="AZ331" s="18" t="s">
        <v>95</v>
      </c>
      <c r="BA331" s="18" t="s">
        <v>95</v>
      </c>
      <c r="BB331" s="18" t="s">
        <v>95</v>
      </c>
      <c r="BC331" s="18" t="s">
        <v>95</v>
      </c>
      <c r="BD331" s="18" t="s">
        <v>10829</v>
      </c>
      <c r="BE331" s="18" t="s">
        <v>13405</v>
      </c>
      <c r="BF331" s="18" t="s">
        <v>10809</v>
      </c>
      <c r="BG331" s="18" t="s">
        <v>7030</v>
      </c>
      <c r="BH331" s="18"/>
      <c r="BI331" s="18"/>
      <c r="BJ331" s="18" t="s">
        <v>136</v>
      </c>
      <c r="BK331" s="18" t="s">
        <v>13406</v>
      </c>
      <c r="BL331" s="18" t="s">
        <v>10811</v>
      </c>
      <c r="BM331" s="18" t="s">
        <v>139</v>
      </c>
      <c r="BN331" s="18" t="s">
        <v>85</v>
      </c>
      <c r="BO331" s="18">
        <v>0</v>
      </c>
      <c r="BP331" s="18" t="s">
        <v>10812</v>
      </c>
      <c r="BQ331" s="18" t="str">
        <f>VLOOKUP(Prepago[[#This Row],[NOM_PLAZA]],[1]!Locales[#Data],3,0)</f>
        <v>TIENDA AMERICA</v>
      </c>
      <c r="BR331" s="18" t="str">
        <f>VLOOKUP(Prepago[[#This Row],[CODIGO_USUARIO]],[1]!Personal[#Data],6,0)</f>
        <v>SALVATIERRA GUERRA JULIAN ENRIQUE</v>
      </c>
      <c r="BS331" s="18">
        <f>DAY(Prepago[[#This Row],[FECHA_ALTA]])</f>
        <v>14</v>
      </c>
    </row>
    <row r="332" spans="1:71" x14ac:dyDescent="0.25">
      <c r="A332" s="18" t="s">
        <v>96</v>
      </c>
      <c r="B332" s="18" t="s">
        <v>9815</v>
      </c>
      <c r="C332" s="18" t="s">
        <v>9817</v>
      </c>
      <c r="D332" s="18" t="s">
        <v>9812</v>
      </c>
      <c r="E332" s="22">
        <v>44909</v>
      </c>
      <c r="F332" s="18" t="s">
        <v>67</v>
      </c>
      <c r="G332" s="18" t="s">
        <v>499</v>
      </c>
      <c r="H332" s="18" t="s">
        <v>500</v>
      </c>
      <c r="I332" s="18" t="s">
        <v>70</v>
      </c>
      <c r="J332" s="18" t="s">
        <v>8102</v>
      </c>
      <c r="K332" s="18" t="s">
        <v>8103</v>
      </c>
      <c r="L332" s="18" t="s">
        <v>132</v>
      </c>
      <c r="M332" s="18" t="s">
        <v>7037</v>
      </c>
      <c r="N332" s="18" t="s">
        <v>9816</v>
      </c>
      <c r="O332" s="18" t="s">
        <v>287</v>
      </c>
      <c r="P332" s="18" t="s">
        <v>13407</v>
      </c>
      <c r="Q332" s="18" t="s">
        <v>10817</v>
      </c>
      <c r="R332" s="18" t="s">
        <v>78</v>
      </c>
      <c r="S332" s="18" t="s">
        <v>77</v>
      </c>
      <c r="T332" s="22">
        <v>44915</v>
      </c>
      <c r="U332" s="18"/>
      <c r="V332" s="18" t="s">
        <v>81</v>
      </c>
      <c r="W332" s="18" t="s">
        <v>79</v>
      </c>
      <c r="X332" s="18" t="s">
        <v>10803</v>
      </c>
      <c r="Y332" s="18" t="s">
        <v>136</v>
      </c>
      <c r="Z332" s="18" t="s">
        <v>137</v>
      </c>
      <c r="AA332" s="18" t="s">
        <v>7062</v>
      </c>
      <c r="AB332" s="18" t="s">
        <v>95</v>
      </c>
      <c r="AC332" s="18" t="s">
        <v>7984</v>
      </c>
      <c r="AD332" s="18" t="s">
        <v>10804</v>
      </c>
      <c r="AE332" s="18" t="s">
        <v>135</v>
      </c>
      <c r="AF332" s="18" t="s">
        <v>95</v>
      </c>
      <c r="AG332" s="18" t="s">
        <v>83</v>
      </c>
      <c r="AH332" s="18" t="s">
        <v>83</v>
      </c>
      <c r="AI332" s="18" t="s">
        <v>81</v>
      </c>
      <c r="AJ332" s="18" t="s">
        <v>118</v>
      </c>
      <c r="AK332" s="18" t="s">
        <v>95</v>
      </c>
      <c r="AL332" s="18" t="s">
        <v>10740</v>
      </c>
      <c r="AM332" s="18" t="s">
        <v>85</v>
      </c>
      <c r="AN332" s="18" t="s">
        <v>7031</v>
      </c>
      <c r="AO332" s="18" t="s">
        <v>86</v>
      </c>
      <c r="AP332" s="18" t="s">
        <v>90</v>
      </c>
      <c r="AQ332" s="18" t="s">
        <v>7987</v>
      </c>
      <c r="AR332" s="18" t="s">
        <v>138</v>
      </c>
      <c r="AS332" s="18" t="s">
        <v>139</v>
      </c>
      <c r="AT332" s="18" t="s">
        <v>95</v>
      </c>
      <c r="AU332" s="18" t="s">
        <v>95</v>
      </c>
      <c r="AV332" s="18" t="s">
        <v>7037</v>
      </c>
      <c r="AW332" s="18" t="s">
        <v>95</v>
      </c>
      <c r="AX332" s="18" t="s">
        <v>10806</v>
      </c>
      <c r="AY332" s="18" t="s">
        <v>95</v>
      </c>
      <c r="AZ332" s="18" t="s">
        <v>95</v>
      </c>
      <c r="BA332" s="18" t="s">
        <v>95</v>
      </c>
      <c r="BB332" s="18" t="s">
        <v>95</v>
      </c>
      <c r="BC332" s="18" t="s">
        <v>95</v>
      </c>
      <c r="BD332" s="18" t="s">
        <v>10829</v>
      </c>
      <c r="BE332" s="18" t="s">
        <v>13405</v>
      </c>
      <c r="BF332" s="18" t="s">
        <v>10809</v>
      </c>
      <c r="BG332" s="18" t="s">
        <v>7030</v>
      </c>
      <c r="BH332" s="18"/>
      <c r="BI332" s="18"/>
      <c r="BJ332" s="18" t="s">
        <v>136</v>
      </c>
      <c r="BK332" s="18" t="s">
        <v>13406</v>
      </c>
      <c r="BL332" s="18" t="s">
        <v>10811</v>
      </c>
      <c r="BM332" s="18" t="s">
        <v>139</v>
      </c>
      <c r="BN332" s="18" t="s">
        <v>85</v>
      </c>
      <c r="BO332" s="18">
        <v>0</v>
      </c>
      <c r="BP332" s="18" t="s">
        <v>10812</v>
      </c>
      <c r="BQ332" s="18" t="str">
        <f>VLOOKUP(Prepago[[#This Row],[NOM_PLAZA]],[1]!Locales[#Data],3,0)</f>
        <v>TIENDA AMERICA</v>
      </c>
      <c r="BR332" s="18" t="str">
        <f>VLOOKUP(Prepago[[#This Row],[CODIGO_USUARIO]],[1]!Personal[#Data],6,0)</f>
        <v>SALVATIERRA GUERRA JULIAN ENRIQUE</v>
      </c>
      <c r="BS332" s="18">
        <f>DAY(Prepago[[#This Row],[FECHA_ALTA]])</f>
        <v>14</v>
      </c>
    </row>
    <row r="333" spans="1:71" x14ac:dyDescent="0.25">
      <c r="A333" s="18" t="s">
        <v>96</v>
      </c>
      <c r="B333" s="18" t="s">
        <v>13408</v>
      </c>
      <c r="C333" s="18" t="s">
        <v>13409</v>
      </c>
      <c r="D333" s="18" t="s">
        <v>13410</v>
      </c>
      <c r="E333" s="22">
        <v>44912</v>
      </c>
      <c r="F333" s="18" t="s">
        <v>67</v>
      </c>
      <c r="G333" s="18" t="s">
        <v>10292</v>
      </c>
      <c r="H333" s="18" t="s">
        <v>10293</v>
      </c>
      <c r="I333" s="18" t="s">
        <v>70</v>
      </c>
      <c r="J333" s="18" t="s">
        <v>8102</v>
      </c>
      <c r="K333" s="18" t="s">
        <v>8103</v>
      </c>
      <c r="L333" s="18" t="s">
        <v>13411</v>
      </c>
      <c r="M333" s="18" t="s">
        <v>7037</v>
      </c>
      <c r="N333" s="18" t="s">
        <v>13412</v>
      </c>
      <c r="O333" s="18" t="s">
        <v>75</v>
      </c>
      <c r="P333" s="18" t="s">
        <v>13413</v>
      </c>
      <c r="Q333" s="18" t="s">
        <v>231</v>
      </c>
      <c r="R333" s="18" t="s">
        <v>78</v>
      </c>
      <c r="S333" s="18" t="s">
        <v>231</v>
      </c>
      <c r="T333" s="22">
        <v>44915</v>
      </c>
      <c r="U333" s="18"/>
      <c r="V333" s="18" t="s">
        <v>81</v>
      </c>
      <c r="W333" s="18" t="s">
        <v>79</v>
      </c>
      <c r="X333" s="18" t="s">
        <v>10803</v>
      </c>
      <c r="Y333" s="18" t="s">
        <v>136</v>
      </c>
      <c r="Z333" s="18" t="s">
        <v>137</v>
      </c>
      <c r="AA333" s="18" t="s">
        <v>7062</v>
      </c>
      <c r="AB333" s="18" t="s">
        <v>95</v>
      </c>
      <c r="AC333" s="18" t="s">
        <v>7984</v>
      </c>
      <c r="AD333" s="18" t="s">
        <v>10804</v>
      </c>
      <c r="AE333" s="18" t="s">
        <v>135</v>
      </c>
      <c r="AF333" s="18" t="s">
        <v>95</v>
      </c>
      <c r="AG333" s="18" t="s">
        <v>83</v>
      </c>
      <c r="AH333" s="18" t="s">
        <v>83</v>
      </c>
      <c r="AI333" s="18" t="s">
        <v>81</v>
      </c>
      <c r="AJ333" s="18" t="s">
        <v>118</v>
      </c>
      <c r="AK333" s="18" t="s">
        <v>95</v>
      </c>
      <c r="AL333" s="18" t="s">
        <v>10740</v>
      </c>
      <c r="AM333" s="18" t="s">
        <v>85</v>
      </c>
      <c r="AN333" s="18" t="s">
        <v>7031</v>
      </c>
      <c r="AO333" s="18" t="s">
        <v>86</v>
      </c>
      <c r="AP333" s="18" t="s">
        <v>90</v>
      </c>
      <c r="AQ333" s="18" t="s">
        <v>7987</v>
      </c>
      <c r="AR333" s="18" t="s">
        <v>138</v>
      </c>
      <c r="AS333" s="18" t="s">
        <v>139</v>
      </c>
      <c r="AT333" s="18" t="s">
        <v>95</v>
      </c>
      <c r="AU333" s="18" t="s">
        <v>95</v>
      </c>
      <c r="AV333" s="18" t="s">
        <v>7037</v>
      </c>
      <c r="AW333" s="18" t="s">
        <v>95</v>
      </c>
      <c r="AX333" s="18" t="s">
        <v>10806</v>
      </c>
      <c r="AY333" s="18" t="s">
        <v>95</v>
      </c>
      <c r="AZ333" s="18" t="s">
        <v>95</v>
      </c>
      <c r="BA333" s="18" t="s">
        <v>95</v>
      </c>
      <c r="BB333" s="18" t="s">
        <v>95</v>
      </c>
      <c r="BC333" s="18" t="s">
        <v>95</v>
      </c>
      <c r="BD333" s="18" t="s">
        <v>10829</v>
      </c>
      <c r="BE333" s="18" t="s">
        <v>13414</v>
      </c>
      <c r="BF333" s="18" t="s">
        <v>10809</v>
      </c>
      <c r="BG333" s="18" t="s">
        <v>7030</v>
      </c>
      <c r="BH333" s="18"/>
      <c r="BI333" s="18"/>
      <c r="BJ333" s="18" t="s">
        <v>136</v>
      </c>
      <c r="BK333" s="18" t="s">
        <v>13415</v>
      </c>
      <c r="BL333" s="18" t="s">
        <v>10811</v>
      </c>
      <c r="BM333" s="18" t="s">
        <v>139</v>
      </c>
      <c r="BN333" s="18" t="s">
        <v>85</v>
      </c>
      <c r="BO333" s="18">
        <v>0</v>
      </c>
      <c r="BP333" s="18" t="s">
        <v>10812</v>
      </c>
      <c r="BQ333" s="18" t="str">
        <f>VLOOKUP(Prepago[[#This Row],[NOM_PLAZA]],[1]!Locales[#Data],3,0)</f>
        <v>TIENDA AMERICA</v>
      </c>
      <c r="BR333" s="18" t="str">
        <f>VLOOKUP(Prepago[[#This Row],[CODIGO_USUARIO]],[1]!Personal[#Data],6,0)</f>
        <v>SALVATIERRA GUERRA JULIAN ENRIQUE</v>
      </c>
      <c r="BS333" s="18">
        <f>DAY(Prepago[[#This Row],[FECHA_ALTA]])</f>
        <v>17</v>
      </c>
    </row>
    <row r="334" spans="1:71" x14ac:dyDescent="0.25">
      <c r="A334" s="18" t="s">
        <v>96</v>
      </c>
      <c r="B334" s="18" t="s">
        <v>13416</v>
      </c>
      <c r="C334" s="18" t="s">
        <v>13417</v>
      </c>
      <c r="D334" s="18" t="s">
        <v>13418</v>
      </c>
      <c r="E334" s="22">
        <v>44903</v>
      </c>
      <c r="F334" s="18" t="s">
        <v>67</v>
      </c>
      <c r="G334" s="18" t="s">
        <v>13419</v>
      </c>
      <c r="H334" s="18" t="s">
        <v>13420</v>
      </c>
      <c r="I334" s="18" t="s">
        <v>70</v>
      </c>
      <c r="J334" s="18" t="s">
        <v>8102</v>
      </c>
      <c r="K334" s="18" t="s">
        <v>8103</v>
      </c>
      <c r="L334" s="18" t="s">
        <v>73</v>
      </c>
      <c r="M334" s="18" t="s">
        <v>7037</v>
      </c>
      <c r="N334" s="18" t="s">
        <v>13421</v>
      </c>
      <c r="O334" s="18" t="s">
        <v>75</v>
      </c>
      <c r="P334" s="18" t="s">
        <v>13422</v>
      </c>
      <c r="Q334" s="18" t="s">
        <v>10817</v>
      </c>
      <c r="R334" s="18" t="s">
        <v>78</v>
      </c>
      <c r="S334" s="18" t="s">
        <v>77</v>
      </c>
      <c r="T334" s="22">
        <v>44915</v>
      </c>
      <c r="U334" s="18"/>
      <c r="V334" s="18" t="s">
        <v>81</v>
      </c>
      <c r="W334" s="18" t="s">
        <v>79</v>
      </c>
      <c r="X334" s="18" t="s">
        <v>10803</v>
      </c>
      <c r="Y334" s="18" t="s">
        <v>541</v>
      </c>
      <c r="Z334" s="18" t="s">
        <v>542</v>
      </c>
      <c r="AA334" s="18" t="s">
        <v>7062</v>
      </c>
      <c r="AB334" s="18" t="s">
        <v>95</v>
      </c>
      <c r="AC334" s="18" t="s">
        <v>7984</v>
      </c>
      <c r="AD334" s="18" t="s">
        <v>10804</v>
      </c>
      <c r="AE334" s="18" t="s">
        <v>135</v>
      </c>
      <c r="AF334" s="18" t="s">
        <v>95</v>
      </c>
      <c r="AG334" s="18" t="s">
        <v>83</v>
      </c>
      <c r="AH334" s="18" t="s">
        <v>83</v>
      </c>
      <c r="AI334" s="18" t="s">
        <v>81</v>
      </c>
      <c r="AJ334" s="18" t="s">
        <v>118</v>
      </c>
      <c r="AK334" s="18" t="s">
        <v>95</v>
      </c>
      <c r="AL334" s="18" t="s">
        <v>13372</v>
      </c>
      <c r="AM334" s="18" t="s">
        <v>85</v>
      </c>
      <c r="AN334" s="18" t="s">
        <v>7031</v>
      </c>
      <c r="AO334" s="18" t="s">
        <v>86</v>
      </c>
      <c r="AP334" s="18" t="s">
        <v>90</v>
      </c>
      <c r="AQ334" s="18" t="s">
        <v>7987</v>
      </c>
      <c r="AR334" s="18" t="s">
        <v>138</v>
      </c>
      <c r="AS334" s="18" t="s">
        <v>139</v>
      </c>
      <c r="AT334" s="18" t="s">
        <v>95</v>
      </c>
      <c r="AU334" s="18" t="s">
        <v>95</v>
      </c>
      <c r="AV334" s="18" t="s">
        <v>7037</v>
      </c>
      <c r="AW334" s="18" t="s">
        <v>95</v>
      </c>
      <c r="AX334" s="18" t="s">
        <v>10806</v>
      </c>
      <c r="AY334" s="18" t="s">
        <v>95</v>
      </c>
      <c r="AZ334" s="18" t="s">
        <v>95</v>
      </c>
      <c r="BA334" s="18" t="s">
        <v>95</v>
      </c>
      <c r="BB334" s="18" t="s">
        <v>95</v>
      </c>
      <c r="BC334" s="18" t="s">
        <v>95</v>
      </c>
      <c r="BD334" s="18" t="s">
        <v>10829</v>
      </c>
      <c r="BE334" s="18" t="s">
        <v>13423</v>
      </c>
      <c r="BF334" s="18" t="s">
        <v>10809</v>
      </c>
      <c r="BG334" s="18" t="s">
        <v>7030</v>
      </c>
      <c r="BH334" s="18"/>
      <c r="BI334" s="18"/>
      <c r="BJ334" s="18" t="s">
        <v>541</v>
      </c>
      <c r="BK334" s="18" t="s">
        <v>13424</v>
      </c>
      <c r="BL334" s="18" t="s">
        <v>10811</v>
      </c>
      <c r="BM334" s="18" t="s">
        <v>139</v>
      </c>
      <c r="BN334" s="18" t="s">
        <v>85</v>
      </c>
      <c r="BO334" s="18">
        <v>0</v>
      </c>
      <c r="BP334" s="18" t="s">
        <v>10812</v>
      </c>
      <c r="BQ334" s="18" t="str">
        <f>VLOOKUP(Prepago[[#This Row],[NOM_PLAZA]],[1]!Locales[#Data],3,0)</f>
        <v>TIENDA AMERICA</v>
      </c>
      <c r="BR334" s="18" t="str">
        <f>VLOOKUP(Prepago[[#This Row],[CODIGO_USUARIO]],[1]!Personal[#Data],6,0)</f>
        <v>CEVALLOS PONCE DIANA CAROLINA</v>
      </c>
      <c r="BS334" s="18">
        <f>DAY(Prepago[[#This Row],[FECHA_ALTA]])</f>
        <v>8</v>
      </c>
    </row>
    <row r="335" spans="1:71" x14ac:dyDescent="0.25">
      <c r="A335" s="18" t="s">
        <v>96</v>
      </c>
      <c r="B335" s="18" t="s">
        <v>9818</v>
      </c>
      <c r="C335" s="18" t="s">
        <v>9820</v>
      </c>
      <c r="D335" s="18" t="s">
        <v>9812</v>
      </c>
      <c r="E335" s="22">
        <v>44909</v>
      </c>
      <c r="F335" s="18" t="s">
        <v>67</v>
      </c>
      <c r="G335" s="18" t="s">
        <v>499</v>
      </c>
      <c r="H335" s="18" t="s">
        <v>500</v>
      </c>
      <c r="I335" s="18" t="s">
        <v>70</v>
      </c>
      <c r="J335" s="18" t="s">
        <v>8102</v>
      </c>
      <c r="K335" s="18" t="s">
        <v>8103</v>
      </c>
      <c r="L335" s="18" t="s">
        <v>132</v>
      </c>
      <c r="M335" s="18" t="s">
        <v>7037</v>
      </c>
      <c r="N335" s="18" t="s">
        <v>9819</v>
      </c>
      <c r="O335" s="18" t="s">
        <v>287</v>
      </c>
      <c r="P335" s="18" t="s">
        <v>13425</v>
      </c>
      <c r="Q335" s="18" t="s">
        <v>10817</v>
      </c>
      <c r="R335" s="18" t="s">
        <v>78</v>
      </c>
      <c r="S335" s="18" t="s">
        <v>77</v>
      </c>
      <c r="T335" s="22">
        <v>44915</v>
      </c>
      <c r="U335" s="18"/>
      <c r="V335" s="18" t="s">
        <v>81</v>
      </c>
      <c r="W335" s="18" t="s">
        <v>79</v>
      </c>
      <c r="X335" s="18" t="s">
        <v>10803</v>
      </c>
      <c r="Y335" s="18" t="s">
        <v>136</v>
      </c>
      <c r="Z335" s="18" t="s">
        <v>137</v>
      </c>
      <c r="AA335" s="18" t="s">
        <v>7062</v>
      </c>
      <c r="AB335" s="18" t="s">
        <v>95</v>
      </c>
      <c r="AC335" s="18" t="s">
        <v>7984</v>
      </c>
      <c r="AD335" s="18" t="s">
        <v>10804</v>
      </c>
      <c r="AE335" s="18" t="s">
        <v>135</v>
      </c>
      <c r="AF335" s="18" t="s">
        <v>95</v>
      </c>
      <c r="AG335" s="18" t="s">
        <v>83</v>
      </c>
      <c r="AH335" s="18" t="s">
        <v>83</v>
      </c>
      <c r="AI335" s="18" t="s">
        <v>81</v>
      </c>
      <c r="AJ335" s="18" t="s">
        <v>118</v>
      </c>
      <c r="AK335" s="18" t="s">
        <v>95</v>
      </c>
      <c r="AL335" s="18" t="s">
        <v>10740</v>
      </c>
      <c r="AM335" s="18" t="s">
        <v>85</v>
      </c>
      <c r="AN335" s="18" t="s">
        <v>7031</v>
      </c>
      <c r="AO335" s="18" t="s">
        <v>86</v>
      </c>
      <c r="AP335" s="18" t="s">
        <v>90</v>
      </c>
      <c r="AQ335" s="18" t="s">
        <v>7987</v>
      </c>
      <c r="AR335" s="18" t="s">
        <v>138</v>
      </c>
      <c r="AS335" s="18" t="s">
        <v>139</v>
      </c>
      <c r="AT335" s="18" t="s">
        <v>95</v>
      </c>
      <c r="AU335" s="18" t="s">
        <v>95</v>
      </c>
      <c r="AV335" s="18" t="s">
        <v>7037</v>
      </c>
      <c r="AW335" s="18" t="s">
        <v>95</v>
      </c>
      <c r="AX335" s="18" t="s">
        <v>10806</v>
      </c>
      <c r="AY335" s="18" t="s">
        <v>95</v>
      </c>
      <c r="AZ335" s="18" t="s">
        <v>95</v>
      </c>
      <c r="BA335" s="18" t="s">
        <v>95</v>
      </c>
      <c r="BB335" s="18" t="s">
        <v>95</v>
      </c>
      <c r="BC335" s="18" t="s">
        <v>95</v>
      </c>
      <c r="BD335" s="18" t="s">
        <v>10829</v>
      </c>
      <c r="BE335" s="18" t="s">
        <v>13405</v>
      </c>
      <c r="BF335" s="18" t="s">
        <v>10809</v>
      </c>
      <c r="BG335" s="18" t="s">
        <v>7030</v>
      </c>
      <c r="BH335" s="18"/>
      <c r="BI335" s="18"/>
      <c r="BJ335" s="18" t="s">
        <v>136</v>
      </c>
      <c r="BK335" s="18" t="s">
        <v>13406</v>
      </c>
      <c r="BL335" s="18" t="s">
        <v>10811</v>
      </c>
      <c r="BM335" s="18" t="s">
        <v>139</v>
      </c>
      <c r="BN335" s="18" t="s">
        <v>85</v>
      </c>
      <c r="BO335" s="18">
        <v>0</v>
      </c>
      <c r="BP335" s="18" t="s">
        <v>10812</v>
      </c>
      <c r="BQ335" s="18" t="str">
        <f>VLOOKUP(Prepago[[#This Row],[NOM_PLAZA]],[1]!Locales[#Data],3,0)</f>
        <v>TIENDA AMERICA</v>
      </c>
      <c r="BR335" s="18" t="str">
        <f>VLOOKUP(Prepago[[#This Row],[CODIGO_USUARIO]],[1]!Personal[#Data],6,0)</f>
        <v>SALVATIERRA GUERRA JULIAN ENRIQUE</v>
      </c>
      <c r="BS335" s="18">
        <f>DAY(Prepago[[#This Row],[FECHA_ALTA]])</f>
        <v>14</v>
      </c>
    </row>
    <row r="336" spans="1:71" x14ac:dyDescent="0.25">
      <c r="A336" s="18" t="s">
        <v>96</v>
      </c>
      <c r="B336" s="18" t="s">
        <v>13426</v>
      </c>
      <c r="C336" s="18" t="s">
        <v>13427</v>
      </c>
      <c r="D336" s="18" t="s">
        <v>13428</v>
      </c>
      <c r="E336" s="22">
        <v>44896</v>
      </c>
      <c r="F336" s="18" t="s">
        <v>67</v>
      </c>
      <c r="G336" s="18" t="s">
        <v>13429</v>
      </c>
      <c r="H336" s="18" t="s">
        <v>13430</v>
      </c>
      <c r="I336" s="18" t="s">
        <v>70</v>
      </c>
      <c r="J336" s="18" t="s">
        <v>8102</v>
      </c>
      <c r="K336" s="18" t="s">
        <v>8103</v>
      </c>
      <c r="L336" s="18" t="s">
        <v>132</v>
      </c>
      <c r="M336" s="18" t="s">
        <v>7037</v>
      </c>
      <c r="N336" s="18" t="s">
        <v>13431</v>
      </c>
      <c r="O336" s="18" t="s">
        <v>75</v>
      </c>
      <c r="P336" s="18" t="s">
        <v>13432</v>
      </c>
      <c r="Q336" s="18" t="s">
        <v>10817</v>
      </c>
      <c r="R336" s="18" t="s">
        <v>78</v>
      </c>
      <c r="S336" s="18" t="s">
        <v>77</v>
      </c>
      <c r="T336" s="22">
        <v>44915</v>
      </c>
      <c r="U336" s="18"/>
      <c r="V336" s="18" t="s">
        <v>81</v>
      </c>
      <c r="W336" s="18" t="s">
        <v>79</v>
      </c>
      <c r="X336" s="18" t="s">
        <v>10803</v>
      </c>
      <c r="Y336" s="18" t="s">
        <v>866</v>
      </c>
      <c r="Z336" s="18" t="s">
        <v>867</v>
      </c>
      <c r="AA336" s="18" t="s">
        <v>7062</v>
      </c>
      <c r="AB336" s="18" t="s">
        <v>95</v>
      </c>
      <c r="AC336" s="18" t="s">
        <v>7984</v>
      </c>
      <c r="AD336" s="18" t="s">
        <v>10804</v>
      </c>
      <c r="AE336" s="18" t="s">
        <v>135</v>
      </c>
      <c r="AF336" s="18" t="s">
        <v>95</v>
      </c>
      <c r="AG336" s="18" t="s">
        <v>83</v>
      </c>
      <c r="AH336" s="18" t="s">
        <v>83</v>
      </c>
      <c r="AI336" s="18" t="s">
        <v>81</v>
      </c>
      <c r="AJ336" s="18" t="s">
        <v>118</v>
      </c>
      <c r="AK336" s="18" t="s">
        <v>95</v>
      </c>
      <c r="AL336" s="18" t="s">
        <v>13433</v>
      </c>
      <c r="AM336" s="18" t="s">
        <v>85</v>
      </c>
      <c r="AN336" s="18" t="s">
        <v>7031</v>
      </c>
      <c r="AO336" s="18" t="s">
        <v>86</v>
      </c>
      <c r="AP336" s="18" t="s">
        <v>90</v>
      </c>
      <c r="AQ336" s="18" t="s">
        <v>7987</v>
      </c>
      <c r="AR336" s="18" t="s">
        <v>138</v>
      </c>
      <c r="AS336" s="18" t="s">
        <v>139</v>
      </c>
      <c r="AT336" s="18" t="s">
        <v>95</v>
      </c>
      <c r="AU336" s="18" t="s">
        <v>95</v>
      </c>
      <c r="AV336" s="18" t="s">
        <v>7037</v>
      </c>
      <c r="AW336" s="18" t="s">
        <v>95</v>
      </c>
      <c r="AX336" s="18" t="s">
        <v>10806</v>
      </c>
      <c r="AY336" s="18" t="s">
        <v>95</v>
      </c>
      <c r="AZ336" s="18" t="s">
        <v>95</v>
      </c>
      <c r="BA336" s="18" t="s">
        <v>95</v>
      </c>
      <c r="BB336" s="18" t="s">
        <v>95</v>
      </c>
      <c r="BC336" s="18" t="s">
        <v>95</v>
      </c>
      <c r="BD336" s="18" t="s">
        <v>10829</v>
      </c>
      <c r="BE336" s="18" t="s">
        <v>13434</v>
      </c>
      <c r="BF336" s="18" t="s">
        <v>10809</v>
      </c>
      <c r="BG336" s="18" t="s">
        <v>7030</v>
      </c>
      <c r="BH336" s="18"/>
      <c r="BI336" s="18"/>
      <c r="BJ336" s="18" t="s">
        <v>866</v>
      </c>
      <c r="BK336" s="18" t="s">
        <v>13435</v>
      </c>
      <c r="BL336" s="18" t="s">
        <v>10811</v>
      </c>
      <c r="BM336" s="18" t="s">
        <v>139</v>
      </c>
      <c r="BN336" s="18" t="s">
        <v>85</v>
      </c>
      <c r="BO336" s="18">
        <v>0</v>
      </c>
      <c r="BP336" s="18" t="s">
        <v>10812</v>
      </c>
      <c r="BQ336" s="18" t="str">
        <f>VLOOKUP(Prepago[[#This Row],[NOM_PLAZA]],[1]!Locales[#Data],3,0)</f>
        <v>TIENDA AMERICA</v>
      </c>
      <c r="BR336" s="18" t="str">
        <f>VLOOKUP(Prepago[[#This Row],[CODIGO_USUARIO]],[1]!Personal[#Data],6,0)</f>
        <v>ORTEGA RUIZ GABRIEL ANTONIO</v>
      </c>
      <c r="BS336" s="18">
        <f>DAY(Prepago[[#This Row],[FECHA_ALTA]])</f>
        <v>1</v>
      </c>
    </row>
    <row r="337" spans="1:71" x14ac:dyDescent="0.25">
      <c r="A337" s="18" t="s">
        <v>96</v>
      </c>
      <c r="B337" s="18" t="s">
        <v>13436</v>
      </c>
      <c r="C337" s="18" t="s">
        <v>13437</v>
      </c>
      <c r="D337" s="18" t="s">
        <v>13438</v>
      </c>
      <c r="E337" s="22">
        <v>44896</v>
      </c>
      <c r="F337" s="18" t="s">
        <v>67</v>
      </c>
      <c r="G337" s="18" t="s">
        <v>13439</v>
      </c>
      <c r="H337" s="18" t="s">
        <v>13440</v>
      </c>
      <c r="I337" s="18" t="s">
        <v>70</v>
      </c>
      <c r="J337" s="18" t="s">
        <v>8102</v>
      </c>
      <c r="K337" s="18" t="s">
        <v>8103</v>
      </c>
      <c r="L337" s="18" t="s">
        <v>13441</v>
      </c>
      <c r="M337" s="18" t="s">
        <v>7709</v>
      </c>
      <c r="N337" s="18" t="s">
        <v>13442</v>
      </c>
      <c r="O337" s="18" t="s">
        <v>75</v>
      </c>
      <c r="P337" s="18" t="s">
        <v>13443</v>
      </c>
      <c r="Q337" s="18" t="s">
        <v>1532</v>
      </c>
      <c r="R337" s="18" t="s">
        <v>78</v>
      </c>
      <c r="S337" s="18" t="s">
        <v>77</v>
      </c>
      <c r="T337" s="22">
        <v>44915</v>
      </c>
      <c r="U337" s="18"/>
      <c r="V337" s="18" t="s">
        <v>81</v>
      </c>
      <c r="W337" s="18" t="s">
        <v>79</v>
      </c>
      <c r="X337" s="18" t="s">
        <v>10803</v>
      </c>
      <c r="Y337" s="18" t="s">
        <v>1545</v>
      </c>
      <c r="Z337" s="18" t="s">
        <v>1546</v>
      </c>
      <c r="AA337" s="18" t="s">
        <v>7062</v>
      </c>
      <c r="AB337" s="18" t="s">
        <v>95</v>
      </c>
      <c r="AC337" s="18" t="s">
        <v>7984</v>
      </c>
      <c r="AD337" s="18" t="s">
        <v>10804</v>
      </c>
      <c r="AE337" s="18" t="s">
        <v>135</v>
      </c>
      <c r="AF337" s="18" t="s">
        <v>95</v>
      </c>
      <c r="AG337" s="18" t="s">
        <v>83</v>
      </c>
      <c r="AH337" s="18" t="s">
        <v>83</v>
      </c>
      <c r="AI337" s="18" t="s">
        <v>81</v>
      </c>
      <c r="AJ337" s="18" t="s">
        <v>118</v>
      </c>
      <c r="AK337" s="18" t="s">
        <v>95</v>
      </c>
      <c r="AL337" s="18" t="s">
        <v>13444</v>
      </c>
      <c r="AM337" s="18" t="s">
        <v>85</v>
      </c>
      <c r="AN337" s="18" t="s">
        <v>7031</v>
      </c>
      <c r="AO337" s="18" t="s">
        <v>86</v>
      </c>
      <c r="AP337" s="18" t="s">
        <v>90</v>
      </c>
      <c r="AQ337" s="18" t="s">
        <v>7987</v>
      </c>
      <c r="AR337" s="18" t="s">
        <v>138</v>
      </c>
      <c r="AS337" s="18" t="s">
        <v>139</v>
      </c>
      <c r="AT337" s="18" t="s">
        <v>95</v>
      </c>
      <c r="AU337" s="18" t="s">
        <v>95</v>
      </c>
      <c r="AV337" s="18" t="s">
        <v>7709</v>
      </c>
      <c r="AW337" s="18" t="s">
        <v>95</v>
      </c>
      <c r="AX337" s="18" t="s">
        <v>10806</v>
      </c>
      <c r="AY337" s="18" t="s">
        <v>95</v>
      </c>
      <c r="AZ337" s="18" t="s">
        <v>95</v>
      </c>
      <c r="BA337" s="18" t="s">
        <v>95</v>
      </c>
      <c r="BB337" s="18" t="s">
        <v>95</v>
      </c>
      <c r="BC337" s="18" t="s">
        <v>95</v>
      </c>
      <c r="BD337" s="18" t="s">
        <v>10807</v>
      </c>
      <c r="BE337" s="18" t="s">
        <v>13445</v>
      </c>
      <c r="BF337" s="18" t="s">
        <v>10809</v>
      </c>
      <c r="BG337" s="18" t="s">
        <v>7030</v>
      </c>
      <c r="BH337" s="18"/>
      <c r="BI337" s="18"/>
      <c r="BJ337" s="18" t="s">
        <v>1545</v>
      </c>
      <c r="BK337" s="18" t="s">
        <v>13446</v>
      </c>
      <c r="BL337" s="18" t="s">
        <v>10811</v>
      </c>
      <c r="BM337" s="18" t="s">
        <v>139</v>
      </c>
      <c r="BN337" s="18" t="s">
        <v>85</v>
      </c>
      <c r="BO337" s="18">
        <v>0</v>
      </c>
      <c r="BP337" s="18" t="s">
        <v>10812</v>
      </c>
      <c r="BQ337" s="18" t="str">
        <f>VLOOKUP(Prepago[[#This Row],[NOM_PLAZA]],[1]!Locales[#Data],3,0)</f>
        <v>TIENDA AMERICA</v>
      </c>
      <c r="BR337" s="18" t="str">
        <f>VLOOKUP(Prepago[[#This Row],[CODIGO_USUARIO]],[1]!Personal[#Data],6,0)</f>
        <v>GRANDA ESPINOZA ANDRES SEBASTIAN</v>
      </c>
      <c r="BS337" s="18">
        <f>DAY(Prepago[[#This Row],[FECHA_ALTA]])</f>
        <v>1</v>
      </c>
    </row>
    <row r="338" spans="1:71" x14ac:dyDescent="0.25">
      <c r="A338" s="18" t="s">
        <v>96</v>
      </c>
      <c r="B338" s="18" t="s">
        <v>13447</v>
      </c>
      <c r="C338" s="18" t="s">
        <v>13448</v>
      </c>
      <c r="D338" s="18" t="s">
        <v>13449</v>
      </c>
      <c r="E338" s="22">
        <v>44908</v>
      </c>
      <c r="F338" s="18" t="s">
        <v>67</v>
      </c>
      <c r="G338" s="18" t="s">
        <v>9609</v>
      </c>
      <c r="H338" s="18" t="s">
        <v>9610</v>
      </c>
      <c r="I338" s="18" t="s">
        <v>70</v>
      </c>
      <c r="J338" s="18" t="s">
        <v>8102</v>
      </c>
      <c r="K338" s="18" t="s">
        <v>8103</v>
      </c>
      <c r="L338" s="18" t="s">
        <v>132</v>
      </c>
      <c r="M338" s="18" t="s">
        <v>7037</v>
      </c>
      <c r="N338" s="18" t="s">
        <v>13450</v>
      </c>
      <c r="O338" s="18" t="s">
        <v>75</v>
      </c>
      <c r="P338" s="18" t="s">
        <v>13451</v>
      </c>
      <c r="Q338" s="18" t="s">
        <v>10817</v>
      </c>
      <c r="R338" s="18" t="s">
        <v>78</v>
      </c>
      <c r="S338" s="18" t="s">
        <v>77</v>
      </c>
      <c r="T338" s="22">
        <v>44915</v>
      </c>
      <c r="U338" s="18"/>
      <c r="V338" s="18" t="s">
        <v>81</v>
      </c>
      <c r="W338" s="18" t="s">
        <v>79</v>
      </c>
      <c r="X338" s="18" t="s">
        <v>10803</v>
      </c>
      <c r="Y338" s="18" t="s">
        <v>665</v>
      </c>
      <c r="Z338" s="18" t="s">
        <v>666</v>
      </c>
      <c r="AA338" s="18" t="s">
        <v>665</v>
      </c>
      <c r="AB338" s="18" t="s">
        <v>666</v>
      </c>
      <c r="AC338" s="18" t="s">
        <v>7984</v>
      </c>
      <c r="AD338" s="18" t="s">
        <v>10804</v>
      </c>
      <c r="AE338" s="18" t="s">
        <v>135</v>
      </c>
      <c r="AF338" s="18" t="s">
        <v>95</v>
      </c>
      <c r="AG338" s="18" t="s">
        <v>83</v>
      </c>
      <c r="AH338" s="18" t="s">
        <v>83</v>
      </c>
      <c r="AI338" s="18" t="s">
        <v>81</v>
      </c>
      <c r="AJ338" s="18" t="s">
        <v>118</v>
      </c>
      <c r="AK338" s="18" t="s">
        <v>95</v>
      </c>
      <c r="AL338" s="18" t="s">
        <v>10737</v>
      </c>
      <c r="AM338" s="18" t="s">
        <v>85</v>
      </c>
      <c r="AN338" s="18" t="s">
        <v>7031</v>
      </c>
      <c r="AO338" s="18" t="s">
        <v>86</v>
      </c>
      <c r="AP338" s="18" t="s">
        <v>90</v>
      </c>
      <c r="AQ338" s="18" t="s">
        <v>7987</v>
      </c>
      <c r="AR338" s="18" t="s">
        <v>138</v>
      </c>
      <c r="AS338" s="18" t="s">
        <v>139</v>
      </c>
      <c r="AT338" s="18" t="s">
        <v>95</v>
      </c>
      <c r="AU338" s="18" t="s">
        <v>95</v>
      </c>
      <c r="AV338" s="18" t="s">
        <v>7037</v>
      </c>
      <c r="AW338" s="18" t="s">
        <v>95</v>
      </c>
      <c r="AX338" s="18" t="s">
        <v>10806</v>
      </c>
      <c r="AY338" s="18" t="s">
        <v>95</v>
      </c>
      <c r="AZ338" s="18" t="s">
        <v>95</v>
      </c>
      <c r="BA338" s="18" t="s">
        <v>95</v>
      </c>
      <c r="BB338" s="18" t="s">
        <v>95</v>
      </c>
      <c r="BC338" s="18" t="s">
        <v>95</v>
      </c>
      <c r="BD338" s="18" t="s">
        <v>10829</v>
      </c>
      <c r="BE338" s="18" t="s">
        <v>13452</v>
      </c>
      <c r="BF338" s="18" t="s">
        <v>10809</v>
      </c>
      <c r="BG338" s="18" t="s">
        <v>7030</v>
      </c>
      <c r="BH338" s="18"/>
      <c r="BI338" s="18"/>
      <c r="BJ338" s="18" t="s">
        <v>665</v>
      </c>
      <c r="BK338" s="18" t="s">
        <v>13453</v>
      </c>
      <c r="BL338" s="18" t="s">
        <v>10811</v>
      </c>
      <c r="BM338" s="18" t="s">
        <v>139</v>
      </c>
      <c r="BN338" s="18" t="s">
        <v>85</v>
      </c>
      <c r="BO338" s="18">
        <v>0</v>
      </c>
      <c r="BP338" s="18" t="s">
        <v>10812</v>
      </c>
      <c r="BQ338" s="18" t="str">
        <f>VLOOKUP(Prepago[[#This Row],[NOM_PLAZA]],[1]!Locales[#Data],3,0)</f>
        <v>TIENDA AMERICA</v>
      </c>
      <c r="BR338" s="18" t="str">
        <f>VLOOKUP(Prepago[[#This Row],[CODIGO_USUARIO]],[1]!Personal[#Data],6,0)</f>
        <v>ROSERO CAICEDO JAIRO STEFANO</v>
      </c>
      <c r="BS338" s="18">
        <f>DAY(Prepago[[#This Row],[FECHA_ALTA]])</f>
        <v>13</v>
      </c>
    </row>
    <row r="339" spans="1:71" x14ac:dyDescent="0.25">
      <c r="A339" s="18" t="s">
        <v>96</v>
      </c>
      <c r="B339" s="18" t="s">
        <v>8701</v>
      </c>
      <c r="C339" s="18" t="s">
        <v>8703</v>
      </c>
      <c r="D339" s="18" t="s">
        <v>8686</v>
      </c>
      <c r="E339" s="22">
        <v>44901</v>
      </c>
      <c r="F339" s="18" t="s">
        <v>67</v>
      </c>
      <c r="G339" s="18" t="s">
        <v>13454</v>
      </c>
      <c r="H339" s="18" t="s">
        <v>13455</v>
      </c>
      <c r="I339" s="18" t="s">
        <v>70</v>
      </c>
      <c r="J339" s="18" t="s">
        <v>8102</v>
      </c>
      <c r="K339" s="18" t="s">
        <v>8103</v>
      </c>
      <c r="L339" s="18" t="s">
        <v>132</v>
      </c>
      <c r="M339" s="18" t="s">
        <v>7037</v>
      </c>
      <c r="N339" s="18" t="s">
        <v>8702</v>
      </c>
      <c r="O339" s="18" t="s">
        <v>287</v>
      </c>
      <c r="P339" s="18" t="s">
        <v>13456</v>
      </c>
      <c r="Q339" s="18" t="s">
        <v>10817</v>
      </c>
      <c r="R339" s="18" t="s">
        <v>78</v>
      </c>
      <c r="S339" s="18" t="s">
        <v>77</v>
      </c>
      <c r="T339" s="22">
        <v>44915</v>
      </c>
      <c r="U339" s="18"/>
      <c r="V339" s="18" t="s">
        <v>81</v>
      </c>
      <c r="W339" s="18" t="s">
        <v>79</v>
      </c>
      <c r="X339" s="18" t="s">
        <v>10803</v>
      </c>
      <c r="Y339" s="18" t="s">
        <v>866</v>
      </c>
      <c r="Z339" s="18" t="s">
        <v>867</v>
      </c>
      <c r="AA339" s="18" t="s">
        <v>7062</v>
      </c>
      <c r="AB339" s="18" t="s">
        <v>95</v>
      </c>
      <c r="AC339" s="18" t="s">
        <v>7984</v>
      </c>
      <c r="AD339" s="18" t="s">
        <v>10804</v>
      </c>
      <c r="AE339" s="18" t="s">
        <v>135</v>
      </c>
      <c r="AF339" s="18" t="s">
        <v>95</v>
      </c>
      <c r="AG339" s="18" t="s">
        <v>83</v>
      </c>
      <c r="AH339" s="18" t="s">
        <v>83</v>
      </c>
      <c r="AI339" s="18" t="s">
        <v>81</v>
      </c>
      <c r="AJ339" s="18" t="s">
        <v>118</v>
      </c>
      <c r="AK339" s="18" t="s">
        <v>95</v>
      </c>
      <c r="AL339" s="18" t="s">
        <v>13433</v>
      </c>
      <c r="AM339" s="18" t="s">
        <v>85</v>
      </c>
      <c r="AN339" s="18" t="s">
        <v>7031</v>
      </c>
      <c r="AO339" s="18" t="s">
        <v>86</v>
      </c>
      <c r="AP339" s="18" t="s">
        <v>90</v>
      </c>
      <c r="AQ339" s="18" t="s">
        <v>7987</v>
      </c>
      <c r="AR339" s="18" t="s">
        <v>138</v>
      </c>
      <c r="AS339" s="18" t="s">
        <v>139</v>
      </c>
      <c r="AT339" s="18" t="s">
        <v>95</v>
      </c>
      <c r="AU339" s="18" t="s">
        <v>95</v>
      </c>
      <c r="AV339" s="18" t="s">
        <v>7037</v>
      </c>
      <c r="AW339" s="18" t="s">
        <v>95</v>
      </c>
      <c r="AX339" s="18" t="s">
        <v>10806</v>
      </c>
      <c r="AY339" s="18" t="s">
        <v>95</v>
      </c>
      <c r="AZ339" s="18" t="s">
        <v>95</v>
      </c>
      <c r="BA339" s="18" t="s">
        <v>95</v>
      </c>
      <c r="BB339" s="18" t="s">
        <v>95</v>
      </c>
      <c r="BC339" s="18" t="s">
        <v>95</v>
      </c>
      <c r="BD339" s="18" t="s">
        <v>10829</v>
      </c>
      <c r="BE339" s="18" t="s">
        <v>13457</v>
      </c>
      <c r="BF339" s="18" t="s">
        <v>10809</v>
      </c>
      <c r="BG339" s="18" t="s">
        <v>7030</v>
      </c>
      <c r="BH339" s="18"/>
      <c r="BI339" s="18"/>
      <c r="BJ339" s="18" t="s">
        <v>866</v>
      </c>
      <c r="BK339" s="18" t="s">
        <v>13458</v>
      </c>
      <c r="BL339" s="18" t="s">
        <v>10811</v>
      </c>
      <c r="BM339" s="18" t="s">
        <v>139</v>
      </c>
      <c r="BN339" s="18" t="s">
        <v>85</v>
      </c>
      <c r="BO339" s="18">
        <v>0</v>
      </c>
      <c r="BP339" s="18" t="s">
        <v>10812</v>
      </c>
      <c r="BQ339" s="18" t="str">
        <f>VLOOKUP(Prepago[[#This Row],[NOM_PLAZA]],[1]!Locales[#Data],3,0)</f>
        <v>TIENDA AMERICA</v>
      </c>
      <c r="BR339" s="18" t="str">
        <f>VLOOKUP(Prepago[[#This Row],[CODIGO_USUARIO]],[1]!Personal[#Data],6,0)</f>
        <v>ORTEGA RUIZ GABRIEL ANTONIO</v>
      </c>
      <c r="BS339" s="18">
        <f>DAY(Prepago[[#This Row],[FECHA_ALTA]])</f>
        <v>6</v>
      </c>
    </row>
    <row r="340" spans="1:71" x14ac:dyDescent="0.25">
      <c r="A340" s="18" t="s">
        <v>96</v>
      </c>
      <c r="B340" s="18" t="s">
        <v>13459</v>
      </c>
      <c r="C340" s="18" t="s">
        <v>13460</v>
      </c>
      <c r="D340" s="18" t="s">
        <v>13461</v>
      </c>
      <c r="E340" s="22">
        <v>44907</v>
      </c>
      <c r="F340" s="18" t="s">
        <v>67</v>
      </c>
      <c r="G340" s="18" t="s">
        <v>13462</v>
      </c>
      <c r="H340" s="18" t="s">
        <v>13463</v>
      </c>
      <c r="I340" s="18" t="s">
        <v>70</v>
      </c>
      <c r="J340" s="18" t="s">
        <v>8102</v>
      </c>
      <c r="K340" s="18" t="s">
        <v>8103</v>
      </c>
      <c r="L340" s="18" t="s">
        <v>132</v>
      </c>
      <c r="M340" s="18" t="s">
        <v>7037</v>
      </c>
      <c r="N340" s="18" t="s">
        <v>13464</v>
      </c>
      <c r="O340" s="18" t="s">
        <v>75</v>
      </c>
      <c r="P340" s="18" t="s">
        <v>13465</v>
      </c>
      <c r="Q340" s="18" t="s">
        <v>10817</v>
      </c>
      <c r="R340" s="18" t="s">
        <v>78</v>
      </c>
      <c r="S340" s="18" t="s">
        <v>77</v>
      </c>
      <c r="T340" s="22">
        <v>44915</v>
      </c>
      <c r="U340" s="18"/>
      <c r="V340" s="18" t="s">
        <v>81</v>
      </c>
      <c r="W340" s="18" t="s">
        <v>79</v>
      </c>
      <c r="X340" s="18" t="s">
        <v>10803</v>
      </c>
      <c r="Y340" s="18" t="s">
        <v>541</v>
      </c>
      <c r="Z340" s="18" t="s">
        <v>542</v>
      </c>
      <c r="AA340" s="18" t="s">
        <v>7062</v>
      </c>
      <c r="AB340" s="18" t="s">
        <v>95</v>
      </c>
      <c r="AC340" s="18" t="s">
        <v>7984</v>
      </c>
      <c r="AD340" s="18" t="s">
        <v>10804</v>
      </c>
      <c r="AE340" s="18" t="s">
        <v>135</v>
      </c>
      <c r="AF340" s="18" t="s">
        <v>95</v>
      </c>
      <c r="AG340" s="18" t="s">
        <v>83</v>
      </c>
      <c r="AH340" s="18" t="s">
        <v>83</v>
      </c>
      <c r="AI340" s="18" t="s">
        <v>81</v>
      </c>
      <c r="AJ340" s="18" t="s">
        <v>118</v>
      </c>
      <c r="AK340" s="18" t="s">
        <v>95</v>
      </c>
      <c r="AL340" s="18" t="s">
        <v>13372</v>
      </c>
      <c r="AM340" s="18" t="s">
        <v>85</v>
      </c>
      <c r="AN340" s="18" t="s">
        <v>7031</v>
      </c>
      <c r="AO340" s="18" t="s">
        <v>86</v>
      </c>
      <c r="AP340" s="18" t="s">
        <v>90</v>
      </c>
      <c r="AQ340" s="18" t="s">
        <v>7987</v>
      </c>
      <c r="AR340" s="18" t="s">
        <v>138</v>
      </c>
      <c r="AS340" s="18" t="s">
        <v>139</v>
      </c>
      <c r="AT340" s="18" t="s">
        <v>95</v>
      </c>
      <c r="AU340" s="18" t="s">
        <v>95</v>
      </c>
      <c r="AV340" s="18" t="s">
        <v>7037</v>
      </c>
      <c r="AW340" s="18" t="s">
        <v>95</v>
      </c>
      <c r="AX340" s="18" t="s">
        <v>10806</v>
      </c>
      <c r="AY340" s="18" t="s">
        <v>95</v>
      </c>
      <c r="AZ340" s="18" t="s">
        <v>95</v>
      </c>
      <c r="BA340" s="18" t="s">
        <v>95</v>
      </c>
      <c r="BB340" s="18" t="s">
        <v>95</v>
      </c>
      <c r="BC340" s="18" t="s">
        <v>95</v>
      </c>
      <c r="BD340" s="18" t="s">
        <v>10807</v>
      </c>
      <c r="BE340" s="18" t="s">
        <v>13466</v>
      </c>
      <c r="BF340" s="18" t="s">
        <v>10809</v>
      </c>
      <c r="BG340" s="18" t="s">
        <v>7030</v>
      </c>
      <c r="BH340" s="18"/>
      <c r="BI340" s="18"/>
      <c r="BJ340" s="18" t="s">
        <v>541</v>
      </c>
      <c r="BK340" s="18" t="s">
        <v>13467</v>
      </c>
      <c r="BL340" s="18" t="s">
        <v>10811</v>
      </c>
      <c r="BM340" s="18" t="s">
        <v>139</v>
      </c>
      <c r="BN340" s="18" t="s">
        <v>85</v>
      </c>
      <c r="BO340" s="18">
        <v>0</v>
      </c>
      <c r="BP340" s="18" t="s">
        <v>10812</v>
      </c>
      <c r="BQ340" s="18" t="str">
        <f>VLOOKUP(Prepago[[#This Row],[NOM_PLAZA]],[1]!Locales[#Data],3,0)</f>
        <v>TIENDA AMERICA</v>
      </c>
      <c r="BR340" s="18" t="str">
        <f>VLOOKUP(Prepago[[#This Row],[CODIGO_USUARIO]],[1]!Personal[#Data],6,0)</f>
        <v>CEVALLOS PONCE DIANA CAROLINA</v>
      </c>
      <c r="BS340" s="18">
        <f>DAY(Prepago[[#This Row],[FECHA_ALTA]])</f>
        <v>12</v>
      </c>
    </row>
    <row r="341" spans="1:71" x14ac:dyDescent="0.25">
      <c r="A341" s="18" t="s">
        <v>96</v>
      </c>
      <c r="B341" s="18" t="s">
        <v>13468</v>
      </c>
      <c r="C341" s="18" t="s">
        <v>13469</v>
      </c>
      <c r="D341" s="18" t="s">
        <v>13470</v>
      </c>
      <c r="E341" s="22">
        <v>44905</v>
      </c>
      <c r="F341" s="18" t="s">
        <v>67</v>
      </c>
      <c r="G341" s="18" t="s">
        <v>13471</v>
      </c>
      <c r="H341" s="18" t="s">
        <v>13472</v>
      </c>
      <c r="I341" s="18" t="s">
        <v>70</v>
      </c>
      <c r="J341" s="18" t="s">
        <v>8102</v>
      </c>
      <c r="K341" s="18" t="s">
        <v>8103</v>
      </c>
      <c r="L341" s="18" t="s">
        <v>132</v>
      </c>
      <c r="M341" s="18" t="s">
        <v>7037</v>
      </c>
      <c r="N341" s="18" t="s">
        <v>13473</v>
      </c>
      <c r="O341" s="18" t="s">
        <v>75</v>
      </c>
      <c r="P341" s="18" t="s">
        <v>13474</v>
      </c>
      <c r="Q341" s="18" t="s">
        <v>10817</v>
      </c>
      <c r="R341" s="18" t="s">
        <v>78</v>
      </c>
      <c r="S341" s="18" t="s">
        <v>77</v>
      </c>
      <c r="T341" s="22">
        <v>44915</v>
      </c>
      <c r="U341" s="18"/>
      <c r="V341" s="18" t="s">
        <v>81</v>
      </c>
      <c r="W341" s="18" t="s">
        <v>79</v>
      </c>
      <c r="X341" s="18" t="s">
        <v>10803</v>
      </c>
      <c r="Y341" s="18" t="s">
        <v>136</v>
      </c>
      <c r="Z341" s="18" t="s">
        <v>137</v>
      </c>
      <c r="AA341" s="18" t="s">
        <v>7062</v>
      </c>
      <c r="AB341" s="18" t="s">
        <v>95</v>
      </c>
      <c r="AC341" s="18" t="s">
        <v>7984</v>
      </c>
      <c r="AD341" s="18" t="s">
        <v>10804</v>
      </c>
      <c r="AE341" s="18" t="s">
        <v>135</v>
      </c>
      <c r="AF341" s="18" t="s">
        <v>95</v>
      </c>
      <c r="AG341" s="18" t="s">
        <v>83</v>
      </c>
      <c r="AH341" s="18" t="s">
        <v>83</v>
      </c>
      <c r="AI341" s="18" t="s">
        <v>81</v>
      </c>
      <c r="AJ341" s="18" t="s">
        <v>118</v>
      </c>
      <c r="AK341" s="18" t="s">
        <v>95</v>
      </c>
      <c r="AL341" s="18" t="s">
        <v>10740</v>
      </c>
      <c r="AM341" s="18" t="s">
        <v>85</v>
      </c>
      <c r="AN341" s="18" t="s">
        <v>7031</v>
      </c>
      <c r="AO341" s="18" t="s">
        <v>86</v>
      </c>
      <c r="AP341" s="18" t="s">
        <v>90</v>
      </c>
      <c r="AQ341" s="18" t="s">
        <v>7987</v>
      </c>
      <c r="AR341" s="18" t="s">
        <v>138</v>
      </c>
      <c r="AS341" s="18" t="s">
        <v>139</v>
      </c>
      <c r="AT341" s="18" t="s">
        <v>95</v>
      </c>
      <c r="AU341" s="18" t="s">
        <v>95</v>
      </c>
      <c r="AV341" s="18" t="s">
        <v>7037</v>
      </c>
      <c r="AW341" s="18" t="s">
        <v>95</v>
      </c>
      <c r="AX341" s="18" t="s">
        <v>10806</v>
      </c>
      <c r="AY341" s="18" t="s">
        <v>95</v>
      </c>
      <c r="AZ341" s="18" t="s">
        <v>95</v>
      </c>
      <c r="BA341" s="18" t="s">
        <v>95</v>
      </c>
      <c r="BB341" s="18" t="s">
        <v>95</v>
      </c>
      <c r="BC341" s="18" t="s">
        <v>95</v>
      </c>
      <c r="BD341" s="18" t="s">
        <v>10829</v>
      </c>
      <c r="BE341" s="18" t="s">
        <v>13475</v>
      </c>
      <c r="BF341" s="18" t="s">
        <v>10809</v>
      </c>
      <c r="BG341" s="18" t="s">
        <v>7030</v>
      </c>
      <c r="BH341" s="18"/>
      <c r="BI341" s="18"/>
      <c r="BJ341" s="18" t="s">
        <v>136</v>
      </c>
      <c r="BK341" s="18" t="s">
        <v>13476</v>
      </c>
      <c r="BL341" s="18" t="s">
        <v>10811</v>
      </c>
      <c r="BM341" s="18" t="s">
        <v>139</v>
      </c>
      <c r="BN341" s="18" t="s">
        <v>85</v>
      </c>
      <c r="BO341" s="18">
        <v>1</v>
      </c>
      <c r="BP341" s="18" t="s">
        <v>10812</v>
      </c>
      <c r="BQ341" s="18" t="str">
        <f>VLOOKUP(Prepago[[#This Row],[NOM_PLAZA]],[1]!Locales[#Data],3,0)</f>
        <v>TIENDA AMERICA</v>
      </c>
      <c r="BR341" s="18" t="str">
        <f>VLOOKUP(Prepago[[#This Row],[CODIGO_USUARIO]],[1]!Personal[#Data],6,0)</f>
        <v>SALVATIERRA GUERRA JULIAN ENRIQUE</v>
      </c>
      <c r="BS341" s="18">
        <f>DAY(Prepago[[#This Row],[FECHA_ALTA]])</f>
        <v>10</v>
      </c>
    </row>
    <row r="342" spans="1:71" x14ac:dyDescent="0.25">
      <c r="A342" s="18" t="s">
        <v>96</v>
      </c>
      <c r="B342" s="18" t="s">
        <v>8692</v>
      </c>
      <c r="C342" s="18" t="s">
        <v>8694</v>
      </c>
      <c r="D342" s="18" t="s">
        <v>8686</v>
      </c>
      <c r="E342" s="22">
        <v>44901</v>
      </c>
      <c r="F342" s="18" t="s">
        <v>67</v>
      </c>
      <c r="G342" s="18" t="s">
        <v>13454</v>
      </c>
      <c r="H342" s="18" t="s">
        <v>13455</v>
      </c>
      <c r="I342" s="18" t="s">
        <v>70</v>
      </c>
      <c r="J342" s="18" t="s">
        <v>8102</v>
      </c>
      <c r="K342" s="18" t="s">
        <v>8103</v>
      </c>
      <c r="L342" s="18" t="s">
        <v>132</v>
      </c>
      <c r="M342" s="18" t="s">
        <v>7037</v>
      </c>
      <c r="N342" s="18" t="s">
        <v>8693</v>
      </c>
      <c r="O342" s="18" t="s">
        <v>287</v>
      </c>
      <c r="P342" s="18" t="s">
        <v>13477</v>
      </c>
      <c r="Q342" s="18" t="s">
        <v>10817</v>
      </c>
      <c r="R342" s="18" t="s">
        <v>78</v>
      </c>
      <c r="S342" s="18" t="s">
        <v>77</v>
      </c>
      <c r="T342" s="22">
        <v>44915</v>
      </c>
      <c r="U342" s="18"/>
      <c r="V342" s="18" t="s">
        <v>81</v>
      </c>
      <c r="W342" s="18" t="s">
        <v>79</v>
      </c>
      <c r="X342" s="18" t="s">
        <v>10803</v>
      </c>
      <c r="Y342" s="18" t="s">
        <v>866</v>
      </c>
      <c r="Z342" s="18" t="s">
        <v>867</v>
      </c>
      <c r="AA342" s="18" t="s">
        <v>7062</v>
      </c>
      <c r="AB342" s="18" t="s">
        <v>95</v>
      </c>
      <c r="AC342" s="18" t="s">
        <v>7984</v>
      </c>
      <c r="AD342" s="18" t="s">
        <v>10804</v>
      </c>
      <c r="AE342" s="18" t="s">
        <v>135</v>
      </c>
      <c r="AF342" s="18" t="s">
        <v>95</v>
      </c>
      <c r="AG342" s="18" t="s">
        <v>83</v>
      </c>
      <c r="AH342" s="18" t="s">
        <v>83</v>
      </c>
      <c r="AI342" s="18" t="s">
        <v>81</v>
      </c>
      <c r="AJ342" s="18" t="s">
        <v>118</v>
      </c>
      <c r="AK342" s="18" t="s">
        <v>95</v>
      </c>
      <c r="AL342" s="18" t="s">
        <v>13433</v>
      </c>
      <c r="AM342" s="18" t="s">
        <v>85</v>
      </c>
      <c r="AN342" s="18" t="s">
        <v>7031</v>
      </c>
      <c r="AO342" s="18" t="s">
        <v>86</v>
      </c>
      <c r="AP342" s="18" t="s">
        <v>90</v>
      </c>
      <c r="AQ342" s="18" t="s">
        <v>7987</v>
      </c>
      <c r="AR342" s="18" t="s">
        <v>138</v>
      </c>
      <c r="AS342" s="18" t="s">
        <v>139</v>
      </c>
      <c r="AT342" s="18" t="s">
        <v>95</v>
      </c>
      <c r="AU342" s="18" t="s">
        <v>95</v>
      </c>
      <c r="AV342" s="18" t="s">
        <v>7037</v>
      </c>
      <c r="AW342" s="18" t="s">
        <v>95</v>
      </c>
      <c r="AX342" s="18" t="s">
        <v>10806</v>
      </c>
      <c r="AY342" s="18" t="s">
        <v>95</v>
      </c>
      <c r="AZ342" s="18" t="s">
        <v>95</v>
      </c>
      <c r="BA342" s="18" t="s">
        <v>95</v>
      </c>
      <c r="BB342" s="18" t="s">
        <v>95</v>
      </c>
      <c r="BC342" s="18" t="s">
        <v>95</v>
      </c>
      <c r="BD342" s="18" t="s">
        <v>10829</v>
      </c>
      <c r="BE342" s="18" t="s">
        <v>13457</v>
      </c>
      <c r="BF342" s="18" t="s">
        <v>10809</v>
      </c>
      <c r="BG342" s="18" t="s">
        <v>7030</v>
      </c>
      <c r="BH342" s="18"/>
      <c r="BI342" s="18"/>
      <c r="BJ342" s="18" t="s">
        <v>866</v>
      </c>
      <c r="BK342" s="18" t="s">
        <v>13458</v>
      </c>
      <c r="BL342" s="18" t="s">
        <v>10811</v>
      </c>
      <c r="BM342" s="18" t="s">
        <v>139</v>
      </c>
      <c r="BN342" s="18" t="s">
        <v>85</v>
      </c>
      <c r="BO342" s="18">
        <v>0</v>
      </c>
      <c r="BP342" s="18" t="s">
        <v>10812</v>
      </c>
      <c r="BQ342" s="18" t="str">
        <f>VLOOKUP(Prepago[[#This Row],[NOM_PLAZA]],[1]!Locales[#Data],3,0)</f>
        <v>TIENDA AMERICA</v>
      </c>
      <c r="BR342" s="18" t="str">
        <f>VLOOKUP(Prepago[[#This Row],[CODIGO_USUARIO]],[1]!Personal[#Data],6,0)</f>
        <v>ORTEGA RUIZ GABRIEL ANTONIO</v>
      </c>
      <c r="BS342" s="18">
        <f>DAY(Prepago[[#This Row],[FECHA_ALTA]])</f>
        <v>6</v>
      </c>
    </row>
    <row r="343" spans="1:71" x14ac:dyDescent="0.25">
      <c r="A343" s="18" t="s">
        <v>96</v>
      </c>
      <c r="B343" s="18" t="s">
        <v>13478</v>
      </c>
      <c r="C343" s="18" t="s">
        <v>13479</v>
      </c>
      <c r="D343" s="18" t="s">
        <v>13480</v>
      </c>
      <c r="E343" s="22">
        <v>44907</v>
      </c>
      <c r="F343" s="18" t="s">
        <v>67</v>
      </c>
      <c r="G343" s="18" t="s">
        <v>13481</v>
      </c>
      <c r="H343" s="18" t="s">
        <v>13482</v>
      </c>
      <c r="I343" s="18" t="s">
        <v>70</v>
      </c>
      <c r="J343" s="18" t="s">
        <v>8102</v>
      </c>
      <c r="K343" s="18" t="s">
        <v>8103</v>
      </c>
      <c r="L343" s="18" t="s">
        <v>132</v>
      </c>
      <c r="M343" s="18" t="s">
        <v>7037</v>
      </c>
      <c r="N343" s="18" t="s">
        <v>13483</v>
      </c>
      <c r="O343" s="18" t="s">
        <v>75</v>
      </c>
      <c r="P343" s="18" t="s">
        <v>13484</v>
      </c>
      <c r="Q343" s="18" t="s">
        <v>10817</v>
      </c>
      <c r="R343" s="18" t="s">
        <v>78</v>
      </c>
      <c r="S343" s="18" t="s">
        <v>77</v>
      </c>
      <c r="T343" s="22">
        <v>44915</v>
      </c>
      <c r="U343" s="18"/>
      <c r="V343" s="18" t="s">
        <v>81</v>
      </c>
      <c r="W343" s="18" t="s">
        <v>79</v>
      </c>
      <c r="X343" s="18" t="s">
        <v>10803</v>
      </c>
      <c r="Y343" s="18" t="s">
        <v>136</v>
      </c>
      <c r="Z343" s="18" t="s">
        <v>137</v>
      </c>
      <c r="AA343" s="18" t="s">
        <v>7062</v>
      </c>
      <c r="AB343" s="18" t="s">
        <v>95</v>
      </c>
      <c r="AC343" s="18" t="s">
        <v>7984</v>
      </c>
      <c r="AD343" s="18" t="s">
        <v>10804</v>
      </c>
      <c r="AE343" s="18" t="s">
        <v>135</v>
      </c>
      <c r="AF343" s="18" t="s">
        <v>95</v>
      </c>
      <c r="AG343" s="18" t="s">
        <v>83</v>
      </c>
      <c r="AH343" s="18" t="s">
        <v>83</v>
      </c>
      <c r="AI343" s="18" t="s">
        <v>81</v>
      </c>
      <c r="AJ343" s="18" t="s">
        <v>118</v>
      </c>
      <c r="AK343" s="18" t="s">
        <v>95</v>
      </c>
      <c r="AL343" s="18" t="s">
        <v>10740</v>
      </c>
      <c r="AM343" s="18" t="s">
        <v>85</v>
      </c>
      <c r="AN343" s="18" t="s">
        <v>7031</v>
      </c>
      <c r="AO343" s="18" t="s">
        <v>86</v>
      </c>
      <c r="AP343" s="18" t="s">
        <v>90</v>
      </c>
      <c r="AQ343" s="18" t="s">
        <v>7987</v>
      </c>
      <c r="AR343" s="18" t="s">
        <v>138</v>
      </c>
      <c r="AS343" s="18" t="s">
        <v>139</v>
      </c>
      <c r="AT343" s="18" t="s">
        <v>95</v>
      </c>
      <c r="AU343" s="18" t="s">
        <v>95</v>
      </c>
      <c r="AV343" s="18" t="s">
        <v>7037</v>
      </c>
      <c r="AW343" s="18" t="s">
        <v>95</v>
      </c>
      <c r="AX343" s="18" t="s">
        <v>10806</v>
      </c>
      <c r="AY343" s="18" t="s">
        <v>95</v>
      </c>
      <c r="AZ343" s="18" t="s">
        <v>95</v>
      </c>
      <c r="BA343" s="18" t="s">
        <v>95</v>
      </c>
      <c r="BB343" s="18" t="s">
        <v>95</v>
      </c>
      <c r="BC343" s="18" t="s">
        <v>95</v>
      </c>
      <c r="BD343" s="18" t="s">
        <v>10829</v>
      </c>
      <c r="BE343" s="18" t="s">
        <v>11206</v>
      </c>
      <c r="BF343" s="18" t="s">
        <v>10809</v>
      </c>
      <c r="BG343" s="18" t="s">
        <v>7030</v>
      </c>
      <c r="BH343" s="18"/>
      <c r="BI343" s="18"/>
      <c r="BJ343" s="18" t="s">
        <v>136</v>
      </c>
      <c r="BK343" s="18" t="s">
        <v>13485</v>
      </c>
      <c r="BL343" s="18" t="s">
        <v>10811</v>
      </c>
      <c r="BM343" s="18" t="s">
        <v>139</v>
      </c>
      <c r="BN343" s="18" t="s">
        <v>85</v>
      </c>
      <c r="BO343" s="18">
        <v>0</v>
      </c>
      <c r="BP343" s="18" t="s">
        <v>10812</v>
      </c>
      <c r="BQ343" s="18" t="str">
        <f>VLOOKUP(Prepago[[#This Row],[NOM_PLAZA]],[1]!Locales[#Data],3,0)</f>
        <v>TIENDA AMERICA</v>
      </c>
      <c r="BR343" s="18" t="str">
        <f>VLOOKUP(Prepago[[#This Row],[CODIGO_USUARIO]],[1]!Personal[#Data],6,0)</f>
        <v>SALVATIERRA GUERRA JULIAN ENRIQUE</v>
      </c>
      <c r="BS343" s="18">
        <f>DAY(Prepago[[#This Row],[FECHA_ALTA]])</f>
        <v>12</v>
      </c>
    </row>
    <row r="344" spans="1:71" x14ac:dyDescent="0.25">
      <c r="A344" s="18" t="s">
        <v>96</v>
      </c>
      <c r="B344" s="18" t="s">
        <v>13486</v>
      </c>
      <c r="C344" s="18" t="s">
        <v>13487</v>
      </c>
      <c r="D344" s="18" t="s">
        <v>13488</v>
      </c>
      <c r="E344" s="22">
        <v>44903</v>
      </c>
      <c r="F344" s="18" t="s">
        <v>67</v>
      </c>
      <c r="G344" s="18" t="s">
        <v>2581</v>
      </c>
      <c r="H344" s="18" t="s">
        <v>2582</v>
      </c>
      <c r="I344" s="18" t="s">
        <v>70</v>
      </c>
      <c r="J344" s="18" t="s">
        <v>8102</v>
      </c>
      <c r="K344" s="18" t="s">
        <v>8103</v>
      </c>
      <c r="L344" s="18" t="s">
        <v>132</v>
      </c>
      <c r="M344" s="18" t="s">
        <v>7037</v>
      </c>
      <c r="N344" s="18" t="s">
        <v>13489</v>
      </c>
      <c r="O344" s="18" t="s">
        <v>75</v>
      </c>
      <c r="P344" s="18" t="s">
        <v>13490</v>
      </c>
      <c r="Q344" s="18" t="s">
        <v>10817</v>
      </c>
      <c r="R344" s="18" t="s">
        <v>78</v>
      </c>
      <c r="S344" s="18" t="s">
        <v>77</v>
      </c>
      <c r="T344" s="22">
        <v>44915</v>
      </c>
      <c r="U344" s="18"/>
      <c r="V344" s="18" t="s">
        <v>81</v>
      </c>
      <c r="W344" s="18" t="s">
        <v>79</v>
      </c>
      <c r="X344" s="18" t="s">
        <v>10803</v>
      </c>
      <c r="Y344" s="18" t="s">
        <v>136</v>
      </c>
      <c r="Z344" s="18" t="s">
        <v>137</v>
      </c>
      <c r="AA344" s="18" t="s">
        <v>136</v>
      </c>
      <c r="AB344" s="18" t="s">
        <v>137</v>
      </c>
      <c r="AC344" s="18" t="s">
        <v>7984</v>
      </c>
      <c r="AD344" s="18" t="s">
        <v>10804</v>
      </c>
      <c r="AE344" s="18" t="s">
        <v>135</v>
      </c>
      <c r="AF344" s="18" t="s">
        <v>95</v>
      </c>
      <c r="AG344" s="18" t="s">
        <v>83</v>
      </c>
      <c r="AH344" s="18" t="s">
        <v>83</v>
      </c>
      <c r="AI344" s="18" t="s">
        <v>81</v>
      </c>
      <c r="AJ344" s="18" t="s">
        <v>118</v>
      </c>
      <c r="AK344" s="18" t="s">
        <v>95</v>
      </c>
      <c r="AL344" s="18" t="s">
        <v>10740</v>
      </c>
      <c r="AM344" s="18" t="s">
        <v>85</v>
      </c>
      <c r="AN344" s="18" t="s">
        <v>7031</v>
      </c>
      <c r="AO344" s="18" t="s">
        <v>86</v>
      </c>
      <c r="AP344" s="18" t="s">
        <v>90</v>
      </c>
      <c r="AQ344" s="18" t="s">
        <v>7987</v>
      </c>
      <c r="AR344" s="18" t="s">
        <v>138</v>
      </c>
      <c r="AS344" s="18" t="s">
        <v>139</v>
      </c>
      <c r="AT344" s="18" t="s">
        <v>95</v>
      </c>
      <c r="AU344" s="18" t="s">
        <v>95</v>
      </c>
      <c r="AV344" s="18" t="s">
        <v>7037</v>
      </c>
      <c r="AW344" s="18" t="s">
        <v>95</v>
      </c>
      <c r="AX344" s="18" t="s">
        <v>10806</v>
      </c>
      <c r="AY344" s="18" t="s">
        <v>95</v>
      </c>
      <c r="AZ344" s="18" t="s">
        <v>95</v>
      </c>
      <c r="BA344" s="18" t="s">
        <v>95</v>
      </c>
      <c r="BB344" s="18" t="s">
        <v>95</v>
      </c>
      <c r="BC344" s="18" t="s">
        <v>95</v>
      </c>
      <c r="BD344" s="18" t="s">
        <v>10829</v>
      </c>
      <c r="BE344" s="18" t="s">
        <v>13491</v>
      </c>
      <c r="BF344" s="18" t="s">
        <v>10809</v>
      </c>
      <c r="BG344" s="18" t="s">
        <v>7030</v>
      </c>
      <c r="BH344" s="18"/>
      <c r="BI344" s="18"/>
      <c r="BJ344" s="18" t="s">
        <v>136</v>
      </c>
      <c r="BK344" s="18" t="s">
        <v>13492</v>
      </c>
      <c r="BL344" s="18" t="s">
        <v>10811</v>
      </c>
      <c r="BM344" s="18" t="s">
        <v>139</v>
      </c>
      <c r="BN344" s="18" t="s">
        <v>85</v>
      </c>
      <c r="BO344" s="18">
        <v>0</v>
      </c>
      <c r="BP344" s="18" t="s">
        <v>10812</v>
      </c>
      <c r="BQ344" s="18" t="str">
        <f>VLOOKUP(Prepago[[#This Row],[NOM_PLAZA]],[1]!Locales[#Data],3,0)</f>
        <v>TIENDA AMERICA</v>
      </c>
      <c r="BR344" s="18" t="str">
        <f>VLOOKUP(Prepago[[#This Row],[CODIGO_USUARIO]],[1]!Personal[#Data],6,0)</f>
        <v>SALVATIERRA GUERRA JULIAN ENRIQUE</v>
      </c>
      <c r="BS344" s="18">
        <f>DAY(Prepago[[#This Row],[FECHA_ALTA]])</f>
        <v>8</v>
      </c>
    </row>
    <row r="345" spans="1:71" x14ac:dyDescent="0.25">
      <c r="A345" s="18" t="s">
        <v>96</v>
      </c>
      <c r="B345" s="18" t="s">
        <v>8684</v>
      </c>
      <c r="C345" s="18" t="s">
        <v>8690</v>
      </c>
      <c r="D345" s="18" t="s">
        <v>8686</v>
      </c>
      <c r="E345" s="22">
        <v>44901</v>
      </c>
      <c r="F345" s="18" t="s">
        <v>67</v>
      </c>
      <c r="G345" s="18" t="s">
        <v>13454</v>
      </c>
      <c r="H345" s="18" t="s">
        <v>13455</v>
      </c>
      <c r="I345" s="18" t="s">
        <v>70</v>
      </c>
      <c r="J345" s="18" t="s">
        <v>8102</v>
      </c>
      <c r="K345" s="18" t="s">
        <v>8103</v>
      </c>
      <c r="L345" s="18" t="s">
        <v>132</v>
      </c>
      <c r="M345" s="18" t="s">
        <v>7037</v>
      </c>
      <c r="N345" s="18" t="s">
        <v>8689</v>
      </c>
      <c r="O345" s="18" t="s">
        <v>287</v>
      </c>
      <c r="P345" s="18" t="s">
        <v>13493</v>
      </c>
      <c r="Q345" s="18" t="s">
        <v>10817</v>
      </c>
      <c r="R345" s="18" t="s">
        <v>78</v>
      </c>
      <c r="S345" s="18" t="s">
        <v>77</v>
      </c>
      <c r="T345" s="22">
        <v>44915</v>
      </c>
      <c r="U345" s="18"/>
      <c r="V345" s="18" t="s">
        <v>81</v>
      </c>
      <c r="W345" s="18" t="s">
        <v>79</v>
      </c>
      <c r="X345" s="18" t="s">
        <v>10803</v>
      </c>
      <c r="Y345" s="18" t="s">
        <v>866</v>
      </c>
      <c r="Z345" s="18" t="s">
        <v>867</v>
      </c>
      <c r="AA345" s="18" t="s">
        <v>7062</v>
      </c>
      <c r="AB345" s="18" t="s">
        <v>95</v>
      </c>
      <c r="AC345" s="18" t="s">
        <v>7984</v>
      </c>
      <c r="AD345" s="18" t="s">
        <v>10804</v>
      </c>
      <c r="AE345" s="18" t="s">
        <v>135</v>
      </c>
      <c r="AF345" s="18" t="s">
        <v>95</v>
      </c>
      <c r="AG345" s="18" t="s">
        <v>83</v>
      </c>
      <c r="AH345" s="18" t="s">
        <v>83</v>
      </c>
      <c r="AI345" s="18" t="s">
        <v>81</v>
      </c>
      <c r="AJ345" s="18" t="s">
        <v>118</v>
      </c>
      <c r="AK345" s="18" t="s">
        <v>95</v>
      </c>
      <c r="AL345" s="18" t="s">
        <v>13433</v>
      </c>
      <c r="AM345" s="18" t="s">
        <v>85</v>
      </c>
      <c r="AN345" s="18" t="s">
        <v>7031</v>
      </c>
      <c r="AO345" s="18" t="s">
        <v>86</v>
      </c>
      <c r="AP345" s="18" t="s">
        <v>90</v>
      </c>
      <c r="AQ345" s="18" t="s">
        <v>7987</v>
      </c>
      <c r="AR345" s="18" t="s">
        <v>138</v>
      </c>
      <c r="AS345" s="18" t="s">
        <v>139</v>
      </c>
      <c r="AT345" s="18" t="s">
        <v>95</v>
      </c>
      <c r="AU345" s="18" t="s">
        <v>95</v>
      </c>
      <c r="AV345" s="18" t="s">
        <v>7037</v>
      </c>
      <c r="AW345" s="18" t="s">
        <v>95</v>
      </c>
      <c r="AX345" s="18" t="s">
        <v>10806</v>
      </c>
      <c r="AY345" s="18" t="s">
        <v>95</v>
      </c>
      <c r="AZ345" s="18" t="s">
        <v>95</v>
      </c>
      <c r="BA345" s="18" t="s">
        <v>95</v>
      </c>
      <c r="BB345" s="18" t="s">
        <v>95</v>
      </c>
      <c r="BC345" s="18" t="s">
        <v>95</v>
      </c>
      <c r="BD345" s="18" t="s">
        <v>10829</v>
      </c>
      <c r="BE345" s="18" t="s">
        <v>13457</v>
      </c>
      <c r="BF345" s="18" t="s">
        <v>10809</v>
      </c>
      <c r="BG345" s="18" t="s">
        <v>7030</v>
      </c>
      <c r="BH345" s="18"/>
      <c r="BI345" s="18"/>
      <c r="BJ345" s="18" t="s">
        <v>866</v>
      </c>
      <c r="BK345" s="18" t="s">
        <v>13458</v>
      </c>
      <c r="BL345" s="18" t="s">
        <v>10811</v>
      </c>
      <c r="BM345" s="18" t="s">
        <v>139</v>
      </c>
      <c r="BN345" s="18" t="s">
        <v>85</v>
      </c>
      <c r="BO345" s="18">
        <v>0</v>
      </c>
      <c r="BP345" s="18" t="s">
        <v>10812</v>
      </c>
      <c r="BQ345" s="18" t="str">
        <f>VLOOKUP(Prepago[[#This Row],[NOM_PLAZA]],[1]!Locales[#Data],3,0)</f>
        <v>TIENDA AMERICA</v>
      </c>
      <c r="BR345" s="18" t="str">
        <f>VLOOKUP(Prepago[[#This Row],[CODIGO_USUARIO]],[1]!Personal[#Data],6,0)</f>
        <v>ORTEGA RUIZ GABRIEL ANTONIO</v>
      </c>
      <c r="BS345" s="18">
        <f>DAY(Prepago[[#This Row],[FECHA_ALTA]])</f>
        <v>6</v>
      </c>
    </row>
    <row r="346" spans="1:71" x14ac:dyDescent="0.25">
      <c r="A346" s="18" t="s">
        <v>96</v>
      </c>
      <c r="B346" s="18" t="s">
        <v>13494</v>
      </c>
      <c r="C346" s="18" t="s">
        <v>13495</v>
      </c>
      <c r="D346" s="18" t="s">
        <v>13496</v>
      </c>
      <c r="E346" s="22">
        <v>44907</v>
      </c>
      <c r="F346" s="18" t="s">
        <v>67</v>
      </c>
      <c r="G346" s="18" t="s">
        <v>13497</v>
      </c>
      <c r="H346" s="18" t="s">
        <v>13498</v>
      </c>
      <c r="I346" s="18" t="s">
        <v>70</v>
      </c>
      <c r="J346" s="18" t="s">
        <v>8102</v>
      </c>
      <c r="K346" s="18" t="s">
        <v>8103</v>
      </c>
      <c r="L346" s="18" t="s">
        <v>132</v>
      </c>
      <c r="M346" s="18" t="s">
        <v>7037</v>
      </c>
      <c r="N346" s="18" t="s">
        <v>13499</v>
      </c>
      <c r="O346" s="18" t="s">
        <v>75</v>
      </c>
      <c r="P346" s="18" t="s">
        <v>13500</v>
      </c>
      <c r="Q346" s="18" t="s">
        <v>10817</v>
      </c>
      <c r="R346" s="18" t="s">
        <v>78</v>
      </c>
      <c r="S346" s="18" t="s">
        <v>77</v>
      </c>
      <c r="T346" s="22">
        <v>44915</v>
      </c>
      <c r="U346" s="18"/>
      <c r="V346" s="18" t="s">
        <v>81</v>
      </c>
      <c r="W346" s="18" t="s">
        <v>79</v>
      </c>
      <c r="X346" s="18" t="s">
        <v>10803</v>
      </c>
      <c r="Y346" s="18" t="s">
        <v>866</v>
      </c>
      <c r="Z346" s="18" t="s">
        <v>867</v>
      </c>
      <c r="AA346" s="18" t="s">
        <v>7062</v>
      </c>
      <c r="AB346" s="18" t="s">
        <v>95</v>
      </c>
      <c r="AC346" s="18" t="s">
        <v>7984</v>
      </c>
      <c r="AD346" s="18" t="s">
        <v>10804</v>
      </c>
      <c r="AE346" s="18" t="s">
        <v>135</v>
      </c>
      <c r="AF346" s="18" t="s">
        <v>95</v>
      </c>
      <c r="AG346" s="18" t="s">
        <v>83</v>
      </c>
      <c r="AH346" s="18" t="s">
        <v>83</v>
      </c>
      <c r="AI346" s="18" t="s">
        <v>81</v>
      </c>
      <c r="AJ346" s="18" t="s">
        <v>118</v>
      </c>
      <c r="AK346" s="18" t="s">
        <v>95</v>
      </c>
      <c r="AL346" s="18" t="s">
        <v>13433</v>
      </c>
      <c r="AM346" s="18" t="s">
        <v>85</v>
      </c>
      <c r="AN346" s="18" t="s">
        <v>7031</v>
      </c>
      <c r="AO346" s="18" t="s">
        <v>86</v>
      </c>
      <c r="AP346" s="18" t="s">
        <v>90</v>
      </c>
      <c r="AQ346" s="18" t="s">
        <v>7987</v>
      </c>
      <c r="AR346" s="18" t="s">
        <v>138</v>
      </c>
      <c r="AS346" s="18" t="s">
        <v>139</v>
      </c>
      <c r="AT346" s="18" t="s">
        <v>95</v>
      </c>
      <c r="AU346" s="18" t="s">
        <v>95</v>
      </c>
      <c r="AV346" s="18" t="s">
        <v>7037</v>
      </c>
      <c r="AW346" s="18" t="s">
        <v>95</v>
      </c>
      <c r="AX346" s="18" t="s">
        <v>10806</v>
      </c>
      <c r="AY346" s="18" t="s">
        <v>95</v>
      </c>
      <c r="AZ346" s="18" t="s">
        <v>95</v>
      </c>
      <c r="BA346" s="18" t="s">
        <v>95</v>
      </c>
      <c r="BB346" s="18" t="s">
        <v>95</v>
      </c>
      <c r="BC346" s="18" t="s">
        <v>95</v>
      </c>
      <c r="BD346" s="18" t="s">
        <v>10807</v>
      </c>
      <c r="BE346" s="18" t="s">
        <v>13501</v>
      </c>
      <c r="BF346" s="18" t="s">
        <v>10809</v>
      </c>
      <c r="BG346" s="18" t="s">
        <v>7030</v>
      </c>
      <c r="BH346" s="18"/>
      <c r="BI346" s="18"/>
      <c r="BJ346" s="18" t="s">
        <v>866</v>
      </c>
      <c r="BK346" s="18" t="s">
        <v>13502</v>
      </c>
      <c r="BL346" s="18" t="s">
        <v>10811</v>
      </c>
      <c r="BM346" s="18" t="s">
        <v>139</v>
      </c>
      <c r="BN346" s="18" t="s">
        <v>85</v>
      </c>
      <c r="BO346" s="18">
        <v>0</v>
      </c>
      <c r="BP346" s="18" t="s">
        <v>10812</v>
      </c>
      <c r="BQ346" s="18" t="str">
        <f>VLOOKUP(Prepago[[#This Row],[NOM_PLAZA]],[1]!Locales[#Data],3,0)</f>
        <v>TIENDA AMERICA</v>
      </c>
      <c r="BR346" s="18" t="str">
        <f>VLOOKUP(Prepago[[#This Row],[CODIGO_USUARIO]],[1]!Personal[#Data],6,0)</f>
        <v>ORTEGA RUIZ GABRIEL ANTONIO</v>
      </c>
      <c r="BS346" s="18">
        <f>DAY(Prepago[[#This Row],[FECHA_ALTA]])</f>
        <v>12</v>
      </c>
    </row>
    <row r="347" spans="1:71" x14ac:dyDescent="0.25">
      <c r="A347" s="18" t="s">
        <v>96</v>
      </c>
      <c r="B347" s="18" t="s">
        <v>13503</v>
      </c>
      <c r="C347" s="18" t="s">
        <v>13504</v>
      </c>
      <c r="D347" s="18" t="s">
        <v>13461</v>
      </c>
      <c r="E347" s="22">
        <v>44907</v>
      </c>
      <c r="F347" s="18" t="s">
        <v>67</v>
      </c>
      <c r="G347" s="18" t="s">
        <v>13462</v>
      </c>
      <c r="H347" s="18" t="s">
        <v>13463</v>
      </c>
      <c r="I347" s="18" t="s">
        <v>70</v>
      </c>
      <c r="J347" s="18" t="s">
        <v>8102</v>
      </c>
      <c r="K347" s="18" t="s">
        <v>8103</v>
      </c>
      <c r="L347" s="18" t="s">
        <v>132</v>
      </c>
      <c r="M347" s="18" t="s">
        <v>7037</v>
      </c>
      <c r="N347" s="18" t="s">
        <v>13505</v>
      </c>
      <c r="O347" s="18" t="s">
        <v>75</v>
      </c>
      <c r="P347" s="18" t="s">
        <v>13506</v>
      </c>
      <c r="Q347" s="18" t="s">
        <v>10817</v>
      </c>
      <c r="R347" s="18" t="s">
        <v>78</v>
      </c>
      <c r="S347" s="18" t="s">
        <v>77</v>
      </c>
      <c r="T347" s="22">
        <v>44915</v>
      </c>
      <c r="U347" s="18"/>
      <c r="V347" s="18" t="s">
        <v>81</v>
      </c>
      <c r="W347" s="18" t="s">
        <v>79</v>
      </c>
      <c r="X347" s="18" t="s">
        <v>10803</v>
      </c>
      <c r="Y347" s="18" t="s">
        <v>541</v>
      </c>
      <c r="Z347" s="18" t="s">
        <v>542</v>
      </c>
      <c r="AA347" s="18" t="s">
        <v>7062</v>
      </c>
      <c r="AB347" s="18" t="s">
        <v>95</v>
      </c>
      <c r="AC347" s="18" t="s">
        <v>7984</v>
      </c>
      <c r="AD347" s="18" t="s">
        <v>10804</v>
      </c>
      <c r="AE347" s="18" t="s">
        <v>135</v>
      </c>
      <c r="AF347" s="18" t="s">
        <v>95</v>
      </c>
      <c r="AG347" s="18" t="s">
        <v>83</v>
      </c>
      <c r="AH347" s="18" t="s">
        <v>83</v>
      </c>
      <c r="AI347" s="18" t="s">
        <v>81</v>
      </c>
      <c r="AJ347" s="18" t="s">
        <v>118</v>
      </c>
      <c r="AK347" s="18" t="s">
        <v>95</v>
      </c>
      <c r="AL347" s="18" t="s">
        <v>13372</v>
      </c>
      <c r="AM347" s="18" t="s">
        <v>85</v>
      </c>
      <c r="AN347" s="18" t="s">
        <v>7031</v>
      </c>
      <c r="AO347" s="18" t="s">
        <v>86</v>
      </c>
      <c r="AP347" s="18" t="s">
        <v>90</v>
      </c>
      <c r="AQ347" s="18" t="s">
        <v>7987</v>
      </c>
      <c r="AR347" s="18" t="s">
        <v>138</v>
      </c>
      <c r="AS347" s="18" t="s">
        <v>139</v>
      </c>
      <c r="AT347" s="18" t="s">
        <v>95</v>
      </c>
      <c r="AU347" s="18" t="s">
        <v>95</v>
      </c>
      <c r="AV347" s="18" t="s">
        <v>7037</v>
      </c>
      <c r="AW347" s="18" t="s">
        <v>95</v>
      </c>
      <c r="AX347" s="18" t="s">
        <v>10806</v>
      </c>
      <c r="AY347" s="18" t="s">
        <v>95</v>
      </c>
      <c r="AZ347" s="18" t="s">
        <v>95</v>
      </c>
      <c r="BA347" s="18" t="s">
        <v>95</v>
      </c>
      <c r="BB347" s="18" t="s">
        <v>95</v>
      </c>
      <c r="BC347" s="18" t="s">
        <v>95</v>
      </c>
      <c r="BD347" s="18" t="s">
        <v>10807</v>
      </c>
      <c r="BE347" s="18" t="s">
        <v>13466</v>
      </c>
      <c r="BF347" s="18" t="s">
        <v>10809</v>
      </c>
      <c r="BG347" s="18" t="s">
        <v>7030</v>
      </c>
      <c r="BH347" s="18"/>
      <c r="BI347" s="18"/>
      <c r="BJ347" s="18" t="s">
        <v>541</v>
      </c>
      <c r="BK347" s="18" t="s">
        <v>13467</v>
      </c>
      <c r="BL347" s="18" t="s">
        <v>10811</v>
      </c>
      <c r="BM347" s="18" t="s">
        <v>139</v>
      </c>
      <c r="BN347" s="18" t="s">
        <v>85</v>
      </c>
      <c r="BO347" s="18">
        <v>0</v>
      </c>
      <c r="BP347" s="18" t="s">
        <v>10812</v>
      </c>
      <c r="BQ347" s="18" t="str">
        <f>VLOOKUP(Prepago[[#This Row],[NOM_PLAZA]],[1]!Locales[#Data],3,0)</f>
        <v>TIENDA AMERICA</v>
      </c>
      <c r="BR347" s="18" t="str">
        <f>VLOOKUP(Prepago[[#This Row],[CODIGO_USUARIO]],[1]!Personal[#Data],6,0)</f>
        <v>CEVALLOS PONCE DIANA CAROLINA</v>
      </c>
      <c r="BS347" s="18">
        <f>DAY(Prepago[[#This Row],[FECHA_ALTA]])</f>
        <v>12</v>
      </c>
    </row>
    <row r="348" spans="1:71" x14ac:dyDescent="0.25">
      <c r="A348" s="18" t="s">
        <v>96</v>
      </c>
      <c r="B348" s="18" t="s">
        <v>13507</v>
      </c>
      <c r="C348" s="18" t="s">
        <v>13508</v>
      </c>
      <c r="D348" s="18" t="s">
        <v>13509</v>
      </c>
      <c r="E348" s="22">
        <v>44901</v>
      </c>
      <c r="F348" s="18" t="s">
        <v>67</v>
      </c>
      <c r="G348" s="18" t="s">
        <v>13510</v>
      </c>
      <c r="H348" s="18" t="s">
        <v>13511</v>
      </c>
      <c r="I348" s="18" t="s">
        <v>70</v>
      </c>
      <c r="J348" s="18" t="s">
        <v>8102</v>
      </c>
      <c r="K348" s="18" t="s">
        <v>8103</v>
      </c>
      <c r="L348" s="18" t="s">
        <v>13512</v>
      </c>
      <c r="M348" s="18" t="s">
        <v>7037</v>
      </c>
      <c r="N348" s="18" t="s">
        <v>13513</v>
      </c>
      <c r="O348" s="18" t="s">
        <v>75</v>
      </c>
      <c r="P348" s="18" t="s">
        <v>13514</v>
      </c>
      <c r="Q348" s="18" t="s">
        <v>10817</v>
      </c>
      <c r="R348" s="18" t="s">
        <v>78</v>
      </c>
      <c r="S348" s="18" t="s">
        <v>77</v>
      </c>
      <c r="T348" s="22">
        <v>44915</v>
      </c>
      <c r="U348" s="18"/>
      <c r="V348" s="18" t="s">
        <v>81</v>
      </c>
      <c r="W348" s="18" t="s">
        <v>79</v>
      </c>
      <c r="X348" s="18" t="s">
        <v>10803</v>
      </c>
      <c r="Y348" s="18" t="s">
        <v>541</v>
      </c>
      <c r="Z348" s="18" t="s">
        <v>542</v>
      </c>
      <c r="AA348" s="18" t="s">
        <v>7062</v>
      </c>
      <c r="AB348" s="18" t="s">
        <v>95</v>
      </c>
      <c r="AC348" s="18" t="s">
        <v>7984</v>
      </c>
      <c r="AD348" s="18" t="s">
        <v>10804</v>
      </c>
      <c r="AE348" s="18" t="s">
        <v>135</v>
      </c>
      <c r="AF348" s="18" t="s">
        <v>95</v>
      </c>
      <c r="AG348" s="18" t="s">
        <v>83</v>
      </c>
      <c r="AH348" s="18" t="s">
        <v>83</v>
      </c>
      <c r="AI348" s="18" t="s">
        <v>81</v>
      </c>
      <c r="AJ348" s="18" t="s">
        <v>118</v>
      </c>
      <c r="AK348" s="18" t="s">
        <v>95</v>
      </c>
      <c r="AL348" s="18" t="s">
        <v>13372</v>
      </c>
      <c r="AM348" s="18" t="s">
        <v>85</v>
      </c>
      <c r="AN348" s="18" t="s">
        <v>7031</v>
      </c>
      <c r="AO348" s="18" t="s">
        <v>86</v>
      </c>
      <c r="AP348" s="18" t="s">
        <v>90</v>
      </c>
      <c r="AQ348" s="18" t="s">
        <v>7987</v>
      </c>
      <c r="AR348" s="18" t="s">
        <v>138</v>
      </c>
      <c r="AS348" s="18" t="s">
        <v>139</v>
      </c>
      <c r="AT348" s="18" t="s">
        <v>95</v>
      </c>
      <c r="AU348" s="18" t="s">
        <v>95</v>
      </c>
      <c r="AV348" s="18" t="s">
        <v>7037</v>
      </c>
      <c r="AW348" s="18" t="s">
        <v>95</v>
      </c>
      <c r="AX348" s="18" t="s">
        <v>10806</v>
      </c>
      <c r="AY348" s="18" t="s">
        <v>95</v>
      </c>
      <c r="AZ348" s="18" t="s">
        <v>95</v>
      </c>
      <c r="BA348" s="18" t="s">
        <v>95</v>
      </c>
      <c r="BB348" s="18" t="s">
        <v>95</v>
      </c>
      <c r="BC348" s="18" t="s">
        <v>95</v>
      </c>
      <c r="BD348" s="18" t="s">
        <v>10829</v>
      </c>
      <c r="BE348" s="18" t="s">
        <v>13515</v>
      </c>
      <c r="BF348" s="18" t="s">
        <v>10809</v>
      </c>
      <c r="BG348" s="18" t="s">
        <v>7030</v>
      </c>
      <c r="BH348" s="18"/>
      <c r="BI348" s="18"/>
      <c r="BJ348" s="18" t="s">
        <v>541</v>
      </c>
      <c r="BK348" s="18" t="s">
        <v>13516</v>
      </c>
      <c r="BL348" s="18" t="s">
        <v>10811</v>
      </c>
      <c r="BM348" s="18" t="s">
        <v>139</v>
      </c>
      <c r="BN348" s="18" t="s">
        <v>85</v>
      </c>
      <c r="BO348" s="18">
        <v>0</v>
      </c>
      <c r="BP348" s="18" t="s">
        <v>10812</v>
      </c>
      <c r="BQ348" s="18" t="str">
        <f>VLOOKUP(Prepago[[#This Row],[NOM_PLAZA]],[1]!Locales[#Data],3,0)</f>
        <v>TIENDA AMERICA</v>
      </c>
      <c r="BR348" s="18" t="str">
        <f>VLOOKUP(Prepago[[#This Row],[CODIGO_USUARIO]],[1]!Personal[#Data],6,0)</f>
        <v>CEVALLOS PONCE DIANA CAROLINA</v>
      </c>
      <c r="BS348" s="18">
        <f>DAY(Prepago[[#This Row],[FECHA_ALTA]])</f>
        <v>6</v>
      </c>
    </row>
    <row r="349" spans="1:71" x14ac:dyDescent="0.25">
      <c r="A349" s="18" t="s">
        <v>96</v>
      </c>
      <c r="B349" s="18" t="s">
        <v>13517</v>
      </c>
      <c r="C349" s="18" t="s">
        <v>13518</v>
      </c>
      <c r="D349" s="18" t="s">
        <v>13519</v>
      </c>
      <c r="E349" s="22">
        <v>44903</v>
      </c>
      <c r="F349" s="18" t="s">
        <v>67</v>
      </c>
      <c r="G349" s="18" t="s">
        <v>13520</v>
      </c>
      <c r="H349" s="18" t="s">
        <v>13521</v>
      </c>
      <c r="I349" s="18" t="s">
        <v>70</v>
      </c>
      <c r="J349" s="18" t="s">
        <v>8102</v>
      </c>
      <c r="K349" s="18" t="s">
        <v>8103</v>
      </c>
      <c r="L349" s="18" t="s">
        <v>95</v>
      </c>
      <c r="M349" s="18" t="s">
        <v>7037</v>
      </c>
      <c r="N349" s="18" t="s">
        <v>13522</v>
      </c>
      <c r="O349" s="18" t="s">
        <v>75</v>
      </c>
      <c r="P349" s="18" t="s">
        <v>13523</v>
      </c>
      <c r="Q349" s="18" t="s">
        <v>4453</v>
      </c>
      <c r="R349" s="18" t="s">
        <v>78</v>
      </c>
      <c r="S349" s="18" t="s">
        <v>77</v>
      </c>
      <c r="T349" s="22">
        <v>44915</v>
      </c>
      <c r="U349" s="18"/>
      <c r="V349" s="18" t="s">
        <v>81</v>
      </c>
      <c r="W349" s="18" t="s">
        <v>79</v>
      </c>
      <c r="X349" s="18" t="s">
        <v>10803</v>
      </c>
      <c r="Y349" s="18" t="s">
        <v>665</v>
      </c>
      <c r="Z349" s="18" t="s">
        <v>666</v>
      </c>
      <c r="AA349" s="18" t="s">
        <v>7062</v>
      </c>
      <c r="AB349" s="18" t="s">
        <v>95</v>
      </c>
      <c r="AC349" s="18" t="s">
        <v>7984</v>
      </c>
      <c r="AD349" s="18" t="s">
        <v>10804</v>
      </c>
      <c r="AE349" s="18" t="s">
        <v>135</v>
      </c>
      <c r="AF349" s="18" t="s">
        <v>95</v>
      </c>
      <c r="AG349" s="18" t="s">
        <v>83</v>
      </c>
      <c r="AH349" s="18" t="s">
        <v>83</v>
      </c>
      <c r="AI349" s="18" t="s">
        <v>81</v>
      </c>
      <c r="AJ349" s="18" t="s">
        <v>118</v>
      </c>
      <c r="AK349" s="18" t="s">
        <v>95</v>
      </c>
      <c r="AL349" s="18" t="s">
        <v>10737</v>
      </c>
      <c r="AM349" s="18" t="s">
        <v>85</v>
      </c>
      <c r="AN349" s="18" t="s">
        <v>7031</v>
      </c>
      <c r="AO349" s="18" t="s">
        <v>86</v>
      </c>
      <c r="AP349" s="18" t="s">
        <v>90</v>
      </c>
      <c r="AQ349" s="18" t="s">
        <v>7987</v>
      </c>
      <c r="AR349" s="18" t="s">
        <v>138</v>
      </c>
      <c r="AS349" s="18" t="s">
        <v>139</v>
      </c>
      <c r="AT349" s="18" t="s">
        <v>95</v>
      </c>
      <c r="AU349" s="18" t="s">
        <v>95</v>
      </c>
      <c r="AV349" s="18" t="s">
        <v>7037</v>
      </c>
      <c r="AW349" s="18" t="s">
        <v>95</v>
      </c>
      <c r="AX349" s="18" t="s">
        <v>10806</v>
      </c>
      <c r="AY349" s="18" t="s">
        <v>95</v>
      </c>
      <c r="AZ349" s="18" t="s">
        <v>95</v>
      </c>
      <c r="BA349" s="18" t="s">
        <v>95</v>
      </c>
      <c r="BB349" s="18" t="s">
        <v>95</v>
      </c>
      <c r="BC349" s="18" t="s">
        <v>95</v>
      </c>
      <c r="BD349" s="18" t="s">
        <v>10829</v>
      </c>
      <c r="BE349" s="18" t="s">
        <v>13524</v>
      </c>
      <c r="BF349" s="18" t="s">
        <v>10809</v>
      </c>
      <c r="BG349" s="18" t="s">
        <v>7030</v>
      </c>
      <c r="BH349" s="18"/>
      <c r="BI349" s="18"/>
      <c r="BJ349" s="18" t="s">
        <v>665</v>
      </c>
      <c r="BK349" s="18" t="s">
        <v>13525</v>
      </c>
      <c r="BL349" s="18" t="s">
        <v>10811</v>
      </c>
      <c r="BM349" s="18" t="s">
        <v>139</v>
      </c>
      <c r="BN349" s="18" t="s">
        <v>85</v>
      </c>
      <c r="BO349" s="18">
        <v>1</v>
      </c>
      <c r="BP349" s="18" t="s">
        <v>10812</v>
      </c>
      <c r="BQ349" s="18" t="str">
        <f>VLOOKUP(Prepago[[#This Row],[NOM_PLAZA]],[1]!Locales[#Data],3,0)</f>
        <v>TIENDA AMERICA</v>
      </c>
      <c r="BR349" s="18" t="str">
        <f>VLOOKUP(Prepago[[#This Row],[CODIGO_USUARIO]],[1]!Personal[#Data],6,0)</f>
        <v>ROSERO CAICEDO JAIRO STEFANO</v>
      </c>
      <c r="BS349" s="18">
        <f>DAY(Prepago[[#This Row],[FECHA_ALTA]])</f>
        <v>8</v>
      </c>
    </row>
    <row r="350" spans="1:71" x14ac:dyDescent="0.25">
      <c r="A350" s="18" t="s">
        <v>96</v>
      </c>
      <c r="B350" s="18" t="s">
        <v>13526</v>
      </c>
      <c r="C350" s="18" t="s">
        <v>13527</v>
      </c>
      <c r="D350" s="18" t="s">
        <v>13528</v>
      </c>
      <c r="E350" s="22">
        <v>44909</v>
      </c>
      <c r="F350" s="18" t="s">
        <v>67</v>
      </c>
      <c r="G350" s="18" t="s">
        <v>9895</v>
      </c>
      <c r="H350" s="18" t="s">
        <v>9896</v>
      </c>
      <c r="I350" s="18" t="s">
        <v>70</v>
      </c>
      <c r="J350" s="18" t="s">
        <v>8102</v>
      </c>
      <c r="K350" s="18" t="s">
        <v>8103</v>
      </c>
      <c r="L350" s="18" t="s">
        <v>132</v>
      </c>
      <c r="M350" s="18" t="s">
        <v>7037</v>
      </c>
      <c r="N350" s="18" t="s">
        <v>13529</v>
      </c>
      <c r="O350" s="18" t="s">
        <v>75</v>
      </c>
      <c r="P350" s="18" t="s">
        <v>13530</v>
      </c>
      <c r="Q350" s="18" t="s">
        <v>10817</v>
      </c>
      <c r="R350" s="18" t="s">
        <v>78</v>
      </c>
      <c r="S350" s="18" t="s">
        <v>77</v>
      </c>
      <c r="T350" s="22">
        <v>44915</v>
      </c>
      <c r="U350" s="18"/>
      <c r="V350" s="18" t="s">
        <v>81</v>
      </c>
      <c r="W350" s="18" t="s">
        <v>79</v>
      </c>
      <c r="X350" s="18" t="s">
        <v>10803</v>
      </c>
      <c r="Y350" s="18" t="s">
        <v>136</v>
      </c>
      <c r="Z350" s="18" t="s">
        <v>137</v>
      </c>
      <c r="AA350" s="18" t="s">
        <v>7062</v>
      </c>
      <c r="AB350" s="18" t="s">
        <v>95</v>
      </c>
      <c r="AC350" s="18" t="s">
        <v>7984</v>
      </c>
      <c r="AD350" s="18" t="s">
        <v>10804</v>
      </c>
      <c r="AE350" s="18" t="s">
        <v>135</v>
      </c>
      <c r="AF350" s="18" t="s">
        <v>95</v>
      </c>
      <c r="AG350" s="18" t="s">
        <v>83</v>
      </c>
      <c r="AH350" s="18" t="s">
        <v>83</v>
      </c>
      <c r="AI350" s="18" t="s">
        <v>81</v>
      </c>
      <c r="AJ350" s="18" t="s">
        <v>118</v>
      </c>
      <c r="AK350" s="18" t="s">
        <v>95</v>
      </c>
      <c r="AL350" s="18" t="s">
        <v>10740</v>
      </c>
      <c r="AM350" s="18" t="s">
        <v>85</v>
      </c>
      <c r="AN350" s="18" t="s">
        <v>7031</v>
      </c>
      <c r="AO350" s="18" t="s">
        <v>86</v>
      </c>
      <c r="AP350" s="18" t="s">
        <v>90</v>
      </c>
      <c r="AQ350" s="18" t="s">
        <v>7987</v>
      </c>
      <c r="AR350" s="18" t="s">
        <v>138</v>
      </c>
      <c r="AS350" s="18" t="s">
        <v>139</v>
      </c>
      <c r="AT350" s="18" t="s">
        <v>95</v>
      </c>
      <c r="AU350" s="18" t="s">
        <v>95</v>
      </c>
      <c r="AV350" s="18" t="s">
        <v>7037</v>
      </c>
      <c r="AW350" s="18" t="s">
        <v>95</v>
      </c>
      <c r="AX350" s="18" t="s">
        <v>10806</v>
      </c>
      <c r="AY350" s="18" t="s">
        <v>95</v>
      </c>
      <c r="AZ350" s="18" t="s">
        <v>95</v>
      </c>
      <c r="BA350" s="18" t="s">
        <v>95</v>
      </c>
      <c r="BB350" s="18" t="s">
        <v>95</v>
      </c>
      <c r="BC350" s="18" t="s">
        <v>95</v>
      </c>
      <c r="BD350" s="18" t="s">
        <v>10829</v>
      </c>
      <c r="BE350" s="18" t="s">
        <v>13531</v>
      </c>
      <c r="BF350" s="18" t="s">
        <v>10809</v>
      </c>
      <c r="BG350" s="18" t="s">
        <v>7030</v>
      </c>
      <c r="BH350" s="18"/>
      <c r="BI350" s="18"/>
      <c r="BJ350" s="18" t="s">
        <v>136</v>
      </c>
      <c r="BK350" s="18" t="s">
        <v>13532</v>
      </c>
      <c r="BL350" s="18" t="s">
        <v>10811</v>
      </c>
      <c r="BM350" s="18" t="s">
        <v>139</v>
      </c>
      <c r="BN350" s="18" t="s">
        <v>85</v>
      </c>
      <c r="BO350" s="18">
        <v>0</v>
      </c>
      <c r="BP350" s="18" t="s">
        <v>10812</v>
      </c>
      <c r="BQ350" s="18" t="str">
        <f>VLOOKUP(Prepago[[#This Row],[NOM_PLAZA]],[1]!Locales[#Data],3,0)</f>
        <v>TIENDA AMERICA</v>
      </c>
      <c r="BR350" s="18" t="str">
        <f>VLOOKUP(Prepago[[#This Row],[CODIGO_USUARIO]],[1]!Personal[#Data],6,0)</f>
        <v>SALVATIERRA GUERRA JULIAN ENRIQUE</v>
      </c>
      <c r="BS350" s="18">
        <f>DAY(Prepago[[#This Row],[FECHA_ALTA]])</f>
        <v>14</v>
      </c>
    </row>
    <row r="351" spans="1:71" x14ac:dyDescent="0.25">
      <c r="A351" s="18" t="s">
        <v>96</v>
      </c>
      <c r="B351" s="18" t="s">
        <v>13533</v>
      </c>
      <c r="C351" s="18" t="s">
        <v>13534</v>
      </c>
      <c r="D351" s="18" t="s">
        <v>13535</v>
      </c>
      <c r="E351" s="22">
        <v>44910</v>
      </c>
      <c r="F351" s="18" t="s">
        <v>67</v>
      </c>
      <c r="G351" s="18" t="s">
        <v>13536</v>
      </c>
      <c r="H351" s="18" t="s">
        <v>13537</v>
      </c>
      <c r="I351" s="18" t="s">
        <v>70</v>
      </c>
      <c r="J351" s="18" t="s">
        <v>8102</v>
      </c>
      <c r="K351" s="18" t="s">
        <v>8103</v>
      </c>
      <c r="L351" s="18" t="s">
        <v>132</v>
      </c>
      <c r="M351" s="18" t="s">
        <v>7037</v>
      </c>
      <c r="N351" s="18" t="s">
        <v>13538</v>
      </c>
      <c r="O351" s="18" t="s">
        <v>75</v>
      </c>
      <c r="P351" s="18" t="s">
        <v>13539</v>
      </c>
      <c r="Q351" s="18" t="s">
        <v>10817</v>
      </c>
      <c r="R351" s="18" t="s">
        <v>78</v>
      </c>
      <c r="S351" s="18" t="s">
        <v>77</v>
      </c>
      <c r="T351" s="22">
        <v>44915</v>
      </c>
      <c r="U351" s="18"/>
      <c r="V351" s="18" t="s">
        <v>81</v>
      </c>
      <c r="W351" s="18" t="s">
        <v>79</v>
      </c>
      <c r="X351" s="18" t="s">
        <v>10803</v>
      </c>
      <c r="Y351" s="18" t="s">
        <v>541</v>
      </c>
      <c r="Z351" s="18" t="s">
        <v>542</v>
      </c>
      <c r="AA351" s="18" t="s">
        <v>541</v>
      </c>
      <c r="AB351" s="18" t="s">
        <v>542</v>
      </c>
      <c r="AC351" s="18" t="s">
        <v>7984</v>
      </c>
      <c r="AD351" s="18" t="s">
        <v>10804</v>
      </c>
      <c r="AE351" s="18" t="s">
        <v>135</v>
      </c>
      <c r="AF351" s="18" t="s">
        <v>95</v>
      </c>
      <c r="AG351" s="18" t="s">
        <v>83</v>
      </c>
      <c r="AH351" s="18" t="s">
        <v>83</v>
      </c>
      <c r="AI351" s="18" t="s">
        <v>81</v>
      </c>
      <c r="AJ351" s="18" t="s">
        <v>118</v>
      </c>
      <c r="AK351" s="18" t="s">
        <v>95</v>
      </c>
      <c r="AL351" s="18" t="s">
        <v>13372</v>
      </c>
      <c r="AM351" s="18" t="s">
        <v>85</v>
      </c>
      <c r="AN351" s="18" t="s">
        <v>7031</v>
      </c>
      <c r="AO351" s="18" t="s">
        <v>86</v>
      </c>
      <c r="AP351" s="18" t="s">
        <v>90</v>
      </c>
      <c r="AQ351" s="18" t="s">
        <v>7987</v>
      </c>
      <c r="AR351" s="18" t="s">
        <v>138</v>
      </c>
      <c r="AS351" s="18" t="s">
        <v>139</v>
      </c>
      <c r="AT351" s="18" t="s">
        <v>95</v>
      </c>
      <c r="AU351" s="18" t="s">
        <v>95</v>
      </c>
      <c r="AV351" s="18" t="s">
        <v>7037</v>
      </c>
      <c r="AW351" s="18" t="s">
        <v>95</v>
      </c>
      <c r="AX351" s="18" t="s">
        <v>10806</v>
      </c>
      <c r="AY351" s="18" t="s">
        <v>95</v>
      </c>
      <c r="AZ351" s="18" t="s">
        <v>95</v>
      </c>
      <c r="BA351" s="18" t="s">
        <v>95</v>
      </c>
      <c r="BB351" s="18" t="s">
        <v>95</v>
      </c>
      <c r="BC351" s="18" t="s">
        <v>95</v>
      </c>
      <c r="BD351" s="18" t="s">
        <v>10807</v>
      </c>
      <c r="BE351" s="18" t="s">
        <v>13540</v>
      </c>
      <c r="BF351" s="18" t="s">
        <v>10809</v>
      </c>
      <c r="BG351" s="18" t="s">
        <v>7030</v>
      </c>
      <c r="BH351" s="18"/>
      <c r="BI351" s="18"/>
      <c r="BJ351" s="18" t="s">
        <v>541</v>
      </c>
      <c r="BK351" s="18" t="s">
        <v>13541</v>
      </c>
      <c r="BL351" s="18" t="s">
        <v>10811</v>
      </c>
      <c r="BM351" s="18" t="s">
        <v>139</v>
      </c>
      <c r="BN351" s="18" t="s">
        <v>85</v>
      </c>
      <c r="BO351" s="18">
        <v>0</v>
      </c>
      <c r="BP351" s="18" t="s">
        <v>10812</v>
      </c>
      <c r="BQ351" s="18" t="str">
        <f>VLOOKUP(Prepago[[#This Row],[NOM_PLAZA]],[1]!Locales[#Data],3,0)</f>
        <v>TIENDA AMERICA</v>
      </c>
      <c r="BR351" s="18" t="str">
        <f>VLOOKUP(Prepago[[#This Row],[CODIGO_USUARIO]],[1]!Personal[#Data],6,0)</f>
        <v>CEVALLOS PONCE DIANA CAROLINA</v>
      </c>
      <c r="BS351" s="18">
        <f>DAY(Prepago[[#This Row],[FECHA_ALTA]])</f>
        <v>15</v>
      </c>
    </row>
    <row r="352" spans="1:71" x14ac:dyDescent="0.25">
      <c r="A352" s="18" t="s">
        <v>96</v>
      </c>
      <c r="B352" s="18" t="s">
        <v>13542</v>
      </c>
      <c r="C352" s="18" t="s">
        <v>13543</v>
      </c>
      <c r="D352" s="18" t="s">
        <v>13544</v>
      </c>
      <c r="E352" s="22">
        <v>44908</v>
      </c>
      <c r="F352" s="18" t="s">
        <v>67</v>
      </c>
      <c r="G352" s="18" t="s">
        <v>13545</v>
      </c>
      <c r="H352" s="18" t="s">
        <v>13546</v>
      </c>
      <c r="I352" s="18" t="s">
        <v>70</v>
      </c>
      <c r="J352" s="18" t="s">
        <v>8102</v>
      </c>
      <c r="K352" s="18" t="s">
        <v>8103</v>
      </c>
      <c r="L352" s="18" t="s">
        <v>132</v>
      </c>
      <c r="M352" s="18" t="s">
        <v>7037</v>
      </c>
      <c r="N352" s="18" t="s">
        <v>13547</v>
      </c>
      <c r="O352" s="18" t="s">
        <v>75</v>
      </c>
      <c r="P352" s="18" t="s">
        <v>13548</v>
      </c>
      <c r="Q352" s="18" t="s">
        <v>10817</v>
      </c>
      <c r="R352" s="18" t="s">
        <v>78</v>
      </c>
      <c r="S352" s="18" t="s">
        <v>77</v>
      </c>
      <c r="T352" s="22">
        <v>44915</v>
      </c>
      <c r="U352" s="18"/>
      <c r="V352" s="18" t="s">
        <v>81</v>
      </c>
      <c r="W352" s="18" t="s">
        <v>79</v>
      </c>
      <c r="X352" s="18" t="s">
        <v>10803</v>
      </c>
      <c r="Y352" s="18" t="s">
        <v>665</v>
      </c>
      <c r="Z352" s="18" t="s">
        <v>666</v>
      </c>
      <c r="AA352" s="18" t="s">
        <v>7062</v>
      </c>
      <c r="AB352" s="18" t="s">
        <v>95</v>
      </c>
      <c r="AC352" s="18" t="s">
        <v>7984</v>
      </c>
      <c r="AD352" s="18" t="s">
        <v>10804</v>
      </c>
      <c r="AE352" s="18" t="s">
        <v>135</v>
      </c>
      <c r="AF352" s="18" t="s">
        <v>95</v>
      </c>
      <c r="AG352" s="18" t="s">
        <v>83</v>
      </c>
      <c r="AH352" s="18" t="s">
        <v>83</v>
      </c>
      <c r="AI352" s="18" t="s">
        <v>81</v>
      </c>
      <c r="AJ352" s="18" t="s">
        <v>118</v>
      </c>
      <c r="AK352" s="18" t="s">
        <v>95</v>
      </c>
      <c r="AL352" s="18" t="s">
        <v>10737</v>
      </c>
      <c r="AM352" s="18" t="s">
        <v>85</v>
      </c>
      <c r="AN352" s="18" t="s">
        <v>7031</v>
      </c>
      <c r="AO352" s="18" t="s">
        <v>86</v>
      </c>
      <c r="AP352" s="18" t="s">
        <v>90</v>
      </c>
      <c r="AQ352" s="18" t="s">
        <v>7987</v>
      </c>
      <c r="AR352" s="18" t="s">
        <v>138</v>
      </c>
      <c r="AS352" s="18" t="s">
        <v>139</v>
      </c>
      <c r="AT352" s="18" t="s">
        <v>95</v>
      </c>
      <c r="AU352" s="18" t="s">
        <v>95</v>
      </c>
      <c r="AV352" s="18" t="s">
        <v>7037</v>
      </c>
      <c r="AW352" s="18" t="s">
        <v>95</v>
      </c>
      <c r="AX352" s="18" t="s">
        <v>10806</v>
      </c>
      <c r="AY352" s="18" t="s">
        <v>95</v>
      </c>
      <c r="AZ352" s="18" t="s">
        <v>95</v>
      </c>
      <c r="BA352" s="18" t="s">
        <v>95</v>
      </c>
      <c r="BB352" s="18" t="s">
        <v>95</v>
      </c>
      <c r="BC352" s="18" t="s">
        <v>95</v>
      </c>
      <c r="BD352" s="18" t="s">
        <v>10829</v>
      </c>
      <c r="BE352" s="18" t="s">
        <v>13549</v>
      </c>
      <c r="BF352" s="18" t="s">
        <v>10809</v>
      </c>
      <c r="BG352" s="18" t="s">
        <v>7030</v>
      </c>
      <c r="BH352" s="18"/>
      <c r="BI352" s="18"/>
      <c r="BJ352" s="18" t="s">
        <v>665</v>
      </c>
      <c r="BK352" s="18" t="s">
        <v>13550</v>
      </c>
      <c r="BL352" s="18" t="s">
        <v>10811</v>
      </c>
      <c r="BM352" s="18" t="s">
        <v>139</v>
      </c>
      <c r="BN352" s="18" t="s">
        <v>85</v>
      </c>
      <c r="BO352" s="18">
        <v>0</v>
      </c>
      <c r="BP352" s="18" t="s">
        <v>10812</v>
      </c>
      <c r="BQ352" s="18" t="str">
        <f>VLOOKUP(Prepago[[#This Row],[NOM_PLAZA]],[1]!Locales[#Data],3,0)</f>
        <v>TIENDA AMERICA</v>
      </c>
      <c r="BR352" s="18" t="str">
        <f>VLOOKUP(Prepago[[#This Row],[CODIGO_USUARIO]],[1]!Personal[#Data],6,0)</f>
        <v>ROSERO CAICEDO JAIRO STEFANO</v>
      </c>
      <c r="BS352" s="18">
        <f>DAY(Prepago[[#This Row],[FECHA_ALTA]])</f>
        <v>13</v>
      </c>
    </row>
    <row r="353" spans="1:71" x14ac:dyDescent="0.25">
      <c r="A353" s="18" t="s">
        <v>96</v>
      </c>
      <c r="B353" s="18" t="s">
        <v>8695</v>
      </c>
      <c r="C353" s="18" t="s">
        <v>8697</v>
      </c>
      <c r="D353" s="18" t="s">
        <v>8686</v>
      </c>
      <c r="E353" s="22">
        <v>44901</v>
      </c>
      <c r="F353" s="18" t="s">
        <v>67</v>
      </c>
      <c r="G353" s="18" t="s">
        <v>13454</v>
      </c>
      <c r="H353" s="18" t="s">
        <v>13455</v>
      </c>
      <c r="I353" s="18" t="s">
        <v>70</v>
      </c>
      <c r="J353" s="18" t="s">
        <v>8102</v>
      </c>
      <c r="K353" s="18" t="s">
        <v>8103</v>
      </c>
      <c r="L353" s="18" t="s">
        <v>132</v>
      </c>
      <c r="M353" s="18" t="s">
        <v>7037</v>
      </c>
      <c r="N353" s="18" t="s">
        <v>8696</v>
      </c>
      <c r="O353" s="18" t="s">
        <v>287</v>
      </c>
      <c r="P353" s="18" t="s">
        <v>13551</v>
      </c>
      <c r="Q353" s="18" t="s">
        <v>10817</v>
      </c>
      <c r="R353" s="18" t="s">
        <v>78</v>
      </c>
      <c r="S353" s="18" t="s">
        <v>77</v>
      </c>
      <c r="T353" s="22">
        <v>44915</v>
      </c>
      <c r="U353" s="18"/>
      <c r="V353" s="18" t="s">
        <v>81</v>
      </c>
      <c r="W353" s="18" t="s">
        <v>79</v>
      </c>
      <c r="X353" s="18" t="s">
        <v>10803</v>
      </c>
      <c r="Y353" s="18" t="s">
        <v>866</v>
      </c>
      <c r="Z353" s="18" t="s">
        <v>867</v>
      </c>
      <c r="AA353" s="18" t="s">
        <v>7062</v>
      </c>
      <c r="AB353" s="18" t="s">
        <v>95</v>
      </c>
      <c r="AC353" s="18" t="s">
        <v>7984</v>
      </c>
      <c r="AD353" s="18" t="s">
        <v>10804</v>
      </c>
      <c r="AE353" s="18" t="s">
        <v>135</v>
      </c>
      <c r="AF353" s="18" t="s">
        <v>95</v>
      </c>
      <c r="AG353" s="18" t="s">
        <v>83</v>
      </c>
      <c r="AH353" s="18" t="s">
        <v>83</v>
      </c>
      <c r="AI353" s="18" t="s">
        <v>81</v>
      </c>
      <c r="AJ353" s="18" t="s">
        <v>118</v>
      </c>
      <c r="AK353" s="18" t="s">
        <v>95</v>
      </c>
      <c r="AL353" s="18" t="s">
        <v>13433</v>
      </c>
      <c r="AM353" s="18" t="s">
        <v>85</v>
      </c>
      <c r="AN353" s="18" t="s">
        <v>7031</v>
      </c>
      <c r="AO353" s="18" t="s">
        <v>86</v>
      </c>
      <c r="AP353" s="18" t="s">
        <v>90</v>
      </c>
      <c r="AQ353" s="18" t="s">
        <v>7987</v>
      </c>
      <c r="AR353" s="18" t="s">
        <v>138</v>
      </c>
      <c r="AS353" s="18" t="s">
        <v>139</v>
      </c>
      <c r="AT353" s="18" t="s">
        <v>95</v>
      </c>
      <c r="AU353" s="18" t="s">
        <v>95</v>
      </c>
      <c r="AV353" s="18" t="s">
        <v>7037</v>
      </c>
      <c r="AW353" s="18" t="s">
        <v>95</v>
      </c>
      <c r="AX353" s="18" t="s">
        <v>10806</v>
      </c>
      <c r="AY353" s="18" t="s">
        <v>95</v>
      </c>
      <c r="AZ353" s="18" t="s">
        <v>95</v>
      </c>
      <c r="BA353" s="18" t="s">
        <v>95</v>
      </c>
      <c r="BB353" s="18" t="s">
        <v>95</v>
      </c>
      <c r="BC353" s="18" t="s">
        <v>95</v>
      </c>
      <c r="BD353" s="18" t="s">
        <v>10829</v>
      </c>
      <c r="BE353" s="18" t="s">
        <v>13457</v>
      </c>
      <c r="BF353" s="18" t="s">
        <v>10809</v>
      </c>
      <c r="BG353" s="18" t="s">
        <v>7030</v>
      </c>
      <c r="BH353" s="18"/>
      <c r="BI353" s="18"/>
      <c r="BJ353" s="18" t="s">
        <v>866</v>
      </c>
      <c r="BK353" s="18" t="s">
        <v>13458</v>
      </c>
      <c r="BL353" s="18" t="s">
        <v>10811</v>
      </c>
      <c r="BM353" s="18" t="s">
        <v>139</v>
      </c>
      <c r="BN353" s="18" t="s">
        <v>85</v>
      </c>
      <c r="BO353" s="18">
        <v>0</v>
      </c>
      <c r="BP353" s="18" t="s">
        <v>10812</v>
      </c>
      <c r="BQ353" s="18" t="str">
        <f>VLOOKUP(Prepago[[#This Row],[NOM_PLAZA]],[1]!Locales[#Data],3,0)</f>
        <v>TIENDA AMERICA</v>
      </c>
      <c r="BR353" s="18" t="str">
        <f>VLOOKUP(Prepago[[#This Row],[CODIGO_USUARIO]],[1]!Personal[#Data],6,0)</f>
        <v>ORTEGA RUIZ GABRIEL ANTONIO</v>
      </c>
      <c r="BS353" s="18">
        <f>DAY(Prepago[[#This Row],[FECHA_ALTA]])</f>
        <v>6</v>
      </c>
    </row>
    <row r="354" spans="1:71" x14ac:dyDescent="0.25">
      <c r="A354" s="18" t="s">
        <v>96</v>
      </c>
      <c r="B354" s="18" t="s">
        <v>13552</v>
      </c>
      <c r="C354" s="18" t="s">
        <v>13553</v>
      </c>
      <c r="D354" s="18" t="s">
        <v>13554</v>
      </c>
      <c r="E354" s="22">
        <v>44914</v>
      </c>
      <c r="F354" s="18" t="s">
        <v>67</v>
      </c>
      <c r="G354" s="18" t="s">
        <v>13555</v>
      </c>
      <c r="H354" s="18" t="s">
        <v>13556</v>
      </c>
      <c r="I354" s="18" t="s">
        <v>70</v>
      </c>
      <c r="J354" s="18" t="s">
        <v>8102</v>
      </c>
      <c r="K354" s="18" t="s">
        <v>8103</v>
      </c>
      <c r="L354" s="18" t="s">
        <v>13557</v>
      </c>
      <c r="M354" s="18" t="s">
        <v>7066</v>
      </c>
      <c r="N354" s="18" t="s">
        <v>13558</v>
      </c>
      <c r="O354" s="18" t="s">
        <v>75</v>
      </c>
      <c r="P354" s="18" t="s">
        <v>13559</v>
      </c>
      <c r="Q354" s="18" t="s">
        <v>10817</v>
      </c>
      <c r="R354" s="18" t="s">
        <v>78</v>
      </c>
      <c r="S354" s="18" t="s">
        <v>77</v>
      </c>
      <c r="T354" s="22">
        <v>44915</v>
      </c>
      <c r="U354" s="18"/>
      <c r="V354" s="18" t="s">
        <v>81</v>
      </c>
      <c r="W354" s="18" t="s">
        <v>79</v>
      </c>
      <c r="X354" s="18" t="s">
        <v>10803</v>
      </c>
      <c r="Y354" s="18" t="s">
        <v>541</v>
      </c>
      <c r="Z354" s="18" t="s">
        <v>542</v>
      </c>
      <c r="AA354" s="18" t="s">
        <v>7062</v>
      </c>
      <c r="AB354" s="18" t="s">
        <v>95</v>
      </c>
      <c r="AC354" s="18" t="s">
        <v>7984</v>
      </c>
      <c r="AD354" s="18" t="s">
        <v>10804</v>
      </c>
      <c r="AE354" s="18" t="s">
        <v>135</v>
      </c>
      <c r="AF354" s="18" t="s">
        <v>95</v>
      </c>
      <c r="AG354" s="18" t="s">
        <v>83</v>
      </c>
      <c r="AH354" s="18" t="s">
        <v>83</v>
      </c>
      <c r="AI354" s="18" t="s">
        <v>81</v>
      </c>
      <c r="AJ354" s="18" t="s">
        <v>118</v>
      </c>
      <c r="AK354" s="18" t="s">
        <v>95</v>
      </c>
      <c r="AL354" s="18" t="s">
        <v>13372</v>
      </c>
      <c r="AM354" s="18" t="s">
        <v>85</v>
      </c>
      <c r="AN354" s="18" t="s">
        <v>7031</v>
      </c>
      <c r="AO354" s="18" t="s">
        <v>86</v>
      </c>
      <c r="AP354" s="18" t="s">
        <v>90</v>
      </c>
      <c r="AQ354" s="18" t="s">
        <v>7987</v>
      </c>
      <c r="AR354" s="18" t="s">
        <v>138</v>
      </c>
      <c r="AS354" s="18" t="s">
        <v>139</v>
      </c>
      <c r="AT354" s="18" t="s">
        <v>95</v>
      </c>
      <c r="AU354" s="18" t="s">
        <v>95</v>
      </c>
      <c r="AV354" s="18" t="s">
        <v>7066</v>
      </c>
      <c r="AW354" s="18" t="s">
        <v>95</v>
      </c>
      <c r="AX354" s="18" t="s">
        <v>10806</v>
      </c>
      <c r="AY354" s="18" t="s">
        <v>95</v>
      </c>
      <c r="AZ354" s="18" t="s">
        <v>95</v>
      </c>
      <c r="BA354" s="18" t="s">
        <v>95</v>
      </c>
      <c r="BB354" s="18" t="s">
        <v>95</v>
      </c>
      <c r="BC354" s="18" t="s">
        <v>95</v>
      </c>
      <c r="BD354" s="18" t="s">
        <v>10829</v>
      </c>
      <c r="BE354" s="18" t="s">
        <v>13560</v>
      </c>
      <c r="BF354" s="18" t="s">
        <v>10809</v>
      </c>
      <c r="BG354" s="18" t="s">
        <v>7030</v>
      </c>
      <c r="BH354" s="18"/>
      <c r="BI354" s="18"/>
      <c r="BJ354" s="18" t="s">
        <v>541</v>
      </c>
      <c r="BK354" s="18" t="s">
        <v>13561</v>
      </c>
      <c r="BL354" s="18" t="s">
        <v>10811</v>
      </c>
      <c r="BM354" s="18" t="s">
        <v>8121</v>
      </c>
      <c r="BN354" s="18" t="s">
        <v>85</v>
      </c>
      <c r="BO354" s="18">
        <v>0</v>
      </c>
      <c r="BP354" s="18" t="s">
        <v>10812</v>
      </c>
      <c r="BQ354" s="18" t="str">
        <f>VLOOKUP(Prepago[[#This Row],[NOM_PLAZA]],[1]!Locales[#Data],3,0)</f>
        <v>TIENDA AMERICA</v>
      </c>
      <c r="BR354" s="18" t="str">
        <f>VLOOKUP(Prepago[[#This Row],[CODIGO_USUARIO]],[1]!Personal[#Data],6,0)</f>
        <v>CEVALLOS PONCE DIANA CAROLINA</v>
      </c>
      <c r="BS354" s="18">
        <f>DAY(Prepago[[#This Row],[FECHA_ALTA]])</f>
        <v>19</v>
      </c>
    </row>
    <row r="355" spans="1:71" x14ac:dyDescent="0.25">
      <c r="A355" s="18" t="s">
        <v>96</v>
      </c>
      <c r="B355" s="18" t="s">
        <v>13562</v>
      </c>
      <c r="C355" s="18" t="s">
        <v>13563</v>
      </c>
      <c r="D355" s="18" t="s">
        <v>13564</v>
      </c>
      <c r="E355" s="22">
        <v>44914</v>
      </c>
      <c r="F355" s="18" t="s">
        <v>67</v>
      </c>
      <c r="G355" s="18" t="s">
        <v>13565</v>
      </c>
      <c r="H355" s="18" t="s">
        <v>13566</v>
      </c>
      <c r="I355" s="18" t="s">
        <v>70</v>
      </c>
      <c r="J355" s="18" t="s">
        <v>8102</v>
      </c>
      <c r="K355" s="18" t="s">
        <v>8103</v>
      </c>
      <c r="L355" s="18" t="s">
        <v>132</v>
      </c>
      <c r="M355" s="18" t="s">
        <v>7037</v>
      </c>
      <c r="N355" s="18" t="s">
        <v>13567</v>
      </c>
      <c r="O355" s="18" t="s">
        <v>75</v>
      </c>
      <c r="P355" s="18" t="s">
        <v>13568</v>
      </c>
      <c r="Q355" s="18" t="s">
        <v>10817</v>
      </c>
      <c r="R355" s="18" t="s">
        <v>78</v>
      </c>
      <c r="S355" s="18" t="s">
        <v>77</v>
      </c>
      <c r="T355" s="22">
        <v>44915</v>
      </c>
      <c r="U355" s="18"/>
      <c r="V355" s="18" t="s">
        <v>81</v>
      </c>
      <c r="W355" s="18" t="s">
        <v>79</v>
      </c>
      <c r="X355" s="18" t="s">
        <v>10803</v>
      </c>
      <c r="Y355" s="18" t="s">
        <v>665</v>
      </c>
      <c r="Z355" s="18" t="s">
        <v>666</v>
      </c>
      <c r="AA355" s="18" t="s">
        <v>7062</v>
      </c>
      <c r="AB355" s="18" t="s">
        <v>95</v>
      </c>
      <c r="AC355" s="18" t="s">
        <v>7984</v>
      </c>
      <c r="AD355" s="18" t="s">
        <v>10804</v>
      </c>
      <c r="AE355" s="18" t="s">
        <v>135</v>
      </c>
      <c r="AF355" s="18" t="s">
        <v>95</v>
      </c>
      <c r="AG355" s="18" t="s">
        <v>81</v>
      </c>
      <c r="AH355" s="18" t="s">
        <v>83</v>
      </c>
      <c r="AI355" s="18" t="s">
        <v>81</v>
      </c>
      <c r="AJ355" s="18" t="s">
        <v>118</v>
      </c>
      <c r="AK355" s="18" t="s">
        <v>95</v>
      </c>
      <c r="AL355" s="18" t="s">
        <v>10737</v>
      </c>
      <c r="AM355" s="18" t="s">
        <v>85</v>
      </c>
      <c r="AN355" s="18" t="s">
        <v>7031</v>
      </c>
      <c r="AO355" s="18" t="s">
        <v>86</v>
      </c>
      <c r="AP355" s="18" t="s">
        <v>90</v>
      </c>
      <c r="AQ355" s="18" t="s">
        <v>7987</v>
      </c>
      <c r="AR355" s="18" t="s">
        <v>138</v>
      </c>
      <c r="AS355" s="18" t="s">
        <v>139</v>
      </c>
      <c r="AT355" s="18" t="s">
        <v>95</v>
      </c>
      <c r="AU355" s="18" t="s">
        <v>95</v>
      </c>
      <c r="AV355" s="18" t="s">
        <v>7037</v>
      </c>
      <c r="AW355" s="18" t="s">
        <v>95</v>
      </c>
      <c r="AX355" s="18" t="s">
        <v>10806</v>
      </c>
      <c r="AY355" s="18" t="s">
        <v>693</v>
      </c>
      <c r="AZ355" s="18" t="s">
        <v>95</v>
      </c>
      <c r="BA355" s="18" t="s">
        <v>95</v>
      </c>
      <c r="BB355" s="18" t="s">
        <v>95</v>
      </c>
      <c r="BC355" s="18" t="s">
        <v>95</v>
      </c>
      <c r="BD355" s="18" t="s">
        <v>10829</v>
      </c>
      <c r="BE355" s="18" t="s">
        <v>13569</v>
      </c>
      <c r="BF355" s="18" t="s">
        <v>7122</v>
      </c>
      <c r="BG355" s="18" t="s">
        <v>7030</v>
      </c>
      <c r="BH355" s="18"/>
      <c r="BI355" s="18"/>
      <c r="BJ355" s="18" t="s">
        <v>665</v>
      </c>
      <c r="BK355" s="18" t="s">
        <v>13570</v>
      </c>
      <c r="BL355" s="18" t="s">
        <v>10811</v>
      </c>
      <c r="BM355" s="18" t="s">
        <v>139</v>
      </c>
      <c r="BN355" s="18" t="s">
        <v>85</v>
      </c>
      <c r="BO355" s="18">
        <v>0</v>
      </c>
      <c r="BP355" s="18" t="s">
        <v>10812</v>
      </c>
      <c r="BQ355" s="18" t="str">
        <f>VLOOKUP(Prepago[[#This Row],[NOM_PLAZA]],[1]!Locales[#Data],3,0)</f>
        <v>TIENDA AMERICA</v>
      </c>
      <c r="BR355" s="18" t="str">
        <f>VLOOKUP(Prepago[[#This Row],[CODIGO_USUARIO]],[1]!Personal[#Data],6,0)</f>
        <v>ROSERO CAICEDO JAIRO STEFANO</v>
      </c>
      <c r="BS355" s="18">
        <f>DAY(Prepago[[#This Row],[FECHA_ALTA]])</f>
        <v>19</v>
      </c>
    </row>
    <row r="356" spans="1:71" x14ac:dyDescent="0.25">
      <c r="A356" s="18" t="s">
        <v>96</v>
      </c>
      <c r="B356" s="18" t="s">
        <v>13571</v>
      </c>
      <c r="C356" s="18" t="s">
        <v>13572</v>
      </c>
      <c r="D356" s="18" t="s">
        <v>13573</v>
      </c>
      <c r="E356" s="22">
        <v>44896</v>
      </c>
      <c r="F356" s="18" t="s">
        <v>67</v>
      </c>
      <c r="G356" s="18" t="s">
        <v>13574</v>
      </c>
      <c r="H356" s="18" t="s">
        <v>13575</v>
      </c>
      <c r="I356" s="18" t="s">
        <v>70</v>
      </c>
      <c r="J356" s="18" t="s">
        <v>8102</v>
      </c>
      <c r="K356" s="18" t="s">
        <v>8103</v>
      </c>
      <c r="L356" s="18" t="s">
        <v>132</v>
      </c>
      <c r="M356" s="18" t="s">
        <v>7037</v>
      </c>
      <c r="N356" s="18" t="s">
        <v>13576</v>
      </c>
      <c r="O356" s="18" t="s">
        <v>75</v>
      </c>
      <c r="P356" s="18" t="s">
        <v>13577</v>
      </c>
      <c r="Q356" s="18" t="s">
        <v>1532</v>
      </c>
      <c r="R356" s="18" t="s">
        <v>78</v>
      </c>
      <c r="S356" s="18" t="s">
        <v>77</v>
      </c>
      <c r="T356" s="22">
        <v>44915</v>
      </c>
      <c r="U356" s="18"/>
      <c r="V356" s="18" t="s">
        <v>81</v>
      </c>
      <c r="W356" s="18" t="s">
        <v>79</v>
      </c>
      <c r="X356" s="18" t="s">
        <v>10803</v>
      </c>
      <c r="Y356" s="18" t="s">
        <v>1545</v>
      </c>
      <c r="Z356" s="18" t="s">
        <v>1546</v>
      </c>
      <c r="AA356" s="18" t="s">
        <v>7062</v>
      </c>
      <c r="AB356" s="18" t="s">
        <v>95</v>
      </c>
      <c r="AC356" s="18" t="s">
        <v>7984</v>
      </c>
      <c r="AD356" s="18" t="s">
        <v>10804</v>
      </c>
      <c r="AE356" s="18" t="s">
        <v>135</v>
      </c>
      <c r="AF356" s="18" t="s">
        <v>95</v>
      </c>
      <c r="AG356" s="18" t="s">
        <v>83</v>
      </c>
      <c r="AH356" s="18" t="s">
        <v>83</v>
      </c>
      <c r="AI356" s="18" t="s">
        <v>81</v>
      </c>
      <c r="AJ356" s="18" t="s">
        <v>118</v>
      </c>
      <c r="AK356" s="18" t="s">
        <v>95</v>
      </c>
      <c r="AL356" s="18" t="s">
        <v>13444</v>
      </c>
      <c r="AM356" s="18" t="s">
        <v>85</v>
      </c>
      <c r="AN356" s="18" t="s">
        <v>7031</v>
      </c>
      <c r="AO356" s="18" t="s">
        <v>86</v>
      </c>
      <c r="AP356" s="18" t="s">
        <v>90</v>
      </c>
      <c r="AQ356" s="18" t="s">
        <v>7987</v>
      </c>
      <c r="AR356" s="18" t="s">
        <v>138</v>
      </c>
      <c r="AS356" s="18" t="s">
        <v>139</v>
      </c>
      <c r="AT356" s="18" t="s">
        <v>95</v>
      </c>
      <c r="AU356" s="18" t="s">
        <v>95</v>
      </c>
      <c r="AV356" s="18" t="s">
        <v>7037</v>
      </c>
      <c r="AW356" s="18" t="s">
        <v>95</v>
      </c>
      <c r="AX356" s="18" t="s">
        <v>10806</v>
      </c>
      <c r="AY356" s="18" t="s">
        <v>95</v>
      </c>
      <c r="AZ356" s="18" t="s">
        <v>95</v>
      </c>
      <c r="BA356" s="18" t="s">
        <v>95</v>
      </c>
      <c r="BB356" s="18" t="s">
        <v>95</v>
      </c>
      <c r="BC356" s="18" t="s">
        <v>95</v>
      </c>
      <c r="BD356" s="18" t="s">
        <v>10807</v>
      </c>
      <c r="BE356" s="18" t="s">
        <v>13578</v>
      </c>
      <c r="BF356" s="18" t="s">
        <v>10809</v>
      </c>
      <c r="BG356" s="18" t="s">
        <v>7030</v>
      </c>
      <c r="BH356" s="18"/>
      <c r="BI356" s="18"/>
      <c r="BJ356" s="18" t="s">
        <v>1545</v>
      </c>
      <c r="BK356" s="18" t="s">
        <v>13579</v>
      </c>
      <c r="BL356" s="18" t="s">
        <v>10811</v>
      </c>
      <c r="BM356" s="18" t="s">
        <v>139</v>
      </c>
      <c r="BN356" s="18" t="s">
        <v>85</v>
      </c>
      <c r="BO356" s="18">
        <v>0</v>
      </c>
      <c r="BP356" s="18" t="s">
        <v>10812</v>
      </c>
      <c r="BQ356" s="18" t="str">
        <f>VLOOKUP(Prepago[[#This Row],[NOM_PLAZA]],[1]!Locales[#Data],3,0)</f>
        <v>TIENDA AMERICA</v>
      </c>
      <c r="BR356" s="18" t="str">
        <f>VLOOKUP(Prepago[[#This Row],[CODIGO_USUARIO]],[1]!Personal[#Data],6,0)</f>
        <v>GRANDA ESPINOZA ANDRES SEBASTIAN</v>
      </c>
      <c r="BS356" s="18">
        <f>DAY(Prepago[[#This Row],[FECHA_ALTA]])</f>
        <v>1</v>
      </c>
    </row>
    <row r="357" spans="1:71" x14ac:dyDescent="0.25">
      <c r="A357" s="18" t="s">
        <v>96</v>
      </c>
      <c r="B357" s="18" t="s">
        <v>13580</v>
      </c>
      <c r="C357" s="18" t="s">
        <v>13581</v>
      </c>
      <c r="D357" s="18" t="s">
        <v>13582</v>
      </c>
      <c r="E357" s="22">
        <v>44904</v>
      </c>
      <c r="F357" s="18" t="s">
        <v>67</v>
      </c>
      <c r="G357" s="18" t="s">
        <v>13583</v>
      </c>
      <c r="H357" s="18" t="s">
        <v>13584</v>
      </c>
      <c r="I357" s="18" t="s">
        <v>70</v>
      </c>
      <c r="J357" s="18" t="s">
        <v>8102</v>
      </c>
      <c r="K357" s="18" t="s">
        <v>8103</v>
      </c>
      <c r="L357" s="18" t="s">
        <v>132</v>
      </c>
      <c r="M357" s="18" t="s">
        <v>7037</v>
      </c>
      <c r="N357" s="18" t="s">
        <v>13585</v>
      </c>
      <c r="O357" s="18" t="s">
        <v>75</v>
      </c>
      <c r="P357" s="18" t="s">
        <v>13586</v>
      </c>
      <c r="Q357" s="18" t="s">
        <v>10817</v>
      </c>
      <c r="R357" s="18" t="s">
        <v>78</v>
      </c>
      <c r="S357" s="18" t="s">
        <v>77</v>
      </c>
      <c r="T357" s="22">
        <v>44915</v>
      </c>
      <c r="U357" s="18"/>
      <c r="V357" s="18" t="s">
        <v>81</v>
      </c>
      <c r="W357" s="18" t="s">
        <v>79</v>
      </c>
      <c r="X357" s="18" t="s">
        <v>10803</v>
      </c>
      <c r="Y357" s="18" t="s">
        <v>866</v>
      </c>
      <c r="Z357" s="18" t="s">
        <v>867</v>
      </c>
      <c r="AA357" s="18" t="s">
        <v>7062</v>
      </c>
      <c r="AB357" s="18" t="s">
        <v>95</v>
      </c>
      <c r="AC357" s="18" t="s">
        <v>7984</v>
      </c>
      <c r="AD357" s="18" t="s">
        <v>10804</v>
      </c>
      <c r="AE357" s="18" t="s">
        <v>135</v>
      </c>
      <c r="AF357" s="18" t="s">
        <v>95</v>
      </c>
      <c r="AG357" s="18" t="s">
        <v>83</v>
      </c>
      <c r="AH357" s="18" t="s">
        <v>83</v>
      </c>
      <c r="AI357" s="18" t="s">
        <v>81</v>
      </c>
      <c r="AJ357" s="18" t="s">
        <v>118</v>
      </c>
      <c r="AK357" s="18" t="s">
        <v>95</v>
      </c>
      <c r="AL357" s="18" t="s">
        <v>13433</v>
      </c>
      <c r="AM357" s="18" t="s">
        <v>85</v>
      </c>
      <c r="AN357" s="18" t="s">
        <v>7031</v>
      </c>
      <c r="AO357" s="18" t="s">
        <v>86</v>
      </c>
      <c r="AP357" s="18" t="s">
        <v>90</v>
      </c>
      <c r="AQ357" s="18" t="s">
        <v>7987</v>
      </c>
      <c r="AR357" s="18" t="s">
        <v>138</v>
      </c>
      <c r="AS357" s="18" t="s">
        <v>139</v>
      </c>
      <c r="AT357" s="18" t="s">
        <v>95</v>
      </c>
      <c r="AU357" s="18" t="s">
        <v>95</v>
      </c>
      <c r="AV357" s="18" t="s">
        <v>7037</v>
      </c>
      <c r="AW357" s="18" t="s">
        <v>95</v>
      </c>
      <c r="AX357" s="18" t="s">
        <v>10806</v>
      </c>
      <c r="AY357" s="18" t="s">
        <v>95</v>
      </c>
      <c r="AZ357" s="18" t="s">
        <v>95</v>
      </c>
      <c r="BA357" s="18" t="s">
        <v>95</v>
      </c>
      <c r="BB357" s="18" t="s">
        <v>95</v>
      </c>
      <c r="BC357" s="18" t="s">
        <v>95</v>
      </c>
      <c r="BD357" s="18" t="s">
        <v>10829</v>
      </c>
      <c r="BE357" s="18" t="s">
        <v>13587</v>
      </c>
      <c r="BF357" s="18" t="s">
        <v>10809</v>
      </c>
      <c r="BG357" s="18" t="s">
        <v>7030</v>
      </c>
      <c r="BH357" s="18"/>
      <c r="BI357" s="18"/>
      <c r="BJ357" s="18" t="s">
        <v>866</v>
      </c>
      <c r="BK357" s="18" t="s">
        <v>13588</v>
      </c>
      <c r="BL357" s="18" t="s">
        <v>10811</v>
      </c>
      <c r="BM357" s="18" t="s">
        <v>139</v>
      </c>
      <c r="BN357" s="18" t="s">
        <v>85</v>
      </c>
      <c r="BO357" s="18">
        <v>1</v>
      </c>
      <c r="BP357" s="18" t="s">
        <v>10812</v>
      </c>
      <c r="BQ357" s="18" t="str">
        <f>VLOOKUP(Prepago[[#This Row],[NOM_PLAZA]],[1]!Locales[#Data],3,0)</f>
        <v>TIENDA AMERICA</v>
      </c>
      <c r="BR357" s="18" t="str">
        <f>VLOOKUP(Prepago[[#This Row],[CODIGO_USUARIO]],[1]!Personal[#Data],6,0)</f>
        <v>ORTEGA RUIZ GABRIEL ANTONIO</v>
      </c>
      <c r="BS357" s="18">
        <f>DAY(Prepago[[#This Row],[FECHA_ALTA]])</f>
        <v>9</v>
      </c>
    </row>
    <row r="358" spans="1:71" x14ac:dyDescent="0.25">
      <c r="A358" s="18" t="s">
        <v>96</v>
      </c>
      <c r="B358" s="18" t="s">
        <v>13589</v>
      </c>
      <c r="C358" s="18" t="s">
        <v>13590</v>
      </c>
      <c r="D358" s="18" t="s">
        <v>13591</v>
      </c>
      <c r="E358" s="22">
        <v>44908</v>
      </c>
      <c r="F358" s="18" t="s">
        <v>67</v>
      </c>
      <c r="G358" s="18" t="s">
        <v>9648</v>
      </c>
      <c r="H358" s="18" t="s">
        <v>9649</v>
      </c>
      <c r="I358" s="18" t="s">
        <v>70</v>
      </c>
      <c r="J358" s="18" t="s">
        <v>8102</v>
      </c>
      <c r="K358" s="18" t="s">
        <v>8103</v>
      </c>
      <c r="L358" s="18" t="s">
        <v>13592</v>
      </c>
      <c r="M358" s="18" t="s">
        <v>13593</v>
      </c>
      <c r="N358" s="18" t="s">
        <v>13594</v>
      </c>
      <c r="O358" s="18" t="s">
        <v>75</v>
      </c>
      <c r="P358" s="18" t="s">
        <v>13595</v>
      </c>
      <c r="Q358" s="18" t="s">
        <v>4453</v>
      </c>
      <c r="R358" s="18" t="s">
        <v>78</v>
      </c>
      <c r="S358" s="18" t="s">
        <v>77</v>
      </c>
      <c r="T358" s="22">
        <v>44915</v>
      </c>
      <c r="U358" s="18"/>
      <c r="V358" s="18" t="s">
        <v>81</v>
      </c>
      <c r="W358" s="18" t="s">
        <v>79</v>
      </c>
      <c r="X358" s="18" t="s">
        <v>10803</v>
      </c>
      <c r="Y358" s="18" t="s">
        <v>136</v>
      </c>
      <c r="Z358" s="18" t="s">
        <v>137</v>
      </c>
      <c r="AA358" s="18" t="s">
        <v>7062</v>
      </c>
      <c r="AB358" s="18" t="s">
        <v>95</v>
      </c>
      <c r="AC358" s="18" t="s">
        <v>7984</v>
      </c>
      <c r="AD358" s="18" t="s">
        <v>10804</v>
      </c>
      <c r="AE358" s="18" t="s">
        <v>135</v>
      </c>
      <c r="AF358" s="18" t="s">
        <v>95</v>
      </c>
      <c r="AG358" s="18" t="s">
        <v>83</v>
      </c>
      <c r="AH358" s="18" t="s">
        <v>83</v>
      </c>
      <c r="AI358" s="18" t="s">
        <v>81</v>
      </c>
      <c r="AJ358" s="18" t="s">
        <v>118</v>
      </c>
      <c r="AK358" s="18" t="s">
        <v>95</v>
      </c>
      <c r="AL358" s="18" t="s">
        <v>10740</v>
      </c>
      <c r="AM358" s="18" t="s">
        <v>85</v>
      </c>
      <c r="AN358" s="18" t="s">
        <v>7031</v>
      </c>
      <c r="AO358" s="18" t="s">
        <v>86</v>
      </c>
      <c r="AP358" s="18" t="s">
        <v>90</v>
      </c>
      <c r="AQ358" s="18" t="s">
        <v>7987</v>
      </c>
      <c r="AR358" s="18" t="s">
        <v>138</v>
      </c>
      <c r="AS358" s="18" t="s">
        <v>139</v>
      </c>
      <c r="AT358" s="18" t="s">
        <v>95</v>
      </c>
      <c r="AU358" s="18" t="s">
        <v>95</v>
      </c>
      <c r="AV358" s="18" t="s">
        <v>13593</v>
      </c>
      <c r="AW358" s="18" t="s">
        <v>95</v>
      </c>
      <c r="AX358" s="18" t="s">
        <v>10806</v>
      </c>
      <c r="AY358" s="18" t="s">
        <v>95</v>
      </c>
      <c r="AZ358" s="18" t="s">
        <v>95</v>
      </c>
      <c r="BA358" s="18" t="s">
        <v>95</v>
      </c>
      <c r="BB358" s="18" t="s">
        <v>95</v>
      </c>
      <c r="BC358" s="18" t="s">
        <v>95</v>
      </c>
      <c r="BD358" s="18" t="s">
        <v>10807</v>
      </c>
      <c r="BE358" s="18" t="s">
        <v>13596</v>
      </c>
      <c r="BF358" s="18" t="s">
        <v>10809</v>
      </c>
      <c r="BG358" s="18" t="s">
        <v>7030</v>
      </c>
      <c r="BH358" s="18"/>
      <c r="BI358" s="18"/>
      <c r="BJ358" s="18" t="s">
        <v>136</v>
      </c>
      <c r="BK358" s="18" t="s">
        <v>13597</v>
      </c>
      <c r="BL358" s="18" t="s">
        <v>10811</v>
      </c>
      <c r="BM358" s="18" t="s">
        <v>13598</v>
      </c>
      <c r="BN358" s="18" t="s">
        <v>85</v>
      </c>
      <c r="BO358" s="18">
        <v>0</v>
      </c>
      <c r="BP358" s="18" t="s">
        <v>10812</v>
      </c>
      <c r="BQ358" s="18" t="str">
        <f>VLOOKUP(Prepago[[#This Row],[NOM_PLAZA]],[1]!Locales[#Data],3,0)</f>
        <v>TIENDA AMERICA</v>
      </c>
      <c r="BR358" s="18" t="str">
        <f>VLOOKUP(Prepago[[#This Row],[CODIGO_USUARIO]],[1]!Personal[#Data],6,0)</f>
        <v>SALVATIERRA GUERRA JULIAN ENRIQUE</v>
      </c>
      <c r="BS358" s="18">
        <f>DAY(Prepago[[#This Row],[FECHA_ALTA]])</f>
        <v>13</v>
      </c>
    </row>
    <row r="359" spans="1:71" x14ac:dyDescent="0.25">
      <c r="A359" s="18" t="s">
        <v>96</v>
      </c>
      <c r="B359" s="18" t="s">
        <v>13599</v>
      </c>
      <c r="C359" s="18" t="s">
        <v>13600</v>
      </c>
      <c r="D359" s="18" t="s">
        <v>13601</v>
      </c>
      <c r="E359" s="22">
        <v>44911</v>
      </c>
      <c r="F359" s="18" t="s">
        <v>67</v>
      </c>
      <c r="G359" s="18" t="s">
        <v>13602</v>
      </c>
      <c r="H359" s="18" t="s">
        <v>13603</v>
      </c>
      <c r="I359" s="18" t="s">
        <v>70</v>
      </c>
      <c r="J359" s="18" t="s">
        <v>8102</v>
      </c>
      <c r="K359" s="18" t="s">
        <v>8103</v>
      </c>
      <c r="L359" s="18" t="s">
        <v>132</v>
      </c>
      <c r="M359" s="18" t="s">
        <v>7037</v>
      </c>
      <c r="N359" s="18" t="s">
        <v>13604</v>
      </c>
      <c r="O359" s="18" t="s">
        <v>75</v>
      </c>
      <c r="P359" s="18" t="s">
        <v>13605</v>
      </c>
      <c r="Q359" s="18" t="s">
        <v>4453</v>
      </c>
      <c r="R359" s="18" t="s">
        <v>78</v>
      </c>
      <c r="S359" s="18" t="s">
        <v>77</v>
      </c>
      <c r="T359" s="22">
        <v>44915</v>
      </c>
      <c r="U359" s="18"/>
      <c r="V359" s="18" t="s">
        <v>81</v>
      </c>
      <c r="W359" s="18" t="s">
        <v>79</v>
      </c>
      <c r="X359" s="18" t="s">
        <v>10803</v>
      </c>
      <c r="Y359" s="18" t="s">
        <v>665</v>
      </c>
      <c r="Z359" s="18" t="s">
        <v>666</v>
      </c>
      <c r="AA359" s="18" t="s">
        <v>7062</v>
      </c>
      <c r="AB359" s="18" t="s">
        <v>95</v>
      </c>
      <c r="AC359" s="18" t="s">
        <v>7984</v>
      </c>
      <c r="AD359" s="18" t="s">
        <v>10804</v>
      </c>
      <c r="AE359" s="18" t="s">
        <v>135</v>
      </c>
      <c r="AF359" s="18" t="s">
        <v>95</v>
      </c>
      <c r="AG359" s="18" t="s">
        <v>83</v>
      </c>
      <c r="AH359" s="18" t="s">
        <v>83</v>
      </c>
      <c r="AI359" s="18" t="s">
        <v>81</v>
      </c>
      <c r="AJ359" s="18" t="s">
        <v>118</v>
      </c>
      <c r="AK359" s="18" t="s">
        <v>95</v>
      </c>
      <c r="AL359" s="18" t="s">
        <v>10737</v>
      </c>
      <c r="AM359" s="18" t="s">
        <v>85</v>
      </c>
      <c r="AN359" s="18" t="s">
        <v>7031</v>
      </c>
      <c r="AO359" s="18" t="s">
        <v>86</v>
      </c>
      <c r="AP359" s="18" t="s">
        <v>90</v>
      </c>
      <c r="AQ359" s="18" t="s">
        <v>7987</v>
      </c>
      <c r="AR359" s="18" t="s">
        <v>138</v>
      </c>
      <c r="AS359" s="18" t="s">
        <v>139</v>
      </c>
      <c r="AT359" s="18" t="s">
        <v>95</v>
      </c>
      <c r="AU359" s="18" t="s">
        <v>95</v>
      </c>
      <c r="AV359" s="18" t="s">
        <v>7037</v>
      </c>
      <c r="AW359" s="18" t="s">
        <v>95</v>
      </c>
      <c r="AX359" s="18" t="s">
        <v>10806</v>
      </c>
      <c r="AY359" s="18" t="s">
        <v>95</v>
      </c>
      <c r="AZ359" s="18" t="s">
        <v>95</v>
      </c>
      <c r="BA359" s="18" t="s">
        <v>95</v>
      </c>
      <c r="BB359" s="18" t="s">
        <v>95</v>
      </c>
      <c r="BC359" s="18" t="s">
        <v>95</v>
      </c>
      <c r="BD359" s="18" t="s">
        <v>10829</v>
      </c>
      <c r="BE359" s="18" t="s">
        <v>13606</v>
      </c>
      <c r="BF359" s="18" t="s">
        <v>7066</v>
      </c>
      <c r="BG359" s="18" t="s">
        <v>7030</v>
      </c>
      <c r="BH359" s="18"/>
      <c r="BI359" s="18"/>
      <c r="BJ359" s="18" t="s">
        <v>665</v>
      </c>
      <c r="BK359" s="18" t="s">
        <v>13607</v>
      </c>
      <c r="BL359" s="18" t="s">
        <v>10811</v>
      </c>
      <c r="BM359" s="18" t="s">
        <v>139</v>
      </c>
      <c r="BN359" s="18" t="s">
        <v>85</v>
      </c>
      <c r="BO359" s="18">
        <v>0</v>
      </c>
      <c r="BP359" s="18" t="s">
        <v>10812</v>
      </c>
      <c r="BQ359" s="18" t="str">
        <f>VLOOKUP(Prepago[[#This Row],[NOM_PLAZA]],[1]!Locales[#Data],3,0)</f>
        <v>TIENDA AMERICA</v>
      </c>
      <c r="BR359" s="18" t="str">
        <f>VLOOKUP(Prepago[[#This Row],[CODIGO_USUARIO]],[1]!Personal[#Data],6,0)</f>
        <v>ROSERO CAICEDO JAIRO STEFANO</v>
      </c>
      <c r="BS359" s="18">
        <f>DAY(Prepago[[#This Row],[FECHA_ALTA]])</f>
        <v>16</v>
      </c>
    </row>
    <row r="360" spans="1:71" x14ac:dyDescent="0.25">
      <c r="A360" s="18" t="s">
        <v>96</v>
      </c>
      <c r="B360" s="18" t="s">
        <v>13608</v>
      </c>
      <c r="C360" s="18" t="s">
        <v>13609</v>
      </c>
      <c r="D360" s="18" t="s">
        <v>13610</v>
      </c>
      <c r="E360" s="22">
        <v>44907</v>
      </c>
      <c r="F360" s="18" t="s">
        <v>67</v>
      </c>
      <c r="G360" s="18" t="s">
        <v>13611</v>
      </c>
      <c r="H360" s="18" t="s">
        <v>13612</v>
      </c>
      <c r="I360" s="18" t="s">
        <v>70</v>
      </c>
      <c r="J360" s="18" t="s">
        <v>8102</v>
      </c>
      <c r="K360" s="18" t="s">
        <v>8103</v>
      </c>
      <c r="L360" s="18" t="s">
        <v>132</v>
      </c>
      <c r="M360" s="18" t="s">
        <v>7037</v>
      </c>
      <c r="N360" s="18" t="s">
        <v>13613</v>
      </c>
      <c r="O360" s="18" t="s">
        <v>75</v>
      </c>
      <c r="P360" s="18" t="s">
        <v>13614</v>
      </c>
      <c r="Q360" s="18" t="s">
        <v>13615</v>
      </c>
      <c r="R360" s="18" t="s">
        <v>78</v>
      </c>
      <c r="S360" s="18" t="s">
        <v>77</v>
      </c>
      <c r="T360" s="22">
        <v>44915</v>
      </c>
      <c r="U360" s="18"/>
      <c r="V360" s="18" t="s">
        <v>81</v>
      </c>
      <c r="W360" s="18" t="s">
        <v>79</v>
      </c>
      <c r="X360" s="18" t="s">
        <v>10803</v>
      </c>
      <c r="Y360" s="18" t="s">
        <v>866</v>
      </c>
      <c r="Z360" s="18" t="s">
        <v>867</v>
      </c>
      <c r="AA360" s="18" t="s">
        <v>7062</v>
      </c>
      <c r="AB360" s="18" t="s">
        <v>95</v>
      </c>
      <c r="AC360" s="18" t="s">
        <v>7984</v>
      </c>
      <c r="AD360" s="18" t="s">
        <v>10804</v>
      </c>
      <c r="AE360" s="18" t="s">
        <v>135</v>
      </c>
      <c r="AF360" s="18" t="s">
        <v>95</v>
      </c>
      <c r="AG360" s="18" t="s">
        <v>83</v>
      </c>
      <c r="AH360" s="18" t="s">
        <v>83</v>
      </c>
      <c r="AI360" s="18" t="s">
        <v>81</v>
      </c>
      <c r="AJ360" s="18" t="s">
        <v>118</v>
      </c>
      <c r="AK360" s="18" t="s">
        <v>95</v>
      </c>
      <c r="AL360" s="18" t="s">
        <v>13433</v>
      </c>
      <c r="AM360" s="18" t="s">
        <v>85</v>
      </c>
      <c r="AN360" s="18" t="s">
        <v>7031</v>
      </c>
      <c r="AO360" s="18" t="s">
        <v>86</v>
      </c>
      <c r="AP360" s="18" t="s">
        <v>90</v>
      </c>
      <c r="AQ360" s="18" t="s">
        <v>7987</v>
      </c>
      <c r="AR360" s="18" t="s">
        <v>138</v>
      </c>
      <c r="AS360" s="18" t="s">
        <v>139</v>
      </c>
      <c r="AT360" s="18" t="s">
        <v>95</v>
      </c>
      <c r="AU360" s="18" t="s">
        <v>95</v>
      </c>
      <c r="AV360" s="18" t="s">
        <v>7037</v>
      </c>
      <c r="AW360" s="18" t="s">
        <v>95</v>
      </c>
      <c r="AX360" s="18" t="s">
        <v>10806</v>
      </c>
      <c r="AY360" s="18" t="s">
        <v>95</v>
      </c>
      <c r="AZ360" s="18" t="s">
        <v>95</v>
      </c>
      <c r="BA360" s="18" t="s">
        <v>95</v>
      </c>
      <c r="BB360" s="18" t="s">
        <v>95</v>
      </c>
      <c r="BC360" s="18" t="s">
        <v>95</v>
      </c>
      <c r="BD360" s="18" t="s">
        <v>10829</v>
      </c>
      <c r="BE360" s="18" t="s">
        <v>13616</v>
      </c>
      <c r="BF360" s="18" t="s">
        <v>10809</v>
      </c>
      <c r="BG360" s="18" t="s">
        <v>7030</v>
      </c>
      <c r="BH360" s="18"/>
      <c r="BI360" s="18"/>
      <c r="BJ360" s="18" t="s">
        <v>866</v>
      </c>
      <c r="BK360" s="18" t="s">
        <v>13617</v>
      </c>
      <c r="BL360" s="18" t="s">
        <v>10811</v>
      </c>
      <c r="BM360" s="18" t="s">
        <v>139</v>
      </c>
      <c r="BN360" s="18" t="s">
        <v>85</v>
      </c>
      <c r="BO360" s="18">
        <v>0</v>
      </c>
      <c r="BP360" s="18" t="s">
        <v>10812</v>
      </c>
      <c r="BQ360" s="18" t="str">
        <f>VLOOKUP(Prepago[[#This Row],[NOM_PLAZA]],[1]!Locales[#Data],3,0)</f>
        <v>TIENDA AMERICA</v>
      </c>
      <c r="BR360" s="18" t="str">
        <f>VLOOKUP(Prepago[[#This Row],[CODIGO_USUARIO]],[1]!Personal[#Data],6,0)</f>
        <v>ORTEGA RUIZ GABRIEL ANTONIO</v>
      </c>
      <c r="BS360" s="18">
        <f>DAY(Prepago[[#This Row],[FECHA_ALTA]])</f>
        <v>12</v>
      </c>
    </row>
    <row r="361" spans="1:71" x14ac:dyDescent="0.25">
      <c r="A361" s="18" t="s">
        <v>96</v>
      </c>
      <c r="B361" s="18" t="s">
        <v>13618</v>
      </c>
      <c r="C361" s="18" t="s">
        <v>13619</v>
      </c>
      <c r="D361" s="18" t="s">
        <v>13620</v>
      </c>
      <c r="E361" s="22">
        <v>44910</v>
      </c>
      <c r="F361" s="18" t="s">
        <v>67</v>
      </c>
      <c r="G361" s="18" t="s">
        <v>13621</v>
      </c>
      <c r="H361" s="18" t="s">
        <v>13622</v>
      </c>
      <c r="I361" s="18" t="s">
        <v>70</v>
      </c>
      <c r="J361" s="18" t="s">
        <v>8102</v>
      </c>
      <c r="K361" s="18" t="s">
        <v>8103</v>
      </c>
      <c r="L361" s="18" t="s">
        <v>132</v>
      </c>
      <c r="M361" s="18" t="s">
        <v>7037</v>
      </c>
      <c r="N361" s="18" t="s">
        <v>13623</v>
      </c>
      <c r="O361" s="18" t="s">
        <v>75</v>
      </c>
      <c r="P361" s="18" t="s">
        <v>13624</v>
      </c>
      <c r="Q361" s="18" t="s">
        <v>1532</v>
      </c>
      <c r="R361" s="18" t="s">
        <v>78</v>
      </c>
      <c r="S361" s="18" t="s">
        <v>77</v>
      </c>
      <c r="T361" s="22">
        <v>44915</v>
      </c>
      <c r="U361" s="18"/>
      <c r="V361" s="18" t="s">
        <v>81</v>
      </c>
      <c r="W361" s="18" t="s">
        <v>79</v>
      </c>
      <c r="X361" s="18" t="s">
        <v>10803</v>
      </c>
      <c r="Y361" s="18" t="s">
        <v>1545</v>
      </c>
      <c r="Z361" s="18" t="s">
        <v>1546</v>
      </c>
      <c r="AA361" s="18" t="s">
        <v>1545</v>
      </c>
      <c r="AB361" s="18" t="s">
        <v>1546</v>
      </c>
      <c r="AC361" s="18" t="s">
        <v>7984</v>
      </c>
      <c r="AD361" s="18" t="s">
        <v>10804</v>
      </c>
      <c r="AE361" s="18" t="s">
        <v>135</v>
      </c>
      <c r="AF361" s="18" t="s">
        <v>95</v>
      </c>
      <c r="AG361" s="18" t="s">
        <v>83</v>
      </c>
      <c r="AH361" s="18" t="s">
        <v>83</v>
      </c>
      <c r="AI361" s="18" t="s">
        <v>81</v>
      </c>
      <c r="AJ361" s="18" t="s">
        <v>118</v>
      </c>
      <c r="AK361" s="18" t="s">
        <v>95</v>
      </c>
      <c r="AL361" s="18" t="s">
        <v>13444</v>
      </c>
      <c r="AM361" s="18" t="s">
        <v>85</v>
      </c>
      <c r="AN361" s="18" t="s">
        <v>7031</v>
      </c>
      <c r="AO361" s="18" t="s">
        <v>86</v>
      </c>
      <c r="AP361" s="18" t="s">
        <v>90</v>
      </c>
      <c r="AQ361" s="18" t="s">
        <v>7987</v>
      </c>
      <c r="AR361" s="18" t="s">
        <v>138</v>
      </c>
      <c r="AS361" s="18" t="s">
        <v>139</v>
      </c>
      <c r="AT361" s="18" t="s">
        <v>95</v>
      </c>
      <c r="AU361" s="18" t="s">
        <v>95</v>
      </c>
      <c r="AV361" s="18" t="s">
        <v>7037</v>
      </c>
      <c r="AW361" s="18" t="s">
        <v>95</v>
      </c>
      <c r="AX361" s="18" t="s">
        <v>10806</v>
      </c>
      <c r="AY361" s="18" t="s">
        <v>95</v>
      </c>
      <c r="AZ361" s="18" t="s">
        <v>95</v>
      </c>
      <c r="BA361" s="18" t="s">
        <v>95</v>
      </c>
      <c r="BB361" s="18" t="s">
        <v>95</v>
      </c>
      <c r="BC361" s="18" t="s">
        <v>95</v>
      </c>
      <c r="BD361" s="18" t="s">
        <v>10829</v>
      </c>
      <c r="BE361" s="18" t="s">
        <v>13625</v>
      </c>
      <c r="BF361" s="18" t="s">
        <v>10809</v>
      </c>
      <c r="BG361" s="18" t="s">
        <v>7030</v>
      </c>
      <c r="BH361" s="18"/>
      <c r="BI361" s="18"/>
      <c r="BJ361" s="18" t="s">
        <v>1545</v>
      </c>
      <c r="BK361" s="18" t="s">
        <v>13626</v>
      </c>
      <c r="BL361" s="18" t="s">
        <v>10811</v>
      </c>
      <c r="BM361" s="18" t="s">
        <v>139</v>
      </c>
      <c r="BN361" s="18" t="s">
        <v>85</v>
      </c>
      <c r="BO361" s="18">
        <v>0</v>
      </c>
      <c r="BP361" s="18" t="s">
        <v>10812</v>
      </c>
      <c r="BQ361" s="18" t="str">
        <f>VLOOKUP(Prepago[[#This Row],[NOM_PLAZA]],[1]!Locales[#Data],3,0)</f>
        <v>TIENDA AMERICA</v>
      </c>
      <c r="BR361" s="18" t="str">
        <f>VLOOKUP(Prepago[[#This Row],[CODIGO_USUARIO]],[1]!Personal[#Data],6,0)</f>
        <v>GRANDA ESPINOZA ANDRES SEBASTIAN</v>
      </c>
      <c r="BS361" s="18">
        <f>DAY(Prepago[[#This Row],[FECHA_ALTA]])</f>
        <v>15</v>
      </c>
    </row>
    <row r="362" spans="1:71" x14ac:dyDescent="0.25">
      <c r="A362" s="18" t="s">
        <v>96</v>
      </c>
      <c r="B362" s="18" t="s">
        <v>13627</v>
      </c>
      <c r="C362" s="18" t="s">
        <v>13628</v>
      </c>
      <c r="D362" s="18" t="s">
        <v>13629</v>
      </c>
      <c r="E362" s="22">
        <v>44902</v>
      </c>
      <c r="F362" s="18" t="s">
        <v>67</v>
      </c>
      <c r="G362" s="18" t="s">
        <v>13630</v>
      </c>
      <c r="H362" s="18" t="s">
        <v>13631</v>
      </c>
      <c r="I362" s="18" t="s">
        <v>70</v>
      </c>
      <c r="J362" s="18" t="s">
        <v>8102</v>
      </c>
      <c r="K362" s="18" t="s">
        <v>8103</v>
      </c>
      <c r="L362" s="18" t="s">
        <v>132</v>
      </c>
      <c r="M362" s="18" t="s">
        <v>7037</v>
      </c>
      <c r="N362" s="18" t="s">
        <v>13632</v>
      </c>
      <c r="O362" s="18" t="s">
        <v>75</v>
      </c>
      <c r="P362" s="18" t="s">
        <v>13633</v>
      </c>
      <c r="Q362" s="18" t="s">
        <v>10817</v>
      </c>
      <c r="R362" s="18" t="s">
        <v>78</v>
      </c>
      <c r="S362" s="18" t="s">
        <v>77</v>
      </c>
      <c r="T362" s="22">
        <v>44915</v>
      </c>
      <c r="U362" s="18"/>
      <c r="V362" s="18" t="s">
        <v>81</v>
      </c>
      <c r="W362" s="18" t="s">
        <v>79</v>
      </c>
      <c r="X362" s="18" t="s">
        <v>10803</v>
      </c>
      <c r="Y362" s="18" t="s">
        <v>866</v>
      </c>
      <c r="Z362" s="18" t="s">
        <v>867</v>
      </c>
      <c r="AA362" s="18" t="s">
        <v>7062</v>
      </c>
      <c r="AB362" s="18" t="s">
        <v>95</v>
      </c>
      <c r="AC362" s="18" t="s">
        <v>7984</v>
      </c>
      <c r="AD362" s="18" t="s">
        <v>10804</v>
      </c>
      <c r="AE362" s="18" t="s">
        <v>135</v>
      </c>
      <c r="AF362" s="18" t="s">
        <v>95</v>
      </c>
      <c r="AG362" s="18" t="s">
        <v>83</v>
      </c>
      <c r="AH362" s="18" t="s">
        <v>83</v>
      </c>
      <c r="AI362" s="18" t="s">
        <v>81</v>
      </c>
      <c r="AJ362" s="18" t="s">
        <v>118</v>
      </c>
      <c r="AK362" s="18" t="s">
        <v>95</v>
      </c>
      <c r="AL362" s="18" t="s">
        <v>13433</v>
      </c>
      <c r="AM362" s="18" t="s">
        <v>85</v>
      </c>
      <c r="AN362" s="18" t="s">
        <v>7031</v>
      </c>
      <c r="AO362" s="18" t="s">
        <v>86</v>
      </c>
      <c r="AP362" s="18" t="s">
        <v>90</v>
      </c>
      <c r="AQ362" s="18" t="s">
        <v>7987</v>
      </c>
      <c r="AR362" s="18" t="s">
        <v>138</v>
      </c>
      <c r="AS362" s="18" t="s">
        <v>139</v>
      </c>
      <c r="AT362" s="18" t="s">
        <v>95</v>
      </c>
      <c r="AU362" s="18" t="s">
        <v>95</v>
      </c>
      <c r="AV362" s="18" t="s">
        <v>7037</v>
      </c>
      <c r="AW362" s="18" t="s">
        <v>95</v>
      </c>
      <c r="AX362" s="18" t="s">
        <v>10806</v>
      </c>
      <c r="AY362" s="18" t="s">
        <v>95</v>
      </c>
      <c r="AZ362" s="18" t="s">
        <v>95</v>
      </c>
      <c r="BA362" s="18" t="s">
        <v>95</v>
      </c>
      <c r="BB362" s="18" t="s">
        <v>95</v>
      </c>
      <c r="BC362" s="18" t="s">
        <v>95</v>
      </c>
      <c r="BD362" s="18" t="s">
        <v>10829</v>
      </c>
      <c r="BE362" s="18" t="s">
        <v>13634</v>
      </c>
      <c r="BF362" s="18" t="s">
        <v>10809</v>
      </c>
      <c r="BG362" s="18" t="s">
        <v>7030</v>
      </c>
      <c r="BH362" s="18"/>
      <c r="BI362" s="18"/>
      <c r="BJ362" s="18" t="s">
        <v>866</v>
      </c>
      <c r="BK362" s="18" t="s">
        <v>13635</v>
      </c>
      <c r="BL362" s="18" t="s">
        <v>10811</v>
      </c>
      <c r="BM362" s="18" t="s">
        <v>139</v>
      </c>
      <c r="BN362" s="18" t="s">
        <v>85</v>
      </c>
      <c r="BO362" s="18">
        <v>0</v>
      </c>
      <c r="BP362" s="18" t="s">
        <v>10812</v>
      </c>
      <c r="BQ362" s="18" t="str">
        <f>VLOOKUP(Prepago[[#This Row],[NOM_PLAZA]],[1]!Locales[#Data],3,0)</f>
        <v>TIENDA AMERICA</v>
      </c>
      <c r="BR362" s="18" t="str">
        <f>VLOOKUP(Prepago[[#This Row],[CODIGO_USUARIO]],[1]!Personal[#Data],6,0)</f>
        <v>ORTEGA RUIZ GABRIEL ANTONIO</v>
      </c>
      <c r="BS362" s="18">
        <f>DAY(Prepago[[#This Row],[FECHA_ALTA]])</f>
        <v>7</v>
      </c>
    </row>
    <row r="363" spans="1:71" x14ac:dyDescent="0.25">
      <c r="A363" s="18" t="s">
        <v>96</v>
      </c>
      <c r="B363" s="18" t="s">
        <v>8698</v>
      </c>
      <c r="C363" s="18" t="s">
        <v>8700</v>
      </c>
      <c r="D363" s="18" t="s">
        <v>8686</v>
      </c>
      <c r="E363" s="22">
        <v>44901</v>
      </c>
      <c r="F363" s="18" t="s">
        <v>67</v>
      </c>
      <c r="G363" s="18" t="s">
        <v>13454</v>
      </c>
      <c r="H363" s="18" t="s">
        <v>13455</v>
      </c>
      <c r="I363" s="18" t="s">
        <v>70</v>
      </c>
      <c r="J363" s="18" t="s">
        <v>8102</v>
      </c>
      <c r="K363" s="18" t="s">
        <v>8103</v>
      </c>
      <c r="L363" s="18" t="s">
        <v>132</v>
      </c>
      <c r="M363" s="18" t="s">
        <v>7037</v>
      </c>
      <c r="N363" s="18" t="s">
        <v>8699</v>
      </c>
      <c r="O363" s="18" t="s">
        <v>287</v>
      </c>
      <c r="P363" s="18" t="s">
        <v>13636</v>
      </c>
      <c r="Q363" s="18" t="s">
        <v>10817</v>
      </c>
      <c r="R363" s="18" t="s">
        <v>78</v>
      </c>
      <c r="S363" s="18" t="s">
        <v>77</v>
      </c>
      <c r="T363" s="22">
        <v>44915</v>
      </c>
      <c r="U363" s="18"/>
      <c r="V363" s="18" t="s">
        <v>81</v>
      </c>
      <c r="W363" s="18" t="s">
        <v>79</v>
      </c>
      <c r="X363" s="18" t="s">
        <v>10803</v>
      </c>
      <c r="Y363" s="18" t="s">
        <v>866</v>
      </c>
      <c r="Z363" s="18" t="s">
        <v>867</v>
      </c>
      <c r="AA363" s="18" t="s">
        <v>7062</v>
      </c>
      <c r="AB363" s="18" t="s">
        <v>95</v>
      </c>
      <c r="AC363" s="18" t="s">
        <v>7984</v>
      </c>
      <c r="AD363" s="18" t="s">
        <v>10804</v>
      </c>
      <c r="AE363" s="18" t="s">
        <v>135</v>
      </c>
      <c r="AF363" s="18" t="s">
        <v>95</v>
      </c>
      <c r="AG363" s="18" t="s">
        <v>83</v>
      </c>
      <c r="AH363" s="18" t="s">
        <v>83</v>
      </c>
      <c r="AI363" s="18" t="s">
        <v>81</v>
      </c>
      <c r="AJ363" s="18" t="s">
        <v>118</v>
      </c>
      <c r="AK363" s="18" t="s">
        <v>95</v>
      </c>
      <c r="AL363" s="18" t="s">
        <v>13433</v>
      </c>
      <c r="AM363" s="18" t="s">
        <v>85</v>
      </c>
      <c r="AN363" s="18" t="s">
        <v>7031</v>
      </c>
      <c r="AO363" s="18" t="s">
        <v>86</v>
      </c>
      <c r="AP363" s="18" t="s">
        <v>90</v>
      </c>
      <c r="AQ363" s="18" t="s">
        <v>7987</v>
      </c>
      <c r="AR363" s="18" t="s">
        <v>138</v>
      </c>
      <c r="AS363" s="18" t="s">
        <v>139</v>
      </c>
      <c r="AT363" s="18" t="s">
        <v>95</v>
      </c>
      <c r="AU363" s="18" t="s">
        <v>95</v>
      </c>
      <c r="AV363" s="18" t="s">
        <v>7037</v>
      </c>
      <c r="AW363" s="18" t="s">
        <v>95</v>
      </c>
      <c r="AX363" s="18" t="s">
        <v>10806</v>
      </c>
      <c r="AY363" s="18" t="s">
        <v>95</v>
      </c>
      <c r="AZ363" s="18" t="s">
        <v>95</v>
      </c>
      <c r="BA363" s="18" t="s">
        <v>95</v>
      </c>
      <c r="BB363" s="18" t="s">
        <v>95</v>
      </c>
      <c r="BC363" s="18" t="s">
        <v>95</v>
      </c>
      <c r="BD363" s="18" t="s">
        <v>10829</v>
      </c>
      <c r="BE363" s="18" t="s">
        <v>13457</v>
      </c>
      <c r="BF363" s="18" t="s">
        <v>10809</v>
      </c>
      <c r="BG363" s="18" t="s">
        <v>7030</v>
      </c>
      <c r="BH363" s="18"/>
      <c r="BI363" s="18"/>
      <c r="BJ363" s="18" t="s">
        <v>866</v>
      </c>
      <c r="BK363" s="18" t="s">
        <v>13458</v>
      </c>
      <c r="BL363" s="18" t="s">
        <v>10811</v>
      </c>
      <c r="BM363" s="18" t="s">
        <v>139</v>
      </c>
      <c r="BN363" s="18" t="s">
        <v>85</v>
      </c>
      <c r="BO363" s="18">
        <v>0</v>
      </c>
      <c r="BP363" s="18" t="s">
        <v>10812</v>
      </c>
      <c r="BQ363" s="18" t="str">
        <f>VLOOKUP(Prepago[[#This Row],[NOM_PLAZA]],[1]!Locales[#Data],3,0)</f>
        <v>TIENDA AMERICA</v>
      </c>
      <c r="BR363" s="18" t="str">
        <f>VLOOKUP(Prepago[[#This Row],[CODIGO_USUARIO]],[1]!Personal[#Data],6,0)</f>
        <v>ORTEGA RUIZ GABRIEL ANTONIO</v>
      </c>
      <c r="BS363" s="18">
        <f>DAY(Prepago[[#This Row],[FECHA_ALTA]])</f>
        <v>6</v>
      </c>
    </row>
    <row r="364" spans="1:71" x14ac:dyDescent="0.25">
      <c r="A364" s="18" t="s">
        <v>96</v>
      </c>
      <c r="B364" s="18" t="s">
        <v>13637</v>
      </c>
      <c r="C364" s="18" t="s">
        <v>13638</v>
      </c>
      <c r="D364" s="18" t="s">
        <v>9686</v>
      </c>
      <c r="E364" s="22">
        <v>44908</v>
      </c>
      <c r="F364" s="18" t="s">
        <v>67</v>
      </c>
      <c r="G364" s="18" t="s">
        <v>9687</v>
      </c>
      <c r="H364" s="18" t="s">
        <v>9688</v>
      </c>
      <c r="I364" s="18" t="s">
        <v>70</v>
      </c>
      <c r="J364" s="18" t="s">
        <v>8102</v>
      </c>
      <c r="K364" s="18" t="s">
        <v>8103</v>
      </c>
      <c r="L364" s="18" t="s">
        <v>132</v>
      </c>
      <c r="M364" s="18" t="s">
        <v>7037</v>
      </c>
      <c r="N364" s="18" t="s">
        <v>13639</v>
      </c>
      <c r="O364" s="18" t="s">
        <v>75</v>
      </c>
      <c r="P364" s="18" t="s">
        <v>13640</v>
      </c>
      <c r="Q364" s="18" t="s">
        <v>10817</v>
      </c>
      <c r="R364" s="18" t="s">
        <v>78</v>
      </c>
      <c r="S364" s="18" t="s">
        <v>77</v>
      </c>
      <c r="T364" s="22">
        <v>44915</v>
      </c>
      <c r="U364" s="18"/>
      <c r="V364" s="18" t="s">
        <v>81</v>
      </c>
      <c r="W364" s="18" t="s">
        <v>79</v>
      </c>
      <c r="X364" s="18" t="s">
        <v>10803</v>
      </c>
      <c r="Y364" s="18" t="s">
        <v>1545</v>
      </c>
      <c r="Z364" s="18" t="s">
        <v>1546</v>
      </c>
      <c r="AA364" s="18" t="s">
        <v>1545</v>
      </c>
      <c r="AB364" s="18" t="s">
        <v>1546</v>
      </c>
      <c r="AC364" s="18" t="s">
        <v>7984</v>
      </c>
      <c r="AD364" s="18" t="s">
        <v>10804</v>
      </c>
      <c r="AE364" s="18" t="s">
        <v>135</v>
      </c>
      <c r="AF364" s="18" t="s">
        <v>95</v>
      </c>
      <c r="AG364" s="18" t="s">
        <v>83</v>
      </c>
      <c r="AH364" s="18" t="s">
        <v>83</v>
      </c>
      <c r="AI364" s="18" t="s">
        <v>81</v>
      </c>
      <c r="AJ364" s="18" t="s">
        <v>118</v>
      </c>
      <c r="AK364" s="18" t="s">
        <v>95</v>
      </c>
      <c r="AL364" s="18" t="s">
        <v>13444</v>
      </c>
      <c r="AM364" s="18" t="s">
        <v>85</v>
      </c>
      <c r="AN364" s="18" t="s">
        <v>7031</v>
      </c>
      <c r="AO364" s="18" t="s">
        <v>86</v>
      </c>
      <c r="AP364" s="18" t="s">
        <v>90</v>
      </c>
      <c r="AQ364" s="18" t="s">
        <v>7987</v>
      </c>
      <c r="AR364" s="18" t="s">
        <v>138</v>
      </c>
      <c r="AS364" s="18" t="s">
        <v>139</v>
      </c>
      <c r="AT364" s="18" t="s">
        <v>95</v>
      </c>
      <c r="AU364" s="18" t="s">
        <v>95</v>
      </c>
      <c r="AV364" s="18" t="s">
        <v>7037</v>
      </c>
      <c r="AW364" s="18" t="s">
        <v>95</v>
      </c>
      <c r="AX364" s="18" t="s">
        <v>10806</v>
      </c>
      <c r="AY364" s="18" t="s">
        <v>95</v>
      </c>
      <c r="AZ364" s="18" t="s">
        <v>95</v>
      </c>
      <c r="BA364" s="18" t="s">
        <v>95</v>
      </c>
      <c r="BB364" s="18" t="s">
        <v>95</v>
      </c>
      <c r="BC364" s="18" t="s">
        <v>95</v>
      </c>
      <c r="BD364" s="18" t="s">
        <v>10807</v>
      </c>
      <c r="BE364" s="18" t="s">
        <v>13641</v>
      </c>
      <c r="BF364" s="18" t="s">
        <v>10809</v>
      </c>
      <c r="BG364" s="18" t="s">
        <v>7030</v>
      </c>
      <c r="BH364" s="18"/>
      <c r="BI364" s="18"/>
      <c r="BJ364" s="18" t="s">
        <v>1545</v>
      </c>
      <c r="BK364" s="18" t="s">
        <v>13642</v>
      </c>
      <c r="BL364" s="18" t="s">
        <v>10811</v>
      </c>
      <c r="BM364" s="18" t="s">
        <v>139</v>
      </c>
      <c r="BN364" s="18" t="s">
        <v>85</v>
      </c>
      <c r="BO364" s="18">
        <v>0</v>
      </c>
      <c r="BP364" s="18" t="s">
        <v>10812</v>
      </c>
      <c r="BQ364" s="18" t="str">
        <f>VLOOKUP(Prepago[[#This Row],[NOM_PLAZA]],[1]!Locales[#Data],3,0)</f>
        <v>TIENDA AMERICA</v>
      </c>
      <c r="BR364" s="18" t="str">
        <f>VLOOKUP(Prepago[[#This Row],[CODIGO_USUARIO]],[1]!Personal[#Data],6,0)</f>
        <v>GRANDA ESPINOZA ANDRES SEBASTIAN</v>
      </c>
      <c r="BS364" s="18">
        <f>DAY(Prepago[[#This Row],[FECHA_ALTA]])</f>
        <v>13</v>
      </c>
    </row>
    <row r="365" spans="1:71" x14ac:dyDescent="0.25">
      <c r="A365" s="18" t="s">
        <v>96</v>
      </c>
      <c r="B365" s="18" t="s">
        <v>13643</v>
      </c>
      <c r="C365" s="18" t="s">
        <v>13644</v>
      </c>
      <c r="D365" s="18" t="s">
        <v>13645</v>
      </c>
      <c r="E365" s="22">
        <v>44901</v>
      </c>
      <c r="F365" s="18" t="s">
        <v>67</v>
      </c>
      <c r="G365" s="18" t="s">
        <v>13646</v>
      </c>
      <c r="H365" s="18" t="s">
        <v>13647</v>
      </c>
      <c r="I365" s="18" t="s">
        <v>70</v>
      </c>
      <c r="J365" s="18" t="s">
        <v>8102</v>
      </c>
      <c r="K365" s="18" t="s">
        <v>8103</v>
      </c>
      <c r="L365" s="18" t="s">
        <v>95</v>
      </c>
      <c r="M365" s="18" t="s">
        <v>7037</v>
      </c>
      <c r="N365" s="18" t="s">
        <v>13648</v>
      </c>
      <c r="O365" s="18" t="s">
        <v>75</v>
      </c>
      <c r="P365" s="18" t="s">
        <v>13649</v>
      </c>
      <c r="Q365" s="18" t="s">
        <v>4453</v>
      </c>
      <c r="R365" s="18" t="s">
        <v>78</v>
      </c>
      <c r="S365" s="18" t="s">
        <v>77</v>
      </c>
      <c r="T365" s="22">
        <v>44915</v>
      </c>
      <c r="U365" s="18"/>
      <c r="V365" s="18" t="s">
        <v>81</v>
      </c>
      <c r="W365" s="18" t="s">
        <v>79</v>
      </c>
      <c r="X365" s="18" t="s">
        <v>10803</v>
      </c>
      <c r="Y365" s="18" t="s">
        <v>1545</v>
      </c>
      <c r="Z365" s="18" t="s">
        <v>1546</v>
      </c>
      <c r="AA365" s="18" t="s">
        <v>7062</v>
      </c>
      <c r="AB365" s="18" t="s">
        <v>95</v>
      </c>
      <c r="AC365" s="18" t="s">
        <v>7984</v>
      </c>
      <c r="AD365" s="18" t="s">
        <v>10804</v>
      </c>
      <c r="AE365" s="18" t="s">
        <v>135</v>
      </c>
      <c r="AF365" s="18" t="s">
        <v>95</v>
      </c>
      <c r="AG365" s="18" t="s">
        <v>83</v>
      </c>
      <c r="AH365" s="18" t="s">
        <v>83</v>
      </c>
      <c r="AI365" s="18" t="s">
        <v>81</v>
      </c>
      <c r="AJ365" s="18" t="s">
        <v>118</v>
      </c>
      <c r="AK365" s="18" t="s">
        <v>95</v>
      </c>
      <c r="AL365" s="18" t="s">
        <v>13444</v>
      </c>
      <c r="AM365" s="18" t="s">
        <v>85</v>
      </c>
      <c r="AN365" s="18" t="s">
        <v>7031</v>
      </c>
      <c r="AO365" s="18" t="s">
        <v>86</v>
      </c>
      <c r="AP365" s="18" t="s">
        <v>90</v>
      </c>
      <c r="AQ365" s="18" t="s">
        <v>7987</v>
      </c>
      <c r="AR365" s="18" t="s">
        <v>138</v>
      </c>
      <c r="AS365" s="18" t="s">
        <v>139</v>
      </c>
      <c r="AT365" s="18" t="s">
        <v>95</v>
      </c>
      <c r="AU365" s="18" t="s">
        <v>95</v>
      </c>
      <c r="AV365" s="18" t="s">
        <v>7037</v>
      </c>
      <c r="AW365" s="18" t="s">
        <v>95</v>
      </c>
      <c r="AX365" s="18" t="s">
        <v>10806</v>
      </c>
      <c r="AY365" s="18" t="s">
        <v>95</v>
      </c>
      <c r="AZ365" s="18" t="s">
        <v>95</v>
      </c>
      <c r="BA365" s="18" t="s">
        <v>95</v>
      </c>
      <c r="BB365" s="18" t="s">
        <v>95</v>
      </c>
      <c r="BC365" s="18" t="s">
        <v>95</v>
      </c>
      <c r="BD365" s="18" t="s">
        <v>10807</v>
      </c>
      <c r="BE365" s="18" t="s">
        <v>95</v>
      </c>
      <c r="BF365" s="18" t="s">
        <v>10809</v>
      </c>
      <c r="BG365" s="18" t="s">
        <v>7030</v>
      </c>
      <c r="BH365" s="18"/>
      <c r="BI365" s="18"/>
      <c r="BJ365" s="18" t="s">
        <v>1545</v>
      </c>
      <c r="BK365" s="18" t="s">
        <v>13650</v>
      </c>
      <c r="BL365" s="18" t="s">
        <v>10811</v>
      </c>
      <c r="BM365" s="18" t="s">
        <v>139</v>
      </c>
      <c r="BN365" s="18" t="s">
        <v>85</v>
      </c>
      <c r="BO365" s="18">
        <v>0</v>
      </c>
      <c r="BP365" s="18" t="s">
        <v>10812</v>
      </c>
      <c r="BQ365" s="18" t="str">
        <f>VLOOKUP(Prepago[[#This Row],[NOM_PLAZA]],[1]!Locales[#Data],3,0)</f>
        <v>TIENDA AMERICA</v>
      </c>
      <c r="BR365" s="18" t="str">
        <f>VLOOKUP(Prepago[[#This Row],[CODIGO_USUARIO]],[1]!Personal[#Data],6,0)</f>
        <v>GRANDA ESPINOZA ANDRES SEBASTIAN</v>
      </c>
      <c r="BS365" s="18">
        <f>DAY(Prepago[[#This Row],[FECHA_ALTA]])</f>
        <v>6</v>
      </c>
    </row>
    <row r="366" spans="1:71" x14ac:dyDescent="0.25">
      <c r="A366" s="18" t="s">
        <v>96</v>
      </c>
      <c r="B366" s="18" t="s">
        <v>8114</v>
      </c>
      <c r="C366" s="18" t="s">
        <v>8120</v>
      </c>
      <c r="D366" s="18" t="s">
        <v>8116</v>
      </c>
      <c r="E366" s="22">
        <v>44897</v>
      </c>
      <c r="F366" s="18" t="s">
        <v>67</v>
      </c>
      <c r="G366" s="18" t="s">
        <v>8117</v>
      </c>
      <c r="H366" s="18" t="s">
        <v>8118</v>
      </c>
      <c r="I366" s="18" t="s">
        <v>514</v>
      </c>
      <c r="J366" s="18" t="s">
        <v>8102</v>
      </c>
      <c r="K366" s="18" t="s">
        <v>8103</v>
      </c>
      <c r="L366" s="18" t="s">
        <v>132</v>
      </c>
      <c r="M366" s="18" t="s">
        <v>7037</v>
      </c>
      <c r="N366" s="18" t="s">
        <v>8119</v>
      </c>
      <c r="O366" s="18" t="s">
        <v>287</v>
      </c>
      <c r="P366" s="18" t="s">
        <v>13651</v>
      </c>
      <c r="Q366" s="18" t="s">
        <v>10817</v>
      </c>
      <c r="R366" s="18" t="s">
        <v>78</v>
      </c>
      <c r="S366" s="18" t="s">
        <v>77</v>
      </c>
      <c r="T366" s="22">
        <v>44915</v>
      </c>
      <c r="U366" s="18"/>
      <c r="V366" s="18" t="s">
        <v>81</v>
      </c>
      <c r="W366" s="18" t="s">
        <v>79</v>
      </c>
      <c r="X366" s="18" t="s">
        <v>10803</v>
      </c>
      <c r="Y366" s="18" t="s">
        <v>271</v>
      </c>
      <c r="Z366" s="18" t="s">
        <v>272</v>
      </c>
      <c r="AA366" s="18" t="s">
        <v>271</v>
      </c>
      <c r="AB366" s="18" t="s">
        <v>272</v>
      </c>
      <c r="AC366" s="18" t="s">
        <v>7984</v>
      </c>
      <c r="AD366" s="18" t="s">
        <v>10804</v>
      </c>
      <c r="AE366" s="18" t="s">
        <v>232</v>
      </c>
      <c r="AF366" s="18" t="s">
        <v>95</v>
      </c>
      <c r="AG366" s="18" t="s">
        <v>83</v>
      </c>
      <c r="AH366" s="18" t="s">
        <v>83</v>
      </c>
      <c r="AI366" s="18" t="s">
        <v>81</v>
      </c>
      <c r="AJ366" s="18" t="s">
        <v>118</v>
      </c>
      <c r="AK366" s="18" t="s">
        <v>95</v>
      </c>
      <c r="AL366" s="18" t="s">
        <v>13652</v>
      </c>
      <c r="AM366" s="18" t="s">
        <v>85</v>
      </c>
      <c r="AN366" s="18" t="s">
        <v>7031</v>
      </c>
      <c r="AO366" s="18" t="s">
        <v>86</v>
      </c>
      <c r="AP366" s="18" t="s">
        <v>90</v>
      </c>
      <c r="AQ366" s="18" t="s">
        <v>8016</v>
      </c>
      <c r="AR366" s="18" t="s">
        <v>235</v>
      </c>
      <c r="AS366" s="18" t="s">
        <v>139</v>
      </c>
      <c r="AT366" s="18" t="s">
        <v>95</v>
      </c>
      <c r="AU366" s="18" t="s">
        <v>95</v>
      </c>
      <c r="AV366" s="18" t="s">
        <v>7037</v>
      </c>
      <c r="AW366" s="18" t="s">
        <v>95</v>
      </c>
      <c r="AX366" s="18" t="s">
        <v>10806</v>
      </c>
      <c r="AY366" s="18" t="s">
        <v>95</v>
      </c>
      <c r="AZ366" s="18" t="s">
        <v>13653</v>
      </c>
      <c r="BA366" s="18" t="s">
        <v>13180</v>
      </c>
      <c r="BB366" s="18" t="s">
        <v>13654</v>
      </c>
      <c r="BC366" s="18" t="s">
        <v>13655</v>
      </c>
      <c r="BD366" s="18" t="s">
        <v>10829</v>
      </c>
      <c r="BE366" s="18" t="s">
        <v>13656</v>
      </c>
      <c r="BF366" s="18" t="s">
        <v>10809</v>
      </c>
      <c r="BG366" s="18" t="s">
        <v>7030</v>
      </c>
      <c r="BH366" s="18"/>
      <c r="BI366" s="18"/>
      <c r="BJ366" s="18" t="s">
        <v>271</v>
      </c>
      <c r="BK366" s="18" t="s">
        <v>13657</v>
      </c>
      <c r="BL366" s="18" t="s">
        <v>10811</v>
      </c>
      <c r="BM366" s="18" t="s">
        <v>139</v>
      </c>
      <c r="BN366" s="18" t="s">
        <v>85</v>
      </c>
      <c r="BO366" s="18">
        <v>0</v>
      </c>
      <c r="BP366" s="18" t="s">
        <v>10812</v>
      </c>
      <c r="BQ366" s="18" t="str">
        <f>VLOOKUP(Prepago[[#This Row],[NOM_PLAZA]],[1]!Locales[#Data],3,0)</f>
        <v>TIENDA CONDADO</v>
      </c>
      <c r="BR366" s="18" t="str">
        <f>VLOOKUP(Prepago[[#This Row],[CODIGO_USUARIO]],[1]!Personal[#Data],6,0)</f>
        <v>CASTILLO AGUIRRE EDWIN MODESTO</v>
      </c>
      <c r="BS366" s="18">
        <f>DAY(Prepago[[#This Row],[FECHA_ALTA]])</f>
        <v>2</v>
      </c>
    </row>
    <row r="367" spans="1:71" x14ac:dyDescent="0.25">
      <c r="A367" s="18" t="s">
        <v>96</v>
      </c>
      <c r="B367" s="18" t="s">
        <v>13658</v>
      </c>
      <c r="C367" s="18" t="s">
        <v>13659</v>
      </c>
      <c r="D367" s="18" t="s">
        <v>13660</v>
      </c>
      <c r="E367" s="22">
        <v>44901</v>
      </c>
      <c r="F367" s="18" t="s">
        <v>67</v>
      </c>
      <c r="G367" s="18" t="s">
        <v>13661</v>
      </c>
      <c r="H367" s="18" t="s">
        <v>13662</v>
      </c>
      <c r="I367" s="18" t="s">
        <v>70</v>
      </c>
      <c r="J367" s="18" t="s">
        <v>8102</v>
      </c>
      <c r="K367" s="18" t="s">
        <v>8103</v>
      </c>
      <c r="L367" s="18" t="s">
        <v>132</v>
      </c>
      <c r="M367" s="18" t="s">
        <v>7037</v>
      </c>
      <c r="N367" s="18" t="s">
        <v>13663</v>
      </c>
      <c r="O367" s="18" t="s">
        <v>75</v>
      </c>
      <c r="P367" s="18" t="s">
        <v>13664</v>
      </c>
      <c r="Q367" s="18" t="s">
        <v>10817</v>
      </c>
      <c r="R367" s="18" t="s">
        <v>78</v>
      </c>
      <c r="S367" s="18" t="s">
        <v>77</v>
      </c>
      <c r="T367" s="22">
        <v>44915</v>
      </c>
      <c r="U367" s="18"/>
      <c r="V367" s="18" t="s">
        <v>81</v>
      </c>
      <c r="W367" s="18" t="s">
        <v>79</v>
      </c>
      <c r="X367" s="18" t="s">
        <v>10803</v>
      </c>
      <c r="Y367" s="18" t="s">
        <v>377</v>
      </c>
      <c r="Z367" s="18" t="s">
        <v>378</v>
      </c>
      <c r="AA367" s="18" t="s">
        <v>377</v>
      </c>
      <c r="AB367" s="18" t="s">
        <v>378</v>
      </c>
      <c r="AC367" s="18" t="s">
        <v>7984</v>
      </c>
      <c r="AD367" s="18" t="s">
        <v>10804</v>
      </c>
      <c r="AE367" s="18" t="s">
        <v>232</v>
      </c>
      <c r="AF367" s="18" t="s">
        <v>95</v>
      </c>
      <c r="AG367" s="18" t="s">
        <v>83</v>
      </c>
      <c r="AH367" s="18" t="s">
        <v>83</v>
      </c>
      <c r="AI367" s="18" t="s">
        <v>81</v>
      </c>
      <c r="AJ367" s="18" t="s">
        <v>118</v>
      </c>
      <c r="AK367" s="18" t="s">
        <v>95</v>
      </c>
      <c r="AL367" s="18" t="s">
        <v>13665</v>
      </c>
      <c r="AM367" s="18" t="s">
        <v>85</v>
      </c>
      <c r="AN367" s="18" t="s">
        <v>7031</v>
      </c>
      <c r="AO367" s="18" t="s">
        <v>86</v>
      </c>
      <c r="AP367" s="18" t="s">
        <v>90</v>
      </c>
      <c r="AQ367" s="18" t="s">
        <v>8016</v>
      </c>
      <c r="AR367" s="18" t="s">
        <v>235</v>
      </c>
      <c r="AS367" s="18" t="s">
        <v>139</v>
      </c>
      <c r="AT367" s="18" t="s">
        <v>95</v>
      </c>
      <c r="AU367" s="18" t="s">
        <v>95</v>
      </c>
      <c r="AV367" s="18" t="s">
        <v>7037</v>
      </c>
      <c r="AW367" s="18" t="s">
        <v>95</v>
      </c>
      <c r="AX367" s="18" t="s">
        <v>10806</v>
      </c>
      <c r="AY367" s="18" t="s">
        <v>95</v>
      </c>
      <c r="AZ367" s="18" t="s">
        <v>95</v>
      </c>
      <c r="BA367" s="18" t="s">
        <v>95</v>
      </c>
      <c r="BB367" s="18" t="s">
        <v>95</v>
      </c>
      <c r="BC367" s="18" t="s">
        <v>95</v>
      </c>
      <c r="BD367" s="18" t="s">
        <v>10829</v>
      </c>
      <c r="BE367" s="18" t="s">
        <v>13666</v>
      </c>
      <c r="BF367" s="18" t="s">
        <v>10809</v>
      </c>
      <c r="BG367" s="18" t="s">
        <v>7030</v>
      </c>
      <c r="BH367" s="18"/>
      <c r="BI367" s="18"/>
      <c r="BJ367" s="18" t="s">
        <v>377</v>
      </c>
      <c r="BK367" s="18" t="s">
        <v>13667</v>
      </c>
      <c r="BL367" s="18" t="s">
        <v>10811</v>
      </c>
      <c r="BM367" s="18" t="s">
        <v>139</v>
      </c>
      <c r="BN367" s="18" t="s">
        <v>85</v>
      </c>
      <c r="BO367" s="18">
        <v>1</v>
      </c>
      <c r="BP367" s="18" t="s">
        <v>10812</v>
      </c>
      <c r="BQ367" s="18" t="str">
        <f>VLOOKUP(Prepago[[#This Row],[NOM_PLAZA]],[1]!Locales[#Data],3,0)</f>
        <v>TIENDA CONDADO</v>
      </c>
      <c r="BR367" s="18" t="str">
        <f>VLOOKUP(Prepago[[#This Row],[CODIGO_USUARIO]],[1]!Personal[#Data],6,0)</f>
        <v>MELCHIADE ISAAC VALMORE</v>
      </c>
      <c r="BS367" s="18">
        <f>DAY(Prepago[[#This Row],[FECHA_ALTA]])</f>
        <v>6</v>
      </c>
    </row>
    <row r="368" spans="1:71" x14ac:dyDescent="0.25">
      <c r="A368" s="18" t="s">
        <v>96</v>
      </c>
      <c r="B368" s="18" t="s">
        <v>8653</v>
      </c>
      <c r="C368" s="18" t="s">
        <v>8659</v>
      </c>
      <c r="D368" s="18" t="s">
        <v>8655</v>
      </c>
      <c r="E368" s="22">
        <v>44900</v>
      </c>
      <c r="F368" s="18" t="s">
        <v>67</v>
      </c>
      <c r="G368" s="18" t="s">
        <v>8656</v>
      </c>
      <c r="H368" s="18" t="s">
        <v>8657</v>
      </c>
      <c r="I368" s="18" t="s">
        <v>70</v>
      </c>
      <c r="J368" s="18" t="s">
        <v>8102</v>
      </c>
      <c r="K368" s="18" t="s">
        <v>8103</v>
      </c>
      <c r="L368" s="18" t="s">
        <v>3334</v>
      </c>
      <c r="M368" s="18" t="s">
        <v>7220</v>
      </c>
      <c r="N368" s="18" t="s">
        <v>8658</v>
      </c>
      <c r="O368" s="18" t="s">
        <v>287</v>
      </c>
      <c r="P368" s="18" t="s">
        <v>13668</v>
      </c>
      <c r="Q368" s="18" t="s">
        <v>1532</v>
      </c>
      <c r="R368" s="18" t="s">
        <v>78</v>
      </c>
      <c r="S368" s="18" t="s">
        <v>77</v>
      </c>
      <c r="T368" s="22">
        <v>44915</v>
      </c>
      <c r="U368" s="18"/>
      <c r="V368" s="18" t="s">
        <v>81</v>
      </c>
      <c r="W368" s="18" t="s">
        <v>79</v>
      </c>
      <c r="X368" s="18" t="s">
        <v>10803</v>
      </c>
      <c r="Y368" s="18" t="s">
        <v>280</v>
      </c>
      <c r="Z368" s="18" t="s">
        <v>281</v>
      </c>
      <c r="AA368" s="18" t="s">
        <v>280</v>
      </c>
      <c r="AB368" s="18" t="s">
        <v>281</v>
      </c>
      <c r="AC368" s="18" t="s">
        <v>7984</v>
      </c>
      <c r="AD368" s="18" t="s">
        <v>10804</v>
      </c>
      <c r="AE368" s="18" t="s">
        <v>232</v>
      </c>
      <c r="AF368" s="18" t="s">
        <v>95</v>
      </c>
      <c r="AG368" s="18" t="s">
        <v>83</v>
      </c>
      <c r="AH368" s="18" t="s">
        <v>83</v>
      </c>
      <c r="AI368" s="18" t="s">
        <v>81</v>
      </c>
      <c r="AJ368" s="18" t="s">
        <v>118</v>
      </c>
      <c r="AK368" s="18" t="s">
        <v>95</v>
      </c>
      <c r="AL368" s="18" t="s">
        <v>10760</v>
      </c>
      <c r="AM368" s="18" t="s">
        <v>85</v>
      </c>
      <c r="AN368" s="18" t="s">
        <v>7031</v>
      </c>
      <c r="AO368" s="18" t="s">
        <v>86</v>
      </c>
      <c r="AP368" s="18" t="s">
        <v>90</v>
      </c>
      <c r="AQ368" s="18" t="s">
        <v>8016</v>
      </c>
      <c r="AR368" s="18" t="s">
        <v>235</v>
      </c>
      <c r="AS368" s="18" t="s">
        <v>139</v>
      </c>
      <c r="AT368" s="18" t="s">
        <v>95</v>
      </c>
      <c r="AU368" s="18" t="s">
        <v>95</v>
      </c>
      <c r="AV368" s="18" t="s">
        <v>7220</v>
      </c>
      <c r="AW368" s="18" t="s">
        <v>95</v>
      </c>
      <c r="AX368" s="18" t="s">
        <v>10806</v>
      </c>
      <c r="AY368" s="18" t="s">
        <v>95</v>
      </c>
      <c r="AZ368" s="18" t="s">
        <v>95</v>
      </c>
      <c r="BA368" s="18" t="s">
        <v>95</v>
      </c>
      <c r="BB368" s="18" t="s">
        <v>95</v>
      </c>
      <c r="BC368" s="18" t="s">
        <v>95</v>
      </c>
      <c r="BD368" s="18" t="s">
        <v>10829</v>
      </c>
      <c r="BE368" s="18" t="s">
        <v>13669</v>
      </c>
      <c r="BF368" s="18" t="s">
        <v>10809</v>
      </c>
      <c r="BG368" s="18" t="s">
        <v>7030</v>
      </c>
      <c r="BH368" s="18"/>
      <c r="BI368" s="18"/>
      <c r="BJ368" s="18" t="s">
        <v>280</v>
      </c>
      <c r="BK368" s="18" t="s">
        <v>13670</v>
      </c>
      <c r="BL368" s="18" t="s">
        <v>10811</v>
      </c>
      <c r="BM368" s="18" t="s">
        <v>8121</v>
      </c>
      <c r="BN368" s="18" t="s">
        <v>85</v>
      </c>
      <c r="BO368" s="18">
        <v>0</v>
      </c>
      <c r="BP368" s="18" t="s">
        <v>10812</v>
      </c>
      <c r="BQ368" s="18" t="str">
        <f>VLOOKUP(Prepago[[#This Row],[NOM_PLAZA]],[1]!Locales[#Data],3,0)</f>
        <v>TIENDA CONDADO</v>
      </c>
      <c r="BR368" s="18" t="str">
        <f>VLOOKUP(Prepago[[#This Row],[CODIGO_USUARIO]],[1]!Personal[#Data],6,0)</f>
        <v>GUACHAMIN CAZA HUGO ADRIAN</v>
      </c>
      <c r="BS368" s="18">
        <f>DAY(Prepago[[#This Row],[FECHA_ALTA]])</f>
        <v>5</v>
      </c>
    </row>
    <row r="369" spans="1:71" x14ac:dyDescent="0.25">
      <c r="A369" s="18" t="s">
        <v>96</v>
      </c>
      <c r="B369" s="18" t="s">
        <v>13671</v>
      </c>
      <c r="C369" s="18" t="s">
        <v>13672</v>
      </c>
      <c r="D369" s="18" t="s">
        <v>13673</v>
      </c>
      <c r="E369" s="22">
        <v>44900</v>
      </c>
      <c r="F369" s="18" t="s">
        <v>67</v>
      </c>
      <c r="G369" s="18" t="s">
        <v>13674</v>
      </c>
      <c r="H369" s="18" t="s">
        <v>13675</v>
      </c>
      <c r="I369" s="18" t="s">
        <v>70</v>
      </c>
      <c r="J369" s="18" t="s">
        <v>8102</v>
      </c>
      <c r="K369" s="18" t="s">
        <v>8103</v>
      </c>
      <c r="L369" s="18" t="s">
        <v>132</v>
      </c>
      <c r="M369" s="18" t="s">
        <v>7037</v>
      </c>
      <c r="N369" s="18" t="s">
        <v>13676</v>
      </c>
      <c r="O369" s="18" t="s">
        <v>75</v>
      </c>
      <c r="P369" s="18" t="s">
        <v>13677</v>
      </c>
      <c r="Q369" s="18" t="s">
        <v>10817</v>
      </c>
      <c r="R369" s="18" t="s">
        <v>78</v>
      </c>
      <c r="S369" s="18" t="s">
        <v>77</v>
      </c>
      <c r="T369" s="22">
        <v>44915</v>
      </c>
      <c r="U369" s="18"/>
      <c r="V369" s="18" t="s">
        <v>81</v>
      </c>
      <c r="W369" s="18" t="s">
        <v>79</v>
      </c>
      <c r="X369" s="18" t="s">
        <v>10803</v>
      </c>
      <c r="Y369" s="18" t="s">
        <v>769</v>
      </c>
      <c r="Z369" s="18" t="s">
        <v>770</v>
      </c>
      <c r="AA369" s="18" t="s">
        <v>769</v>
      </c>
      <c r="AB369" s="18" t="s">
        <v>770</v>
      </c>
      <c r="AC369" s="18" t="s">
        <v>7984</v>
      </c>
      <c r="AD369" s="18" t="s">
        <v>10804</v>
      </c>
      <c r="AE369" s="18" t="s">
        <v>232</v>
      </c>
      <c r="AF369" s="18" t="s">
        <v>95</v>
      </c>
      <c r="AG369" s="18" t="s">
        <v>83</v>
      </c>
      <c r="AH369" s="18" t="s">
        <v>83</v>
      </c>
      <c r="AI369" s="18" t="s">
        <v>81</v>
      </c>
      <c r="AJ369" s="18" t="s">
        <v>118</v>
      </c>
      <c r="AK369" s="18" t="s">
        <v>95</v>
      </c>
      <c r="AL369" s="18" t="s">
        <v>10744</v>
      </c>
      <c r="AM369" s="18" t="s">
        <v>85</v>
      </c>
      <c r="AN369" s="18" t="s">
        <v>7031</v>
      </c>
      <c r="AO369" s="18" t="s">
        <v>86</v>
      </c>
      <c r="AP369" s="18" t="s">
        <v>90</v>
      </c>
      <c r="AQ369" s="18" t="s">
        <v>8016</v>
      </c>
      <c r="AR369" s="18" t="s">
        <v>235</v>
      </c>
      <c r="AS369" s="18" t="s">
        <v>139</v>
      </c>
      <c r="AT369" s="18" t="s">
        <v>95</v>
      </c>
      <c r="AU369" s="18" t="s">
        <v>95</v>
      </c>
      <c r="AV369" s="18" t="s">
        <v>7037</v>
      </c>
      <c r="AW369" s="18" t="s">
        <v>95</v>
      </c>
      <c r="AX369" s="18" t="s">
        <v>10806</v>
      </c>
      <c r="AY369" s="18" t="s">
        <v>95</v>
      </c>
      <c r="AZ369" s="18" t="s">
        <v>95</v>
      </c>
      <c r="BA369" s="18" t="s">
        <v>95</v>
      </c>
      <c r="BB369" s="18" t="s">
        <v>95</v>
      </c>
      <c r="BC369" s="18" t="s">
        <v>95</v>
      </c>
      <c r="BD369" s="18" t="s">
        <v>10829</v>
      </c>
      <c r="BE369" s="18" t="s">
        <v>13678</v>
      </c>
      <c r="BF369" s="18" t="s">
        <v>10809</v>
      </c>
      <c r="BG369" s="18" t="s">
        <v>7030</v>
      </c>
      <c r="BH369" s="18"/>
      <c r="BI369" s="18"/>
      <c r="BJ369" s="18" t="s">
        <v>769</v>
      </c>
      <c r="BK369" s="18" t="s">
        <v>13679</v>
      </c>
      <c r="BL369" s="18" t="s">
        <v>10811</v>
      </c>
      <c r="BM369" s="18" t="s">
        <v>139</v>
      </c>
      <c r="BN369" s="18" t="s">
        <v>85</v>
      </c>
      <c r="BO369" s="18">
        <v>1</v>
      </c>
      <c r="BP369" s="18" t="s">
        <v>10812</v>
      </c>
      <c r="BQ369" s="18" t="str">
        <f>VLOOKUP(Prepago[[#This Row],[NOM_PLAZA]],[1]!Locales[#Data],3,0)</f>
        <v>TIENDA CONDADO</v>
      </c>
      <c r="BR369" s="18" t="str">
        <f>VLOOKUP(Prepago[[#This Row],[CODIGO_USUARIO]],[1]!Personal[#Data],6,0)</f>
        <v>ROJAS VEGA JHOSMERY MICHELE</v>
      </c>
      <c r="BS369" s="18">
        <f>DAY(Prepago[[#This Row],[FECHA_ALTA]])</f>
        <v>5</v>
      </c>
    </row>
    <row r="370" spans="1:71" x14ac:dyDescent="0.25">
      <c r="A370" s="18" t="s">
        <v>96</v>
      </c>
      <c r="B370" s="18" t="s">
        <v>13680</v>
      </c>
      <c r="C370" s="18" t="s">
        <v>13681</v>
      </c>
      <c r="D370" s="18" t="s">
        <v>13682</v>
      </c>
      <c r="E370" s="22">
        <v>44898</v>
      </c>
      <c r="F370" s="18" t="s">
        <v>67</v>
      </c>
      <c r="G370" s="18" t="s">
        <v>13683</v>
      </c>
      <c r="H370" s="18" t="s">
        <v>13684</v>
      </c>
      <c r="I370" s="18" t="s">
        <v>70</v>
      </c>
      <c r="J370" s="18" t="s">
        <v>8102</v>
      </c>
      <c r="K370" s="18" t="s">
        <v>8103</v>
      </c>
      <c r="L370" s="18" t="s">
        <v>132</v>
      </c>
      <c r="M370" s="18" t="s">
        <v>7037</v>
      </c>
      <c r="N370" s="18" t="s">
        <v>13685</v>
      </c>
      <c r="O370" s="18" t="s">
        <v>75</v>
      </c>
      <c r="P370" s="18" t="s">
        <v>13686</v>
      </c>
      <c r="Q370" s="18" t="s">
        <v>10817</v>
      </c>
      <c r="R370" s="18" t="s">
        <v>78</v>
      </c>
      <c r="S370" s="18" t="s">
        <v>77</v>
      </c>
      <c r="T370" s="22">
        <v>44915</v>
      </c>
      <c r="U370" s="18"/>
      <c r="V370" s="18" t="s">
        <v>81</v>
      </c>
      <c r="W370" s="18" t="s">
        <v>79</v>
      </c>
      <c r="X370" s="18" t="s">
        <v>10803</v>
      </c>
      <c r="Y370" s="18" t="s">
        <v>280</v>
      </c>
      <c r="Z370" s="18" t="s">
        <v>281</v>
      </c>
      <c r="AA370" s="18" t="s">
        <v>280</v>
      </c>
      <c r="AB370" s="18" t="s">
        <v>281</v>
      </c>
      <c r="AC370" s="18" t="s">
        <v>7984</v>
      </c>
      <c r="AD370" s="18" t="s">
        <v>10804</v>
      </c>
      <c r="AE370" s="18" t="s">
        <v>232</v>
      </c>
      <c r="AF370" s="18" t="s">
        <v>95</v>
      </c>
      <c r="AG370" s="18" t="s">
        <v>83</v>
      </c>
      <c r="AH370" s="18" t="s">
        <v>83</v>
      </c>
      <c r="AI370" s="18" t="s">
        <v>81</v>
      </c>
      <c r="AJ370" s="18" t="s">
        <v>118</v>
      </c>
      <c r="AK370" s="18" t="s">
        <v>95</v>
      </c>
      <c r="AL370" s="18" t="s">
        <v>10760</v>
      </c>
      <c r="AM370" s="18" t="s">
        <v>85</v>
      </c>
      <c r="AN370" s="18" t="s">
        <v>7031</v>
      </c>
      <c r="AO370" s="18" t="s">
        <v>86</v>
      </c>
      <c r="AP370" s="18" t="s">
        <v>90</v>
      </c>
      <c r="AQ370" s="18" t="s">
        <v>8016</v>
      </c>
      <c r="AR370" s="18" t="s">
        <v>235</v>
      </c>
      <c r="AS370" s="18" t="s">
        <v>139</v>
      </c>
      <c r="AT370" s="18" t="s">
        <v>95</v>
      </c>
      <c r="AU370" s="18" t="s">
        <v>95</v>
      </c>
      <c r="AV370" s="18" t="s">
        <v>7037</v>
      </c>
      <c r="AW370" s="18" t="s">
        <v>95</v>
      </c>
      <c r="AX370" s="18" t="s">
        <v>10806</v>
      </c>
      <c r="AY370" s="18" t="s">
        <v>95</v>
      </c>
      <c r="AZ370" s="18" t="s">
        <v>95</v>
      </c>
      <c r="BA370" s="18" t="s">
        <v>95</v>
      </c>
      <c r="BB370" s="18" t="s">
        <v>95</v>
      </c>
      <c r="BC370" s="18" t="s">
        <v>95</v>
      </c>
      <c r="BD370" s="18" t="s">
        <v>10807</v>
      </c>
      <c r="BE370" s="18" t="s">
        <v>13687</v>
      </c>
      <c r="BF370" s="18" t="s">
        <v>10809</v>
      </c>
      <c r="BG370" s="18" t="s">
        <v>7030</v>
      </c>
      <c r="BH370" s="18"/>
      <c r="BI370" s="18"/>
      <c r="BJ370" s="18" t="s">
        <v>280</v>
      </c>
      <c r="BK370" s="18" t="s">
        <v>13688</v>
      </c>
      <c r="BL370" s="18" t="s">
        <v>10811</v>
      </c>
      <c r="BM370" s="18" t="s">
        <v>139</v>
      </c>
      <c r="BN370" s="18" t="s">
        <v>85</v>
      </c>
      <c r="BO370" s="18">
        <v>0</v>
      </c>
      <c r="BP370" s="18" t="s">
        <v>10812</v>
      </c>
      <c r="BQ370" s="18" t="str">
        <f>VLOOKUP(Prepago[[#This Row],[NOM_PLAZA]],[1]!Locales[#Data],3,0)</f>
        <v>TIENDA CONDADO</v>
      </c>
      <c r="BR370" s="18" t="str">
        <f>VLOOKUP(Prepago[[#This Row],[CODIGO_USUARIO]],[1]!Personal[#Data],6,0)</f>
        <v>GUACHAMIN CAZA HUGO ADRIAN</v>
      </c>
      <c r="BS370" s="18">
        <f>DAY(Prepago[[#This Row],[FECHA_ALTA]])</f>
        <v>3</v>
      </c>
    </row>
    <row r="371" spans="1:71" x14ac:dyDescent="0.25">
      <c r="A371" s="18" t="s">
        <v>96</v>
      </c>
      <c r="B371" s="18" t="s">
        <v>8235</v>
      </c>
      <c r="C371" s="18" t="s">
        <v>8238</v>
      </c>
      <c r="D371" s="18" t="s">
        <v>8116</v>
      </c>
      <c r="E371" s="22">
        <v>44896</v>
      </c>
      <c r="F371" s="18" t="s">
        <v>67</v>
      </c>
      <c r="G371" s="18" t="s">
        <v>8117</v>
      </c>
      <c r="H371" s="18" t="s">
        <v>8118</v>
      </c>
      <c r="I371" s="18" t="s">
        <v>514</v>
      </c>
      <c r="J371" s="18" t="s">
        <v>8102</v>
      </c>
      <c r="K371" s="18" t="s">
        <v>8103</v>
      </c>
      <c r="L371" s="18" t="s">
        <v>132</v>
      </c>
      <c r="M371" s="18" t="s">
        <v>7037</v>
      </c>
      <c r="N371" s="18" t="s">
        <v>8237</v>
      </c>
      <c r="O371" s="18" t="s">
        <v>287</v>
      </c>
      <c r="P371" s="18" t="s">
        <v>13689</v>
      </c>
      <c r="Q371" s="18" t="s">
        <v>10817</v>
      </c>
      <c r="R371" s="18" t="s">
        <v>78</v>
      </c>
      <c r="S371" s="18" t="s">
        <v>77</v>
      </c>
      <c r="T371" s="22">
        <v>44915</v>
      </c>
      <c r="U371" s="18"/>
      <c r="V371" s="18" t="s">
        <v>81</v>
      </c>
      <c r="W371" s="18" t="s">
        <v>79</v>
      </c>
      <c r="X371" s="18" t="s">
        <v>10803</v>
      </c>
      <c r="Y371" s="18" t="s">
        <v>271</v>
      </c>
      <c r="Z371" s="18" t="s">
        <v>272</v>
      </c>
      <c r="AA371" s="18" t="s">
        <v>271</v>
      </c>
      <c r="AB371" s="18" t="s">
        <v>272</v>
      </c>
      <c r="AC371" s="18" t="s">
        <v>7984</v>
      </c>
      <c r="AD371" s="18" t="s">
        <v>10804</v>
      </c>
      <c r="AE371" s="18" t="s">
        <v>232</v>
      </c>
      <c r="AF371" s="18" t="s">
        <v>95</v>
      </c>
      <c r="AG371" s="18" t="s">
        <v>83</v>
      </c>
      <c r="AH371" s="18" t="s">
        <v>83</v>
      </c>
      <c r="AI371" s="18" t="s">
        <v>81</v>
      </c>
      <c r="AJ371" s="18" t="s">
        <v>118</v>
      </c>
      <c r="AK371" s="18" t="s">
        <v>95</v>
      </c>
      <c r="AL371" s="18" t="s">
        <v>13652</v>
      </c>
      <c r="AM371" s="18" t="s">
        <v>85</v>
      </c>
      <c r="AN371" s="18" t="s">
        <v>7031</v>
      </c>
      <c r="AO371" s="18" t="s">
        <v>86</v>
      </c>
      <c r="AP371" s="18" t="s">
        <v>90</v>
      </c>
      <c r="AQ371" s="18" t="s">
        <v>8016</v>
      </c>
      <c r="AR371" s="18" t="s">
        <v>235</v>
      </c>
      <c r="AS371" s="18" t="s">
        <v>139</v>
      </c>
      <c r="AT371" s="18" t="s">
        <v>95</v>
      </c>
      <c r="AU371" s="18" t="s">
        <v>95</v>
      </c>
      <c r="AV371" s="18" t="s">
        <v>7037</v>
      </c>
      <c r="AW371" s="18" t="s">
        <v>95</v>
      </c>
      <c r="AX371" s="18" t="s">
        <v>10806</v>
      </c>
      <c r="AY371" s="18" t="s">
        <v>95</v>
      </c>
      <c r="AZ371" s="18" t="s">
        <v>13653</v>
      </c>
      <c r="BA371" s="18" t="s">
        <v>13180</v>
      </c>
      <c r="BB371" s="18" t="s">
        <v>13654</v>
      </c>
      <c r="BC371" s="18" t="s">
        <v>13655</v>
      </c>
      <c r="BD371" s="18" t="s">
        <v>10829</v>
      </c>
      <c r="BE371" s="18" t="s">
        <v>13656</v>
      </c>
      <c r="BF371" s="18" t="s">
        <v>10809</v>
      </c>
      <c r="BG371" s="18" t="s">
        <v>7030</v>
      </c>
      <c r="BH371" s="18"/>
      <c r="BI371" s="18"/>
      <c r="BJ371" s="18" t="s">
        <v>271</v>
      </c>
      <c r="BK371" s="18" t="s">
        <v>13690</v>
      </c>
      <c r="BL371" s="18" t="s">
        <v>10811</v>
      </c>
      <c r="BM371" s="18" t="s">
        <v>139</v>
      </c>
      <c r="BN371" s="18" t="s">
        <v>85</v>
      </c>
      <c r="BO371" s="18">
        <v>0</v>
      </c>
      <c r="BP371" s="18" t="s">
        <v>10812</v>
      </c>
      <c r="BQ371" s="18" t="str">
        <f>VLOOKUP(Prepago[[#This Row],[NOM_PLAZA]],[1]!Locales[#Data],3,0)</f>
        <v>TIENDA CONDADO</v>
      </c>
      <c r="BR371" s="18" t="str">
        <f>VLOOKUP(Prepago[[#This Row],[CODIGO_USUARIO]],[1]!Personal[#Data],6,0)</f>
        <v>CASTILLO AGUIRRE EDWIN MODESTO</v>
      </c>
      <c r="BS371" s="18">
        <f>DAY(Prepago[[#This Row],[FECHA_ALTA]])</f>
        <v>1</v>
      </c>
    </row>
    <row r="372" spans="1:71" x14ac:dyDescent="0.25">
      <c r="A372" s="18" t="s">
        <v>96</v>
      </c>
      <c r="B372" s="18" t="s">
        <v>13691</v>
      </c>
      <c r="C372" s="18" t="s">
        <v>13692</v>
      </c>
      <c r="D372" s="18" t="s">
        <v>13693</v>
      </c>
      <c r="E372" s="22">
        <v>44897</v>
      </c>
      <c r="F372" s="18" t="s">
        <v>67</v>
      </c>
      <c r="G372" s="18" t="s">
        <v>13694</v>
      </c>
      <c r="H372" s="18" t="s">
        <v>13695</v>
      </c>
      <c r="I372" s="18" t="s">
        <v>70</v>
      </c>
      <c r="J372" s="18" t="s">
        <v>8102</v>
      </c>
      <c r="K372" s="18" t="s">
        <v>8103</v>
      </c>
      <c r="L372" s="18" t="s">
        <v>132</v>
      </c>
      <c r="M372" s="18" t="s">
        <v>7037</v>
      </c>
      <c r="N372" s="18" t="s">
        <v>13696</v>
      </c>
      <c r="O372" s="18" t="s">
        <v>75</v>
      </c>
      <c r="P372" s="18" t="s">
        <v>13697</v>
      </c>
      <c r="Q372" s="18" t="s">
        <v>10817</v>
      </c>
      <c r="R372" s="18" t="s">
        <v>78</v>
      </c>
      <c r="S372" s="18" t="s">
        <v>77</v>
      </c>
      <c r="T372" s="22">
        <v>44915</v>
      </c>
      <c r="U372" s="18"/>
      <c r="V372" s="18" t="s">
        <v>81</v>
      </c>
      <c r="W372" s="18" t="s">
        <v>79</v>
      </c>
      <c r="X372" s="18" t="s">
        <v>10803</v>
      </c>
      <c r="Y372" s="18" t="s">
        <v>271</v>
      </c>
      <c r="Z372" s="18" t="s">
        <v>272</v>
      </c>
      <c r="AA372" s="18" t="s">
        <v>271</v>
      </c>
      <c r="AB372" s="18" t="s">
        <v>272</v>
      </c>
      <c r="AC372" s="18" t="s">
        <v>7984</v>
      </c>
      <c r="AD372" s="18" t="s">
        <v>10804</v>
      </c>
      <c r="AE372" s="18" t="s">
        <v>232</v>
      </c>
      <c r="AF372" s="18" t="s">
        <v>95</v>
      </c>
      <c r="AG372" s="18" t="s">
        <v>83</v>
      </c>
      <c r="AH372" s="18" t="s">
        <v>83</v>
      </c>
      <c r="AI372" s="18" t="s">
        <v>81</v>
      </c>
      <c r="AJ372" s="18" t="s">
        <v>118</v>
      </c>
      <c r="AK372" s="18" t="s">
        <v>95</v>
      </c>
      <c r="AL372" s="18" t="s">
        <v>13652</v>
      </c>
      <c r="AM372" s="18" t="s">
        <v>85</v>
      </c>
      <c r="AN372" s="18" t="s">
        <v>7031</v>
      </c>
      <c r="AO372" s="18" t="s">
        <v>86</v>
      </c>
      <c r="AP372" s="18" t="s">
        <v>90</v>
      </c>
      <c r="AQ372" s="18" t="s">
        <v>8016</v>
      </c>
      <c r="AR372" s="18" t="s">
        <v>235</v>
      </c>
      <c r="AS372" s="18" t="s">
        <v>139</v>
      </c>
      <c r="AT372" s="18" t="s">
        <v>95</v>
      </c>
      <c r="AU372" s="18" t="s">
        <v>95</v>
      </c>
      <c r="AV372" s="18" t="s">
        <v>7037</v>
      </c>
      <c r="AW372" s="18" t="s">
        <v>95</v>
      </c>
      <c r="AX372" s="18" t="s">
        <v>10806</v>
      </c>
      <c r="AY372" s="18" t="s">
        <v>95</v>
      </c>
      <c r="AZ372" s="18" t="s">
        <v>95</v>
      </c>
      <c r="BA372" s="18" t="s">
        <v>95</v>
      </c>
      <c r="BB372" s="18" t="s">
        <v>95</v>
      </c>
      <c r="BC372" s="18" t="s">
        <v>95</v>
      </c>
      <c r="BD372" s="18" t="s">
        <v>10829</v>
      </c>
      <c r="BE372" s="18" t="s">
        <v>13698</v>
      </c>
      <c r="BF372" s="18" t="s">
        <v>10809</v>
      </c>
      <c r="BG372" s="18" t="s">
        <v>7030</v>
      </c>
      <c r="BH372" s="18"/>
      <c r="BI372" s="18"/>
      <c r="BJ372" s="18" t="s">
        <v>271</v>
      </c>
      <c r="BK372" s="18" t="s">
        <v>13699</v>
      </c>
      <c r="BL372" s="18" t="s">
        <v>10811</v>
      </c>
      <c r="BM372" s="18" t="s">
        <v>139</v>
      </c>
      <c r="BN372" s="18" t="s">
        <v>85</v>
      </c>
      <c r="BO372" s="18">
        <v>0</v>
      </c>
      <c r="BP372" s="18" t="s">
        <v>10812</v>
      </c>
      <c r="BQ372" s="18" t="str">
        <f>VLOOKUP(Prepago[[#This Row],[NOM_PLAZA]],[1]!Locales[#Data],3,0)</f>
        <v>TIENDA CONDADO</v>
      </c>
      <c r="BR372" s="18" t="str">
        <f>VLOOKUP(Prepago[[#This Row],[CODIGO_USUARIO]],[1]!Personal[#Data],6,0)</f>
        <v>CASTILLO AGUIRRE EDWIN MODESTO</v>
      </c>
      <c r="BS372" s="18">
        <f>DAY(Prepago[[#This Row],[FECHA_ALTA]])</f>
        <v>2</v>
      </c>
    </row>
    <row r="373" spans="1:71" x14ac:dyDescent="0.25">
      <c r="A373" s="18" t="s">
        <v>96</v>
      </c>
      <c r="B373" s="18" t="s">
        <v>13700</v>
      </c>
      <c r="C373" s="18" t="s">
        <v>13701</v>
      </c>
      <c r="D373" s="18" t="s">
        <v>13702</v>
      </c>
      <c r="E373" s="22">
        <v>44896</v>
      </c>
      <c r="F373" s="18" t="s">
        <v>67</v>
      </c>
      <c r="G373" s="18" t="s">
        <v>13703</v>
      </c>
      <c r="H373" s="18" t="s">
        <v>13704</v>
      </c>
      <c r="I373" s="18" t="s">
        <v>70</v>
      </c>
      <c r="J373" s="18" t="s">
        <v>8102</v>
      </c>
      <c r="K373" s="18" t="s">
        <v>8103</v>
      </c>
      <c r="L373" s="18" t="s">
        <v>132</v>
      </c>
      <c r="M373" s="18" t="s">
        <v>7037</v>
      </c>
      <c r="N373" s="18" t="s">
        <v>13705</v>
      </c>
      <c r="O373" s="18" t="s">
        <v>75</v>
      </c>
      <c r="P373" s="18" t="s">
        <v>13706</v>
      </c>
      <c r="Q373" s="18" t="s">
        <v>10817</v>
      </c>
      <c r="R373" s="18" t="s">
        <v>78</v>
      </c>
      <c r="S373" s="18" t="s">
        <v>77</v>
      </c>
      <c r="T373" s="22">
        <v>44915</v>
      </c>
      <c r="U373" s="18"/>
      <c r="V373" s="18" t="s">
        <v>81</v>
      </c>
      <c r="W373" s="18" t="s">
        <v>79</v>
      </c>
      <c r="X373" s="18" t="s">
        <v>10803</v>
      </c>
      <c r="Y373" s="18" t="s">
        <v>271</v>
      </c>
      <c r="Z373" s="18" t="s">
        <v>272</v>
      </c>
      <c r="AA373" s="18" t="s">
        <v>271</v>
      </c>
      <c r="AB373" s="18" t="s">
        <v>272</v>
      </c>
      <c r="AC373" s="18" t="s">
        <v>7984</v>
      </c>
      <c r="AD373" s="18" t="s">
        <v>10804</v>
      </c>
      <c r="AE373" s="18" t="s">
        <v>232</v>
      </c>
      <c r="AF373" s="18" t="s">
        <v>95</v>
      </c>
      <c r="AG373" s="18" t="s">
        <v>83</v>
      </c>
      <c r="AH373" s="18" t="s">
        <v>83</v>
      </c>
      <c r="AI373" s="18" t="s">
        <v>81</v>
      </c>
      <c r="AJ373" s="18" t="s">
        <v>118</v>
      </c>
      <c r="AK373" s="18" t="s">
        <v>95</v>
      </c>
      <c r="AL373" s="18" t="s">
        <v>13652</v>
      </c>
      <c r="AM373" s="18" t="s">
        <v>85</v>
      </c>
      <c r="AN373" s="18" t="s">
        <v>7031</v>
      </c>
      <c r="AO373" s="18" t="s">
        <v>86</v>
      </c>
      <c r="AP373" s="18" t="s">
        <v>90</v>
      </c>
      <c r="AQ373" s="18" t="s">
        <v>8016</v>
      </c>
      <c r="AR373" s="18" t="s">
        <v>235</v>
      </c>
      <c r="AS373" s="18" t="s">
        <v>139</v>
      </c>
      <c r="AT373" s="18" t="s">
        <v>95</v>
      </c>
      <c r="AU373" s="18" t="s">
        <v>95</v>
      </c>
      <c r="AV373" s="18" t="s">
        <v>7037</v>
      </c>
      <c r="AW373" s="18" t="s">
        <v>95</v>
      </c>
      <c r="AX373" s="18" t="s">
        <v>10806</v>
      </c>
      <c r="AY373" s="18" t="s">
        <v>95</v>
      </c>
      <c r="AZ373" s="18" t="s">
        <v>95</v>
      </c>
      <c r="BA373" s="18" t="s">
        <v>95</v>
      </c>
      <c r="BB373" s="18" t="s">
        <v>95</v>
      </c>
      <c r="BC373" s="18" t="s">
        <v>95</v>
      </c>
      <c r="BD373" s="18" t="s">
        <v>10829</v>
      </c>
      <c r="BE373" s="18" t="s">
        <v>13707</v>
      </c>
      <c r="BF373" s="18" t="s">
        <v>7037</v>
      </c>
      <c r="BG373" s="18" t="s">
        <v>7030</v>
      </c>
      <c r="BH373" s="18"/>
      <c r="BI373" s="18"/>
      <c r="BJ373" s="18" t="s">
        <v>271</v>
      </c>
      <c r="BK373" s="18" t="s">
        <v>13708</v>
      </c>
      <c r="BL373" s="18" t="s">
        <v>10811</v>
      </c>
      <c r="BM373" s="18" t="s">
        <v>139</v>
      </c>
      <c r="BN373" s="18" t="s">
        <v>85</v>
      </c>
      <c r="BO373" s="18">
        <v>1</v>
      </c>
      <c r="BP373" s="18" t="s">
        <v>10812</v>
      </c>
      <c r="BQ373" s="18" t="str">
        <f>VLOOKUP(Prepago[[#This Row],[NOM_PLAZA]],[1]!Locales[#Data],3,0)</f>
        <v>TIENDA CONDADO</v>
      </c>
      <c r="BR373" s="18" t="str">
        <f>VLOOKUP(Prepago[[#This Row],[CODIGO_USUARIO]],[1]!Personal[#Data],6,0)</f>
        <v>CASTILLO AGUIRRE EDWIN MODESTO</v>
      </c>
      <c r="BS373" s="18">
        <f>DAY(Prepago[[#This Row],[FECHA_ALTA]])</f>
        <v>1</v>
      </c>
    </row>
    <row r="374" spans="1:71" x14ac:dyDescent="0.25">
      <c r="A374" s="18" t="s">
        <v>96</v>
      </c>
      <c r="B374" s="18" t="s">
        <v>13709</v>
      </c>
      <c r="C374" s="18" t="s">
        <v>13710</v>
      </c>
      <c r="D374" s="18" t="s">
        <v>13711</v>
      </c>
      <c r="E374" s="22">
        <v>44910</v>
      </c>
      <c r="F374" s="18" t="s">
        <v>67</v>
      </c>
      <c r="G374" s="18" t="s">
        <v>13712</v>
      </c>
      <c r="H374" s="18" t="s">
        <v>13713</v>
      </c>
      <c r="I374" s="18" t="s">
        <v>70</v>
      </c>
      <c r="J374" s="18" t="s">
        <v>8102</v>
      </c>
      <c r="K374" s="18" t="s">
        <v>8103</v>
      </c>
      <c r="L374" s="18" t="s">
        <v>132</v>
      </c>
      <c r="M374" s="18" t="s">
        <v>7037</v>
      </c>
      <c r="N374" s="18" t="s">
        <v>13714</v>
      </c>
      <c r="O374" s="18" t="s">
        <v>75</v>
      </c>
      <c r="P374" s="18" t="s">
        <v>13715</v>
      </c>
      <c r="Q374" s="18" t="s">
        <v>10817</v>
      </c>
      <c r="R374" s="18" t="s">
        <v>78</v>
      </c>
      <c r="S374" s="18" t="s">
        <v>77</v>
      </c>
      <c r="T374" s="22">
        <v>44915</v>
      </c>
      <c r="U374" s="18"/>
      <c r="V374" s="18" t="s">
        <v>81</v>
      </c>
      <c r="W374" s="18" t="s">
        <v>79</v>
      </c>
      <c r="X374" s="18" t="s">
        <v>10803</v>
      </c>
      <c r="Y374" s="18" t="s">
        <v>769</v>
      </c>
      <c r="Z374" s="18" t="s">
        <v>770</v>
      </c>
      <c r="AA374" s="18" t="s">
        <v>769</v>
      </c>
      <c r="AB374" s="18" t="s">
        <v>770</v>
      </c>
      <c r="AC374" s="18" t="s">
        <v>7984</v>
      </c>
      <c r="AD374" s="18" t="s">
        <v>10804</v>
      </c>
      <c r="AE374" s="18" t="s">
        <v>232</v>
      </c>
      <c r="AF374" s="18" t="s">
        <v>95</v>
      </c>
      <c r="AG374" s="18" t="s">
        <v>83</v>
      </c>
      <c r="AH374" s="18" t="s">
        <v>83</v>
      </c>
      <c r="AI374" s="18" t="s">
        <v>81</v>
      </c>
      <c r="AJ374" s="18" t="s">
        <v>118</v>
      </c>
      <c r="AK374" s="18" t="s">
        <v>95</v>
      </c>
      <c r="AL374" s="18" t="s">
        <v>10744</v>
      </c>
      <c r="AM374" s="18" t="s">
        <v>85</v>
      </c>
      <c r="AN374" s="18" t="s">
        <v>7031</v>
      </c>
      <c r="AO374" s="18" t="s">
        <v>86</v>
      </c>
      <c r="AP374" s="18" t="s">
        <v>90</v>
      </c>
      <c r="AQ374" s="18" t="s">
        <v>8016</v>
      </c>
      <c r="AR374" s="18" t="s">
        <v>235</v>
      </c>
      <c r="AS374" s="18" t="s">
        <v>139</v>
      </c>
      <c r="AT374" s="18" t="s">
        <v>95</v>
      </c>
      <c r="AU374" s="18" t="s">
        <v>95</v>
      </c>
      <c r="AV374" s="18" t="s">
        <v>7037</v>
      </c>
      <c r="AW374" s="18" t="s">
        <v>95</v>
      </c>
      <c r="AX374" s="18" t="s">
        <v>10806</v>
      </c>
      <c r="AY374" s="18" t="s">
        <v>95</v>
      </c>
      <c r="AZ374" s="18" t="s">
        <v>95</v>
      </c>
      <c r="BA374" s="18" t="s">
        <v>95</v>
      </c>
      <c r="BB374" s="18" t="s">
        <v>95</v>
      </c>
      <c r="BC374" s="18" t="s">
        <v>95</v>
      </c>
      <c r="BD374" s="18" t="s">
        <v>10829</v>
      </c>
      <c r="BE374" s="18" t="s">
        <v>13716</v>
      </c>
      <c r="BF374" s="18" t="s">
        <v>10809</v>
      </c>
      <c r="BG374" s="18" t="s">
        <v>7030</v>
      </c>
      <c r="BH374" s="18"/>
      <c r="BI374" s="18"/>
      <c r="BJ374" s="18" t="s">
        <v>769</v>
      </c>
      <c r="BK374" s="18" t="s">
        <v>13717</v>
      </c>
      <c r="BL374" s="18" t="s">
        <v>10811</v>
      </c>
      <c r="BM374" s="18" t="s">
        <v>139</v>
      </c>
      <c r="BN374" s="18" t="s">
        <v>85</v>
      </c>
      <c r="BO374" s="18">
        <v>1</v>
      </c>
      <c r="BP374" s="18" t="s">
        <v>10812</v>
      </c>
      <c r="BQ374" s="18" t="str">
        <f>VLOOKUP(Prepago[[#This Row],[NOM_PLAZA]],[1]!Locales[#Data],3,0)</f>
        <v>TIENDA CONDADO</v>
      </c>
      <c r="BR374" s="18" t="str">
        <f>VLOOKUP(Prepago[[#This Row],[CODIGO_USUARIO]],[1]!Personal[#Data],6,0)</f>
        <v>ROJAS VEGA JHOSMERY MICHELE</v>
      </c>
      <c r="BS374" s="18">
        <f>DAY(Prepago[[#This Row],[FECHA_ALTA]])</f>
        <v>15</v>
      </c>
    </row>
    <row r="375" spans="1:71" x14ac:dyDescent="0.25">
      <c r="A375" s="18" t="s">
        <v>96</v>
      </c>
      <c r="B375" s="18" t="s">
        <v>8799</v>
      </c>
      <c r="C375" s="18" t="s">
        <v>8805</v>
      </c>
      <c r="D375" s="18" t="s">
        <v>8801</v>
      </c>
      <c r="E375" s="22">
        <v>44901</v>
      </c>
      <c r="F375" s="18" t="s">
        <v>67</v>
      </c>
      <c r="G375" s="18" t="s">
        <v>8802</v>
      </c>
      <c r="H375" s="18" t="s">
        <v>8803</v>
      </c>
      <c r="I375" s="18" t="s">
        <v>70</v>
      </c>
      <c r="J375" s="18" t="s">
        <v>8102</v>
      </c>
      <c r="K375" s="18" t="s">
        <v>8103</v>
      </c>
      <c r="L375" s="18" t="s">
        <v>13441</v>
      </c>
      <c r="M375" s="18" t="s">
        <v>7037</v>
      </c>
      <c r="N375" s="18" t="s">
        <v>8804</v>
      </c>
      <c r="O375" s="18" t="s">
        <v>287</v>
      </c>
      <c r="P375" s="18" t="s">
        <v>13718</v>
      </c>
      <c r="Q375" s="18" t="s">
        <v>4453</v>
      </c>
      <c r="R375" s="18" t="s">
        <v>78</v>
      </c>
      <c r="S375" s="18" t="s">
        <v>77</v>
      </c>
      <c r="T375" s="22">
        <v>44915</v>
      </c>
      <c r="U375" s="18"/>
      <c r="V375" s="18" t="s">
        <v>81</v>
      </c>
      <c r="W375" s="18" t="s">
        <v>79</v>
      </c>
      <c r="X375" s="18" t="s">
        <v>10803</v>
      </c>
      <c r="Y375" s="18" t="s">
        <v>280</v>
      </c>
      <c r="Z375" s="18" t="s">
        <v>281</v>
      </c>
      <c r="AA375" s="18" t="s">
        <v>280</v>
      </c>
      <c r="AB375" s="18" t="s">
        <v>281</v>
      </c>
      <c r="AC375" s="18" t="s">
        <v>7984</v>
      </c>
      <c r="AD375" s="18" t="s">
        <v>10804</v>
      </c>
      <c r="AE375" s="18" t="s">
        <v>232</v>
      </c>
      <c r="AF375" s="18" t="s">
        <v>95</v>
      </c>
      <c r="AG375" s="18" t="s">
        <v>83</v>
      </c>
      <c r="AH375" s="18" t="s">
        <v>83</v>
      </c>
      <c r="AI375" s="18" t="s">
        <v>81</v>
      </c>
      <c r="AJ375" s="18" t="s">
        <v>118</v>
      </c>
      <c r="AK375" s="18" t="s">
        <v>95</v>
      </c>
      <c r="AL375" s="18" t="s">
        <v>10760</v>
      </c>
      <c r="AM375" s="18" t="s">
        <v>85</v>
      </c>
      <c r="AN375" s="18" t="s">
        <v>7031</v>
      </c>
      <c r="AO375" s="18" t="s">
        <v>86</v>
      </c>
      <c r="AP375" s="18" t="s">
        <v>90</v>
      </c>
      <c r="AQ375" s="18" t="s">
        <v>8016</v>
      </c>
      <c r="AR375" s="18" t="s">
        <v>235</v>
      </c>
      <c r="AS375" s="18" t="s">
        <v>139</v>
      </c>
      <c r="AT375" s="18" t="s">
        <v>95</v>
      </c>
      <c r="AU375" s="18" t="s">
        <v>95</v>
      </c>
      <c r="AV375" s="18" t="s">
        <v>7037</v>
      </c>
      <c r="AW375" s="18" t="s">
        <v>95</v>
      </c>
      <c r="AX375" s="18" t="s">
        <v>10806</v>
      </c>
      <c r="AY375" s="18" t="s">
        <v>95</v>
      </c>
      <c r="AZ375" s="18" t="s">
        <v>95</v>
      </c>
      <c r="BA375" s="18" t="s">
        <v>95</v>
      </c>
      <c r="BB375" s="18" t="s">
        <v>95</v>
      </c>
      <c r="BC375" s="18" t="s">
        <v>95</v>
      </c>
      <c r="BD375" s="18" t="s">
        <v>10829</v>
      </c>
      <c r="BE375" s="18" t="s">
        <v>13719</v>
      </c>
      <c r="BF375" s="18" t="s">
        <v>10809</v>
      </c>
      <c r="BG375" s="18" t="s">
        <v>7030</v>
      </c>
      <c r="BH375" s="18"/>
      <c r="BI375" s="18"/>
      <c r="BJ375" s="18" t="s">
        <v>280</v>
      </c>
      <c r="BK375" s="18" t="s">
        <v>13720</v>
      </c>
      <c r="BL375" s="18" t="s">
        <v>10811</v>
      </c>
      <c r="BM375" s="18" t="s">
        <v>139</v>
      </c>
      <c r="BN375" s="18" t="s">
        <v>85</v>
      </c>
      <c r="BO375" s="18">
        <v>0</v>
      </c>
      <c r="BP375" s="18" t="s">
        <v>10812</v>
      </c>
      <c r="BQ375" s="18" t="str">
        <f>VLOOKUP(Prepago[[#This Row],[NOM_PLAZA]],[1]!Locales[#Data],3,0)</f>
        <v>TIENDA CONDADO</v>
      </c>
      <c r="BR375" s="18" t="str">
        <f>VLOOKUP(Prepago[[#This Row],[CODIGO_USUARIO]],[1]!Personal[#Data],6,0)</f>
        <v>GUACHAMIN CAZA HUGO ADRIAN</v>
      </c>
      <c r="BS375" s="18">
        <f>DAY(Prepago[[#This Row],[FECHA_ALTA]])</f>
        <v>6</v>
      </c>
    </row>
    <row r="376" spans="1:71" x14ac:dyDescent="0.25">
      <c r="A376" s="18" t="s">
        <v>96</v>
      </c>
      <c r="B376" s="18" t="s">
        <v>8401</v>
      </c>
      <c r="C376" s="18" t="s">
        <v>8407</v>
      </c>
      <c r="D376" s="18" t="s">
        <v>8403</v>
      </c>
      <c r="E376" s="22">
        <v>44899</v>
      </c>
      <c r="F376" s="18" t="s">
        <v>67</v>
      </c>
      <c r="G376" s="18" t="s">
        <v>8404</v>
      </c>
      <c r="H376" s="18" t="s">
        <v>8405</v>
      </c>
      <c r="I376" s="18" t="s">
        <v>70</v>
      </c>
      <c r="J376" s="18" t="s">
        <v>8102</v>
      </c>
      <c r="K376" s="18" t="s">
        <v>8103</v>
      </c>
      <c r="L376" s="18" t="s">
        <v>132</v>
      </c>
      <c r="M376" s="18" t="s">
        <v>7037</v>
      </c>
      <c r="N376" s="18" t="s">
        <v>8406</v>
      </c>
      <c r="O376" s="18" t="s">
        <v>287</v>
      </c>
      <c r="P376" s="18" t="s">
        <v>13721</v>
      </c>
      <c r="Q376" s="18" t="s">
        <v>10817</v>
      </c>
      <c r="R376" s="18" t="s">
        <v>78</v>
      </c>
      <c r="S376" s="18" t="s">
        <v>77</v>
      </c>
      <c r="T376" s="22">
        <v>44915</v>
      </c>
      <c r="U376" s="18"/>
      <c r="V376" s="18" t="s">
        <v>81</v>
      </c>
      <c r="W376" s="18" t="s">
        <v>79</v>
      </c>
      <c r="X376" s="18" t="s">
        <v>10803</v>
      </c>
      <c r="Y376" s="18" t="s">
        <v>280</v>
      </c>
      <c r="Z376" s="18" t="s">
        <v>281</v>
      </c>
      <c r="AA376" s="18" t="s">
        <v>280</v>
      </c>
      <c r="AB376" s="18" t="s">
        <v>281</v>
      </c>
      <c r="AC376" s="18" t="s">
        <v>7984</v>
      </c>
      <c r="AD376" s="18" t="s">
        <v>10804</v>
      </c>
      <c r="AE376" s="18" t="s">
        <v>232</v>
      </c>
      <c r="AF376" s="18" t="s">
        <v>95</v>
      </c>
      <c r="AG376" s="18" t="s">
        <v>83</v>
      </c>
      <c r="AH376" s="18" t="s">
        <v>83</v>
      </c>
      <c r="AI376" s="18" t="s">
        <v>81</v>
      </c>
      <c r="AJ376" s="18" t="s">
        <v>118</v>
      </c>
      <c r="AK376" s="18" t="s">
        <v>95</v>
      </c>
      <c r="AL376" s="18" t="s">
        <v>10760</v>
      </c>
      <c r="AM376" s="18" t="s">
        <v>85</v>
      </c>
      <c r="AN376" s="18" t="s">
        <v>7031</v>
      </c>
      <c r="AO376" s="18" t="s">
        <v>86</v>
      </c>
      <c r="AP376" s="18" t="s">
        <v>90</v>
      </c>
      <c r="AQ376" s="18" t="s">
        <v>8016</v>
      </c>
      <c r="AR376" s="18" t="s">
        <v>235</v>
      </c>
      <c r="AS376" s="18" t="s">
        <v>139</v>
      </c>
      <c r="AT376" s="18" t="s">
        <v>95</v>
      </c>
      <c r="AU376" s="18" t="s">
        <v>95</v>
      </c>
      <c r="AV376" s="18" t="s">
        <v>7037</v>
      </c>
      <c r="AW376" s="18" t="s">
        <v>95</v>
      </c>
      <c r="AX376" s="18" t="s">
        <v>10806</v>
      </c>
      <c r="AY376" s="18" t="s">
        <v>95</v>
      </c>
      <c r="AZ376" s="18" t="s">
        <v>95</v>
      </c>
      <c r="BA376" s="18" t="s">
        <v>95</v>
      </c>
      <c r="BB376" s="18" t="s">
        <v>95</v>
      </c>
      <c r="BC376" s="18" t="s">
        <v>95</v>
      </c>
      <c r="BD376" s="18" t="s">
        <v>10829</v>
      </c>
      <c r="BE376" s="18" t="s">
        <v>13722</v>
      </c>
      <c r="BF376" s="18" t="s">
        <v>10809</v>
      </c>
      <c r="BG376" s="18" t="s">
        <v>7030</v>
      </c>
      <c r="BH376" s="18"/>
      <c r="BI376" s="18"/>
      <c r="BJ376" s="18" t="s">
        <v>280</v>
      </c>
      <c r="BK376" s="18" t="s">
        <v>13723</v>
      </c>
      <c r="BL376" s="18" t="s">
        <v>10811</v>
      </c>
      <c r="BM376" s="18" t="s">
        <v>139</v>
      </c>
      <c r="BN376" s="18" t="s">
        <v>85</v>
      </c>
      <c r="BO376" s="18">
        <v>0</v>
      </c>
      <c r="BP376" s="18" t="s">
        <v>10812</v>
      </c>
      <c r="BQ376" s="18" t="str">
        <f>VLOOKUP(Prepago[[#This Row],[NOM_PLAZA]],[1]!Locales[#Data],3,0)</f>
        <v>TIENDA CONDADO</v>
      </c>
      <c r="BR376" s="18" t="str">
        <f>VLOOKUP(Prepago[[#This Row],[CODIGO_USUARIO]],[1]!Personal[#Data],6,0)</f>
        <v>GUACHAMIN CAZA HUGO ADRIAN</v>
      </c>
      <c r="BS376" s="18">
        <f>DAY(Prepago[[#This Row],[FECHA_ALTA]])</f>
        <v>4</v>
      </c>
    </row>
    <row r="377" spans="1:71" x14ac:dyDescent="0.25">
      <c r="A377" s="18" t="s">
        <v>96</v>
      </c>
      <c r="B377" s="18" t="s">
        <v>13724</v>
      </c>
      <c r="C377" s="18" t="s">
        <v>13725</v>
      </c>
      <c r="D377" s="18" t="s">
        <v>13726</v>
      </c>
      <c r="E377" s="22">
        <v>44911</v>
      </c>
      <c r="F377" s="18" t="s">
        <v>67</v>
      </c>
      <c r="G377" s="18" t="s">
        <v>13727</v>
      </c>
      <c r="H377" s="18" t="s">
        <v>13728</v>
      </c>
      <c r="I377" s="18" t="s">
        <v>70</v>
      </c>
      <c r="J377" s="18" t="s">
        <v>8102</v>
      </c>
      <c r="K377" s="18" t="s">
        <v>8103</v>
      </c>
      <c r="L377" s="18" t="s">
        <v>132</v>
      </c>
      <c r="M377" s="18" t="s">
        <v>7037</v>
      </c>
      <c r="N377" s="18" t="s">
        <v>13729</v>
      </c>
      <c r="O377" s="18" t="s">
        <v>75</v>
      </c>
      <c r="P377" s="18" t="s">
        <v>13730</v>
      </c>
      <c r="Q377" s="18" t="s">
        <v>10817</v>
      </c>
      <c r="R377" s="18" t="s">
        <v>78</v>
      </c>
      <c r="S377" s="18" t="s">
        <v>77</v>
      </c>
      <c r="T377" s="22">
        <v>44915</v>
      </c>
      <c r="U377" s="18"/>
      <c r="V377" s="18" t="s">
        <v>81</v>
      </c>
      <c r="W377" s="18" t="s">
        <v>79</v>
      </c>
      <c r="X377" s="18" t="s">
        <v>10803</v>
      </c>
      <c r="Y377" s="18" t="s">
        <v>271</v>
      </c>
      <c r="Z377" s="18" t="s">
        <v>272</v>
      </c>
      <c r="AA377" s="18" t="s">
        <v>271</v>
      </c>
      <c r="AB377" s="18" t="s">
        <v>272</v>
      </c>
      <c r="AC377" s="18" t="s">
        <v>7984</v>
      </c>
      <c r="AD377" s="18" t="s">
        <v>10804</v>
      </c>
      <c r="AE377" s="18" t="s">
        <v>232</v>
      </c>
      <c r="AF377" s="18" t="s">
        <v>95</v>
      </c>
      <c r="AG377" s="18" t="s">
        <v>83</v>
      </c>
      <c r="AH377" s="18" t="s">
        <v>83</v>
      </c>
      <c r="AI377" s="18" t="s">
        <v>81</v>
      </c>
      <c r="AJ377" s="18" t="s">
        <v>118</v>
      </c>
      <c r="AK377" s="18" t="s">
        <v>95</v>
      </c>
      <c r="AL377" s="18" t="s">
        <v>13652</v>
      </c>
      <c r="AM377" s="18" t="s">
        <v>85</v>
      </c>
      <c r="AN377" s="18" t="s">
        <v>7031</v>
      </c>
      <c r="AO377" s="18" t="s">
        <v>86</v>
      </c>
      <c r="AP377" s="18" t="s">
        <v>90</v>
      </c>
      <c r="AQ377" s="18" t="s">
        <v>8016</v>
      </c>
      <c r="AR377" s="18" t="s">
        <v>235</v>
      </c>
      <c r="AS377" s="18" t="s">
        <v>139</v>
      </c>
      <c r="AT377" s="18" t="s">
        <v>95</v>
      </c>
      <c r="AU377" s="18" t="s">
        <v>95</v>
      </c>
      <c r="AV377" s="18" t="s">
        <v>7037</v>
      </c>
      <c r="AW377" s="18" t="s">
        <v>95</v>
      </c>
      <c r="AX377" s="18" t="s">
        <v>10806</v>
      </c>
      <c r="AY377" s="18" t="s">
        <v>95</v>
      </c>
      <c r="AZ377" s="18" t="s">
        <v>95</v>
      </c>
      <c r="BA377" s="18" t="s">
        <v>95</v>
      </c>
      <c r="BB377" s="18" t="s">
        <v>95</v>
      </c>
      <c r="BC377" s="18" t="s">
        <v>95</v>
      </c>
      <c r="BD377" s="18" t="s">
        <v>10829</v>
      </c>
      <c r="BE377" s="18" t="s">
        <v>13731</v>
      </c>
      <c r="BF377" s="18" t="s">
        <v>10809</v>
      </c>
      <c r="BG377" s="18" t="s">
        <v>7030</v>
      </c>
      <c r="BH377" s="18"/>
      <c r="BI377" s="18"/>
      <c r="BJ377" s="18" t="s">
        <v>271</v>
      </c>
      <c r="BK377" s="18" t="s">
        <v>13732</v>
      </c>
      <c r="BL377" s="18" t="s">
        <v>10811</v>
      </c>
      <c r="BM377" s="18" t="s">
        <v>139</v>
      </c>
      <c r="BN377" s="18" t="s">
        <v>85</v>
      </c>
      <c r="BO377" s="18">
        <v>0</v>
      </c>
      <c r="BP377" s="18" t="s">
        <v>10812</v>
      </c>
      <c r="BQ377" s="18" t="str">
        <f>VLOOKUP(Prepago[[#This Row],[NOM_PLAZA]],[1]!Locales[#Data],3,0)</f>
        <v>TIENDA CONDADO</v>
      </c>
      <c r="BR377" s="18" t="str">
        <f>VLOOKUP(Prepago[[#This Row],[CODIGO_USUARIO]],[1]!Personal[#Data],6,0)</f>
        <v>CASTILLO AGUIRRE EDWIN MODESTO</v>
      </c>
      <c r="BS377" s="18">
        <f>DAY(Prepago[[#This Row],[FECHA_ALTA]])</f>
        <v>16</v>
      </c>
    </row>
    <row r="378" spans="1:71" x14ac:dyDescent="0.25">
      <c r="A378" s="18" t="s">
        <v>96</v>
      </c>
      <c r="B378" s="18" t="s">
        <v>13733</v>
      </c>
      <c r="C378" s="18" t="s">
        <v>13734</v>
      </c>
      <c r="D378" s="18" t="s">
        <v>13735</v>
      </c>
      <c r="E378" s="22">
        <v>44903</v>
      </c>
      <c r="F378" s="18" t="s">
        <v>67</v>
      </c>
      <c r="G378" s="18" t="s">
        <v>13736</v>
      </c>
      <c r="H378" s="18" t="s">
        <v>13737</v>
      </c>
      <c r="I378" s="18" t="s">
        <v>70</v>
      </c>
      <c r="J378" s="18" t="s">
        <v>8102</v>
      </c>
      <c r="K378" s="18" t="s">
        <v>8103</v>
      </c>
      <c r="L378" s="18" t="s">
        <v>132</v>
      </c>
      <c r="M378" s="18" t="s">
        <v>7037</v>
      </c>
      <c r="N378" s="18" t="s">
        <v>13738</v>
      </c>
      <c r="O378" s="18" t="s">
        <v>75</v>
      </c>
      <c r="P378" s="18" t="s">
        <v>13739</v>
      </c>
      <c r="Q378" s="18" t="s">
        <v>4453</v>
      </c>
      <c r="R378" s="18" t="s">
        <v>78</v>
      </c>
      <c r="S378" s="18" t="s">
        <v>77</v>
      </c>
      <c r="T378" s="22">
        <v>44915</v>
      </c>
      <c r="U378" s="18"/>
      <c r="V378" s="18" t="s">
        <v>81</v>
      </c>
      <c r="W378" s="18" t="s">
        <v>79</v>
      </c>
      <c r="X378" s="18" t="s">
        <v>10803</v>
      </c>
      <c r="Y378" s="18" t="s">
        <v>280</v>
      </c>
      <c r="Z378" s="18" t="s">
        <v>281</v>
      </c>
      <c r="AA378" s="18" t="s">
        <v>280</v>
      </c>
      <c r="AB378" s="18" t="s">
        <v>281</v>
      </c>
      <c r="AC378" s="18" t="s">
        <v>7984</v>
      </c>
      <c r="AD378" s="18" t="s">
        <v>10804</v>
      </c>
      <c r="AE378" s="18" t="s">
        <v>232</v>
      </c>
      <c r="AF378" s="18" t="s">
        <v>95</v>
      </c>
      <c r="AG378" s="18" t="s">
        <v>83</v>
      </c>
      <c r="AH378" s="18" t="s">
        <v>83</v>
      </c>
      <c r="AI378" s="18" t="s">
        <v>81</v>
      </c>
      <c r="AJ378" s="18" t="s">
        <v>118</v>
      </c>
      <c r="AK378" s="18" t="s">
        <v>95</v>
      </c>
      <c r="AL378" s="18" t="s">
        <v>10760</v>
      </c>
      <c r="AM378" s="18" t="s">
        <v>85</v>
      </c>
      <c r="AN378" s="18" t="s">
        <v>7031</v>
      </c>
      <c r="AO378" s="18" t="s">
        <v>86</v>
      </c>
      <c r="AP378" s="18" t="s">
        <v>90</v>
      </c>
      <c r="AQ378" s="18" t="s">
        <v>8016</v>
      </c>
      <c r="AR378" s="18" t="s">
        <v>235</v>
      </c>
      <c r="AS378" s="18" t="s">
        <v>139</v>
      </c>
      <c r="AT378" s="18" t="s">
        <v>95</v>
      </c>
      <c r="AU378" s="18" t="s">
        <v>95</v>
      </c>
      <c r="AV378" s="18" t="s">
        <v>7037</v>
      </c>
      <c r="AW378" s="18" t="s">
        <v>95</v>
      </c>
      <c r="AX378" s="18" t="s">
        <v>10806</v>
      </c>
      <c r="AY378" s="18" t="s">
        <v>95</v>
      </c>
      <c r="AZ378" s="18" t="s">
        <v>95</v>
      </c>
      <c r="BA378" s="18" t="s">
        <v>95</v>
      </c>
      <c r="BB378" s="18" t="s">
        <v>95</v>
      </c>
      <c r="BC378" s="18" t="s">
        <v>95</v>
      </c>
      <c r="BD378" s="18" t="s">
        <v>10807</v>
      </c>
      <c r="BE378" s="18" t="s">
        <v>13740</v>
      </c>
      <c r="BF378" s="18" t="s">
        <v>10809</v>
      </c>
      <c r="BG378" s="18" t="s">
        <v>7030</v>
      </c>
      <c r="BH378" s="18"/>
      <c r="BI378" s="18"/>
      <c r="BJ378" s="18" t="s">
        <v>280</v>
      </c>
      <c r="BK378" s="18" t="s">
        <v>13741</v>
      </c>
      <c r="BL378" s="18" t="s">
        <v>10811</v>
      </c>
      <c r="BM378" s="18" t="s">
        <v>139</v>
      </c>
      <c r="BN378" s="18" t="s">
        <v>85</v>
      </c>
      <c r="BO378" s="18">
        <v>1</v>
      </c>
      <c r="BP378" s="18" t="s">
        <v>10812</v>
      </c>
      <c r="BQ378" s="18" t="str">
        <f>VLOOKUP(Prepago[[#This Row],[NOM_PLAZA]],[1]!Locales[#Data],3,0)</f>
        <v>TIENDA CONDADO</v>
      </c>
      <c r="BR378" s="18" t="str">
        <f>VLOOKUP(Prepago[[#This Row],[CODIGO_USUARIO]],[1]!Personal[#Data],6,0)</f>
        <v>GUACHAMIN CAZA HUGO ADRIAN</v>
      </c>
      <c r="BS378" s="18">
        <f>DAY(Prepago[[#This Row],[FECHA_ALTA]])</f>
        <v>8</v>
      </c>
    </row>
    <row r="379" spans="1:71" x14ac:dyDescent="0.25">
      <c r="A379" s="18" t="s">
        <v>96</v>
      </c>
      <c r="B379" s="18" t="s">
        <v>13742</v>
      </c>
      <c r="C379" s="18" t="s">
        <v>13743</v>
      </c>
      <c r="D379" s="18" t="s">
        <v>13744</v>
      </c>
      <c r="E379" s="22">
        <v>44897</v>
      </c>
      <c r="F379" s="18" t="s">
        <v>67</v>
      </c>
      <c r="G379" s="18" t="s">
        <v>13745</v>
      </c>
      <c r="H379" s="18" t="s">
        <v>13746</v>
      </c>
      <c r="I379" s="18" t="s">
        <v>70</v>
      </c>
      <c r="J379" s="18" t="s">
        <v>8102</v>
      </c>
      <c r="K379" s="18" t="s">
        <v>8103</v>
      </c>
      <c r="L379" s="18" t="s">
        <v>132</v>
      </c>
      <c r="M379" s="18" t="s">
        <v>7037</v>
      </c>
      <c r="N379" s="18" t="s">
        <v>13747</v>
      </c>
      <c r="O379" s="18" t="s">
        <v>75</v>
      </c>
      <c r="P379" s="18" t="s">
        <v>13748</v>
      </c>
      <c r="Q379" s="18" t="s">
        <v>10817</v>
      </c>
      <c r="R379" s="18" t="s">
        <v>78</v>
      </c>
      <c r="S379" s="18" t="s">
        <v>77</v>
      </c>
      <c r="T379" s="22">
        <v>44915</v>
      </c>
      <c r="U379" s="18"/>
      <c r="V379" s="18" t="s">
        <v>81</v>
      </c>
      <c r="W379" s="18" t="s">
        <v>79</v>
      </c>
      <c r="X379" s="18" t="s">
        <v>10803</v>
      </c>
      <c r="Y379" s="18" t="s">
        <v>271</v>
      </c>
      <c r="Z379" s="18" t="s">
        <v>272</v>
      </c>
      <c r="AA379" s="18" t="s">
        <v>271</v>
      </c>
      <c r="AB379" s="18" t="s">
        <v>272</v>
      </c>
      <c r="AC379" s="18" t="s">
        <v>7984</v>
      </c>
      <c r="AD379" s="18" t="s">
        <v>10804</v>
      </c>
      <c r="AE379" s="18" t="s">
        <v>232</v>
      </c>
      <c r="AF379" s="18" t="s">
        <v>95</v>
      </c>
      <c r="AG379" s="18" t="s">
        <v>83</v>
      </c>
      <c r="AH379" s="18" t="s">
        <v>83</v>
      </c>
      <c r="AI379" s="18" t="s">
        <v>81</v>
      </c>
      <c r="AJ379" s="18" t="s">
        <v>118</v>
      </c>
      <c r="AK379" s="18" t="s">
        <v>95</v>
      </c>
      <c r="AL379" s="18" t="s">
        <v>13652</v>
      </c>
      <c r="AM379" s="18" t="s">
        <v>85</v>
      </c>
      <c r="AN379" s="18" t="s">
        <v>7031</v>
      </c>
      <c r="AO379" s="18" t="s">
        <v>86</v>
      </c>
      <c r="AP379" s="18" t="s">
        <v>90</v>
      </c>
      <c r="AQ379" s="18" t="s">
        <v>8016</v>
      </c>
      <c r="AR379" s="18" t="s">
        <v>235</v>
      </c>
      <c r="AS379" s="18" t="s">
        <v>139</v>
      </c>
      <c r="AT379" s="18" t="s">
        <v>95</v>
      </c>
      <c r="AU379" s="18" t="s">
        <v>95</v>
      </c>
      <c r="AV379" s="18" t="s">
        <v>7037</v>
      </c>
      <c r="AW379" s="18" t="s">
        <v>95</v>
      </c>
      <c r="AX379" s="18" t="s">
        <v>10806</v>
      </c>
      <c r="AY379" s="18" t="s">
        <v>95</v>
      </c>
      <c r="AZ379" s="18" t="s">
        <v>95</v>
      </c>
      <c r="BA379" s="18" t="s">
        <v>95</v>
      </c>
      <c r="BB379" s="18" t="s">
        <v>95</v>
      </c>
      <c r="BC379" s="18" t="s">
        <v>95</v>
      </c>
      <c r="BD379" s="18" t="s">
        <v>10829</v>
      </c>
      <c r="BE379" s="18" t="s">
        <v>13749</v>
      </c>
      <c r="BF379" s="18" t="s">
        <v>10809</v>
      </c>
      <c r="BG379" s="18" t="s">
        <v>7030</v>
      </c>
      <c r="BH379" s="18"/>
      <c r="BI379" s="18"/>
      <c r="BJ379" s="18" t="s">
        <v>271</v>
      </c>
      <c r="BK379" s="18" t="s">
        <v>13750</v>
      </c>
      <c r="BL379" s="18" t="s">
        <v>10811</v>
      </c>
      <c r="BM379" s="18" t="s">
        <v>139</v>
      </c>
      <c r="BN379" s="18" t="s">
        <v>85</v>
      </c>
      <c r="BO379" s="18">
        <v>0</v>
      </c>
      <c r="BP379" s="18" t="s">
        <v>10812</v>
      </c>
      <c r="BQ379" s="18" t="str">
        <f>VLOOKUP(Prepago[[#This Row],[NOM_PLAZA]],[1]!Locales[#Data],3,0)</f>
        <v>TIENDA CONDADO</v>
      </c>
      <c r="BR379" s="18" t="str">
        <f>VLOOKUP(Prepago[[#This Row],[CODIGO_USUARIO]],[1]!Personal[#Data],6,0)</f>
        <v>CASTILLO AGUIRRE EDWIN MODESTO</v>
      </c>
      <c r="BS379" s="18">
        <f>DAY(Prepago[[#This Row],[FECHA_ALTA]])</f>
        <v>2</v>
      </c>
    </row>
    <row r="380" spans="1:71" x14ac:dyDescent="0.25">
      <c r="A380" s="18" t="s">
        <v>96</v>
      </c>
      <c r="B380" s="18" t="s">
        <v>8107</v>
      </c>
      <c r="C380" s="18" t="s">
        <v>8113</v>
      </c>
      <c r="D380" s="18" t="s">
        <v>8109</v>
      </c>
      <c r="E380" s="22">
        <v>44896</v>
      </c>
      <c r="F380" s="18" t="s">
        <v>67</v>
      </c>
      <c r="G380" s="18" t="s">
        <v>8110</v>
      </c>
      <c r="H380" s="18" t="s">
        <v>8111</v>
      </c>
      <c r="I380" s="18" t="s">
        <v>70</v>
      </c>
      <c r="J380" s="18" t="s">
        <v>8102</v>
      </c>
      <c r="K380" s="18" t="s">
        <v>8103</v>
      </c>
      <c r="L380" s="18" t="s">
        <v>132</v>
      </c>
      <c r="M380" s="18" t="s">
        <v>7037</v>
      </c>
      <c r="N380" s="18" t="s">
        <v>8112</v>
      </c>
      <c r="O380" s="18" t="s">
        <v>287</v>
      </c>
      <c r="P380" s="18" t="s">
        <v>13751</v>
      </c>
      <c r="Q380" s="18" t="s">
        <v>10817</v>
      </c>
      <c r="R380" s="18" t="s">
        <v>78</v>
      </c>
      <c r="S380" s="18" t="s">
        <v>77</v>
      </c>
      <c r="T380" s="22">
        <v>44915</v>
      </c>
      <c r="U380" s="18"/>
      <c r="V380" s="18" t="s">
        <v>81</v>
      </c>
      <c r="W380" s="18" t="s">
        <v>79</v>
      </c>
      <c r="X380" s="18" t="s">
        <v>10803</v>
      </c>
      <c r="Y380" s="18" t="s">
        <v>271</v>
      </c>
      <c r="Z380" s="18" t="s">
        <v>272</v>
      </c>
      <c r="AA380" s="18" t="s">
        <v>271</v>
      </c>
      <c r="AB380" s="18" t="s">
        <v>272</v>
      </c>
      <c r="AC380" s="18" t="s">
        <v>7984</v>
      </c>
      <c r="AD380" s="18" t="s">
        <v>10804</v>
      </c>
      <c r="AE380" s="18" t="s">
        <v>232</v>
      </c>
      <c r="AF380" s="18" t="s">
        <v>95</v>
      </c>
      <c r="AG380" s="18" t="s">
        <v>83</v>
      </c>
      <c r="AH380" s="18" t="s">
        <v>83</v>
      </c>
      <c r="AI380" s="18" t="s">
        <v>81</v>
      </c>
      <c r="AJ380" s="18" t="s">
        <v>118</v>
      </c>
      <c r="AK380" s="18" t="s">
        <v>95</v>
      </c>
      <c r="AL380" s="18" t="s">
        <v>13652</v>
      </c>
      <c r="AM380" s="18" t="s">
        <v>85</v>
      </c>
      <c r="AN380" s="18" t="s">
        <v>7031</v>
      </c>
      <c r="AO380" s="18" t="s">
        <v>86</v>
      </c>
      <c r="AP380" s="18" t="s">
        <v>90</v>
      </c>
      <c r="AQ380" s="18" t="s">
        <v>8016</v>
      </c>
      <c r="AR380" s="18" t="s">
        <v>235</v>
      </c>
      <c r="AS380" s="18" t="s">
        <v>139</v>
      </c>
      <c r="AT380" s="18" t="s">
        <v>95</v>
      </c>
      <c r="AU380" s="18" t="s">
        <v>95</v>
      </c>
      <c r="AV380" s="18" t="s">
        <v>7037</v>
      </c>
      <c r="AW380" s="18" t="s">
        <v>95</v>
      </c>
      <c r="AX380" s="18" t="s">
        <v>10806</v>
      </c>
      <c r="AY380" s="18" t="s">
        <v>95</v>
      </c>
      <c r="AZ380" s="18" t="s">
        <v>95</v>
      </c>
      <c r="BA380" s="18" t="s">
        <v>95</v>
      </c>
      <c r="BB380" s="18" t="s">
        <v>95</v>
      </c>
      <c r="BC380" s="18" t="s">
        <v>95</v>
      </c>
      <c r="BD380" s="18" t="s">
        <v>10829</v>
      </c>
      <c r="BE380" s="18" t="s">
        <v>13752</v>
      </c>
      <c r="BF380" s="18" t="s">
        <v>10809</v>
      </c>
      <c r="BG380" s="18" t="s">
        <v>7030</v>
      </c>
      <c r="BH380" s="18"/>
      <c r="BI380" s="18"/>
      <c r="BJ380" s="18" t="s">
        <v>271</v>
      </c>
      <c r="BK380" s="18" t="s">
        <v>13753</v>
      </c>
      <c r="BL380" s="18" t="s">
        <v>10811</v>
      </c>
      <c r="BM380" s="18" t="s">
        <v>139</v>
      </c>
      <c r="BN380" s="18" t="s">
        <v>85</v>
      </c>
      <c r="BO380" s="18">
        <v>0</v>
      </c>
      <c r="BP380" s="18" t="s">
        <v>10812</v>
      </c>
      <c r="BQ380" s="18" t="str">
        <f>VLOOKUP(Prepago[[#This Row],[NOM_PLAZA]],[1]!Locales[#Data],3,0)</f>
        <v>TIENDA CONDADO</v>
      </c>
      <c r="BR380" s="18" t="str">
        <f>VLOOKUP(Prepago[[#This Row],[CODIGO_USUARIO]],[1]!Personal[#Data],6,0)</f>
        <v>CASTILLO AGUIRRE EDWIN MODESTO</v>
      </c>
      <c r="BS380" s="18">
        <f>DAY(Prepago[[#This Row],[FECHA_ALTA]])</f>
        <v>1</v>
      </c>
    </row>
    <row r="381" spans="1:71" x14ac:dyDescent="0.25">
      <c r="A381" s="18" t="s">
        <v>96</v>
      </c>
      <c r="B381" s="18" t="s">
        <v>9441</v>
      </c>
      <c r="C381" s="18" t="s">
        <v>9447</v>
      </c>
      <c r="D381" s="18" t="s">
        <v>9443</v>
      </c>
      <c r="E381" s="22">
        <v>44907</v>
      </c>
      <c r="F381" s="18" t="s">
        <v>67</v>
      </c>
      <c r="G381" s="18" t="s">
        <v>9444</v>
      </c>
      <c r="H381" s="18" t="s">
        <v>9445</v>
      </c>
      <c r="I381" s="18" t="s">
        <v>70</v>
      </c>
      <c r="J381" s="18" t="s">
        <v>8102</v>
      </c>
      <c r="K381" s="18" t="s">
        <v>8103</v>
      </c>
      <c r="L381" s="18" t="s">
        <v>132</v>
      </c>
      <c r="M381" s="18" t="s">
        <v>7037</v>
      </c>
      <c r="N381" s="18" t="s">
        <v>9446</v>
      </c>
      <c r="O381" s="18" t="s">
        <v>287</v>
      </c>
      <c r="P381" s="18" t="s">
        <v>13754</v>
      </c>
      <c r="Q381" s="18" t="s">
        <v>1532</v>
      </c>
      <c r="R381" s="18" t="s">
        <v>78</v>
      </c>
      <c r="S381" s="18" t="s">
        <v>77</v>
      </c>
      <c r="T381" s="22">
        <v>44915</v>
      </c>
      <c r="U381" s="18"/>
      <c r="V381" s="18" t="s">
        <v>81</v>
      </c>
      <c r="W381" s="18" t="s">
        <v>79</v>
      </c>
      <c r="X381" s="18" t="s">
        <v>10803</v>
      </c>
      <c r="Y381" s="18" t="s">
        <v>280</v>
      </c>
      <c r="Z381" s="18" t="s">
        <v>281</v>
      </c>
      <c r="AA381" s="18" t="s">
        <v>280</v>
      </c>
      <c r="AB381" s="18" t="s">
        <v>281</v>
      </c>
      <c r="AC381" s="18" t="s">
        <v>7984</v>
      </c>
      <c r="AD381" s="18" t="s">
        <v>10804</v>
      </c>
      <c r="AE381" s="18" t="s">
        <v>232</v>
      </c>
      <c r="AF381" s="18" t="s">
        <v>95</v>
      </c>
      <c r="AG381" s="18" t="s">
        <v>83</v>
      </c>
      <c r="AH381" s="18" t="s">
        <v>83</v>
      </c>
      <c r="AI381" s="18" t="s">
        <v>81</v>
      </c>
      <c r="AJ381" s="18" t="s">
        <v>118</v>
      </c>
      <c r="AK381" s="18" t="s">
        <v>95</v>
      </c>
      <c r="AL381" s="18" t="s">
        <v>10760</v>
      </c>
      <c r="AM381" s="18" t="s">
        <v>85</v>
      </c>
      <c r="AN381" s="18" t="s">
        <v>7031</v>
      </c>
      <c r="AO381" s="18" t="s">
        <v>86</v>
      </c>
      <c r="AP381" s="18" t="s">
        <v>90</v>
      </c>
      <c r="AQ381" s="18" t="s">
        <v>8016</v>
      </c>
      <c r="AR381" s="18" t="s">
        <v>235</v>
      </c>
      <c r="AS381" s="18" t="s">
        <v>139</v>
      </c>
      <c r="AT381" s="18" t="s">
        <v>95</v>
      </c>
      <c r="AU381" s="18" t="s">
        <v>95</v>
      </c>
      <c r="AV381" s="18" t="s">
        <v>7037</v>
      </c>
      <c r="AW381" s="18" t="s">
        <v>95</v>
      </c>
      <c r="AX381" s="18" t="s">
        <v>10806</v>
      </c>
      <c r="AY381" s="18" t="s">
        <v>95</v>
      </c>
      <c r="AZ381" s="18" t="s">
        <v>95</v>
      </c>
      <c r="BA381" s="18" t="s">
        <v>95</v>
      </c>
      <c r="BB381" s="18" t="s">
        <v>95</v>
      </c>
      <c r="BC381" s="18" t="s">
        <v>95</v>
      </c>
      <c r="BD381" s="18" t="s">
        <v>10829</v>
      </c>
      <c r="BE381" s="18" t="s">
        <v>13755</v>
      </c>
      <c r="BF381" s="18" t="s">
        <v>10809</v>
      </c>
      <c r="BG381" s="18" t="s">
        <v>7030</v>
      </c>
      <c r="BH381" s="18"/>
      <c r="BI381" s="18"/>
      <c r="BJ381" s="18" t="s">
        <v>280</v>
      </c>
      <c r="BK381" s="18" t="s">
        <v>13756</v>
      </c>
      <c r="BL381" s="18" t="s">
        <v>10811</v>
      </c>
      <c r="BM381" s="18" t="s">
        <v>139</v>
      </c>
      <c r="BN381" s="18" t="s">
        <v>85</v>
      </c>
      <c r="BO381" s="18">
        <v>0</v>
      </c>
      <c r="BP381" s="18" t="s">
        <v>10812</v>
      </c>
      <c r="BQ381" s="18" t="str">
        <f>VLOOKUP(Prepago[[#This Row],[NOM_PLAZA]],[1]!Locales[#Data],3,0)</f>
        <v>TIENDA CONDADO</v>
      </c>
      <c r="BR381" s="18" t="str">
        <f>VLOOKUP(Prepago[[#This Row],[CODIGO_USUARIO]],[1]!Personal[#Data],6,0)</f>
        <v>GUACHAMIN CAZA HUGO ADRIAN</v>
      </c>
      <c r="BS381" s="18">
        <f>DAY(Prepago[[#This Row],[FECHA_ALTA]])</f>
        <v>12</v>
      </c>
    </row>
    <row r="382" spans="1:71" x14ac:dyDescent="0.25">
      <c r="A382" s="18" t="s">
        <v>96</v>
      </c>
      <c r="B382" s="18" t="s">
        <v>13757</v>
      </c>
      <c r="C382" s="18" t="s">
        <v>13758</v>
      </c>
      <c r="D382" s="18" t="s">
        <v>13759</v>
      </c>
      <c r="E382" s="22">
        <v>44896</v>
      </c>
      <c r="F382" s="18" t="s">
        <v>67</v>
      </c>
      <c r="G382" s="18" t="s">
        <v>13760</v>
      </c>
      <c r="H382" s="18" t="s">
        <v>13761</v>
      </c>
      <c r="I382" s="18" t="s">
        <v>70</v>
      </c>
      <c r="J382" s="18" t="s">
        <v>8102</v>
      </c>
      <c r="K382" s="18" t="s">
        <v>8103</v>
      </c>
      <c r="L382" s="18" t="s">
        <v>132</v>
      </c>
      <c r="M382" s="18" t="s">
        <v>7037</v>
      </c>
      <c r="N382" s="18" t="s">
        <v>13762</v>
      </c>
      <c r="O382" s="18" t="s">
        <v>75</v>
      </c>
      <c r="P382" s="18" t="s">
        <v>13763</v>
      </c>
      <c r="Q382" s="18" t="s">
        <v>10817</v>
      </c>
      <c r="R382" s="18" t="s">
        <v>78</v>
      </c>
      <c r="S382" s="18" t="s">
        <v>77</v>
      </c>
      <c r="T382" s="22">
        <v>44915</v>
      </c>
      <c r="U382" s="18"/>
      <c r="V382" s="18" t="s">
        <v>81</v>
      </c>
      <c r="W382" s="18" t="s">
        <v>79</v>
      </c>
      <c r="X382" s="18" t="s">
        <v>10803</v>
      </c>
      <c r="Y382" s="18" t="s">
        <v>377</v>
      </c>
      <c r="Z382" s="18" t="s">
        <v>378</v>
      </c>
      <c r="AA382" s="18" t="s">
        <v>377</v>
      </c>
      <c r="AB382" s="18" t="s">
        <v>378</v>
      </c>
      <c r="AC382" s="18" t="s">
        <v>7984</v>
      </c>
      <c r="AD382" s="18" t="s">
        <v>10804</v>
      </c>
      <c r="AE382" s="18" t="s">
        <v>232</v>
      </c>
      <c r="AF382" s="18" t="s">
        <v>95</v>
      </c>
      <c r="AG382" s="18" t="s">
        <v>83</v>
      </c>
      <c r="AH382" s="18" t="s">
        <v>83</v>
      </c>
      <c r="AI382" s="18" t="s">
        <v>81</v>
      </c>
      <c r="AJ382" s="18" t="s">
        <v>118</v>
      </c>
      <c r="AK382" s="18" t="s">
        <v>95</v>
      </c>
      <c r="AL382" s="18" t="s">
        <v>13665</v>
      </c>
      <c r="AM382" s="18" t="s">
        <v>85</v>
      </c>
      <c r="AN382" s="18" t="s">
        <v>7031</v>
      </c>
      <c r="AO382" s="18" t="s">
        <v>86</v>
      </c>
      <c r="AP382" s="18" t="s">
        <v>90</v>
      </c>
      <c r="AQ382" s="18" t="s">
        <v>8016</v>
      </c>
      <c r="AR382" s="18" t="s">
        <v>235</v>
      </c>
      <c r="AS382" s="18" t="s">
        <v>139</v>
      </c>
      <c r="AT382" s="18" t="s">
        <v>95</v>
      </c>
      <c r="AU382" s="18" t="s">
        <v>95</v>
      </c>
      <c r="AV382" s="18" t="s">
        <v>7037</v>
      </c>
      <c r="AW382" s="18" t="s">
        <v>95</v>
      </c>
      <c r="AX382" s="18" t="s">
        <v>10806</v>
      </c>
      <c r="AY382" s="18" t="s">
        <v>95</v>
      </c>
      <c r="AZ382" s="18" t="s">
        <v>95</v>
      </c>
      <c r="BA382" s="18" t="s">
        <v>95</v>
      </c>
      <c r="BB382" s="18" t="s">
        <v>95</v>
      </c>
      <c r="BC382" s="18" t="s">
        <v>95</v>
      </c>
      <c r="BD382" s="18" t="s">
        <v>10829</v>
      </c>
      <c r="BE382" s="18" t="s">
        <v>13764</v>
      </c>
      <c r="BF382" s="18" t="s">
        <v>10809</v>
      </c>
      <c r="BG382" s="18" t="s">
        <v>7030</v>
      </c>
      <c r="BH382" s="18"/>
      <c r="BI382" s="18"/>
      <c r="BJ382" s="18" t="s">
        <v>377</v>
      </c>
      <c r="BK382" s="18" t="s">
        <v>13765</v>
      </c>
      <c r="BL382" s="18" t="s">
        <v>10811</v>
      </c>
      <c r="BM382" s="18" t="s">
        <v>139</v>
      </c>
      <c r="BN382" s="18" t="s">
        <v>85</v>
      </c>
      <c r="BO382" s="18">
        <v>0</v>
      </c>
      <c r="BP382" s="18" t="s">
        <v>10812</v>
      </c>
      <c r="BQ382" s="18" t="str">
        <f>VLOOKUP(Prepago[[#This Row],[NOM_PLAZA]],[1]!Locales[#Data],3,0)</f>
        <v>TIENDA CONDADO</v>
      </c>
      <c r="BR382" s="18" t="str">
        <f>VLOOKUP(Prepago[[#This Row],[CODIGO_USUARIO]],[1]!Personal[#Data],6,0)</f>
        <v>MELCHIADE ISAAC VALMORE</v>
      </c>
      <c r="BS382" s="18">
        <f>DAY(Prepago[[#This Row],[FECHA_ALTA]])</f>
        <v>1</v>
      </c>
    </row>
    <row r="383" spans="1:71" x14ac:dyDescent="0.25">
      <c r="A383" s="18" t="s">
        <v>96</v>
      </c>
      <c r="B383" s="18" t="s">
        <v>13766</v>
      </c>
      <c r="C383" s="18" t="s">
        <v>13767</v>
      </c>
      <c r="D383" s="18" t="s">
        <v>13768</v>
      </c>
      <c r="E383" s="22">
        <v>44900</v>
      </c>
      <c r="F383" s="18" t="s">
        <v>67</v>
      </c>
      <c r="G383" s="18" t="s">
        <v>13769</v>
      </c>
      <c r="H383" s="18" t="s">
        <v>13770</v>
      </c>
      <c r="I383" s="18" t="s">
        <v>70</v>
      </c>
      <c r="J383" s="18" t="s">
        <v>8102</v>
      </c>
      <c r="K383" s="18" t="s">
        <v>8103</v>
      </c>
      <c r="L383" s="18" t="s">
        <v>73</v>
      </c>
      <c r="M383" s="18" t="s">
        <v>7037</v>
      </c>
      <c r="N383" s="18" t="s">
        <v>13771</v>
      </c>
      <c r="O383" s="18" t="s">
        <v>75</v>
      </c>
      <c r="P383" s="18" t="s">
        <v>13772</v>
      </c>
      <c r="Q383" s="18" t="s">
        <v>1532</v>
      </c>
      <c r="R383" s="18" t="s">
        <v>78</v>
      </c>
      <c r="S383" s="18" t="s">
        <v>77</v>
      </c>
      <c r="T383" s="22">
        <v>44915</v>
      </c>
      <c r="U383" s="18"/>
      <c r="V383" s="18" t="s">
        <v>81</v>
      </c>
      <c r="W383" s="18" t="s">
        <v>79</v>
      </c>
      <c r="X383" s="18" t="s">
        <v>10803</v>
      </c>
      <c r="Y383" s="18" t="s">
        <v>377</v>
      </c>
      <c r="Z383" s="18" t="s">
        <v>378</v>
      </c>
      <c r="AA383" s="18" t="s">
        <v>377</v>
      </c>
      <c r="AB383" s="18" t="s">
        <v>378</v>
      </c>
      <c r="AC383" s="18" t="s">
        <v>7984</v>
      </c>
      <c r="AD383" s="18" t="s">
        <v>10804</v>
      </c>
      <c r="AE383" s="18" t="s">
        <v>232</v>
      </c>
      <c r="AF383" s="18" t="s">
        <v>95</v>
      </c>
      <c r="AG383" s="18" t="s">
        <v>83</v>
      </c>
      <c r="AH383" s="18" t="s">
        <v>83</v>
      </c>
      <c r="AI383" s="18" t="s">
        <v>81</v>
      </c>
      <c r="AJ383" s="18" t="s">
        <v>118</v>
      </c>
      <c r="AK383" s="18" t="s">
        <v>95</v>
      </c>
      <c r="AL383" s="18" t="s">
        <v>13665</v>
      </c>
      <c r="AM383" s="18" t="s">
        <v>85</v>
      </c>
      <c r="AN383" s="18" t="s">
        <v>7031</v>
      </c>
      <c r="AO383" s="18" t="s">
        <v>86</v>
      </c>
      <c r="AP383" s="18" t="s">
        <v>90</v>
      </c>
      <c r="AQ383" s="18" t="s">
        <v>8016</v>
      </c>
      <c r="AR383" s="18" t="s">
        <v>235</v>
      </c>
      <c r="AS383" s="18" t="s">
        <v>139</v>
      </c>
      <c r="AT383" s="18" t="s">
        <v>95</v>
      </c>
      <c r="AU383" s="18" t="s">
        <v>95</v>
      </c>
      <c r="AV383" s="18" t="s">
        <v>7037</v>
      </c>
      <c r="AW383" s="18" t="s">
        <v>95</v>
      </c>
      <c r="AX383" s="18" t="s">
        <v>10806</v>
      </c>
      <c r="AY383" s="18" t="s">
        <v>95</v>
      </c>
      <c r="AZ383" s="18" t="s">
        <v>95</v>
      </c>
      <c r="BA383" s="18" t="s">
        <v>95</v>
      </c>
      <c r="BB383" s="18" t="s">
        <v>95</v>
      </c>
      <c r="BC383" s="18" t="s">
        <v>95</v>
      </c>
      <c r="BD383" s="18" t="s">
        <v>10807</v>
      </c>
      <c r="BE383" s="18" t="s">
        <v>13773</v>
      </c>
      <c r="BF383" s="18" t="s">
        <v>10809</v>
      </c>
      <c r="BG383" s="18" t="s">
        <v>7030</v>
      </c>
      <c r="BH383" s="18"/>
      <c r="BI383" s="18"/>
      <c r="BJ383" s="18" t="s">
        <v>377</v>
      </c>
      <c r="BK383" s="18" t="s">
        <v>13774</v>
      </c>
      <c r="BL383" s="18" t="s">
        <v>10811</v>
      </c>
      <c r="BM383" s="18" t="s">
        <v>139</v>
      </c>
      <c r="BN383" s="18" t="s">
        <v>85</v>
      </c>
      <c r="BO383" s="18">
        <v>0</v>
      </c>
      <c r="BP383" s="18" t="s">
        <v>10812</v>
      </c>
      <c r="BQ383" s="18" t="str">
        <f>VLOOKUP(Prepago[[#This Row],[NOM_PLAZA]],[1]!Locales[#Data],3,0)</f>
        <v>TIENDA CONDADO</v>
      </c>
      <c r="BR383" s="18" t="str">
        <f>VLOOKUP(Prepago[[#This Row],[CODIGO_USUARIO]],[1]!Personal[#Data],6,0)</f>
        <v>MELCHIADE ISAAC VALMORE</v>
      </c>
      <c r="BS383" s="18">
        <f>DAY(Prepago[[#This Row],[FECHA_ALTA]])</f>
        <v>5</v>
      </c>
    </row>
    <row r="384" spans="1:71" x14ac:dyDescent="0.25">
      <c r="A384" s="18" t="s">
        <v>96</v>
      </c>
      <c r="B384" s="18" t="s">
        <v>13775</v>
      </c>
      <c r="C384" s="18" t="s">
        <v>13776</v>
      </c>
      <c r="D384" s="18" t="s">
        <v>13777</v>
      </c>
      <c r="E384" s="22">
        <v>44913</v>
      </c>
      <c r="F384" s="18" t="s">
        <v>67</v>
      </c>
      <c r="G384" s="18" t="s">
        <v>13778</v>
      </c>
      <c r="H384" s="18" t="s">
        <v>13779</v>
      </c>
      <c r="I384" s="18" t="s">
        <v>70</v>
      </c>
      <c r="J384" s="18" t="s">
        <v>8102</v>
      </c>
      <c r="K384" s="18" t="s">
        <v>8103</v>
      </c>
      <c r="L384" s="18" t="s">
        <v>132</v>
      </c>
      <c r="M384" s="18" t="s">
        <v>7037</v>
      </c>
      <c r="N384" s="18" t="s">
        <v>13780</v>
      </c>
      <c r="O384" s="18" t="s">
        <v>75</v>
      </c>
      <c r="P384" s="18" t="s">
        <v>13781</v>
      </c>
      <c r="Q384" s="18" t="s">
        <v>231</v>
      </c>
      <c r="R384" s="18" t="s">
        <v>78</v>
      </c>
      <c r="S384" s="18" t="s">
        <v>231</v>
      </c>
      <c r="T384" s="22">
        <v>44915</v>
      </c>
      <c r="U384" s="18"/>
      <c r="V384" s="18" t="s">
        <v>81</v>
      </c>
      <c r="W384" s="18" t="s">
        <v>79</v>
      </c>
      <c r="X384" s="18" t="s">
        <v>10803</v>
      </c>
      <c r="Y384" s="18" t="s">
        <v>769</v>
      </c>
      <c r="Z384" s="18" t="s">
        <v>770</v>
      </c>
      <c r="AA384" s="18" t="s">
        <v>769</v>
      </c>
      <c r="AB384" s="18" t="s">
        <v>770</v>
      </c>
      <c r="AC384" s="18" t="s">
        <v>7984</v>
      </c>
      <c r="AD384" s="18" t="s">
        <v>10804</v>
      </c>
      <c r="AE384" s="18" t="s">
        <v>232</v>
      </c>
      <c r="AF384" s="18" t="s">
        <v>95</v>
      </c>
      <c r="AG384" s="18" t="s">
        <v>83</v>
      </c>
      <c r="AH384" s="18" t="s">
        <v>83</v>
      </c>
      <c r="AI384" s="18" t="s">
        <v>81</v>
      </c>
      <c r="AJ384" s="18" t="s">
        <v>118</v>
      </c>
      <c r="AK384" s="18" t="s">
        <v>95</v>
      </c>
      <c r="AL384" s="18" t="s">
        <v>10744</v>
      </c>
      <c r="AM384" s="18" t="s">
        <v>85</v>
      </c>
      <c r="AN384" s="18" t="s">
        <v>7031</v>
      </c>
      <c r="AO384" s="18" t="s">
        <v>86</v>
      </c>
      <c r="AP384" s="18" t="s">
        <v>90</v>
      </c>
      <c r="AQ384" s="18" t="s">
        <v>8016</v>
      </c>
      <c r="AR384" s="18" t="s">
        <v>235</v>
      </c>
      <c r="AS384" s="18" t="s">
        <v>139</v>
      </c>
      <c r="AT384" s="18" t="s">
        <v>95</v>
      </c>
      <c r="AU384" s="18" t="s">
        <v>95</v>
      </c>
      <c r="AV384" s="18" t="s">
        <v>7037</v>
      </c>
      <c r="AW384" s="18" t="s">
        <v>95</v>
      </c>
      <c r="AX384" s="18" t="s">
        <v>10806</v>
      </c>
      <c r="AY384" s="18" t="s">
        <v>95</v>
      </c>
      <c r="AZ384" s="18" t="s">
        <v>95</v>
      </c>
      <c r="BA384" s="18" t="s">
        <v>95</v>
      </c>
      <c r="BB384" s="18" t="s">
        <v>95</v>
      </c>
      <c r="BC384" s="18" t="s">
        <v>95</v>
      </c>
      <c r="BD384" s="18" t="s">
        <v>10807</v>
      </c>
      <c r="BE384" s="18" t="s">
        <v>13782</v>
      </c>
      <c r="BF384" s="18" t="s">
        <v>10809</v>
      </c>
      <c r="BG384" s="18" t="s">
        <v>7030</v>
      </c>
      <c r="BH384" s="18"/>
      <c r="BI384" s="18"/>
      <c r="BJ384" s="18" t="s">
        <v>769</v>
      </c>
      <c r="BK384" s="18" t="s">
        <v>13783</v>
      </c>
      <c r="BL384" s="18" t="s">
        <v>10811</v>
      </c>
      <c r="BM384" s="18" t="s">
        <v>139</v>
      </c>
      <c r="BN384" s="18" t="s">
        <v>85</v>
      </c>
      <c r="BO384" s="18">
        <v>0</v>
      </c>
      <c r="BP384" s="18" t="s">
        <v>10812</v>
      </c>
      <c r="BQ384" s="18" t="str">
        <f>VLOOKUP(Prepago[[#This Row],[NOM_PLAZA]],[1]!Locales[#Data],3,0)</f>
        <v>TIENDA CONDADO</v>
      </c>
      <c r="BR384" s="18" t="str">
        <f>VLOOKUP(Prepago[[#This Row],[CODIGO_USUARIO]],[1]!Personal[#Data],6,0)</f>
        <v>ROJAS VEGA JHOSMERY MICHELE</v>
      </c>
      <c r="BS384" s="18">
        <f>DAY(Prepago[[#This Row],[FECHA_ALTA]])</f>
        <v>18</v>
      </c>
    </row>
    <row r="385" spans="1:71" x14ac:dyDescent="0.25">
      <c r="A385" s="18" t="s">
        <v>96</v>
      </c>
      <c r="B385" s="18" t="s">
        <v>13784</v>
      </c>
      <c r="C385" s="18" t="s">
        <v>13785</v>
      </c>
      <c r="D385" s="18" t="s">
        <v>13786</v>
      </c>
      <c r="E385" s="22">
        <v>44914</v>
      </c>
      <c r="F385" s="18" t="s">
        <v>67</v>
      </c>
      <c r="G385" s="18" t="s">
        <v>13787</v>
      </c>
      <c r="H385" s="18" t="s">
        <v>13788</v>
      </c>
      <c r="I385" s="18" t="s">
        <v>70</v>
      </c>
      <c r="J385" s="18" t="s">
        <v>8102</v>
      </c>
      <c r="K385" s="18" t="s">
        <v>8103</v>
      </c>
      <c r="L385" s="18" t="s">
        <v>73</v>
      </c>
      <c r="M385" s="18" t="s">
        <v>7029</v>
      </c>
      <c r="N385" s="18" t="s">
        <v>13789</v>
      </c>
      <c r="O385" s="18" t="s">
        <v>287</v>
      </c>
      <c r="P385" s="18" t="s">
        <v>13790</v>
      </c>
      <c r="Q385" s="18" t="s">
        <v>1532</v>
      </c>
      <c r="R385" s="18" t="s">
        <v>78</v>
      </c>
      <c r="S385" s="18" t="s">
        <v>77</v>
      </c>
      <c r="T385" s="22">
        <v>44915</v>
      </c>
      <c r="U385" s="18"/>
      <c r="V385" s="18" t="s">
        <v>81</v>
      </c>
      <c r="W385" s="18" t="s">
        <v>79</v>
      </c>
      <c r="X385" s="18" t="s">
        <v>10803</v>
      </c>
      <c r="Y385" s="18" t="s">
        <v>280</v>
      </c>
      <c r="Z385" s="18" t="s">
        <v>281</v>
      </c>
      <c r="AA385" s="18" t="s">
        <v>280</v>
      </c>
      <c r="AB385" s="18" t="s">
        <v>281</v>
      </c>
      <c r="AC385" s="18" t="s">
        <v>7984</v>
      </c>
      <c r="AD385" s="18" t="s">
        <v>10804</v>
      </c>
      <c r="AE385" s="18" t="s">
        <v>232</v>
      </c>
      <c r="AF385" s="18" t="s">
        <v>95</v>
      </c>
      <c r="AG385" s="18" t="s">
        <v>83</v>
      </c>
      <c r="AH385" s="18" t="s">
        <v>83</v>
      </c>
      <c r="AI385" s="18" t="s">
        <v>81</v>
      </c>
      <c r="AJ385" s="18" t="s">
        <v>118</v>
      </c>
      <c r="AK385" s="18" t="s">
        <v>95</v>
      </c>
      <c r="AL385" s="18" t="s">
        <v>10760</v>
      </c>
      <c r="AM385" s="18" t="s">
        <v>85</v>
      </c>
      <c r="AN385" s="18" t="s">
        <v>7031</v>
      </c>
      <c r="AO385" s="18" t="s">
        <v>86</v>
      </c>
      <c r="AP385" s="18" t="s">
        <v>90</v>
      </c>
      <c r="AQ385" s="18" t="s">
        <v>8016</v>
      </c>
      <c r="AR385" s="18" t="s">
        <v>235</v>
      </c>
      <c r="AS385" s="18" t="s">
        <v>139</v>
      </c>
      <c r="AT385" s="18" t="s">
        <v>95</v>
      </c>
      <c r="AU385" s="18" t="s">
        <v>95</v>
      </c>
      <c r="AV385" s="18" t="s">
        <v>7029</v>
      </c>
      <c r="AW385" s="18" t="s">
        <v>95</v>
      </c>
      <c r="AX385" s="18" t="s">
        <v>10806</v>
      </c>
      <c r="AY385" s="18" t="s">
        <v>95</v>
      </c>
      <c r="AZ385" s="18" t="s">
        <v>95</v>
      </c>
      <c r="BA385" s="18" t="s">
        <v>95</v>
      </c>
      <c r="BB385" s="18" t="s">
        <v>95</v>
      </c>
      <c r="BC385" s="18" t="s">
        <v>95</v>
      </c>
      <c r="BD385" s="18" t="s">
        <v>10829</v>
      </c>
      <c r="BE385" s="18" t="s">
        <v>10808</v>
      </c>
      <c r="BF385" s="18" t="s">
        <v>10809</v>
      </c>
      <c r="BG385" s="18" t="s">
        <v>7030</v>
      </c>
      <c r="BH385" s="18"/>
      <c r="BI385" s="18"/>
      <c r="BJ385" s="18" t="s">
        <v>280</v>
      </c>
      <c r="BK385" s="18" t="s">
        <v>13791</v>
      </c>
      <c r="BL385" s="18" t="s">
        <v>10811</v>
      </c>
      <c r="BM385" s="18" t="s">
        <v>92</v>
      </c>
      <c r="BN385" s="18" t="s">
        <v>85</v>
      </c>
      <c r="BO385" s="18">
        <v>0</v>
      </c>
      <c r="BP385" s="18" t="s">
        <v>10812</v>
      </c>
      <c r="BQ385" s="18" t="str">
        <f>VLOOKUP(Prepago[[#This Row],[NOM_PLAZA]],[1]!Locales[#Data],3,0)</f>
        <v>TIENDA CONDADO</v>
      </c>
      <c r="BR385" s="18" t="str">
        <f>VLOOKUP(Prepago[[#This Row],[CODIGO_USUARIO]],[1]!Personal[#Data],6,0)</f>
        <v>GUACHAMIN CAZA HUGO ADRIAN</v>
      </c>
      <c r="BS385" s="18">
        <f>DAY(Prepago[[#This Row],[FECHA_ALTA]])</f>
        <v>19</v>
      </c>
    </row>
    <row r="386" spans="1:71" x14ac:dyDescent="0.25">
      <c r="A386" s="18" t="s">
        <v>96</v>
      </c>
      <c r="B386" s="18" t="s">
        <v>13792</v>
      </c>
      <c r="C386" s="18" t="s">
        <v>13793</v>
      </c>
      <c r="D386" s="18" t="s">
        <v>13794</v>
      </c>
      <c r="E386" s="22">
        <v>44900</v>
      </c>
      <c r="F386" s="18" t="s">
        <v>67</v>
      </c>
      <c r="G386" s="18" t="s">
        <v>13795</v>
      </c>
      <c r="H386" s="18" t="s">
        <v>13796</v>
      </c>
      <c r="I386" s="18" t="s">
        <v>70</v>
      </c>
      <c r="J386" s="18" t="s">
        <v>8102</v>
      </c>
      <c r="K386" s="18" t="s">
        <v>8103</v>
      </c>
      <c r="L386" s="18" t="s">
        <v>132</v>
      </c>
      <c r="M386" s="18" t="s">
        <v>7037</v>
      </c>
      <c r="N386" s="18" t="s">
        <v>2277</v>
      </c>
      <c r="O386" s="18" t="s">
        <v>75</v>
      </c>
      <c r="P386" s="18" t="s">
        <v>13797</v>
      </c>
      <c r="Q386" s="18" t="s">
        <v>1532</v>
      </c>
      <c r="R386" s="18" t="s">
        <v>78</v>
      </c>
      <c r="S386" s="18" t="s">
        <v>77</v>
      </c>
      <c r="T386" s="22">
        <v>44915</v>
      </c>
      <c r="U386" s="18"/>
      <c r="V386" s="18" t="s">
        <v>81</v>
      </c>
      <c r="W386" s="18" t="s">
        <v>79</v>
      </c>
      <c r="X386" s="18" t="s">
        <v>10803</v>
      </c>
      <c r="Y386" s="18" t="s">
        <v>769</v>
      </c>
      <c r="Z386" s="18" t="s">
        <v>770</v>
      </c>
      <c r="AA386" s="18" t="s">
        <v>769</v>
      </c>
      <c r="AB386" s="18" t="s">
        <v>770</v>
      </c>
      <c r="AC386" s="18" t="s">
        <v>7984</v>
      </c>
      <c r="AD386" s="18" t="s">
        <v>10804</v>
      </c>
      <c r="AE386" s="18" t="s">
        <v>232</v>
      </c>
      <c r="AF386" s="18" t="s">
        <v>95</v>
      </c>
      <c r="AG386" s="18" t="s">
        <v>83</v>
      </c>
      <c r="AH386" s="18" t="s">
        <v>83</v>
      </c>
      <c r="AI386" s="18" t="s">
        <v>81</v>
      </c>
      <c r="AJ386" s="18" t="s">
        <v>118</v>
      </c>
      <c r="AK386" s="18" t="s">
        <v>95</v>
      </c>
      <c r="AL386" s="18" t="s">
        <v>10744</v>
      </c>
      <c r="AM386" s="18" t="s">
        <v>85</v>
      </c>
      <c r="AN386" s="18" t="s">
        <v>7031</v>
      </c>
      <c r="AO386" s="18" t="s">
        <v>86</v>
      </c>
      <c r="AP386" s="18" t="s">
        <v>90</v>
      </c>
      <c r="AQ386" s="18" t="s">
        <v>8016</v>
      </c>
      <c r="AR386" s="18" t="s">
        <v>235</v>
      </c>
      <c r="AS386" s="18" t="s">
        <v>139</v>
      </c>
      <c r="AT386" s="18" t="s">
        <v>95</v>
      </c>
      <c r="AU386" s="18" t="s">
        <v>95</v>
      </c>
      <c r="AV386" s="18" t="s">
        <v>7037</v>
      </c>
      <c r="AW386" s="18" t="s">
        <v>95</v>
      </c>
      <c r="AX386" s="18" t="s">
        <v>10806</v>
      </c>
      <c r="AY386" s="18" t="s">
        <v>95</v>
      </c>
      <c r="AZ386" s="18" t="s">
        <v>95</v>
      </c>
      <c r="BA386" s="18" t="s">
        <v>95</v>
      </c>
      <c r="BB386" s="18" t="s">
        <v>95</v>
      </c>
      <c r="BC386" s="18" t="s">
        <v>95</v>
      </c>
      <c r="BD386" s="18" t="s">
        <v>10807</v>
      </c>
      <c r="BE386" s="18" t="s">
        <v>10808</v>
      </c>
      <c r="BF386" s="18" t="s">
        <v>10809</v>
      </c>
      <c r="BG386" s="18" t="s">
        <v>7030</v>
      </c>
      <c r="BH386" s="18"/>
      <c r="BI386" s="18"/>
      <c r="BJ386" s="18" t="s">
        <v>769</v>
      </c>
      <c r="BK386" s="18" t="s">
        <v>13798</v>
      </c>
      <c r="BL386" s="18" t="s">
        <v>10811</v>
      </c>
      <c r="BM386" s="18" t="s">
        <v>139</v>
      </c>
      <c r="BN386" s="18" t="s">
        <v>85</v>
      </c>
      <c r="BO386" s="18">
        <v>0</v>
      </c>
      <c r="BP386" s="18" t="s">
        <v>10812</v>
      </c>
      <c r="BQ386" s="18" t="str">
        <f>VLOOKUP(Prepago[[#This Row],[NOM_PLAZA]],[1]!Locales[#Data],3,0)</f>
        <v>TIENDA CONDADO</v>
      </c>
      <c r="BR386" s="18" t="str">
        <f>VLOOKUP(Prepago[[#This Row],[CODIGO_USUARIO]],[1]!Personal[#Data],6,0)</f>
        <v>ROJAS VEGA JHOSMERY MICHELE</v>
      </c>
      <c r="BS386" s="18">
        <f>DAY(Prepago[[#This Row],[FECHA_ALTA]])</f>
        <v>5</v>
      </c>
    </row>
    <row r="387" spans="1:71" x14ac:dyDescent="0.25">
      <c r="A387" s="18" t="s">
        <v>96</v>
      </c>
      <c r="B387" s="18" t="s">
        <v>13799</v>
      </c>
      <c r="C387" s="18" t="s">
        <v>13800</v>
      </c>
      <c r="D387" s="18" t="s">
        <v>13801</v>
      </c>
      <c r="E387" s="22">
        <v>44909</v>
      </c>
      <c r="F387" s="18" t="s">
        <v>67</v>
      </c>
      <c r="G387" s="18" t="s">
        <v>13802</v>
      </c>
      <c r="H387" s="18" t="s">
        <v>13803</v>
      </c>
      <c r="I387" s="18" t="s">
        <v>70</v>
      </c>
      <c r="J387" s="18" t="s">
        <v>8102</v>
      </c>
      <c r="K387" s="18" t="s">
        <v>8103</v>
      </c>
      <c r="L387" s="18" t="s">
        <v>132</v>
      </c>
      <c r="M387" s="18" t="s">
        <v>7037</v>
      </c>
      <c r="N387" s="18" t="s">
        <v>13804</v>
      </c>
      <c r="O387" s="18" t="s">
        <v>75</v>
      </c>
      <c r="P387" s="18" t="s">
        <v>13805</v>
      </c>
      <c r="Q387" s="18" t="s">
        <v>10817</v>
      </c>
      <c r="R387" s="18" t="s">
        <v>78</v>
      </c>
      <c r="S387" s="18" t="s">
        <v>77</v>
      </c>
      <c r="T387" s="22">
        <v>44915</v>
      </c>
      <c r="U387" s="18"/>
      <c r="V387" s="18" t="s">
        <v>81</v>
      </c>
      <c r="W387" s="18" t="s">
        <v>79</v>
      </c>
      <c r="X387" s="18" t="s">
        <v>10803</v>
      </c>
      <c r="Y387" s="18" t="s">
        <v>377</v>
      </c>
      <c r="Z387" s="18" t="s">
        <v>378</v>
      </c>
      <c r="AA387" s="18" t="s">
        <v>377</v>
      </c>
      <c r="AB387" s="18" t="s">
        <v>378</v>
      </c>
      <c r="AC387" s="18" t="s">
        <v>7984</v>
      </c>
      <c r="AD387" s="18" t="s">
        <v>10804</v>
      </c>
      <c r="AE387" s="18" t="s">
        <v>232</v>
      </c>
      <c r="AF387" s="18" t="s">
        <v>95</v>
      </c>
      <c r="AG387" s="18" t="s">
        <v>83</v>
      </c>
      <c r="AH387" s="18" t="s">
        <v>83</v>
      </c>
      <c r="AI387" s="18" t="s">
        <v>81</v>
      </c>
      <c r="AJ387" s="18" t="s">
        <v>118</v>
      </c>
      <c r="AK387" s="18" t="s">
        <v>95</v>
      </c>
      <c r="AL387" s="18" t="s">
        <v>13665</v>
      </c>
      <c r="AM387" s="18" t="s">
        <v>85</v>
      </c>
      <c r="AN387" s="18" t="s">
        <v>7031</v>
      </c>
      <c r="AO387" s="18" t="s">
        <v>86</v>
      </c>
      <c r="AP387" s="18" t="s">
        <v>90</v>
      </c>
      <c r="AQ387" s="18" t="s">
        <v>8016</v>
      </c>
      <c r="AR387" s="18" t="s">
        <v>235</v>
      </c>
      <c r="AS387" s="18" t="s">
        <v>139</v>
      </c>
      <c r="AT387" s="18" t="s">
        <v>95</v>
      </c>
      <c r="AU387" s="18" t="s">
        <v>95</v>
      </c>
      <c r="AV387" s="18" t="s">
        <v>7037</v>
      </c>
      <c r="AW387" s="18" t="s">
        <v>95</v>
      </c>
      <c r="AX387" s="18" t="s">
        <v>10806</v>
      </c>
      <c r="AY387" s="18" t="s">
        <v>95</v>
      </c>
      <c r="AZ387" s="18" t="s">
        <v>95</v>
      </c>
      <c r="BA387" s="18" t="s">
        <v>95</v>
      </c>
      <c r="BB387" s="18" t="s">
        <v>95</v>
      </c>
      <c r="BC387" s="18" t="s">
        <v>95</v>
      </c>
      <c r="BD387" s="18" t="s">
        <v>10829</v>
      </c>
      <c r="BE387" s="18" t="s">
        <v>13806</v>
      </c>
      <c r="BF387" s="18" t="s">
        <v>10809</v>
      </c>
      <c r="BG387" s="18" t="s">
        <v>7030</v>
      </c>
      <c r="BH387" s="18"/>
      <c r="BI387" s="18"/>
      <c r="BJ387" s="18" t="s">
        <v>377</v>
      </c>
      <c r="BK387" s="18" t="s">
        <v>13807</v>
      </c>
      <c r="BL387" s="18" t="s">
        <v>10811</v>
      </c>
      <c r="BM387" s="18" t="s">
        <v>139</v>
      </c>
      <c r="BN387" s="18" t="s">
        <v>85</v>
      </c>
      <c r="BO387" s="18">
        <v>0</v>
      </c>
      <c r="BP387" s="18" t="s">
        <v>10812</v>
      </c>
      <c r="BQ387" s="18" t="str">
        <f>VLOOKUP(Prepago[[#This Row],[NOM_PLAZA]],[1]!Locales[#Data],3,0)</f>
        <v>TIENDA CONDADO</v>
      </c>
      <c r="BR387" s="18" t="str">
        <f>VLOOKUP(Prepago[[#This Row],[CODIGO_USUARIO]],[1]!Personal[#Data],6,0)</f>
        <v>MELCHIADE ISAAC VALMORE</v>
      </c>
      <c r="BS387" s="18">
        <f>DAY(Prepago[[#This Row],[FECHA_ALTA]])</f>
        <v>14</v>
      </c>
    </row>
    <row r="388" spans="1:71" x14ac:dyDescent="0.25">
      <c r="A388" s="18" t="s">
        <v>96</v>
      </c>
      <c r="B388" s="18" t="s">
        <v>8450</v>
      </c>
      <c r="C388" s="18" t="s">
        <v>8458</v>
      </c>
      <c r="D388" s="18" t="s">
        <v>8452</v>
      </c>
      <c r="E388" s="22">
        <v>44899</v>
      </c>
      <c r="F388" s="18" t="s">
        <v>67</v>
      </c>
      <c r="G388" s="18" t="s">
        <v>8453</v>
      </c>
      <c r="H388" s="18" t="s">
        <v>8454</v>
      </c>
      <c r="I388" s="18" t="s">
        <v>70</v>
      </c>
      <c r="J388" s="18" t="s">
        <v>8102</v>
      </c>
      <c r="K388" s="18" t="s">
        <v>8103</v>
      </c>
      <c r="L388" s="18" t="s">
        <v>132</v>
      </c>
      <c r="M388" s="18" t="s">
        <v>7037</v>
      </c>
      <c r="N388" s="18" t="s">
        <v>8456</v>
      </c>
      <c r="O388" s="18" t="s">
        <v>287</v>
      </c>
      <c r="P388" s="18" t="s">
        <v>13808</v>
      </c>
      <c r="Q388" s="18" t="s">
        <v>10817</v>
      </c>
      <c r="R388" s="18" t="s">
        <v>78</v>
      </c>
      <c r="S388" s="18" t="s">
        <v>77</v>
      </c>
      <c r="T388" s="22">
        <v>44915</v>
      </c>
      <c r="U388" s="18"/>
      <c r="V388" s="18" t="s">
        <v>81</v>
      </c>
      <c r="W388" s="18" t="s">
        <v>79</v>
      </c>
      <c r="X388" s="18" t="s">
        <v>10803</v>
      </c>
      <c r="Y388" s="18" t="s">
        <v>280</v>
      </c>
      <c r="Z388" s="18" t="s">
        <v>281</v>
      </c>
      <c r="AA388" s="18" t="s">
        <v>280</v>
      </c>
      <c r="AB388" s="18" t="s">
        <v>281</v>
      </c>
      <c r="AC388" s="18" t="s">
        <v>7984</v>
      </c>
      <c r="AD388" s="18" t="s">
        <v>10804</v>
      </c>
      <c r="AE388" s="18" t="s">
        <v>232</v>
      </c>
      <c r="AF388" s="18" t="s">
        <v>95</v>
      </c>
      <c r="AG388" s="18" t="s">
        <v>83</v>
      </c>
      <c r="AH388" s="18" t="s">
        <v>83</v>
      </c>
      <c r="AI388" s="18" t="s">
        <v>81</v>
      </c>
      <c r="AJ388" s="18" t="s">
        <v>118</v>
      </c>
      <c r="AK388" s="18" t="s">
        <v>95</v>
      </c>
      <c r="AL388" s="18" t="s">
        <v>10760</v>
      </c>
      <c r="AM388" s="18" t="s">
        <v>85</v>
      </c>
      <c r="AN388" s="18" t="s">
        <v>7031</v>
      </c>
      <c r="AO388" s="18" t="s">
        <v>86</v>
      </c>
      <c r="AP388" s="18" t="s">
        <v>90</v>
      </c>
      <c r="AQ388" s="18" t="s">
        <v>8016</v>
      </c>
      <c r="AR388" s="18" t="s">
        <v>235</v>
      </c>
      <c r="AS388" s="18" t="s">
        <v>139</v>
      </c>
      <c r="AT388" s="18" t="s">
        <v>95</v>
      </c>
      <c r="AU388" s="18" t="s">
        <v>95</v>
      </c>
      <c r="AV388" s="18" t="s">
        <v>7037</v>
      </c>
      <c r="AW388" s="18" t="s">
        <v>95</v>
      </c>
      <c r="AX388" s="18" t="s">
        <v>10806</v>
      </c>
      <c r="AY388" s="18" t="s">
        <v>95</v>
      </c>
      <c r="AZ388" s="18" t="s">
        <v>95</v>
      </c>
      <c r="BA388" s="18" t="s">
        <v>95</v>
      </c>
      <c r="BB388" s="18" t="s">
        <v>95</v>
      </c>
      <c r="BC388" s="18" t="s">
        <v>95</v>
      </c>
      <c r="BD388" s="18" t="s">
        <v>10829</v>
      </c>
      <c r="BE388" s="18" t="s">
        <v>13809</v>
      </c>
      <c r="BF388" s="18" t="s">
        <v>10809</v>
      </c>
      <c r="BG388" s="18" t="s">
        <v>7030</v>
      </c>
      <c r="BH388" s="18"/>
      <c r="BI388" s="18"/>
      <c r="BJ388" s="18" t="s">
        <v>280</v>
      </c>
      <c r="BK388" s="18" t="s">
        <v>13810</v>
      </c>
      <c r="BL388" s="18" t="s">
        <v>10811</v>
      </c>
      <c r="BM388" s="18" t="s">
        <v>139</v>
      </c>
      <c r="BN388" s="18" t="s">
        <v>85</v>
      </c>
      <c r="BO388" s="18">
        <v>0</v>
      </c>
      <c r="BP388" s="18" t="s">
        <v>10812</v>
      </c>
      <c r="BQ388" s="18" t="str">
        <f>VLOOKUP(Prepago[[#This Row],[NOM_PLAZA]],[1]!Locales[#Data],3,0)</f>
        <v>TIENDA CONDADO</v>
      </c>
      <c r="BR388" s="18" t="str">
        <f>VLOOKUP(Prepago[[#This Row],[CODIGO_USUARIO]],[1]!Personal[#Data],6,0)</f>
        <v>GUACHAMIN CAZA HUGO ADRIAN</v>
      </c>
      <c r="BS388" s="18">
        <f>DAY(Prepago[[#This Row],[FECHA_ALTA]])</f>
        <v>4</v>
      </c>
    </row>
    <row r="389" spans="1:71" x14ac:dyDescent="0.25">
      <c r="A389" s="18" t="s">
        <v>96</v>
      </c>
      <c r="B389" s="18" t="s">
        <v>13811</v>
      </c>
      <c r="C389" s="18" t="s">
        <v>13812</v>
      </c>
      <c r="D389" s="18" t="s">
        <v>13813</v>
      </c>
      <c r="E389" s="22">
        <v>44896</v>
      </c>
      <c r="F389" s="18" t="s">
        <v>67</v>
      </c>
      <c r="G389" s="18" t="s">
        <v>13814</v>
      </c>
      <c r="H389" s="18" t="s">
        <v>13815</v>
      </c>
      <c r="I389" s="18" t="s">
        <v>70</v>
      </c>
      <c r="J389" s="18" t="s">
        <v>8102</v>
      </c>
      <c r="K389" s="18" t="s">
        <v>8103</v>
      </c>
      <c r="L389" s="18" t="s">
        <v>132</v>
      </c>
      <c r="M389" s="18" t="s">
        <v>7037</v>
      </c>
      <c r="N389" s="18" t="s">
        <v>13816</v>
      </c>
      <c r="O389" s="18" t="s">
        <v>75</v>
      </c>
      <c r="P389" s="18" t="s">
        <v>13817</v>
      </c>
      <c r="Q389" s="18" t="s">
        <v>10817</v>
      </c>
      <c r="R389" s="18" t="s">
        <v>78</v>
      </c>
      <c r="S389" s="18" t="s">
        <v>77</v>
      </c>
      <c r="T389" s="22">
        <v>44915</v>
      </c>
      <c r="U389" s="18"/>
      <c r="V389" s="18" t="s">
        <v>81</v>
      </c>
      <c r="W389" s="18" t="s">
        <v>79</v>
      </c>
      <c r="X389" s="18" t="s">
        <v>10803</v>
      </c>
      <c r="Y389" s="18" t="s">
        <v>233</v>
      </c>
      <c r="Z389" s="18" t="s">
        <v>234</v>
      </c>
      <c r="AA389" s="18" t="s">
        <v>233</v>
      </c>
      <c r="AB389" s="18" t="s">
        <v>234</v>
      </c>
      <c r="AC389" s="18" t="s">
        <v>7984</v>
      </c>
      <c r="AD389" s="18" t="s">
        <v>10804</v>
      </c>
      <c r="AE389" s="18" t="s">
        <v>232</v>
      </c>
      <c r="AF389" s="18" t="s">
        <v>95</v>
      </c>
      <c r="AG389" s="18" t="s">
        <v>83</v>
      </c>
      <c r="AH389" s="18" t="s">
        <v>83</v>
      </c>
      <c r="AI389" s="18" t="s">
        <v>81</v>
      </c>
      <c r="AJ389" s="18" t="s">
        <v>118</v>
      </c>
      <c r="AK389" s="18" t="s">
        <v>95</v>
      </c>
      <c r="AL389" s="18" t="s">
        <v>13818</v>
      </c>
      <c r="AM389" s="18" t="s">
        <v>85</v>
      </c>
      <c r="AN389" s="18" t="s">
        <v>7031</v>
      </c>
      <c r="AO389" s="18" t="s">
        <v>86</v>
      </c>
      <c r="AP389" s="18" t="s">
        <v>90</v>
      </c>
      <c r="AQ389" s="18" t="s">
        <v>8016</v>
      </c>
      <c r="AR389" s="18" t="s">
        <v>235</v>
      </c>
      <c r="AS389" s="18" t="s">
        <v>139</v>
      </c>
      <c r="AT389" s="18" t="s">
        <v>95</v>
      </c>
      <c r="AU389" s="18" t="s">
        <v>95</v>
      </c>
      <c r="AV389" s="18" t="s">
        <v>7037</v>
      </c>
      <c r="AW389" s="18" t="s">
        <v>95</v>
      </c>
      <c r="AX389" s="18" t="s">
        <v>10806</v>
      </c>
      <c r="AY389" s="18" t="s">
        <v>95</v>
      </c>
      <c r="AZ389" s="18" t="s">
        <v>95</v>
      </c>
      <c r="BA389" s="18" t="s">
        <v>95</v>
      </c>
      <c r="BB389" s="18" t="s">
        <v>95</v>
      </c>
      <c r="BC389" s="18" t="s">
        <v>95</v>
      </c>
      <c r="BD389" s="18" t="s">
        <v>10829</v>
      </c>
      <c r="BE389" s="18" t="s">
        <v>95</v>
      </c>
      <c r="BF389" s="18" t="s">
        <v>7037</v>
      </c>
      <c r="BG389" s="18" t="s">
        <v>7030</v>
      </c>
      <c r="BH389" s="18"/>
      <c r="BI389" s="18"/>
      <c r="BJ389" s="18" t="s">
        <v>233</v>
      </c>
      <c r="BK389" s="18" t="s">
        <v>13819</v>
      </c>
      <c r="BL389" s="18" t="s">
        <v>10811</v>
      </c>
      <c r="BM389" s="18" t="s">
        <v>139</v>
      </c>
      <c r="BN389" s="18" t="s">
        <v>85</v>
      </c>
      <c r="BO389" s="18">
        <v>1</v>
      </c>
      <c r="BP389" s="18" t="s">
        <v>10812</v>
      </c>
      <c r="BQ389" s="18" t="str">
        <f>VLOOKUP(Prepago[[#This Row],[NOM_PLAZA]],[1]!Locales[#Data],3,0)</f>
        <v>TIENDA CONDADO</v>
      </c>
      <c r="BR389" s="18" t="str">
        <f>VLOOKUP(Prepago[[#This Row],[CODIGO_USUARIO]],[1]!Personal[#Data],6,0)</f>
        <v>ROSALES MALDONADO JESSICA GABRIELA</v>
      </c>
      <c r="BS389" s="18">
        <f>DAY(Prepago[[#This Row],[FECHA_ALTA]])</f>
        <v>1</v>
      </c>
    </row>
    <row r="390" spans="1:71" x14ac:dyDescent="0.25">
      <c r="A390" s="18" t="s">
        <v>96</v>
      </c>
      <c r="B390" s="18" t="s">
        <v>13820</v>
      </c>
      <c r="C390" s="18" t="s">
        <v>13821</v>
      </c>
      <c r="D390" s="18" t="s">
        <v>13822</v>
      </c>
      <c r="E390" s="22">
        <v>44902</v>
      </c>
      <c r="F390" s="18" t="s">
        <v>67</v>
      </c>
      <c r="G390" s="18" t="s">
        <v>13823</v>
      </c>
      <c r="H390" s="18" t="s">
        <v>13824</v>
      </c>
      <c r="I390" s="18" t="s">
        <v>70</v>
      </c>
      <c r="J390" s="18" t="s">
        <v>8102</v>
      </c>
      <c r="K390" s="18" t="s">
        <v>8103</v>
      </c>
      <c r="L390" s="18" t="s">
        <v>13825</v>
      </c>
      <c r="M390" s="18" t="s">
        <v>7037</v>
      </c>
      <c r="N390" s="18" t="s">
        <v>13826</v>
      </c>
      <c r="O390" s="18" t="s">
        <v>75</v>
      </c>
      <c r="P390" s="18" t="s">
        <v>13827</v>
      </c>
      <c r="Q390" s="18" t="s">
        <v>10817</v>
      </c>
      <c r="R390" s="18" t="s">
        <v>78</v>
      </c>
      <c r="S390" s="18" t="s">
        <v>77</v>
      </c>
      <c r="T390" s="22">
        <v>44915</v>
      </c>
      <c r="U390" s="18"/>
      <c r="V390" s="18" t="s">
        <v>81</v>
      </c>
      <c r="W390" s="18" t="s">
        <v>79</v>
      </c>
      <c r="X390" s="18" t="s">
        <v>10803</v>
      </c>
      <c r="Y390" s="18" t="s">
        <v>377</v>
      </c>
      <c r="Z390" s="18" t="s">
        <v>378</v>
      </c>
      <c r="AA390" s="18" t="s">
        <v>377</v>
      </c>
      <c r="AB390" s="18" t="s">
        <v>378</v>
      </c>
      <c r="AC390" s="18" t="s">
        <v>7984</v>
      </c>
      <c r="AD390" s="18" t="s">
        <v>10804</v>
      </c>
      <c r="AE390" s="18" t="s">
        <v>232</v>
      </c>
      <c r="AF390" s="18" t="s">
        <v>95</v>
      </c>
      <c r="AG390" s="18" t="s">
        <v>83</v>
      </c>
      <c r="AH390" s="18" t="s">
        <v>83</v>
      </c>
      <c r="AI390" s="18" t="s">
        <v>81</v>
      </c>
      <c r="AJ390" s="18" t="s">
        <v>118</v>
      </c>
      <c r="AK390" s="18" t="s">
        <v>95</v>
      </c>
      <c r="AL390" s="18" t="s">
        <v>13665</v>
      </c>
      <c r="AM390" s="18" t="s">
        <v>85</v>
      </c>
      <c r="AN390" s="18" t="s">
        <v>7031</v>
      </c>
      <c r="AO390" s="18" t="s">
        <v>86</v>
      </c>
      <c r="AP390" s="18" t="s">
        <v>90</v>
      </c>
      <c r="AQ390" s="18" t="s">
        <v>8016</v>
      </c>
      <c r="AR390" s="18" t="s">
        <v>235</v>
      </c>
      <c r="AS390" s="18" t="s">
        <v>139</v>
      </c>
      <c r="AT390" s="18" t="s">
        <v>95</v>
      </c>
      <c r="AU390" s="18" t="s">
        <v>95</v>
      </c>
      <c r="AV390" s="18" t="s">
        <v>7037</v>
      </c>
      <c r="AW390" s="18" t="s">
        <v>95</v>
      </c>
      <c r="AX390" s="18" t="s">
        <v>10806</v>
      </c>
      <c r="AY390" s="18" t="s">
        <v>95</v>
      </c>
      <c r="AZ390" s="18" t="s">
        <v>95</v>
      </c>
      <c r="BA390" s="18" t="s">
        <v>95</v>
      </c>
      <c r="BB390" s="18" t="s">
        <v>95</v>
      </c>
      <c r="BC390" s="18" t="s">
        <v>95</v>
      </c>
      <c r="BD390" s="18" t="s">
        <v>10829</v>
      </c>
      <c r="BE390" s="18" t="s">
        <v>13828</v>
      </c>
      <c r="BF390" s="18" t="s">
        <v>10809</v>
      </c>
      <c r="BG390" s="18" t="s">
        <v>7030</v>
      </c>
      <c r="BH390" s="18"/>
      <c r="BI390" s="18"/>
      <c r="BJ390" s="18" t="s">
        <v>377</v>
      </c>
      <c r="BK390" s="18" t="s">
        <v>13829</v>
      </c>
      <c r="BL390" s="18" t="s">
        <v>10811</v>
      </c>
      <c r="BM390" s="18" t="s">
        <v>139</v>
      </c>
      <c r="BN390" s="18" t="s">
        <v>85</v>
      </c>
      <c r="BO390" s="18">
        <v>1</v>
      </c>
      <c r="BP390" s="18" t="s">
        <v>10812</v>
      </c>
      <c r="BQ390" s="18" t="str">
        <f>VLOOKUP(Prepago[[#This Row],[NOM_PLAZA]],[1]!Locales[#Data],3,0)</f>
        <v>TIENDA CONDADO</v>
      </c>
      <c r="BR390" s="18" t="str">
        <f>VLOOKUP(Prepago[[#This Row],[CODIGO_USUARIO]],[1]!Personal[#Data],6,0)</f>
        <v>MELCHIADE ISAAC VALMORE</v>
      </c>
      <c r="BS390" s="18">
        <f>DAY(Prepago[[#This Row],[FECHA_ALTA]])</f>
        <v>7</v>
      </c>
    </row>
    <row r="391" spans="1:71" x14ac:dyDescent="0.25">
      <c r="A391" s="18" t="s">
        <v>96</v>
      </c>
      <c r="B391" s="18" t="s">
        <v>8518</v>
      </c>
      <c r="C391" s="18" t="s">
        <v>8524</v>
      </c>
      <c r="D391" s="18" t="s">
        <v>8520</v>
      </c>
      <c r="E391" s="22">
        <v>44900</v>
      </c>
      <c r="F391" s="18" t="s">
        <v>67</v>
      </c>
      <c r="G391" s="18" t="s">
        <v>8521</v>
      </c>
      <c r="H391" s="18" t="s">
        <v>8522</v>
      </c>
      <c r="I391" s="18" t="s">
        <v>70</v>
      </c>
      <c r="J391" s="18" t="s">
        <v>8102</v>
      </c>
      <c r="K391" s="18" t="s">
        <v>8103</v>
      </c>
      <c r="L391" s="18" t="s">
        <v>73</v>
      </c>
      <c r="M391" s="18" t="s">
        <v>7037</v>
      </c>
      <c r="N391" s="18" t="s">
        <v>8523</v>
      </c>
      <c r="O391" s="18" t="s">
        <v>287</v>
      </c>
      <c r="P391" s="18" t="s">
        <v>13830</v>
      </c>
      <c r="Q391" s="18" t="s">
        <v>231</v>
      </c>
      <c r="R391" s="18" t="s">
        <v>78</v>
      </c>
      <c r="S391" s="18" t="s">
        <v>231</v>
      </c>
      <c r="T391" s="22">
        <v>44915</v>
      </c>
      <c r="U391" s="18"/>
      <c r="V391" s="18" t="s">
        <v>81</v>
      </c>
      <c r="W391" s="18" t="s">
        <v>79</v>
      </c>
      <c r="X391" s="18" t="s">
        <v>10803</v>
      </c>
      <c r="Y391" s="18" t="s">
        <v>271</v>
      </c>
      <c r="Z391" s="18" t="s">
        <v>272</v>
      </c>
      <c r="AA391" s="18" t="s">
        <v>271</v>
      </c>
      <c r="AB391" s="18" t="s">
        <v>272</v>
      </c>
      <c r="AC391" s="18" t="s">
        <v>7984</v>
      </c>
      <c r="AD391" s="18" t="s">
        <v>10804</v>
      </c>
      <c r="AE391" s="18" t="s">
        <v>232</v>
      </c>
      <c r="AF391" s="18" t="s">
        <v>95</v>
      </c>
      <c r="AG391" s="18" t="s">
        <v>83</v>
      </c>
      <c r="AH391" s="18" t="s">
        <v>83</v>
      </c>
      <c r="AI391" s="18" t="s">
        <v>81</v>
      </c>
      <c r="AJ391" s="18" t="s">
        <v>118</v>
      </c>
      <c r="AK391" s="18" t="s">
        <v>95</v>
      </c>
      <c r="AL391" s="18" t="s">
        <v>13652</v>
      </c>
      <c r="AM391" s="18" t="s">
        <v>85</v>
      </c>
      <c r="AN391" s="18" t="s">
        <v>7031</v>
      </c>
      <c r="AO391" s="18" t="s">
        <v>86</v>
      </c>
      <c r="AP391" s="18" t="s">
        <v>90</v>
      </c>
      <c r="AQ391" s="18" t="s">
        <v>8016</v>
      </c>
      <c r="AR391" s="18" t="s">
        <v>235</v>
      </c>
      <c r="AS391" s="18" t="s">
        <v>139</v>
      </c>
      <c r="AT391" s="18" t="s">
        <v>95</v>
      </c>
      <c r="AU391" s="18" t="s">
        <v>95</v>
      </c>
      <c r="AV391" s="18" t="s">
        <v>7037</v>
      </c>
      <c r="AW391" s="18" t="s">
        <v>95</v>
      </c>
      <c r="AX391" s="18" t="s">
        <v>10806</v>
      </c>
      <c r="AY391" s="18" t="s">
        <v>95</v>
      </c>
      <c r="AZ391" s="18" t="s">
        <v>95</v>
      </c>
      <c r="BA391" s="18" t="s">
        <v>95</v>
      </c>
      <c r="BB391" s="18" t="s">
        <v>95</v>
      </c>
      <c r="BC391" s="18" t="s">
        <v>95</v>
      </c>
      <c r="BD391" s="18" t="s">
        <v>10829</v>
      </c>
      <c r="BE391" s="18" t="s">
        <v>10808</v>
      </c>
      <c r="BF391" s="18" t="s">
        <v>10809</v>
      </c>
      <c r="BG391" s="18" t="s">
        <v>7030</v>
      </c>
      <c r="BH391" s="18"/>
      <c r="BI391" s="18"/>
      <c r="BJ391" s="18" t="s">
        <v>271</v>
      </c>
      <c r="BK391" s="18" t="s">
        <v>13831</v>
      </c>
      <c r="BL391" s="18" t="s">
        <v>10811</v>
      </c>
      <c r="BM391" s="18" t="s">
        <v>139</v>
      </c>
      <c r="BN391" s="18" t="s">
        <v>85</v>
      </c>
      <c r="BO391" s="18">
        <v>0</v>
      </c>
      <c r="BP391" s="18" t="s">
        <v>10812</v>
      </c>
      <c r="BQ391" s="18" t="str">
        <f>VLOOKUP(Prepago[[#This Row],[NOM_PLAZA]],[1]!Locales[#Data],3,0)</f>
        <v>TIENDA CONDADO</v>
      </c>
      <c r="BR391" s="18" t="str">
        <f>VLOOKUP(Prepago[[#This Row],[CODIGO_USUARIO]],[1]!Personal[#Data],6,0)</f>
        <v>CASTILLO AGUIRRE EDWIN MODESTO</v>
      </c>
      <c r="BS391" s="18">
        <f>DAY(Prepago[[#This Row],[FECHA_ALTA]])</f>
        <v>5</v>
      </c>
    </row>
    <row r="392" spans="1:71" x14ac:dyDescent="0.25">
      <c r="A392" s="18" t="s">
        <v>96</v>
      </c>
      <c r="B392" s="18" t="s">
        <v>9753</v>
      </c>
      <c r="C392" s="18" t="s">
        <v>9759</v>
      </c>
      <c r="D392" s="18" t="s">
        <v>9755</v>
      </c>
      <c r="E392" s="22">
        <v>44908</v>
      </c>
      <c r="F392" s="18" t="s">
        <v>67</v>
      </c>
      <c r="G392" s="18" t="s">
        <v>9756</v>
      </c>
      <c r="H392" s="18" t="s">
        <v>9757</v>
      </c>
      <c r="I392" s="18" t="s">
        <v>70</v>
      </c>
      <c r="J392" s="18" t="s">
        <v>8102</v>
      </c>
      <c r="K392" s="18" t="s">
        <v>8103</v>
      </c>
      <c r="L392" s="18" t="s">
        <v>73</v>
      </c>
      <c r="M392" s="18" t="s">
        <v>7029</v>
      </c>
      <c r="N392" s="18" t="s">
        <v>9758</v>
      </c>
      <c r="O392" s="18" t="s">
        <v>287</v>
      </c>
      <c r="P392" s="18" t="s">
        <v>13832</v>
      </c>
      <c r="Q392" s="18" t="s">
        <v>10817</v>
      </c>
      <c r="R392" s="18" t="s">
        <v>78</v>
      </c>
      <c r="S392" s="18" t="s">
        <v>77</v>
      </c>
      <c r="T392" s="22">
        <v>44915</v>
      </c>
      <c r="U392" s="18"/>
      <c r="V392" s="18" t="s">
        <v>81</v>
      </c>
      <c r="W392" s="18" t="s">
        <v>79</v>
      </c>
      <c r="X392" s="18" t="s">
        <v>10803</v>
      </c>
      <c r="Y392" s="18" t="s">
        <v>233</v>
      </c>
      <c r="Z392" s="18" t="s">
        <v>234</v>
      </c>
      <c r="AA392" s="18" t="s">
        <v>233</v>
      </c>
      <c r="AB392" s="18" t="s">
        <v>234</v>
      </c>
      <c r="AC392" s="18" t="s">
        <v>7984</v>
      </c>
      <c r="AD392" s="18" t="s">
        <v>10804</v>
      </c>
      <c r="AE392" s="18" t="s">
        <v>232</v>
      </c>
      <c r="AF392" s="18" t="s">
        <v>95</v>
      </c>
      <c r="AG392" s="18" t="s">
        <v>83</v>
      </c>
      <c r="AH392" s="18" t="s">
        <v>83</v>
      </c>
      <c r="AI392" s="18" t="s">
        <v>81</v>
      </c>
      <c r="AJ392" s="18" t="s">
        <v>118</v>
      </c>
      <c r="AK392" s="18" t="s">
        <v>95</v>
      </c>
      <c r="AL392" s="18" t="s">
        <v>13818</v>
      </c>
      <c r="AM392" s="18" t="s">
        <v>85</v>
      </c>
      <c r="AN392" s="18" t="s">
        <v>7031</v>
      </c>
      <c r="AO392" s="18" t="s">
        <v>86</v>
      </c>
      <c r="AP392" s="18" t="s">
        <v>90</v>
      </c>
      <c r="AQ392" s="18" t="s">
        <v>8016</v>
      </c>
      <c r="AR392" s="18" t="s">
        <v>235</v>
      </c>
      <c r="AS392" s="18" t="s">
        <v>139</v>
      </c>
      <c r="AT392" s="18" t="s">
        <v>95</v>
      </c>
      <c r="AU392" s="18" t="s">
        <v>95</v>
      </c>
      <c r="AV392" s="18" t="s">
        <v>7029</v>
      </c>
      <c r="AW392" s="18" t="s">
        <v>95</v>
      </c>
      <c r="AX392" s="18" t="s">
        <v>10806</v>
      </c>
      <c r="AY392" s="18" t="s">
        <v>95</v>
      </c>
      <c r="AZ392" s="18" t="s">
        <v>95</v>
      </c>
      <c r="BA392" s="18" t="s">
        <v>95</v>
      </c>
      <c r="BB392" s="18" t="s">
        <v>95</v>
      </c>
      <c r="BC392" s="18" t="s">
        <v>95</v>
      </c>
      <c r="BD392" s="18" t="s">
        <v>10829</v>
      </c>
      <c r="BE392" s="18" t="s">
        <v>13833</v>
      </c>
      <c r="BF392" s="18" t="s">
        <v>10809</v>
      </c>
      <c r="BG392" s="18" t="s">
        <v>7030</v>
      </c>
      <c r="BH392" s="18"/>
      <c r="BI392" s="18"/>
      <c r="BJ392" s="18" t="s">
        <v>233</v>
      </c>
      <c r="BK392" s="18" t="s">
        <v>13834</v>
      </c>
      <c r="BL392" s="18" t="s">
        <v>10811</v>
      </c>
      <c r="BM392" s="18" t="s">
        <v>92</v>
      </c>
      <c r="BN392" s="18" t="s">
        <v>85</v>
      </c>
      <c r="BO392" s="18">
        <v>0</v>
      </c>
      <c r="BP392" s="18" t="s">
        <v>10812</v>
      </c>
      <c r="BQ392" s="18" t="str">
        <f>VLOOKUP(Prepago[[#This Row],[NOM_PLAZA]],[1]!Locales[#Data],3,0)</f>
        <v>TIENDA CONDADO</v>
      </c>
      <c r="BR392" s="18" t="str">
        <f>VLOOKUP(Prepago[[#This Row],[CODIGO_USUARIO]],[1]!Personal[#Data],6,0)</f>
        <v>ROSALES MALDONADO JESSICA GABRIELA</v>
      </c>
      <c r="BS392" s="18">
        <f>DAY(Prepago[[#This Row],[FECHA_ALTA]])</f>
        <v>13</v>
      </c>
    </row>
    <row r="393" spans="1:71" x14ac:dyDescent="0.25">
      <c r="A393" s="18" t="s">
        <v>96</v>
      </c>
      <c r="B393" s="18" t="s">
        <v>9343</v>
      </c>
      <c r="C393" s="18" t="s">
        <v>9349</v>
      </c>
      <c r="D393" s="18" t="s">
        <v>9345</v>
      </c>
      <c r="E393" s="22">
        <v>44906</v>
      </c>
      <c r="F393" s="18" t="s">
        <v>67</v>
      </c>
      <c r="G393" s="18" t="s">
        <v>9346</v>
      </c>
      <c r="H393" s="18" t="s">
        <v>9347</v>
      </c>
      <c r="I393" s="18" t="s">
        <v>70</v>
      </c>
      <c r="J393" s="18" t="s">
        <v>8102</v>
      </c>
      <c r="K393" s="18" t="s">
        <v>8103</v>
      </c>
      <c r="L393" s="18" t="s">
        <v>132</v>
      </c>
      <c r="M393" s="18" t="s">
        <v>7037</v>
      </c>
      <c r="N393" s="18" t="s">
        <v>9348</v>
      </c>
      <c r="O393" s="18" t="s">
        <v>287</v>
      </c>
      <c r="P393" s="18" t="s">
        <v>13835</v>
      </c>
      <c r="Q393" s="18" t="s">
        <v>10817</v>
      </c>
      <c r="R393" s="18" t="s">
        <v>78</v>
      </c>
      <c r="S393" s="18" t="s">
        <v>77</v>
      </c>
      <c r="T393" s="22">
        <v>44915</v>
      </c>
      <c r="U393" s="18"/>
      <c r="V393" s="18" t="s">
        <v>81</v>
      </c>
      <c r="W393" s="18" t="s">
        <v>79</v>
      </c>
      <c r="X393" s="18" t="s">
        <v>10803</v>
      </c>
      <c r="Y393" s="18" t="s">
        <v>271</v>
      </c>
      <c r="Z393" s="18" t="s">
        <v>272</v>
      </c>
      <c r="AA393" s="18" t="s">
        <v>271</v>
      </c>
      <c r="AB393" s="18" t="s">
        <v>272</v>
      </c>
      <c r="AC393" s="18" t="s">
        <v>7984</v>
      </c>
      <c r="AD393" s="18" t="s">
        <v>10804</v>
      </c>
      <c r="AE393" s="18" t="s">
        <v>232</v>
      </c>
      <c r="AF393" s="18" t="s">
        <v>95</v>
      </c>
      <c r="AG393" s="18" t="s">
        <v>83</v>
      </c>
      <c r="AH393" s="18" t="s">
        <v>83</v>
      </c>
      <c r="AI393" s="18" t="s">
        <v>81</v>
      </c>
      <c r="AJ393" s="18" t="s">
        <v>118</v>
      </c>
      <c r="AK393" s="18" t="s">
        <v>95</v>
      </c>
      <c r="AL393" s="18" t="s">
        <v>13652</v>
      </c>
      <c r="AM393" s="18" t="s">
        <v>85</v>
      </c>
      <c r="AN393" s="18" t="s">
        <v>7031</v>
      </c>
      <c r="AO393" s="18" t="s">
        <v>86</v>
      </c>
      <c r="AP393" s="18" t="s">
        <v>90</v>
      </c>
      <c r="AQ393" s="18" t="s">
        <v>8016</v>
      </c>
      <c r="AR393" s="18" t="s">
        <v>235</v>
      </c>
      <c r="AS393" s="18" t="s">
        <v>139</v>
      </c>
      <c r="AT393" s="18" t="s">
        <v>95</v>
      </c>
      <c r="AU393" s="18" t="s">
        <v>95</v>
      </c>
      <c r="AV393" s="18" t="s">
        <v>7037</v>
      </c>
      <c r="AW393" s="18" t="s">
        <v>95</v>
      </c>
      <c r="AX393" s="18" t="s">
        <v>10806</v>
      </c>
      <c r="AY393" s="18" t="s">
        <v>95</v>
      </c>
      <c r="AZ393" s="18" t="s">
        <v>95</v>
      </c>
      <c r="BA393" s="18" t="s">
        <v>95</v>
      </c>
      <c r="BB393" s="18" t="s">
        <v>95</v>
      </c>
      <c r="BC393" s="18" t="s">
        <v>95</v>
      </c>
      <c r="BD393" s="18" t="s">
        <v>10829</v>
      </c>
      <c r="BE393" s="18" t="s">
        <v>13836</v>
      </c>
      <c r="BF393" s="18" t="s">
        <v>10809</v>
      </c>
      <c r="BG393" s="18" t="s">
        <v>7030</v>
      </c>
      <c r="BH393" s="18"/>
      <c r="BI393" s="18"/>
      <c r="BJ393" s="18" t="s">
        <v>271</v>
      </c>
      <c r="BK393" s="18" t="s">
        <v>13837</v>
      </c>
      <c r="BL393" s="18" t="s">
        <v>10811</v>
      </c>
      <c r="BM393" s="18" t="s">
        <v>139</v>
      </c>
      <c r="BN393" s="18" t="s">
        <v>85</v>
      </c>
      <c r="BO393" s="18">
        <v>1</v>
      </c>
      <c r="BP393" s="18" t="s">
        <v>10812</v>
      </c>
      <c r="BQ393" s="18" t="str">
        <f>VLOOKUP(Prepago[[#This Row],[NOM_PLAZA]],[1]!Locales[#Data],3,0)</f>
        <v>TIENDA CONDADO</v>
      </c>
      <c r="BR393" s="18" t="str">
        <f>VLOOKUP(Prepago[[#This Row],[CODIGO_USUARIO]],[1]!Personal[#Data],6,0)</f>
        <v>CASTILLO AGUIRRE EDWIN MODESTO</v>
      </c>
      <c r="BS393" s="18">
        <f>DAY(Prepago[[#This Row],[FECHA_ALTA]])</f>
        <v>11</v>
      </c>
    </row>
    <row r="394" spans="1:71" x14ac:dyDescent="0.25">
      <c r="A394" s="18" t="s">
        <v>96</v>
      </c>
      <c r="B394" s="18" t="s">
        <v>9901</v>
      </c>
      <c r="C394" s="18" t="s">
        <v>9907</v>
      </c>
      <c r="D394" s="18" t="s">
        <v>9903</v>
      </c>
      <c r="E394" s="22">
        <v>44909</v>
      </c>
      <c r="F394" s="18" t="s">
        <v>67</v>
      </c>
      <c r="G394" s="18" t="s">
        <v>9904</v>
      </c>
      <c r="H394" s="18" t="s">
        <v>9905</v>
      </c>
      <c r="I394" s="18" t="s">
        <v>70</v>
      </c>
      <c r="J394" s="18" t="s">
        <v>8102</v>
      </c>
      <c r="K394" s="18" t="s">
        <v>8103</v>
      </c>
      <c r="L394" s="18" t="s">
        <v>132</v>
      </c>
      <c r="M394" s="18" t="s">
        <v>7037</v>
      </c>
      <c r="N394" s="18" t="s">
        <v>9906</v>
      </c>
      <c r="O394" s="18" t="s">
        <v>287</v>
      </c>
      <c r="P394" s="18" t="s">
        <v>13838</v>
      </c>
      <c r="Q394" s="18" t="s">
        <v>10817</v>
      </c>
      <c r="R394" s="18" t="s">
        <v>78</v>
      </c>
      <c r="S394" s="18" t="s">
        <v>77</v>
      </c>
      <c r="T394" s="22">
        <v>44915</v>
      </c>
      <c r="U394" s="18"/>
      <c r="V394" s="18" t="s">
        <v>81</v>
      </c>
      <c r="W394" s="18" t="s">
        <v>79</v>
      </c>
      <c r="X394" s="18" t="s">
        <v>10803</v>
      </c>
      <c r="Y394" s="18" t="s">
        <v>233</v>
      </c>
      <c r="Z394" s="18" t="s">
        <v>234</v>
      </c>
      <c r="AA394" s="18" t="s">
        <v>233</v>
      </c>
      <c r="AB394" s="18" t="s">
        <v>234</v>
      </c>
      <c r="AC394" s="18" t="s">
        <v>7984</v>
      </c>
      <c r="AD394" s="18" t="s">
        <v>10804</v>
      </c>
      <c r="AE394" s="18" t="s">
        <v>232</v>
      </c>
      <c r="AF394" s="18" t="s">
        <v>95</v>
      </c>
      <c r="AG394" s="18" t="s">
        <v>83</v>
      </c>
      <c r="AH394" s="18" t="s">
        <v>83</v>
      </c>
      <c r="AI394" s="18" t="s">
        <v>81</v>
      </c>
      <c r="AJ394" s="18" t="s">
        <v>118</v>
      </c>
      <c r="AK394" s="18" t="s">
        <v>95</v>
      </c>
      <c r="AL394" s="18" t="s">
        <v>13818</v>
      </c>
      <c r="AM394" s="18" t="s">
        <v>85</v>
      </c>
      <c r="AN394" s="18" t="s">
        <v>7031</v>
      </c>
      <c r="AO394" s="18" t="s">
        <v>86</v>
      </c>
      <c r="AP394" s="18" t="s">
        <v>90</v>
      </c>
      <c r="AQ394" s="18" t="s">
        <v>8016</v>
      </c>
      <c r="AR394" s="18" t="s">
        <v>235</v>
      </c>
      <c r="AS394" s="18" t="s">
        <v>139</v>
      </c>
      <c r="AT394" s="18" t="s">
        <v>95</v>
      </c>
      <c r="AU394" s="18" t="s">
        <v>95</v>
      </c>
      <c r="AV394" s="18" t="s">
        <v>7037</v>
      </c>
      <c r="AW394" s="18" t="s">
        <v>95</v>
      </c>
      <c r="AX394" s="18" t="s">
        <v>10806</v>
      </c>
      <c r="AY394" s="18" t="s">
        <v>95</v>
      </c>
      <c r="AZ394" s="18" t="s">
        <v>95</v>
      </c>
      <c r="BA394" s="18" t="s">
        <v>95</v>
      </c>
      <c r="BB394" s="18" t="s">
        <v>95</v>
      </c>
      <c r="BC394" s="18" t="s">
        <v>95</v>
      </c>
      <c r="BD394" s="18" t="s">
        <v>10829</v>
      </c>
      <c r="BE394" s="18" t="s">
        <v>13839</v>
      </c>
      <c r="BF394" s="18" t="s">
        <v>10809</v>
      </c>
      <c r="BG394" s="18" t="s">
        <v>7030</v>
      </c>
      <c r="BH394" s="18"/>
      <c r="BI394" s="18"/>
      <c r="BJ394" s="18" t="s">
        <v>233</v>
      </c>
      <c r="BK394" s="18" t="s">
        <v>13840</v>
      </c>
      <c r="BL394" s="18" t="s">
        <v>10811</v>
      </c>
      <c r="BM394" s="18" t="s">
        <v>139</v>
      </c>
      <c r="BN394" s="18" t="s">
        <v>85</v>
      </c>
      <c r="BO394" s="18">
        <v>0</v>
      </c>
      <c r="BP394" s="18" t="s">
        <v>10812</v>
      </c>
      <c r="BQ394" s="18" t="str">
        <f>VLOOKUP(Prepago[[#This Row],[NOM_PLAZA]],[1]!Locales[#Data],3,0)</f>
        <v>TIENDA CONDADO</v>
      </c>
      <c r="BR394" s="18" t="str">
        <f>VLOOKUP(Prepago[[#This Row],[CODIGO_USUARIO]],[1]!Personal[#Data],6,0)</f>
        <v>ROSALES MALDONADO JESSICA GABRIELA</v>
      </c>
      <c r="BS394" s="18">
        <f>DAY(Prepago[[#This Row],[FECHA_ALTA]])</f>
        <v>14</v>
      </c>
    </row>
    <row r="395" spans="1:71" x14ac:dyDescent="0.25">
      <c r="A395" s="18" t="s">
        <v>96</v>
      </c>
      <c r="B395" s="18" t="s">
        <v>13841</v>
      </c>
      <c r="C395" s="18" t="s">
        <v>13842</v>
      </c>
      <c r="D395" s="18" t="s">
        <v>13843</v>
      </c>
      <c r="E395" s="22">
        <v>44913</v>
      </c>
      <c r="F395" s="18" t="s">
        <v>67</v>
      </c>
      <c r="G395" s="18" t="s">
        <v>13844</v>
      </c>
      <c r="H395" s="18" t="s">
        <v>13845</v>
      </c>
      <c r="I395" s="18" t="s">
        <v>70</v>
      </c>
      <c r="J395" s="18" t="s">
        <v>8102</v>
      </c>
      <c r="K395" s="18" t="s">
        <v>8103</v>
      </c>
      <c r="L395" s="18" t="s">
        <v>73</v>
      </c>
      <c r="M395" s="18" t="s">
        <v>7029</v>
      </c>
      <c r="N395" s="18" t="s">
        <v>13846</v>
      </c>
      <c r="O395" s="18" t="s">
        <v>75</v>
      </c>
      <c r="P395" s="18" t="s">
        <v>13847</v>
      </c>
      <c r="Q395" s="18" t="s">
        <v>231</v>
      </c>
      <c r="R395" s="18" t="s">
        <v>78</v>
      </c>
      <c r="S395" s="18" t="s">
        <v>231</v>
      </c>
      <c r="T395" s="22">
        <v>44915</v>
      </c>
      <c r="U395" s="18"/>
      <c r="V395" s="18" t="s">
        <v>81</v>
      </c>
      <c r="W395" s="18" t="s">
        <v>79</v>
      </c>
      <c r="X395" s="18" t="s">
        <v>10803</v>
      </c>
      <c r="Y395" s="18" t="s">
        <v>233</v>
      </c>
      <c r="Z395" s="18" t="s">
        <v>234</v>
      </c>
      <c r="AA395" s="18" t="s">
        <v>233</v>
      </c>
      <c r="AB395" s="18" t="s">
        <v>234</v>
      </c>
      <c r="AC395" s="18" t="s">
        <v>7984</v>
      </c>
      <c r="AD395" s="18" t="s">
        <v>10804</v>
      </c>
      <c r="AE395" s="18" t="s">
        <v>232</v>
      </c>
      <c r="AF395" s="18" t="s">
        <v>95</v>
      </c>
      <c r="AG395" s="18" t="s">
        <v>83</v>
      </c>
      <c r="AH395" s="18" t="s">
        <v>83</v>
      </c>
      <c r="AI395" s="18" t="s">
        <v>81</v>
      </c>
      <c r="AJ395" s="18" t="s">
        <v>118</v>
      </c>
      <c r="AK395" s="18" t="s">
        <v>95</v>
      </c>
      <c r="AL395" s="18" t="s">
        <v>13818</v>
      </c>
      <c r="AM395" s="18" t="s">
        <v>85</v>
      </c>
      <c r="AN395" s="18" t="s">
        <v>7031</v>
      </c>
      <c r="AO395" s="18" t="s">
        <v>86</v>
      </c>
      <c r="AP395" s="18" t="s">
        <v>90</v>
      </c>
      <c r="AQ395" s="18" t="s">
        <v>8016</v>
      </c>
      <c r="AR395" s="18" t="s">
        <v>235</v>
      </c>
      <c r="AS395" s="18" t="s">
        <v>139</v>
      </c>
      <c r="AT395" s="18" t="s">
        <v>95</v>
      </c>
      <c r="AU395" s="18" t="s">
        <v>95</v>
      </c>
      <c r="AV395" s="18" t="s">
        <v>7029</v>
      </c>
      <c r="AW395" s="18" t="s">
        <v>95</v>
      </c>
      <c r="AX395" s="18" t="s">
        <v>10806</v>
      </c>
      <c r="AY395" s="18" t="s">
        <v>95</v>
      </c>
      <c r="AZ395" s="18" t="s">
        <v>95</v>
      </c>
      <c r="BA395" s="18" t="s">
        <v>95</v>
      </c>
      <c r="BB395" s="18" t="s">
        <v>95</v>
      </c>
      <c r="BC395" s="18" t="s">
        <v>95</v>
      </c>
      <c r="BD395" s="18" t="s">
        <v>10807</v>
      </c>
      <c r="BE395" s="18" t="s">
        <v>10808</v>
      </c>
      <c r="BF395" s="18" t="s">
        <v>10809</v>
      </c>
      <c r="BG395" s="18" t="s">
        <v>7030</v>
      </c>
      <c r="BH395" s="18"/>
      <c r="BI395" s="18"/>
      <c r="BJ395" s="18" t="s">
        <v>233</v>
      </c>
      <c r="BK395" s="18" t="s">
        <v>13848</v>
      </c>
      <c r="BL395" s="18" t="s">
        <v>10811</v>
      </c>
      <c r="BM395" s="18" t="s">
        <v>92</v>
      </c>
      <c r="BN395" s="18" t="s">
        <v>85</v>
      </c>
      <c r="BO395" s="18">
        <v>0</v>
      </c>
      <c r="BP395" s="18" t="s">
        <v>10812</v>
      </c>
      <c r="BQ395" s="18" t="str">
        <f>VLOOKUP(Prepago[[#This Row],[NOM_PLAZA]],[1]!Locales[#Data],3,0)</f>
        <v>TIENDA CONDADO</v>
      </c>
      <c r="BR395" s="18" t="str">
        <f>VLOOKUP(Prepago[[#This Row],[CODIGO_USUARIO]],[1]!Personal[#Data],6,0)</f>
        <v>ROSALES MALDONADO JESSICA GABRIELA</v>
      </c>
      <c r="BS395" s="18">
        <f>DAY(Prepago[[#This Row],[FECHA_ALTA]])</f>
        <v>18</v>
      </c>
    </row>
    <row r="396" spans="1:71" x14ac:dyDescent="0.25">
      <c r="A396" s="18" t="s">
        <v>96</v>
      </c>
      <c r="B396" s="18" t="s">
        <v>13849</v>
      </c>
      <c r="C396" s="18" t="s">
        <v>13850</v>
      </c>
      <c r="D396" s="18" t="s">
        <v>13851</v>
      </c>
      <c r="E396" s="22">
        <v>44914</v>
      </c>
      <c r="F396" s="18" t="s">
        <v>67</v>
      </c>
      <c r="G396" s="18" t="s">
        <v>13852</v>
      </c>
      <c r="H396" s="18" t="s">
        <v>13853</v>
      </c>
      <c r="I396" s="18" t="s">
        <v>70</v>
      </c>
      <c r="J396" s="18" t="s">
        <v>8102</v>
      </c>
      <c r="K396" s="18" t="s">
        <v>8103</v>
      </c>
      <c r="L396" s="18" t="s">
        <v>73</v>
      </c>
      <c r="M396" s="18" t="s">
        <v>7029</v>
      </c>
      <c r="N396" s="18" t="s">
        <v>13854</v>
      </c>
      <c r="O396" s="18" t="s">
        <v>75</v>
      </c>
      <c r="P396" s="18" t="s">
        <v>13855</v>
      </c>
      <c r="Q396" s="18" t="s">
        <v>1532</v>
      </c>
      <c r="R396" s="18" t="s">
        <v>78</v>
      </c>
      <c r="S396" s="18" t="s">
        <v>77</v>
      </c>
      <c r="T396" s="22">
        <v>44915</v>
      </c>
      <c r="U396" s="18"/>
      <c r="V396" s="18" t="s">
        <v>81</v>
      </c>
      <c r="W396" s="18" t="s">
        <v>79</v>
      </c>
      <c r="X396" s="18" t="s">
        <v>10803</v>
      </c>
      <c r="Y396" s="18" t="s">
        <v>769</v>
      </c>
      <c r="Z396" s="18" t="s">
        <v>770</v>
      </c>
      <c r="AA396" s="18" t="s">
        <v>769</v>
      </c>
      <c r="AB396" s="18" t="s">
        <v>770</v>
      </c>
      <c r="AC396" s="18" t="s">
        <v>7984</v>
      </c>
      <c r="AD396" s="18" t="s">
        <v>10804</v>
      </c>
      <c r="AE396" s="18" t="s">
        <v>232</v>
      </c>
      <c r="AF396" s="18" t="s">
        <v>95</v>
      </c>
      <c r="AG396" s="18" t="s">
        <v>83</v>
      </c>
      <c r="AH396" s="18" t="s">
        <v>83</v>
      </c>
      <c r="AI396" s="18" t="s">
        <v>81</v>
      </c>
      <c r="AJ396" s="18" t="s">
        <v>118</v>
      </c>
      <c r="AK396" s="18" t="s">
        <v>95</v>
      </c>
      <c r="AL396" s="18" t="s">
        <v>10744</v>
      </c>
      <c r="AM396" s="18" t="s">
        <v>85</v>
      </c>
      <c r="AN396" s="18" t="s">
        <v>7031</v>
      </c>
      <c r="AO396" s="18" t="s">
        <v>86</v>
      </c>
      <c r="AP396" s="18" t="s">
        <v>90</v>
      </c>
      <c r="AQ396" s="18" t="s">
        <v>8016</v>
      </c>
      <c r="AR396" s="18" t="s">
        <v>235</v>
      </c>
      <c r="AS396" s="18" t="s">
        <v>139</v>
      </c>
      <c r="AT396" s="18" t="s">
        <v>95</v>
      </c>
      <c r="AU396" s="18" t="s">
        <v>95</v>
      </c>
      <c r="AV396" s="18" t="s">
        <v>7029</v>
      </c>
      <c r="AW396" s="18" t="s">
        <v>95</v>
      </c>
      <c r="AX396" s="18" t="s">
        <v>10806</v>
      </c>
      <c r="AY396" s="18" t="s">
        <v>95</v>
      </c>
      <c r="AZ396" s="18" t="s">
        <v>95</v>
      </c>
      <c r="BA396" s="18" t="s">
        <v>95</v>
      </c>
      <c r="BB396" s="18" t="s">
        <v>95</v>
      </c>
      <c r="BC396" s="18" t="s">
        <v>95</v>
      </c>
      <c r="BD396" s="18" t="s">
        <v>10829</v>
      </c>
      <c r="BE396" s="18" t="s">
        <v>10808</v>
      </c>
      <c r="BF396" s="18" t="s">
        <v>10809</v>
      </c>
      <c r="BG396" s="18" t="s">
        <v>7030</v>
      </c>
      <c r="BH396" s="18"/>
      <c r="BI396" s="18"/>
      <c r="BJ396" s="18" t="s">
        <v>769</v>
      </c>
      <c r="BK396" s="18" t="s">
        <v>13856</v>
      </c>
      <c r="BL396" s="18" t="s">
        <v>10811</v>
      </c>
      <c r="BM396" s="18" t="s">
        <v>92</v>
      </c>
      <c r="BN396" s="18" t="s">
        <v>85</v>
      </c>
      <c r="BO396" s="18">
        <v>0</v>
      </c>
      <c r="BP396" s="18" t="s">
        <v>10812</v>
      </c>
      <c r="BQ396" s="18" t="str">
        <f>VLOOKUP(Prepago[[#This Row],[NOM_PLAZA]],[1]!Locales[#Data],3,0)</f>
        <v>TIENDA CONDADO</v>
      </c>
      <c r="BR396" s="18" t="str">
        <f>VLOOKUP(Prepago[[#This Row],[CODIGO_USUARIO]],[1]!Personal[#Data],6,0)</f>
        <v>ROJAS VEGA JHOSMERY MICHELE</v>
      </c>
      <c r="BS396" s="18">
        <f>DAY(Prepago[[#This Row],[FECHA_ALTA]])</f>
        <v>19</v>
      </c>
    </row>
    <row r="397" spans="1:71" x14ac:dyDescent="0.25">
      <c r="A397" s="18" t="s">
        <v>96</v>
      </c>
      <c r="B397" s="18" t="s">
        <v>10259</v>
      </c>
      <c r="C397" s="18" t="s">
        <v>10265</v>
      </c>
      <c r="D397" s="18" t="s">
        <v>10261</v>
      </c>
      <c r="E397" s="22">
        <v>44912</v>
      </c>
      <c r="F397" s="18" t="s">
        <v>67</v>
      </c>
      <c r="G397" s="18" t="s">
        <v>10262</v>
      </c>
      <c r="H397" s="18" t="s">
        <v>10263</v>
      </c>
      <c r="I397" s="18" t="s">
        <v>70</v>
      </c>
      <c r="J397" s="18" t="s">
        <v>8102</v>
      </c>
      <c r="K397" s="18" t="s">
        <v>8103</v>
      </c>
      <c r="L397" s="18" t="s">
        <v>349</v>
      </c>
      <c r="M397" s="18" t="s">
        <v>7037</v>
      </c>
      <c r="N397" s="18" t="s">
        <v>10264</v>
      </c>
      <c r="O397" s="18" t="s">
        <v>287</v>
      </c>
      <c r="P397" s="18" t="s">
        <v>13857</v>
      </c>
      <c r="Q397" s="18" t="s">
        <v>10817</v>
      </c>
      <c r="R397" s="18" t="s">
        <v>78</v>
      </c>
      <c r="S397" s="18" t="s">
        <v>77</v>
      </c>
      <c r="T397" s="22">
        <v>44915</v>
      </c>
      <c r="U397" s="18"/>
      <c r="V397" s="18" t="s">
        <v>81</v>
      </c>
      <c r="W397" s="18" t="s">
        <v>79</v>
      </c>
      <c r="X397" s="18" t="s">
        <v>10803</v>
      </c>
      <c r="Y397" s="18" t="s">
        <v>769</v>
      </c>
      <c r="Z397" s="18" t="s">
        <v>770</v>
      </c>
      <c r="AA397" s="18" t="s">
        <v>769</v>
      </c>
      <c r="AB397" s="18" t="s">
        <v>770</v>
      </c>
      <c r="AC397" s="18" t="s">
        <v>7984</v>
      </c>
      <c r="AD397" s="18" t="s">
        <v>10804</v>
      </c>
      <c r="AE397" s="18" t="s">
        <v>232</v>
      </c>
      <c r="AF397" s="18" t="s">
        <v>95</v>
      </c>
      <c r="AG397" s="18" t="s">
        <v>83</v>
      </c>
      <c r="AH397" s="18" t="s">
        <v>83</v>
      </c>
      <c r="AI397" s="18" t="s">
        <v>81</v>
      </c>
      <c r="AJ397" s="18" t="s">
        <v>118</v>
      </c>
      <c r="AK397" s="18" t="s">
        <v>95</v>
      </c>
      <c r="AL397" s="18" t="s">
        <v>10744</v>
      </c>
      <c r="AM397" s="18" t="s">
        <v>85</v>
      </c>
      <c r="AN397" s="18" t="s">
        <v>7031</v>
      </c>
      <c r="AO397" s="18" t="s">
        <v>86</v>
      </c>
      <c r="AP397" s="18" t="s">
        <v>90</v>
      </c>
      <c r="AQ397" s="18" t="s">
        <v>8016</v>
      </c>
      <c r="AR397" s="18" t="s">
        <v>235</v>
      </c>
      <c r="AS397" s="18" t="s">
        <v>139</v>
      </c>
      <c r="AT397" s="18" t="s">
        <v>95</v>
      </c>
      <c r="AU397" s="18" t="s">
        <v>95</v>
      </c>
      <c r="AV397" s="18" t="s">
        <v>7037</v>
      </c>
      <c r="AW397" s="18" t="s">
        <v>95</v>
      </c>
      <c r="AX397" s="18" t="s">
        <v>10806</v>
      </c>
      <c r="AY397" s="18" t="s">
        <v>95</v>
      </c>
      <c r="AZ397" s="18" t="s">
        <v>95</v>
      </c>
      <c r="BA397" s="18" t="s">
        <v>95</v>
      </c>
      <c r="BB397" s="18" t="s">
        <v>95</v>
      </c>
      <c r="BC397" s="18" t="s">
        <v>95</v>
      </c>
      <c r="BD397" s="18" t="s">
        <v>10829</v>
      </c>
      <c r="BE397" s="18" t="s">
        <v>13858</v>
      </c>
      <c r="BF397" s="18" t="s">
        <v>10809</v>
      </c>
      <c r="BG397" s="18" t="s">
        <v>7030</v>
      </c>
      <c r="BH397" s="18"/>
      <c r="BI397" s="18"/>
      <c r="BJ397" s="18" t="s">
        <v>769</v>
      </c>
      <c r="BK397" s="18" t="s">
        <v>13859</v>
      </c>
      <c r="BL397" s="18" t="s">
        <v>10811</v>
      </c>
      <c r="BM397" s="18" t="s">
        <v>139</v>
      </c>
      <c r="BN397" s="18" t="s">
        <v>85</v>
      </c>
      <c r="BO397" s="18">
        <v>0</v>
      </c>
      <c r="BP397" s="18" t="s">
        <v>10812</v>
      </c>
      <c r="BQ397" s="18" t="str">
        <f>VLOOKUP(Prepago[[#This Row],[NOM_PLAZA]],[1]!Locales[#Data],3,0)</f>
        <v>TIENDA CONDADO</v>
      </c>
      <c r="BR397" s="18" t="str">
        <f>VLOOKUP(Prepago[[#This Row],[CODIGO_USUARIO]],[1]!Personal[#Data],6,0)</f>
        <v>ROJAS VEGA JHOSMERY MICHELE</v>
      </c>
      <c r="BS397" s="18">
        <f>DAY(Prepago[[#This Row],[FECHA_ALTA]])</f>
        <v>17</v>
      </c>
    </row>
    <row r="398" spans="1:71" x14ac:dyDescent="0.25">
      <c r="A398" s="18" t="s">
        <v>96</v>
      </c>
      <c r="B398" s="18" t="s">
        <v>13860</v>
      </c>
      <c r="C398" s="18" t="s">
        <v>13861</v>
      </c>
      <c r="D398" s="18" t="s">
        <v>13862</v>
      </c>
      <c r="E398" s="22">
        <v>44905</v>
      </c>
      <c r="F398" s="18" t="s">
        <v>67</v>
      </c>
      <c r="G398" s="18" t="s">
        <v>13863</v>
      </c>
      <c r="H398" s="18" t="s">
        <v>13864</v>
      </c>
      <c r="I398" s="18" t="s">
        <v>70</v>
      </c>
      <c r="J398" s="18" t="s">
        <v>8102</v>
      </c>
      <c r="K398" s="18" t="s">
        <v>8103</v>
      </c>
      <c r="L398" s="18" t="s">
        <v>73</v>
      </c>
      <c r="M398" s="18" t="s">
        <v>7029</v>
      </c>
      <c r="N398" s="18" t="s">
        <v>13865</v>
      </c>
      <c r="O398" s="18" t="s">
        <v>75</v>
      </c>
      <c r="P398" s="18" t="s">
        <v>13866</v>
      </c>
      <c r="Q398" s="18" t="s">
        <v>4453</v>
      </c>
      <c r="R398" s="18" t="s">
        <v>78</v>
      </c>
      <c r="S398" s="18" t="s">
        <v>77</v>
      </c>
      <c r="T398" s="22">
        <v>44915</v>
      </c>
      <c r="U398" s="18"/>
      <c r="V398" s="18" t="s">
        <v>81</v>
      </c>
      <c r="W398" s="18" t="s">
        <v>79</v>
      </c>
      <c r="X398" s="18" t="s">
        <v>10803</v>
      </c>
      <c r="Y398" s="18" t="s">
        <v>271</v>
      </c>
      <c r="Z398" s="18" t="s">
        <v>272</v>
      </c>
      <c r="AA398" s="18" t="s">
        <v>271</v>
      </c>
      <c r="AB398" s="18" t="s">
        <v>272</v>
      </c>
      <c r="AC398" s="18" t="s">
        <v>7984</v>
      </c>
      <c r="AD398" s="18" t="s">
        <v>10804</v>
      </c>
      <c r="AE398" s="18" t="s">
        <v>232</v>
      </c>
      <c r="AF398" s="18" t="s">
        <v>95</v>
      </c>
      <c r="AG398" s="18" t="s">
        <v>83</v>
      </c>
      <c r="AH398" s="18" t="s">
        <v>83</v>
      </c>
      <c r="AI398" s="18" t="s">
        <v>81</v>
      </c>
      <c r="AJ398" s="18" t="s">
        <v>118</v>
      </c>
      <c r="AK398" s="18" t="s">
        <v>95</v>
      </c>
      <c r="AL398" s="18" t="s">
        <v>13652</v>
      </c>
      <c r="AM398" s="18" t="s">
        <v>85</v>
      </c>
      <c r="AN398" s="18" t="s">
        <v>7031</v>
      </c>
      <c r="AO398" s="18" t="s">
        <v>86</v>
      </c>
      <c r="AP398" s="18" t="s">
        <v>90</v>
      </c>
      <c r="AQ398" s="18" t="s">
        <v>8016</v>
      </c>
      <c r="AR398" s="18" t="s">
        <v>235</v>
      </c>
      <c r="AS398" s="18" t="s">
        <v>139</v>
      </c>
      <c r="AT398" s="18" t="s">
        <v>95</v>
      </c>
      <c r="AU398" s="18" t="s">
        <v>95</v>
      </c>
      <c r="AV398" s="18" t="s">
        <v>7029</v>
      </c>
      <c r="AW398" s="18" t="s">
        <v>95</v>
      </c>
      <c r="AX398" s="18" t="s">
        <v>10806</v>
      </c>
      <c r="AY398" s="18" t="s">
        <v>95</v>
      </c>
      <c r="AZ398" s="18" t="s">
        <v>95</v>
      </c>
      <c r="BA398" s="18" t="s">
        <v>95</v>
      </c>
      <c r="BB398" s="18" t="s">
        <v>95</v>
      </c>
      <c r="BC398" s="18" t="s">
        <v>95</v>
      </c>
      <c r="BD398" s="18" t="s">
        <v>10829</v>
      </c>
      <c r="BE398" s="18" t="s">
        <v>10808</v>
      </c>
      <c r="BF398" s="18" t="s">
        <v>10809</v>
      </c>
      <c r="BG398" s="18" t="s">
        <v>7030</v>
      </c>
      <c r="BH398" s="18"/>
      <c r="BI398" s="18"/>
      <c r="BJ398" s="18" t="s">
        <v>271</v>
      </c>
      <c r="BK398" s="18" t="s">
        <v>13867</v>
      </c>
      <c r="BL398" s="18" t="s">
        <v>10811</v>
      </c>
      <c r="BM398" s="18" t="s">
        <v>92</v>
      </c>
      <c r="BN398" s="18" t="s">
        <v>85</v>
      </c>
      <c r="BO398" s="18">
        <v>0</v>
      </c>
      <c r="BP398" s="18" t="s">
        <v>10812</v>
      </c>
      <c r="BQ398" s="18" t="str">
        <f>VLOOKUP(Prepago[[#This Row],[NOM_PLAZA]],[1]!Locales[#Data],3,0)</f>
        <v>TIENDA CONDADO</v>
      </c>
      <c r="BR398" s="18" t="str">
        <f>VLOOKUP(Prepago[[#This Row],[CODIGO_USUARIO]],[1]!Personal[#Data],6,0)</f>
        <v>CASTILLO AGUIRRE EDWIN MODESTO</v>
      </c>
      <c r="BS398" s="18">
        <f>DAY(Prepago[[#This Row],[FECHA_ALTA]])</f>
        <v>10</v>
      </c>
    </row>
    <row r="399" spans="1:71" x14ac:dyDescent="0.25">
      <c r="A399" s="18" t="s">
        <v>96</v>
      </c>
      <c r="B399" s="18" t="s">
        <v>13868</v>
      </c>
      <c r="C399" s="18" t="s">
        <v>13869</v>
      </c>
      <c r="D399" s="18" t="s">
        <v>13870</v>
      </c>
      <c r="E399" s="22">
        <v>44905</v>
      </c>
      <c r="F399" s="18" t="s">
        <v>67</v>
      </c>
      <c r="G399" s="18" t="s">
        <v>13871</v>
      </c>
      <c r="H399" s="18" t="s">
        <v>13872</v>
      </c>
      <c r="I399" s="18" t="s">
        <v>70</v>
      </c>
      <c r="J399" s="18" t="s">
        <v>8102</v>
      </c>
      <c r="K399" s="18" t="s">
        <v>8103</v>
      </c>
      <c r="L399" s="18" t="s">
        <v>132</v>
      </c>
      <c r="M399" s="18" t="s">
        <v>7037</v>
      </c>
      <c r="N399" s="18" t="s">
        <v>13873</v>
      </c>
      <c r="O399" s="18" t="s">
        <v>75</v>
      </c>
      <c r="P399" s="18" t="s">
        <v>13874</v>
      </c>
      <c r="Q399" s="18" t="s">
        <v>4453</v>
      </c>
      <c r="R399" s="18" t="s">
        <v>78</v>
      </c>
      <c r="S399" s="18" t="s">
        <v>77</v>
      </c>
      <c r="T399" s="22">
        <v>44915</v>
      </c>
      <c r="U399" s="18"/>
      <c r="V399" s="18" t="s">
        <v>81</v>
      </c>
      <c r="W399" s="18" t="s">
        <v>79</v>
      </c>
      <c r="X399" s="18" t="s">
        <v>10803</v>
      </c>
      <c r="Y399" s="18" t="s">
        <v>271</v>
      </c>
      <c r="Z399" s="18" t="s">
        <v>272</v>
      </c>
      <c r="AA399" s="18" t="s">
        <v>271</v>
      </c>
      <c r="AB399" s="18" t="s">
        <v>272</v>
      </c>
      <c r="AC399" s="18" t="s">
        <v>7984</v>
      </c>
      <c r="AD399" s="18" t="s">
        <v>10804</v>
      </c>
      <c r="AE399" s="18" t="s">
        <v>232</v>
      </c>
      <c r="AF399" s="18" t="s">
        <v>95</v>
      </c>
      <c r="AG399" s="18" t="s">
        <v>83</v>
      </c>
      <c r="AH399" s="18" t="s">
        <v>83</v>
      </c>
      <c r="AI399" s="18" t="s">
        <v>81</v>
      </c>
      <c r="AJ399" s="18" t="s">
        <v>118</v>
      </c>
      <c r="AK399" s="18" t="s">
        <v>95</v>
      </c>
      <c r="AL399" s="18" t="s">
        <v>13652</v>
      </c>
      <c r="AM399" s="18" t="s">
        <v>85</v>
      </c>
      <c r="AN399" s="18" t="s">
        <v>7031</v>
      </c>
      <c r="AO399" s="18" t="s">
        <v>86</v>
      </c>
      <c r="AP399" s="18" t="s">
        <v>90</v>
      </c>
      <c r="AQ399" s="18" t="s">
        <v>8016</v>
      </c>
      <c r="AR399" s="18" t="s">
        <v>235</v>
      </c>
      <c r="AS399" s="18" t="s">
        <v>139</v>
      </c>
      <c r="AT399" s="18" t="s">
        <v>95</v>
      </c>
      <c r="AU399" s="18" t="s">
        <v>95</v>
      </c>
      <c r="AV399" s="18" t="s">
        <v>7037</v>
      </c>
      <c r="AW399" s="18" t="s">
        <v>95</v>
      </c>
      <c r="AX399" s="18" t="s">
        <v>10806</v>
      </c>
      <c r="AY399" s="18" t="s">
        <v>95</v>
      </c>
      <c r="AZ399" s="18" t="s">
        <v>95</v>
      </c>
      <c r="BA399" s="18" t="s">
        <v>95</v>
      </c>
      <c r="BB399" s="18" t="s">
        <v>95</v>
      </c>
      <c r="BC399" s="18" t="s">
        <v>95</v>
      </c>
      <c r="BD399" s="18" t="s">
        <v>10829</v>
      </c>
      <c r="BE399" s="18" t="s">
        <v>13875</v>
      </c>
      <c r="BF399" s="18" t="s">
        <v>10809</v>
      </c>
      <c r="BG399" s="18" t="s">
        <v>7030</v>
      </c>
      <c r="BH399" s="18"/>
      <c r="BI399" s="18"/>
      <c r="BJ399" s="18" t="s">
        <v>271</v>
      </c>
      <c r="BK399" s="18" t="s">
        <v>13876</v>
      </c>
      <c r="BL399" s="18" t="s">
        <v>10811</v>
      </c>
      <c r="BM399" s="18" t="s">
        <v>139</v>
      </c>
      <c r="BN399" s="18" t="s">
        <v>85</v>
      </c>
      <c r="BO399" s="18">
        <v>0</v>
      </c>
      <c r="BP399" s="18" t="s">
        <v>10812</v>
      </c>
      <c r="BQ399" s="18" t="str">
        <f>VLOOKUP(Prepago[[#This Row],[NOM_PLAZA]],[1]!Locales[#Data],3,0)</f>
        <v>TIENDA CONDADO</v>
      </c>
      <c r="BR399" s="18" t="str">
        <f>VLOOKUP(Prepago[[#This Row],[CODIGO_USUARIO]],[1]!Personal[#Data],6,0)</f>
        <v>CASTILLO AGUIRRE EDWIN MODESTO</v>
      </c>
      <c r="BS399" s="18">
        <f>DAY(Prepago[[#This Row],[FECHA_ALTA]])</f>
        <v>10</v>
      </c>
    </row>
    <row r="400" spans="1:71" x14ac:dyDescent="0.25">
      <c r="A400" s="18" t="s">
        <v>96</v>
      </c>
      <c r="B400" s="18" t="s">
        <v>13877</v>
      </c>
      <c r="C400" s="18" t="s">
        <v>13878</v>
      </c>
      <c r="D400" s="18" t="s">
        <v>13879</v>
      </c>
      <c r="E400" s="22">
        <v>44902</v>
      </c>
      <c r="F400" s="18" t="s">
        <v>67</v>
      </c>
      <c r="G400" s="18" t="s">
        <v>13880</v>
      </c>
      <c r="H400" s="18" t="s">
        <v>13881</v>
      </c>
      <c r="I400" s="18" t="s">
        <v>70</v>
      </c>
      <c r="J400" s="18" t="s">
        <v>8102</v>
      </c>
      <c r="K400" s="18" t="s">
        <v>8103</v>
      </c>
      <c r="L400" s="18" t="s">
        <v>132</v>
      </c>
      <c r="M400" s="18" t="s">
        <v>7037</v>
      </c>
      <c r="N400" s="18" t="s">
        <v>13882</v>
      </c>
      <c r="O400" s="18" t="s">
        <v>75</v>
      </c>
      <c r="P400" s="18" t="s">
        <v>13883</v>
      </c>
      <c r="Q400" s="18" t="s">
        <v>10817</v>
      </c>
      <c r="R400" s="18" t="s">
        <v>78</v>
      </c>
      <c r="S400" s="18" t="s">
        <v>77</v>
      </c>
      <c r="T400" s="22">
        <v>44915</v>
      </c>
      <c r="U400" s="18"/>
      <c r="V400" s="18" t="s">
        <v>81</v>
      </c>
      <c r="W400" s="18" t="s">
        <v>79</v>
      </c>
      <c r="X400" s="18" t="s">
        <v>10803</v>
      </c>
      <c r="Y400" s="18" t="s">
        <v>769</v>
      </c>
      <c r="Z400" s="18" t="s">
        <v>770</v>
      </c>
      <c r="AA400" s="18" t="s">
        <v>769</v>
      </c>
      <c r="AB400" s="18" t="s">
        <v>770</v>
      </c>
      <c r="AC400" s="18" t="s">
        <v>7984</v>
      </c>
      <c r="AD400" s="18" t="s">
        <v>10804</v>
      </c>
      <c r="AE400" s="18" t="s">
        <v>232</v>
      </c>
      <c r="AF400" s="18" t="s">
        <v>95</v>
      </c>
      <c r="AG400" s="18" t="s">
        <v>83</v>
      </c>
      <c r="AH400" s="18" t="s">
        <v>83</v>
      </c>
      <c r="AI400" s="18" t="s">
        <v>81</v>
      </c>
      <c r="AJ400" s="18" t="s">
        <v>118</v>
      </c>
      <c r="AK400" s="18" t="s">
        <v>95</v>
      </c>
      <c r="AL400" s="18" t="s">
        <v>10744</v>
      </c>
      <c r="AM400" s="18" t="s">
        <v>85</v>
      </c>
      <c r="AN400" s="18" t="s">
        <v>7031</v>
      </c>
      <c r="AO400" s="18" t="s">
        <v>86</v>
      </c>
      <c r="AP400" s="18" t="s">
        <v>90</v>
      </c>
      <c r="AQ400" s="18" t="s">
        <v>8016</v>
      </c>
      <c r="AR400" s="18" t="s">
        <v>235</v>
      </c>
      <c r="AS400" s="18" t="s">
        <v>139</v>
      </c>
      <c r="AT400" s="18" t="s">
        <v>95</v>
      </c>
      <c r="AU400" s="18" t="s">
        <v>95</v>
      </c>
      <c r="AV400" s="18" t="s">
        <v>7037</v>
      </c>
      <c r="AW400" s="18" t="s">
        <v>95</v>
      </c>
      <c r="AX400" s="18" t="s">
        <v>10806</v>
      </c>
      <c r="AY400" s="18" t="s">
        <v>95</v>
      </c>
      <c r="AZ400" s="18" t="s">
        <v>95</v>
      </c>
      <c r="BA400" s="18" t="s">
        <v>95</v>
      </c>
      <c r="BB400" s="18" t="s">
        <v>95</v>
      </c>
      <c r="BC400" s="18" t="s">
        <v>95</v>
      </c>
      <c r="BD400" s="18" t="s">
        <v>10829</v>
      </c>
      <c r="BE400" s="18" t="s">
        <v>13884</v>
      </c>
      <c r="BF400" s="18" t="s">
        <v>10809</v>
      </c>
      <c r="BG400" s="18" t="s">
        <v>7030</v>
      </c>
      <c r="BH400" s="18"/>
      <c r="BI400" s="18"/>
      <c r="BJ400" s="18" t="s">
        <v>769</v>
      </c>
      <c r="BK400" s="18" t="s">
        <v>13885</v>
      </c>
      <c r="BL400" s="18" t="s">
        <v>10811</v>
      </c>
      <c r="BM400" s="18" t="s">
        <v>139</v>
      </c>
      <c r="BN400" s="18" t="s">
        <v>85</v>
      </c>
      <c r="BO400" s="18">
        <v>0</v>
      </c>
      <c r="BP400" s="18" t="s">
        <v>10812</v>
      </c>
      <c r="BQ400" s="18" t="str">
        <f>VLOOKUP(Prepago[[#This Row],[NOM_PLAZA]],[1]!Locales[#Data],3,0)</f>
        <v>TIENDA CONDADO</v>
      </c>
      <c r="BR400" s="18" t="str">
        <f>VLOOKUP(Prepago[[#This Row],[CODIGO_USUARIO]],[1]!Personal[#Data],6,0)</f>
        <v>ROJAS VEGA JHOSMERY MICHELE</v>
      </c>
      <c r="BS400" s="18">
        <f>DAY(Prepago[[#This Row],[FECHA_ALTA]])</f>
        <v>7</v>
      </c>
    </row>
    <row r="401" spans="1:71" x14ac:dyDescent="0.25">
      <c r="A401" s="18" t="s">
        <v>96</v>
      </c>
      <c r="B401" s="18" t="s">
        <v>13886</v>
      </c>
      <c r="C401" s="18" t="s">
        <v>13887</v>
      </c>
      <c r="D401" s="18" t="s">
        <v>13888</v>
      </c>
      <c r="E401" s="22">
        <v>44896</v>
      </c>
      <c r="F401" s="18" t="s">
        <v>67</v>
      </c>
      <c r="G401" s="18" t="s">
        <v>13889</v>
      </c>
      <c r="H401" s="18" t="s">
        <v>13890</v>
      </c>
      <c r="I401" s="18" t="s">
        <v>70</v>
      </c>
      <c r="J401" s="18" t="s">
        <v>8102</v>
      </c>
      <c r="K401" s="18" t="s">
        <v>8103</v>
      </c>
      <c r="L401" s="18" t="s">
        <v>132</v>
      </c>
      <c r="M401" s="18" t="s">
        <v>7037</v>
      </c>
      <c r="N401" s="18" t="s">
        <v>13891</v>
      </c>
      <c r="O401" s="18" t="s">
        <v>75</v>
      </c>
      <c r="P401" s="18" t="s">
        <v>13892</v>
      </c>
      <c r="Q401" s="18" t="s">
        <v>10817</v>
      </c>
      <c r="R401" s="18" t="s">
        <v>78</v>
      </c>
      <c r="S401" s="18" t="s">
        <v>77</v>
      </c>
      <c r="T401" s="22">
        <v>44915</v>
      </c>
      <c r="U401" s="18"/>
      <c r="V401" s="18" t="s">
        <v>81</v>
      </c>
      <c r="W401" s="18" t="s">
        <v>79</v>
      </c>
      <c r="X401" s="18" t="s">
        <v>10803</v>
      </c>
      <c r="Y401" s="18" t="s">
        <v>377</v>
      </c>
      <c r="Z401" s="18" t="s">
        <v>378</v>
      </c>
      <c r="AA401" s="18" t="s">
        <v>377</v>
      </c>
      <c r="AB401" s="18" t="s">
        <v>378</v>
      </c>
      <c r="AC401" s="18" t="s">
        <v>7984</v>
      </c>
      <c r="AD401" s="18" t="s">
        <v>10804</v>
      </c>
      <c r="AE401" s="18" t="s">
        <v>232</v>
      </c>
      <c r="AF401" s="18" t="s">
        <v>95</v>
      </c>
      <c r="AG401" s="18" t="s">
        <v>83</v>
      </c>
      <c r="AH401" s="18" t="s">
        <v>83</v>
      </c>
      <c r="AI401" s="18" t="s">
        <v>81</v>
      </c>
      <c r="AJ401" s="18" t="s">
        <v>118</v>
      </c>
      <c r="AK401" s="18" t="s">
        <v>95</v>
      </c>
      <c r="AL401" s="18" t="s">
        <v>13665</v>
      </c>
      <c r="AM401" s="18" t="s">
        <v>85</v>
      </c>
      <c r="AN401" s="18" t="s">
        <v>7031</v>
      </c>
      <c r="AO401" s="18" t="s">
        <v>86</v>
      </c>
      <c r="AP401" s="18" t="s">
        <v>90</v>
      </c>
      <c r="AQ401" s="18" t="s">
        <v>8016</v>
      </c>
      <c r="AR401" s="18" t="s">
        <v>235</v>
      </c>
      <c r="AS401" s="18" t="s">
        <v>139</v>
      </c>
      <c r="AT401" s="18" t="s">
        <v>95</v>
      </c>
      <c r="AU401" s="18" t="s">
        <v>95</v>
      </c>
      <c r="AV401" s="18" t="s">
        <v>7037</v>
      </c>
      <c r="AW401" s="18" t="s">
        <v>95</v>
      </c>
      <c r="AX401" s="18" t="s">
        <v>10806</v>
      </c>
      <c r="AY401" s="18" t="s">
        <v>95</v>
      </c>
      <c r="AZ401" s="18" t="s">
        <v>95</v>
      </c>
      <c r="BA401" s="18" t="s">
        <v>95</v>
      </c>
      <c r="BB401" s="18" t="s">
        <v>95</v>
      </c>
      <c r="BC401" s="18" t="s">
        <v>95</v>
      </c>
      <c r="BD401" s="18" t="s">
        <v>10829</v>
      </c>
      <c r="BE401" s="18" t="s">
        <v>13893</v>
      </c>
      <c r="BF401" s="18" t="s">
        <v>10809</v>
      </c>
      <c r="BG401" s="18" t="s">
        <v>7030</v>
      </c>
      <c r="BH401" s="18"/>
      <c r="BI401" s="18"/>
      <c r="BJ401" s="18" t="s">
        <v>377</v>
      </c>
      <c r="BK401" s="18" t="s">
        <v>13894</v>
      </c>
      <c r="BL401" s="18" t="s">
        <v>10811</v>
      </c>
      <c r="BM401" s="18" t="s">
        <v>139</v>
      </c>
      <c r="BN401" s="18" t="s">
        <v>85</v>
      </c>
      <c r="BO401" s="18">
        <v>0</v>
      </c>
      <c r="BP401" s="18" t="s">
        <v>10812</v>
      </c>
      <c r="BQ401" s="18" t="str">
        <f>VLOOKUP(Prepago[[#This Row],[NOM_PLAZA]],[1]!Locales[#Data],3,0)</f>
        <v>TIENDA CONDADO</v>
      </c>
      <c r="BR401" s="18" t="str">
        <f>VLOOKUP(Prepago[[#This Row],[CODIGO_USUARIO]],[1]!Personal[#Data],6,0)</f>
        <v>MELCHIADE ISAAC VALMORE</v>
      </c>
      <c r="BS401" s="18">
        <f>DAY(Prepago[[#This Row],[FECHA_ALTA]])</f>
        <v>1</v>
      </c>
    </row>
    <row r="402" spans="1:71" x14ac:dyDescent="0.25">
      <c r="A402" s="18" t="s">
        <v>96</v>
      </c>
      <c r="B402" s="18" t="s">
        <v>13895</v>
      </c>
      <c r="C402" s="18" t="s">
        <v>13896</v>
      </c>
      <c r="D402" s="18" t="s">
        <v>13897</v>
      </c>
      <c r="E402" s="22">
        <v>44905</v>
      </c>
      <c r="F402" s="18" t="s">
        <v>67</v>
      </c>
      <c r="G402" s="18" t="s">
        <v>13898</v>
      </c>
      <c r="H402" s="18" t="s">
        <v>13899</v>
      </c>
      <c r="I402" s="18" t="s">
        <v>70</v>
      </c>
      <c r="J402" s="18" t="s">
        <v>8102</v>
      </c>
      <c r="K402" s="18" t="s">
        <v>8103</v>
      </c>
      <c r="L402" s="18" t="s">
        <v>95</v>
      </c>
      <c r="M402" s="18" t="s">
        <v>7037</v>
      </c>
      <c r="N402" s="18" t="s">
        <v>13900</v>
      </c>
      <c r="O402" s="18" t="s">
        <v>75</v>
      </c>
      <c r="P402" s="18" t="s">
        <v>13901</v>
      </c>
      <c r="Q402" s="18" t="s">
        <v>4453</v>
      </c>
      <c r="R402" s="18" t="s">
        <v>78</v>
      </c>
      <c r="S402" s="18" t="s">
        <v>77</v>
      </c>
      <c r="T402" s="22">
        <v>44915</v>
      </c>
      <c r="U402" s="18"/>
      <c r="V402" s="18" t="s">
        <v>81</v>
      </c>
      <c r="W402" s="18" t="s">
        <v>79</v>
      </c>
      <c r="X402" s="18" t="s">
        <v>10803</v>
      </c>
      <c r="Y402" s="18" t="s">
        <v>280</v>
      </c>
      <c r="Z402" s="18" t="s">
        <v>281</v>
      </c>
      <c r="AA402" s="18" t="s">
        <v>280</v>
      </c>
      <c r="AB402" s="18" t="s">
        <v>281</v>
      </c>
      <c r="AC402" s="18" t="s">
        <v>7984</v>
      </c>
      <c r="AD402" s="18" t="s">
        <v>10804</v>
      </c>
      <c r="AE402" s="18" t="s">
        <v>232</v>
      </c>
      <c r="AF402" s="18" t="s">
        <v>95</v>
      </c>
      <c r="AG402" s="18" t="s">
        <v>83</v>
      </c>
      <c r="AH402" s="18" t="s">
        <v>83</v>
      </c>
      <c r="AI402" s="18" t="s">
        <v>81</v>
      </c>
      <c r="AJ402" s="18" t="s">
        <v>118</v>
      </c>
      <c r="AK402" s="18" t="s">
        <v>95</v>
      </c>
      <c r="AL402" s="18" t="s">
        <v>10760</v>
      </c>
      <c r="AM402" s="18" t="s">
        <v>85</v>
      </c>
      <c r="AN402" s="18" t="s">
        <v>7031</v>
      </c>
      <c r="AO402" s="18" t="s">
        <v>86</v>
      </c>
      <c r="AP402" s="18" t="s">
        <v>90</v>
      </c>
      <c r="AQ402" s="18" t="s">
        <v>8016</v>
      </c>
      <c r="AR402" s="18" t="s">
        <v>235</v>
      </c>
      <c r="AS402" s="18" t="s">
        <v>139</v>
      </c>
      <c r="AT402" s="18" t="s">
        <v>95</v>
      </c>
      <c r="AU402" s="18" t="s">
        <v>95</v>
      </c>
      <c r="AV402" s="18" t="s">
        <v>7037</v>
      </c>
      <c r="AW402" s="18" t="s">
        <v>95</v>
      </c>
      <c r="AX402" s="18" t="s">
        <v>10806</v>
      </c>
      <c r="AY402" s="18" t="s">
        <v>95</v>
      </c>
      <c r="AZ402" s="18" t="s">
        <v>95</v>
      </c>
      <c r="BA402" s="18" t="s">
        <v>95</v>
      </c>
      <c r="BB402" s="18" t="s">
        <v>95</v>
      </c>
      <c r="BC402" s="18" t="s">
        <v>95</v>
      </c>
      <c r="BD402" s="18" t="s">
        <v>10807</v>
      </c>
      <c r="BE402" s="18" t="s">
        <v>95</v>
      </c>
      <c r="BF402" s="18" t="s">
        <v>10809</v>
      </c>
      <c r="BG402" s="18" t="s">
        <v>7030</v>
      </c>
      <c r="BH402" s="18"/>
      <c r="BI402" s="18"/>
      <c r="BJ402" s="18" t="s">
        <v>280</v>
      </c>
      <c r="BK402" s="18" t="s">
        <v>13902</v>
      </c>
      <c r="BL402" s="18" t="s">
        <v>10811</v>
      </c>
      <c r="BM402" s="18" t="s">
        <v>139</v>
      </c>
      <c r="BN402" s="18" t="s">
        <v>85</v>
      </c>
      <c r="BO402" s="18">
        <v>0</v>
      </c>
      <c r="BP402" s="18" t="s">
        <v>10812</v>
      </c>
      <c r="BQ402" s="18" t="str">
        <f>VLOOKUP(Prepago[[#This Row],[NOM_PLAZA]],[1]!Locales[#Data],3,0)</f>
        <v>TIENDA CONDADO</v>
      </c>
      <c r="BR402" s="18" t="str">
        <f>VLOOKUP(Prepago[[#This Row],[CODIGO_USUARIO]],[1]!Personal[#Data],6,0)</f>
        <v>GUACHAMIN CAZA HUGO ADRIAN</v>
      </c>
      <c r="BS402" s="18">
        <f>DAY(Prepago[[#This Row],[FECHA_ALTA]])</f>
        <v>10</v>
      </c>
    </row>
    <row r="403" spans="1:71" x14ac:dyDescent="0.25">
      <c r="A403" s="18" t="s">
        <v>96</v>
      </c>
      <c r="B403" s="18" t="s">
        <v>13903</v>
      </c>
      <c r="C403" s="18" t="s">
        <v>13904</v>
      </c>
      <c r="D403" s="18" t="s">
        <v>13905</v>
      </c>
      <c r="E403" s="22">
        <v>44907</v>
      </c>
      <c r="F403" s="18" t="s">
        <v>67</v>
      </c>
      <c r="G403" s="18" t="s">
        <v>1179</v>
      </c>
      <c r="H403" s="18" t="s">
        <v>1180</v>
      </c>
      <c r="I403" s="18" t="s">
        <v>70</v>
      </c>
      <c r="J403" s="18" t="s">
        <v>8102</v>
      </c>
      <c r="K403" s="18" t="s">
        <v>8103</v>
      </c>
      <c r="L403" s="18" t="s">
        <v>132</v>
      </c>
      <c r="M403" s="18" t="s">
        <v>7037</v>
      </c>
      <c r="N403" s="18" t="s">
        <v>13906</v>
      </c>
      <c r="O403" s="18" t="s">
        <v>75</v>
      </c>
      <c r="P403" s="18" t="s">
        <v>13907</v>
      </c>
      <c r="Q403" s="18" t="s">
        <v>4453</v>
      </c>
      <c r="R403" s="18" t="s">
        <v>78</v>
      </c>
      <c r="S403" s="18" t="s">
        <v>77</v>
      </c>
      <c r="T403" s="22">
        <v>44915</v>
      </c>
      <c r="U403" s="18"/>
      <c r="V403" s="18" t="s">
        <v>81</v>
      </c>
      <c r="W403" s="18" t="s">
        <v>79</v>
      </c>
      <c r="X403" s="18" t="s">
        <v>10803</v>
      </c>
      <c r="Y403" s="18" t="s">
        <v>233</v>
      </c>
      <c r="Z403" s="18" t="s">
        <v>234</v>
      </c>
      <c r="AA403" s="18" t="s">
        <v>233</v>
      </c>
      <c r="AB403" s="18" t="s">
        <v>234</v>
      </c>
      <c r="AC403" s="18" t="s">
        <v>7984</v>
      </c>
      <c r="AD403" s="18" t="s">
        <v>10804</v>
      </c>
      <c r="AE403" s="18" t="s">
        <v>232</v>
      </c>
      <c r="AF403" s="18" t="s">
        <v>95</v>
      </c>
      <c r="AG403" s="18" t="s">
        <v>83</v>
      </c>
      <c r="AH403" s="18" t="s">
        <v>83</v>
      </c>
      <c r="AI403" s="18" t="s">
        <v>81</v>
      </c>
      <c r="AJ403" s="18" t="s">
        <v>118</v>
      </c>
      <c r="AK403" s="18" t="s">
        <v>95</v>
      </c>
      <c r="AL403" s="18" t="s">
        <v>13818</v>
      </c>
      <c r="AM403" s="18" t="s">
        <v>85</v>
      </c>
      <c r="AN403" s="18" t="s">
        <v>7031</v>
      </c>
      <c r="AO403" s="18" t="s">
        <v>86</v>
      </c>
      <c r="AP403" s="18" t="s">
        <v>90</v>
      </c>
      <c r="AQ403" s="18" t="s">
        <v>8016</v>
      </c>
      <c r="AR403" s="18" t="s">
        <v>235</v>
      </c>
      <c r="AS403" s="18" t="s">
        <v>139</v>
      </c>
      <c r="AT403" s="18" t="s">
        <v>95</v>
      </c>
      <c r="AU403" s="18" t="s">
        <v>95</v>
      </c>
      <c r="AV403" s="18" t="s">
        <v>7037</v>
      </c>
      <c r="AW403" s="18" t="s">
        <v>95</v>
      </c>
      <c r="AX403" s="18" t="s">
        <v>10806</v>
      </c>
      <c r="AY403" s="18" t="s">
        <v>95</v>
      </c>
      <c r="AZ403" s="18" t="s">
        <v>95</v>
      </c>
      <c r="BA403" s="18" t="s">
        <v>95</v>
      </c>
      <c r="BB403" s="18" t="s">
        <v>95</v>
      </c>
      <c r="BC403" s="18" t="s">
        <v>95</v>
      </c>
      <c r="BD403" s="18" t="s">
        <v>10807</v>
      </c>
      <c r="BE403" s="18" t="s">
        <v>13908</v>
      </c>
      <c r="BF403" s="18" t="s">
        <v>10809</v>
      </c>
      <c r="BG403" s="18" t="s">
        <v>7030</v>
      </c>
      <c r="BH403" s="18"/>
      <c r="BI403" s="18"/>
      <c r="BJ403" s="18" t="s">
        <v>233</v>
      </c>
      <c r="BK403" s="18" t="s">
        <v>13909</v>
      </c>
      <c r="BL403" s="18" t="s">
        <v>10811</v>
      </c>
      <c r="BM403" s="18" t="s">
        <v>139</v>
      </c>
      <c r="BN403" s="18" t="s">
        <v>85</v>
      </c>
      <c r="BO403" s="18">
        <v>0</v>
      </c>
      <c r="BP403" s="18" t="s">
        <v>10812</v>
      </c>
      <c r="BQ403" s="18" t="str">
        <f>VLOOKUP(Prepago[[#This Row],[NOM_PLAZA]],[1]!Locales[#Data],3,0)</f>
        <v>TIENDA CONDADO</v>
      </c>
      <c r="BR403" s="18" t="str">
        <f>VLOOKUP(Prepago[[#This Row],[CODIGO_USUARIO]],[1]!Personal[#Data],6,0)</f>
        <v>ROSALES MALDONADO JESSICA GABRIELA</v>
      </c>
      <c r="BS403" s="18">
        <f>DAY(Prepago[[#This Row],[FECHA_ALTA]])</f>
        <v>12</v>
      </c>
    </row>
    <row r="404" spans="1:71" x14ac:dyDescent="0.25">
      <c r="A404" s="18" t="s">
        <v>96</v>
      </c>
      <c r="B404" s="18" t="s">
        <v>9327</v>
      </c>
      <c r="C404" s="18" t="s">
        <v>9333</v>
      </c>
      <c r="D404" s="18" t="s">
        <v>9329</v>
      </c>
      <c r="E404" s="22">
        <v>44905</v>
      </c>
      <c r="F404" s="18" t="s">
        <v>67</v>
      </c>
      <c r="G404" s="18" t="s">
        <v>9330</v>
      </c>
      <c r="H404" s="18" t="s">
        <v>9331</v>
      </c>
      <c r="I404" s="18" t="s">
        <v>70</v>
      </c>
      <c r="J404" s="18" t="s">
        <v>8102</v>
      </c>
      <c r="K404" s="18" t="s">
        <v>8103</v>
      </c>
      <c r="L404" s="18" t="s">
        <v>73</v>
      </c>
      <c r="M404" s="18" t="s">
        <v>7037</v>
      </c>
      <c r="N404" s="18" t="s">
        <v>9332</v>
      </c>
      <c r="O404" s="18" t="s">
        <v>287</v>
      </c>
      <c r="P404" s="18" t="s">
        <v>13910</v>
      </c>
      <c r="Q404" s="18" t="s">
        <v>231</v>
      </c>
      <c r="R404" s="18" t="s">
        <v>78</v>
      </c>
      <c r="S404" s="18" t="s">
        <v>231</v>
      </c>
      <c r="T404" s="22">
        <v>44915</v>
      </c>
      <c r="U404" s="18"/>
      <c r="V404" s="18" t="s">
        <v>81</v>
      </c>
      <c r="W404" s="18" t="s">
        <v>79</v>
      </c>
      <c r="X404" s="18" t="s">
        <v>10803</v>
      </c>
      <c r="Y404" s="18" t="s">
        <v>271</v>
      </c>
      <c r="Z404" s="18" t="s">
        <v>272</v>
      </c>
      <c r="AA404" s="18" t="s">
        <v>271</v>
      </c>
      <c r="AB404" s="18" t="s">
        <v>272</v>
      </c>
      <c r="AC404" s="18" t="s">
        <v>7984</v>
      </c>
      <c r="AD404" s="18" t="s">
        <v>10804</v>
      </c>
      <c r="AE404" s="18" t="s">
        <v>232</v>
      </c>
      <c r="AF404" s="18" t="s">
        <v>95</v>
      </c>
      <c r="AG404" s="18" t="s">
        <v>83</v>
      </c>
      <c r="AH404" s="18" t="s">
        <v>83</v>
      </c>
      <c r="AI404" s="18" t="s">
        <v>81</v>
      </c>
      <c r="AJ404" s="18" t="s">
        <v>118</v>
      </c>
      <c r="AK404" s="18" t="s">
        <v>95</v>
      </c>
      <c r="AL404" s="18" t="s">
        <v>13652</v>
      </c>
      <c r="AM404" s="18" t="s">
        <v>85</v>
      </c>
      <c r="AN404" s="18" t="s">
        <v>7031</v>
      </c>
      <c r="AO404" s="18" t="s">
        <v>86</v>
      </c>
      <c r="AP404" s="18" t="s">
        <v>90</v>
      </c>
      <c r="AQ404" s="18" t="s">
        <v>8016</v>
      </c>
      <c r="AR404" s="18" t="s">
        <v>235</v>
      </c>
      <c r="AS404" s="18" t="s">
        <v>139</v>
      </c>
      <c r="AT404" s="18" t="s">
        <v>95</v>
      </c>
      <c r="AU404" s="18" t="s">
        <v>95</v>
      </c>
      <c r="AV404" s="18" t="s">
        <v>7037</v>
      </c>
      <c r="AW404" s="18" t="s">
        <v>95</v>
      </c>
      <c r="AX404" s="18" t="s">
        <v>10806</v>
      </c>
      <c r="AY404" s="18" t="s">
        <v>95</v>
      </c>
      <c r="AZ404" s="18" t="s">
        <v>95</v>
      </c>
      <c r="BA404" s="18" t="s">
        <v>95</v>
      </c>
      <c r="BB404" s="18" t="s">
        <v>95</v>
      </c>
      <c r="BC404" s="18" t="s">
        <v>95</v>
      </c>
      <c r="BD404" s="18" t="s">
        <v>10807</v>
      </c>
      <c r="BE404" s="18" t="s">
        <v>10808</v>
      </c>
      <c r="BF404" s="18" t="s">
        <v>10809</v>
      </c>
      <c r="BG404" s="18" t="s">
        <v>7030</v>
      </c>
      <c r="BH404" s="18"/>
      <c r="BI404" s="18"/>
      <c r="BJ404" s="18" t="s">
        <v>271</v>
      </c>
      <c r="BK404" s="18" t="s">
        <v>13911</v>
      </c>
      <c r="BL404" s="18" t="s">
        <v>10811</v>
      </c>
      <c r="BM404" s="18" t="s">
        <v>139</v>
      </c>
      <c r="BN404" s="18" t="s">
        <v>85</v>
      </c>
      <c r="BO404" s="18">
        <v>0</v>
      </c>
      <c r="BP404" s="18" t="s">
        <v>10812</v>
      </c>
      <c r="BQ404" s="18" t="str">
        <f>VLOOKUP(Prepago[[#This Row],[NOM_PLAZA]],[1]!Locales[#Data],3,0)</f>
        <v>TIENDA CONDADO</v>
      </c>
      <c r="BR404" s="18" t="str">
        <f>VLOOKUP(Prepago[[#This Row],[CODIGO_USUARIO]],[1]!Personal[#Data],6,0)</f>
        <v>CASTILLO AGUIRRE EDWIN MODESTO</v>
      </c>
      <c r="BS404" s="18">
        <f>DAY(Prepago[[#This Row],[FECHA_ALTA]])</f>
        <v>10</v>
      </c>
    </row>
    <row r="405" spans="1:71" x14ac:dyDescent="0.25">
      <c r="A405" s="18" t="s">
        <v>96</v>
      </c>
      <c r="B405" s="18" t="s">
        <v>13912</v>
      </c>
      <c r="C405" s="18" t="s">
        <v>13913</v>
      </c>
      <c r="D405" s="18" t="s">
        <v>13914</v>
      </c>
      <c r="E405" s="22">
        <v>44901</v>
      </c>
      <c r="F405" s="18" t="s">
        <v>67</v>
      </c>
      <c r="G405" s="18" t="s">
        <v>13915</v>
      </c>
      <c r="H405" s="18" t="s">
        <v>13916</v>
      </c>
      <c r="I405" s="18" t="s">
        <v>70</v>
      </c>
      <c r="J405" s="18" t="s">
        <v>8102</v>
      </c>
      <c r="K405" s="18" t="s">
        <v>8103</v>
      </c>
      <c r="L405" s="18" t="s">
        <v>132</v>
      </c>
      <c r="M405" s="18" t="s">
        <v>7037</v>
      </c>
      <c r="N405" s="18" t="s">
        <v>13917</v>
      </c>
      <c r="O405" s="18" t="s">
        <v>75</v>
      </c>
      <c r="P405" s="18" t="s">
        <v>13918</v>
      </c>
      <c r="Q405" s="18" t="s">
        <v>10817</v>
      </c>
      <c r="R405" s="18" t="s">
        <v>78</v>
      </c>
      <c r="S405" s="18" t="s">
        <v>77</v>
      </c>
      <c r="T405" s="22">
        <v>44915</v>
      </c>
      <c r="U405" s="18"/>
      <c r="V405" s="18" t="s">
        <v>81</v>
      </c>
      <c r="W405" s="18" t="s">
        <v>79</v>
      </c>
      <c r="X405" s="18" t="s">
        <v>10803</v>
      </c>
      <c r="Y405" s="18" t="s">
        <v>769</v>
      </c>
      <c r="Z405" s="18" t="s">
        <v>770</v>
      </c>
      <c r="AA405" s="18" t="s">
        <v>769</v>
      </c>
      <c r="AB405" s="18" t="s">
        <v>770</v>
      </c>
      <c r="AC405" s="18" t="s">
        <v>7984</v>
      </c>
      <c r="AD405" s="18" t="s">
        <v>10804</v>
      </c>
      <c r="AE405" s="18" t="s">
        <v>232</v>
      </c>
      <c r="AF405" s="18" t="s">
        <v>95</v>
      </c>
      <c r="AG405" s="18" t="s">
        <v>83</v>
      </c>
      <c r="AH405" s="18" t="s">
        <v>83</v>
      </c>
      <c r="AI405" s="18" t="s">
        <v>81</v>
      </c>
      <c r="AJ405" s="18" t="s">
        <v>118</v>
      </c>
      <c r="AK405" s="18" t="s">
        <v>95</v>
      </c>
      <c r="AL405" s="18" t="s">
        <v>10744</v>
      </c>
      <c r="AM405" s="18" t="s">
        <v>85</v>
      </c>
      <c r="AN405" s="18" t="s">
        <v>7031</v>
      </c>
      <c r="AO405" s="18" t="s">
        <v>86</v>
      </c>
      <c r="AP405" s="18" t="s">
        <v>90</v>
      </c>
      <c r="AQ405" s="18" t="s">
        <v>8016</v>
      </c>
      <c r="AR405" s="18" t="s">
        <v>235</v>
      </c>
      <c r="AS405" s="18" t="s">
        <v>139</v>
      </c>
      <c r="AT405" s="18" t="s">
        <v>95</v>
      </c>
      <c r="AU405" s="18" t="s">
        <v>95</v>
      </c>
      <c r="AV405" s="18" t="s">
        <v>7037</v>
      </c>
      <c r="AW405" s="18" t="s">
        <v>95</v>
      </c>
      <c r="AX405" s="18" t="s">
        <v>10806</v>
      </c>
      <c r="AY405" s="18" t="s">
        <v>95</v>
      </c>
      <c r="AZ405" s="18" t="s">
        <v>95</v>
      </c>
      <c r="BA405" s="18" t="s">
        <v>95</v>
      </c>
      <c r="BB405" s="18" t="s">
        <v>95</v>
      </c>
      <c r="BC405" s="18" t="s">
        <v>95</v>
      </c>
      <c r="BD405" s="18" t="s">
        <v>10829</v>
      </c>
      <c r="BE405" s="18" t="s">
        <v>13919</v>
      </c>
      <c r="BF405" s="18" t="s">
        <v>10809</v>
      </c>
      <c r="BG405" s="18" t="s">
        <v>7030</v>
      </c>
      <c r="BH405" s="18"/>
      <c r="BI405" s="18"/>
      <c r="BJ405" s="18" t="s">
        <v>769</v>
      </c>
      <c r="BK405" s="18" t="s">
        <v>13920</v>
      </c>
      <c r="BL405" s="18" t="s">
        <v>10811</v>
      </c>
      <c r="BM405" s="18" t="s">
        <v>139</v>
      </c>
      <c r="BN405" s="18" t="s">
        <v>85</v>
      </c>
      <c r="BO405" s="18">
        <v>0</v>
      </c>
      <c r="BP405" s="18" t="s">
        <v>10812</v>
      </c>
      <c r="BQ405" s="18" t="str">
        <f>VLOOKUP(Prepago[[#This Row],[NOM_PLAZA]],[1]!Locales[#Data],3,0)</f>
        <v>TIENDA CONDADO</v>
      </c>
      <c r="BR405" s="18" t="str">
        <f>VLOOKUP(Prepago[[#This Row],[CODIGO_USUARIO]],[1]!Personal[#Data],6,0)</f>
        <v>ROJAS VEGA JHOSMERY MICHELE</v>
      </c>
      <c r="BS405" s="18">
        <f>DAY(Prepago[[#This Row],[FECHA_ALTA]])</f>
        <v>6</v>
      </c>
    </row>
    <row r="406" spans="1:71" x14ac:dyDescent="0.25">
      <c r="A406" s="18" t="s">
        <v>96</v>
      </c>
      <c r="B406" s="18" t="s">
        <v>13921</v>
      </c>
      <c r="C406" s="18" t="s">
        <v>13922</v>
      </c>
      <c r="D406" s="18" t="s">
        <v>13923</v>
      </c>
      <c r="E406" s="22">
        <v>44908</v>
      </c>
      <c r="F406" s="18" t="s">
        <v>67</v>
      </c>
      <c r="G406" s="18" t="s">
        <v>13924</v>
      </c>
      <c r="H406" s="18" t="s">
        <v>13925</v>
      </c>
      <c r="I406" s="18" t="s">
        <v>70</v>
      </c>
      <c r="J406" s="18" t="s">
        <v>8102</v>
      </c>
      <c r="K406" s="18" t="s">
        <v>8103</v>
      </c>
      <c r="L406" s="18" t="s">
        <v>132</v>
      </c>
      <c r="M406" s="18" t="s">
        <v>7037</v>
      </c>
      <c r="N406" s="18" t="s">
        <v>13926</v>
      </c>
      <c r="O406" s="18" t="s">
        <v>75</v>
      </c>
      <c r="P406" s="18" t="s">
        <v>13927</v>
      </c>
      <c r="Q406" s="18" t="s">
        <v>10817</v>
      </c>
      <c r="R406" s="18" t="s">
        <v>78</v>
      </c>
      <c r="S406" s="18" t="s">
        <v>77</v>
      </c>
      <c r="T406" s="22">
        <v>44915</v>
      </c>
      <c r="U406" s="18"/>
      <c r="V406" s="18" t="s">
        <v>81</v>
      </c>
      <c r="W406" s="18" t="s">
        <v>79</v>
      </c>
      <c r="X406" s="18" t="s">
        <v>10803</v>
      </c>
      <c r="Y406" s="18" t="s">
        <v>233</v>
      </c>
      <c r="Z406" s="18" t="s">
        <v>234</v>
      </c>
      <c r="AA406" s="18" t="s">
        <v>233</v>
      </c>
      <c r="AB406" s="18" t="s">
        <v>234</v>
      </c>
      <c r="AC406" s="18" t="s">
        <v>7984</v>
      </c>
      <c r="AD406" s="18" t="s">
        <v>10804</v>
      </c>
      <c r="AE406" s="18" t="s">
        <v>232</v>
      </c>
      <c r="AF406" s="18" t="s">
        <v>95</v>
      </c>
      <c r="AG406" s="18" t="s">
        <v>83</v>
      </c>
      <c r="AH406" s="18" t="s">
        <v>83</v>
      </c>
      <c r="AI406" s="18" t="s">
        <v>81</v>
      </c>
      <c r="AJ406" s="18" t="s">
        <v>118</v>
      </c>
      <c r="AK406" s="18" t="s">
        <v>95</v>
      </c>
      <c r="AL406" s="18" t="s">
        <v>13818</v>
      </c>
      <c r="AM406" s="18" t="s">
        <v>85</v>
      </c>
      <c r="AN406" s="18" t="s">
        <v>7031</v>
      </c>
      <c r="AO406" s="18" t="s">
        <v>86</v>
      </c>
      <c r="AP406" s="18" t="s">
        <v>90</v>
      </c>
      <c r="AQ406" s="18" t="s">
        <v>8016</v>
      </c>
      <c r="AR406" s="18" t="s">
        <v>235</v>
      </c>
      <c r="AS406" s="18" t="s">
        <v>139</v>
      </c>
      <c r="AT406" s="18" t="s">
        <v>95</v>
      </c>
      <c r="AU406" s="18" t="s">
        <v>95</v>
      </c>
      <c r="AV406" s="18" t="s">
        <v>7037</v>
      </c>
      <c r="AW406" s="18" t="s">
        <v>95</v>
      </c>
      <c r="AX406" s="18" t="s">
        <v>10806</v>
      </c>
      <c r="AY406" s="18" t="s">
        <v>95</v>
      </c>
      <c r="AZ406" s="18" t="s">
        <v>95</v>
      </c>
      <c r="BA406" s="18" t="s">
        <v>95</v>
      </c>
      <c r="BB406" s="18" t="s">
        <v>95</v>
      </c>
      <c r="BC406" s="18" t="s">
        <v>95</v>
      </c>
      <c r="BD406" s="18" t="s">
        <v>10829</v>
      </c>
      <c r="BE406" s="18" t="s">
        <v>13928</v>
      </c>
      <c r="BF406" s="18" t="s">
        <v>10809</v>
      </c>
      <c r="BG406" s="18" t="s">
        <v>7030</v>
      </c>
      <c r="BH406" s="18"/>
      <c r="BI406" s="18"/>
      <c r="BJ406" s="18" t="s">
        <v>233</v>
      </c>
      <c r="BK406" s="18" t="s">
        <v>13929</v>
      </c>
      <c r="BL406" s="18" t="s">
        <v>10811</v>
      </c>
      <c r="BM406" s="18" t="s">
        <v>139</v>
      </c>
      <c r="BN406" s="18" t="s">
        <v>85</v>
      </c>
      <c r="BO406" s="18">
        <v>0</v>
      </c>
      <c r="BP406" s="18" t="s">
        <v>10812</v>
      </c>
      <c r="BQ406" s="18" t="str">
        <f>VLOOKUP(Prepago[[#This Row],[NOM_PLAZA]],[1]!Locales[#Data],3,0)</f>
        <v>TIENDA CONDADO</v>
      </c>
      <c r="BR406" s="18" t="str">
        <f>VLOOKUP(Prepago[[#This Row],[CODIGO_USUARIO]],[1]!Personal[#Data],6,0)</f>
        <v>ROSALES MALDONADO JESSICA GABRIELA</v>
      </c>
      <c r="BS406" s="18">
        <f>DAY(Prepago[[#This Row],[FECHA_ALTA]])</f>
        <v>13</v>
      </c>
    </row>
    <row r="407" spans="1:71" x14ac:dyDescent="0.25">
      <c r="A407" s="18" t="s">
        <v>96</v>
      </c>
      <c r="B407" s="18" t="s">
        <v>13930</v>
      </c>
      <c r="C407" s="18" t="s">
        <v>13931</v>
      </c>
      <c r="D407" s="18" t="s">
        <v>13932</v>
      </c>
      <c r="E407" s="22">
        <v>44908</v>
      </c>
      <c r="F407" s="18" t="s">
        <v>67</v>
      </c>
      <c r="G407" s="18" t="s">
        <v>13933</v>
      </c>
      <c r="H407" s="18" t="s">
        <v>13934</v>
      </c>
      <c r="I407" s="18" t="s">
        <v>70</v>
      </c>
      <c r="J407" s="18" t="s">
        <v>8102</v>
      </c>
      <c r="K407" s="18" t="s">
        <v>8103</v>
      </c>
      <c r="L407" s="18" t="s">
        <v>132</v>
      </c>
      <c r="M407" s="18" t="s">
        <v>7037</v>
      </c>
      <c r="N407" s="18" t="s">
        <v>13935</v>
      </c>
      <c r="O407" s="18" t="s">
        <v>75</v>
      </c>
      <c r="P407" s="18" t="s">
        <v>13936</v>
      </c>
      <c r="Q407" s="18" t="s">
        <v>10817</v>
      </c>
      <c r="R407" s="18" t="s">
        <v>78</v>
      </c>
      <c r="S407" s="18" t="s">
        <v>77</v>
      </c>
      <c r="T407" s="22">
        <v>44915</v>
      </c>
      <c r="U407" s="18"/>
      <c r="V407" s="18" t="s">
        <v>81</v>
      </c>
      <c r="W407" s="18" t="s">
        <v>79</v>
      </c>
      <c r="X407" s="18" t="s">
        <v>10803</v>
      </c>
      <c r="Y407" s="18" t="s">
        <v>233</v>
      </c>
      <c r="Z407" s="18" t="s">
        <v>234</v>
      </c>
      <c r="AA407" s="18" t="s">
        <v>233</v>
      </c>
      <c r="AB407" s="18" t="s">
        <v>234</v>
      </c>
      <c r="AC407" s="18" t="s">
        <v>7984</v>
      </c>
      <c r="AD407" s="18" t="s">
        <v>10804</v>
      </c>
      <c r="AE407" s="18" t="s">
        <v>232</v>
      </c>
      <c r="AF407" s="18" t="s">
        <v>95</v>
      </c>
      <c r="AG407" s="18" t="s">
        <v>83</v>
      </c>
      <c r="AH407" s="18" t="s">
        <v>83</v>
      </c>
      <c r="AI407" s="18" t="s">
        <v>81</v>
      </c>
      <c r="AJ407" s="18" t="s">
        <v>118</v>
      </c>
      <c r="AK407" s="18" t="s">
        <v>95</v>
      </c>
      <c r="AL407" s="18" t="s">
        <v>13818</v>
      </c>
      <c r="AM407" s="18" t="s">
        <v>85</v>
      </c>
      <c r="AN407" s="18" t="s">
        <v>7031</v>
      </c>
      <c r="AO407" s="18" t="s">
        <v>86</v>
      </c>
      <c r="AP407" s="18" t="s">
        <v>90</v>
      </c>
      <c r="AQ407" s="18" t="s">
        <v>8016</v>
      </c>
      <c r="AR407" s="18" t="s">
        <v>235</v>
      </c>
      <c r="AS407" s="18" t="s">
        <v>139</v>
      </c>
      <c r="AT407" s="18" t="s">
        <v>95</v>
      </c>
      <c r="AU407" s="18" t="s">
        <v>95</v>
      </c>
      <c r="AV407" s="18" t="s">
        <v>7037</v>
      </c>
      <c r="AW407" s="18" t="s">
        <v>95</v>
      </c>
      <c r="AX407" s="18" t="s">
        <v>10806</v>
      </c>
      <c r="AY407" s="18" t="s">
        <v>95</v>
      </c>
      <c r="AZ407" s="18" t="s">
        <v>95</v>
      </c>
      <c r="BA407" s="18" t="s">
        <v>95</v>
      </c>
      <c r="BB407" s="18" t="s">
        <v>95</v>
      </c>
      <c r="BC407" s="18" t="s">
        <v>95</v>
      </c>
      <c r="BD407" s="18" t="s">
        <v>10829</v>
      </c>
      <c r="BE407" s="18" t="s">
        <v>13937</v>
      </c>
      <c r="BF407" s="18" t="s">
        <v>10809</v>
      </c>
      <c r="BG407" s="18" t="s">
        <v>7030</v>
      </c>
      <c r="BH407" s="18"/>
      <c r="BI407" s="18"/>
      <c r="BJ407" s="18" t="s">
        <v>233</v>
      </c>
      <c r="BK407" s="18" t="s">
        <v>13938</v>
      </c>
      <c r="BL407" s="18" t="s">
        <v>10811</v>
      </c>
      <c r="BM407" s="18" t="s">
        <v>139</v>
      </c>
      <c r="BN407" s="18" t="s">
        <v>85</v>
      </c>
      <c r="BO407" s="18">
        <v>1</v>
      </c>
      <c r="BP407" s="18" t="s">
        <v>10812</v>
      </c>
      <c r="BQ407" s="18" t="str">
        <f>VLOOKUP(Prepago[[#This Row],[NOM_PLAZA]],[1]!Locales[#Data],3,0)</f>
        <v>TIENDA CONDADO</v>
      </c>
      <c r="BR407" s="18" t="str">
        <f>VLOOKUP(Prepago[[#This Row],[CODIGO_USUARIO]],[1]!Personal[#Data],6,0)</f>
        <v>ROSALES MALDONADO JESSICA GABRIELA</v>
      </c>
      <c r="BS407" s="18">
        <f>DAY(Prepago[[#This Row],[FECHA_ALTA]])</f>
        <v>13</v>
      </c>
    </row>
    <row r="408" spans="1:71" x14ac:dyDescent="0.25">
      <c r="A408" s="18" t="s">
        <v>96</v>
      </c>
      <c r="B408" s="18" t="s">
        <v>13939</v>
      </c>
      <c r="C408" s="18" t="s">
        <v>13940</v>
      </c>
      <c r="D408" s="18" t="s">
        <v>13932</v>
      </c>
      <c r="E408" s="22">
        <v>44908</v>
      </c>
      <c r="F408" s="18" t="s">
        <v>67</v>
      </c>
      <c r="G408" s="18" t="s">
        <v>13933</v>
      </c>
      <c r="H408" s="18" t="s">
        <v>13934</v>
      </c>
      <c r="I408" s="18" t="s">
        <v>70</v>
      </c>
      <c r="J408" s="18" t="s">
        <v>8102</v>
      </c>
      <c r="K408" s="18" t="s">
        <v>8103</v>
      </c>
      <c r="L408" s="18" t="s">
        <v>132</v>
      </c>
      <c r="M408" s="18" t="s">
        <v>7037</v>
      </c>
      <c r="N408" s="18" t="s">
        <v>13941</v>
      </c>
      <c r="O408" s="18" t="s">
        <v>75</v>
      </c>
      <c r="P408" s="18" t="s">
        <v>13942</v>
      </c>
      <c r="Q408" s="18" t="s">
        <v>10817</v>
      </c>
      <c r="R408" s="18" t="s">
        <v>78</v>
      </c>
      <c r="S408" s="18" t="s">
        <v>77</v>
      </c>
      <c r="T408" s="22">
        <v>44915</v>
      </c>
      <c r="U408" s="18"/>
      <c r="V408" s="18" t="s">
        <v>81</v>
      </c>
      <c r="W408" s="18" t="s">
        <v>79</v>
      </c>
      <c r="X408" s="18" t="s">
        <v>10803</v>
      </c>
      <c r="Y408" s="18" t="s">
        <v>233</v>
      </c>
      <c r="Z408" s="18" t="s">
        <v>234</v>
      </c>
      <c r="AA408" s="18" t="s">
        <v>233</v>
      </c>
      <c r="AB408" s="18" t="s">
        <v>234</v>
      </c>
      <c r="AC408" s="18" t="s">
        <v>7984</v>
      </c>
      <c r="AD408" s="18" t="s">
        <v>10804</v>
      </c>
      <c r="AE408" s="18" t="s">
        <v>232</v>
      </c>
      <c r="AF408" s="18" t="s">
        <v>95</v>
      </c>
      <c r="AG408" s="18" t="s">
        <v>83</v>
      </c>
      <c r="AH408" s="18" t="s">
        <v>83</v>
      </c>
      <c r="AI408" s="18" t="s">
        <v>81</v>
      </c>
      <c r="AJ408" s="18" t="s">
        <v>118</v>
      </c>
      <c r="AK408" s="18" t="s">
        <v>95</v>
      </c>
      <c r="AL408" s="18" t="s">
        <v>13818</v>
      </c>
      <c r="AM408" s="18" t="s">
        <v>85</v>
      </c>
      <c r="AN408" s="18" t="s">
        <v>7031</v>
      </c>
      <c r="AO408" s="18" t="s">
        <v>86</v>
      </c>
      <c r="AP408" s="18" t="s">
        <v>90</v>
      </c>
      <c r="AQ408" s="18" t="s">
        <v>8016</v>
      </c>
      <c r="AR408" s="18" t="s">
        <v>235</v>
      </c>
      <c r="AS408" s="18" t="s">
        <v>139</v>
      </c>
      <c r="AT408" s="18" t="s">
        <v>95</v>
      </c>
      <c r="AU408" s="18" t="s">
        <v>95</v>
      </c>
      <c r="AV408" s="18" t="s">
        <v>7037</v>
      </c>
      <c r="AW408" s="18" t="s">
        <v>95</v>
      </c>
      <c r="AX408" s="18" t="s">
        <v>10806</v>
      </c>
      <c r="AY408" s="18" t="s">
        <v>95</v>
      </c>
      <c r="AZ408" s="18" t="s">
        <v>95</v>
      </c>
      <c r="BA408" s="18" t="s">
        <v>95</v>
      </c>
      <c r="BB408" s="18" t="s">
        <v>95</v>
      </c>
      <c r="BC408" s="18" t="s">
        <v>95</v>
      </c>
      <c r="BD408" s="18" t="s">
        <v>10829</v>
      </c>
      <c r="BE408" s="18" t="s">
        <v>13937</v>
      </c>
      <c r="BF408" s="18" t="s">
        <v>10809</v>
      </c>
      <c r="BG408" s="18" t="s">
        <v>7030</v>
      </c>
      <c r="BH408" s="18"/>
      <c r="BI408" s="18"/>
      <c r="BJ408" s="18" t="s">
        <v>233</v>
      </c>
      <c r="BK408" s="18" t="s">
        <v>13938</v>
      </c>
      <c r="BL408" s="18" t="s">
        <v>10811</v>
      </c>
      <c r="BM408" s="18" t="s">
        <v>139</v>
      </c>
      <c r="BN408" s="18" t="s">
        <v>85</v>
      </c>
      <c r="BO408" s="18">
        <v>0</v>
      </c>
      <c r="BP408" s="18" t="s">
        <v>10812</v>
      </c>
      <c r="BQ408" s="18" t="str">
        <f>VLOOKUP(Prepago[[#This Row],[NOM_PLAZA]],[1]!Locales[#Data],3,0)</f>
        <v>TIENDA CONDADO</v>
      </c>
      <c r="BR408" s="18" t="str">
        <f>VLOOKUP(Prepago[[#This Row],[CODIGO_USUARIO]],[1]!Personal[#Data],6,0)</f>
        <v>ROSALES MALDONADO JESSICA GABRIELA</v>
      </c>
      <c r="BS408" s="18">
        <f>DAY(Prepago[[#This Row],[FECHA_ALTA]])</f>
        <v>13</v>
      </c>
    </row>
    <row r="409" spans="1:71" x14ac:dyDescent="0.25">
      <c r="A409" s="18" t="s">
        <v>96</v>
      </c>
      <c r="B409" s="18" t="s">
        <v>13943</v>
      </c>
      <c r="C409" s="18" t="s">
        <v>13944</v>
      </c>
      <c r="D409" s="18" t="s">
        <v>13945</v>
      </c>
      <c r="E409" s="22">
        <v>44897</v>
      </c>
      <c r="F409" s="18" t="s">
        <v>67</v>
      </c>
      <c r="G409" s="18" t="s">
        <v>4376</v>
      </c>
      <c r="H409" s="18" t="s">
        <v>4377</v>
      </c>
      <c r="I409" s="18" t="s">
        <v>70</v>
      </c>
      <c r="J409" s="18" t="s">
        <v>8102</v>
      </c>
      <c r="K409" s="18" t="s">
        <v>8103</v>
      </c>
      <c r="L409" s="18" t="s">
        <v>132</v>
      </c>
      <c r="M409" s="18" t="s">
        <v>7037</v>
      </c>
      <c r="N409" s="18" t="s">
        <v>13946</v>
      </c>
      <c r="O409" s="18" t="s">
        <v>75</v>
      </c>
      <c r="P409" s="18" t="s">
        <v>13947</v>
      </c>
      <c r="Q409" s="18" t="s">
        <v>1532</v>
      </c>
      <c r="R409" s="18" t="s">
        <v>78</v>
      </c>
      <c r="S409" s="18" t="s">
        <v>77</v>
      </c>
      <c r="T409" s="22">
        <v>44915</v>
      </c>
      <c r="U409" s="18"/>
      <c r="V409" s="18" t="s">
        <v>81</v>
      </c>
      <c r="W409" s="18" t="s">
        <v>79</v>
      </c>
      <c r="X409" s="18" t="s">
        <v>10803</v>
      </c>
      <c r="Y409" s="18" t="s">
        <v>271</v>
      </c>
      <c r="Z409" s="18" t="s">
        <v>272</v>
      </c>
      <c r="AA409" s="18" t="s">
        <v>10199</v>
      </c>
      <c r="AB409" s="18" t="s">
        <v>10200</v>
      </c>
      <c r="AC409" s="18" t="s">
        <v>7984</v>
      </c>
      <c r="AD409" s="18" t="s">
        <v>10804</v>
      </c>
      <c r="AE409" s="18" t="s">
        <v>232</v>
      </c>
      <c r="AF409" s="18" t="s">
        <v>95</v>
      </c>
      <c r="AG409" s="18" t="s">
        <v>83</v>
      </c>
      <c r="AH409" s="18" t="s">
        <v>83</v>
      </c>
      <c r="AI409" s="18" t="s">
        <v>81</v>
      </c>
      <c r="AJ409" s="18" t="s">
        <v>118</v>
      </c>
      <c r="AK409" s="18" t="s">
        <v>95</v>
      </c>
      <c r="AL409" s="18" t="s">
        <v>13652</v>
      </c>
      <c r="AM409" s="18" t="s">
        <v>85</v>
      </c>
      <c r="AN409" s="18" t="s">
        <v>7031</v>
      </c>
      <c r="AO409" s="18" t="s">
        <v>86</v>
      </c>
      <c r="AP409" s="18" t="s">
        <v>90</v>
      </c>
      <c r="AQ409" s="18" t="s">
        <v>8016</v>
      </c>
      <c r="AR409" s="18" t="s">
        <v>235</v>
      </c>
      <c r="AS409" s="18" t="s">
        <v>139</v>
      </c>
      <c r="AT409" s="18" t="s">
        <v>95</v>
      </c>
      <c r="AU409" s="18" t="s">
        <v>95</v>
      </c>
      <c r="AV409" s="18" t="s">
        <v>7037</v>
      </c>
      <c r="AW409" s="18" t="s">
        <v>95</v>
      </c>
      <c r="AX409" s="18" t="s">
        <v>10806</v>
      </c>
      <c r="AY409" s="18" t="s">
        <v>95</v>
      </c>
      <c r="AZ409" s="18" t="s">
        <v>95</v>
      </c>
      <c r="BA409" s="18" t="s">
        <v>95</v>
      </c>
      <c r="BB409" s="18" t="s">
        <v>95</v>
      </c>
      <c r="BC409" s="18" t="s">
        <v>95</v>
      </c>
      <c r="BD409" s="18" t="s">
        <v>10807</v>
      </c>
      <c r="BE409" s="18" t="s">
        <v>13948</v>
      </c>
      <c r="BF409" s="18" t="s">
        <v>10809</v>
      </c>
      <c r="BG409" s="18" t="s">
        <v>7030</v>
      </c>
      <c r="BH409" s="18"/>
      <c r="BI409" s="18"/>
      <c r="BJ409" s="18" t="s">
        <v>271</v>
      </c>
      <c r="BK409" s="18" t="s">
        <v>13949</v>
      </c>
      <c r="BL409" s="18" t="s">
        <v>10811</v>
      </c>
      <c r="BM409" s="18" t="s">
        <v>139</v>
      </c>
      <c r="BN409" s="18" t="s">
        <v>85</v>
      </c>
      <c r="BO409" s="18">
        <v>0</v>
      </c>
      <c r="BP409" s="18" t="s">
        <v>10812</v>
      </c>
      <c r="BQ409" s="18" t="str">
        <f>VLOOKUP(Prepago[[#This Row],[NOM_PLAZA]],[1]!Locales[#Data],3,0)</f>
        <v>TIENDA CONDADO</v>
      </c>
      <c r="BR409" s="18" t="str">
        <f>VLOOKUP(Prepago[[#This Row],[CODIGO_USUARIO]],[1]!Personal[#Data],6,0)</f>
        <v>CASTILLO AGUIRRE EDWIN MODESTO</v>
      </c>
      <c r="BS409" s="18">
        <f>DAY(Prepago[[#This Row],[FECHA_ALTA]])</f>
        <v>2</v>
      </c>
    </row>
    <row r="410" spans="1:71" x14ac:dyDescent="0.25">
      <c r="A410" s="18" t="s">
        <v>96</v>
      </c>
      <c r="B410" s="18" t="s">
        <v>13950</v>
      </c>
      <c r="C410" s="18" t="s">
        <v>13951</v>
      </c>
      <c r="D410" s="18" t="s">
        <v>13952</v>
      </c>
      <c r="E410" s="22">
        <v>44900</v>
      </c>
      <c r="F410" s="18" t="s">
        <v>67</v>
      </c>
      <c r="G410" s="18" t="s">
        <v>13953</v>
      </c>
      <c r="H410" s="18" t="s">
        <v>13954</v>
      </c>
      <c r="I410" s="18" t="s">
        <v>70</v>
      </c>
      <c r="J410" s="18" t="s">
        <v>8102</v>
      </c>
      <c r="K410" s="18" t="s">
        <v>8103</v>
      </c>
      <c r="L410" s="18" t="s">
        <v>132</v>
      </c>
      <c r="M410" s="18" t="s">
        <v>7037</v>
      </c>
      <c r="N410" s="18" t="s">
        <v>13955</v>
      </c>
      <c r="O410" s="18" t="s">
        <v>75</v>
      </c>
      <c r="P410" s="18" t="s">
        <v>13956</v>
      </c>
      <c r="Q410" s="18" t="s">
        <v>10817</v>
      </c>
      <c r="R410" s="18" t="s">
        <v>78</v>
      </c>
      <c r="S410" s="18" t="s">
        <v>77</v>
      </c>
      <c r="T410" s="22">
        <v>44915</v>
      </c>
      <c r="U410" s="18"/>
      <c r="V410" s="18" t="s">
        <v>81</v>
      </c>
      <c r="W410" s="18" t="s">
        <v>79</v>
      </c>
      <c r="X410" s="18" t="s">
        <v>10803</v>
      </c>
      <c r="Y410" s="18" t="s">
        <v>769</v>
      </c>
      <c r="Z410" s="18" t="s">
        <v>770</v>
      </c>
      <c r="AA410" s="18" t="s">
        <v>769</v>
      </c>
      <c r="AB410" s="18" t="s">
        <v>770</v>
      </c>
      <c r="AC410" s="18" t="s">
        <v>7984</v>
      </c>
      <c r="AD410" s="18" t="s">
        <v>10804</v>
      </c>
      <c r="AE410" s="18" t="s">
        <v>232</v>
      </c>
      <c r="AF410" s="18" t="s">
        <v>95</v>
      </c>
      <c r="AG410" s="18" t="s">
        <v>83</v>
      </c>
      <c r="AH410" s="18" t="s">
        <v>83</v>
      </c>
      <c r="AI410" s="18" t="s">
        <v>81</v>
      </c>
      <c r="AJ410" s="18" t="s">
        <v>118</v>
      </c>
      <c r="AK410" s="18" t="s">
        <v>95</v>
      </c>
      <c r="AL410" s="18" t="s">
        <v>10744</v>
      </c>
      <c r="AM410" s="18" t="s">
        <v>85</v>
      </c>
      <c r="AN410" s="18" t="s">
        <v>7031</v>
      </c>
      <c r="AO410" s="18" t="s">
        <v>86</v>
      </c>
      <c r="AP410" s="18" t="s">
        <v>90</v>
      </c>
      <c r="AQ410" s="18" t="s">
        <v>8016</v>
      </c>
      <c r="AR410" s="18" t="s">
        <v>235</v>
      </c>
      <c r="AS410" s="18" t="s">
        <v>139</v>
      </c>
      <c r="AT410" s="18" t="s">
        <v>95</v>
      </c>
      <c r="AU410" s="18" t="s">
        <v>95</v>
      </c>
      <c r="AV410" s="18" t="s">
        <v>7037</v>
      </c>
      <c r="AW410" s="18" t="s">
        <v>95</v>
      </c>
      <c r="AX410" s="18" t="s">
        <v>10806</v>
      </c>
      <c r="AY410" s="18" t="s">
        <v>95</v>
      </c>
      <c r="AZ410" s="18" t="s">
        <v>95</v>
      </c>
      <c r="BA410" s="18" t="s">
        <v>95</v>
      </c>
      <c r="BB410" s="18" t="s">
        <v>95</v>
      </c>
      <c r="BC410" s="18" t="s">
        <v>95</v>
      </c>
      <c r="BD410" s="18" t="s">
        <v>10829</v>
      </c>
      <c r="BE410" s="18" t="s">
        <v>13957</v>
      </c>
      <c r="BF410" s="18" t="s">
        <v>10809</v>
      </c>
      <c r="BG410" s="18" t="s">
        <v>7030</v>
      </c>
      <c r="BH410" s="18"/>
      <c r="BI410" s="18"/>
      <c r="BJ410" s="18" t="s">
        <v>769</v>
      </c>
      <c r="BK410" s="18" t="s">
        <v>13958</v>
      </c>
      <c r="BL410" s="18" t="s">
        <v>10811</v>
      </c>
      <c r="BM410" s="18" t="s">
        <v>139</v>
      </c>
      <c r="BN410" s="18" t="s">
        <v>85</v>
      </c>
      <c r="BO410" s="18">
        <v>0</v>
      </c>
      <c r="BP410" s="18" t="s">
        <v>10812</v>
      </c>
      <c r="BQ410" s="18" t="str">
        <f>VLOOKUP(Prepago[[#This Row],[NOM_PLAZA]],[1]!Locales[#Data],3,0)</f>
        <v>TIENDA CONDADO</v>
      </c>
      <c r="BR410" s="18" t="str">
        <f>VLOOKUP(Prepago[[#This Row],[CODIGO_USUARIO]],[1]!Personal[#Data],6,0)</f>
        <v>ROJAS VEGA JHOSMERY MICHELE</v>
      </c>
      <c r="BS410" s="18">
        <f>DAY(Prepago[[#This Row],[FECHA_ALTA]])</f>
        <v>5</v>
      </c>
    </row>
    <row r="411" spans="1:71" x14ac:dyDescent="0.25">
      <c r="A411" s="18" t="s">
        <v>96</v>
      </c>
      <c r="B411" s="18" t="s">
        <v>13959</v>
      </c>
      <c r="C411" s="18" t="s">
        <v>13960</v>
      </c>
      <c r="D411" s="18" t="s">
        <v>13961</v>
      </c>
      <c r="E411" s="22">
        <v>44900</v>
      </c>
      <c r="F411" s="18" t="s">
        <v>67</v>
      </c>
      <c r="G411" s="18" t="s">
        <v>13962</v>
      </c>
      <c r="H411" s="18" t="s">
        <v>13963</v>
      </c>
      <c r="I411" s="18" t="s">
        <v>70</v>
      </c>
      <c r="J411" s="18" t="s">
        <v>8102</v>
      </c>
      <c r="K411" s="18" t="s">
        <v>8103</v>
      </c>
      <c r="L411" s="18" t="s">
        <v>132</v>
      </c>
      <c r="M411" s="18" t="s">
        <v>7037</v>
      </c>
      <c r="N411" s="18" t="s">
        <v>13964</v>
      </c>
      <c r="O411" s="18" t="s">
        <v>75</v>
      </c>
      <c r="P411" s="18" t="s">
        <v>13965</v>
      </c>
      <c r="Q411" s="18" t="s">
        <v>1532</v>
      </c>
      <c r="R411" s="18" t="s">
        <v>78</v>
      </c>
      <c r="S411" s="18" t="s">
        <v>77</v>
      </c>
      <c r="T411" s="22">
        <v>44915</v>
      </c>
      <c r="U411" s="18"/>
      <c r="V411" s="18" t="s">
        <v>81</v>
      </c>
      <c r="W411" s="18" t="s">
        <v>79</v>
      </c>
      <c r="X411" s="18" t="s">
        <v>10803</v>
      </c>
      <c r="Y411" s="18" t="s">
        <v>377</v>
      </c>
      <c r="Z411" s="18" t="s">
        <v>378</v>
      </c>
      <c r="AA411" s="18" t="s">
        <v>377</v>
      </c>
      <c r="AB411" s="18" t="s">
        <v>378</v>
      </c>
      <c r="AC411" s="18" t="s">
        <v>7984</v>
      </c>
      <c r="AD411" s="18" t="s">
        <v>10804</v>
      </c>
      <c r="AE411" s="18" t="s">
        <v>232</v>
      </c>
      <c r="AF411" s="18" t="s">
        <v>95</v>
      </c>
      <c r="AG411" s="18" t="s">
        <v>83</v>
      </c>
      <c r="AH411" s="18" t="s">
        <v>83</v>
      </c>
      <c r="AI411" s="18" t="s">
        <v>81</v>
      </c>
      <c r="AJ411" s="18" t="s">
        <v>118</v>
      </c>
      <c r="AK411" s="18" t="s">
        <v>95</v>
      </c>
      <c r="AL411" s="18" t="s">
        <v>13665</v>
      </c>
      <c r="AM411" s="18" t="s">
        <v>85</v>
      </c>
      <c r="AN411" s="18" t="s">
        <v>7031</v>
      </c>
      <c r="AO411" s="18" t="s">
        <v>86</v>
      </c>
      <c r="AP411" s="18" t="s">
        <v>90</v>
      </c>
      <c r="AQ411" s="18" t="s">
        <v>8016</v>
      </c>
      <c r="AR411" s="18" t="s">
        <v>235</v>
      </c>
      <c r="AS411" s="18" t="s">
        <v>139</v>
      </c>
      <c r="AT411" s="18" t="s">
        <v>95</v>
      </c>
      <c r="AU411" s="18" t="s">
        <v>95</v>
      </c>
      <c r="AV411" s="18" t="s">
        <v>7037</v>
      </c>
      <c r="AW411" s="18" t="s">
        <v>95</v>
      </c>
      <c r="AX411" s="18" t="s">
        <v>10806</v>
      </c>
      <c r="AY411" s="18" t="s">
        <v>95</v>
      </c>
      <c r="AZ411" s="18" t="s">
        <v>95</v>
      </c>
      <c r="BA411" s="18" t="s">
        <v>95</v>
      </c>
      <c r="BB411" s="18" t="s">
        <v>95</v>
      </c>
      <c r="BC411" s="18" t="s">
        <v>95</v>
      </c>
      <c r="BD411" s="18" t="s">
        <v>10807</v>
      </c>
      <c r="BE411" s="18" t="s">
        <v>13966</v>
      </c>
      <c r="BF411" s="18" t="s">
        <v>10809</v>
      </c>
      <c r="BG411" s="18" t="s">
        <v>7030</v>
      </c>
      <c r="BH411" s="18"/>
      <c r="BI411" s="18"/>
      <c r="BJ411" s="18" t="s">
        <v>377</v>
      </c>
      <c r="BK411" s="18" t="s">
        <v>13967</v>
      </c>
      <c r="BL411" s="18" t="s">
        <v>10811</v>
      </c>
      <c r="BM411" s="18" t="s">
        <v>139</v>
      </c>
      <c r="BN411" s="18" t="s">
        <v>85</v>
      </c>
      <c r="BO411" s="18">
        <v>1</v>
      </c>
      <c r="BP411" s="18" t="s">
        <v>10812</v>
      </c>
      <c r="BQ411" s="18" t="str">
        <f>VLOOKUP(Prepago[[#This Row],[NOM_PLAZA]],[1]!Locales[#Data],3,0)</f>
        <v>TIENDA CONDADO</v>
      </c>
      <c r="BR411" s="18" t="str">
        <f>VLOOKUP(Prepago[[#This Row],[CODIGO_USUARIO]],[1]!Personal[#Data],6,0)</f>
        <v>MELCHIADE ISAAC VALMORE</v>
      </c>
      <c r="BS411" s="18">
        <f>DAY(Prepago[[#This Row],[FECHA_ALTA]])</f>
        <v>5</v>
      </c>
    </row>
    <row r="412" spans="1:71" x14ac:dyDescent="0.25">
      <c r="A412" s="18" t="s">
        <v>96</v>
      </c>
      <c r="B412" s="18" t="s">
        <v>13968</v>
      </c>
      <c r="C412" s="18" t="s">
        <v>13969</v>
      </c>
      <c r="D412" s="18" t="s">
        <v>13970</v>
      </c>
      <c r="E412" s="22">
        <v>44914</v>
      </c>
      <c r="F412" s="18" t="s">
        <v>67</v>
      </c>
      <c r="G412" s="18" t="s">
        <v>13971</v>
      </c>
      <c r="H412" s="18" t="s">
        <v>13972</v>
      </c>
      <c r="I412" s="18" t="s">
        <v>70</v>
      </c>
      <c r="J412" s="18" t="s">
        <v>8102</v>
      </c>
      <c r="K412" s="18" t="s">
        <v>8103</v>
      </c>
      <c r="L412" s="18" t="s">
        <v>132</v>
      </c>
      <c r="M412" s="18" t="s">
        <v>7037</v>
      </c>
      <c r="N412" s="18" t="s">
        <v>13973</v>
      </c>
      <c r="O412" s="18" t="s">
        <v>287</v>
      </c>
      <c r="P412" s="18" t="s">
        <v>13974</v>
      </c>
      <c r="Q412" s="18" t="s">
        <v>4453</v>
      </c>
      <c r="R412" s="18" t="s">
        <v>78</v>
      </c>
      <c r="S412" s="18" t="s">
        <v>77</v>
      </c>
      <c r="T412" s="22">
        <v>44915</v>
      </c>
      <c r="U412" s="18"/>
      <c r="V412" s="18" t="s">
        <v>81</v>
      </c>
      <c r="W412" s="18" t="s">
        <v>79</v>
      </c>
      <c r="X412" s="18" t="s">
        <v>10803</v>
      </c>
      <c r="Y412" s="18" t="s">
        <v>280</v>
      </c>
      <c r="Z412" s="18" t="s">
        <v>281</v>
      </c>
      <c r="AA412" s="18" t="s">
        <v>280</v>
      </c>
      <c r="AB412" s="18" t="s">
        <v>281</v>
      </c>
      <c r="AC412" s="18" t="s">
        <v>7984</v>
      </c>
      <c r="AD412" s="18" t="s">
        <v>10804</v>
      </c>
      <c r="AE412" s="18" t="s">
        <v>232</v>
      </c>
      <c r="AF412" s="18" t="s">
        <v>95</v>
      </c>
      <c r="AG412" s="18" t="s">
        <v>83</v>
      </c>
      <c r="AH412" s="18" t="s">
        <v>83</v>
      </c>
      <c r="AI412" s="18" t="s">
        <v>81</v>
      </c>
      <c r="AJ412" s="18" t="s">
        <v>118</v>
      </c>
      <c r="AK412" s="18" t="s">
        <v>95</v>
      </c>
      <c r="AL412" s="18" t="s">
        <v>10760</v>
      </c>
      <c r="AM412" s="18" t="s">
        <v>85</v>
      </c>
      <c r="AN412" s="18" t="s">
        <v>7031</v>
      </c>
      <c r="AO412" s="18" t="s">
        <v>86</v>
      </c>
      <c r="AP412" s="18" t="s">
        <v>90</v>
      </c>
      <c r="AQ412" s="18" t="s">
        <v>8016</v>
      </c>
      <c r="AR412" s="18" t="s">
        <v>235</v>
      </c>
      <c r="AS412" s="18" t="s">
        <v>139</v>
      </c>
      <c r="AT412" s="18" t="s">
        <v>95</v>
      </c>
      <c r="AU412" s="18" t="s">
        <v>95</v>
      </c>
      <c r="AV412" s="18" t="s">
        <v>7037</v>
      </c>
      <c r="AW412" s="18" t="s">
        <v>95</v>
      </c>
      <c r="AX412" s="18" t="s">
        <v>10806</v>
      </c>
      <c r="AY412" s="18" t="s">
        <v>95</v>
      </c>
      <c r="AZ412" s="18" t="s">
        <v>95</v>
      </c>
      <c r="BA412" s="18" t="s">
        <v>95</v>
      </c>
      <c r="BB412" s="18" t="s">
        <v>95</v>
      </c>
      <c r="BC412" s="18" t="s">
        <v>95</v>
      </c>
      <c r="BD412" s="18" t="s">
        <v>10807</v>
      </c>
      <c r="BE412" s="18" t="s">
        <v>13975</v>
      </c>
      <c r="BF412" s="18" t="s">
        <v>10809</v>
      </c>
      <c r="BG412" s="18" t="s">
        <v>7030</v>
      </c>
      <c r="BH412" s="18"/>
      <c r="BI412" s="18"/>
      <c r="BJ412" s="18" t="s">
        <v>280</v>
      </c>
      <c r="BK412" s="18" t="s">
        <v>13976</v>
      </c>
      <c r="BL412" s="18" t="s">
        <v>10811</v>
      </c>
      <c r="BM412" s="18" t="s">
        <v>139</v>
      </c>
      <c r="BN412" s="18" t="s">
        <v>85</v>
      </c>
      <c r="BO412" s="18">
        <v>0</v>
      </c>
      <c r="BP412" s="18" t="s">
        <v>10812</v>
      </c>
      <c r="BQ412" s="18" t="str">
        <f>VLOOKUP(Prepago[[#This Row],[NOM_PLAZA]],[1]!Locales[#Data],3,0)</f>
        <v>TIENDA CONDADO</v>
      </c>
      <c r="BR412" s="18" t="str">
        <f>VLOOKUP(Prepago[[#This Row],[CODIGO_USUARIO]],[1]!Personal[#Data],6,0)</f>
        <v>GUACHAMIN CAZA HUGO ADRIAN</v>
      </c>
      <c r="BS412" s="18">
        <f>DAY(Prepago[[#This Row],[FECHA_ALTA]])</f>
        <v>19</v>
      </c>
    </row>
    <row r="413" spans="1:71" x14ac:dyDescent="0.25">
      <c r="A413" s="18" t="s">
        <v>96</v>
      </c>
      <c r="B413" s="18" t="s">
        <v>10404</v>
      </c>
      <c r="C413" s="18" t="s">
        <v>10410</v>
      </c>
      <c r="D413" s="18" t="s">
        <v>10406</v>
      </c>
      <c r="E413" s="22">
        <v>44913</v>
      </c>
      <c r="F413" s="18" t="s">
        <v>67</v>
      </c>
      <c r="G413" s="18" t="s">
        <v>10407</v>
      </c>
      <c r="H413" s="18" t="s">
        <v>10408</v>
      </c>
      <c r="I413" s="18" t="s">
        <v>70</v>
      </c>
      <c r="J413" s="18" t="s">
        <v>8102</v>
      </c>
      <c r="K413" s="18" t="s">
        <v>8103</v>
      </c>
      <c r="L413" s="18" t="s">
        <v>132</v>
      </c>
      <c r="M413" s="18" t="s">
        <v>7037</v>
      </c>
      <c r="N413" s="18" t="s">
        <v>10409</v>
      </c>
      <c r="O413" s="18" t="s">
        <v>287</v>
      </c>
      <c r="P413" s="18" t="s">
        <v>13977</v>
      </c>
      <c r="Q413" s="18" t="s">
        <v>10817</v>
      </c>
      <c r="R413" s="18" t="s">
        <v>78</v>
      </c>
      <c r="S413" s="18" t="s">
        <v>77</v>
      </c>
      <c r="T413" s="22">
        <v>44915</v>
      </c>
      <c r="U413" s="18"/>
      <c r="V413" s="18" t="s">
        <v>81</v>
      </c>
      <c r="W413" s="18" t="s">
        <v>79</v>
      </c>
      <c r="X413" s="18" t="s">
        <v>10803</v>
      </c>
      <c r="Y413" s="18" t="s">
        <v>769</v>
      </c>
      <c r="Z413" s="18" t="s">
        <v>770</v>
      </c>
      <c r="AA413" s="18" t="s">
        <v>769</v>
      </c>
      <c r="AB413" s="18" t="s">
        <v>770</v>
      </c>
      <c r="AC413" s="18" t="s">
        <v>7984</v>
      </c>
      <c r="AD413" s="18" t="s">
        <v>10804</v>
      </c>
      <c r="AE413" s="18" t="s">
        <v>232</v>
      </c>
      <c r="AF413" s="18" t="s">
        <v>95</v>
      </c>
      <c r="AG413" s="18" t="s">
        <v>83</v>
      </c>
      <c r="AH413" s="18" t="s">
        <v>83</v>
      </c>
      <c r="AI413" s="18" t="s">
        <v>81</v>
      </c>
      <c r="AJ413" s="18" t="s">
        <v>118</v>
      </c>
      <c r="AK413" s="18" t="s">
        <v>95</v>
      </c>
      <c r="AL413" s="18" t="s">
        <v>10744</v>
      </c>
      <c r="AM413" s="18" t="s">
        <v>85</v>
      </c>
      <c r="AN413" s="18" t="s">
        <v>7031</v>
      </c>
      <c r="AO413" s="18" t="s">
        <v>86</v>
      </c>
      <c r="AP413" s="18" t="s">
        <v>90</v>
      </c>
      <c r="AQ413" s="18" t="s">
        <v>8016</v>
      </c>
      <c r="AR413" s="18" t="s">
        <v>235</v>
      </c>
      <c r="AS413" s="18" t="s">
        <v>139</v>
      </c>
      <c r="AT413" s="18" t="s">
        <v>95</v>
      </c>
      <c r="AU413" s="18" t="s">
        <v>95</v>
      </c>
      <c r="AV413" s="18" t="s">
        <v>7037</v>
      </c>
      <c r="AW413" s="18" t="s">
        <v>95</v>
      </c>
      <c r="AX413" s="18" t="s">
        <v>10806</v>
      </c>
      <c r="AY413" s="18" t="s">
        <v>95</v>
      </c>
      <c r="AZ413" s="18" t="s">
        <v>95</v>
      </c>
      <c r="BA413" s="18" t="s">
        <v>95</v>
      </c>
      <c r="BB413" s="18" t="s">
        <v>95</v>
      </c>
      <c r="BC413" s="18" t="s">
        <v>95</v>
      </c>
      <c r="BD413" s="18" t="s">
        <v>10829</v>
      </c>
      <c r="BE413" s="18" t="s">
        <v>13978</v>
      </c>
      <c r="BF413" s="18" t="s">
        <v>10809</v>
      </c>
      <c r="BG413" s="18" t="s">
        <v>7030</v>
      </c>
      <c r="BH413" s="18"/>
      <c r="BI413" s="18"/>
      <c r="BJ413" s="18" t="s">
        <v>769</v>
      </c>
      <c r="BK413" s="18" t="s">
        <v>13979</v>
      </c>
      <c r="BL413" s="18" t="s">
        <v>10811</v>
      </c>
      <c r="BM413" s="18" t="s">
        <v>139</v>
      </c>
      <c r="BN413" s="18" t="s">
        <v>85</v>
      </c>
      <c r="BO413" s="18">
        <v>0</v>
      </c>
      <c r="BP413" s="18" t="s">
        <v>10812</v>
      </c>
      <c r="BQ413" s="18" t="str">
        <f>VLOOKUP(Prepago[[#This Row],[NOM_PLAZA]],[1]!Locales[#Data],3,0)</f>
        <v>TIENDA CONDADO</v>
      </c>
      <c r="BR413" s="18" t="str">
        <f>VLOOKUP(Prepago[[#This Row],[CODIGO_USUARIO]],[1]!Personal[#Data],6,0)</f>
        <v>ROJAS VEGA JHOSMERY MICHELE</v>
      </c>
      <c r="BS413" s="18">
        <f>DAY(Prepago[[#This Row],[FECHA_ALTA]])</f>
        <v>18</v>
      </c>
    </row>
    <row r="414" spans="1:71" x14ac:dyDescent="0.25">
      <c r="A414" s="18" t="s">
        <v>96</v>
      </c>
      <c r="B414" s="18" t="s">
        <v>13980</v>
      </c>
      <c r="C414" s="18" t="s">
        <v>13981</v>
      </c>
      <c r="D414" s="18" t="s">
        <v>13982</v>
      </c>
      <c r="E414" s="22">
        <v>44897</v>
      </c>
      <c r="F414" s="18" t="s">
        <v>67</v>
      </c>
      <c r="G414" s="18" t="s">
        <v>13983</v>
      </c>
      <c r="H414" s="18" t="s">
        <v>13984</v>
      </c>
      <c r="I414" s="18" t="s">
        <v>70</v>
      </c>
      <c r="J414" s="18" t="s">
        <v>8102</v>
      </c>
      <c r="K414" s="18" t="s">
        <v>8103</v>
      </c>
      <c r="L414" s="18" t="s">
        <v>132</v>
      </c>
      <c r="M414" s="18" t="s">
        <v>7037</v>
      </c>
      <c r="N414" s="18" t="s">
        <v>13985</v>
      </c>
      <c r="O414" s="18" t="s">
        <v>75</v>
      </c>
      <c r="P414" s="18" t="s">
        <v>13986</v>
      </c>
      <c r="Q414" s="18" t="s">
        <v>1532</v>
      </c>
      <c r="R414" s="18" t="s">
        <v>78</v>
      </c>
      <c r="S414" s="18" t="s">
        <v>77</v>
      </c>
      <c r="T414" s="22">
        <v>44915</v>
      </c>
      <c r="U414" s="18"/>
      <c r="V414" s="18" t="s">
        <v>81</v>
      </c>
      <c r="W414" s="18" t="s">
        <v>79</v>
      </c>
      <c r="X414" s="18" t="s">
        <v>10803</v>
      </c>
      <c r="Y414" s="18" t="s">
        <v>233</v>
      </c>
      <c r="Z414" s="18" t="s">
        <v>234</v>
      </c>
      <c r="AA414" s="18" t="s">
        <v>10199</v>
      </c>
      <c r="AB414" s="18" t="s">
        <v>10200</v>
      </c>
      <c r="AC414" s="18" t="s">
        <v>7984</v>
      </c>
      <c r="AD414" s="18" t="s">
        <v>10804</v>
      </c>
      <c r="AE414" s="18" t="s">
        <v>232</v>
      </c>
      <c r="AF414" s="18" t="s">
        <v>95</v>
      </c>
      <c r="AG414" s="18" t="s">
        <v>83</v>
      </c>
      <c r="AH414" s="18" t="s">
        <v>83</v>
      </c>
      <c r="AI414" s="18" t="s">
        <v>81</v>
      </c>
      <c r="AJ414" s="18" t="s">
        <v>118</v>
      </c>
      <c r="AK414" s="18" t="s">
        <v>95</v>
      </c>
      <c r="AL414" s="18" t="s">
        <v>13818</v>
      </c>
      <c r="AM414" s="18" t="s">
        <v>85</v>
      </c>
      <c r="AN414" s="18" t="s">
        <v>7031</v>
      </c>
      <c r="AO414" s="18" t="s">
        <v>86</v>
      </c>
      <c r="AP414" s="18" t="s">
        <v>90</v>
      </c>
      <c r="AQ414" s="18" t="s">
        <v>8016</v>
      </c>
      <c r="AR414" s="18" t="s">
        <v>235</v>
      </c>
      <c r="AS414" s="18" t="s">
        <v>139</v>
      </c>
      <c r="AT414" s="18" t="s">
        <v>95</v>
      </c>
      <c r="AU414" s="18" t="s">
        <v>95</v>
      </c>
      <c r="AV414" s="18" t="s">
        <v>7037</v>
      </c>
      <c r="AW414" s="18" t="s">
        <v>95</v>
      </c>
      <c r="AX414" s="18" t="s">
        <v>10806</v>
      </c>
      <c r="AY414" s="18" t="s">
        <v>95</v>
      </c>
      <c r="AZ414" s="18" t="s">
        <v>95</v>
      </c>
      <c r="BA414" s="18" t="s">
        <v>95</v>
      </c>
      <c r="BB414" s="18" t="s">
        <v>95</v>
      </c>
      <c r="BC414" s="18" t="s">
        <v>95</v>
      </c>
      <c r="BD414" s="18" t="s">
        <v>10829</v>
      </c>
      <c r="BE414" s="18" t="s">
        <v>13987</v>
      </c>
      <c r="BF414" s="18" t="s">
        <v>13988</v>
      </c>
      <c r="BG414" s="18" t="s">
        <v>7030</v>
      </c>
      <c r="BH414" s="18"/>
      <c r="BI414" s="18"/>
      <c r="BJ414" s="18" t="s">
        <v>233</v>
      </c>
      <c r="BK414" s="18" t="s">
        <v>13989</v>
      </c>
      <c r="BL414" s="18" t="s">
        <v>10811</v>
      </c>
      <c r="BM414" s="18" t="s">
        <v>139</v>
      </c>
      <c r="BN414" s="18" t="s">
        <v>85</v>
      </c>
      <c r="BO414" s="18">
        <v>1</v>
      </c>
      <c r="BP414" s="18" t="s">
        <v>10812</v>
      </c>
      <c r="BQ414" s="18" t="str">
        <f>VLOOKUP(Prepago[[#This Row],[NOM_PLAZA]],[1]!Locales[#Data],3,0)</f>
        <v>TIENDA CONDADO</v>
      </c>
      <c r="BR414" s="18" t="str">
        <f>VLOOKUP(Prepago[[#This Row],[CODIGO_USUARIO]],[1]!Personal[#Data],6,0)</f>
        <v>ROSALES MALDONADO JESSICA GABRIELA</v>
      </c>
      <c r="BS414" s="18">
        <f>DAY(Prepago[[#This Row],[FECHA_ALTA]])</f>
        <v>2</v>
      </c>
    </row>
    <row r="415" spans="1:71" x14ac:dyDescent="0.25">
      <c r="A415" s="18" t="s">
        <v>96</v>
      </c>
      <c r="B415" s="18" t="s">
        <v>13990</v>
      </c>
      <c r="C415" s="18" t="s">
        <v>13991</v>
      </c>
      <c r="D415" s="18" t="s">
        <v>13992</v>
      </c>
      <c r="E415" s="22">
        <v>44913</v>
      </c>
      <c r="F415" s="18" t="s">
        <v>67</v>
      </c>
      <c r="G415" s="18" t="s">
        <v>13993</v>
      </c>
      <c r="H415" s="18" t="s">
        <v>13994</v>
      </c>
      <c r="I415" s="18" t="s">
        <v>70</v>
      </c>
      <c r="J415" s="18" t="s">
        <v>8102</v>
      </c>
      <c r="K415" s="18" t="s">
        <v>8103</v>
      </c>
      <c r="L415" s="18" t="s">
        <v>132</v>
      </c>
      <c r="M415" s="18" t="s">
        <v>7037</v>
      </c>
      <c r="N415" s="18" t="s">
        <v>13995</v>
      </c>
      <c r="O415" s="18" t="s">
        <v>75</v>
      </c>
      <c r="P415" s="18" t="s">
        <v>13996</v>
      </c>
      <c r="Q415" s="18" t="s">
        <v>1532</v>
      </c>
      <c r="R415" s="18" t="s">
        <v>78</v>
      </c>
      <c r="S415" s="18" t="s">
        <v>77</v>
      </c>
      <c r="T415" s="22">
        <v>44915</v>
      </c>
      <c r="U415" s="18"/>
      <c r="V415" s="18" t="s">
        <v>81</v>
      </c>
      <c r="W415" s="18" t="s">
        <v>79</v>
      </c>
      <c r="X415" s="18" t="s">
        <v>10803</v>
      </c>
      <c r="Y415" s="18" t="s">
        <v>233</v>
      </c>
      <c r="Z415" s="18" t="s">
        <v>234</v>
      </c>
      <c r="AA415" s="18" t="s">
        <v>233</v>
      </c>
      <c r="AB415" s="18" t="s">
        <v>234</v>
      </c>
      <c r="AC415" s="18" t="s">
        <v>7984</v>
      </c>
      <c r="AD415" s="18" t="s">
        <v>10804</v>
      </c>
      <c r="AE415" s="18" t="s">
        <v>232</v>
      </c>
      <c r="AF415" s="18" t="s">
        <v>95</v>
      </c>
      <c r="AG415" s="18" t="s">
        <v>83</v>
      </c>
      <c r="AH415" s="18" t="s">
        <v>83</v>
      </c>
      <c r="AI415" s="18" t="s">
        <v>81</v>
      </c>
      <c r="AJ415" s="18" t="s">
        <v>118</v>
      </c>
      <c r="AK415" s="18" t="s">
        <v>95</v>
      </c>
      <c r="AL415" s="18" t="s">
        <v>13818</v>
      </c>
      <c r="AM415" s="18" t="s">
        <v>85</v>
      </c>
      <c r="AN415" s="18" t="s">
        <v>7031</v>
      </c>
      <c r="AO415" s="18" t="s">
        <v>86</v>
      </c>
      <c r="AP415" s="18" t="s">
        <v>90</v>
      </c>
      <c r="AQ415" s="18" t="s">
        <v>8016</v>
      </c>
      <c r="AR415" s="18" t="s">
        <v>235</v>
      </c>
      <c r="AS415" s="18" t="s">
        <v>139</v>
      </c>
      <c r="AT415" s="18" t="s">
        <v>95</v>
      </c>
      <c r="AU415" s="18" t="s">
        <v>95</v>
      </c>
      <c r="AV415" s="18" t="s">
        <v>7037</v>
      </c>
      <c r="AW415" s="18" t="s">
        <v>95</v>
      </c>
      <c r="AX415" s="18" t="s">
        <v>10806</v>
      </c>
      <c r="AY415" s="18" t="s">
        <v>95</v>
      </c>
      <c r="AZ415" s="18" t="s">
        <v>95</v>
      </c>
      <c r="BA415" s="18" t="s">
        <v>95</v>
      </c>
      <c r="BB415" s="18" t="s">
        <v>95</v>
      </c>
      <c r="BC415" s="18" t="s">
        <v>95</v>
      </c>
      <c r="BD415" s="18" t="s">
        <v>10829</v>
      </c>
      <c r="BE415" s="18" t="s">
        <v>10808</v>
      </c>
      <c r="BF415" s="18" t="s">
        <v>10809</v>
      </c>
      <c r="BG415" s="18" t="s">
        <v>7030</v>
      </c>
      <c r="BH415" s="18"/>
      <c r="BI415" s="18"/>
      <c r="BJ415" s="18" t="s">
        <v>233</v>
      </c>
      <c r="BK415" s="18" t="s">
        <v>13997</v>
      </c>
      <c r="BL415" s="18" t="s">
        <v>10811</v>
      </c>
      <c r="BM415" s="18" t="s">
        <v>139</v>
      </c>
      <c r="BN415" s="18" t="s">
        <v>85</v>
      </c>
      <c r="BO415" s="18">
        <v>0</v>
      </c>
      <c r="BP415" s="18" t="s">
        <v>10812</v>
      </c>
      <c r="BQ415" s="18" t="str">
        <f>VLOOKUP(Prepago[[#This Row],[NOM_PLAZA]],[1]!Locales[#Data],3,0)</f>
        <v>TIENDA CONDADO</v>
      </c>
      <c r="BR415" s="18" t="str">
        <f>VLOOKUP(Prepago[[#This Row],[CODIGO_USUARIO]],[1]!Personal[#Data],6,0)</f>
        <v>ROSALES MALDONADO JESSICA GABRIELA</v>
      </c>
      <c r="BS415" s="18">
        <f>DAY(Prepago[[#This Row],[FECHA_ALTA]])</f>
        <v>18</v>
      </c>
    </row>
    <row r="416" spans="1:71" x14ac:dyDescent="0.25">
      <c r="A416" s="18" t="s">
        <v>96</v>
      </c>
      <c r="B416" s="18" t="s">
        <v>9760</v>
      </c>
      <c r="C416" s="18" t="s">
        <v>9762</v>
      </c>
      <c r="D416" s="18" t="s">
        <v>9755</v>
      </c>
      <c r="E416" s="22">
        <v>44908</v>
      </c>
      <c r="F416" s="18" t="s">
        <v>67</v>
      </c>
      <c r="G416" s="18" t="s">
        <v>9756</v>
      </c>
      <c r="H416" s="18" t="s">
        <v>9757</v>
      </c>
      <c r="I416" s="18" t="s">
        <v>70</v>
      </c>
      <c r="J416" s="18" t="s">
        <v>8102</v>
      </c>
      <c r="K416" s="18" t="s">
        <v>8103</v>
      </c>
      <c r="L416" s="18" t="s">
        <v>73</v>
      </c>
      <c r="M416" s="18" t="s">
        <v>7029</v>
      </c>
      <c r="N416" s="18" t="s">
        <v>9761</v>
      </c>
      <c r="O416" s="18" t="s">
        <v>287</v>
      </c>
      <c r="P416" s="18" t="s">
        <v>13998</v>
      </c>
      <c r="Q416" s="18" t="s">
        <v>10817</v>
      </c>
      <c r="R416" s="18" t="s">
        <v>78</v>
      </c>
      <c r="S416" s="18" t="s">
        <v>77</v>
      </c>
      <c r="T416" s="22">
        <v>44915</v>
      </c>
      <c r="U416" s="18"/>
      <c r="V416" s="18" t="s">
        <v>81</v>
      </c>
      <c r="W416" s="18" t="s">
        <v>79</v>
      </c>
      <c r="X416" s="18" t="s">
        <v>10803</v>
      </c>
      <c r="Y416" s="18" t="s">
        <v>233</v>
      </c>
      <c r="Z416" s="18" t="s">
        <v>234</v>
      </c>
      <c r="AA416" s="18" t="s">
        <v>233</v>
      </c>
      <c r="AB416" s="18" t="s">
        <v>234</v>
      </c>
      <c r="AC416" s="18" t="s">
        <v>7984</v>
      </c>
      <c r="AD416" s="18" t="s">
        <v>10804</v>
      </c>
      <c r="AE416" s="18" t="s">
        <v>232</v>
      </c>
      <c r="AF416" s="18" t="s">
        <v>95</v>
      </c>
      <c r="AG416" s="18" t="s">
        <v>83</v>
      </c>
      <c r="AH416" s="18" t="s">
        <v>83</v>
      </c>
      <c r="AI416" s="18" t="s">
        <v>81</v>
      </c>
      <c r="AJ416" s="18" t="s">
        <v>118</v>
      </c>
      <c r="AK416" s="18" t="s">
        <v>95</v>
      </c>
      <c r="AL416" s="18" t="s">
        <v>13818</v>
      </c>
      <c r="AM416" s="18" t="s">
        <v>85</v>
      </c>
      <c r="AN416" s="18" t="s">
        <v>7031</v>
      </c>
      <c r="AO416" s="18" t="s">
        <v>86</v>
      </c>
      <c r="AP416" s="18" t="s">
        <v>90</v>
      </c>
      <c r="AQ416" s="18" t="s">
        <v>8016</v>
      </c>
      <c r="AR416" s="18" t="s">
        <v>235</v>
      </c>
      <c r="AS416" s="18" t="s">
        <v>139</v>
      </c>
      <c r="AT416" s="18" t="s">
        <v>95</v>
      </c>
      <c r="AU416" s="18" t="s">
        <v>95</v>
      </c>
      <c r="AV416" s="18" t="s">
        <v>7029</v>
      </c>
      <c r="AW416" s="18" t="s">
        <v>95</v>
      </c>
      <c r="AX416" s="18" t="s">
        <v>10806</v>
      </c>
      <c r="AY416" s="18" t="s">
        <v>95</v>
      </c>
      <c r="AZ416" s="18" t="s">
        <v>95</v>
      </c>
      <c r="BA416" s="18" t="s">
        <v>95</v>
      </c>
      <c r="BB416" s="18" t="s">
        <v>95</v>
      </c>
      <c r="BC416" s="18" t="s">
        <v>95</v>
      </c>
      <c r="BD416" s="18" t="s">
        <v>10829</v>
      </c>
      <c r="BE416" s="18" t="s">
        <v>13833</v>
      </c>
      <c r="BF416" s="18" t="s">
        <v>10809</v>
      </c>
      <c r="BG416" s="18" t="s">
        <v>7030</v>
      </c>
      <c r="BH416" s="18"/>
      <c r="BI416" s="18"/>
      <c r="BJ416" s="18" t="s">
        <v>233</v>
      </c>
      <c r="BK416" s="18" t="s">
        <v>13834</v>
      </c>
      <c r="BL416" s="18" t="s">
        <v>10811</v>
      </c>
      <c r="BM416" s="18" t="s">
        <v>92</v>
      </c>
      <c r="BN416" s="18" t="s">
        <v>85</v>
      </c>
      <c r="BO416" s="18">
        <v>0</v>
      </c>
      <c r="BP416" s="18" t="s">
        <v>10812</v>
      </c>
      <c r="BQ416" s="18" t="str">
        <f>VLOOKUP(Prepago[[#This Row],[NOM_PLAZA]],[1]!Locales[#Data],3,0)</f>
        <v>TIENDA CONDADO</v>
      </c>
      <c r="BR416" s="18" t="str">
        <f>VLOOKUP(Prepago[[#This Row],[CODIGO_USUARIO]],[1]!Personal[#Data],6,0)</f>
        <v>ROSALES MALDONADO JESSICA GABRIELA</v>
      </c>
      <c r="BS416" s="18">
        <f>DAY(Prepago[[#This Row],[FECHA_ALTA]])</f>
        <v>13</v>
      </c>
    </row>
    <row r="417" spans="1:71" x14ac:dyDescent="0.25">
      <c r="A417" s="18" t="s">
        <v>96</v>
      </c>
      <c r="B417" s="18" t="s">
        <v>9164</v>
      </c>
      <c r="C417" s="18" t="s">
        <v>9172</v>
      </c>
      <c r="D417" s="18" t="s">
        <v>9166</v>
      </c>
      <c r="E417" s="22">
        <v>44904</v>
      </c>
      <c r="F417" s="18" t="s">
        <v>67</v>
      </c>
      <c r="G417" s="18" t="s">
        <v>9167</v>
      </c>
      <c r="H417" s="18" t="s">
        <v>9168</v>
      </c>
      <c r="I417" s="18" t="s">
        <v>70</v>
      </c>
      <c r="J417" s="18" t="s">
        <v>8102</v>
      </c>
      <c r="K417" s="18" t="s">
        <v>8103</v>
      </c>
      <c r="L417" s="18" t="s">
        <v>132</v>
      </c>
      <c r="M417" s="18" t="s">
        <v>7037</v>
      </c>
      <c r="N417" s="18" t="s">
        <v>9170</v>
      </c>
      <c r="O417" s="18" t="s">
        <v>287</v>
      </c>
      <c r="P417" s="18" t="s">
        <v>13999</v>
      </c>
      <c r="Q417" s="18" t="s">
        <v>10817</v>
      </c>
      <c r="R417" s="18" t="s">
        <v>78</v>
      </c>
      <c r="S417" s="18" t="s">
        <v>77</v>
      </c>
      <c r="T417" s="22">
        <v>44915</v>
      </c>
      <c r="U417" s="18"/>
      <c r="V417" s="18" t="s">
        <v>81</v>
      </c>
      <c r="W417" s="18" t="s">
        <v>79</v>
      </c>
      <c r="X417" s="18" t="s">
        <v>10803</v>
      </c>
      <c r="Y417" s="18" t="s">
        <v>377</v>
      </c>
      <c r="Z417" s="18" t="s">
        <v>378</v>
      </c>
      <c r="AA417" s="18" t="s">
        <v>377</v>
      </c>
      <c r="AB417" s="18" t="s">
        <v>378</v>
      </c>
      <c r="AC417" s="18" t="s">
        <v>7984</v>
      </c>
      <c r="AD417" s="18" t="s">
        <v>10804</v>
      </c>
      <c r="AE417" s="18" t="s">
        <v>232</v>
      </c>
      <c r="AF417" s="18" t="s">
        <v>95</v>
      </c>
      <c r="AG417" s="18" t="s">
        <v>83</v>
      </c>
      <c r="AH417" s="18" t="s">
        <v>83</v>
      </c>
      <c r="AI417" s="18" t="s">
        <v>81</v>
      </c>
      <c r="AJ417" s="18" t="s">
        <v>118</v>
      </c>
      <c r="AK417" s="18" t="s">
        <v>95</v>
      </c>
      <c r="AL417" s="18" t="s">
        <v>13665</v>
      </c>
      <c r="AM417" s="18" t="s">
        <v>85</v>
      </c>
      <c r="AN417" s="18" t="s">
        <v>7031</v>
      </c>
      <c r="AO417" s="18" t="s">
        <v>86</v>
      </c>
      <c r="AP417" s="18" t="s">
        <v>90</v>
      </c>
      <c r="AQ417" s="18" t="s">
        <v>8016</v>
      </c>
      <c r="AR417" s="18" t="s">
        <v>235</v>
      </c>
      <c r="AS417" s="18" t="s">
        <v>139</v>
      </c>
      <c r="AT417" s="18" t="s">
        <v>95</v>
      </c>
      <c r="AU417" s="18" t="s">
        <v>95</v>
      </c>
      <c r="AV417" s="18" t="s">
        <v>7037</v>
      </c>
      <c r="AW417" s="18" t="s">
        <v>95</v>
      </c>
      <c r="AX417" s="18" t="s">
        <v>10806</v>
      </c>
      <c r="AY417" s="18" t="s">
        <v>95</v>
      </c>
      <c r="AZ417" s="18" t="s">
        <v>95</v>
      </c>
      <c r="BA417" s="18" t="s">
        <v>95</v>
      </c>
      <c r="BB417" s="18" t="s">
        <v>95</v>
      </c>
      <c r="BC417" s="18" t="s">
        <v>95</v>
      </c>
      <c r="BD417" s="18" t="s">
        <v>10829</v>
      </c>
      <c r="BE417" s="18" t="s">
        <v>14000</v>
      </c>
      <c r="BF417" s="18" t="s">
        <v>10809</v>
      </c>
      <c r="BG417" s="18" t="s">
        <v>7030</v>
      </c>
      <c r="BH417" s="18"/>
      <c r="BI417" s="18"/>
      <c r="BJ417" s="18" t="s">
        <v>377</v>
      </c>
      <c r="BK417" s="18" t="s">
        <v>14001</v>
      </c>
      <c r="BL417" s="18" t="s">
        <v>10811</v>
      </c>
      <c r="BM417" s="18" t="s">
        <v>139</v>
      </c>
      <c r="BN417" s="18" t="s">
        <v>85</v>
      </c>
      <c r="BO417" s="18">
        <v>0</v>
      </c>
      <c r="BP417" s="18" t="s">
        <v>10812</v>
      </c>
      <c r="BQ417" s="18" t="str">
        <f>VLOOKUP(Prepago[[#This Row],[NOM_PLAZA]],[1]!Locales[#Data],3,0)</f>
        <v>TIENDA CONDADO</v>
      </c>
      <c r="BR417" s="18" t="str">
        <f>VLOOKUP(Prepago[[#This Row],[CODIGO_USUARIO]],[1]!Personal[#Data],6,0)</f>
        <v>MELCHIADE ISAAC VALMORE</v>
      </c>
      <c r="BS417" s="18">
        <f>DAY(Prepago[[#This Row],[FECHA_ALTA]])</f>
        <v>9</v>
      </c>
    </row>
    <row r="418" spans="1:71" x14ac:dyDescent="0.25">
      <c r="A418" s="18" t="s">
        <v>96</v>
      </c>
      <c r="B418" s="18" t="s">
        <v>14002</v>
      </c>
      <c r="C418" s="18" t="s">
        <v>14003</v>
      </c>
      <c r="D418" s="18" t="s">
        <v>14004</v>
      </c>
      <c r="E418" s="22">
        <v>44902</v>
      </c>
      <c r="F418" s="18" t="s">
        <v>67</v>
      </c>
      <c r="G418" s="18" t="s">
        <v>14005</v>
      </c>
      <c r="H418" s="18" t="s">
        <v>14006</v>
      </c>
      <c r="I418" s="18" t="s">
        <v>193</v>
      </c>
      <c r="J418" s="18" t="s">
        <v>8102</v>
      </c>
      <c r="K418" s="18" t="s">
        <v>8103</v>
      </c>
      <c r="L418" s="18" t="s">
        <v>517</v>
      </c>
      <c r="M418" s="18" t="s">
        <v>7037</v>
      </c>
      <c r="N418" s="18" t="s">
        <v>14007</v>
      </c>
      <c r="O418" s="18" t="s">
        <v>75</v>
      </c>
      <c r="P418" s="18" t="s">
        <v>14008</v>
      </c>
      <c r="Q418" s="18" t="s">
        <v>10817</v>
      </c>
      <c r="R418" s="18" t="s">
        <v>78</v>
      </c>
      <c r="S418" s="18" t="s">
        <v>77</v>
      </c>
      <c r="T418" s="22">
        <v>44915</v>
      </c>
      <c r="U418" s="18"/>
      <c r="V418" s="18" t="s">
        <v>81</v>
      </c>
      <c r="W418" s="18" t="s">
        <v>79</v>
      </c>
      <c r="X418" s="18" t="s">
        <v>10803</v>
      </c>
      <c r="Y418" s="18" t="s">
        <v>769</v>
      </c>
      <c r="Z418" s="18" t="s">
        <v>770</v>
      </c>
      <c r="AA418" s="18" t="s">
        <v>769</v>
      </c>
      <c r="AB418" s="18" t="s">
        <v>770</v>
      </c>
      <c r="AC418" s="18" t="s">
        <v>7984</v>
      </c>
      <c r="AD418" s="18" t="s">
        <v>10804</v>
      </c>
      <c r="AE418" s="18" t="s">
        <v>232</v>
      </c>
      <c r="AF418" s="18" t="s">
        <v>95</v>
      </c>
      <c r="AG418" s="18" t="s">
        <v>83</v>
      </c>
      <c r="AH418" s="18" t="s">
        <v>83</v>
      </c>
      <c r="AI418" s="18" t="s">
        <v>81</v>
      </c>
      <c r="AJ418" s="18" t="s">
        <v>118</v>
      </c>
      <c r="AK418" s="18" t="s">
        <v>95</v>
      </c>
      <c r="AL418" s="18" t="s">
        <v>10744</v>
      </c>
      <c r="AM418" s="18" t="s">
        <v>85</v>
      </c>
      <c r="AN418" s="18" t="s">
        <v>7031</v>
      </c>
      <c r="AO418" s="18" t="s">
        <v>86</v>
      </c>
      <c r="AP418" s="18" t="s">
        <v>90</v>
      </c>
      <c r="AQ418" s="18" t="s">
        <v>8016</v>
      </c>
      <c r="AR418" s="18" t="s">
        <v>235</v>
      </c>
      <c r="AS418" s="18" t="s">
        <v>139</v>
      </c>
      <c r="AT418" s="18" t="s">
        <v>95</v>
      </c>
      <c r="AU418" s="18" t="s">
        <v>95</v>
      </c>
      <c r="AV418" s="18" t="s">
        <v>7037</v>
      </c>
      <c r="AW418" s="18" t="s">
        <v>95</v>
      </c>
      <c r="AX418" s="18" t="s">
        <v>10806</v>
      </c>
      <c r="AY418" s="18" t="s">
        <v>95</v>
      </c>
      <c r="AZ418" s="18" t="s">
        <v>95</v>
      </c>
      <c r="BA418" s="18" t="s">
        <v>95</v>
      </c>
      <c r="BB418" s="18" t="s">
        <v>95</v>
      </c>
      <c r="BC418" s="18" t="s">
        <v>95</v>
      </c>
      <c r="BD418" s="18" t="s">
        <v>10829</v>
      </c>
      <c r="BE418" s="18" t="s">
        <v>14009</v>
      </c>
      <c r="BF418" s="18" t="s">
        <v>10809</v>
      </c>
      <c r="BG418" s="18" t="s">
        <v>7030</v>
      </c>
      <c r="BH418" s="18"/>
      <c r="BI418" s="18"/>
      <c r="BJ418" s="18" t="s">
        <v>769</v>
      </c>
      <c r="BK418" s="18" t="s">
        <v>14010</v>
      </c>
      <c r="BL418" s="18" t="s">
        <v>10811</v>
      </c>
      <c r="BM418" s="18" t="s">
        <v>139</v>
      </c>
      <c r="BN418" s="18" t="s">
        <v>85</v>
      </c>
      <c r="BO418" s="18">
        <v>1</v>
      </c>
      <c r="BP418" s="18" t="s">
        <v>10812</v>
      </c>
      <c r="BQ418" s="18" t="str">
        <f>VLOOKUP(Prepago[[#This Row],[NOM_PLAZA]],[1]!Locales[#Data],3,0)</f>
        <v>TIENDA CONDADO</v>
      </c>
      <c r="BR418" s="18" t="str">
        <f>VLOOKUP(Prepago[[#This Row],[CODIGO_USUARIO]],[1]!Personal[#Data],6,0)</f>
        <v>ROJAS VEGA JHOSMERY MICHELE</v>
      </c>
      <c r="BS418" s="18">
        <f>DAY(Prepago[[#This Row],[FECHA_ALTA]])</f>
        <v>7</v>
      </c>
    </row>
    <row r="419" spans="1:71" x14ac:dyDescent="0.25">
      <c r="A419" s="18" t="s">
        <v>96</v>
      </c>
      <c r="B419" s="18" t="s">
        <v>14011</v>
      </c>
      <c r="C419" s="18" t="s">
        <v>14012</v>
      </c>
      <c r="D419" s="18" t="s">
        <v>14013</v>
      </c>
      <c r="E419" s="22">
        <v>44912</v>
      </c>
      <c r="F419" s="18" t="s">
        <v>67</v>
      </c>
      <c r="G419" s="18" t="s">
        <v>14014</v>
      </c>
      <c r="H419" s="18" t="s">
        <v>14015</v>
      </c>
      <c r="I419" s="18" t="s">
        <v>70</v>
      </c>
      <c r="J419" s="18" t="s">
        <v>8102</v>
      </c>
      <c r="K419" s="18" t="s">
        <v>8103</v>
      </c>
      <c r="L419" s="18" t="s">
        <v>95</v>
      </c>
      <c r="M419" s="18" t="s">
        <v>7037</v>
      </c>
      <c r="N419" s="18" t="s">
        <v>14016</v>
      </c>
      <c r="O419" s="18" t="s">
        <v>75</v>
      </c>
      <c r="P419" s="18" t="s">
        <v>14017</v>
      </c>
      <c r="Q419" s="18" t="s">
        <v>4453</v>
      </c>
      <c r="R419" s="18" t="s">
        <v>78</v>
      </c>
      <c r="S419" s="18" t="s">
        <v>77</v>
      </c>
      <c r="T419" s="22">
        <v>44915</v>
      </c>
      <c r="U419" s="18"/>
      <c r="V419" s="18" t="s">
        <v>81</v>
      </c>
      <c r="W419" s="18" t="s">
        <v>79</v>
      </c>
      <c r="X419" s="18" t="s">
        <v>10803</v>
      </c>
      <c r="Y419" s="18" t="s">
        <v>769</v>
      </c>
      <c r="Z419" s="18" t="s">
        <v>770</v>
      </c>
      <c r="AA419" s="18" t="s">
        <v>769</v>
      </c>
      <c r="AB419" s="18" t="s">
        <v>770</v>
      </c>
      <c r="AC419" s="18" t="s">
        <v>7984</v>
      </c>
      <c r="AD419" s="18" t="s">
        <v>10804</v>
      </c>
      <c r="AE419" s="18" t="s">
        <v>232</v>
      </c>
      <c r="AF419" s="18" t="s">
        <v>95</v>
      </c>
      <c r="AG419" s="18" t="s">
        <v>83</v>
      </c>
      <c r="AH419" s="18" t="s">
        <v>83</v>
      </c>
      <c r="AI419" s="18" t="s">
        <v>81</v>
      </c>
      <c r="AJ419" s="18" t="s">
        <v>118</v>
      </c>
      <c r="AK419" s="18" t="s">
        <v>95</v>
      </c>
      <c r="AL419" s="18" t="s">
        <v>10744</v>
      </c>
      <c r="AM419" s="18" t="s">
        <v>85</v>
      </c>
      <c r="AN419" s="18" t="s">
        <v>7031</v>
      </c>
      <c r="AO419" s="18" t="s">
        <v>86</v>
      </c>
      <c r="AP419" s="18" t="s">
        <v>90</v>
      </c>
      <c r="AQ419" s="18" t="s">
        <v>8016</v>
      </c>
      <c r="AR419" s="18" t="s">
        <v>235</v>
      </c>
      <c r="AS419" s="18" t="s">
        <v>139</v>
      </c>
      <c r="AT419" s="18" t="s">
        <v>95</v>
      </c>
      <c r="AU419" s="18" t="s">
        <v>95</v>
      </c>
      <c r="AV419" s="18" t="s">
        <v>7037</v>
      </c>
      <c r="AW419" s="18" t="s">
        <v>95</v>
      </c>
      <c r="AX419" s="18" t="s">
        <v>10806</v>
      </c>
      <c r="AY419" s="18" t="s">
        <v>95</v>
      </c>
      <c r="AZ419" s="18" t="s">
        <v>95</v>
      </c>
      <c r="BA419" s="18" t="s">
        <v>95</v>
      </c>
      <c r="BB419" s="18" t="s">
        <v>95</v>
      </c>
      <c r="BC419" s="18" t="s">
        <v>95</v>
      </c>
      <c r="BD419" s="18" t="s">
        <v>10807</v>
      </c>
      <c r="BE419" s="18" t="s">
        <v>14018</v>
      </c>
      <c r="BF419" s="18" t="s">
        <v>10809</v>
      </c>
      <c r="BG419" s="18" t="s">
        <v>7030</v>
      </c>
      <c r="BH419" s="18"/>
      <c r="BI419" s="18"/>
      <c r="BJ419" s="18" t="s">
        <v>769</v>
      </c>
      <c r="BK419" s="18" t="s">
        <v>14019</v>
      </c>
      <c r="BL419" s="18" t="s">
        <v>10811</v>
      </c>
      <c r="BM419" s="18" t="s">
        <v>139</v>
      </c>
      <c r="BN419" s="18" t="s">
        <v>85</v>
      </c>
      <c r="BO419" s="18">
        <v>0</v>
      </c>
      <c r="BP419" s="18" t="s">
        <v>10812</v>
      </c>
      <c r="BQ419" s="18" t="str">
        <f>VLOOKUP(Prepago[[#This Row],[NOM_PLAZA]],[1]!Locales[#Data],3,0)</f>
        <v>TIENDA CONDADO</v>
      </c>
      <c r="BR419" s="18" t="str">
        <f>VLOOKUP(Prepago[[#This Row],[CODIGO_USUARIO]],[1]!Personal[#Data],6,0)</f>
        <v>ROJAS VEGA JHOSMERY MICHELE</v>
      </c>
      <c r="BS419" s="18">
        <f>DAY(Prepago[[#This Row],[FECHA_ALTA]])</f>
        <v>17</v>
      </c>
    </row>
    <row r="420" spans="1:71" x14ac:dyDescent="0.25">
      <c r="A420" s="18" t="s">
        <v>96</v>
      </c>
      <c r="B420" s="18" t="s">
        <v>14020</v>
      </c>
      <c r="C420" s="18" t="s">
        <v>14021</v>
      </c>
      <c r="D420" s="18" t="s">
        <v>14022</v>
      </c>
      <c r="E420" s="22">
        <v>44908</v>
      </c>
      <c r="F420" s="18" t="s">
        <v>67</v>
      </c>
      <c r="G420" s="18" t="s">
        <v>14023</v>
      </c>
      <c r="H420" s="18" t="s">
        <v>14024</v>
      </c>
      <c r="I420" s="18" t="s">
        <v>70</v>
      </c>
      <c r="J420" s="18" t="s">
        <v>8102</v>
      </c>
      <c r="K420" s="18" t="s">
        <v>8103</v>
      </c>
      <c r="L420" s="18" t="s">
        <v>259</v>
      </c>
      <c r="M420" s="18" t="s">
        <v>7037</v>
      </c>
      <c r="N420" s="18" t="s">
        <v>14025</v>
      </c>
      <c r="O420" s="18" t="s">
        <v>75</v>
      </c>
      <c r="P420" s="18" t="s">
        <v>14026</v>
      </c>
      <c r="Q420" s="18" t="s">
        <v>10817</v>
      </c>
      <c r="R420" s="18" t="s">
        <v>78</v>
      </c>
      <c r="S420" s="18" t="s">
        <v>77</v>
      </c>
      <c r="T420" s="22">
        <v>44915</v>
      </c>
      <c r="U420" s="18"/>
      <c r="V420" s="18" t="s">
        <v>81</v>
      </c>
      <c r="W420" s="18" t="s">
        <v>79</v>
      </c>
      <c r="X420" s="18" t="s">
        <v>10803</v>
      </c>
      <c r="Y420" s="18" t="s">
        <v>280</v>
      </c>
      <c r="Z420" s="18" t="s">
        <v>281</v>
      </c>
      <c r="AA420" s="18" t="s">
        <v>7062</v>
      </c>
      <c r="AB420" s="18" t="s">
        <v>95</v>
      </c>
      <c r="AC420" s="18" t="s">
        <v>7984</v>
      </c>
      <c r="AD420" s="18" t="s">
        <v>10804</v>
      </c>
      <c r="AE420" s="18" t="s">
        <v>232</v>
      </c>
      <c r="AF420" s="18" t="s">
        <v>95</v>
      </c>
      <c r="AG420" s="18" t="s">
        <v>83</v>
      </c>
      <c r="AH420" s="18" t="s">
        <v>83</v>
      </c>
      <c r="AI420" s="18" t="s">
        <v>81</v>
      </c>
      <c r="AJ420" s="18" t="s">
        <v>118</v>
      </c>
      <c r="AK420" s="18" t="s">
        <v>95</v>
      </c>
      <c r="AL420" s="18" t="s">
        <v>10760</v>
      </c>
      <c r="AM420" s="18" t="s">
        <v>85</v>
      </c>
      <c r="AN420" s="18" t="s">
        <v>7031</v>
      </c>
      <c r="AO420" s="18" t="s">
        <v>86</v>
      </c>
      <c r="AP420" s="18" t="s">
        <v>90</v>
      </c>
      <c r="AQ420" s="18" t="s">
        <v>8016</v>
      </c>
      <c r="AR420" s="18" t="s">
        <v>235</v>
      </c>
      <c r="AS420" s="18" t="s">
        <v>139</v>
      </c>
      <c r="AT420" s="18" t="s">
        <v>95</v>
      </c>
      <c r="AU420" s="18" t="s">
        <v>95</v>
      </c>
      <c r="AV420" s="18" t="s">
        <v>7037</v>
      </c>
      <c r="AW420" s="18" t="s">
        <v>95</v>
      </c>
      <c r="AX420" s="18" t="s">
        <v>10806</v>
      </c>
      <c r="AY420" s="18" t="s">
        <v>95</v>
      </c>
      <c r="AZ420" s="18" t="s">
        <v>95</v>
      </c>
      <c r="BA420" s="18" t="s">
        <v>95</v>
      </c>
      <c r="BB420" s="18" t="s">
        <v>95</v>
      </c>
      <c r="BC420" s="18" t="s">
        <v>95</v>
      </c>
      <c r="BD420" s="18" t="s">
        <v>10829</v>
      </c>
      <c r="BE420" s="18" t="s">
        <v>14027</v>
      </c>
      <c r="BF420" s="18" t="s">
        <v>10809</v>
      </c>
      <c r="BG420" s="18" t="s">
        <v>7030</v>
      </c>
      <c r="BH420" s="18"/>
      <c r="BI420" s="18"/>
      <c r="BJ420" s="18" t="s">
        <v>280</v>
      </c>
      <c r="BK420" s="18" t="s">
        <v>14028</v>
      </c>
      <c r="BL420" s="18" t="s">
        <v>10811</v>
      </c>
      <c r="BM420" s="18" t="s">
        <v>139</v>
      </c>
      <c r="BN420" s="18" t="s">
        <v>85</v>
      </c>
      <c r="BO420" s="18">
        <v>0</v>
      </c>
      <c r="BP420" s="18" t="s">
        <v>10812</v>
      </c>
      <c r="BQ420" s="18" t="str">
        <f>VLOOKUP(Prepago[[#This Row],[NOM_PLAZA]],[1]!Locales[#Data],3,0)</f>
        <v>TIENDA CONDADO</v>
      </c>
      <c r="BR420" s="18" t="str">
        <f>VLOOKUP(Prepago[[#This Row],[CODIGO_USUARIO]],[1]!Personal[#Data],6,0)</f>
        <v>GUACHAMIN CAZA HUGO ADRIAN</v>
      </c>
      <c r="BS420" s="18">
        <f>DAY(Prepago[[#This Row],[FECHA_ALTA]])</f>
        <v>13</v>
      </c>
    </row>
    <row r="421" spans="1:71" x14ac:dyDescent="0.25">
      <c r="A421" s="18" t="s">
        <v>96</v>
      </c>
      <c r="B421" s="18" t="s">
        <v>14029</v>
      </c>
      <c r="C421" s="18" t="s">
        <v>14030</v>
      </c>
      <c r="D421" s="18" t="s">
        <v>14031</v>
      </c>
      <c r="E421" s="22">
        <v>44912</v>
      </c>
      <c r="F421" s="18" t="s">
        <v>67</v>
      </c>
      <c r="G421" s="18" t="s">
        <v>14032</v>
      </c>
      <c r="H421" s="18" t="s">
        <v>14033</v>
      </c>
      <c r="I421" s="18" t="s">
        <v>70</v>
      </c>
      <c r="J421" s="18" t="s">
        <v>8102</v>
      </c>
      <c r="K421" s="18" t="s">
        <v>8103</v>
      </c>
      <c r="L421" s="18" t="s">
        <v>132</v>
      </c>
      <c r="M421" s="18" t="s">
        <v>7037</v>
      </c>
      <c r="N421" s="18" t="s">
        <v>14034</v>
      </c>
      <c r="O421" s="18" t="s">
        <v>75</v>
      </c>
      <c r="P421" s="18" t="s">
        <v>14035</v>
      </c>
      <c r="Q421" s="18" t="s">
        <v>10817</v>
      </c>
      <c r="R421" s="18" t="s">
        <v>78</v>
      </c>
      <c r="S421" s="18" t="s">
        <v>77</v>
      </c>
      <c r="T421" s="22">
        <v>44915</v>
      </c>
      <c r="U421" s="18"/>
      <c r="V421" s="18" t="s">
        <v>81</v>
      </c>
      <c r="W421" s="18" t="s">
        <v>79</v>
      </c>
      <c r="X421" s="18" t="s">
        <v>10803</v>
      </c>
      <c r="Y421" s="18" t="s">
        <v>233</v>
      </c>
      <c r="Z421" s="18" t="s">
        <v>234</v>
      </c>
      <c r="AA421" s="18" t="s">
        <v>233</v>
      </c>
      <c r="AB421" s="18" t="s">
        <v>234</v>
      </c>
      <c r="AC421" s="18" t="s">
        <v>7984</v>
      </c>
      <c r="AD421" s="18" t="s">
        <v>10804</v>
      </c>
      <c r="AE421" s="18" t="s">
        <v>232</v>
      </c>
      <c r="AF421" s="18" t="s">
        <v>95</v>
      </c>
      <c r="AG421" s="18" t="s">
        <v>83</v>
      </c>
      <c r="AH421" s="18" t="s">
        <v>83</v>
      </c>
      <c r="AI421" s="18" t="s">
        <v>81</v>
      </c>
      <c r="AJ421" s="18" t="s">
        <v>118</v>
      </c>
      <c r="AK421" s="18" t="s">
        <v>95</v>
      </c>
      <c r="AL421" s="18" t="s">
        <v>13818</v>
      </c>
      <c r="AM421" s="18" t="s">
        <v>85</v>
      </c>
      <c r="AN421" s="18" t="s">
        <v>7031</v>
      </c>
      <c r="AO421" s="18" t="s">
        <v>86</v>
      </c>
      <c r="AP421" s="18" t="s">
        <v>90</v>
      </c>
      <c r="AQ421" s="18" t="s">
        <v>8016</v>
      </c>
      <c r="AR421" s="18" t="s">
        <v>235</v>
      </c>
      <c r="AS421" s="18" t="s">
        <v>139</v>
      </c>
      <c r="AT421" s="18" t="s">
        <v>95</v>
      </c>
      <c r="AU421" s="18" t="s">
        <v>95</v>
      </c>
      <c r="AV421" s="18" t="s">
        <v>7037</v>
      </c>
      <c r="AW421" s="18" t="s">
        <v>95</v>
      </c>
      <c r="AX421" s="18" t="s">
        <v>10806</v>
      </c>
      <c r="AY421" s="18" t="s">
        <v>95</v>
      </c>
      <c r="AZ421" s="18" t="s">
        <v>95</v>
      </c>
      <c r="BA421" s="18" t="s">
        <v>95</v>
      </c>
      <c r="BB421" s="18" t="s">
        <v>95</v>
      </c>
      <c r="BC421" s="18" t="s">
        <v>95</v>
      </c>
      <c r="BD421" s="18" t="s">
        <v>10807</v>
      </c>
      <c r="BE421" s="18" t="s">
        <v>14036</v>
      </c>
      <c r="BF421" s="18" t="s">
        <v>10809</v>
      </c>
      <c r="BG421" s="18" t="s">
        <v>7030</v>
      </c>
      <c r="BH421" s="18"/>
      <c r="BI421" s="18"/>
      <c r="BJ421" s="18" t="s">
        <v>233</v>
      </c>
      <c r="BK421" s="18" t="s">
        <v>14037</v>
      </c>
      <c r="BL421" s="18" t="s">
        <v>10811</v>
      </c>
      <c r="BM421" s="18" t="s">
        <v>139</v>
      </c>
      <c r="BN421" s="18" t="s">
        <v>85</v>
      </c>
      <c r="BO421" s="18">
        <v>0</v>
      </c>
      <c r="BP421" s="18" t="s">
        <v>10812</v>
      </c>
      <c r="BQ421" s="18" t="str">
        <f>VLOOKUP(Prepago[[#This Row],[NOM_PLAZA]],[1]!Locales[#Data],3,0)</f>
        <v>TIENDA CONDADO</v>
      </c>
      <c r="BR421" s="18" t="str">
        <f>VLOOKUP(Prepago[[#This Row],[CODIGO_USUARIO]],[1]!Personal[#Data],6,0)</f>
        <v>ROSALES MALDONADO JESSICA GABRIELA</v>
      </c>
      <c r="BS421" s="18">
        <f>DAY(Prepago[[#This Row],[FECHA_ALTA]])</f>
        <v>17</v>
      </c>
    </row>
    <row r="422" spans="1:71" x14ac:dyDescent="0.25">
      <c r="A422" s="18" t="s">
        <v>96</v>
      </c>
      <c r="B422" s="18" t="s">
        <v>8542</v>
      </c>
      <c r="C422" s="18" t="s">
        <v>8548</v>
      </c>
      <c r="D422" s="18" t="s">
        <v>8544</v>
      </c>
      <c r="E422" s="22">
        <v>44900</v>
      </c>
      <c r="F422" s="18" t="s">
        <v>67</v>
      </c>
      <c r="G422" s="18" t="s">
        <v>8545</v>
      </c>
      <c r="H422" s="18" t="s">
        <v>8546</v>
      </c>
      <c r="I422" s="18" t="s">
        <v>70</v>
      </c>
      <c r="J422" s="18" t="s">
        <v>8102</v>
      </c>
      <c r="K422" s="18" t="s">
        <v>8103</v>
      </c>
      <c r="L422" s="18" t="s">
        <v>132</v>
      </c>
      <c r="M422" s="18" t="s">
        <v>7037</v>
      </c>
      <c r="N422" s="18" t="s">
        <v>8547</v>
      </c>
      <c r="O422" s="18" t="s">
        <v>287</v>
      </c>
      <c r="P422" s="18" t="s">
        <v>14038</v>
      </c>
      <c r="Q422" s="18" t="s">
        <v>1532</v>
      </c>
      <c r="R422" s="18" t="s">
        <v>78</v>
      </c>
      <c r="S422" s="18" t="s">
        <v>77</v>
      </c>
      <c r="T422" s="22">
        <v>44915</v>
      </c>
      <c r="U422" s="18"/>
      <c r="V422" s="18" t="s">
        <v>81</v>
      </c>
      <c r="W422" s="18" t="s">
        <v>79</v>
      </c>
      <c r="X422" s="18" t="s">
        <v>10803</v>
      </c>
      <c r="Y422" s="18" t="s">
        <v>769</v>
      </c>
      <c r="Z422" s="18" t="s">
        <v>770</v>
      </c>
      <c r="AA422" s="18" t="s">
        <v>769</v>
      </c>
      <c r="AB422" s="18" t="s">
        <v>770</v>
      </c>
      <c r="AC422" s="18" t="s">
        <v>7984</v>
      </c>
      <c r="AD422" s="18" t="s">
        <v>10804</v>
      </c>
      <c r="AE422" s="18" t="s">
        <v>232</v>
      </c>
      <c r="AF422" s="18" t="s">
        <v>95</v>
      </c>
      <c r="AG422" s="18" t="s">
        <v>83</v>
      </c>
      <c r="AH422" s="18" t="s">
        <v>83</v>
      </c>
      <c r="AI422" s="18" t="s">
        <v>81</v>
      </c>
      <c r="AJ422" s="18" t="s">
        <v>118</v>
      </c>
      <c r="AK422" s="18" t="s">
        <v>95</v>
      </c>
      <c r="AL422" s="18" t="s">
        <v>10744</v>
      </c>
      <c r="AM422" s="18" t="s">
        <v>85</v>
      </c>
      <c r="AN422" s="18" t="s">
        <v>7031</v>
      </c>
      <c r="AO422" s="18" t="s">
        <v>86</v>
      </c>
      <c r="AP422" s="18" t="s">
        <v>90</v>
      </c>
      <c r="AQ422" s="18" t="s">
        <v>8016</v>
      </c>
      <c r="AR422" s="18" t="s">
        <v>235</v>
      </c>
      <c r="AS422" s="18" t="s">
        <v>139</v>
      </c>
      <c r="AT422" s="18" t="s">
        <v>95</v>
      </c>
      <c r="AU422" s="18" t="s">
        <v>95</v>
      </c>
      <c r="AV422" s="18" t="s">
        <v>7037</v>
      </c>
      <c r="AW422" s="18" t="s">
        <v>95</v>
      </c>
      <c r="AX422" s="18" t="s">
        <v>10806</v>
      </c>
      <c r="AY422" s="18" t="s">
        <v>95</v>
      </c>
      <c r="AZ422" s="18" t="s">
        <v>95</v>
      </c>
      <c r="BA422" s="18" t="s">
        <v>95</v>
      </c>
      <c r="BB422" s="18" t="s">
        <v>95</v>
      </c>
      <c r="BC422" s="18" t="s">
        <v>95</v>
      </c>
      <c r="BD422" s="18" t="s">
        <v>10807</v>
      </c>
      <c r="BE422" s="18" t="s">
        <v>14039</v>
      </c>
      <c r="BF422" s="18" t="s">
        <v>10809</v>
      </c>
      <c r="BG422" s="18" t="s">
        <v>7030</v>
      </c>
      <c r="BH422" s="18"/>
      <c r="BI422" s="18"/>
      <c r="BJ422" s="18" t="s">
        <v>769</v>
      </c>
      <c r="BK422" s="18" t="s">
        <v>14040</v>
      </c>
      <c r="BL422" s="18" t="s">
        <v>10811</v>
      </c>
      <c r="BM422" s="18" t="s">
        <v>139</v>
      </c>
      <c r="BN422" s="18" t="s">
        <v>85</v>
      </c>
      <c r="BO422" s="18">
        <v>0</v>
      </c>
      <c r="BP422" s="18" t="s">
        <v>10812</v>
      </c>
      <c r="BQ422" s="18" t="str">
        <f>VLOOKUP(Prepago[[#This Row],[NOM_PLAZA]],[1]!Locales[#Data],3,0)</f>
        <v>TIENDA CONDADO</v>
      </c>
      <c r="BR422" s="18" t="str">
        <f>VLOOKUP(Prepago[[#This Row],[CODIGO_USUARIO]],[1]!Personal[#Data],6,0)</f>
        <v>ROJAS VEGA JHOSMERY MICHELE</v>
      </c>
      <c r="BS422" s="18">
        <f>DAY(Prepago[[#This Row],[FECHA_ALTA]])</f>
        <v>5</v>
      </c>
    </row>
    <row r="423" spans="1:71" x14ac:dyDescent="0.25">
      <c r="A423" s="18" t="s">
        <v>96</v>
      </c>
      <c r="B423" s="18" t="s">
        <v>14041</v>
      </c>
      <c r="C423" s="18" t="s">
        <v>14042</v>
      </c>
      <c r="D423" s="18" t="s">
        <v>14043</v>
      </c>
      <c r="E423" s="22">
        <v>44913</v>
      </c>
      <c r="F423" s="18" t="s">
        <v>67</v>
      </c>
      <c r="G423" s="18" t="s">
        <v>14044</v>
      </c>
      <c r="H423" s="18" t="s">
        <v>14045</v>
      </c>
      <c r="I423" s="18" t="s">
        <v>70</v>
      </c>
      <c r="J423" s="18" t="s">
        <v>8102</v>
      </c>
      <c r="K423" s="18" t="s">
        <v>8103</v>
      </c>
      <c r="L423" s="18" t="s">
        <v>73</v>
      </c>
      <c r="M423" s="18" t="s">
        <v>7029</v>
      </c>
      <c r="N423" s="18" t="s">
        <v>14046</v>
      </c>
      <c r="O423" s="18" t="s">
        <v>75</v>
      </c>
      <c r="P423" s="18" t="s">
        <v>14047</v>
      </c>
      <c r="Q423" s="18" t="s">
        <v>1532</v>
      </c>
      <c r="R423" s="18" t="s">
        <v>78</v>
      </c>
      <c r="S423" s="18" t="s">
        <v>77</v>
      </c>
      <c r="T423" s="22">
        <v>44915</v>
      </c>
      <c r="U423" s="18"/>
      <c r="V423" s="18" t="s">
        <v>81</v>
      </c>
      <c r="W423" s="18" t="s">
        <v>79</v>
      </c>
      <c r="X423" s="18" t="s">
        <v>10803</v>
      </c>
      <c r="Y423" s="18" t="s">
        <v>233</v>
      </c>
      <c r="Z423" s="18" t="s">
        <v>234</v>
      </c>
      <c r="AA423" s="18" t="s">
        <v>233</v>
      </c>
      <c r="AB423" s="18" t="s">
        <v>234</v>
      </c>
      <c r="AC423" s="18" t="s">
        <v>7984</v>
      </c>
      <c r="AD423" s="18" t="s">
        <v>10804</v>
      </c>
      <c r="AE423" s="18" t="s">
        <v>232</v>
      </c>
      <c r="AF423" s="18" t="s">
        <v>95</v>
      </c>
      <c r="AG423" s="18" t="s">
        <v>83</v>
      </c>
      <c r="AH423" s="18" t="s">
        <v>83</v>
      </c>
      <c r="AI423" s="18" t="s">
        <v>81</v>
      </c>
      <c r="AJ423" s="18" t="s">
        <v>118</v>
      </c>
      <c r="AK423" s="18" t="s">
        <v>95</v>
      </c>
      <c r="AL423" s="18" t="s">
        <v>13818</v>
      </c>
      <c r="AM423" s="18" t="s">
        <v>85</v>
      </c>
      <c r="AN423" s="18" t="s">
        <v>7031</v>
      </c>
      <c r="AO423" s="18" t="s">
        <v>86</v>
      </c>
      <c r="AP423" s="18" t="s">
        <v>90</v>
      </c>
      <c r="AQ423" s="18" t="s">
        <v>8016</v>
      </c>
      <c r="AR423" s="18" t="s">
        <v>235</v>
      </c>
      <c r="AS423" s="18" t="s">
        <v>139</v>
      </c>
      <c r="AT423" s="18" t="s">
        <v>95</v>
      </c>
      <c r="AU423" s="18" t="s">
        <v>95</v>
      </c>
      <c r="AV423" s="18" t="s">
        <v>7029</v>
      </c>
      <c r="AW423" s="18" t="s">
        <v>95</v>
      </c>
      <c r="AX423" s="18" t="s">
        <v>10806</v>
      </c>
      <c r="AY423" s="18" t="s">
        <v>95</v>
      </c>
      <c r="AZ423" s="18" t="s">
        <v>95</v>
      </c>
      <c r="BA423" s="18" t="s">
        <v>95</v>
      </c>
      <c r="BB423" s="18" t="s">
        <v>95</v>
      </c>
      <c r="BC423" s="18" t="s">
        <v>95</v>
      </c>
      <c r="BD423" s="18" t="s">
        <v>10829</v>
      </c>
      <c r="BE423" s="18" t="s">
        <v>14048</v>
      </c>
      <c r="BF423" s="18" t="s">
        <v>10809</v>
      </c>
      <c r="BG423" s="18" t="s">
        <v>7030</v>
      </c>
      <c r="BH423" s="18"/>
      <c r="BI423" s="18"/>
      <c r="BJ423" s="18" t="s">
        <v>233</v>
      </c>
      <c r="BK423" s="18" t="s">
        <v>14049</v>
      </c>
      <c r="BL423" s="18" t="s">
        <v>10811</v>
      </c>
      <c r="BM423" s="18" t="s">
        <v>92</v>
      </c>
      <c r="BN423" s="18" t="s">
        <v>85</v>
      </c>
      <c r="BO423" s="18">
        <v>0</v>
      </c>
      <c r="BP423" s="18" t="s">
        <v>10812</v>
      </c>
      <c r="BQ423" s="18" t="str">
        <f>VLOOKUP(Prepago[[#This Row],[NOM_PLAZA]],[1]!Locales[#Data],3,0)</f>
        <v>TIENDA CONDADO</v>
      </c>
      <c r="BR423" s="18" t="str">
        <f>VLOOKUP(Prepago[[#This Row],[CODIGO_USUARIO]],[1]!Personal[#Data],6,0)</f>
        <v>ROSALES MALDONADO JESSICA GABRIELA</v>
      </c>
      <c r="BS423" s="18">
        <f>DAY(Prepago[[#This Row],[FECHA_ALTA]])</f>
        <v>18</v>
      </c>
    </row>
    <row r="424" spans="1:71" x14ac:dyDescent="0.25">
      <c r="A424" s="18" t="s">
        <v>96</v>
      </c>
      <c r="B424" s="18" t="s">
        <v>14050</v>
      </c>
      <c r="C424" s="18" t="s">
        <v>14051</v>
      </c>
      <c r="D424" s="18" t="s">
        <v>14052</v>
      </c>
      <c r="E424" s="22">
        <v>44908</v>
      </c>
      <c r="F424" s="18" t="s">
        <v>67</v>
      </c>
      <c r="G424" s="18" t="s">
        <v>14053</v>
      </c>
      <c r="H424" s="18" t="s">
        <v>14054</v>
      </c>
      <c r="I424" s="18" t="s">
        <v>70</v>
      </c>
      <c r="J424" s="18" t="s">
        <v>8102</v>
      </c>
      <c r="K424" s="18" t="s">
        <v>8103</v>
      </c>
      <c r="L424" s="18" t="s">
        <v>132</v>
      </c>
      <c r="M424" s="18" t="s">
        <v>7037</v>
      </c>
      <c r="N424" s="18" t="s">
        <v>14055</v>
      </c>
      <c r="O424" s="18" t="s">
        <v>75</v>
      </c>
      <c r="P424" s="18" t="s">
        <v>14056</v>
      </c>
      <c r="Q424" s="18" t="s">
        <v>1532</v>
      </c>
      <c r="R424" s="18" t="s">
        <v>78</v>
      </c>
      <c r="S424" s="18" t="s">
        <v>77</v>
      </c>
      <c r="T424" s="22">
        <v>44915</v>
      </c>
      <c r="U424" s="18"/>
      <c r="V424" s="18" t="s">
        <v>81</v>
      </c>
      <c r="W424" s="18" t="s">
        <v>79</v>
      </c>
      <c r="X424" s="18" t="s">
        <v>10803</v>
      </c>
      <c r="Y424" s="18" t="s">
        <v>280</v>
      </c>
      <c r="Z424" s="18" t="s">
        <v>281</v>
      </c>
      <c r="AA424" s="18" t="s">
        <v>280</v>
      </c>
      <c r="AB424" s="18" t="s">
        <v>281</v>
      </c>
      <c r="AC424" s="18" t="s">
        <v>7984</v>
      </c>
      <c r="AD424" s="18" t="s">
        <v>10804</v>
      </c>
      <c r="AE424" s="18" t="s">
        <v>232</v>
      </c>
      <c r="AF424" s="18" t="s">
        <v>95</v>
      </c>
      <c r="AG424" s="18" t="s">
        <v>83</v>
      </c>
      <c r="AH424" s="18" t="s">
        <v>83</v>
      </c>
      <c r="AI424" s="18" t="s">
        <v>81</v>
      </c>
      <c r="AJ424" s="18" t="s">
        <v>118</v>
      </c>
      <c r="AK424" s="18" t="s">
        <v>95</v>
      </c>
      <c r="AL424" s="18" t="s">
        <v>10760</v>
      </c>
      <c r="AM424" s="18" t="s">
        <v>85</v>
      </c>
      <c r="AN424" s="18" t="s">
        <v>7031</v>
      </c>
      <c r="AO424" s="18" t="s">
        <v>86</v>
      </c>
      <c r="AP424" s="18" t="s">
        <v>90</v>
      </c>
      <c r="AQ424" s="18" t="s">
        <v>8016</v>
      </c>
      <c r="AR424" s="18" t="s">
        <v>235</v>
      </c>
      <c r="AS424" s="18" t="s">
        <v>139</v>
      </c>
      <c r="AT424" s="18" t="s">
        <v>95</v>
      </c>
      <c r="AU424" s="18" t="s">
        <v>95</v>
      </c>
      <c r="AV424" s="18" t="s">
        <v>7037</v>
      </c>
      <c r="AW424" s="18" t="s">
        <v>95</v>
      </c>
      <c r="AX424" s="18" t="s">
        <v>10806</v>
      </c>
      <c r="AY424" s="18" t="s">
        <v>95</v>
      </c>
      <c r="AZ424" s="18" t="s">
        <v>95</v>
      </c>
      <c r="BA424" s="18" t="s">
        <v>95</v>
      </c>
      <c r="BB424" s="18" t="s">
        <v>95</v>
      </c>
      <c r="BC424" s="18" t="s">
        <v>95</v>
      </c>
      <c r="BD424" s="18" t="s">
        <v>10829</v>
      </c>
      <c r="BE424" s="18" t="s">
        <v>14057</v>
      </c>
      <c r="BF424" s="18" t="s">
        <v>10809</v>
      </c>
      <c r="BG424" s="18" t="s">
        <v>7030</v>
      </c>
      <c r="BH424" s="18"/>
      <c r="BI424" s="18"/>
      <c r="BJ424" s="18" t="s">
        <v>280</v>
      </c>
      <c r="BK424" s="18" t="s">
        <v>14058</v>
      </c>
      <c r="BL424" s="18" t="s">
        <v>10811</v>
      </c>
      <c r="BM424" s="18" t="s">
        <v>139</v>
      </c>
      <c r="BN424" s="18" t="s">
        <v>85</v>
      </c>
      <c r="BO424" s="18">
        <v>0</v>
      </c>
      <c r="BP424" s="18" t="s">
        <v>10812</v>
      </c>
      <c r="BQ424" s="18" t="str">
        <f>VLOOKUP(Prepago[[#This Row],[NOM_PLAZA]],[1]!Locales[#Data],3,0)</f>
        <v>TIENDA CONDADO</v>
      </c>
      <c r="BR424" s="18" t="str">
        <f>VLOOKUP(Prepago[[#This Row],[CODIGO_USUARIO]],[1]!Personal[#Data],6,0)</f>
        <v>GUACHAMIN CAZA HUGO ADRIAN</v>
      </c>
      <c r="BS424" s="18">
        <f>DAY(Prepago[[#This Row],[FECHA_ALTA]])</f>
        <v>13</v>
      </c>
    </row>
    <row r="425" spans="1:71" x14ac:dyDescent="0.25">
      <c r="A425" s="18" t="s">
        <v>96</v>
      </c>
      <c r="B425" s="18" t="s">
        <v>8374</v>
      </c>
      <c r="C425" s="18" t="s">
        <v>8382</v>
      </c>
      <c r="D425" s="18" t="s">
        <v>8376</v>
      </c>
      <c r="E425" s="22">
        <v>44899</v>
      </c>
      <c r="F425" s="18" t="s">
        <v>67</v>
      </c>
      <c r="G425" s="18" t="s">
        <v>8377</v>
      </c>
      <c r="H425" s="18" t="s">
        <v>8378</v>
      </c>
      <c r="I425" s="18" t="s">
        <v>70</v>
      </c>
      <c r="J425" s="18" t="s">
        <v>8102</v>
      </c>
      <c r="K425" s="18" t="s">
        <v>8103</v>
      </c>
      <c r="L425" s="18" t="s">
        <v>95</v>
      </c>
      <c r="M425" s="18" t="s">
        <v>7037</v>
      </c>
      <c r="N425" s="18" t="s">
        <v>8380</v>
      </c>
      <c r="O425" s="18" t="s">
        <v>287</v>
      </c>
      <c r="P425" s="18" t="s">
        <v>14059</v>
      </c>
      <c r="Q425" s="18" t="s">
        <v>4453</v>
      </c>
      <c r="R425" s="18" t="s">
        <v>78</v>
      </c>
      <c r="S425" s="18" t="s">
        <v>77</v>
      </c>
      <c r="T425" s="22">
        <v>44915</v>
      </c>
      <c r="U425" s="18"/>
      <c r="V425" s="18" t="s">
        <v>81</v>
      </c>
      <c r="W425" s="18" t="s">
        <v>79</v>
      </c>
      <c r="X425" s="18" t="s">
        <v>10803</v>
      </c>
      <c r="Y425" s="18" t="s">
        <v>280</v>
      </c>
      <c r="Z425" s="18" t="s">
        <v>281</v>
      </c>
      <c r="AA425" s="18" t="s">
        <v>280</v>
      </c>
      <c r="AB425" s="18" t="s">
        <v>281</v>
      </c>
      <c r="AC425" s="18" t="s">
        <v>7984</v>
      </c>
      <c r="AD425" s="18" t="s">
        <v>10804</v>
      </c>
      <c r="AE425" s="18" t="s">
        <v>232</v>
      </c>
      <c r="AF425" s="18" t="s">
        <v>95</v>
      </c>
      <c r="AG425" s="18" t="s">
        <v>83</v>
      </c>
      <c r="AH425" s="18" t="s">
        <v>83</v>
      </c>
      <c r="AI425" s="18" t="s">
        <v>81</v>
      </c>
      <c r="AJ425" s="18" t="s">
        <v>118</v>
      </c>
      <c r="AK425" s="18" t="s">
        <v>95</v>
      </c>
      <c r="AL425" s="18" t="s">
        <v>10760</v>
      </c>
      <c r="AM425" s="18" t="s">
        <v>85</v>
      </c>
      <c r="AN425" s="18" t="s">
        <v>7031</v>
      </c>
      <c r="AO425" s="18" t="s">
        <v>86</v>
      </c>
      <c r="AP425" s="18" t="s">
        <v>90</v>
      </c>
      <c r="AQ425" s="18" t="s">
        <v>8016</v>
      </c>
      <c r="AR425" s="18" t="s">
        <v>235</v>
      </c>
      <c r="AS425" s="18" t="s">
        <v>139</v>
      </c>
      <c r="AT425" s="18" t="s">
        <v>95</v>
      </c>
      <c r="AU425" s="18" t="s">
        <v>95</v>
      </c>
      <c r="AV425" s="18" t="s">
        <v>7037</v>
      </c>
      <c r="AW425" s="18" t="s">
        <v>95</v>
      </c>
      <c r="AX425" s="18" t="s">
        <v>10806</v>
      </c>
      <c r="AY425" s="18" t="s">
        <v>95</v>
      </c>
      <c r="AZ425" s="18" t="s">
        <v>95</v>
      </c>
      <c r="BA425" s="18" t="s">
        <v>95</v>
      </c>
      <c r="BB425" s="18" t="s">
        <v>95</v>
      </c>
      <c r="BC425" s="18" t="s">
        <v>95</v>
      </c>
      <c r="BD425" s="18" t="s">
        <v>10829</v>
      </c>
      <c r="BE425" s="18" t="s">
        <v>14060</v>
      </c>
      <c r="BF425" s="18" t="s">
        <v>10809</v>
      </c>
      <c r="BG425" s="18" t="s">
        <v>7030</v>
      </c>
      <c r="BH425" s="18"/>
      <c r="BI425" s="18"/>
      <c r="BJ425" s="18" t="s">
        <v>280</v>
      </c>
      <c r="BK425" s="18" t="s">
        <v>14061</v>
      </c>
      <c r="BL425" s="18" t="s">
        <v>10811</v>
      </c>
      <c r="BM425" s="18" t="s">
        <v>139</v>
      </c>
      <c r="BN425" s="18" t="s">
        <v>85</v>
      </c>
      <c r="BO425" s="18">
        <v>0</v>
      </c>
      <c r="BP425" s="18" t="s">
        <v>10812</v>
      </c>
      <c r="BQ425" s="18" t="str">
        <f>VLOOKUP(Prepago[[#This Row],[NOM_PLAZA]],[1]!Locales[#Data],3,0)</f>
        <v>TIENDA CONDADO</v>
      </c>
      <c r="BR425" s="18" t="str">
        <f>VLOOKUP(Prepago[[#This Row],[CODIGO_USUARIO]],[1]!Personal[#Data],6,0)</f>
        <v>GUACHAMIN CAZA HUGO ADRIAN</v>
      </c>
      <c r="BS425" s="18">
        <f>DAY(Prepago[[#This Row],[FECHA_ALTA]])</f>
        <v>4</v>
      </c>
    </row>
    <row r="426" spans="1:71" x14ac:dyDescent="0.25">
      <c r="A426" s="18" t="s">
        <v>96</v>
      </c>
      <c r="B426" s="18" t="s">
        <v>10091</v>
      </c>
      <c r="C426" s="18" t="s">
        <v>10097</v>
      </c>
      <c r="D426" s="18" t="s">
        <v>10093</v>
      </c>
      <c r="E426" s="22">
        <v>44910</v>
      </c>
      <c r="F426" s="18" t="s">
        <v>67</v>
      </c>
      <c r="G426" s="18" t="s">
        <v>10094</v>
      </c>
      <c r="H426" s="18" t="s">
        <v>10095</v>
      </c>
      <c r="I426" s="18" t="s">
        <v>70</v>
      </c>
      <c r="J426" s="18" t="s">
        <v>8102</v>
      </c>
      <c r="K426" s="18" t="s">
        <v>8103</v>
      </c>
      <c r="L426" s="18" t="s">
        <v>132</v>
      </c>
      <c r="M426" s="18" t="s">
        <v>7037</v>
      </c>
      <c r="N426" s="18" t="s">
        <v>10096</v>
      </c>
      <c r="O426" s="18" t="s">
        <v>287</v>
      </c>
      <c r="P426" s="18" t="s">
        <v>14062</v>
      </c>
      <c r="Q426" s="18" t="s">
        <v>10817</v>
      </c>
      <c r="R426" s="18" t="s">
        <v>78</v>
      </c>
      <c r="S426" s="18" t="s">
        <v>77</v>
      </c>
      <c r="T426" s="22">
        <v>44915</v>
      </c>
      <c r="U426" s="18"/>
      <c r="V426" s="18" t="s">
        <v>81</v>
      </c>
      <c r="W426" s="18" t="s">
        <v>79</v>
      </c>
      <c r="X426" s="18" t="s">
        <v>10803</v>
      </c>
      <c r="Y426" s="18" t="s">
        <v>271</v>
      </c>
      <c r="Z426" s="18" t="s">
        <v>272</v>
      </c>
      <c r="AA426" s="18" t="s">
        <v>271</v>
      </c>
      <c r="AB426" s="18" t="s">
        <v>272</v>
      </c>
      <c r="AC426" s="18" t="s">
        <v>7984</v>
      </c>
      <c r="AD426" s="18" t="s">
        <v>10804</v>
      </c>
      <c r="AE426" s="18" t="s">
        <v>232</v>
      </c>
      <c r="AF426" s="18" t="s">
        <v>95</v>
      </c>
      <c r="AG426" s="18" t="s">
        <v>83</v>
      </c>
      <c r="AH426" s="18" t="s">
        <v>83</v>
      </c>
      <c r="AI426" s="18" t="s">
        <v>81</v>
      </c>
      <c r="AJ426" s="18" t="s">
        <v>118</v>
      </c>
      <c r="AK426" s="18" t="s">
        <v>95</v>
      </c>
      <c r="AL426" s="18" t="s">
        <v>13652</v>
      </c>
      <c r="AM426" s="18" t="s">
        <v>85</v>
      </c>
      <c r="AN426" s="18" t="s">
        <v>7031</v>
      </c>
      <c r="AO426" s="18" t="s">
        <v>86</v>
      </c>
      <c r="AP426" s="18" t="s">
        <v>90</v>
      </c>
      <c r="AQ426" s="18" t="s">
        <v>8016</v>
      </c>
      <c r="AR426" s="18" t="s">
        <v>235</v>
      </c>
      <c r="AS426" s="18" t="s">
        <v>139</v>
      </c>
      <c r="AT426" s="18" t="s">
        <v>95</v>
      </c>
      <c r="AU426" s="18" t="s">
        <v>95</v>
      </c>
      <c r="AV426" s="18" t="s">
        <v>7037</v>
      </c>
      <c r="AW426" s="18" t="s">
        <v>95</v>
      </c>
      <c r="AX426" s="18" t="s">
        <v>10806</v>
      </c>
      <c r="AY426" s="18" t="s">
        <v>95</v>
      </c>
      <c r="AZ426" s="18" t="s">
        <v>95</v>
      </c>
      <c r="BA426" s="18" t="s">
        <v>95</v>
      </c>
      <c r="BB426" s="18" t="s">
        <v>95</v>
      </c>
      <c r="BC426" s="18" t="s">
        <v>95</v>
      </c>
      <c r="BD426" s="18" t="s">
        <v>10829</v>
      </c>
      <c r="BE426" s="18" t="s">
        <v>14063</v>
      </c>
      <c r="BF426" s="18" t="s">
        <v>10809</v>
      </c>
      <c r="BG426" s="18" t="s">
        <v>7030</v>
      </c>
      <c r="BH426" s="18"/>
      <c r="BI426" s="18"/>
      <c r="BJ426" s="18" t="s">
        <v>271</v>
      </c>
      <c r="BK426" s="18" t="s">
        <v>14064</v>
      </c>
      <c r="BL426" s="18" t="s">
        <v>10811</v>
      </c>
      <c r="BM426" s="18" t="s">
        <v>139</v>
      </c>
      <c r="BN426" s="18" t="s">
        <v>85</v>
      </c>
      <c r="BO426" s="18">
        <v>0</v>
      </c>
      <c r="BP426" s="18" t="s">
        <v>10812</v>
      </c>
      <c r="BQ426" s="18" t="str">
        <f>VLOOKUP(Prepago[[#This Row],[NOM_PLAZA]],[1]!Locales[#Data],3,0)</f>
        <v>TIENDA CONDADO</v>
      </c>
      <c r="BR426" s="18" t="str">
        <f>VLOOKUP(Prepago[[#This Row],[CODIGO_USUARIO]],[1]!Personal[#Data],6,0)</f>
        <v>CASTILLO AGUIRRE EDWIN MODESTO</v>
      </c>
      <c r="BS426" s="18">
        <f>DAY(Prepago[[#This Row],[FECHA_ALTA]])</f>
        <v>15</v>
      </c>
    </row>
    <row r="427" spans="1:71" x14ac:dyDescent="0.25">
      <c r="A427" s="18" t="s">
        <v>96</v>
      </c>
      <c r="B427" s="18" t="s">
        <v>14065</v>
      </c>
      <c r="C427" s="18" t="s">
        <v>14066</v>
      </c>
      <c r="D427" s="18" t="s">
        <v>14067</v>
      </c>
      <c r="E427" s="22">
        <v>44896</v>
      </c>
      <c r="F427" s="18" t="s">
        <v>67</v>
      </c>
      <c r="G427" s="18" t="s">
        <v>14068</v>
      </c>
      <c r="H427" s="18" t="s">
        <v>14069</v>
      </c>
      <c r="I427" s="18" t="s">
        <v>193</v>
      </c>
      <c r="J427" s="18" t="s">
        <v>8102</v>
      </c>
      <c r="K427" s="18" t="s">
        <v>8103</v>
      </c>
      <c r="L427" s="18" t="s">
        <v>132</v>
      </c>
      <c r="M427" s="18" t="s">
        <v>7037</v>
      </c>
      <c r="N427" s="18" t="s">
        <v>14070</v>
      </c>
      <c r="O427" s="18" t="s">
        <v>75</v>
      </c>
      <c r="P427" s="18" t="s">
        <v>14071</v>
      </c>
      <c r="Q427" s="18" t="s">
        <v>10817</v>
      </c>
      <c r="R427" s="18" t="s">
        <v>78</v>
      </c>
      <c r="S427" s="18" t="s">
        <v>77</v>
      </c>
      <c r="T427" s="22">
        <v>44915</v>
      </c>
      <c r="U427" s="18"/>
      <c r="V427" s="18" t="s">
        <v>81</v>
      </c>
      <c r="W427" s="18" t="s">
        <v>79</v>
      </c>
      <c r="X427" s="18" t="s">
        <v>10803</v>
      </c>
      <c r="Y427" s="18" t="s">
        <v>271</v>
      </c>
      <c r="Z427" s="18" t="s">
        <v>272</v>
      </c>
      <c r="AA427" s="18" t="s">
        <v>271</v>
      </c>
      <c r="AB427" s="18" t="s">
        <v>272</v>
      </c>
      <c r="AC427" s="18" t="s">
        <v>7984</v>
      </c>
      <c r="AD427" s="18" t="s">
        <v>10804</v>
      </c>
      <c r="AE427" s="18" t="s">
        <v>232</v>
      </c>
      <c r="AF427" s="18" t="s">
        <v>95</v>
      </c>
      <c r="AG427" s="18" t="s">
        <v>83</v>
      </c>
      <c r="AH427" s="18" t="s">
        <v>83</v>
      </c>
      <c r="AI427" s="18" t="s">
        <v>81</v>
      </c>
      <c r="AJ427" s="18" t="s">
        <v>118</v>
      </c>
      <c r="AK427" s="18" t="s">
        <v>95</v>
      </c>
      <c r="AL427" s="18" t="s">
        <v>13652</v>
      </c>
      <c r="AM427" s="18" t="s">
        <v>85</v>
      </c>
      <c r="AN427" s="18" t="s">
        <v>7031</v>
      </c>
      <c r="AO427" s="18" t="s">
        <v>86</v>
      </c>
      <c r="AP427" s="18" t="s">
        <v>90</v>
      </c>
      <c r="AQ427" s="18" t="s">
        <v>8016</v>
      </c>
      <c r="AR427" s="18" t="s">
        <v>235</v>
      </c>
      <c r="AS427" s="18" t="s">
        <v>139</v>
      </c>
      <c r="AT427" s="18" t="s">
        <v>95</v>
      </c>
      <c r="AU427" s="18" t="s">
        <v>95</v>
      </c>
      <c r="AV427" s="18" t="s">
        <v>7037</v>
      </c>
      <c r="AW427" s="18" t="s">
        <v>95</v>
      </c>
      <c r="AX427" s="18" t="s">
        <v>10806</v>
      </c>
      <c r="AY427" s="18" t="s">
        <v>95</v>
      </c>
      <c r="AZ427" s="18" t="s">
        <v>95</v>
      </c>
      <c r="BA427" s="18" t="s">
        <v>95</v>
      </c>
      <c r="BB427" s="18" t="s">
        <v>95</v>
      </c>
      <c r="BC427" s="18" t="s">
        <v>95</v>
      </c>
      <c r="BD427" s="18" t="s">
        <v>10829</v>
      </c>
      <c r="BE427" s="18" t="s">
        <v>14072</v>
      </c>
      <c r="BF427" s="18" t="s">
        <v>7037</v>
      </c>
      <c r="BG427" s="18" t="s">
        <v>7030</v>
      </c>
      <c r="BH427" s="18"/>
      <c r="BI427" s="18"/>
      <c r="BJ427" s="18" t="s">
        <v>271</v>
      </c>
      <c r="BK427" s="18" t="s">
        <v>14073</v>
      </c>
      <c r="BL427" s="18" t="s">
        <v>10811</v>
      </c>
      <c r="BM427" s="18" t="s">
        <v>139</v>
      </c>
      <c r="BN427" s="18" t="s">
        <v>85</v>
      </c>
      <c r="BO427" s="18">
        <v>0</v>
      </c>
      <c r="BP427" s="18" t="s">
        <v>10812</v>
      </c>
      <c r="BQ427" s="18" t="str">
        <f>VLOOKUP(Prepago[[#This Row],[NOM_PLAZA]],[1]!Locales[#Data],3,0)</f>
        <v>TIENDA CONDADO</v>
      </c>
      <c r="BR427" s="18" t="str">
        <f>VLOOKUP(Prepago[[#This Row],[CODIGO_USUARIO]],[1]!Personal[#Data],6,0)</f>
        <v>CASTILLO AGUIRRE EDWIN MODESTO</v>
      </c>
      <c r="BS427" s="18">
        <f>DAY(Prepago[[#This Row],[FECHA_ALTA]])</f>
        <v>1</v>
      </c>
    </row>
    <row r="428" spans="1:71" x14ac:dyDescent="0.25">
      <c r="A428" s="18" t="s">
        <v>96</v>
      </c>
      <c r="B428" s="18" t="s">
        <v>8424</v>
      </c>
      <c r="C428" s="18" t="s">
        <v>8430</v>
      </c>
      <c r="D428" s="18" t="s">
        <v>8426</v>
      </c>
      <c r="E428" s="22">
        <v>44899</v>
      </c>
      <c r="F428" s="18" t="s">
        <v>67</v>
      </c>
      <c r="G428" s="18" t="s">
        <v>8427</v>
      </c>
      <c r="H428" s="18" t="s">
        <v>8428</v>
      </c>
      <c r="I428" s="18" t="s">
        <v>70</v>
      </c>
      <c r="J428" s="18" t="s">
        <v>8102</v>
      </c>
      <c r="K428" s="18" t="s">
        <v>8103</v>
      </c>
      <c r="L428" s="18" t="s">
        <v>73</v>
      </c>
      <c r="M428" s="18" t="s">
        <v>7037</v>
      </c>
      <c r="N428" s="18" t="s">
        <v>8429</v>
      </c>
      <c r="O428" s="18" t="s">
        <v>287</v>
      </c>
      <c r="P428" s="18" t="s">
        <v>14074</v>
      </c>
      <c r="Q428" s="18" t="s">
        <v>1532</v>
      </c>
      <c r="R428" s="18" t="s">
        <v>78</v>
      </c>
      <c r="S428" s="18" t="s">
        <v>77</v>
      </c>
      <c r="T428" s="22">
        <v>44915</v>
      </c>
      <c r="U428" s="18"/>
      <c r="V428" s="18" t="s">
        <v>81</v>
      </c>
      <c r="W428" s="18" t="s">
        <v>79</v>
      </c>
      <c r="X428" s="18" t="s">
        <v>10803</v>
      </c>
      <c r="Y428" s="18" t="s">
        <v>769</v>
      </c>
      <c r="Z428" s="18" t="s">
        <v>770</v>
      </c>
      <c r="AA428" s="18" t="s">
        <v>769</v>
      </c>
      <c r="AB428" s="18" t="s">
        <v>770</v>
      </c>
      <c r="AC428" s="18" t="s">
        <v>7984</v>
      </c>
      <c r="AD428" s="18" t="s">
        <v>10804</v>
      </c>
      <c r="AE428" s="18" t="s">
        <v>232</v>
      </c>
      <c r="AF428" s="18" t="s">
        <v>95</v>
      </c>
      <c r="AG428" s="18" t="s">
        <v>83</v>
      </c>
      <c r="AH428" s="18" t="s">
        <v>83</v>
      </c>
      <c r="AI428" s="18" t="s">
        <v>81</v>
      </c>
      <c r="AJ428" s="18" t="s">
        <v>118</v>
      </c>
      <c r="AK428" s="18" t="s">
        <v>95</v>
      </c>
      <c r="AL428" s="18" t="s">
        <v>10744</v>
      </c>
      <c r="AM428" s="18" t="s">
        <v>85</v>
      </c>
      <c r="AN428" s="18" t="s">
        <v>7031</v>
      </c>
      <c r="AO428" s="18" t="s">
        <v>86</v>
      </c>
      <c r="AP428" s="18" t="s">
        <v>90</v>
      </c>
      <c r="AQ428" s="18" t="s">
        <v>8016</v>
      </c>
      <c r="AR428" s="18" t="s">
        <v>235</v>
      </c>
      <c r="AS428" s="18" t="s">
        <v>139</v>
      </c>
      <c r="AT428" s="18" t="s">
        <v>95</v>
      </c>
      <c r="AU428" s="18" t="s">
        <v>95</v>
      </c>
      <c r="AV428" s="18" t="s">
        <v>7037</v>
      </c>
      <c r="AW428" s="18" t="s">
        <v>95</v>
      </c>
      <c r="AX428" s="18" t="s">
        <v>10806</v>
      </c>
      <c r="AY428" s="18" t="s">
        <v>95</v>
      </c>
      <c r="AZ428" s="18" t="s">
        <v>95</v>
      </c>
      <c r="BA428" s="18" t="s">
        <v>95</v>
      </c>
      <c r="BB428" s="18" t="s">
        <v>95</v>
      </c>
      <c r="BC428" s="18" t="s">
        <v>95</v>
      </c>
      <c r="BD428" s="18" t="s">
        <v>10807</v>
      </c>
      <c r="BE428" s="18" t="s">
        <v>10808</v>
      </c>
      <c r="BF428" s="18" t="s">
        <v>10809</v>
      </c>
      <c r="BG428" s="18" t="s">
        <v>7030</v>
      </c>
      <c r="BH428" s="18"/>
      <c r="BI428" s="18"/>
      <c r="BJ428" s="18" t="s">
        <v>769</v>
      </c>
      <c r="BK428" s="18" t="s">
        <v>14075</v>
      </c>
      <c r="BL428" s="18" t="s">
        <v>10811</v>
      </c>
      <c r="BM428" s="18" t="s">
        <v>139</v>
      </c>
      <c r="BN428" s="18" t="s">
        <v>85</v>
      </c>
      <c r="BO428" s="18">
        <v>0</v>
      </c>
      <c r="BP428" s="18" t="s">
        <v>10812</v>
      </c>
      <c r="BQ428" s="18" t="str">
        <f>VLOOKUP(Prepago[[#This Row],[NOM_PLAZA]],[1]!Locales[#Data],3,0)</f>
        <v>TIENDA CONDADO</v>
      </c>
      <c r="BR428" s="18" t="str">
        <f>VLOOKUP(Prepago[[#This Row],[CODIGO_USUARIO]],[1]!Personal[#Data],6,0)</f>
        <v>ROJAS VEGA JHOSMERY MICHELE</v>
      </c>
      <c r="BS428" s="18">
        <f>DAY(Prepago[[#This Row],[FECHA_ALTA]])</f>
        <v>4</v>
      </c>
    </row>
    <row r="429" spans="1:71" x14ac:dyDescent="0.25">
      <c r="A429" s="18" t="s">
        <v>96</v>
      </c>
      <c r="B429" s="18" t="s">
        <v>14076</v>
      </c>
      <c r="C429" s="18" t="s">
        <v>14077</v>
      </c>
      <c r="D429" s="18" t="s">
        <v>14078</v>
      </c>
      <c r="E429" s="22">
        <v>44907</v>
      </c>
      <c r="F429" s="18" t="s">
        <v>67</v>
      </c>
      <c r="G429" s="18" t="s">
        <v>14079</v>
      </c>
      <c r="H429" s="18" t="s">
        <v>14080</v>
      </c>
      <c r="I429" s="18" t="s">
        <v>70</v>
      </c>
      <c r="J429" s="18" t="s">
        <v>8102</v>
      </c>
      <c r="K429" s="18" t="s">
        <v>8103</v>
      </c>
      <c r="L429" s="18" t="s">
        <v>132</v>
      </c>
      <c r="M429" s="18" t="s">
        <v>7037</v>
      </c>
      <c r="N429" s="18" t="s">
        <v>14081</v>
      </c>
      <c r="O429" s="18" t="s">
        <v>75</v>
      </c>
      <c r="P429" s="18" t="s">
        <v>14082</v>
      </c>
      <c r="Q429" s="18" t="s">
        <v>1532</v>
      </c>
      <c r="R429" s="18" t="s">
        <v>78</v>
      </c>
      <c r="S429" s="18" t="s">
        <v>77</v>
      </c>
      <c r="T429" s="22">
        <v>44915</v>
      </c>
      <c r="U429" s="18"/>
      <c r="V429" s="18" t="s">
        <v>81</v>
      </c>
      <c r="W429" s="18" t="s">
        <v>79</v>
      </c>
      <c r="X429" s="18" t="s">
        <v>10803</v>
      </c>
      <c r="Y429" s="18" t="s">
        <v>377</v>
      </c>
      <c r="Z429" s="18" t="s">
        <v>378</v>
      </c>
      <c r="AA429" s="18" t="s">
        <v>377</v>
      </c>
      <c r="AB429" s="18" t="s">
        <v>378</v>
      </c>
      <c r="AC429" s="18" t="s">
        <v>7984</v>
      </c>
      <c r="AD429" s="18" t="s">
        <v>10804</v>
      </c>
      <c r="AE429" s="18" t="s">
        <v>232</v>
      </c>
      <c r="AF429" s="18" t="s">
        <v>95</v>
      </c>
      <c r="AG429" s="18" t="s">
        <v>83</v>
      </c>
      <c r="AH429" s="18" t="s">
        <v>83</v>
      </c>
      <c r="AI429" s="18" t="s">
        <v>81</v>
      </c>
      <c r="AJ429" s="18" t="s">
        <v>118</v>
      </c>
      <c r="AK429" s="18" t="s">
        <v>95</v>
      </c>
      <c r="AL429" s="18" t="s">
        <v>13665</v>
      </c>
      <c r="AM429" s="18" t="s">
        <v>85</v>
      </c>
      <c r="AN429" s="18" t="s">
        <v>7031</v>
      </c>
      <c r="AO429" s="18" t="s">
        <v>86</v>
      </c>
      <c r="AP429" s="18" t="s">
        <v>90</v>
      </c>
      <c r="AQ429" s="18" t="s">
        <v>8016</v>
      </c>
      <c r="AR429" s="18" t="s">
        <v>235</v>
      </c>
      <c r="AS429" s="18" t="s">
        <v>139</v>
      </c>
      <c r="AT429" s="18" t="s">
        <v>95</v>
      </c>
      <c r="AU429" s="18" t="s">
        <v>95</v>
      </c>
      <c r="AV429" s="18" t="s">
        <v>7037</v>
      </c>
      <c r="AW429" s="18" t="s">
        <v>95</v>
      </c>
      <c r="AX429" s="18" t="s">
        <v>10806</v>
      </c>
      <c r="AY429" s="18" t="s">
        <v>95</v>
      </c>
      <c r="AZ429" s="18" t="s">
        <v>95</v>
      </c>
      <c r="BA429" s="18" t="s">
        <v>95</v>
      </c>
      <c r="BB429" s="18" t="s">
        <v>95</v>
      </c>
      <c r="BC429" s="18" t="s">
        <v>95</v>
      </c>
      <c r="BD429" s="18" t="s">
        <v>10807</v>
      </c>
      <c r="BE429" s="18" t="s">
        <v>14083</v>
      </c>
      <c r="BF429" s="18" t="s">
        <v>10809</v>
      </c>
      <c r="BG429" s="18" t="s">
        <v>7030</v>
      </c>
      <c r="BH429" s="18"/>
      <c r="BI429" s="18"/>
      <c r="BJ429" s="18" t="s">
        <v>377</v>
      </c>
      <c r="BK429" s="18" t="s">
        <v>14084</v>
      </c>
      <c r="BL429" s="18" t="s">
        <v>10811</v>
      </c>
      <c r="BM429" s="18" t="s">
        <v>139</v>
      </c>
      <c r="BN429" s="18" t="s">
        <v>85</v>
      </c>
      <c r="BO429" s="18">
        <v>0</v>
      </c>
      <c r="BP429" s="18" t="s">
        <v>10812</v>
      </c>
      <c r="BQ429" s="18" t="str">
        <f>VLOOKUP(Prepago[[#This Row],[NOM_PLAZA]],[1]!Locales[#Data],3,0)</f>
        <v>TIENDA CONDADO</v>
      </c>
      <c r="BR429" s="18" t="str">
        <f>VLOOKUP(Prepago[[#This Row],[CODIGO_USUARIO]],[1]!Personal[#Data],6,0)</f>
        <v>MELCHIADE ISAAC VALMORE</v>
      </c>
      <c r="BS429" s="18">
        <f>DAY(Prepago[[#This Row],[FECHA_ALTA]])</f>
        <v>12</v>
      </c>
    </row>
    <row r="430" spans="1:71" x14ac:dyDescent="0.25">
      <c r="A430" s="18" t="s">
        <v>96</v>
      </c>
      <c r="B430" s="18" t="s">
        <v>14085</v>
      </c>
      <c r="C430" s="18" t="s">
        <v>14086</v>
      </c>
      <c r="D430" s="18" t="s">
        <v>14087</v>
      </c>
      <c r="E430" s="22">
        <v>44913</v>
      </c>
      <c r="F430" s="18" t="s">
        <v>67</v>
      </c>
      <c r="G430" s="18" t="s">
        <v>14088</v>
      </c>
      <c r="H430" s="18" t="s">
        <v>14089</v>
      </c>
      <c r="I430" s="18" t="s">
        <v>70</v>
      </c>
      <c r="J430" s="18" t="s">
        <v>8102</v>
      </c>
      <c r="K430" s="18" t="s">
        <v>8103</v>
      </c>
      <c r="L430" s="18" t="s">
        <v>132</v>
      </c>
      <c r="M430" s="18" t="s">
        <v>7037</v>
      </c>
      <c r="N430" s="18" t="s">
        <v>14090</v>
      </c>
      <c r="O430" s="18" t="s">
        <v>75</v>
      </c>
      <c r="P430" s="18" t="s">
        <v>14091</v>
      </c>
      <c r="Q430" s="18" t="s">
        <v>10817</v>
      </c>
      <c r="R430" s="18" t="s">
        <v>78</v>
      </c>
      <c r="S430" s="18" t="s">
        <v>77</v>
      </c>
      <c r="T430" s="22">
        <v>44915</v>
      </c>
      <c r="U430" s="18"/>
      <c r="V430" s="18" t="s">
        <v>81</v>
      </c>
      <c r="W430" s="18" t="s">
        <v>79</v>
      </c>
      <c r="X430" s="18" t="s">
        <v>10803</v>
      </c>
      <c r="Y430" s="18" t="s">
        <v>769</v>
      </c>
      <c r="Z430" s="18" t="s">
        <v>770</v>
      </c>
      <c r="AA430" s="18" t="s">
        <v>769</v>
      </c>
      <c r="AB430" s="18" t="s">
        <v>770</v>
      </c>
      <c r="AC430" s="18" t="s">
        <v>7984</v>
      </c>
      <c r="AD430" s="18" t="s">
        <v>10804</v>
      </c>
      <c r="AE430" s="18" t="s">
        <v>232</v>
      </c>
      <c r="AF430" s="18" t="s">
        <v>95</v>
      </c>
      <c r="AG430" s="18" t="s">
        <v>83</v>
      </c>
      <c r="AH430" s="18" t="s">
        <v>83</v>
      </c>
      <c r="AI430" s="18" t="s">
        <v>81</v>
      </c>
      <c r="AJ430" s="18" t="s">
        <v>118</v>
      </c>
      <c r="AK430" s="18" t="s">
        <v>95</v>
      </c>
      <c r="AL430" s="18" t="s">
        <v>10744</v>
      </c>
      <c r="AM430" s="18" t="s">
        <v>85</v>
      </c>
      <c r="AN430" s="18" t="s">
        <v>7031</v>
      </c>
      <c r="AO430" s="18" t="s">
        <v>86</v>
      </c>
      <c r="AP430" s="18" t="s">
        <v>90</v>
      </c>
      <c r="AQ430" s="18" t="s">
        <v>8016</v>
      </c>
      <c r="AR430" s="18" t="s">
        <v>235</v>
      </c>
      <c r="AS430" s="18" t="s">
        <v>139</v>
      </c>
      <c r="AT430" s="18" t="s">
        <v>95</v>
      </c>
      <c r="AU430" s="18" t="s">
        <v>95</v>
      </c>
      <c r="AV430" s="18" t="s">
        <v>7037</v>
      </c>
      <c r="AW430" s="18" t="s">
        <v>95</v>
      </c>
      <c r="AX430" s="18" t="s">
        <v>10806</v>
      </c>
      <c r="AY430" s="18" t="s">
        <v>95</v>
      </c>
      <c r="AZ430" s="18" t="s">
        <v>95</v>
      </c>
      <c r="BA430" s="18" t="s">
        <v>95</v>
      </c>
      <c r="BB430" s="18" t="s">
        <v>95</v>
      </c>
      <c r="BC430" s="18" t="s">
        <v>95</v>
      </c>
      <c r="BD430" s="18" t="s">
        <v>10829</v>
      </c>
      <c r="BE430" s="18" t="s">
        <v>14092</v>
      </c>
      <c r="BF430" s="18" t="s">
        <v>10809</v>
      </c>
      <c r="BG430" s="18" t="s">
        <v>7030</v>
      </c>
      <c r="BH430" s="18"/>
      <c r="BI430" s="18"/>
      <c r="BJ430" s="18" t="s">
        <v>769</v>
      </c>
      <c r="BK430" s="18" t="s">
        <v>14093</v>
      </c>
      <c r="BL430" s="18" t="s">
        <v>10811</v>
      </c>
      <c r="BM430" s="18" t="s">
        <v>139</v>
      </c>
      <c r="BN430" s="18" t="s">
        <v>85</v>
      </c>
      <c r="BO430" s="18">
        <v>0</v>
      </c>
      <c r="BP430" s="18" t="s">
        <v>10812</v>
      </c>
      <c r="BQ430" s="18" t="str">
        <f>VLOOKUP(Prepago[[#This Row],[NOM_PLAZA]],[1]!Locales[#Data],3,0)</f>
        <v>TIENDA CONDADO</v>
      </c>
      <c r="BR430" s="18" t="str">
        <f>VLOOKUP(Prepago[[#This Row],[CODIGO_USUARIO]],[1]!Personal[#Data],6,0)</f>
        <v>ROJAS VEGA JHOSMERY MICHELE</v>
      </c>
      <c r="BS430" s="18">
        <f>DAY(Prepago[[#This Row],[FECHA_ALTA]])</f>
        <v>18</v>
      </c>
    </row>
    <row r="431" spans="1:71" x14ac:dyDescent="0.25">
      <c r="A431" s="18" t="s">
        <v>96</v>
      </c>
      <c r="B431" s="18" t="s">
        <v>14094</v>
      </c>
      <c r="C431" s="18" t="s">
        <v>14095</v>
      </c>
      <c r="D431" s="18" t="s">
        <v>14096</v>
      </c>
      <c r="E431" s="22">
        <v>44904</v>
      </c>
      <c r="F431" s="18" t="s">
        <v>67</v>
      </c>
      <c r="G431" s="18" t="s">
        <v>14097</v>
      </c>
      <c r="H431" s="18" t="s">
        <v>14098</v>
      </c>
      <c r="I431" s="18" t="s">
        <v>70</v>
      </c>
      <c r="J431" s="18" t="s">
        <v>8102</v>
      </c>
      <c r="K431" s="18" t="s">
        <v>8103</v>
      </c>
      <c r="L431" s="18" t="s">
        <v>114</v>
      </c>
      <c r="M431" s="18" t="s">
        <v>7047</v>
      </c>
      <c r="N431" s="18" t="s">
        <v>14099</v>
      </c>
      <c r="O431" s="18" t="s">
        <v>75</v>
      </c>
      <c r="P431" s="18" t="s">
        <v>14100</v>
      </c>
      <c r="Q431" s="18" t="s">
        <v>1532</v>
      </c>
      <c r="R431" s="18" t="s">
        <v>78</v>
      </c>
      <c r="S431" s="18" t="s">
        <v>77</v>
      </c>
      <c r="T431" s="22">
        <v>44915</v>
      </c>
      <c r="U431" s="18"/>
      <c r="V431" s="18" t="s">
        <v>81</v>
      </c>
      <c r="W431" s="18" t="s">
        <v>79</v>
      </c>
      <c r="X431" s="18" t="s">
        <v>10803</v>
      </c>
      <c r="Y431" s="18" t="s">
        <v>120</v>
      </c>
      <c r="Z431" s="18" t="s">
        <v>121</v>
      </c>
      <c r="AA431" s="18" t="s">
        <v>120</v>
      </c>
      <c r="AB431" s="18" t="s">
        <v>121</v>
      </c>
      <c r="AC431" s="18" t="s">
        <v>7984</v>
      </c>
      <c r="AD431" s="18" t="s">
        <v>10804</v>
      </c>
      <c r="AE431" s="18" t="s">
        <v>117</v>
      </c>
      <c r="AF431" s="18" t="s">
        <v>95</v>
      </c>
      <c r="AG431" s="18" t="s">
        <v>83</v>
      </c>
      <c r="AH431" s="18" t="s">
        <v>83</v>
      </c>
      <c r="AI431" s="18" t="s">
        <v>81</v>
      </c>
      <c r="AJ431" s="18" t="s">
        <v>118</v>
      </c>
      <c r="AK431" s="18" t="s">
        <v>95</v>
      </c>
      <c r="AL431" s="18" t="s">
        <v>5819</v>
      </c>
      <c r="AM431" s="18" t="s">
        <v>85</v>
      </c>
      <c r="AN431" s="18" t="s">
        <v>7031</v>
      </c>
      <c r="AO431" s="18" t="s">
        <v>86</v>
      </c>
      <c r="AP431" s="18" t="s">
        <v>90</v>
      </c>
      <c r="AQ431" s="18" t="s">
        <v>8050</v>
      </c>
      <c r="AR431" s="18" t="s">
        <v>122</v>
      </c>
      <c r="AS431" s="18" t="s">
        <v>92</v>
      </c>
      <c r="AT431" s="18" t="s">
        <v>95</v>
      </c>
      <c r="AU431" s="18" t="s">
        <v>95</v>
      </c>
      <c r="AV431" s="18" t="s">
        <v>7047</v>
      </c>
      <c r="AW431" s="18" t="s">
        <v>95</v>
      </c>
      <c r="AX431" s="18" t="s">
        <v>10806</v>
      </c>
      <c r="AY431" s="18" t="s">
        <v>95</v>
      </c>
      <c r="AZ431" s="18" t="s">
        <v>95</v>
      </c>
      <c r="BA431" s="18" t="s">
        <v>95</v>
      </c>
      <c r="BB431" s="18" t="s">
        <v>95</v>
      </c>
      <c r="BC431" s="18" t="s">
        <v>95</v>
      </c>
      <c r="BD431" s="18" t="s">
        <v>10829</v>
      </c>
      <c r="BE431" s="18" t="s">
        <v>14101</v>
      </c>
      <c r="BF431" s="18" t="s">
        <v>10809</v>
      </c>
      <c r="BG431" s="18" t="s">
        <v>7030</v>
      </c>
      <c r="BH431" s="18"/>
      <c r="BI431" s="18"/>
      <c r="BJ431" s="18" t="s">
        <v>120</v>
      </c>
      <c r="BK431" s="18" t="s">
        <v>14102</v>
      </c>
      <c r="BL431" s="18" t="s">
        <v>10811</v>
      </c>
      <c r="BM431" s="18" t="s">
        <v>92</v>
      </c>
      <c r="BN431" s="18" t="s">
        <v>85</v>
      </c>
      <c r="BO431" s="18">
        <v>0</v>
      </c>
      <c r="BP431" s="18" t="s">
        <v>10812</v>
      </c>
      <c r="BQ431" s="18" t="str">
        <f>VLOOKUP(Prepago[[#This Row],[NOM_PLAZA]],[1]!Locales[#Data],3,0)</f>
        <v>TIENDA MACHALA</v>
      </c>
      <c r="BR431" s="18" t="str">
        <f>VLOOKUP(Prepago[[#This Row],[CODIGO_USUARIO]],[1]!Personal[#Data],6,0)</f>
        <v>ARROBO VICENTE YADIRA ESPERANZA</v>
      </c>
      <c r="BS431" s="18">
        <f>DAY(Prepago[[#This Row],[FECHA_ALTA]])</f>
        <v>9</v>
      </c>
    </row>
    <row r="432" spans="1:71" x14ac:dyDescent="0.25">
      <c r="A432" s="18" t="s">
        <v>96</v>
      </c>
      <c r="B432" s="18" t="s">
        <v>14103</v>
      </c>
      <c r="C432" s="18" t="s">
        <v>14104</v>
      </c>
      <c r="D432" s="18" t="s">
        <v>14105</v>
      </c>
      <c r="E432" s="22">
        <v>44901</v>
      </c>
      <c r="F432" s="18" t="s">
        <v>67</v>
      </c>
      <c r="G432" s="18" t="s">
        <v>14106</v>
      </c>
      <c r="H432" s="18" t="s">
        <v>14107</v>
      </c>
      <c r="I432" s="18" t="s">
        <v>70</v>
      </c>
      <c r="J432" s="18" t="s">
        <v>8102</v>
      </c>
      <c r="K432" s="18" t="s">
        <v>8103</v>
      </c>
      <c r="L432" s="18" t="s">
        <v>73</v>
      </c>
      <c r="M432" s="18" t="s">
        <v>7047</v>
      </c>
      <c r="N432" s="18" t="s">
        <v>14108</v>
      </c>
      <c r="O432" s="18" t="s">
        <v>75</v>
      </c>
      <c r="P432" s="18" t="s">
        <v>14109</v>
      </c>
      <c r="Q432" s="18" t="s">
        <v>10817</v>
      </c>
      <c r="R432" s="18" t="s">
        <v>78</v>
      </c>
      <c r="S432" s="18" t="s">
        <v>77</v>
      </c>
      <c r="T432" s="22">
        <v>44915</v>
      </c>
      <c r="U432" s="18"/>
      <c r="V432" s="18" t="s">
        <v>81</v>
      </c>
      <c r="W432" s="18" t="s">
        <v>79</v>
      </c>
      <c r="X432" s="18" t="s">
        <v>10803</v>
      </c>
      <c r="Y432" s="18" t="s">
        <v>651</v>
      </c>
      <c r="Z432" s="18" t="s">
        <v>652</v>
      </c>
      <c r="AA432" s="18" t="s">
        <v>7045</v>
      </c>
      <c r="AB432" s="18" t="s">
        <v>7046</v>
      </c>
      <c r="AC432" s="18" t="s">
        <v>7984</v>
      </c>
      <c r="AD432" s="18" t="s">
        <v>10804</v>
      </c>
      <c r="AE432" s="18" t="s">
        <v>117</v>
      </c>
      <c r="AF432" s="18" t="s">
        <v>95</v>
      </c>
      <c r="AG432" s="18" t="s">
        <v>83</v>
      </c>
      <c r="AH432" s="18" t="s">
        <v>83</v>
      </c>
      <c r="AI432" s="18" t="s">
        <v>81</v>
      </c>
      <c r="AJ432" s="18" t="s">
        <v>118</v>
      </c>
      <c r="AK432" s="18" t="s">
        <v>95</v>
      </c>
      <c r="AL432" s="18" t="s">
        <v>14110</v>
      </c>
      <c r="AM432" s="18" t="s">
        <v>85</v>
      </c>
      <c r="AN432" s="18" t="s">
        <v>7031</v>
      </c>
      <c r="AO432" s="18" t="s">
        <v>86</v>
      </c>
      <c r="AP432" s="18" t="s">
        <v>90</v>
      </c>
      <c r="AQ432" s="18" t="s">
        <v>8050</v>
      </c>
      <c r="AR432" s="18" t="s">
        <v>122</v>
      </c>
      <c r="AS432" s="18" t="s">
        <v>92</v>
      </c>
      <c r="AT432" s="18" t="s">
        <v>95</v>
      </c>
      <c r="AU432" s="18" t="s">
        <v>95</v>
      </c>
      <c r="AV432" s="18" t="s">
        <v>7047</v>
      </c>
      <c r="AW432" s="18" t="s">
        <v>95</v>
      </c>
      <c r="AX432" s="18" t="s">
        <v>10806</v>
      </c>
      <c r="AY432" s="18" t="s">
        <v>95</v>
      </c>
      <c r="AZ432" s="18" t="s">
        <v>95</v>
      </c>
      <c r="BA432" s="18" t="s">
        <v>95</v>
      </c>
      <c r="BB432" s="18" t="s">
        <v>95</v>
      </c>
      <c r="BC432" s="18" t="s">
        <v>95</v>
      </c>
      <c r="BD432" s="18" t="s">
        <v>10829</v>
      </c>
      <c r="BE432" s="18" t="s">
        <v>10808</v>
      </c>
      <c r="BF432" s="18" t="s">
        <v>10809</v>
      </c>
      <c r="BG432" s="18" t="s">
        <v>7030</v>
      </c>
      <c r="BH432" s="18"/>
      <c r="BI432" s="18"/>
      <c r="BJ432" s="18" t="s">
        <v>651</v>
      </c>
      <c r="BK432" s="18" t="s">
        <v>14111</v>
      </c>
      <c r="BL432" s="18" t="s">
        <v>10811</v>
      </c>
      <c r="BM432" s="18" t="s">
        <v>92</v>
      </c>
      <c r="BN432" s="18" t="s">
        <v>85</v>
      </c>
      <c r="BO432" s="18">
        <v>0</v>
      </c>
      <c r="BP432" s="18" t="s">
        <v>10812</v>
      </c>
      <c r="BQ432" s="18" t="str">
        <f>VLOOKUP(Prepago[[#This Row],[NOM_PLAZA]],[1]!Locales[#Data],3,0)</f>
        <v>TIENDA MACHALA</v>
      </c>
      <c r="BR432" s="18" t="str">
        <f>VLOOKUP(Prepago[[#This Row],[CODIGO_USUARIO]],[1]!Personal[#Data],6,0)</f>
        <v>SANCHEZ SARITAMA JOEL LUIS</v>
      </c>
      <c r="BS432" s="18">
        <f>DAY(Prepago[[#This Row],[FECHA_ALTA]])</f>
        <v>6</v>
      </c>
    </row>
    <row r="433" spans="1:71" x14ac:dyDescent="0.25">
      <c r="A433" s="18" t="s">
        <v>96</v>
      </c>
      <c r="B433" s="18" t="s">
        <v>14112</v>
      </c>
      <c r="C433" s="18" t="s">
        <v>14113</v>
      </c>
      <c r="D433" s="18" t="s">
        <v>14114</v>
      </c>
      <c r="E433" s="22">
        <v>44907</v>
      </c>
      <c r="F433" s="18" t="s">
        <v>67</v>
      </c>
      <c r="G433" s="18" t="s">
        <v>14115</v>
      </c>
      <c r="H433" s="18" t="s">
        <v>14116</v>
      </c>
      <c r="I433" s="18" t="s">
        <v>70</v>
      </c>
      <c r="J433" s="18" t="s">
        <v>8102</v>
      </c>
      <c r="K433" s="18" t="s">
        <v>8103</v>
      </c>
      <c r="L433" s="18" t="s">
        <v>132</v>
      </c>
      <c r="M433" s="18" t="s">
        <v>7047</v>
      </c>
      <c r="N433" s="18" t="s">
        <v>14117</v>
      </c>
      <c r="O433" s="18" t="s">
        <v>75</v>
      </c>
      <c r="P433" s="18" t="s">
        <v>14118</v>
      </c>
      <c r="Q433" s="18" t="s">
        <v>1532</v>
      </c>
      <c r="R433" s="18" t="s">
        <v>78</v>
      </c>
      <c r="S433" s="18" t="s">
        <v>77</v>
      </c>
      <c r="T433" s="22">
        <v>44915</v>
      </c>
      <c r="U433" s="18"/>
      <c r="V433" s="18" t="s">
        <v>81</v>
      </c>
      <c r="W433" s="18" t="s">
        <v>79</v>
      </c>
      <c r="X433" s="18" t="s">
        <v>10803</v>
      </c>
      <c r="Y433" s="18" t="s">
        <v>651</v>
      </c>
      <c r="Z433" s="18" t="s">
        <v>652</v>
      </c>
      <c r="AA433" s="18" t="s">
        <v>651</v>
      </c>
      <c r="AB433" s="18" t="s">
        <v>652</v>
      </c>
      <c r="AC433" s="18" t="s">
        <v>7984</v>
      </c>
      <c r="AD433" s="18" t="s">
        <v>10804</v>
      </c>
      <c r="AE433" s="18" t="s">
        <v>117</v>
      </c>
      <c r="AF433" s="18" t="s">
        <v>95</v>
      </c>
      <c r="AG433" s="18" t="s">
        <v>83</v>
      </c>
      <c r="AH433" s="18" t="s">
        <v>83</v>
      </c>
      <c r="AI433" s="18" t="s">
        <v>81</v>
      </c>
      <c r="AJ433" s="18" t="s">
        <v>118</v>
      </c>
      <c r="AK433" s="18" t="s">
        <v>95</v>
      </c>
      <c r="AL433" s="18" t="s">
        <v>14110</v>
      </c>
      <c r="AM433" s="18" t="s">
        <v>85</v>
      </c>
      <c r="AN433" s="18" t="s">
        <v>7031</v>
      </c>
      <c r="AO433" s="18" t="s">
        <v>86</v>
      </c>
      <c r="AP433" s="18" t="s">
        <v>90</v>
      </c>
      <c r="AQ433" s="18" t="s">
        <v>8050</v>
      </c>
      <c r="AR433" s="18" t="s">
        <v>122</v>
      </c>
      <c r="AS433" s="18" t="s">
        <v>92</v>
      </c>
      <c r="AT433" s="18" t="s">
        <v>95</v>
      </c>
      <c r="AU433" s="18" t="s">
        <v>95</v>
      </c>
      <c r="AV433" s="18" t="s">
        <v>7047</v>
      </c>
      <c r="AW433" s="18" t="s">
        <v>95</v>
      </c>
      <c r="AX433" s="18" t="s">
        <v>10806</v>
      </c>
      <c r="AY433" s="18" t="s">
        <v>95</v>
      </c>
      <c r="AZ433" s="18" t="s">
        <v>95</v>
      </c>
      <c r="BA433" s="18" t="s">
        <v>95</v>
      </c>
      <c r="BB433" s="18" t="s">
        <v>95</v>
      </c>
      <c r="BC433" s="18" t="s">
        <v>95</v>
      </c>
      <c r="BD433" s="18" t="s">
        <v>10807</v>
      </c>
      <c r="BE433" s="18" t="s">
        <v>10808</v>
      </c>
      <c r="BF433" s="18" t="s">
        <v>10809</v>
      </c>
      <c r="BG433" s="18" t="s">
        <v>7030</v>
      </c>
      <c r="BH433" s="18"/>
      <c r="BI433" s="18"/>
      <c r="BJ433" s="18" t="s">
        <v>651</v>
      </c>
      <c r="BK433" s="18" t="s">
        <v>14119</v>
      </c>
      <c r="BL433" s="18" t="s">
        <v>10811</v>
      </c>
      <c r="BM433" s="18" t="s">
        <v>92</v>
      </c>
      <c r="BN433" s="18" t="s">
        <v>85</v>
      </c>
      <c r="BO433" s="18">
        <v>0</v>
      </c>
      <c r="BP433" s="18" t="s">
        <v>10812</v>
      </c>
      <c r="BQ433" s="18" t="str">
        <f>VLOOKUP(Prepago[[#This Row],[NOM_PLAZA]],[1]!Locales[#Data],3,0)</f>
        <v>TIENDA MACHALA</v>
      </c>
      <c r="BR433" s="18" t="str">
        <f>VLOOKUP(Prepago[[#This Row],[CODIGO_USUARIO]],[1]!Personal[#Data],6,0)</f>
        <v>SANCHEZ SARITAMA JOEL LUIS</v>
      </c>
      <c r="BS433" s="18">
        <f>DAY(Prepago[[#This Row],[FECHA_ALTA]])</f>
        <v>12</v>
      </c>
    </row>
    <row r="434" spans="1:71" x14ac:dyDescent="0.25">
      <c r="A434" s="18" t="s">
        <v>96</v>
      </c>
      <c r="B434" s="18" t="s">
        <v>14120</v>
      </c>
      <c r="C434" s="18" t="s">
        <v>14121</v>
      </c>
      <c r="D434" s="18" t="s">
        <v>14122</v>
      </c>
      <c r="E434" s="22">
        <v>44910</v>
      </c>
      <c r="F434" s="18" t="s">
        <v>67</v>
      </c>
      <c r="G434" s="18" t="s">
        <v>14123</v>
      </c>
      <c r="H434" s="18" t="s">
        <v>14124</v>
      </c>
      <c r="I434" s="18" t="s">
        <v>70</v>
      </c>
      <c r="J434" s="18" t="s">
        <v>8102</v>
      </c>
      <c r="K434" s="18" t="s">
        <v>8103</v>
      </c>
      <c r="L434" s="18" t="s">
        <v>114</v>
      </c>
      <c r="M434" s="18" t="s">
        <v>7047</v>
      </c>
      <c r="N434" s="18" t="s">
        <v>14125</v>
      </c>
      <c r="O434" s="18" t="s">
        <v>75</v>
      </c>
      <c r="P434" s="18" t="s">
        <v>14126</v>
      </c>
      <c r="Q434" s="18" t="s">
        <v>10817</v>
      </c>
      <c r="R434" s="18" t="s">
        <v>78</v>
      </c>
      <c r="S434" s="18" t="s">
        <v>77</v>
      </c>
      <c r="T434" s="22">
        <v>44915</v>
      </c>
      <c r="U434" s="18"/>
      <c r="V434" s="18" t="s">
        <v>81</v>
      </c>
      <c r="W434" s="18" t="s">
        <v>79</v>
      </c>
      <c r="X434" s="18" t="s">
        <v>10803</v>
      </c>
      <c r="Y434" s="18" t="s">
        <v>651</v>
      </c>
      <c r="Z434" s="18" t="s">
        <v>652</v>
      </c>
      <c r="AA434" s="18" t="s">
        <v>651</v>
      </c>
      <c r="AB434" s="18" t="s">
        <v>652</v>
      </c>
      <c r="AC434" s="18" t="s">
        <v>7984</v>
      </c>
      <c r="AD434" s="18" t="s">
        <v>10804</v>
      </c>
      <c r="AE434" s="18" t="s">
        <v>117</v>
      </c>
      <c r="AF434" s="18" t="s">
        <v>95</v>
      </c>
      <c r="AG434" s="18" t="s">
        <v>83</v>
      </c>
      <c r="AH434" s="18" t="s">
        <v>83</v>
      </c>
      <c r="AI434" s="18" t="s">
        <v>81</v>
      </c>
      <c r="AJ434" s="18" t="s">
        <v>118</v>
      </c>
      <c r="AK434" s="18" t="s">
        <v>95</v>
      </c>
      <c r="AL434" s="18" t="s">
        <v>14110</v>
      </c>
      <c r="AM434" s="18" t="s">
        <v>85</v>
      </c>
      <c r="AN434" s="18" t="s">
        <v>7031</v>
      </c>
      <c r="AO434" s="18" t="s">
        <v>86</v>
      </c>
      <c r="AP434" s="18" t="s">
        <v>90</v>
      </c>
      <c r="AQ434" s="18" t="s">
        <v>8050</v>
      </c>
      <c r="AR434" s="18" t="s">
        <v>122</v>
      </c>
      <c r="AS434" s="18" t="s">
        <v>92</v>
      </c>
      <c r="AT434" s="18" t="s">
        <v>95</v>
      </c>
      <c r="AU434" s="18" t="s">
        <v>95</v>
      </c>
      <c r="AV434" s="18" t="s">
        <v>7047</v>
      </c>
      <c r="AW434" s="18" t="s">
        <v>95</v>
      </c>
      <c r="AX434" s="18" t="s">
        <v>10806</v>
      </c>
      <c r="AY434" s="18" t="s">
        <v>95</v>
      </c>
      <c r="AZ434" s="18" t="s">
        <v>95</v>
      </c>
      <c r="BA434" s="18" t="s">
        <v>95</v>
      </c>
      <c r="BB434" s="18" t="s">
        <v>95</v>
      </c>
      <c r="BC434" s="18" t="s">
        <v>95</v>
      </c>
      <c r="BD434" s="18" t="s">
        <v>10829</v>
      </c>
      <c r="BE434" s="18" t="s">
        <v>11617</v>
      </c>
      <c r="BF434" s="18" t="s">
        <v>10809</v>
      </c>
      <c r="BG434" s="18" t="s">
        <v>7030</v>
      </c>
      <c r="BH434" s="18"/>
      <c r="BI434" s="18"/>
      <c r="BJ434" s="18" t="s">
        <v>651</v>
      </c>
      <c r="BK434" s="18" t="s">
        <v>14127</v>
      </c>
      <c r="BL434" s="18" t="s">
        <v>10811</v>
      </c>
      <c r="BM434" s="18" t="s">
        <v>92</v>
      </c>
      <c r="BN434" s="18" t="s">
        <v>85</v>
      </c>
      <c r="BO434" s="18">
        <v>0</v>
      </c>
      <c r="BP434" s="18" t="s">
        <v>10812</v>
      </c>
      <c r="BQ434" s="18" t="str">
        <f>VLOOKUP(Prepago[[#This Row],[NOM_PLAZA]],[1]!Locales[#Data],3,0)</f>
        <v>TIENDA MACHALA</v>
      </c>
      <c r="BR434" s="18" t="str">
        <f>VLOOKUP(Prepago[[#This Row],[CODIGO_USUARIO]],[1]!Personal[#Data],6,0)</f>
        <v>SANCHEZ SARITAMA JOEL LUIS</v>
      </c>
      <c r="BS434" s="18">
        <f>DAY(Prepago[[#This Row],[FECHA_ALTA]])</f>
        <v>15</v>
      </c>
    </row>
    <row r="435" spans="1:71" x14ac:dyDescent="0.25">
      <c r="A435" s="18" t="s">
        <v>96</v>
      </c>
      <c r="B435" s="18" t="s">
        <v>14128</v>
      </c>
      <c r="C435" s="18" t="s">
        <v>14129</v>
      </c>
      <c r="D435" s="18" t="s">
        <v>14130</v>
      </c>
      <c r="E435" s="22">
        <v>44897</v>
      </c>
      <c r="F435" s="18" t="s">
        <v>67</v>
      </c>
      <c r="G435" s="18" t="s">
        <v>14131</v>
      </c>
      <c r="H435" s="18" t="s">
        <v>14132</v>
      </c>
      <c r="I435" s="18" t="s">
        <v>70</v>
      </c>
      <c r="J435" s="18" t="s">
        <v>8102</v>
      </c>
      <c r="K435" s="18" t="s">
        <v>8103</v>
      </c>
      <c r="L435" s="18" t="s">
        <v>132</v>
      </c>
      <c r="M435" s="18" t="s">
        <v>7047</v>
      </c>
      <c r="N435" s="18" t="s">
        <v>14133</v>
      </c>
      <c r="O435" s="18" t="s">
        <v>75</v>
      </c>
      <c r="P435" s="18" t="s">
        <v>14134</v>
      </c>
      <c r="Q435" s="18" t="s">
        <v>10817</v>
      </c>
      <c r="R435" s="18" t="s">
        <v>78</v>
      </c>
      <c r="S435" s="18" t="s">
        <v>77</v>
      </c>
      <c r="T435" s="22">
        <v>44915</v>
      </c>
      <c r="U435" s="18"/>
      <c r="V435" s="18" t="s">
        <v>81</v>
      </c>
      <c r="W435" s="18" t="s">
        <v>79</v>
      </c>
      <c r="X435" s="18" t="s">
        <v>10803</v>
      </c>
      <c r="Y435" s="18" t="s">
        <v>352</v>
      </c>
      <c r="Z435" s="18" t="s">
        <v>353</v>
      </c>
      <c r="AA435" s="18" t="s">
        <v>352</v>
      </c>
      <c r="AB435" s="18" t="s">
        <v>353</v>
      </c>
      <c r="AC435" s="18" t="s">
        <v>7984</v>
      </c>
      <c r="AD435" s="18" t="s">
        <v>10804</v>
      </c>
      <c r="AE435" s="18" t="s">
        <v>117</v>
      </c>
      <c r="AF435" s="18" t="s">
        <v>95</v>
      </c>
      <c r="AG435" s="18" t="s">
        <v>83</v>
      </c>
      <c r="AH435" s="18" t="s">
        <v>83</v>
      </c>
      <c r="AI435" s="18" t="s">
        <v>81</v>
      </c>
      <c r="AJ435" s="18" t="s">
        <v>118</v>
      </c>
      <c r="AK435" s="18" t="s">
        <v>95</v>
      </c>
      <c r="AL435" s="18" t="s">
        <v>10764</v>
      </c>
      <c r="AM435" s="18" t="s">
        <v>85</v>
      </c>
      <c r="AN435" s="18" t="s">
        <v>7031</v>
      </c>
      <c r="AO435" s="18" t="s">
        <v>86</v>
      </c>
      <c r="AP435" s="18" t="s">
        <v>90</v>
      </c>
      <c r="AQ435" s="18" t="s">
        <v>8050</v>
      </c>
      <c r="AR435" s="18" t="s">
        <v>122</v>
      </c>
      <c r="AS435" s="18" t="s">
        <v>92</v>
      </c>
      <c r="AT435" s="18" t="s">
        <v>95</v>
      </c>
      <c r="AU435" s="18" t="s">
        <v>95</v>
      </c>
      <c r="AV435" s="18" t="s">
        <v>7047</v>
      </c>
      <c r="AW435" s="18" t="s">
        <v>95</v>
      </c>
      <c r="AX435" s="18" t="s">
        <v>10806</v>
      </c>
      <c r="AY435" s="18" t="s">
        <v>95</v>
      </c>
      <c r="AZ435" s="18" t="s">
        <v>95</v>
      </c>
      <c r="BA435" s="18" t="s">
        <v>95</v>
      </c>
      <c r="BB435" s="18" t="s">
        <v>95</v>
      </c>
      <c r="BC435" s="18" t="s">
        <v>95</v>
      </c>
      <c r="BD435" s="18" t="s">
        <v>10829</v>
      </c>
      <c r="BE435" s="18" t="s">
        <v>14135</v>
      </c>
      <c r="BF435" s="18" t="s">
        <v>7047</v>
      </c>
      <c r="BG435" s="18" t="s">
        <v>7030</v>
      </c>
      <c r="BH435" s="18"/>
      <c r="BI435" s="18"/>
      <c r="BJ435" s="18" t="s">
        <v>352</v>
      </c>
      <c r="BK435" s="18" t="s">
        <v>14136</v>
      </c>
      <c r="BL435" s="18" t="s">
        <v>10811</v>
      </c>
      <c r="BM435" s="18" t="s">
        <v>92</v>
      </c>
      <c r="BN435" s="18" t="s">
        <v>85</v>
      </c>
      <c r="BO435" s="18">
        <v>0</v>
      </c>
      <c r="BP435" s="18" t="s">
        <v>10812</v>
      </c>
      <c r="BQ435" s="18" t="str">
        <f>VLOOKUP(Prepago[[#This Row],[NOM_PLAZA]],[1]!Locales[#Data],3,0)</f>
        <v>TIENDA MACHALA</v>
      </c>
      <c r="BR435" s="18" t="str">
        <f>VLOOKUP(Prepago[[#This Row],[CODIGO_USUARIO]],[1]!Personal[#Data],6,0)</f>
        <v>TENORIO MARIA DEL PILAR</v>
      </c>
      <c r="BS435" s="18">
        <f>DAY(Prepago[[#This Row],[FECHA_ALTA]])</f>
        <v>2</v>
      </c>
    </row>
    <row r="436" spans="1:71" x14ac:dyDescent="0.25">
      <c r="A436" s="18" t="s">
        <v>96</v>
      </c>
      <c r="B436" s="18" t="s">
        <v>14137</v>
      </c>
      <c r="C436" s="18" t="s">
        <v>14138</v>
      </c>
      <c r="D436" s="18" t="s">
        <v>14139</v>
      </c>
      <c r="E436" s="22">
        <v>44897</v>
      </c>
      <c r="F436" s="18" t="s">
        <v>67</v>
      </c>
      <c r="G436" s="18" t="s">
        <v>14140</v>
      </c>
      <c r="H436" s="18" t="s">
        <v>14141</v>
      </c>
      <c r="I436" s="18" t="s">
        <v>70</v>
      </c>
      <c r="J436" s="18" t="s">
        <v>8102</v>
      </c>
      <c r="K436" s="18" t="s">
        <v>8103</v>
      </c>
      <c r="L436" s="18" t="s">
        <v>114</v>
      </c>
      <c r="M436" s="18" t="s">
        <v>7029</v>
      </c>
      <c r="N436" s="18" t="s">
        <v>14142</v>
      </c>
      <c r="O436" s="18" t="s">
        <v>75</v>
      </c>
      <c r="P436" s="18" t="s">
        <v>14143</v>
      </c>
      <c r="Q436" s="18" t="s">
        <v>10817</v>
      </c>
      <c r="R436" s="18" t="s">
        <v>78</v>
      </c>
      <c r="S436" s="18" t="s">
        <v>77</v>
      </c>
      <c r="T436" s="22">
        <v>44915</v>
      </c>
      <c r="U436" s="18"/>
      <c r="V436" s="18" t="s">
        <v>81</v>
      </c>
      <c r="W436" s="18" t="s">
        <v>79</v>
      </c>
      <c r="X436" s="18" t="s">
        <v>10803</v>
      </c>
      <c r="Y436" s="18" t="s">
        <v>651</v>
      </c>
      <c r="Z436" s="18" t="s">
        <v>652</v>
      </c>
      <c r="AA436" s="18" t="s">
        <v>7062</v>
      </c>
      <c r="AB436" s="18" t="s">
        <v>95</v>
      </c>
      <c r="AC436" s="18" t="s">
        <v>7984</v>
      </c>
      <c r="AD436" s="18" t="s">
        <v>10804</v>
      </c>
      <c r="AE436" s="18" t="s">
        <v>117</v>
      </c>
      <c r="AF436" s="18" t="s">
        <v>95</v>
      </c>
      <c r="AG436" s="18" t="s">
        <v>81</v>
      </c>
      <c r="AH436" s="18" t="s">
        <v>83</v>
      </c>
      <c r="AI436" s="18" t="s">
        <v>81</v>
      </c>
      <c r="AJ436" s="18" t="s">
        <v>118</v>
      </c>
      <c r="AK436" s="18" t="s">
        <v>95</v>
      </c>
      <c r="AL436" s="18" t="s">
        <v>14110</v>
      </c>
      <c r="AM436" s="18" t="s">
        <v>85</v>
      </c>
      <c r="AN436" s="18" t="s">
        <v>7031</v>
      </c>
      <c r="AO436" s="18" t="s">
        <v>86</v>
      </c>
      <c r="AP436" s="18" t="s">
        <v>90</v>
      </c>
      <c r="AQ436" s="18" t="s">
        <v>8050</v>
      </c>
      <c r="AR436" s="18" t="s">
        <v>122</v>
      </c>
      <c r="AS436" s="18" t="s">
        <v>92</v>
      </c>
      <c r="AT436" s="18" t="s">
        <v>95</v>
      </c>
      <c r="AU436" s="18" t="s">
        <v>95</v>
      </c>
      <c r="AV436" s="18" t="s">
        <v>7029</v>
      </c>
      <c r="AW436" s="18" t="s">
        <v>95</v>
      </c>
      <c r="AX436" s="18" t="s">
        <v>10806</v>
      </c>
      <c r="AY436" s="18" t="s">
        <v>82</v>
      </c>
      <c r="AZ436" s="18" t="s">
        <v>95</v>
      </c>
      <c r="BA436" s="18" t="s">
        <v>95</v>
      </c>
      <c r="BB436" s="18" t="s">
        <v>95</v>
      </c>
      <c r="BC436" s="18" t="s">
        <v>95</v>
      </c>
      <c r="BD436" s="18" t="s">
        <v>10829</v>
      </c>
      <c r="BE436" s="18" t="s">
        <v>14144</v>
      </c>
      <c r="BF436" s="18" t="s">
        <v>10809</v>
      </c>
      <c r="BG436" s="18" t="s">
        <v>7030</v>
      </c>
      <c r="BH436" s="18"/>
      <c r="BI436" s="18"/>
      <c r="BJ436" s="18" t="s">
        <v>651</v>
      </c>
      <c r="BK436" s="18" t="s">
        <v>14145</v>
      </c>
      <c r="BL436" s="18" t="s">
        <v>10811</v>
      </c>
      <c r="BM436" s="18" t="s">
        <v>92</v>
      </c>
      <c r="BN436" s="18" t="s">
        <v>85</v>
      </c>
      <c r="BO436" s="18">
        <v>1</v>
      </c>
      <c r="BP436" s="18" t="s">
        <v>10812</v>
      </c>
      <c r="BQ436" s="18" t="str">
        <f>VLOOKUP(Prepago[[#This Row],[NOM_PLAZA]],[1]!Locales[#Data],3,0)</f>
        <v>TIENDA MACHALA</v>
      </c>
      <c r="BR436" s="18" t="str">
        <f>VLOOKUP(Prepago[[#This Row],[CODIGO_USUARIO]],[1]!Personal[#Data],6,0)</f>
        <v>SANCHEZ SARITAMA JOEL LUIS</v>
      </c>
      <c r="BS436" s="18">
        <f>DAY(Prepago[[#This Row],[FECHA_ALTA]])</f>
        <v>2</v>
      </c>
    </row>
    <row r="437" spans="1:71" x14ac:dyDescent="0.25">
      <c r="A437" s="18" t="s">
        <v>96</v>
      </c>
      <c r="B437" s="18" t="s">
        <v>14146</v>
      </c>
      <c r="C437" s="18" t="s">
        <v>14147</v>
      </c>
      <c r="D437" s="18" t="s">
        <v>14148</v>
      </c>
      <c r="E437" s="22">
        <v>44907</v>
      </c>
      <c r="F437" s="18" t="s">
        <v>67</v>
      </c>
      <c r="G437" s="18" t="s">
        <v>14149</v>
      </c>
      <c r="H437" s="18" t="s">
        <v>14150</v>
      </c>
      <c r="I437" s="18" t="s">
        <v>70</v>
      </c>
      <c r="J437" s="18" t="s">
        <v>8102</v>
      </c>
      <c r="K437" s="18" t="s">
        <v>8103</v>
      </c>
      <c r="L437" s="18" t="s">
        <v>114</v>
      </c>
      <c r="M437" s="18" t="s">
        <v>7047</v>
      </c>
      <c r="N437" s="18" t="s">
        <v>14151</v>
      </c>
      <c r="O437" s="18" t="s">
        <v>75</v>
      </c>
      <c r="P437" s="18" t="s">
        <v>14152</v>
      </c>
      <c r="Q437" s="18" t="s">
        <v>10817</v>
      </c>
      <c r="R437" s="18" t="s">
        <v>78</v>
      </c>
      <c r="S437" s="18" t="s">
        <v>77</v>
      </c>
      <c r="T437" s="22">
        <v>44915</v>
      </c>
      <c r="U437" s="18"/>
      <c r="V437" s="18" t="s">
        <v>81</v>
      </c>
      <c r="W437" s="18" t="s">
        <v>79</v>
      </c>
      <c r="X437" s="18" t="s">
        <v>10803</v>
      </c>
      <c r="Y437" s="18" t="s">
        <v>651</v>
      </c>
      <c r="Z437" s="18" t="s">
        <v>652</v>
      </c>
      <c r="AA437" s="18" t="s">
        <v>651</v>
      </c>
      <c r="AB437" s="18" t="s">
        <v>652</v>
      </c>
      <c r="AC437" s="18" t="s">
        <v>7984</v>
      </c>
      <c r="AD437" s="18" t="s">
        <v>10804</v>
      </c>
      <c r="AE437" s="18" t="s">
        <v>117</v>
      </c>
      <c r="AF437" s="18" t="s">
        <v>95</v>
      </c>
      <c r="AG437" s="18" t="s">
        <v>83</v>
      </c>
      <c r="AH437" s="18" t="s">
        <v>83</v>
      </c>
      <c r="AI437" s="18" t="s">
        <v>81</v>
      </c>
      <c r="AJ437" s="18" t="s">
        <v>118</v>
      </c>
      <c r="AK437" s="18" t="s">
        <v>95</v>
      </c>
      <c r="AL437" s="18" t="s">
        <v>14110</v>
      </c>
      <c r="AM437" s="18" t="s">
        <v>85</v>
      </c>
      <c r="AN437" s="18" t="s">
        <v>7031</v>
      </c>
      <c r="AO437" s="18" t="s">
        <v>86</v>
      </c>
      <c r="AP437" s="18" t="s">
        <v>90</v>
      </c>
      <c r="AQ437" s="18" t="s">
        <v>8050</v>
      </c>
      <c r="AR437" s="18" t="s">
        <v>122</v>
      </c>
      <c r="AS437" s="18" t="s">
        <v>92</v>
      </c>
      <c r="AT437" s="18" t="s">
        <v>95</v>
      </c>
      <c r="AU437" s="18" t="s">
        <v>95</v>
      </c>
      <c r="AV437" s="18" t="s">
        <v>7047</v>
      </c>
      <c r="AW437" s="18" t="s">
        <v>95</v>
      </c>
      <c r="AX437" s="18" t="s">
        <v>10806</v>
      </c>
      <c r="AY437" s="18" t="s">
        <v>95</v>
      </c>
      <c r="AZ437" s="18" t="s">
        <v>95</v>
      </c>
      <c r="BA437" s="18" t="s">
        <v>95</v>
      </c>
      <c r="BB437" s="18" t="s">
        <v>95</v>
      </c>
      <c r="BC437" s="18" t="s">
        <v>95</v>
      </c>
      <c r="BD437" s="18" t="s">
        <v>10829</v>
      </c>
      <c r="BE437" s="18" t="s">
        <v>11617</v>
      </c>
      <c r="BF437" s="18" t="s">
        <v>10809</v>
      </c>
      <c r="BG437" s="18" t="s">
        <v>7030</v>
      </c>
      <c r="BH437" s="18"/>
      <c r="BI437" s="18"/>
      <c r="BJ437" s="18" t="s">
        <v>651</v>
      </c>
      <c r="BK437" s="18" t="s">
        <v>14153</v>
      </c>
      <c r="BL437" s="18" t="s">
        <v>10811</v>
      </c>
      <c r="BM437" s="18" t="s">
        <v>92</v>
      </c>
      <c r="BN437" s="18" t="s">
        <v>85</v>
      </c>
      <c r="BO437" s="18">
        <v>0</v>
      </c>
      <c r="BP437" s="18" t="s">
        <v>10812</v>
      </c>
      <c r="BQ437" s="18" t="str">
        <f>VLOOKUP(Prepago[[#This Row],[NOM_PLAZA]],[1]!Locales[#Data],3,0)</f>
        <v>TIENDA MACHALA</v>
      </c>
      <c r="BR437" s="18" t="str">
        <f>VLOOKUP(Prepago[[#This Row],[CODIGO_USUARIO]],[1]!Personal[#Data],6,0)</f>
        <v>SANCHEZ SARITAMA JOEL LUIS</v>
      </c>
      <c r="BS437" s="18">
        <f>DAY(Prepago[[#This Row],[FECHA_ALTA]])</f>
        <v>12</v>
      </c>
    </row>
    <row r="438" spans="1:71" x14ac:dyDescent="0.25">
      <c r="A438" s="18" t="s">
        <v>96</v>
      </c>
      <c r="B438" s="18" t="s">
        <v>14154</v>
      </c>
      <c r="C438" s="18" t="s">
        <v>14155</v>
      </c>
      <c r="D438" s="18" t="s">
        <v>14156</v>
      </c>
      <c r="E438" s="22">
        <v>44898</v>
      </c>
      <c r="F438" s="18" t="s">
        <v>67</v>
      </c>
      <c r="G438" s="18" t="s">
        <v>14157</v>
      </c>
      <c r="H438" s="18" t="s">
        <v>14158</v>
      </c>
      <c r="I438" s="18" t="s">
        <v>70</v>
      </c>
      <c r="J438" s="18" t="s">
        <v>8102</v>
      </c>
      <c r="K438" s="18" t="s">
        <v>8103</v>
      </c>
      <c r="L438" s="18" t="s">
        <v>132</v>
      </c>
      <c r="M438" s="18" t="s">
        <v>7047</v>
      </c>
      <c r="N438" s="18" t="s">
        <v>14159</v>
      </c>
      <c r="O438" s="18" t="s">
        <v>75</v>
      </c>
      <c r="P438" s="18" t="s">
        <v>14160</v>
      </c>
      <c r="Q438" s="18" t="s">
        <v>4453</v>
      </c>
      <c r="R438" s="18" t="s">
        <v>78</v>
      </c>
      <c r="S438" s="18" t="s">
        <v>77</v>
      </c>
      <c r="T438" s="22">
        <v>44915</v>
      </c>
      <c r="U438" s="18"/>
      <c r="V438" s="18" t="s">
        <v>81</v>
      </c>
      <c r="W438" s="18" t="s">
        <v>79</v>
      </c>
      <c r="X438" s="18" t="s">
        <v>10803</v>
      </c>
      <c r="Y438" s="18" t="s">
        <v>120</v>
      </c>
      <c r="Z438" s="18" t="s">
        <v>121</v>
      </c>
      <c r="AA438" s="18" t="s">
        <v>120</v>
      </c>
      <c r="AB438" s="18" t="s">
        <v>121</v>
      </c>
      <c r="AC438" s="18" t="s">
        <v>7984</v>
      </c>
      <c r="AD438" s="18" t="s">
        <v>10804</v>
      </c>
      <c r="AE438" s="18" t="s">
        <v>117</v>
      </c>
      <c r="AF438" s="18" t="s">
        <v>95</v>
      </c>
      <c r="AG438" s="18" t="s">
        <v>83</v>
      </c>
      <c r="AH438" s="18" t="s">
        <v>83</v>
      </c>
      <c r="AI438" s="18" t="s">
        <v>81</v>
      </c>
      <c r="AJ438" s="18" t="s">
        <v>118</v>
      </c>
      <c r="AK438" s="18" t="s">
        <v>95</v>
      </c>
      <c r="AL438" s="18" t="s">
        <v>5819</v>
      </c>
      <c r="AM438" s="18" t="s">
        <v>85</v>
      </c>
      <c r="AN438" s="18" t="s">
        <v>7031</v>
      </c>
      <c r="AO438" s="18" t="s">
        <v>86</v>
      </c>
      <c r="AP438" s="18" t="s">
        <v>90</v>
      </c>
      <c r="AQ438" s="18" t="s">
        <v>8050</v>
      </c>
      <c r="AR438" s="18" t="s">
        <v>122</v>
      </c>
      <c r="AS438" s="18" t="s">
        <v>92</v>
      </c>
      <c r="AT438" s="18" t="s">
        <v>95</v>
      </c>
      <c r="AU438" s="18" t="s">
        <v>95</v>
      </c>
      <c r="AV438" s="18" t="s">
        <v>7047</v>
      </c>
      <c r="AW438" s="18" t="s">
        <v>95</v>
      </c>
      <c r="AX438" s="18" t="s">
        <v>10806</v>
      </c>
      <c r="AY438" s="18" t="s">
        <v>95</v>
      </c>
      <c r="AZ438" s="18" t="s">
        <v>95</v>
      </c>
      <c r="BA438" s="18" t="s">
        <v>95</v>
      </c>
      <c r="BB438" s="18" t="s">
        <v>95</v>
      </c>
      <c r="BC438" s="18" t="s">
        <v>95</v>
      </c>
      <c r="BD438" s="18" t="s">
        <v>10807</v>
      </c>
      <c r="BE438" s="18" t="s">
        <v>10808</v>
      </c>
      <c r="BF438" s="18" t="s">
        <v>10809</v>
      </c>
      <c r="BG438" s="18" t="s">
        <v>7030</v>
      </c>
      <c r="BH438" s="18"/>
      <c r="BI438" s="18"/>
      <c r="BJ438" s="18" t="s">
        <v>120</v>
      </c>
      <c r="BK438" s="18" t="s">
        <v>14161</v>
      </c>
      <c r="BL438" s="18" t="s">
        <v>10811</v>
      </c>
      <c r="BM438" s="18" t="s">
        <v>92</v>
      </c>
      <c r="BN438" s="18" t="s">
        <v>85</v>
      </c>
      <c r="BO438" s="18">
        <v>0</v>
      </c>
      <c r="BP438" s="18" t="s">
        <v>10812</v>
      </c>
      <c r="BQ438" s="18" t="str">
        <f>VLOOKUP(Prepago[[#This Row],[NOM_PLAZA]],[1]!Locales[#Data],3,0)</f>
        <v>TIENDA MACHALA</v>
      </c>
      <c r="BR438" s="18" t="str">
        <f>VLOOKUP(Prepago[[#This Row],[CODIGO_USUARIO]],[1]!Personal[#Data],6,0)</f>
        <v>ARROBO VICENTE YADIRA ESPERANZA</v>
      </c>
      <c r="BS438" s="18">
        <f>DAY(Prepago[[#This Row],[FECHA_ALTA]])</f>
        <v>3</v>
      </c>
    </row>
    <row r="439" spans="1:71" x14ac:dyDescent="0.25">
      <c r="A439" s="18" t="s">
        <v>96</v>
      </c>
      <c r="B439" s="18" t="s">
        <v>14162</v>
      </c>
      <c r="C439" s="18" t="s">
        <v>14163</v>
      </c>
      <c r="D439" s="18" t="s">
        <v>14164</v>
      </c>
      <c r="E439" s="22">
        <v>44914</v>
      </c>
      <c r="F439" s="18" t="s">
        <v>67</v>
      </c>
      <c r="G439" s="18" t="s">
        <v>14165</v>
      </c>
      <c r="H439" s="18" t="s">
        <v>14166</v>
      </c>
      <c r="I439" s="18" t="s">
        <v>70</v>
      </c>
      <c r="J439" s="18" t="s">
        <v>8102</v>
      </c>
      <c r="K439" s="18" t="s">
        <v>8103</v>
      </c>
      <c r="L439" s="18" t="s">
        <v>73</v>
      </c>
      <c r="M439" s="18" t="s">
        <v>7029</v>
      </c>
      <c r="N439" s="18" t="s">
        <v>14167</v>
      </c>
      <c r="O439" s="18" t="s">
        <v>75</v>
      </c>
      <c r="P439" s="18" t="s">
        <v>14168</v>
      </c>
      <c r="Q439" s="18" t="s">
        <v>1532</v>
      </c>
      <c r="R439" s="18" t="s">
        <v>78</v>
      </c>
      <c r="S439" s="18" t="s">
        <v>77</v>
      </c>
      <c r="T439" s="22">
        <v>44915</v>
      </c>
      <c r="U439" s="18"/>
      <c r="V439" s="18" t="s">
        <v>81</v>
      </c>
      <c r="W439" s="18" t="s">
        <v>79</v>
      </c>
      <c r="X439" s="18" t="s">
        <v>10803</v>
      </c>
      <c r="Y439" s="18" t="s">
        <v>651</v>
      </c>
      <c r="Z439" s="18" t="s">
        <v>652</v>
      </c>
      <c r="AA439" s="18" t="s">
        <v>7062</v>
      </c>
      <c r="AB439" s="18" t="s">
        <v>95</v>
      </c>
      <c r="AC439" s="18" t="s">
        <v>7984</v>
      </c>
      <c r="AD439" s="18" t="s">
        <v>10804</v>
      </c>
      <c r="AE439" s="18" t="s">
        <v>117</v>
      </c>
      <c r="AF439" s="18" t="s">
        <v>95</v>
      </c>
      <c r="AG439" s="18" t="s">
        <v>83</v>
      </c>
      <c r="AH439" s="18" t="s">
        <v>83</v>
      </c>
      <c r="AI439" s="18" t="s">
        <v>81</v>
      </c>
      <c r="AJ439" s="18" t="s">
        <v>118</v>
      </c>
      <c r="AK439" s="18" t="s">
        <v>95</v>
      </c>
      <c r="AL439" s="18" t="s">
        <v>14110</v>
      </c>
      <c r="AM439" s="18" t="s">
        <v>85</v>
      </c>
      <c r="AN439" s="18" t="s">
        <v>7031</v>
      </c>
      <c r="AO439" s="18" t="s">
        <v>86</v>
      </c>
      <c r="AP439" s="18" t="s">
        <v>90</v>
      </c>
      <c r="AQ439" s="18" t="s">
        <v>8050</v>
      </c>
      <c r="AR439" s="18" t="s">
        <v>122</v>
      </c>
      <c r="AS439" s="18" t="s">
        <v>92</v>
      </c>
      <c r="AT439" s="18" t="s">
        <v>95</v>
      </c>
      <c r="AU439" s="18" t="s">
        <v>95</v>
      </c>
      <c r="AV439" s="18" t="s">
        <v>7029</v>
      </c>
      <c r="AW439" s="18" t="s">
        <v>95</v>
      </c>
      <c r="AX439" s="18" t="s">
        <v>10806</v>
      </c>
      <c r="AY439" s="18" t="s">
        <v>95</v>
      </c>
      <c r="AZ439" s="18" t="s">
        <v>95</v>
      </c>
      <c r="BA439" s="18" t="s">
        <v>95</v>
      </c>
      <c r="BB439" s="18" t="s">
        <v>95</v>
      </c>
      <c r="BC439" s="18" t="s">
        <v>95</v>
      </c>
      <c r="BD439" s="18" t="s">
        <v>10829</v>
      </c>
      <c r="BE439" s="18" t="s">
        <v>10808</v>
      </c>
      <c r="BF439" s="18" t="s">
        <v>10809</v>
      </c>
      <c r="BG439" s="18" t="s">
        <v>7030</v>
      </c>
      <c r="BH439" s="18"/>
      <c r="BI439" s="18"/>
      <c r="BJ439" s="18" t="s">
        <v>651</v>
      </c>
      <c r="BK439" s="18" t="s">
        <v>14169</v>
      </c>
      <c r="BL439" s="18" t="s">
        <v>10811</v>
      </c>
      <c r="BM439" s="18" t="s">
        <v>92</v>
      </c>
      <c r="BN439" s="18" t="s">
        <v>85</v>
      </c>
      <c r="BO439" s="18">
        <v>0</v>
      </c>
      <c r="BP439" s="18" t="s">
        <v>10812</v>
      </c>
      <c r="BQ439" s="18" t="str">
        <f>VLOOKUP(Prepago[[#This Row],[NOM_PLAZA]],[1]!Locales[#Data],3,0)</f>
        <v>TIENDA MACHALA</v>
      </c>
      <c r="BR439" s="18" t="str">
        <f>VLOOKUP(Prepago[[#This Row],[CODIGO_USUARIO]],[1]!Personal[#Data],6,0)</f>
        <v>SANCHEZ SARITAMA JOEL LUIS</v>
      </c>
      <c r="BS439" s="18">
        <f>DAY(Prepago[[#This Row],[FECHA_ALTA]])</f>
        <v>19</v>
      </c>
    </row>
    <row r="440" spans="1:71" x14ac:dyDescent="0.25">
      <c r="A440" s="18" t="s">
        <v>96</v>
      </c>
      <c r="B440" s="18" t="s">
        <v>14170</v>
      </c>
      <c r="C440" s="18" t="s">
        <v>14171</v>
      </c>
      <c r="D440" s="18" t="s">
        <v>14172</v>
      </c>
      <c r="E440" s="22">
        <v>44910</v>
      </c>
      <c r="F440" s="18" t="s">
        <v>67</v>
      </c>
      <c r="G440" s="18" t="s">
        <v>14173</v>
      </c>
      <c r="H440" s="18" t="s">
        <v>14174</v>
      </c>
      <c r="I440" s="18" t="s">
        <v>70</v>
      </c>
      <c r="J440" s="18" t="s">
        <v>8102</v>
      </c>
      <c r="K440" s="18" t="s">
        <v>8103</v>
      </c>
      <c r="L440" s="18" t="s">
        <v>114</v>
      </c>
      <c r="M440" s="18" t="s">
        <v>7047</v>
      </c>
      <c r="N440" s="18" t="s">
        <v>14175</v>
      </c>
      <c r="O440" s="18" t="s">
        <v>75</v>
      </c>
      <c r="P440" s="18" t="s">
        <v>14176</v>
      </c>
      <c r="Q440" s="18" t="s">
        <v>10817</v>
      </c>
      <c r="R440" s="18" t="s">
        <v>78</v>
      </c>
      <c r="S440" s="18" t="s">
        <v>77</v>
      </c>
      <c r="T440" s="22">
        <v>44915</v>
      </c>
      <c r="U440" s="18"/>
      <c r="V440" s="18" t="s">
        <v>81</v>
      </c>
      <c r="W440" s="18" t="s">
        <v>79</v>
      </c>
      <c r="X440" s="18" t="s">
        <v>10803</v>
      </c>
      <c r="Y440" s="18" t="s">
        <v>1043</v>
      </c>
      <c r="Z440" s="18" t="s">
        <v>1044</v>
      </c>
      <c r="AA440" s="18" t="s">
        <v>7062</v>
      </c>
      <c r="AB440" s="18" t="s">
        <v>95</v>
      </c>
      <c r="AC440" s="18" t="s">
        <v>7984</v>
      </c>
      <c r="AD440" s="18" t="s">
        <v>10804</v>
      </c>
      <c r="AE440" s="18" t="s">
        <v>117</v>
      </c>
      <c r="AF440" s="18" t="s">
        <v>95</v>
      </c>
      <c r="AG440" s="18" t="s">
        <v>83</v>
      </c>
      <c r="AH440" s="18" t="s">
        <v>83</v>
      </c>
      <c r="AI440" s="18" t="s">
        <v>81</v>
      </c>
      <c r="AJ440" s="18" t="s">
        <v>118</v>
      </c>
      <c r="AK440" s="18" t="s">
        <v>95</v>
      </c>
      <c r="AL440" s="18" t="s">
        <v>14177</v>
      </c>
      <c r="AM440" s="18" t="s">
        <v>85</v>
      </c>
      <c r="AN440" s="18" t="s">
        <v>7031</v>
      </c>
      <c r="AO440" s="18" t="s">
        <v>86</v>
      </c>
      <c r="AP440" s="18" t="s">
        <v>90</v>
      </c>
      <c r="AQ440" s="18" t="s">
        <v>8050</v>
      </c>
      <c r="AR440" s="18" t="s">
        <v>122</v>
      </c>
      <c r="AS440" s="18" t="s">
        <v>92</v>
      </c>
      <c r="AT440" s="18" t="s">
        <v>95</v>
      </c>
      <c r="AU440" s="18" t="s">
        <v>95</v>
      </c>
      <c r="AV440" s="18" t="s">
        <v>7047</v>
      </c>
      <c r="AW440" s="18" t="s">
        <v>95</v>
      </c>
      <c r="AX440" s="18" t="s">
        <v>10806</v>
      </c>
      <c r="AY440" s="18" t="s">
        <v>95</v>
      </c>
      <c r="AZ440" s="18" t="s">
        <v>95</v>
      </c>
      <c r="BA440" s="18" t="s">
        <v>95</v>
      </c>
      <c r="BB440" s="18" t="s">
        <v>95</v>
      </c>
      <c r="BC440" s="18" t="s">
        <v>95</v>
      </c>
      <c r="BD440" s="18" t="s">
        <v>10829</v>
      </c>
      <c r="BE440" s="18" t="s">
        <v>14178</v>
      </c>
      <c r="BF440" s="18" t="s">
        <v>10809</v>
      </c>
      <c r="BG440" s="18" t="s">
        <v>7030</v>
      </c>
      <c r="BH440" s="18"/>
      <c r="BI440" s="18"/>
      <c r="BJ440" s="18" t="s">
        <v>1043</v>
      </c>
      <c r="BK440" s="18" t="s">
        <v>14179</v>
      </c>
      <c r="BL440" s="18" t="s">
        <v>10811</v>
      </c>
      <c r="BM440" s="18" t="s">
        <v>92</v>
      </c>
      <c r="BN440" s="18" t="s">
        <v>85</v>
      </c>
      <c r="BO440" s="18">
        <v>1</v>
      </c>
      <c r="BP440" s="18" t="s">
        <v>10812</v>
      </c>
      <c r="BQ440" s="18" t="str">
        <f>VLOOKUP(Prepago[[#This Row],[NOM_PLAZA]],[1]!Locales[#Data],3,0)</f>
        <v>TIENDA MACHALA</v>
      </c>
      <c r="BR440" s="18" t="str">
        <f>VLOOKUP(Prepago[[#This Row],[CODIGO_USUARIO]],[1]!Personal[#Data],6,0)</f>
        <v>GONZAGA YUPANGUI LIZBETH KATHERINE</v>
      </c>
      <c r="BS440" s="18">
        <f>DAY(Prepago[[#This Row],[FECHA_ALTA]])</f>
        <v>15</v>
      </c>
    </row>
    <row r="441" spans="1:71" x14ac:dyDescent="0.25">
      <c r="A441" s="18" t="s">
        <v>96</v>
      </c>
      <c r="B441" s="18" t="s">
        <v>8627</v>
      </c>
      <c r="C441" s="18" t="s">
        <v>8633</v>
      </c>
      <c r="D441" s="18" t="s">
        <v>8629</v>
      </c>
      <c r="E441" s="22">
        <v>44900</v>
      </c>
      <c r="F441" s="18" t="s">
        <v>67</v>
      </c>
      <c r="G441" s="18" t="s">
        <v>8630</v>
      </c>
      <c r="H441" s="18" t="s">
        <v>8631</v>
      </c>
      <c r="I441" s="18" t="s">
        <v>70</v>
      </c>
      <c r="J441" s="18" t="s">
        <v>8102</v>
      </c>
      <c r="K441" s="18" t="s">
        <v>8103</v>
      </c>
      <c r="L441" s="18" t="s">
        <v>13557</v>
      </c>
      <c r="M441" s="18" t="s">
        <v>7047</v>
      </c>
      <c r="N441" s="18" t="s">
        <v>8632</v>
      </c>
      <c r="O441" s="18" t="s">
        <v>287</v>
      </c>
      <c r="P441" s="18" t="s">
        <v>14180</v>
      </c>
      <c r="Q441" s="18" t="s">
        <v>10817</v>
      </c>
      <c r="R441" s="18" t="s">
        <v>78</v>
      </c>
      <c r="S441" s="18" t="s">
        <v>77</v>
      </c>
      <c r="T441" s="22">
        <v>44915</v>
      </c>
      <c r="U441" s="18"/>
      <c r="V441" s="18" t="s">
        <v>81</v>
      </c>
      <c r="W441" s="18" t="s">
        <v>79</v>
      </c>
      <c r="X441" s="18" t="s">
        <v>10803</v>
      </c>
      <c r="Y441" s="18" t="s">
        <v>1043</v>
      </c>
      <c r="Z441" s="18" t="s">
        <v>1044</v>
      </c>
      <c r="AA441" s="18" t="s">
        <v>7062</v>
      </c>
      <c r="AB441" s="18" t="s">
        <v>95</v>
      </c>
      <c r="AC441" s="18" t="s">
        <v>7984</v>
      </c>
      <c r="AD441" s="18" t="s">
        <v>10804</v>
      </c>
      <c r="AE441" s="18" t="s">
        <v>117</v>
      </c>
      <c r="AF441" s="18" t="s">
        <v>95</v>
      </c>
      <c r="AG441" s="18" t="s">
        <v>83</v>
      </c>
      <c r="AH441" s="18" t="s">
        <v>83</v>
      </c>
      <c r="AI441" s="18" t="s">
        <v>81</v>
      </c>
      <c r="AJ441" s="18" t="s">
        <v>118</v>
      </c>
      <c r="AK441" s="18" t="s">
        <v>95</v>
      </c>
      <c r="AL441" s="18" t="s">
        <v>14177</v>
      </c>
      <c r="AM441" s="18" t="s">
        <v>85</v>
      </c>
      <c r="AN441" s="18" t="s">
        <v>7031</v>
      </c>
      <c r="AO441" s="18" t="s">
        <v>86</v>
      </c>
      <c r="AP441" s="18" t="s">
        <v>90</v>
      </c>
      <c r="AQ441" s="18" t="s">
        <v>8050</v>
      </c>
      <c r="AR441" s="18" t="s">
        <v>122</v>
      </c>
      <c r="AS441" s="18" t="s">
        <v>92</v>
      </c>
      <c r="AT441" s="18" t="s">
        <v>95</v>
      </c>
      <c r="AU441" s="18" t="s">
        <v>95</v>
      </c>
      <c r="AV441" s="18" t="s">
        <v>7047</v>
      </c>
      <c r="AW441" s="18" t="s">
        <v>95</v>
      </c>
      <c r="AX441" s="18" t="s">
        <v>10806</v>
      </c>
      <c r="AY441" s="18" t="s">
        <v>95</v>
      </c>
      <c r="AZ441" s="18" t="s">
        <v>95</v>
      </c>
      <c r="BA441" s="18" t="s">
        <v>95</v>
      </c>
      <c r="BB441" s="18" t="s">
        <v>95</v>
      </c>
      <c r="BC441" s="18" t="s">
        <v>95</v>
      </c>
      <c r="BD441" s="18" t="s">
        <v>10829</v>
      </c>
      <c r="BE441" s="18" t="s">
        <v>14181</v>
      </c>
      <c r="BF441" s="18" t="s">
        <v>10809</v>
      </c>
      <c r="BG441" s="18" t="s">
        <v>7030</v>
      </c>
      <c r="BH441" s="18"/>
      <c r="BI441" s="18"/>
      <c r="BJ441" s="18" t="s">
        <v>1043</v>
      </c>
      <c r="BK441" s="18" t="s">
        <v>14182</v>
      </c>
      <c r="BL441" s="18" t="s">
        <v>10811</v>
      </c>
      <c r="BM441" s="18" t="s">
        <v>92</v>
      </c>
      <c r="BN441" s="18" t="s">
        <v>85</v>
      </c>
      <c r="BO441" s="18">
        <v>1</v>
      </c>
      <c r="BP441" s="18" t="s">
        <v>10812</v>
      </c>
      <c r="BQ441" s="18" t="str">
        <f>VLOOKUP(Prepago[[#This Row],[NOM_PLAZA]],[1]!Locales[#Data],3,0)</f>
        <v>TIENDA MACHALA</v>
      </c>
      <c r="BR441" s="18" t="str">
        <f>VLOOKUP(Prepago[[#This Row],[CODIGO_USUARIO]],[1]!Personal[#Data],6,0)</f>
        <v>GONZAGA YUPANGUI LIZBETH KATHERINE</v>
      </c>
      <c r="BS441" s="18">
        <f>DAY(Prepago[[#This Row],[FECHA_ALTA]])</f>
        <v>5</v>
      </c>
    </row>
    <row r="442" spans="1:71" x14ac:dyDescent="0.25">
      <c r="A442" s="18" t="s">
        <v>96</v>
      </c>
      <c r="B442" s="18" t="s">
        <v>14183</v>
      </c>
      <c r="C442" s="18" t="s">
        <v>14184</v>
      </c>
      <c r="D442" s="18" t="s">
        <v>14185</v>
      </c>
      <c r="E442" s="22">
        <v>44896</v>
      </c>
      <c r="F442" s="18" t="s">
        <v>67</v>
      </c>
      <c r="G442" s="18" t="s">
        <v>14186</v>
      </c>
      <c r="H442" s="18" t="s">
        <v>14187</v>
      </c>
      <c r="I442" s="18" t="s">
        <v>70</v>
      </c>
      <c r="J442" s="18" t="s">
        <v>8102</v>
      </c>
      <c r="K442" s="18" t="s">
        <v>8103</v>
      </c>
      <c r="L442" s="18" t="s">
        <v>114</v>
      </c>
      <c r="M442" s="18" t="s">
        <v>7047</v>
      </c>
      <c r="N442" s="18" t="s">
        <v>14188</v>
      </c>
      <c r="O442" s="18" t="s">
        <v>75</v>
      </c>
      <c r="P442" s="18" t="s">
        <v>14189</v>
      </c>
      <c r="Q442" s="18" t="s">
        <v>4453</v>
      </c>
      <c r="R442" s="18" t="s">
        <v>78</v>
      </c>
      <c r="S442" s="18" t="s">
        <v>77</v>
      </c>
      <c r="T442" s="22">
        <v>44915</v>
      </c>
      <c r="U442" s="18"/>
      <c r="V442" s="18" t="s">
        <v>81</v>
      </c>
      <c r="W442" s="18" t="s">
        <v>79</v>
      </c>
      <c r="X442" s="18" t="s">
        <v>10803</v>
      </c>
      <c r="Y442" s="18" t="s">
        <v>120</v>
      </c>
      <c r="Z442" s="18" t="s">
        <v>121</v>
      </c>
      <c r="AA442" s="18" t="s">
        <v>120</v>
      </c>
      <c r="AB442" s="18" t="s">
        <v>121</v>
      </c>
      <c r="AC442" s="18" t="s">
        <v>7984</v>
      </c>
      <c r="AD442" s="18" t="s">
        <v>10804</v>
      </c>
      <c r="AE442" s="18" t="s">
        <v>117</v>
      </c>
      <c r="AF442" s="18" t="s">
        <v>95</v>
      </c>
      <c r="AG442" s="18" t="s">
        <v>83</v>
      </c>
      <c r="AH442" s="18" t="s">
        <v>83</v>
      </c>
      <c r="AI442" s="18" t="s">
        <v>81</v>
      </c>
      <c r="AJ442" s="18" t="s">
        <v>118</v>
      </c>
      <c r="AK442" s="18" t="s">
        <v>95</v>
      </c>
      <c r="AL442" s="18" t="s">
        <v>5819</v>
      </c>
      <c r="AM442" s="18" t="s">
        <v>85</v>
      </c>
      <c r="AN442" s="18" t="s">
        <v>7031</v>
      </c>
      <c r="AO442" s="18" t="s">
        <v>86</v>
      </c>
      <c r="AP442" s="18" t="s">
        <v>90</v>
      </c>
      <c r="AQ442" s="18" t="s">
        <v>8050</v>
      </c>
      <c r="AR442" s="18" t="s">
        <v>122</v>
      </c>
      <c r="AS442" s="18" t="s">
        <v>92</v>
      </c>
      <c r="AT442" s="18" t="s">
        <v>95</v>
      </c>
      <c r="AU442" s="18" t="s">
        <v>95</v>
      </c>
      <c r="AV442" s="18" t="s">
        <v>7047</v>
      </c>
      <c r="AW442" s="18" t="s">
        <v>95</v>
      </c>
      <c r="AX442" s="18" t="s">
        <v>10806</v>
      </c>
      <c r="AY442" s="18" t="s">
        <v>95</v>
      </c>
      <c r="AZ442" s="18" t="s">
        <v>95</v>
      </c>
      <c r="BA442" s="18" t="s">
        <v>95</v>
      </c>
      <c r="BB442" s="18" t="s">
        <v>95</v>
      </c>
      <c r="BC442" s="18" t="s">
        <v>95</v>
      </c>
      <c r="BD442" s="18" t="s">
        <v>10807</v>
      </c>
      <c r="BE442" s="18" t="s">
        <v>14190</v>
      </c>
      <c r="BF442" s="18" t="s">
        <v>10809</v>
      </c>
      <c r="BG442" s="18" t="s">
        <v>7030</v>
      </c>
      <c r="BH442" s="18"/>
      <c r="BI442" s="18"/>
      <c r="BJ442" s="18" t="s">
        <v>120</v>
      </c>
      <c r="BK442" s="18" t="s">
        <v>14191</v>
      </c>
      <c r="BL442" s="18" t="s">
        <v>10811</v>
      </c>
      <c r="BM442" s="18" t="s">
        <v>92</v>
      </c>
      <c r="BN442" s="18" t="s">
        <v>85</v>
      </c>
      <c r="BO442" s="18">
        <v>0</v>
      </c>
      <c r="BP442" s="18" t="s">
        <v>10812</v>
      </c>
      <c r="BQ442" s="18" t="str">
        <f>VLOOKUP(Prepago[[#This Row],[NOM_PLAZA]],[1]!Locales[#Data],3,0)</f>
        <v>TIENDA MACHALA</v>
      </c>
      <c r="BR442" s="18" t="str">
        <f>VLOOKUP(Prepago[[#This Row],[CODIGO_USUARIO]],[1]!Personal[#Data],6,0)</f>
        <v>ARROBO VICENTE YADIRA ESPERANZA</v>
      </c>
      <c r="BS442" s="18">
        <f>DAY(Prepago[[#This Row],[FECHA_ALTA]])</f>
        <v>1</v>
      </c>
    </row>
    <row r="443" spans="1:71" x14ac:dyDescent="0.25">
      <c r="A443" s="18" t="s">
        <v>96</v>
      </c>
      <c r="B443" s="18" t="s">
        <v>14192</v>
      </c>
      <c r="C443" s="18" t="s">
        <v>14193</v>
      </c>
      <c r="D443" s="18" t="s">
        <v>14194</v>
      </c>
      <c r="E443" s="22">
        <v>44904</v>
      </c>
      <c r="F443" s="18" t="s">
        <v>67</v>
      </c>
      <c r="G443" s="18" t="s">
        <v>14195</v>
      </c>
      <c r="H443" s="18" t="s">
        <v>14196</v>
      </c>
      <c r="I443" s="18" t="s">
        <v>70</v>
      </c>
      <c r="J443" s="18" t="s">
        <v>8102</v>
      </c>
      <c r="K443" s="18" t="s">
        <v>8103</v>
      </c>
      <c r="L443" s="18" t="s">
        <v>349</v>
      </c>
      <c r="M443" s="18" t="s">
        <v>7047</v>
      </c>
      <c r="N443" s="18" t="s">
        <v>14197</v>
      </c>
      <c r="O443" s="18" t="s">
        <v>75</v>
      </c>
      <c r="P443" s="18" t="s">
        <v>14198</v>
      </c>
      <c r="Q443" s="18" t="s">
        <v>10817</v>
      </c>
      <c r="R443" s="18" t="s">
        <v>78</v>
      </c>
      <c r="S443" s="18" t="s">
        <v>77</v>
      </c>
      <c r="T443" s="22">
        <v>44915</v>
      </c>
      <c r="U443" s="18"/>
      <c r="V443" s="18" t="s">
        <v>81</v>
      </c>
      <c r="W443" s="18" t="s">
        <v>79</v>
      </c>
      <c r="X443" s="18" t="s">
        <v>10803</v>
      </c>
      <c r="Y443" s="18" t="s">
        <v>352</v>
      </c>
      <c r="Z443" s="18" t="s">
        <v>353</v>
      </c>
      <c r="AA443" s="18" t="s">
        <v>352</v>
      </c>
      <c r="AB443" s="18" t="s">
        <v>353</v>
      </c>
      <c r="AC443" s="18" t="s">
        <v>7984</v>
      </c>
      <c r="AD443" s="18" t="s">
        <v>10804</v>
      </c>
      <c r="AE443" s="18" t="s">
        <v>117</v>
      </c>
      <c r="AF443" s="18" t="s">
        <v>95</v>
      </c>
      <c r="AG443" s="18" t="s">
        <v>83</v>
      </c>
      <c r="AH443" s="18" t="s">
        <v>83</v>
      </c>
      <c r="AI443" s="18" t="s">
        <v>81</v>
      </c>
      <c r="AJ443" s="18" t="s">
        <v>118</v>
      </c>
      <c r="AK443" s="18" t="s">
        <v>95</v>
      </c>
      <c r="AL443" s="18" t="s">
        <v>10764</v>
      </c>
      <c r="AM443" s="18" t="s">
        <v>85</v>
      </c>
      <c r="AN443" s="18" t="s">
        <v>7031</v>
      </c>
      <c r="AO443" s="18" t="s">
        <v>86</v>
      </c>
      <c r="AP443" s="18" t="s">
        <v>90</v>
      </c>
      <c r="AQ443" s="18" t="s">
        <v>8050</v>
      </c>
      <c r="AR443" s="18" t="s">
        <v>122</v>
      </c>
      <c r="AS443" s="18" t="s">
        <v>92</v>
      </c>
      <c r="AT443" s="18" t="s">
        <v>95</v>
      </c>
      <c r="AU443" s="18" t="s">
        <v>95</v>
      </c>
      <c r="AV443" s="18" t="s">
        <v>7047</v>
      </c>
      <c r="AW443" s="18" t="s">
        <v>95</v>
      </c>
      <c r="AX443" s="18" t="s">
        <v>10806</v>
      </c>
      <c r="AY443" s="18" t="s">
        <v>95</v>
      </c>
      <c r="AZ443" s="18" t="s">
        <v>95</v>
      </c>
      <c r="BA443" s="18" t="s">
        <v>95</v>
      </c>
      <c r="BB443" s="18" t="s">
        <v>95</v>
      </c>
      <c r="BC443" s="18" t="s">
        <v>95</v>
      </c>
      <c r="BD443" s="18" t="s">
        <v>10829</v>
      </c>
      <c r="BE443" s="18" t="s">
        <v>14199</v>
      </c>
      <c r="BF443" s="18" t="s">
        <v>10809</v>
      </c>
      <c r="BG443" s="18" t="s">
        <v>7030</v>
      </c>
      <c r="BH443" s="18"/>
      <c r="BI443" s="18"/>
      <c r="BJ443" s="18" t="s">
        <v>352</v>
      </c>
      <c r="BK443" s="18" t="s">
        <v>14200</v>
      </c>
      <c r="BL443" s="18" t="s">
        <v>10811</v>
      </c>
      <c r="BM443" s="18" t="s">
        <v>92</v>
      </c>
      <c r="BN443" s="18" t="s">
        <v>85</v>
      </c>
      <c r="BO443" s="18">
        <v>0</v>
      </c>
      <c r="BP443" s="18" t="s">
        <v>10812</v>
      </c>
      <c r="BQ443" s="18" t="str">
        <f>VLOOKUP(Prepago[[#This Row],[NOM_PLAZA]],[1]!Locales[#Data],3,0)</f>
        <v>TIENDA MACHALA</v>
      </c>
      <c r="BR443" s="18" t="str">
        <f>VLOOKUP(Prepago[[#This Row],[CODIGO_USUARIO]],[1]!Personal[#Data],6,0)</f>
        <v>TENORIO MARIA DEL PILAR</v>
      </c>
      <c r="BS443" s="18">
        <f>DAY(Prepago[[#This Row],[FECHA_ALTA]])</f>
        <v>9</v>
      </c>
    </row>
    <row r="444" spans="1:71" x14ac:dyDescent="0.25">
      <c r="A444" s="18" t="s">
        <v>96</v>
      </c>
      <c r="B444" s="18" t="s">
        <v>14201</v>
      </c>
      <c r="C444" s="18" t="s">
        <v>14202</v>
      </c>
      <c r="D444" s="18" t="s">
        <v>14203</v>
      </c>
      <c r="E444" s="22">
        <v>44911</v>
      </c>
      <c r="F444" s="18" t="s">
        <v>67</v>
      </c>
      <c r="G444" s="18" t="s">
        <v>14204</v>
      </c>
      <c r="H444" s="18" t="s">
        <v>14205</v>
      </c>
      <c r="I444" s="18" t="s">
        <v>70</v>
      </c>
      <c r="J444" s="18" t="s">
        <v>8102</v>
      </c>
      <c r="K444" s="18" t="s">
        <v>8103</v>
      </c>
      <c r="L444" s="18" t="s">
        <v>349</v>
      </c>
      <c r="M444" s="18" t="s">
        <v>7047</v>
      </c>
      <c r="N444" s="18" t="s">
        <v>14206</v>
      </c>
      <c r="O444" s="18" t="s">
        <v>75</v>
      </c>
      <c r="P444" s="18" t="s">
        <v>14207</v>
      </c>
      <c r="Q444" s="18" t="s">
        <v>10817</v>
      </c>
      <c r="R444" s="18" t="s">
        <v>78</v>
      </c>
      <c r="S444" s="18" t="s">
        <v>77</v>
      </c>
      <c r="T444" s="22">
        <v>44915</v>
      </c>
      <c r="U444" s="18"/>
      <c r="V444" s="18" t="s">
        <v>81</v>
      </c>
      <c r="W444" s="18" t="s">
        <v>79</v>
      </c>
      <c r="X444" s="18" t="s">
        <v>10803</v>
      </c>
      <c r="Y444" s="18" t="s">
        <v>352</v>
      </c>
      <c r="Z444" s="18" t="s">
        <v>353</v>
      </c>
      <c r="AA444" s="18" t="s">
        <v>352</v>
      </c>
      <c r="AB444" s="18" t="s">
        <v>353</v>
      </c>
      <c r="AC444" s="18" t="s">
        <v>7984</v>
      </c>
      <c r="AD444" s="18" t="s">
        <v>10804</v>
      </c>
      <c r="AE444" s="18" t="s">
        <v>117</v>
      </c>
      <c r="AF444" s="18" t="s">
        <v>95</v>
      </c>
      <c r="AG444" s="18" t="s">
        <v>83</v>
      </c>
      <c r="AH444" s="18" t="s">
        <v>83</v>
      </c>
      <c r="AI444" s="18" t="s">
        <v>81</v>
      </c>
      <c r="AJ444" s="18" t="s">
        <v>118</v>
      </c>
      <c r="AK444" s="18" t="s">
        <v>95</v>
      </c>
      <c r="AL444" s="18" t="s">
        <v>10764</v>
      </c>
      <c r="AM444" s="18" t="s">
        <v>85</v>
      </c>
      <c r="AN444" s="18" t="s">
        <v>7031</v>
      </c>
      <c r="AO444" s="18" t="s">
        <v>86</v>
      </c>
      <c r="AP444" s="18" t="s">
        <v>90</v>
      </c>
      <c r="AQ444" s="18" t="s">
        <v>8050</v>
      </c>
      <c r="AR444" s="18" t="s">
        <v>122</v>
      </c>
      <c r="AS444" s="18" t="s">
        <v>92</v>
      </c>
      <c r="AT444" s="18" t="s">
        <v>95</v>
      </c>
      <c r="AU444" s="18" t="s">
        <v>95</v>
      </c>
      <c r="AV444" s="18" t="s">
        <v>7047</v>
      </c>
      <c r="AW444" s="18" t="s">
        <v>95</v>
      </c>
      <c r="AX444" s="18" t="s">
        <v>10806</v>
      </c>
      <c r="AY444" s="18" t="s">
        <v>95</v>
      </c>
      <c r="AZ444" s="18" t="s">
        <v>95</v>
      </c>
      <c r="BA444" s="18" t="s">
        <v>95</v>
      </c>
      <c r="BB444" s="18" t="s">
        <v>95</v>
      </c>
      <c r="BC444" s="18" t="s">
        <v>95</v>
      </c>
      <c r="BD444" s="18" t="s">
        <v>10829</v>
      </c>
      <c r="BE444" s="18" t="s">
        <v>14208</v>
      </c>
      <c r="BF444" s="18" t="s">
        <v>10809</v>
      </c>
      <c r="BG444" s="18" t="s">
        <v>7030</v>
      </c>
      <c r="BH444" s="18"/>
      <c r="BI444" s="18"/>
      <c r="BJ444" s="18" t="s">
        <v>352</v>
      </c>
      <c r="BK444" s="18" t="s">
        <v>14209</v>
      </c>
      <c r="BL444" s="18" t="s">
        <v>10811</v>
      </c>
      <c r="BM444" s="18" t="s">
        <v>92</v>
      </c>
      <c r="BN444" s="18" t="s">
        <v>85</v>
      </c>
      <c r="BO444" s="18">
        <v>0</v>
      </c>
      <c r="BP444" s="18" t="s">
        <v>10812</v>
      </c>
      <c r="BQ444" s="18" t="str">
        <f>VLOOKUP(Prepago[[#This Row],[NOM_PLAZA]],[1]!Locales[#Data],3,0)</f>
        <v>TIENDA MACHALA</v>
      </c>
      <c r="BR444" s="18" t="str">
        <f>VLOOKUP(Prepago[[#This Row],[CODIGO_USUARIO]],[1]!Personal[#Data],6,0)</f>
        <v>TENORIO MARIA DEL PILAR</v>
      </c>
      <c r="BS444" s="18">
        <f>DAY(Prepago[[#This Row],[FECHA_ALTA]])</f>
        <v>16</v>
      </c>
    </row>
    <row r="445" spans="1:71" x14ac:dyDescent="0.25">
      <c r="A445" s="18" t="s">
        <v>96</v>
      </c>
      <c r="B445" s="18" t="s">
        <v>14210</v>
      </c>
      <c r="C445" s="18" t="s">
        <v>14211</v>
      </c>
      <c r="D445" s="18" t="s">
        <v>14212</v>
      </c>
      <c r="E445" s="22">
        <v>44907</v>
      </c>
      <c r="F445" s="18" t="s">
        <v>67</v>
      </c>
      <c r="G445" s="18" t="s">
        <v>14213</v>
      </c>
      <c r="H445" s="18" t="s">
        <v>14214</v>
      </c>
      <c r="I445" s="18" t="s">
        <v>70</v>
      </c>
      <c r="J445" s="18" t="s">
        <v>8102</v>
      </c>
      <c r="K445" s="18" t="s">
        <v>8103</v>
      </c>
      <c r="L445" s="18" t="s">
        <v>114</v>
      </c>
      <c r="M445" s="18" t="s">
        <v>7047</v>
      </c>
      <c r="N445" s="18" t="s">
        <v>14215</v>
      </c>
      <c r="O445" s="18" t="s">
        <v>75</v>
      </c>
      <c r="P445" s="18" t="s">
        <v>14216</v>
      </c>
      <c r="Q445" s="18" t="s">
        <v>4453</v>
      </c>
      <c r="R445" s="18" t="s">
        <v>78</v>
      </c>
      <c r="S445" s="18" t="s">
        <v>77</v>
      </c>
      <c r="T445" s="22">
        <v>44915</v>
      </c>
      <c r="U445" s="18"/>
      <c r="V445" s="18" t="s">
        <v>81</v>
      </c>
      <c r="W445" s="18" t="s">
        <v>79</v>
      </c>
      <c r="X445" s="18" t="s">
        <v>10803</v>
      </c>
      <c r="Y445" s="18" t="s">
        <v>352</v>
      </c>
      <c r="Z445" s="18" t="s">
        <v>353</v>
      </c>
      <c r="AA445" s="18" t="s">
        <v>352</v>
      </c>
      <c r="AB445" s="18" t="s">
        <v>353</v>
      </c>
      <c r="AC445" s="18" t="s">
        <v>7984</v>
      </c>
      <c r="AD445" s="18" t="s">
        <v>10804</v>
      </c>
      <c r="AE445" s="18" t="s">
        <v>117</v>
      </c>
      <c r="AF445" s="18" t="s">
        <v>95</v>
      </c>
      <c r="AG445" s="18" t="s">
        <v>83</v>
      </c>
      <c r="AH445" s="18" t="s">
        <v>83</v>
      </c>
      <c r="AI445" s="18" t="s">
        <v>81</v>
      </c>
      <c r="AJ445" s="18" t="s">
        <v>118</v>
      </c>
      <c r="AK445" s="18" t="s">
        <v>95</v>
      </c>
      <c r="AL445" s="18" t="s">
        <v>10764</v>
      </c>
      <c r="AM445" s="18" t="s">
        <v>85</v>
      </c>
      <c r="AN445" s="18" t="s">
        <v>7031</v>
      </c>
      <c r="AO445" s="18" t="s">
        <v>86</v>
      </c>
      <c r="AP445" s="18" t="s">
        <v>90</v>
      </c>
      <c r="AQ445" s="18" t="s">
        <v>8050</v>
      </c>
      <c r="AR445" s="18" t="s">
        <v>122</v>
      </c>
      <c r="AS445" s="18" t="s">
        <v>92</v>
      </c>
      <c r="AT445" s="18" t="s">
        <v>95</v>
      </c>
      <c r="AU445" s="18" t="s">
        <v>95</v>
      </c>
      <c r="AV445" s="18" t="s">
        <v>7047</v>
      </c>
      <c r="AW445" s="18" t="s">
        <v>95</v>
      </c>
      <c r="AX445" s="18" t="s">
        <v>10806</v>
      </c>
      <c r="AY445" s="18" t="s">
        <v>95</v>
      </c>
      <c r="AZ445" s="18" t="s">
        <v>95</v>
      </c>
      <c r="BA445" s="18" t="s">
        <v>95</v>
      </c>
      <c r="BB445" s="18" t="s">
        <v>95</v>
      </c>
      <c r="BC445" s="18" t="s">
        <v>95</v>
      </c>
      <c r="BD445" s="18" t="s">
        <v>10829</v>
      </c>
      <c r="BE445" s="18" t="s">
        <v>11206</v>
      </c>
      <c r="BF445" s="18" t="s">
        <v>10809</v>
      </c>
      <c r="BG445" s="18" t="s">
        <v>7030</v>
      </c>
      <c r="BH445" s="18"/>
      <c r="BI445" s="18"/>
      <c r="BJ445" s="18" t="s">
        <v>352</v>
      </c>
      <c r="BK445" s="18" t="s">
        <v>14217</v>
      </c>
      <c r="BL445" s="18" t="s">
        <v>10811</v>
      </c>
      <c r="BM445" s="18" t="s">
        <v>92</v>
      </c>
      <c r="BN445" s="18" t="s">
        <v>85</v>
      </c>
      <c r="BO445" s="18">
        <v>0</v>
      </c>
      <c r="BP445" s="18" t="s">
        <v>10812</v>
      </c>
      <c r="BQ445" s="18" t="str">
        <f>VLOOKUP(Prepago[[#This Row],[NOM_PLAZA]],[1]!Locales[#Data],3,0)</f>
        <v>TIENDA MACHALA</v>
      </c>
      <c r="BR445" s="18" t="str">
        <f>VLOOKUP(Prepago[[#This Row],[CODIGO_USUARIO]],[1]!Personal[#Data],6,0)</f>
        <v>TENORIO MARIA DEL PILAR</v>
      </c>
      <c r="BS445" s="18">
        <f>DAY(Prepago[[#This Row],[FECHA_ALTA]])</f>
        <v>12</v>
      </c>
    </row>
    <row r="446" spans="1:71" x14ac:dyDescent="0.25">
      <c r="A446" s="18" t="s">
        <v>96</v>
      </c>
      <c r="B446" s="18" t="s">
        <v>14218</v>
      </c>
      <c r="C446" s="18" t="s">
        <v>14219</v>
      </c>
      <c r="D446" s="18" t="s">
        <v>14220</v>
      </c>
      <c r="E446" s="22">
        <v>44908</v>
      </c>
      <c r="F446" s="18" t="s">
        <v>67</v>
      </c>
      <c r="G446" s="18" t="s">
        <v>14221</v>
      </c>
      <c r="H446" s="18" t="s">
        <v>14222</v>
      </c>
      <c r="I446" s="18" t="s">
        <v>70</v>
      </c>
      <c r="J446" s="18" t="s">
        <v>8102</v>
      </c>
      <c r="K446" s="18" t="s">
        <v>8103</v>
      </c>
      <c r="L446" s="18" t="s">
        <v>132</v>
      </c>
      <c r="M446" s="18" t="s">
        <v>7047</v>
      </c>
      <c r="N446" s="18" t="s">
        <v>14223</v>
      </c>
      <c r="O446" s="18" t="s">
        <v>75</v>
      </c>
      <c r="P446" s="18" t="s">
        <v>14224</v>
      </c>
      <c r="Q446" s="18" t="s">
        <v>10817</v>
      </c>
      <c r="R446" s="18" t="s">
        <v>78</v>
      </c>
      <c r="S446" s="18" t="s">
        <v>77</v>
      </c>
      <c r="T446" s="22">
        <v>44915</v>
      </c>
      <c r="U446" s="18"/>
      <c r="V446" s="18" t="s">
        <v>81</v>
      </c>
      <c r="W446" s="18" t="s">
        <v>79</v>
      </c>
      <c r="X446" s="18" t="s">
        <v>10803</v>
      </c>
      <c r="Y446" s="18" t="s">
        <v>120</v>
      </c>
      <c r="Z446" s="18" t="s">
        <v>121</v>
      </c>
      <c r="AA446" s="18" t="s">
        <v>120</v>
      </c>
      <c r="AB446" s="18" t="s">
        <v>121</v>
      </c>
      <c r="AC446" s="18" t="s">
        <v>7984</v>
      </c>
      <c r="AD446" s="18" t="s">
        <v>10804</v>
      </c>
      <c r="AE446" s="18" t="s">
        <v>117</v>
      </c>
      <c r="AF446" s="18" t="s">
        <v>95</v>
      </c>
      <c r="AG446" s="18" t="s">
        <v>83</v>
      </c>
      <c r="AH446" s="18" t="s">
        <v>83</v>
      </c>
      <c r="AI446" s="18" t="s">
        <v>81</v>
      </c>
      <c r="AJ446" s="18" t="s">
        <v>118</v>
      </c>
      <c r="AK446" s="18" t="s">
        <v>95</v>
      </c>
      <c r="AL446" s="18" t="s">
        <v>5819</v>
      </c>
      <c r="AM446" s="18" t="s">
        <v>85</v>
      </c>
      <c r="AN446" s="18" t="s">
        <v>7031</v>
      </c>
      <c r="AO446" s="18" t="s">
        <v>86</v>
      </c>
      <c r="AP446" s="18" t="s">
        <v>90</v>
      </c>
      <c r="AQ446" s="18" t="s">
        <v>8050</v>
      </c>
      <c r="AR446" s="18" t="s">
        <v>122</v>
      </c>
      <c r="AS446" s="18" t="s">
        <v>92</v>
      </c>
      <c r="AT446" s="18" t="s">
        <v>95</v>
      </c>
      <c r="AU446" s="18" t="s">
        <v>95</v>
      </c>
      <c r="AV446" s="18" t="s">
        <v>7047</v>
      </c>
      <c r="AW446" s="18" t="s">
        <v>95</v>
      </c>
      <c r="AX446" s="18" t="s">
        <v>10806</v>
      </c>
      <c r="AY446" s="18" t="s">
        <v>95</v>
      </c>
      <c r="AZ446" s="18" t="s">
        <v>95</v>
      </c>
      <c r="BA446" s="18" t="s">
        <v>95</v>
      </c>
      <c r="BB446" s="18" t="s">
        <v>95</v>
      </c>
      <c r="BC446" s="18" t="s">
        <v>95</v>
      </c>
      <c r="BD446" s="18" t="s">
        <v>10807</v>
      </c>
      <c r="BE446" s="18" t="s">
        <v>14225</v>
      </c>
      <c r="BF446" s="18" t="s">
        <v>10809</v>
      </c>
      <c r="BG446" s="18" t="s">
        <v>7030</v>
      </c>
      <c r="BH446" s="18"/>
      <c r="BI446" s="18"/>
      <c r="BJ446" s="18" t="s">
        <v>120</v>
      </c>
      <c r="BK446" s="18" t="s">
        <v>14226</v>
      </c>
      <c r="BL446" s="18" t="s">
        <v>10811</v>
      </c>
      <c r="BM446" s="18" t="s">
        <v>92</v>
      </c>
      <c r="BN446" s="18" t="s">
        <v>85</v>
      </c>
      <c r="BO446" s="18">
        <v>0</v>
      </c>
      <c r="BP446" s="18" t="s">
        <v>10812</v>
      </c>
      <c r="BQ446" s="18" t="str">
        <f>VLOOKUP(Prepago[[#This Row],[NOM_PLAZA]],[1]!Locales[#Data],3,0)</f>
        <v>TIENDA MACHALA</v>
      </c>
      <c r="BR446" s="18" t="str">
        <f>VLOOKUP(Prepago[[#This Row],[CODIGO_USUARIO]],[1]!Personal[#Data],6,0)</f>
        <v>ARROBO VICENTE YADIRA ESPERANZA</v>
      </c>
      <c r="BS446" s="18">
        <f>DAY(Prepago[[#This Row],[FECHA_ALTA]])</f>
        <v>13</v>
      </c>
    </row>
    <row r="447" spans="1:71" x14ac:dyDescent="0.25">
      <c r="A447" s="18" t="s">
        <v>96</v>
      </c>
      <c r="B447" s="18" t="s">
        <v>14227</v>
      </c>
      <c r="C447" s="18" t="s">
        <v>14228</v>
      </c>
      <c r="D447" s="18" t="s">
        <v>14229</v>
      </c>
      <c r="E447" s="22">
        <v>44896</v>
      </c>
      <c r="F447" s="18" t="s">
        <v>67</v>
      </c>
      <c r="G447" s="18" t="s">
        <v>4456</v>
      </c>
      <c r="H447" s="18" t="s">
        <v>4457</v>
      </c>
      <c r="I447" s="18" t="s">
        <v>70</v>
      </c>
      <c r="J447" s="18" t="s">
        <v>8102</v>
      </c>
      <c r="K447" s="18" t="s">
        <v>8103</v>
      </c>
      <c r="L447" s="18" t="s">
        <v>114</v>
      </c>
      <c r="M447" s="18" t="s">
        <v>7047</v>
      </c>
      <c r="N447" s="18" t="s">
        <v>14230</v>
      </c>
      <c r="O447" s="18" t="s">
        <v>75</v>
      </c>
      <c r="P447" s="18" t="s">
        <v>14231</v>
      </c>
      <c r="Q447" s="18" t="s">
        <v>10817</v>
      </c>
      <c r="R447" s="18" t="s">
        <v>78</v>
      </c>
      <c r="S447" s="18" t="s">
        <v>77</v>
      </c>
      <c r="T447" s="22">
        <v>44915</v>
      </c>
      <c r="U447" s="18"/>
      <c r="V447" s="18" t="s">
        <v>81</v>
      </c>
      <c r="W447" s="18" t="s">
        <v>79</v>
      </c>
      <c r="X447" s="18" t="s">
        <v>10803</v>
      </c>
      <c r="Y447" s="18" t="s">
        <v>1043</v>
      </c>
      <c r="Z447" s="18" t="s">
        <v>1044</v>
      </c>
      <c r="AA447" s="18" t="s">
        <v>7062</v>
      </c>
      <c r="AB447" s="18" t="s">
        <v>95</v>
      </c>
      <c r="AC447" s="18" t="s">
        <v>7984</v>
      </c>
      <c r="AD447" s="18" t="s">
        <v>10804</v>
      </c>
      <c r="AE447" s="18" t="s">
        <v>117</v>
      </c>
      <c r="AF447" s="18" t="s">
        <v>95</v>
      </c>
      <c r="AG447" s="18" t="s">
        <v>83</v>
      </c>
      <c r="AH447" s="18" t="s">
        <v>83</v>
      </c>
      <c r="AI447" s="18" t="s">
        <v>81</v>
      </c>
      <c r="AJ447" s="18" t="s">
        <v>118</v>
      </c>
      <c r="AK447" s="18" t="s">
        <v>95</v>
      </c>
      <c r="AL447" s="18" t="s">
        <v>14177</v>
      </c>
      <c r="AM447" s="18" t="s">
        <v>85</v>
      </c>
      <c r="AN447" s="18" t="s">
        <v>7031</v>
      </c>
      <c r="AO447" s="18" t="s">
        <v>86</v>
      </c>
      <c r="AP447" s="18" t="s">
        <v>90</v>
      </c>
      <c r="AQ447" s="18" t="s">
        <v>8050</v>
      </c>
      <c r="AR447" s="18" t="s">
        <v>122</v>
      </c>
      <c r="AS447" s="18" t="s">
        <v>92</v>
      </c>
      <c r="AT447" s="18" t="s">
        <v>95</v>
      </c>
      <c r="AU447" s="18" t="s">
        <v>95</v>
      </c>
      <c r="AV447" s="18" t="s">
        <v>7047</v>
      </c>
      <c r="AW447" s="18" t="s">
        <v>95</v>
      </c>
      <c r="AX447" s="18" t="s">
        <v>10806</v>
      </c>
      <c r="AY447" s="18" t="s">
        <v>95</v>
      </c>
      <c r="AZ447" s="18" t="s">
        <v>95</v>
      </c>
      <c r="BA447" s="18" t="s">
        <v>95</v>
      </c>
      <c r="BB447" s="18" t="s">
        <v>95</v>
      </c>
      <c r="BC447" s="18" t="s">
        <v>95</v>
      </c>
      <c r="BD447" s="18" t="s">
        <v>10829</v>
      </c>
      <c r="BE447" s="18" t="s">
        <v>14232</v>
      </c>
      <c r="BF447" s="18" t="s">
        <v>7047</v>
      </c>
      <c r="BG447" s="18" t="s">
        <v>7030</v>
      </c>
      <c r="BH447" s="18"/>
      <c r="BI447" s="18"/>
      <c r="BJ447" s="18" t="s">
        <v>1043</v>
      </c>
      <c r="BK447" s="18" t="s">
        <v>14233</v>
      </c>
      <c r="BL447" s="18" t="s">
        <v>10811</v>
      </c>
      <c r="BM447" s="18" t="s">
        <v>92</v>
      </c>
      <c r="BN447" s="18" t="s">
        <v>85</v>
      </c>
      <c r="BO447" s="18">
        <v>0</v>
      </c>
      <c r="BP447" s="18" t="s">
        <v>10812</v>
      </c>
      <c r="BQ447" s="18" t="str">
        <f>VLOOKUP(Prepago[[#This Row],[NOM_PLAZA]],[1]!Locales[#Data],3,0)</f>
        <v>TIENDA MACHALA</v>
      </c>
      <c r="BR447" s="18" t="str">
        <f>VLOOKUP(Prepago[[#This Row],[CODIGO_USUARIO]],[1]!Personal[#Data],6,0)</f>
        <v>GONZAGA YUPANGUI LIZBETH KATHERINE</v>
      </c>
      <c r="BS447" s="18">
        <f>DAY(Prepago[[#This Row],[FECHA_ALTA]])</f>
        <v>1</v>
      </c>
    </row>
    <row r="448" spans="1:71" x14ac:dyDescent="0.25">
      <c r="A448" s="18" t="s">
        <v>96</v>
      </c>
      <c r="B448" s="18" t="s">
        <v>9700</v>
      </c>
      <c r="C448" s="18" t="s">
        <v>9706</v>
      </c>
      <c r="D448" s="18" t="s">
        <v>9702</v>
      </c>
      <c r="E448" s="22">
        <v>44908</v>
      </c>
      <c r="F448" s="18" t="s">
        <v>67</v>
      </c>
      <c r="G448" s="18" t="s">
        <v>9703</v>
      </c>
      <c r="H448" s="18" t="s">
        <v>9704</v>
      </c>
      <c r="I448" s="18" t="s">
        <v>70</v>
      </c>
      <c r="J448" s="18" t="s">
        <v>8102</v>
      </c>
      <c r="K448" s="18" t="s">
        <v>8103</v>
      </c>
      <c r="L448" s="18" t="s">
        <v>132</v>
      </c>
      <c r="M448" s="18" t="s">
        <v>7047</v>
      </c>
      <c r="N448" s="18" t="s">
        <v>9705</v>
      </c>
      <c r="O448" s="18" t="s">
        <v>287</v>
      </c>
      <c r="P448" s="18" t="s">
        <v>14234</v>
      </c>
      <c r="Q448" s="18" t="s">
        <v>4453</v>
      </c>
      <c r="R448" s="18" t="s">
        <v>78</v>
      </c>
      <c r="S448" s="18" t="s">
        <v>77</v>
      </c>
      <c r="T448" s="22">
        <v>44915</v>
      </c>
      <c r="U448" s="18"/>
      <c r="V448" s="18" t="s">
        <v>81</v>
      </c>
      <c r="W448" s="18" t="s">
        <v>79</v>
      </c>
      <c r="X448" s="18" t="s">
        <v>10803</v>
      </c>
      <c r="Y448" s="18" t="s">
        <v>120</v>
      </c>
      <c r="Z448" s="18" t="s">
        <v>121</v>
      </c>
      <c r="AA448" s="18" t="s">
        <v>7062</v>
      </c>
      <c r="AB448" s="18" t="s">
        <v>95</v>
      </c>
      <c r="AC448" s="18" t="s">
        <v>7984</v>
      </c>
      <c r="AD448" s="18" t="s">
        <v>10804</v>
      </c>
      <c r="AE448" s="18" t="s">
        <v>117</v>
      </c>
      <c r="AF448" s="18" t="s">
        <v>95</v>
      </c>
      <c r="AG448" s="18" t="s">
        <v>83</v>
      </c>
      <c r="AH448" s="18" t="s">
        <v>83</v>
      </c>
      <c r="AI448" s="18" t="s">
        <v>81</v>
      </c>
      <c r="AJ448" s="18" t="s">
        <v>118</v>
      </c>
      <c r="AK448" s="18" t="s">
        <v>95</v>
      </c>
      <c r="AL448" s="18" t="s">
        <v>5819</v>
      </c>
      <c r="AM448" s="18" t="s">
        <v>85</v>
      </c>
      <c r="AN448" s="18" t="s">
        <v>7031</v>
      </c>
      <c r="AO448" s="18" t="s">
        <v>86</v>
      </c>
      <c r="AP448" s="18" t="s">
        <v>90</v>
      </c>
      <c r="AQ448" s="18" t="s">
        <v>8050</v>
      </c>
      <c r="AR448" s="18" t="s">
        <v>122</v>
      </c>
      <c r="AS448" s="18" t="s">
        <v>92</v>
      </c>
      <c r="AT448" s="18" t="s">
        <v>95</v>
      </c>
      <c r="AU448" s="18" t="s">
        <v>95</v>
      </c>
      <c r="AV448" s="18" t="s">
        <v>7047</v>
      </c>
      <c r="AW448" s="18" t="s">
        <v>95</v>
      </c>
      <c r="AX448" s="18" t="s">
        <v>10806</v>
      </c>
      <c r="AY448" s="18" t="s">
        <v>95</v>
      </c>
      <c r="AZ448" s="18" t="s">
        <v>95</v>
      </c>
      <c r="BA448" s="18" t="s">
        <v>95</v>
      </c>
      <c r="BB448" s="18" t="s">
        <v>95</v>
      </c>
      <c r="BC448" s="18" t="s">
        <v>95</v>
      </c>
      <c r="BD448" s="18" t="s">
        <v>10829</v>
      </c>
      <c r="BE448" s="18" t="s">
        <v>14235</v>
      </c>
      <c r="BF448" s="18" t="s">
        <v>10809</v>
      </c>
      <c r="BG448" s="18" t="s">
        <v>7030</v>
      </c>
      <c r="BH448" s="18"/>
      <c r="BI448" s="18"/>
      <c r="BJ448" s="18" t="s">
        <v>120</v>
      </c>
      <c r="BK448" s="18" t="s">
        <v>14236</v>
      </c>
      <c r="BL448" s="18" t="s">
        <v>10811</v>
      </c>
      <c r="BM448" s="18" t="s">
        <v>92</v>
      </c>
      <c r="BN448" s="18" t="s">
        <v>85</v>
      </c>
      <c r="BO448" s="18">
        <v>0</v>
      </c>
      <c r="BP448" s="18" t="s">
        <v>10812</v>
      </c>
      <c r="BQ448" s="18" t="str">
        <f>VLOOKUP(Prepago[[#This Row],[NOM_PLAZA]],[1]!Locales[#Data],3,0)</f>
        <v>TIENDA MACHALA</v>
      </c>
      <c r="BR448" s="18" t="str">
        <f>VLOOKUP(Prepago[[#This Row],[CODIGO_USUARIO]],[1]!Personal[#Data],6,0)</f>
        <v>ARROBO VICENTE YADIRA ESPERANZA</v>
      </c>
      <c r="BS448" s="18">
        <f>DAY(Prepago[[#This Row],[FECHA_ALTA]])</f>
        <v>13</v>
      </c>
    </row>
    <row r="449" spans="1:71" x14ac:dyDescent="0.25">
      <c r="A449" s="18" t="s">
        <v>96</v>
      </c>
      <c r="B449" s="18" t="s">
        <v>9221</v>
      </c>
      <c r="C449" s="18" t="s">
        <v>9227</v>
      </c>
      <c r="D449" s="18" t="s">
        <v>9223</v>
      </c>
      <c r="E449" s="22">
        <v>44905</v>
      </c>
      <c r="F449" s="18" t="s">
        <v>67</v>
      </c>
      <c r="G449" s="18" t="s">
        <v>9224</v>
      </c>
      <c r="H449" s="18" t="s">
        <v>9225</v>
      </c>
      <c r="I449" s="18" t="s">
        <v>70</v>
      </c>
      <c r="J449" s="18" t="s">
        <v>8102</v>
      </c>
      <c r="K449" s="18" t="s">
        <v>8103</v>
      </c>
      <c r="L449" s="18" t="s">
        <v>349</v>
      </c>
      <c r="M449" s="18" t="s">
        <v>7047</v>
      </c>
      <c r="N449" s="18" t="s">
        <v>9226</v>
      </c>
      <c r="O449" s="18" t="s">
        <v>287</v>
      </c>
      <c r="P449" s="18" t="s">
        <v>14237</v>
      </c>
      <c r="Q449" s="18" t="s">
        <v>10817</v>
      </c>
      <c r="R449" s="18" t="s">
        <v>78</v>
      </c>
      <c r="S449" s="18" t="s">
        <v>77</v>
      </c>
      <c r="T449" s="22">
        <v>44915</v>
      </c>
      <c r="U449" s="18"/>
      <c r="V449" s="18" t="s">
        <v>81</v>
      </c>
      <c r="W449" s="18" t="s">
        <v>79</v>
      </c>
      <c r="X449" s="18" t="s">
        <v>10803</v>
      </c>
      <c r="Y449" s="18" t="s">
        <v>352</v>
      </c>
      <c r="Z449" s="18" t="s">
        <v>353</v>
      </c>
      <c r="AA449" s="18" t="s">
        <v>7062</v>
      </c>
      <c r="AB449" s="18" t="s">
        <v>95</v>
      </c>
      <c r="AC449" s="18" t="s">
        <v>7984</v>
      </c>
      <c r="AD449" s="18" t="s">
        <v>10804</v>
      </c>
      <c r="AE449" s="18" t="s">
        <v>117</v>
      </c>
      <c r="AF449" s="18" t="s">
        <v>95</v>
      </c>
      <c r="AG449" s="18" t="s">
        <v>83</v>
      </c>
      <c r="AH449" s="18" t="s">
        <v>83</v>
      </c>
      <c r="AI449" s="18" t="s">
        <v>81</v>
      </c>
      <c r="AJ449" s="18" t="s">
        <v>118</v>
      </c>
      <c r="AK449" s="18" t="s">
        <v>95</v>
      </c>
      <c r="AL449" s="18" t="s">
        <v>10764</v>
      </c>
      <c r="AM449" s="18" t="s">
        <v>85</v>
      </c>
      <c r="AN449" s="18" t="s">
        <v>7031</v>
      </c>
      <c r="AO449" s="18" t="s">
        <v>86</v>
      </c>
      <c r="AP449" s="18" t="s">
        <v>90</v>
      </c>
      <c r="AQ449" s="18" t="s">
        <v>8050</v>
      </c>
      <c r="AR449" s="18" t="s">
        <v>122</v>
      </c>
      <c r="AS449" s="18" t="s">
        <v>92</v>
      </c>
      <c r="AT449" s="18" t="s">
        <v>95</v>
      </c>
      <c r="AU449" s="18" t="s">
        <v>95</v>
      </c>
      <c r="AV449" s="18" t="s">
        <v>7047</v>
      </c>
      <c r="AW449" s="18" t="s">
        <v>95</v>
      </c>
      <c r="AX449" s="18" t="s">
        <v>10806</v>
      </c>
      <c r="AY449" s="18" t="s">
        <v>95</v>
      </c>
      <c r="AZ449" s="18" t="s">
        <v>95</v>
      </c>
      <c r="BA449" s="18" t="s">
        <v>95</v>
      </c>
      <c r="BB449" s="18" t="s">
        <v>95</v>
      </c>
      <c r="BC449" s="18" t="s">
        <v>95</v>
      </c>
      <c r="BD449" s="18" t="s">
        <v>10829</v>
      </c>
      <c r="BE449" s="18" t="s">
        <v>14238</v>
      </c>
      <c r="BF449" s="18" t="s">
        <v>7066</v>
      </c>
      <c r="BG449" s="18" t="s">
        <v>7030</v>
      </c>
      <c r="BH449" s="18"/>
      <c r="BI449" s="18"/>
      <c r="BJ449" s="18" t="s">
        <v>352</v>
      </c>
      <c r="BK449" s="18" t="s">
        <v>14239</v>
      </c>
      <c r="BL449" s="18" t="s">
        <v>10811</v>
      </c>
      <c r="BM449" s="18" t="s">
        <v>92</v>
      </c>
      <c r="BN449" s="18" t="s">
        <v>85</v>
      </c>
      <c r="BO449" s="18">
        <v>0</v>
      </c>
      <c r="BP449" s="18" t="s">
        <v>10812</v>
      </c>
      <c r="BQ449" s="18" t="str">
        <f>VLOOKUP(Prepago[[#This Row],[NOM_PLAZA]],[1]!Locales[#Data],3,0)</f>
        <v>TIENDA MACHALA</v>
      </c>
      <c r="BR449" s="18" t="str">
        <f>VLOOKUP(Prepago[[#This Row],[CODIGO_USUARIO]],[1]!Personal[#Data],6,0)</f>
        <v>TENORIO MARIA DEL PILAR</v>
      </c>
      <c r="BS449" s="18">
        <f>DAY(Prepago[[#This Row],[FECHA_ALTA]])</f>
        <v>10</v>
      </c>
    </row>
    <row r="450" spans="1:71" x14ac:dyDescent="0.25">
      <c r="A450" s="18" t="s">
        <v>96</v>
      </c>
      <c r="B450" s="18" t="s">
        <v>14240</v>
      </c>
      <c r="C450" s="18" t="s">
        <v>14241</v>
      </c>
      <c r="D450" s="18" t="s">
        <v>14242</v>
      </c>
      <c r="E450" s="22">
        <v>44897</v>
      </c>
      <c r="F450" s="18" t="s">
        <v>67</v>
      </c>
      <c r="G450" s="18" t="s">
        <v>14243</v>
      </c>
      <c r="H450" s="18" t="s">
        <v>14244</v>
      </c>
      <c r="I450" s="18" t="s">
        <v>70</v>
      </c>
      <c r="J450" s="18" t="s">
        <v>8102</v>
      </c>
      <c r="K450" s="18" t="s">
        <v>8103</v>
      </c>
      <c r="L450" s="18" t="s">
        <v>95</v>
      </c>
      <c r="M450" s="18" t="s">
        <v>7047</v>
      </c>
      <c r="N450" s="18" t="s">
        <v>14245</v>
      </c>
      <c r="O450" s="18" t="s">
        <v>75</v>
      </c>
      <c r="P450" s="18" t="s">
        <v>14246</v>
      </c>
      <c r="Q450" s="18" t="s">
        <v>4453</v>
      </c>
      <c r="R450" s="18" t="s">
        <v>78</v>
      </c>
      <c r="S450" s="18" t="s">
        <v>77</v>
      </c>
      <c r="T450" s="22">
        <v>44915</v>
      </c>
      <c r="U450" s="18"/>
      <c r="V450" s="18" t="s">
        <v>81</v>
      </c>
      <c r="W450" s="18" t="s">
        <v>79</v>
      </c>
      <c r="X450" s="18" t="s">
        <v>10803</v>
      </c>
      <c r="Y450" s="18" t="s">
        <v>1043</v>
      </c>
      <c r="Z450" s="18" t="s">
        <v>1044</v>
      </c>
      <c r="AA450" s="18" t="s">
        <v>1043</v>
      </c>
      <c r="AB450" s="18" t="s">
        <v>1044</v>
      </c>
      <c r="AC450" s="18" t="s">
        <v>7984</v>
      </c>
      <c r="AD450" s="18" t="s">
        <v>10804</v>
      </c>
      <c r="AE450" s="18" t="s">
        <v>117</v>
      </c>
      <c r="AF450" s="18" t="s">
        <v>95</v>
      </c>
      <c r="AG450" s="18" t="s">
        <v>83</v>
      </c>
      <c r="AH450" s="18" t="s">
        <v>83</v>
      </c>
      <c r="AI450" s="18" t="s">
        <v>81</v>
      </c>
      <c r="AJ450" s="18" t="s">
        <v>118</v>
      </c>
      <c r="AK450" s="18" t="s">
        <v>95</v>
      </c>
      <c r="AL450" s="18" t="s">
        <v>14177</v>
      </c>
      <c r="AM450" s="18" t="s">
        <v>85</v>
      </c>
      <c r="AN450" s="18" t="s">
        <v>7031</v>
      </c>
      <c r="AO450" s="18" t="s">
        <v>86</v>
      </c>
      <c r="AP450" s="18" t="s">
        <v>90</v>
      </c>
      <c r="AQ450" s="18" t="s">
        <v>8050</v>
      </c>
      <c r="AR450" s="18" t="s">
        <v>122</v>
      </c>
      <c r="AS450" s="18" t="s">
        <v>92</v>
      </c>
      <c r="AT450" s="18" t="s">
        <v>95</v>
      </c>
      <c r="AU450" s="18" t="s">
        <v>95</v>
      </c>
      <c r="AV450" s="18" t="s">
        <v>7047</v>
      </c>
      <c r="AW450" s="18" t="s">
        <v>95</v>
      </c>
      <c r="AX450" s="18" t="s">
        <v>10806</v>
      </c>
      <c r="AY450" s="18" t="s">
        <v>95</v>
      </c>
      <c r="AZ450" s="18" t="s">
        <v>95</v>
      </c>
      <c r="BA450" s="18" t="s">
        <v>95</v>
      </c>
      <c r="BB450" s="18" t="s">
        <v>95</v>
      </c>
      <c r="BC450" s="18" t="s">
        <v>95</v>
      </c>
      <c r="BD450" s="18" t="s">
        <v>10829</v>
      </c>
      <c r="BE450" s="18" t="s">
        <v>95</v>
      </c>
      <c r="BF450" s="18" t="s">
        <v>10809</v>
      </c>
      <c r="BG450" s="18" t="s">
        <v>7030</v>
      </c>
      <c r="BH450" s="18"/>
      <c r="BI450" s="18"/>
      <c r="BJ450" s="18" t="s">
        <v>1043</v>
      </c>
      <c r="BK450" s="18" t="s">
        <v>14247</v>
      </c>
      <c r="BL450" s="18" t="s">
        <v>10811</v>
      </c>
      <c r="BM450" s="18" t="s">
        <v>92</v>
      </c>
      <c r="BN450" s="18" t="s">
        <v>85</v>
      </c>
      <c r="BO450" s="18">
        <v>0</v>
      </c>
      <c r="BP450" s="18" t="s">
        <v>10812</v>
      </c>
      <c r="BQ450" s="18" t="str">
        <f>VLOOKUP(Prepago[[#This Row],[NOM_PLAZA]],[1]!Locales[#Data],3,0)</f>
        <v>TIENDA MACHALA</v>
      </c>
      <c r="BR450" s="18" t="str">
        <f>VLOOKUP(Prepago[[#This Row],[CODIGO_USUARIO]],[1]!Personal[#Data],6,0)</f>
        <v>GONZAGA YUPANGUI LIZBETH KATHERINE</v>
      </c>
      <c r="BS450" s="18">
        <f>DAY(Prepago[[#This Row],[FECHA_ALTA]])</f>
        <v>2</v>
      </c>
    </row>
    <row r="451" spans="1:71" x14ac:dyDescent="0.25">
      <c r="A451" s="18" t="s">
        <v>96</v>
      </c>
      <c r="B451" s="18" t="s">
        <v>14248</v>
      </c>
      <c r="C451" s="18" t="s">
        <v>14249</v>
      </c>
      <c r="D451" s="18" t="s">
        <v>14250</v>
      </c>
      <c r="E451" s="22">
        <v>44907</v>
      </c>
      <c r="F451" s="18" t="s">
        <v>67</v>
      </c>
      <c r="G451" s="18" t="s">
        <v>14251</v>
      </c>
      <c r="H451" s="18" t="s">
        <v>14252</v>
      </c>
      <c r="I451" s="18" t="s">
        <v>70</v>
      </c>
      <c r="J451" s="18" t="s">
        <v>8102</v>
      </c>
      <c r="K451" s="18" t="s">
        <v>8103</v>
      </c>
      <c r="L451" s="18" t="s">
        <v>114</v>
      </c>
      <c r="M451" s="18" t="s">
        <v>7047</v>
      </c>
      <c r="N451" s="18" t="s">
        <v>14253</v>
      </c>
      <c r="O451" s="18" t="s">
        <v>75</v>
      </c>
      <c r="P451" s="18" t="s">
        <v>14254</v>
      </c>
      <c r="Q451" s="18" t="s">
        <v>10817</v>
      </c>
      <c r="R451" s="18" t="s">
        <v>78</v>
      </c>
      <c r="S451" s="18" t="s">
        <v>77</v>
      </c>
      <c r="T451" s="22">
        <v>44915</v>
      </c>
      <c r="U451" s="18"/>
      <c r="V451" s="18" t="s">
        <v>81</v>
      </c>
      <c r="W451" s="18" t="s">
        <v>79</v>
      </c>
      <c r="X451" s="18" t="s">
        <v>10803</v>
      </c>
      <c r="Y451" s="18" t="s">
        <v>1043</v>
      </c>
      <c r="Z451" s="18" t="s">
        <v>1044</v>
      </c>
      <c r="AA451" s="18" t="s">
        <v>1043</v>
      </c>
      <c r="AB451" s="18" t="s">
        <v>1044</v>
      </c>
      <c r="AC451" s="18" t="s">
        <v>7984</v>
      </c>
      <c r="AD451" s="18" t="s">
        <v>10804</v>
      </c>
      <c r="AE451" s="18" t="s">
        <v>117</v>
      </c>
      <c r="AF451" s="18" t="s">
        <v>95</v>
      </c>
      <c r="AG451" s="18" t="s">
        <v>83</v>
      </c>
      <c r="AH451" s="18" t="s">
        <v>83</v>
      </c>
      <c r="AI451" s="18" t="s">
        <v>81</v>
      </c>
      <c r="AJ451" s="18" t="s">
        <v>118</v>
      </c>
      <c r="AK451" s="18" t="s">
        <v>95</v>
      </c>
      <c r="AL451" s="18" t="s">
        <v>14177</v>
      </c>
      <c r="AM451" s="18" t="s">
        <v>85</v>
      </c>
      <c r="AN451" s="18" t="s">
        <v>7031</v>
      </c>
      <c r="AO451" s="18" t="s">
        <v>86</v>
      </c>
      <c r="AP451" s="18" t="s">
        <v>90</v>
      </c>
      <c r="AQ451" s="18" t="s">
        <v>8050</v>
      </c>
      <c r="AR451" s="18" t="s">
        <v>122</v>
      </c>
      <c r="AS451" s="18" t="s">
        <v>92</v>
      </c>
      <c r="AT451" s="18" t="s">
        <v>95</v>
      </c>
      <c r="AU451" s="18" t="s">
        <v>95</v>
      </c>
      <c r="AV451" s="18" t="s">
        <v>7047</v>
      </c>
      <c r="AW451" s="18" t="s">
        <v>95</v>
      </c>
      <c r="AX451" s="18" t="s">
        <v>10806</v>
      </c>
      <c r="AY451" s="18" t="s">
        <v>95</v>
      </c>
      <c r="AZ451" s="18" t="s">
        <v>95</v>
      </c>
      <c r="BA451" s="18" t="s">
        <v>95</v>
      </c>
      <c r="BB451" s="18" t="s">
        <v>95</v>
      </c>
      <c r="BC451" s="18" t="s">
        <v>95</v>
      </c>
      <c r="BD451" s="18" t="s">
        <v>10829</v>
      </c>
      <c r="BE451" s="18" t="s">
        <v>14255</v>
      </c>
      <c r="BF451" s="18" t="s">
        <v>10809</v>
      </c>
      <c r="BG451" s="18" t="s">
        <v>7030</v>
      </c>
      <c r="BH451" s="18"/>
      <c r="BI451" s="18"/>
      <c r="BJ451" s="18" t="s">
        <v>1043</v>
      </c>
      <c r="BK451" s="18" t="s">
        <v>14256</v>
      </c>
      <c r="BL451" s="18" t="s">
        <v>10811</v>
      </c>
      <c r="BM451" s="18" t="s">
        <v>92</v>
      </c>
      <c r="BN451" s="18" t="s">
        <v>85</v>
      </c>
      <c r="BO451" s="18">
        <v>1</v>
      </c>
      <c r="BP451" s="18" t="s">
        <v>10812</v>
      </c>
      <c r="BQ451" s="18" t="str">
        <f>VLOOKUP(Prepago[[#This Row],[NOM_PLAZA]],[1]!Locales[#Data],3,0)</f>
        <v>TIENDA MACHALA</v>
      </c>
      <c r="BR451" s="18" t="str">
        <f>VLOOKUP(Prepago[[#This Row],[CODIGO_USUARIO]],[1]!Personal[#Data],6,0)</f>
        <v>GONZAGA YUPANGUI LIZBETH KATHERINE</v>
      </c>
      <c r="BS451" s="18">
        <f>DAY(Prepago[[#This Row],[FECHA_ALTA]])</f>
        <v>12</v>
      </c>
    </row>
    <row r="452" spans="1:71" x14ac:dyDescent="0.25">
      <c r="A452" s="18" t="s">
        <v>96</v>
      </c>
      <c r="B452" s="18" t="s">
        <v>14257</v>
      </c>
      <c r="C452" s="18" t="s">
        <v>14258</v>
      </c>
      <c r="D452" s="18" t="s">
        <v>14259</v>
      </c>
      <c r="E452" s="22">
        <v>44900</v>
      </c>
      <c r="F452" s="18" t="s">
        <v>67</v>
      </c>
      <c r="G452" s="18" t="s">
        <v>6219</v>
      </c>
      <c r="H452" s="18" t="s">
        <v>6220</v>
      </c>
      <c r="I452" s="18" t="s">
        <v>70</v>
      </c>
      <c r="J452" s="18" t="s">
        <v>8102</v>
      </c>
      <c r="K452" s="18" t="s">
        <v>8103</v>
      </c>
      <c r="L452" s="18" t="s">
        <v>3334</v>
      </c>
      <c r="M452" s="18" t="s">
        <v>7047</v>
      </c>
      <c r="N452" s="18" t="s">
        <v>14260</v>
      </c>
      <c r="O452" s="18" t="s">
        <v>75</v>
      </c>
      <c r="P452" s="18" t="s">
        <v>14261</v>
      </c>
      <c r="Q452" s="18" t="s">
        <v>10817</v>
      </c>
      <c r="R452" s="18" t="s">
        <v>78</v>
      </c>
      <c r="S452" s="18" t="s">
        <v>77</v>
      </c>
      <c r="T452" s="22">
        <v>44915</v>
      </c>
      <c r="U452" s="18"/>
      <c r="V452" s="18" t="s">
        <v>81</v>
      </c>
      <c r="W452" s="18" t="s">
        <v>79</v>
      </c>
      <c r="X452" s="18" t="s">
        <v>10803</v>
      </c>
      <c r="Y452" s="18" t="s">
        <v>352</v>
      </c>
      <c r="Z452" s="18" t="s">
        <v>353</v>
      </c>
      <c r="AA452" s="18" t="s">
        <v>352</v>
      </c>
      <c r="AB452" s="18" t="s">
        <v>353</v>
      </c>
      <c r="AC452" s="18" t="s">
        <v>7984</v>
      </c>
      <c r="AD452" s="18" t="s">
        <v>10804</v>
      </c>
      <c r="AE452" s="18" t="s">
        <v>117</v>
      </c>
      <c r="AF452" s="18" t="s">
        <v>95</v>
      </c>
      <c r="AG452" s="18" t="s">
        <v>83</v>
      </c>
      <c r="AH452" s="18" t="s">
        <v>83</v>
      </c>
      <c r="AI452" s="18" t="s">
        <v>81</v>
      </c>
      <c r="AJ452" s="18" t="s">
        <v>118</v>
      </c>
      <c r="AK452" s="18" t="s">
        <v>95</v>
      </c>
      <c r="AL452" s="18" t="s">
        <v>10764</v>
      </c>
      <c r="AM452" s="18" t="s">
        <v>85</v>
      </c>
      <c r="AN452" s="18" t="s">
        <v>7031</v>
      </c>
      <c r="AO452" s="18" t="s">
        <v>86</v>
      </c>
      <c r="AP452" s="18" t="s">
        <v>90</v>
      </c>
      <c r="AQ452" s="18" t="s">
        <v>8050</v>
      </c>
      <c r="AR452" s="18" t="s">
        <v>122</v>
      </c>
      <c r="AS452" s="18" t="s">
        <v>92</v>
      </c>
      <c r="AT452" s="18" t="s">
        <v>95</v>
      </c>
      <c r="AU452" s="18" t="s">
        <v>95</v>
      </c>
      <c r="AV452" s="18" t="s">
        <v>7047</v>
      </c>
      <c r="AW452" s="18" t="s">
        <v>95</v>
      </c>
      <c r="AX452" s="18" t="s">
        <v>10806</v>
      </c>
      <c r="AY452" s="18" t="s">
        <v>95</v>
      </c>
      <c r="AZ452" s="18" t="s">
        <v>95</v>
      </c>
      <c r="BA452" s="18" t="s">
        <v>95</v>
      </c>
      <c r="BB452" s="18" t="s">
        <v>95</v>
      </c>
      <c r="BC452" s="18" t="s">
        <v>95</v>
      </c>
      <c r="BD452" s="18" t="s">
        <v>10829</v>
      </c>
      <c r="BE452" s="18" t="s">
        <v>14262</v>
      </c>
      <c r="BF452" s="18" t="s">
        <v>10809</v>
      </c>
      <c r="BG452" s="18" t="s">
        <v>7030</v>
      </c>
      <c r="BH452" s="18"/>
      <c r="BI452" s="18"/>
      <c r="BJ452" s="18" t="s">
        <v>352</v>
      </c>
      <c r="BK452" s="18" t="s">
        <v>14263</v>
      </c>
      <c r="BL452" s="18" t="s">
        <v>10811</v>
      </c>
      <c r="BM452" s="18" t="s">
        <v>92</v>
      </c>
      <c r="BN452" s="18" t="s">
        <v>85</v>
      </c>
      <c r="BO452" s="18">
        <v>1</v>
      </c>
      <c r="BP452" s="18" t="s">
        <v>10812</v>
      </c>
      <c r="BQ452" s="18" t="str">
        <f>VLOOKUP(Prepago[[#This Row],[NOM_PLAZA]],[1]!Locales[#Data],3,0)</f>
        <v>TIENDA MACHALA</v>
      </c>
      <c r="BR452" s="18" t="str">
        <f>VLOOKUP(Prepago[[#This Row],[CODIGO_USUARIO]],[1]!Personal[#Data],6,0)</f>
        <v>TENORIO MARIA DEL PILAR</v>
      </c>
      <c r="BS452" s="18">
        <f>DAY(Prepago[[#This Row],[FECHA_ALTA]])</f>
        <v>5</v>
      </c>
    </row>
    <row r="453" spans="1:71" x14ac:dyDescent="0.25">
      <c r="A453" s="18" t="s">
        <v>96</v>
      </c>
      <c r="B453" s="18" t="s">
        <v>14264</v>
      </c>
      <c r="C453" s="18" t="s">
        <v>14265</v>
      </c>
      <c r="D453" s="18" t="s">
        <v>14266</v>
      </c>
      <c r="E453" s="22">
        <v>44912</v>
      </c>
      <c r="F453" s="18" t="s">
        <v>67</v>
      </c>
      <c r="G453" s="18" t="s">
        <v>14267</v>
      </c>
      <c r="H453" s="18" t="s">
        <v>14268</v>
      </c>
      <c r="I453" s="18" t="s">
        <v>70</v>
      </c>
      <c r="J453" s="18" t="s">
        <v>8102</v>
      </c>
      <c r="K453" s="18" t="s">
        <v>8103</v>
      </c>
      <c r="L453" s="18" t="s">
        <v>114</v>
      </c>
      <c r="M453" s="18" t="s">
        <v>7047</v>
      </c>
      <c r="N453" s="18" t="s">
        <v>14269</v>
      </c>
      <c r="O453" s="18" t="s">
        <v>75</v>
      </c>
      <c r="P453" s="18" t="s">
        <v>14270</v>
      </c>
      <c r="Q453" s="18" t="s">
        <v>10817</v>
      </c>
      <c r="R453" s="18" t="s">
        <v>78</v>
      </c>
      <c r="S453" s="18" t="s">
        <v>77</v>
      </c>
      <c r="T453" s="22">
        <v>44915</v>
      </c>
      <c r="U453" s="18"/>
      <c r="V453" s="18" t="s">
        <v>81</v>
      </c>
      <c r="W453" s="18" t="s">
        <v>79</v>
      </c>
      <c r="X453" s="18" t="s">
        <v>10803</v>
      </c>
      <c r="Y453" s="18" t="s">
        <v>120</v>
      </c>
      <c r="Z453" s="18" t="s">
        <v>121</v>
      </c>
      <c r="AA453" s="18" t="s">
        <v>120</v>
      </c>
      <c r="AB453" s="18" t="s">
        <v>121</v>
      </c>
      <c r="AC453" s="18" t="s">
        <v>7984</v>
      </c>
      <c r="AD453" s="18" t="s">
        <v>10804</v>
      </c>
      <c r="AE453" s="18" t="s">
        <v>117</v>
      </c>
      <c r="AF453" s="18" t="s">
        <v>95</v>
      </c>
      <c r="AG453" s="18" t="s">
        <v>83</v>
      </c>
      <c r="AH453" s="18" t="s">
        <v>83</v>
      </c>
      <c r="AI453" s="18" t="s">
        <v>81</v>
      </c>
      <c r="AJ453" s="18" t="s">
        <v>118</v>
      </c>
      <c r="AK453" s="18" t="s">
        <v>95</v>
      </c>
      <c r="AL453" s="18" t="s">
        <v>5819</v>
      </c>
      <c r="AM453" s="18" t="s">
        <v>85</v>
      </c>
      <c r="AN453" s="18" t="s">
        <v>7031</v>
      </c>
      <c r="AO453" s="18" t="s">
        <v>86</v>
      </c>
      <c r="AP453" s="18" t="s">
        <v>90</v>
      </c>
      <c r="AQ453" s="18" t="s">
        <v>8050</v>
      </c>
      <c r="AR453" s="18" t="s">
        <v>122</v>
      </c>
      <c r="AS453" s="18" t="s">
        <v>92</v>
      </c>
      <c r="AT453" s="18" t="s">
        <v>95</v>
      </c>
      <c r="AU453" s="18" t="s">
        <v>95</v>
      </c>
      <c r="AV453" s="18" t="s">
        <v>7047</v>
      </c>
      <c r="AW453" s="18" t="s">
        <v>95</v>
      </c>
      <c r="AX453" s="18" t="s">
        <v>10806</v>
      </c>
      <c r="AY453" s="18" t="s">
        <v>95</v>
      </c>
      <c r="AZ453" s="18" t="s">
        <v>95</v>
      </c>
      <c r="BA453" s="18" t="s">
        <v>95</v>
      </c>
      <c r="BB453" s="18" t="s">
        <v>95</v>
      </c>
      <c r="BC453" s="18" t="s">
        <v>95</v>
      </c>
      <c r="BD453" s="18" t="s">
        <v>10829</v>
      </c>
      <c r="BE453" s="18" t="s">
        <v>14271</v>
      </c>
      <c r="BF453" s="18" t="s">
        <v>10809</v>
      </c>
      <c r="BG453" s="18" t="s">
        <v>7030</v>
      </c>
      <c r="BH453" s="18"/>
      <c r="BI453" s="18"/>
      <c r="BJ453" s="18" t="s">
        <v>120</v>
      </c>
      <c r="BK453" s="18" t="s">
        <v>14272</v>
      </c>
      <c r="BL453" s="18" t="s">
        <v>10811</v>
      </c>
      <c r="BM453" s="18" t="s">
        <v>92</v>
      </c>
      <c r="BN453" s="18" t="s">
        <v>85</v>
      </c>
      <c r="BO453" s="18">
        <v>0</v>
      </c>
      <c r="BP453" s="18" t="s">
        <v>10812</v>
      </c>
      <c r="BQ453" s="18" t="str">
        <f>VLOOKUP(Prepago[[#This Row],[NOM_PLAZA]],[1]!Locales[#Data],3,0)</f>
        <v>TIENDA MACHALA</v>
      </c>
      <c r="BR453" s="18" t="str">
        <f>VLOOKUP(Prepago[[#This Row],[CODIGO_USUARIO]],[1]!Personal[#Data],6,0)</f>
        <v>ARROBO VICENTE YADIRA ESPERANZA</v>
      </c>
      <c r="BS453" s="18">
        <f>DAY(Prepago[[#This Row],[FECHA_ALTA]])</f>
        <v>17</v>
      </c>
    </row>
    <row r="454" spans="1:71" x14ac:dyDescent="0.25">
      <c r="A454" s="18" t="s">
        <v>96</v>
      </c>
      <c r="B454" s="18" t="s">
        <v>14273</v>
      </c>
      <c r="C454" s="18" t="s">
        <v>14274</v>
      </c>
      <c r="D454" s="18" t="s">
        <v>14275</v>
      </c>
      <c r="E454" s="22">
        <v>44908</v>
      </c>
      <c r="F454" s="18" t="s">
        <v>67</v>
      </c>
      <c r="G454" s="18" t="s">
        <v>14276</v>
      </c>
      <c r="H454" s="18" t="s">
        <v>14277</v>
      </c>
      <c r="I454" s="18" t="s">
        <v>70</v>
      </c>
      <c r="J454" s="18" t="s">
        <v>8102</v>
      </c>
      <c r="K454" s="18" t="s">
        <v>8103</v>
      </c>
      <c r="L454" s="18" t="s">
        <v>132</v>
      </c>
      <c r="M454" s="18" t="s">
        <v>7047</v>
      </c>
      <c r="N454" s="18" t="s">
        <v>14278</v>
      </c>
      <c r="O454" s="18" t="s">
        <v>75</v>
      </c>
      <c r="P454" s="18" t="s">
        <v>14279</v>
      </c>
      <c r="Q454" s="18" t="s">
        <v>10817</v>
      </c>
      <c r="R454" s="18" t="s">
        <v>78</v>
      </c>
      <c r="S454" s="18" t="s">
        <v>77</v>
      </c>
      <c r="T454" s="22">
        <v>44915</v>
      </c>
      <c r="U454" s="18"/>
      <c r="V454" s="18" t="s">
        <v>81</v>
      </c>
      <c r="W454" s="18" t="s">
        <v>79</v>
      </c>
      <c r="X454" s="18" t="s">
        <v>10803</v>
      </c>
      <c r="Y454" s="18" t="s">
        <v>1043</v>
      </c>
      <c r="Z454" s="18" t="s">
        <v>1044</v>
      </c>
      <c r="AA454" s="18" t="s">
        <v>1043</v>
      </c>
      <c r="AB454" s="18" t="s">
        <v>1044</v>
      </c>
      <c r="AC454" s="18" t="s">
        <v>7984</v>
      </c>
      <c r="AD454" s="18" t="s">
        <v>10804</v>
      </c>
      <c r="AE454" s="18" t="s">
        <v>117</v>
      </c>
      <c r="AF454" s="18" t="s">
        <v>95</v>
      </c>
      <c r="AG454" s="18" t="s">
        <v>83</v>
      </c>
      <c r="AH454" s="18" t="s">
        <v>83</v>
      </c>
      <c r="AI454" s="18" t="s">
        <v>81</v>
      </c>
      <c r="AJ454" s="18" t="s">
        <v>118</v>
      </c>
      <c r="AK454" s="18" t="s">
        <v>95</v>
      </c>
      <c r="AL454" s="18" t="s">
        <v>14177</v>
      </c>
      <c r="AM454" s="18" t="s">
        <v>85</v>
      </c>
      <c r="AN454" s="18" t="s">
        <v>7031</v>
      </c>
      <c r="AO454" s="18" t="s">
        <v>86</v>
      </c>
      <c r="AP454" s="18" t="s">
        <v>90</v>
      </c>
      <c r="AQ454" s="18" t="s">
        <v>8050</v>
      </c>
      <c r="AR454" s="18" t="s">
        <v>122</v>
      </c>
      <c r="AS454" s="18" t="s">
        <v>92</v>
      </c>
      <c r="AT454" s="18" t="s">
        <v>95</v>
      </c>
      <c r="AU454" s="18" t="s">
        <v>95</v>
      </c>
      <c r="AV454" s="18" t="s">
        <v>7047</v>
      </c>
      <c r="AW454" s="18" t="s">
        <v>95</v>
      </c>
      <c r="AX454" s="18" t="s">
        <v>10806</v>
      </c>
      <c r="AY454" s="18" t="s">
        <v>95</v>
      </c>
      <c r="AZ454" s="18" t="s">
        <v>95</v>
      </c>
      <c r="BA454" s="18" t="s">
        <v>95</v>
      </c>
      <c r="BB454" s="18" t="s">
        <v>95</v>
      </c>
      <c r="BC454" s="18" t="s">
        <v>95</v>
      </c>
      <c r="BD454" s="18" t="s">
        <v>10829</v>
      </c>
      <c r="BE454" s="18" t="s">
        <v>14280</v>
      </c>
      <c r="BF454" s="18" t="s">
        <v>10809</v>
      </c>
      <c r="BG454" s="18" t="s">
        <v>7030</v>
      </c>
      <c r="BH454" s="18"/>
      <c r="BI454" s="18"/>
      <c r="BJ454" s="18" t="s">
        <v>1043</v>
      </c>
      <c r="BK454" s="18" t="s">
        <v>14281</v>
      </c>
      <c r="BL454" s="18" t="s">
        <v>10811</v>
      </c>
      <c r="BM454" s="18" t="s">
        <v>92</v>
      </c>
      <c r="BN454" s="18" t="s">
        <v>85</v>
      </c>
      <c r="BO454" s="18">
        <v>0</v>
      </c>
      <c r="BP454" s="18" t="s">
        <v>10812</v>
      </c>
      <c r="BQ454" s="18" t="str">
        <f>VLOOKUP(Prepago[[#This Row],[NOM_PLAZA]],[1]!Locales[#Data],3,0)</f>
        <v>TIENDA MACHALA</v>
      </c>
      <c r="BR454" s="18" t="str">
        <f>VLOOKUP(Prepago[[#This Row],[CODIGO_USUARIO]],[1]!Personal[#Data],6,0)</f>
        <v>GONZAGA YUPANGUI LIZBETH KATHERINE</v>
      </c>
      <c r="BS454" s="18">
        <f>DAY(Prepago[[#This Row],[FECHA_ALTA]])</f>
        <v>13</v>
      </c>
    </row>
    <row r="455" spans="1:71" x14ac:dyDescent="0.25">
      <c r="A455" s="18" t="s">
        <v>96</v>
      </c>
      <c r="B455" s="18" t="s">
        <v>14282</v>
      </c>
      <c r="C455" s="18" t="s">
        <v>14283</v>
      </c>
      <c r="D455" s="18" t="s">
        <v>14284</v>
      </c>
      <c r="E455" s="22">
        <v>44910</v>
      </c>
      <c r="F455" s="18" t="s">
        <v>67</v>
      </c>
      <c r="G455" s="18" t="s">
        <v>14285</v>
      </c>
      <c r="H455" s="18" t="s">
        <v>14286</v>
      </c>
      <c r="I455" s="18" t="s">
        <v>70</v>
      </c>
      <c r="J455" s="18" t="s">
        <v>8102</v>
      </c>
      <c r="K455" s="18" t="s">
        <v>8103</v>
      </c>
      <c r="L455" s="18" t="s">
        <v>95</v>
      </c>
      <c r="M455" s="18" t="s">
        <v>7047</v>
      </c>
      <c r="N455" s="18" t="s">
        <v>14287</v>
      </c>
      <c r="O455" s="18" t="s">
        <v>75</v>
      </c>
      <c r="P455" s="18" t="s">
        <v>14288</v>
      </c>
      <c r="Q455" s="18" t="s">
        <v>4453</v>
      </c>
      <c r="R455" s="18" t="s">
        <v>78</v>
      </c>
      <c r="S455" s="18" t="s">
        <v>77</v>
      </c>
      <c r="T455" s="22">
        <v>44915</v>
      </c>
      <c r="U455" s="18"/>
      <c r="V455" s="18" t="s">
        <v>81</v>
      </c>
      <c r="W455" s="18" t="s">
        <v>79</v>
      </c>
      <c r="X455" s="18" t="s">
        <v>10803</v>
      </c>
      <c r="Y455" s="18" t="s">
        <v>1043</v>
      </c>
      <c r="Z455" s="18" t="s">
        <v>1044</v>
      </c>
      <c r="AA455" s="18" t="s">
        <v>7062</v>
      </c>
      <c r="AB455" s="18" t="s">
        <v>95</v>
      </c>
      <c r="AC455" s="18" t="s">
        <v>7984</v>
      </c>
      <c r="AD455" s="18" t="s">
        <v>10804</v>
      </c>
      <c r="AE455" s="18" t="s">
        <v>117</v>
      </c>
      <c r="AF455" s="18" t="s">
        <v>95</v>
      </c>
      <c r="AG455" s="18" t="s">
        <v>83</v>
      </c>
      <c r="AH455" s="18" t="s">
        <v>83</v>
      </c>
      <c r="AI455" s="18" t="s">
        <v>81</v>
      </c>
      <c r="AJ455" s="18" t="s">
        <v>118</v>
      </c>
      <c r="AK455" s="18" t="s">
        <v>95</v>
      </c>
      <c r="AL455" s="18" t="s">
        <v>14177</v>
      </c>
      <c r="AM455" s="18" t="s">
        <v>85</v>
      </c>
      <c r="AN455" s="18" t="s">
        <v>7031</v>
      </c>
      <c r="AO455" s="18" t="s">
        <v>86</v>
      </c>
      <c r="AP455" s="18" t="s">
        <v>90</v>
      </c>
      <c r="AQ455" s="18" t="s">
        <v>8050</v>
      </c>
      <c r="AR455" s="18" t="s">
        <v>122</v>
      </c>
      <c r="AS455" s="18" t="s">
        <v>92</v>
      </c>
      <c r="AT455" s="18" t="s">
        <v>95</v>
      </c>
      <c r="AU455" s="18" t="s">
        <v>95</v>
      </c>
      <c r="AV455" s="18" t="s">
        <v>7047</v>
      </c>
      <c r="AW455" s="18" t="s">
        <v>95</v>
      </c>
      <c r="AX455" s="18" t="s">
        <v>10806</v>
      </c>
      <c r="AY455" s="18" t="s">
        <v>95</v>
      </c>
      <c r="AZ455" s="18" t="s">
        <v>95</v>
      </c>
      <c r="BA455" s="18" t="s">
        <v>95</v>
      </c>
      <c r="BB455" s="18" t="s">
        <v>95</v>
      </c>
      <c r="BC455" s="18" t="s">
        <v>95</v>
      </c>
      <c r="BD455" s="18" t="s">
        <v>10829</v>
      </c>
      <c r="BE455" s="18" t="s">
        <v>95</v>
      </c>
      <c r="BF455" s="18" t="s">
        <v>10809</v>
      </c>
      <c r="BG455" s="18" t="s">
        <v>7030</v>
      </c>
      <c r="BH455" s="18"/>
      <c r="BI455" s="18"/>
      <c r="BJ455" s="18" t="s">
        <v>1043</v>
      </c>
      <c r="BK455" s="18" t="s">
        <v>14289</v>
      </c>
      <c r="BL455" s="18" t="s">
        <v>10811</v>
      </c>
      <c r="BM455" s="18" t="s">
        <v>92</v>
      </c>
      <c r="BN455" s="18" t="s">
        <v>85</v>
      </c>
      <c r="BO455" s="18">
        <v>0</v>
      </c>
      <c r="BP455" s="18" t="s">
        <v>10812</v>
      </c>
      <c r="BQ455" s="18" t="str">
        <f>VLOOKUP(Prepago[[#This Row],[NOM_PLAZA]],[1]!Locales[#Data],3,0)</f>
        <v>TIENDA MACHALA</v>
      </c>
      <c r="BR455" s="18" t="str">
        <f>VLOOKUP(Prepago[[#This Row],[CODIGO_USUARIO]],[1]!Personal[#Data],6,0)</f>
        <v>GONZAGA YUPANGUI LIZBETH KATHERINE</v>
      </c>
      <c r="BS455" s="18">
        <f>DAY(Prepago[[#This Row],[FECHA_ALTA]])</f>
        <v>15</v>
      </c>
    </row>
    <row r="456" spans="1:71" x14ac:dyDescent="0.25">
      <c r="A456" s="18" t="s">
        <v>96</v>
      </c>
      <c r="B456" s="18" t="s">
        <v>14290</v>
      </c>
      <c r="C456" s="18" t="s">
        <v>14291</v>
      </c>
      <c r="D456" s="18" t="s">
        <v>14292</v>
      </c>
      <c r="E456" s="22">
        <v>44908</v>
      </c>
      <c r="F456" s="18" t="s">
        <v>67</v>
      </c>
      <c r="G456" s="18" t="s">
        <v>4516</v>
      </c>
      <c r="H456" s="18" t="s">
        <v>4517</v>
      </c>
      <c r="I456" s="18" t="s">
        <v>70</v>
      </c>
      <c r="J456" s="18" t="s">
        <v>8102</v>
      </c>
      <c r="K456" s="18" t="s">
        <v>8103</v>
      </c>
      <c r="L456" s="18" t="s">
        <v>95</v>
      </c>
      <c r="M456" s="18" t="s">
        <v>7047</v>
      </c>
      <c r="N456" s="18" t="s">
        <v>14293</v>
      </c>
      <c r="O456" s="18" t="s">
        <v>75</v>
      </c>
      <c r="P456" s="18" t="s">
        <v>14294</v>
      </c>
      <c r="Q456" s="18" t="s">
        <v>4453</v>
      </c>
      <c r="R456" s="18" t="s">
        <v>78</v>
      </c>
      <c r="S456" s="18" t="s">
        <v>77</v>
      </c>
      <c r="T456" s="22">
        <v>44915</v>
      </c>
      <c r="U456" s="18"/>
      <c r="V456" s="18" t="s">
        <v>81</v>
      </c>
      <c r="W456" s="18" t="s">
        <v>79</v>
      </c>
      <c r="X456" s="18" t="s">
        <v>10803</v>
      </c>
      <c r="Y456" s="18" t="s">
        <v>352</v>
      </c>
      <c r="Z456" s="18" t="s">
        <v>353</v>
      </c>
      <c r="AA456" s="18" t="s">
        <v>352</v>
      </c>
      <c r="AB456" s="18" t="s">
        <v>353</v>
      </c>
      <c r="AC456" s="18" t="s">
        <v>7984</v>
      </c>
      <c r="AD456" s="18" t="s">
        <v>10804</v>
      </c>
      <c r="AE456" s="18" t="s">
        <v>117</v>
      </c>
      <c r="AF456" s="18" t="s">
        <v>95</v>
      </c>
      <c r="AG456" s="18" t="s">
        <v>83</v>
      </c>
      <c r="AH456" s="18" t="s">
        <v>83</v>
      </c>
      <c r="AI456" s="18" t="s">
        <v>81</v>
      </c>
      <c r="AJ456" s="18" t="s">
        <v>118</v>
      </c>
      <c r="AK456" s="18" t="s">
        <v>95</v>
      </c>
      <c r="AL456" s="18" t="s">
        <v>10764</v>
      </c>
      <c r="AM456" s="18" t="s">
        <v>85</v>
      </c>
      <c r="AN456" s="18" t="s">
        <v>7031</v>
      </c>
      <c r="AO456" s="18" t="s">
        <v>86</v>
      </c>
      <c r="AP456" s="18" t="s">
        <v>90</v>
      </c>
      <c r="AQ456" s="18" t="s">
        <v>8050</v>
      </c>
      <c r="AR456" s="18" t="s">
        <v>122</v>
      </c>
      <c r="AS456" s="18" t="s">
        <v>92</v>
      </c>
      <c r="AT456" s="18" t="s">
        <v>95</v>
      </c>
      <c r="AU456" s="18" t="s">
        <v>95</v>
      </c>
      <c r="AV456" s="18" t="s">
        <v>7047</v>
      </c>
      <c r="AW456" s="18" t="s">
        <v>95</v>
      </c>
      <c r="AX456" s="18" t="s">
        <v>10806</v>
      </c>
      <c r="AY456" s="18" t="s">
        <v>95</v>
      </c>
      <c r="AZ456" s="18" t="s">
        <v>95</v>
      </c>
      <c r="BA456" s="18" t="s">
        <v>95</v>
      </c>
      <c r="BB456" s="18" t="s">
        <v>95</v>
      </c>
      <c r="BC456" s="18" t="s">
        <v>95</v>
      </c>
      <c r="BD456" s="18" t="s">
        <v>10829</v>
      </c>
      <c r="BE456" s="18" t="s">
        <v>14295</v>
      </c>
      <c r="BF456" s="18" t="s">
        <v>10809</v>
      </c>
      <c r="BG456" s="18" t="s">
        <v>7030</v>
      </c>
      <c r="BH456" s="18"/>
      <c r="BI456" s="18"/>
      <c r="BJ456" s="18" t="s">
        <v>352</v>
      </c>
      <c r="BK456" s="18" t="s">
        <v>14296</v>
      </c>
      <c r="BL456" s="18" t="s">
        <v>10811</v>
      </c>
      <c r="BM456" s="18" t="s">
        <v>92</v>
      </c>
      <c r="BN456" s="18" t="s">
        <v>85</v>
      </c>
      <c r="BO456" s="18">
        <v>0</v>
      </c>
      <c r="BP456" s="18" t="s">
        <v>10812</v>
      </c>
      <c r="BQ456" s="18" t="str">
        <f>VLOOKUP(Prepago[[#This Row],[NOM_PLAZA]],[1]!Locales[#Data],3,0)</f>
        <v>TIENDA MACHALA</v>
      </c>
      <c r="BR456" s="18" t="str">
        <f>VLOOKUP(Prepago[[#This Row],[CODIGO_USUARIO]],[1]!Personal[#Data],6,0)</f>
        <v>TENORIO MARIA DEL PILAR</v>
      </c>
      <c r="BS456" s="18">
        <f>DAY(Prepago[[#This Row],[FECHA_ALTA]])</f>
        <v>13</v>
      </c>
    </row>
    <row r="457" spans="1:71" x14ac:dyDescent="0.25">
      <c r="A457" s="18" t="s">
        <v>96</v>
      </c>
      <c r="B457" s="18" t="s">
        <v>14297</v>
      </c>
      <c r="C457" s="18" t="s">
        <v>14298</v>
      </c>
      <c r="D457" s="18" t="s">
        <v>14266</v>
      </c>
      <c r="E457" s="22">
        <v>44912</v>
      </c>
      <c r="F457" s="18" t="s">
        <v>67</v>
      </c>
      <c r="G457" s="18" t="s">
        <v>14267</v>
      </c>
      <c r="H457" s="18" t="s">
        <v>14268</v>
      </c>
      <c r="I457" s="18" t="s">
        <v>70</v>
      </c>
      <c r="J457" s="18" t="s">
        <v>8102</v>
      </c>
      <c r="K457" s="18" t="s">
        <v>8103</v>
      </c>
      <c r="L457" s="18" t="s">
        <v>114</v>
      </c>
      <c r="M457" s="18" t="s">
        <v>7047</v>
      </c>
      <c r="N457" s="18" t="s">
        <v>14299</v>
      </c>
      <c r="O457" s="18" t="s">
        <v>75</v>
      </c>
      <c r="P457" s="18" t="s">
        <v>14300</v>
      </c>
      <c r="Q457" s="18" t="s">
        <v>10817</v>
      </c>
      <c r="R457" s="18" t="s">
        <v>78</v>
      </c>
      <c r="S457" s="18" t="s">
        <v>77</v>
      </c>
      <c r="T457" s="22">
        <v>44915</v>
      </c>
      <c r="U457" s="18"/>
      <c r="V457" s="18" t="s">
        <v>81</v>
      </c>
      <c r="W457" s="18" t="s">
        <v>79</v>
      </c>
      <c r="X457" s="18" t="s">
        <v>10803</v>
      </c>
      <c r="Y457" s="18" t="s">
        <v>120</v>
      </c>
      <c r="Z457" s="18" t="s">
        <v>121</v>
      </c>
      <c r="AA457" s="18" t="s">
        <v>120</v>
      </c>
      <c r="AB457" s="18" t="s">
        <v>121</v>
      </c>
      <c r="AC457" s="18" t="s">
        <v>7984</v>
      </c>
      <c r="AD457" s="18" t="s">
        <v>10804</v>
      </c>
      <c r="AE457" s="18" t="s">
        <v>117</v>
      </c>
      <c r="AF457" s="18" t="s">
        <v>95</v>
      </c>
      <c r="AG457" s="18" t="s">
        <v>83</v>
      </c>
      <c r="AH457" s="18" t="s">
        <v>83</v>
      </c>
      <c r="AI457" s="18" t="s">
        <v>81</v>
      </c>
      <c r="AJ457" s="18" t="s">
        <v>118</v>
      </c>
      <c r="AK457" s="18" t="s">
        <v>95</v>
      </c>
      <c r="AL457" s="18" t="s">
        <v>5819</v>
      </c>
      <c r="AM457" s="18" t="s">
        <v>85</v>
      </c>
      <c r="AN457" s="18" t="s">
        <v>7031</v>
      </c>
      <c r="AO457" s="18" t="s">
        <v>86</v>
      </c>
      <c r="AP457" s="18" t="s">
        <v>90</v>
      </c>
      <c r="AQ457" s="18" t="s">
        <v>8050</v>
      </c>
      <c r="AR457" s="18" t="s">
        <v>122</v>
      </c>
      <c r="AS457" s="18" t="s">
        <v>92</v>
      </c>
      <c r="AT457" s="18" t="s">
        <v>95</v>
      </c>
      <c r="AU457" s="18" t="s">
        <v>95</v>
      </c>
      <c r="AV457" s="18" t="s">
        <v>7047</v>
      </c>
      <c r="AW457" s="18" t="s">
        <v>95</v>
      </c>
      <c r="AX457" s="18" t="s">
        <v>10806</v>
      </c>
      <c r="AY457" s="18" t="s">
        <v>95</v>
      </c>
      <c r="AZ457" s="18" t="s">
        <v>95</v>
      </c>
      <c r="BA457" s="18" t="s">
        <v>95</v>
      </c>
      <c r="BB457" s="18" t="s">
        <v>95</v>
      </c>
      <c r="BC457" s="18" t="s">
        <v>95</v>
      </c>
      <c r="BD457" s="18" t="s">
        <v>10829</v>
      </c>
      <c r="BE457" s="18" t="s">
        <v>14271</v>
      </c>
      <c r="BF457" s="18" t="s">
        <v>10809</v>
      </c>
      <c r="BG457" s="18" t="s">
        <v>7030</v>
      </c>
      <c r="BH457" s="18"/>
      <c r="BI457" s="18"/>
      <c r="BJ457" s="18" t="s">
        <v>120</v>
      </c>
      <c r="BK457" s="18" t="s">
        <v>14272</v>
      </c>
      <c r="BL457" s="18" t="s">
        <v>10811</v>
      </c>
      <c r="BM457" s="18" t="s">
        <v>92</v>
      </c>
      <c r="BN457" s="18" t="s">
        <v>85</v>
      </c>
      <c r="BO457" s="18">
        <v>0</v>
      </c>
      <c r="BP457" s="18" t="s">
        <v>10812</v>
      </c>
      <c r="BQ457" s="18" t="str">
        <f>VLOOKUP(Prepago[[#This Row],[NOM_PLAZA]],[1]!Locales[#Data],3,0)</f>
        <v>TIENDA MACHALA</v>
      </c>
      <c r="BR457" s="18" t="str">
        <f>VLOOKUP(Prepago[[#This Row],[CODIGO_USUARIO]],[1]!Personal[#Data],6,0)</f>
        <v>ARROBO VICENTE YADIRA ESPERANZA</v>
      </c>
      <c r="BS457" s="18">
        <f>DAY(Prepago[[#This Row],[FECHA_ALTA]])</f>
        <v>17</v>
      </c>
    </row>
    <row r="458" spans="1:71" x14ac:dyDescent="0.25">
      <c r="A458" s="18" t="s">
        <v>96</v>
      </c>
      <c r="B458" s="18" t="s">
        <v>14301</v>
      </c>
      <c r="C458" s="18" t="s">
        <v>14302</v>
      </c>
      <c r="D458" s="18" t="s">
        <v>14185</v>
      </c>
      <c r="E458" s="22">
        <v>44896</v>
      </c>
      <c r="F458" s="18" t="s">
        <v>67</v>
      </c>
      <c r="G458" s="18" t="s">
        <v>14186</v>
      </c>
      <c r="H458" s="18" t="s">
        <v>14187</v>
      </c>
      <c r="I458" s="18" t="s">
        <v>70</v>
      </c>
      <c r="J458" s="18" t="s">
        <v>8102</v>
      </c>
      <c r="K458" s="18" t="s">
        <v>8103</v>
      </c>
      <c r="L458" s="18" t="s">
        <v>114</v>
      </c>
      <c r="M458" s="18" t="s">
        <v>7047</v>
      </c>
      <c r="N458" s="18" t="s">
        <v>14303</v>
      </c>
      <c r="O458" s="18" t="s">
        <v>75</v>
      </c>
      <c r="P458" s="18" t="s">
        <v>14304</v>
      </c>
      <c r="Q458" s="18" t="s">
        <v>4453</v>
      </c>
      <c r="R458" s="18" t="s">
        <v>78</v>
      </c>
      <c r="S458" s="18" t="s">
        <v>77</v>
      </c>
      <c r="T458" s="22">
        <v>44915</v>
      </c>
      <c r="U458" s="18"/>
      <c r="V458" s="18" t="s">
        <v>81</v>
      </c>
      <c r="W458" s="18" t="s">
        <v>79</v>
      </c>
      <c r="X458" s="18" t="s">
        <v>10803</v>
      </c>
      <c r="Y458" s="18" t="s">
        <v>120</v>
      </c>
      <c r="Z458" s="18" t="s">
        <v>121</v>
      </c>
      <c r="AA458" s="18" t="s">
        <v>120</v>
      </c>
      <c r="AB458" s="18" t="s">
        <v>121</v>
      </c>
      <c r="AC458" s="18" t="s">
        <v>7984</v>
      </c>
      <c r="AD458" s="18" t="s">
        <v>10804</v>
      </c>
      <c r="AE458" s="18" t="s">
        <v>117</v>
      </c>
      <c r="AF458" s="18" t="s">
        <v>95</v>
      </c>
      <c r="AG458" s="18" t="s">
        <v>83</v>
      </c>
      <c r="AH458" s="18" t="s">
        <v>83</v>
      </c>
      <c r="AI458" s="18" t="s">
        <v>81</v>
      </c>
      <c r="AJ458" s="18" t="s">
        <v>118</v>
      </c>
      <c r="AK458" s="18" t="s">
        <v>95</v>
      </c>
      <c r="AL458" s="18" t="s">
        <v>5819</v>
      </c>
      <c r="AM458" s="18" t="s">
        <v>85</v>
      </c>
      <c r="AN458" s="18" t="s">
        <v>7031</v>
      </c>
      <c r="AO458" s="18" t="s">
        <v>86</v>
      </c>
      <c r="AP458" s="18" t="s">
        <v>90</v>
      </c>
      <c r="AQ458" s="18" t="s">
        <v>8050</v>
      </c>
      <c r="AR458" s="18" t="s">
        <v>122</v>
      </c>
      <c r="AS458" s="18" t="s">
        <v>92</v>
      </c>
      <c r="AT458" s="18" t="s">
        <v>95</v>
      </c>
      <c r="AU458" s="18" t="s">
        <v>95</v>
      </c>
      <c r="AV458" s="18" t="s">
        <v>7047</v>
      </c>
      <c r="AW458" s="18" t="s">
        <v>95</v>
      </c>
      <c r="AX458" s="18" t="s">
        <v>10806</v>
      </c>
      <c r="AY458" s="18" t="s">
        <v>95</v>
      </c>
      <c r="AZ458" s="18" t="s">
        <v>95</v>
      </c>
      <c r="BA458" s="18" t="s">
        <v>95</v>
      </c>
      <c r="BB458" s="18" t="s">
        <v>95</v>
      </c>
      <c r="BC458" s="18" t="s">
        <v>95</v>
      </c>
      <c r="BD458" s="18" t="s">
        <v>10807</v>
      </c>
      <c r="BE458" s="18" t="s">
        <v>14190</v>
      </c>
      <c r="BF458" s="18" t="s">
        <v>10809</v>
      </c>
      <c r="BG458" s="18" t="s">
        <v>7030</v>
      </c>
      <c r="BH458" s="18"/>
      <c r="BI458" s="18"/>
      <c r="BJ458" s="18" t="s">
        <v>120</v>
      </c>
      <c r="BK458" s="18" t="s">
        <v>14191</v>
      </c>
      <c r="BL458" s="18" t="s">
        <v>10811</v>
      </c>
      <c r="BM458" s="18" t="s">
        <v>92</v>
      </c>
      <c r="BN458" s="18" t="s">
        <v>85</v>
      </c>
      <c r="BO458" s="18">
        <v>0</v>
      </c>
      <c r="BP458" s="18" t="s">
        <v>10812</v>
      </c>
      <c r="BQ458" s="18" t="str">
        <f>VLOOKUP(Prepago[[#This Row],[NOM_PLAZA]],[1]!Locales[#Data],3,0)</f>
        <v>TIENDA MACHALA</v>
      </c>
      <c r="BR458" s="18" t="str">
        <f>VLOOKUP(Prepago[[#This Row],[CODIGO_USUARIO]],[1]!Personal[#Data],6,0)</f>
        <v>ARROBO VICENTE YADIRA ESPERANZA</v>
      </c>
      <c r="BS458" s="18">
        <f>DAY(Prepago[[#This Row],[FECHA_ALTA]])</f>
        <v>1</v>
      </c>
    </row>
    <row r="459" spans="1:71" x14ac:dyDescent="0.25">
      <c r="A459" s="18" t="s">
        <v>96</v>
      </c>
      <c r="B459" s="18" t="s">
        <v>14305</v>
      </c>
      <c r="C459" s="18" t="s">
        <v>14306</v>
      </c>
      <c r="D459" s="18" t="s">
        <v>14307</v>
      </c>
      <c r="E459" s="22">
        <v>44901</v>
      </c>
      <c r="F459" s="18" t="s">
        <v>67</v>
      </c>
      <c r="G459" s="18" t="s">
        <v>14308</v>
      </c>
      <c r="H459" s="18" t="s">
        <v>14309</v>
      </c>
      <c r="I459" s="18" t="s">
        <v>70</v>
      </c>
      <c r="J459" s="18" t="s">
        <v>8102</v>
      </c>
      <c r="K459" s="18" t="s">
        <v>8103</v>
      </c>
      <c r="L459" s="18" t="s">
        <v>349</v>
      </c>
      <c r="M459" s="18" t="s">
        <v>7037</v>
      </c>
      <c r="N459" s="18" t="s">
        <v>14310</v>
      </c>
      <c r="O459" s="18" t="s">
        <v>75</v>
      </c>
      <c r="P459" s="18" t="s">
        <v>14311</v>
      </c>
      <c r="Q459" s="18" t="s">
        <v>10817</v>
      </c>
      <c r="R459" s="18" t="s">
        <v>78</v>
      </c>
      <c r="S459" s="18" t="s">
        <v>77</v>
      </c>
      <c r="T459" s="22">
        <v>44915</v>
      </c>
      <c r="U459" s="18"/>
      <c r="V459" s="18" t="s">
        <v>81</v>
      </c>
      <c r="W459" s="18" t="s">
        <v>79</v>
      </c>
      <c r="X459" s="18" t="s">
        <v>10803</v>
      </c>
      <c r="Y459" s="18" t="s">
        <v>352</v>
      </c>
      <c r="Z459" s="18" t="s">
        <v>353</v>
      </c>
      <c r="AA459" s="18" t="s">
        <v>352</v>
      </c>
      <c r="AB459" s="18" t="s">
        <v>353</v>
      </c>
      <c r="AC459" s="18" t="s">
        <v>7984</v>
      </c>
      <c r="AD459" s="18" t="s">
        <v>10804</v>
      </c>
      <c r="AE459" s="18" t="s">
        <v>117</v>
      </c>
      <c r="AF459" s="18" t="s">
        <v>95</v>
      </c>
      <c r="AG459" s="18" t="s">
        <v>83</v>
      </c>
      <c r="AH459" s="18" t="s">
        <v>83</v>
      </c>
      <c r="AI459" s="18" t="s">
        <v>81</v>
      </c>
      <c r="AJ459" s="18" t="s">
        <v>118</v>
      </c>
      <c r="AK459" s="18" t="s">
        <v>95</v>
      </c>
      <c r="AL459" s="18" t="s">
        <v>10764</v>
      </c>
      <c r="AM459" s="18" t="s">
        <v>85</v>
      </c>
      <c r="AN459" s="18" t="s">
        <v>7031</v>
      </c>
      <c r="AO459" s="18" t="s">
        <v>86</v>
      </c>
      <c r="AP459" s="18" t="s">
        <v>90</v>
      </c>
      <c r="AQ459" s="18" t="s">
        <v>8050</v>
      </c>
      <c r="AR459" s="18" t="s">
        <v>122</v>
      </c>
      <c r="AS459" s="18" t="s">
        <v>92</v>
      </c>
      <c r="AT459" s="18" t="s">
        <v>95</v>
      </c>
      <c r="AU459" s="18" t="s">
        <v>95</v>
      </c>
      <c r="AV459" s="18" t="s">
        <v>7037</v>
      </c>
      <c r="AW459" s="18" t="s">
        <v>95</v>
      </c>
      <c r="AX459" s="18" t="s">
        <v>10806</v>
      </c>
      <c r="AY459" s="18" t="s">
        <v>95</v>
      </c>
      <c r="AZ459" s="18" t="s">
        <v>95</v>
      </c>
      <c r="BA459" s="18" t="s">
        <v>95</v>
      </c>
      <c r="BB459" s="18" t="s">
        <v>95</v>
      </c>
      <c r="BC459" s="18" t="s">
        <v>95</v>
      </c>
      <c r="BD459" s="18" t="s">
        <v>10829</v>
      </c>
      <c r="BE459" s="18" t="s">
        <v>12504</v>
      </c>
      <c r="BF459" s="18" t="s">
        <v>10809</v>
      </c>
      <c r="BG459" s="18" t="s">
        <v>7030</v>
      </c>
      <c r="BH459" s="18"/>
      <c r="BI459" s="18"/>
      <c r="BJ459" s="18" t="s">
        <v>352</v>
      </c>
      <c r="BK459" s="18" t="s">
        <v>14312</v>
      </c>
      <c r="BL459" s="18" t="s">
        <v>10811</v>
      </c>
      <c r="BM459" s="18" t="s">
        <v>139</v>
      </c>
      <c r="BN459" s="18" t="s">
        <v>85</v>
      </c>
      <c r="BO459" s="18">
        <v>0</v>
      </c>
      <c r="BP459" s="18" t="s">
        <v>10812</v>
      </c>
      <c r="BQ459" s="18" t="str">
        <f>VLOOKUP(Prepago[[#This Row],[NOM_PLAZA]],[1]!Locales[#Data],3,0)</f>
        <v>TIENDA MACHALA</v>
      </c>
      <c r="BR459" s="18" t="str">
        <f>VLOOKUP(Prepago[[#This Row],[CODIGO_USUARIO]],[1]!Personal[#Data],6,0)</f>
        <v>TENORIO MARIA DEL PILAR</v>
      </c>
      <c r="BS459" s="18">
        <f>DAY(Prepago[[#This Row],[FECHA_ALTA]])</f>
        <v>6</v>
      </c>
    </row>
    <row r="460" spans="1:71" x14ac:dyDescent="0.25">
      <c r="A460" s="18" t="s">
        <v>96</v>
      </c>
      <c r="B460" s="18" t="s">
        <v>14313</v>
      </c>
      <c r="C460" s="18" t="s">
        <v>14314</v>
      </c>
      <c r="D460" s="18" t="s">
        <v>14315</v>
      </c>
      <c r="E460" s="22">
        <v>44900</v>
      </c>
      <c r="F460" s="18" t="s">
        <v>67</v>
      </c>
      <c r="G460" s="18" t="s">
        <v>14316</v>
      </c>
      <c r="H460" s="18" t="s">
        <v>14317</v>
      </c>
      <c r="I460" s="18" t="s">
        <v>70</v>
      </c>
      <c r="J460" s="18" t="s">
        <v>8102</v>
      </c>
      <c r="K460" s="18" t="s">
        <v>8103</v>
      </c>
      <c r="L460" s="18" t="s">
        <v>349</v>
      </c>
      <c r="M460" s="18" t="s">
        <v>7047</v>
      </c>
      <c r="N460" s="18" t="s">
        <v>14318</v>
      </c>
      <c r="O460" s="18" t="s">
        <v>75</v>
      </c>
      <c r="P460" s="18" t="s">
        <v>14319</v>
      </c>
      <c r="Q460" s="18" t="s">
        <v>10817</v>
      </c>
      <c r="R460" s="18" t="s">
        <v>78</v>
      </c>
      <c r="S460" s="18" t="s">
        <v>77</v>
      </c>
      <c r="T460" s="22">
        <v>44915</v>
      </c>
      <c r="U460" s="18"/>
      <c r="V460" s="18" t="s">
        <v>81</v>
      </c>
      <c r="W460" s="18" t="s">
        <v>79</v>
      </c>
      <c r="X460" s="18" t="s">
        <v>10803</v>
      </c>
      <c r="Y460" s="18" t="s">
        <v>352</v>
      </c>
      <c r="Z460" s="18" t="s">
        <v>353</v>
      </c>
      <c r="AA460" s="18" t="s">
        <v>352</v>
      </c>
      <c r="AB460" s="18" t="s">
        <v>353</v>
      </c>
      <c r="AC460" s="18" t="s">
        <v>7984</v>
      </c>
      <c r="AD460" s="18" t="s">
        <v>10804</v>
      </c>
      <c r="AE460" s="18" t="s">
        <v>117</v>
      </c>
      <c r="AF460" s="18" t="s">
        <v>95</v>
      </c>
      <c r="AG460" s="18" t="s">
        <v>83</v>
      </c>
      <c r="AH460" s="18" t="s">
        <v>83</v>
      </c>
      <c r="AI460" s="18" t="s">
        <v>81</v>
      </c>
      <c r="AJ460" s="18" t="s">
        <v>118</v>
      </c>
      <c r="AK460" s="18" t="s">
        <v>95</v>
      </c>
      <c r="AL460" s="18" t="s">
        <v>10764</v>
      </c>
      <c r="AM460" s="18" t="s">
        <v>85</v>
      </c>
      <c r="AN460" s="18" t="s">
        <v>7031</v>
      </c>
      <c r="AO460" s="18" t="s">
        <v>86</v>
      </c>
      <c r="AP460" s="18" t="s">
        <v>90</v>
      </c>
      <c r="AQ460" s="18" t="s">
        <v>8050</v>
      </c>
      <c r="AR460" s="18" t="s">
        <v>122</v>
      </c>
      <c r="AS460" s="18" t="s">
        <v>92</v>
      </c>
      <c r="AT460" s="18" t="s">
        <v>95</v>
      </c>
      <c r="AU460" s="18" t="s">
        <v>95</v>
      </c>
      <c r="AV460" s="18" t="s">
        <v>7047</v>
      </c>
      <c r="AW460" s="18" t="s">
        <v>95</v>
      </c>
      <c r="AX460" s="18" t="s">
        <v>10806</v>
      </c>
      <c r="AY460" s="18" t="s">
        <v>95</v>
      </c>
      <c r="AZ460" s="18" t="s">
        <v>95</v>
      </c>
      <c r="BA460" s="18" t="s">
        <v>95</v>
      </c>
      <c r="BB460" s="18" t="s">
        <v>95</v>
      </c>
      <c r="BC460" s="18" t="s">
        <v>95</v>
      </c>
      <c r="BD460" s="18" t="s">
        <v>10829</v>
      </c>
      <c r="BE460" s="18" t="s">
        <v>14320</v>
      </c>
      <c r="BF460" s="18" t="s">
        <v>10809</v>
      </c>
      <c r="BG460" s="18" t="s">
        <v>7030</v>
      </c>
      <c r="BH460" s="18"/>
      <c r="BI460" s="18"/>
      <c r="BJ460" s="18" t="s">
        <v>352</v>
      </c>
      <c r="BK460" s="18" t="s">
        <v>14321</v>
      </c>
      <c r="BL460" s="18" t="s">
        <v>10811</v>
      </c>
      <c r="BM460" s="18" t="s">
        <v>92</v>
      </c>
      <c r="BN460" s="18" t="s">
        <v>85</v>
      </c>
      <c r="BO460" s="18">
        <v>1</v>
      </c>
      <c r="BP460" s="18" t="s">
        <v>10812</v>
      </c>
      <c r="BQ460" s="18" t="str">
        <f>VLOOKUP(Prepago[[#This Row],[NOM_PLAZA]],[1]!Locales[#Data],3,0)</f>
        <v>TIENDA MACHALA</v>
      </c>
      <c r="BR460" s="18" t="str">
        <f>VLOOKUP(Prepago[[#This Row],[CODIGO_USUARIO]],[1]!Personal[#Data],6,0)</f>
        <v>TENORIO MARIA DEL PILAR</v>
      </c>
      <c r="BS460" s="18">
        <f>DAY(Prepago[[#This Row],[FECHA_ALTA]])</f>
        <v>5</v>
      </c>
    </row>
    <row r="461" spans="1:71" x14ac:dyDescent="0.25">
      <c r="A461" s="18" t="s">
        <v>96</v>
      </c>
      <c r="B461" s="18" t="s">
        <v>14322</v>
      </c>
      <c r="C461" s="18" t="s">
        <v>14323</v>
      </c>
      <c r="D461" s="18" t="s">
        <v>14324</v>
      </c>
      <c r="E461" s="22">
        <v>44903</v>
      </c>
      <c r="F461" s="18" t="s">
        <v>67</v>
      </c>
      <c r="G461" s="18" t="s">
        <v>3901</v>
      </c>
      <c r="H461" s="18" t="s">
        <v>3902</v>
      </c>
      <c r="I461" s="18" t="s">
        <v>70</v>
      </c>
      <c r="J461" s="18" t="s">
        <v>8102</v>
      </c>
      <c r="K461" s="18" t="s">
        <v>8103</v>
      </c>
      <c r="L461" s="18" t="s">
        <v>3903</v>
      </c>
      <c r="M461" s="18" t="s">
        <v>7047</v>
      </c>
      <c r="N461" s="18" t="s">
        <v>14325</v>
      </c>
      <c r="O461" s="18" t="s">
        <v>75</v>
      </c>
      <c r="P461" s="18" t="s">
        <v>14326</v>
      </c>
      <c r="Q461" s="18" t="s">
        <v>4453</v>
      </c>
      <c r="R461" s="18" t="s">
        <v>78</v>
      </c>
      <c r="S461" s="18" t="s">
        <v>77</v>
      </c>
      <c r="T461" s="22">
        <v>44915</v>
      </c>
      <c r="U461" s="18"/>
      <c r="V461" s="18" t="s">
        <v>81</v>
      </c>
      <c r="W461" s="18" t="s">
        <v>79</v>
      </c>
      <c r="X461" s="18" t="s">
        <v>10803</v>
      </c>
      <c r="Y461" s="18" t="s">
        <v>352</v>
      </c>
      <c r="Z461" s="18" t="s">
        <v>353</v>
      </c>
      <c r="AA461" s="18" t="s">
        <v>352</v>
      </c>
      <c r="AB461" s="18" t="s">
        <v>353</v>
      </c>
      <c r="AC461" s="18" t="s">
        <v>7984</v>
      </c>
      <c r="AD461" s="18" t="s">
        <v>10804</v>
      </c>
      <c r="AE461" s="18" t="s">
        <v>117</v>
      </c>
      <c r="AF461" s="18" t="s">
        <v>95</v>
      </c>
      <c r="AG461" s="18" t="s">
        <v>83</v>
      </c>
      <c r="AH461" s="18" t="s">
        <v>83</v>
      </c>
      <c r="AI461" s="18" t="s">
        <v>81</v>
      </c>
      <c r="AJ461" s="18" t="s">
        <v>118</v>
      </c>
      <c r="AK461" s="18" t="s">
        <v>95</v>
      </c>
      <c r="AL461" s="18" t="s">
        <v>10764</v>
      </c>
      <c r="AM461" s="18" t="s">
        <v>85</v>
      </c>
      <c r="AN461" s="18" t="s">
        <v>7031</v>
      </c>
      <c r="AO461" s="18" t="s">
        <v>86</v>
      </c>
      <c r="AP461" s="18" t="s">
        <v>90</v>
      </c>
      <c r="AQ461" s="18" t="s">
        <v>8050</v>
      </c>
      <c r="AR461" s="18" t="s">
        <v>122</v>
      </c>
      <c r="AS461" s="18" t="s">
        <v>92</v>
      </c>
      <c r="AT461" s="18" t="s">
        <v>95</v>
      </c>
      <c r="AU461" s="18" t="s">
        <v>95</v>
      </c>
      <c r="AV461" s="18" t="s">
        <v>7047</v>
      </c>
      <c r="AW461" s="18" t="s">
        <v>95</v>
      </c>
      <c r="AX461" s="18" t="s">
        <v>10806</v>
      </c>
      <c r="AY461" s="18" t="s">
        <v>95</v>
      </c>
      <c r="AZ461" s="18" t="s">
        <v>95</v>
      </c>
      <c r="BA461" s="18" t="s">
        <v>95</v>
      </c>
      <c r="BB461" s="18" t="s">
        <v>95</v>
      </c>
      <c r="BC461" s="18" t="s">
        <v>95</v>
      </c>
      <c r="BD461" s="18" t="s">
        <v>10829</v>
      </c>
      <c r="BE461" s="18" t="s">
        <v>14327</v>
      </c>
      <c r="BF461" s="18" t="s">
        <v>10809</v>
      </c>
      <c r="BG461" s="18" t="s">
        <v>7030</v>
      </c>
      <c r="BH461" s="18"/>
      <c r="BI461" s="18"/>
      <c r="BJ461" s="18" t="s">
        <v>352</v>
      </c>
      <c r="BK461" s="18" t="s">
        <v>14328</v>
      </c>
      <c r="BL461" s="18" t="s">
        <v>10811</v>
      </c>
      <c r="BM461" s="18" t="s">
        <v>92</v>
      </c>
      <c r="BN461" s="18" t="s">
        <v>85</v>
      </c>
      <c r="BO461" s="18">
        <v>0</v>
      </c>
      <c r="BP461" s="18" t="s">
        <v>10812</v>
      </c>
      <c r="BQ461" s="18" t="str">
        <f>VLOOKUP(Prepago[[#This Row],[NOM_PLAZA]],[1]!Locales[#Data],3,0)</f>
        <v>TIENDA MACHALA</v>
      </c>
      <c r="BR461" s="18" t="str">
        <f>VLOOKUP(Prepago[[#This Row],[CODIGO_USUARIO]],[1]!Personal[#Data],6,0)</f>
        <v>TENORIO MARIA DEL PILAR</v>
      </c>
      <c r="BS461" s="18">
        <f>DAY(Prepago[[#This Row],[FECHA_ALTA]])</f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Pospago</vt:lpstr>
      <vt:lpstr>Cambio de Plan</vt:lpstr>
      <vt:lpstr>Terminales</vt:lpstr>
      <vt:lpstr>ESC_CP</vt:lpstr>
      <vt:lpstr>Paq. Llamad. Ilim.</vt:lpstr>
      <vt:lpstr>Seguros</vt:lpstr>
      <vt:lpstr>MPlay</vt:lpstr>
      <vt:lpstr>CDF-FOX-HBO</vt:lpstr>
      <vt:lpstr>Prepago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ESPINALES P</dc:creator>
  <cp:lastModifiedBy>user</cp:lastModifiedBy>
  <dcterms:created xsi:type="dcterms:W3CDTF">2022-12-20T14:44:29Z</dcterms:created>
  <dcterms:modified xsi:type="dcterms:W3CDTF">2023-01-20T20:32:28Z</dcterms:modified>
</cp:coreProperties>
</file>